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shboard" sheetId="1" state="visible" r:id="rId1"/>
    <sheet name="Annual" sheetId="2" state="visible" r:id="rId2"/>
    <sheet name="Proforma" sheetId="3" state="visible" r:id="rId3"/>
    <sheet name="Inputs" sheetId="4" state="visible" r:id="rId4"/>
    <sheet name="UnitMatrix" sheetId="5" state="visible" r:id="rId5"/>
    <sheet name="Budget" sheetId="6" state="visible" r:id="rId6"/>
    <sheet name="Timeline" sheetId="7" state="visible" r:id="rId7"/>
    <sheet name="DevSpend" sheetId="8" state="visible" r:id="rId8"/>
    <sheet name="ConLoan" sheetId="9" state="visible" r:id="rId9"/>
    <sheet name="LeaseUp" sheetId="10" state="visible" r:id="rId10"/>
    <sheet name="Operating" sheetId="11" state="visible" r:id="rId11"/>
    <sheet name="PermLoan" sheetId="12" state="visible" r:id="rId12"/>
    <sheet name="Monthly CF" sheetId="13" state="visible" r:id="rId13"/>
    <sheet name="Disposition" sheetId="14" state="visible" r:id="rId14"/>
    <sheet name="CashFlow" sheetId="15" state="visible" r:id="rId15"/>
    <sheet name="Waterfall Summary" sheetId="16" state="visible" r:id="rId16"/>
    <sheet name="Waterfall" sheetId="17" state="visible" r:id="rId17"/>
    <sheet name="Returns" sheetId="18" state="visible" r:id="rId18"/>
    <sheet name="Diagnostics" sheetId="19" state="visible" r:id="rId19"/>
  </sheets>
  <definedNames>
    <definedName name="ActivePayoff">Disposition!$C$18</definedName>
    <definedName name="AssessedValueStab">Operating!$C$56</definedName>
    <definedName name="AvgUnitSF">UnitMatrix!$C$19</definedName>
    <definedName name="BaseLowRentMo">UnitMatrix!$C$21</definedName>
    <definedName name="BaseMarketRentMo">UnitMatrix!$C$20</definedName>
    <definedName name="BasisPerUnitCur">Returns!$C$29</definedName>
    <definedName name="BasisPerUnitExit">Returns!$C$30</definedName>
    <definedName name="BlendedExitCap">Disposition!$C$9</definedName>
    <definedName name="BrokerCost">Disposition!$C$14</definedName>
    <definedName name="BuildableSF">UnitMatrix!$C$18</definedName>
    <definedName name="Chk_ConBalEnd">ConLoan!$C$47</definedName>
    <definedName name="Chk_DebtDraws">ConLoan!$C$44</definedName>
    <definedName name="Chk_EquityDraws">ConLoan!$C$45</definedName>
    <definedName name="Chk_IntReserve">ConLoan!$C$48</definedName>
    <definedName name="Chk_LeaseUpReached">LeaseUp!$C$13</definedName>
    <definedName name="Chk_LoanRetired">Disposition!$C$24</definedName>
    <definedName name="Chk_Reassess">Disposition!$C$25</definedName>
    <definedName name="Chk_RefiBalance">PermLoan!$C$33</definedName>
    <definedName name="Chk_TaxMethod">Operating!$C$59</definedName>
    <definedName name="Chk_UnitsDelivered">LeaseUp!$C$14</definedName>
    <definedName name="Chk_Uses">ConLoan!$C$46</definedName>
    <definedName name="ConCostBasis">ConLoan!$C$4</definedName>
    <definedName name="ConCostCommit">ConLoan!$C$8</definedName>
    <definedName name="ConCostExInt">ConLoan!$C$11</definedName>
    <definedName name="ConDSCRtest">ConLoan!$C$17</definedName>
    <definedName name="ConDYtest">ConLoan!$C$16</definedName>
    <definedName name="ConLoanTotal">ConLoan!$C$37</definedName>
    <definedName name="ConMaturity">Timeline!$C$18</definedName>
    <definedName name="ConPayoffBal">ConLoan!$C$38</definedName>
    <definedName name="ConPayoffMonth">Timeline!$C$25</definedName>
    <definedName name="ConPoints">ConLoan!$C$9</definedName>
    <definedName name="ConRealizedLTC">ConLoan!$C$18</definedName>
    <definedName name="ConStart">Timeline!$C$17</definedName>
    <definedName name="DebtShare">ConLoan!$C$12</definedName>
    <definedName name="DebtYieldStab">Returns!$C$25</definedName>
    <definedName name="DeliverStart">Timeline!$C$19</definedName>
    <definedName name="DevSpreadBps">Returns!$C$22</definedName>
    <definedName name="DevSpreadPct">Returns!$C$21</definedName>
    <definedName name="DispoEffTaxRate">Operating!$C$55</definedName>
    <definedName name="DispoMonth">Timeline!$C$21</definedName>
    <definedName name="EffTaxRateOnValue">Operating!$C$54</definedName>
    <definedName name="EquityBudget">ConLoan!$C$13</definedName>
    <definedName name="EquityTotal">ConLoan!$C$40</definedName>
    <definedName name="ExitValue">Disposition!$C$10</definedName>
    <definedName name="FwdEGI">Disposition!$C$6</definedName>
    <definedName name="FwdNOIafter">Disposition!$C$5</definedName>
    <definedName name="FwdNOIbt">Disposition!$C$4</definedName>
    <definedName name="FwdRetail">Disposition!$C$7</definedName>
    <definedName name="GrossSale">Disposition!$C$13</definedName>
    <definedName name="GrowthStartMonth">Timeline!$C$22</definedName>
    <definedName name="InterestReserveAccrued">ConLoan!$C$35</definedName>
    <definedName name="InterestReserveFunded">ConLoan!$C$36</definedName>
    <definedName name="LevDistros">CashFlow!$C$11</definedName>
    <definedName name="LevEquityIn">CashFlow!$C$10</definedName>
    <definedName name="LevIRR">Returns!$C$4</definedName>
    <definedName name="LevIRRgross">Returns!$C$14</definedName>
    <definedName name="LevMOIC">Returns!$C$6</definedName>
    <definedName name="LevMOICgross">Returns!$C$16</definedName>
    <definedName name="LevNetProfit">CashFlow!$C$12</definedName>
    <definedName name="LowUnits">UnitMatrix!$C$16</definedName>
    <definedName name="LTC_Realized">ConLoan!$C$41</definedName>
    <definedName name="MarketUnits">UnitMatrix!$C$15</definedName>
    <definedName name="MaxByDebtYield">ConLoan!$C$6</definedName>
    <definedName name="MaxByDSCR">ConLoan!$C$7</definedName>
    <definedName name="MaxByLTC">ConLoan!$C$5</definedName>
    <definedName name="MaxDSCRperm">PermLoan!$C$9</definedName>
    <definedName name="MaxDYperm">PermLoan!$C$8</definedName>
    <definedName name="MaxLTVperm">PermLoan!$C$7</definedName>
    <definedName name="MortConst">PermLoan!$C$6</definedName>
    <definedName name="NetSale">Disposition!$C$19</definedName>
    <definedName name="NetSaleUnlev">Disposition!$C$20</definedName>
    <definedName name="NRSF">UnitMatrix!$C$17</definedName>
    <definedName name="OpReserve">Operating!$C$51</definedName>
    <definedName name="PeakShort">Operating!$C$50</definedName>
    <definedName name="PermDSCRtest">PermLoan!$C$20</definedName>
    <definedName name="PermDYtest">PermLoan!$C$19</definedName>
    <definedName name="PermLoan">PermLoan!$C$12</definedName>
    <definedName name="PermLTVtest">PermLoan!$C$18</definedName>
    <definedName name="PermNeedNCO">PermLoan!$C$11</definedName>
    <definedName name="PermPayoffBal">PermLoan!$C$32</definedName>
    <definedName name="PermPmt">PermLoan!$C$15</definedName>
    <definedName name="PermPoints">PermLoan!$C$13</definedName>
    <definedName name="PermSized">PermLoan!$C$10</definedName>
    <definedName name="RecourseFee">ConLoan!$C$10</definedName>
    <definedName name="RefiCashOut">PermLoan!$C$14</definedName>
    <definedName name="RefiFlag">Timeline!$C$23</definedName>
    <definedName name="RefiMonth">Timeline!$C$24</definedName>
    <definedName name="RetailRentMo">UnitMatrix!$C$27</definedName>
    <definedName name="RetailShare">Disposition!$C$8</definedName>
    <definedName name="ROCcurrent">Returns!$C$23</definedName>
    <definedName name="ROCstab">Returns!$C$24</definedName>
    <definedName name="SalesTaxAmt">Disposition!$C$15</definedName>
    <definedName name="SponsorDispoFee">Disposition!$C$16</definedName>
    <definedName name="StabLeasedTarget">LeaseUp!$C$3</definedName>
    <definedName name="StabMonth">Timeline!$C$20</definedName>
    <definedName name="StabNOI">Operating!$C$48</definedName>
    <definedName name="StabNOIbt">Operating!$C$47</definedName>
    <definedName name="StabNOIrefi">PermLoan!$C$4</definedName>
    <definedName name="StabTaxAnnual">Operating!$C$58</definedName>
    <definedName name="StaticExitValue">Returns!$C$36</definedName>
    <definedName name="StaticFwdNOI">Returns!$C$35</definedName>
    <definedName name="StaticFwdNOIbt">Returns!$C$34</definedName>
    <definedName name="StaticNetSaleUnlev">Returns!$C$37</definedName>
    <definedName name="StaticUnlevIRR">Returns!$C$41</definedName>
    <definedName name="StaticUnlevMOIC">Returns!$C$42</definedName>
    <definedName name="SumNOI">Operating!$C$64</definedName>
    <definedName name="SumOpCFpre">Operating!$C$62</definedName>
    <definedName name="SumUnlevOps">Operating!$C$63</definedName>
    <definedName name="TaxProration">Disposition!$C$17</definedName>
    <definedName name="TaxYear1">Operating!$C$57</definedName>
    <definedName name="TDC_Total">ConLoan!$C$39</definedName>
    <definedName name="TDCout">Returns!$C$26</definedName>
    <definedName name="TDCperSF">Returns!$C$28</definedName>
    <definedName name="TDCperUnit">Returns!$C$27</definedName>
    <definedName name="TotalUnits">UnitMatrix!$C$14</definedName>
    <definedName name="UnlevDistros">CashFlow!$C$14</definedName>
    <definedName name="UnlevInvested">CashFlow!$C$13</definedName>
    <definedName name="UnlevIRR">Returns!$C$5</definedName>
    <definedName name="UnlevIRRgross">Returns!$C$15</definedName>
    <definedName name="UnlevMOIC">Returns!$C$7</definedName>
    <definedName name="UnlevMOICgross">Returns!$C$17</definedName>
    <definedName name="UnlevNetProfit">CashFlow!$C$15</definedName>
    <definedName name="ValueAtRefi">PermLoan!$C$5</definedName>
    <definedName name="Year1NOI">Operating!$C$49</definedName>
    <definedName name="YieldOnCost">Returns!$C$20</definedName>
    <definedName name="StabNOI_Untrended">'Proforma'!$G$35</definedName>
    <definedName name="StabNOIbt_Untrended">'Proforma'!$G$43</definedName>
    <definedName name="StaticTaxYear1">'Operating'!$C$77</definedName>
    <definedName name="TaxOpStartMonth">'Timeline'!$C$45</definedName>
    <definedName name="ErrorsFound">'Diagnostics'!$C$38</definedName>
    <definedName name="WarningsFound">'Diagnostics'!$C$39</definedName>
    <definedName name="ConBinding">'ConLoan'!$C$21</definedName>
    <definedName name="PermBinding">'PermLoan'!$C$21</definedName>
    <definedName name="SU_Check">'Annual'!$C$19</definedName>
    <definedName name="AnnualNOICheck">'Annual'!$C$36</definedName>
    <definedName name="IntConvMonth">'Timeline'!$C$47</definedName>
    <definedName name="ConEndMonth">'Timeline'!$C$48</definedName>
    <definedName name="IntReserveEst">'ConLoan'!$C$54</definedName>
    <definedName name="CurrentPayInterest">'ConLoan'!$C$56</definedName>
    <definedName name="MinReserveBal">'ConLoan'!$C$57</definedName>
    <definedName name="InvestmentType">'Inputs'!$C$9</definedName>
    <definedName name="PropertyName">'Inputs'!$C$10</definedName>
    <definedName name="City">'Inputs'!$C$11</definedName>
    <definedName name="State">'Inputs'!$C$12</definedName>
    <definedName name="Market">'Inputs'!$C$13</definedName>
    <definedName name="ProductType">'Inputs'!$C$14</definedName>
    <definedName name="Location">'Inputs'!$C$15</definedName>
    <definedName name="InceptionDate">'Inputs'!$C$16</definedName>
    <definedName name="HoldPeriodMonths">'Inputs'!$C$19</definedName>
    <definedName name="EntryCapRate">'Inputs'!$C$20</definedName>
    <definedName name="CapAdjLocation">'Inputs'!$C$23</definedName>
    <definedName name="CapAdjSize">'Inputs'!$C$24</definedName>
    <definedName name="CapAdjAging">'Inputs'!$C$25</definedName>
    <definedName name="ExitCapResidential">'Inputs'!$C$26</definedName>
    <definedName name="ExitCapRetail">'Inputs'!$C$27</definedName>
    <definedName name="GrowthRent">'Inputs'!$C$30</definedName>
    <definedName name="GrowthLowIncRent">'Inputs'!$C$31</definedName>
    <definedName name="GrowthExpense">'Inputs'!$C$32</definedName>
    <definedName name="GrowthUtility">'Inputs'!$C$33</definedName>
    <definedName name="GrowthTax">'Inputs'!$C$34</definedName>
    <definedName name="GrowthOther">'Inputs'!$C$35</definedName>
    <definedName name="GrowthStartDate">'Inputs'!$C$36</definedName>
    <definedName name="LeaseUpIncomeOffset">'Inputs'!$D$39</definedName>
    <definedName name="UnitsDeliveredPerMo">'Inputs'!$C$40</definedName>
    <definedName name="UnitsLeasedPerMo">'Inputs'!$C$41</definedName>
    <definedName name="LeaseUpRampPct">'Inputs'!$C$42</definedName>
    <definedName name="LeaseUpElevationPct">'Inputs'!$C$43</definedName>
    <definedName name="StabilizedOccupancy">'Inputs'!$C$44</definedName>
    <definedName name="FundingOrderPari">'Inputs'!$H$22</definedName>
    <definedName name="TargetLTC">'Inputs'!$G$23</definedName>
    <definedName name="OpReserveCoverage">'Inputs'!$G$24</definedName>
    <definedName name="OpReserveMinMonths">'Inputs'!$G$25</definedName>
    <definedName name="ConLoanTermMonths">'Inputs'!$G$28</definedName>
    <definedName name="ConRate">'Inputs'!$G$29</definedName>
    <definedName name="ConActual360">'Inputs'!$H$30</definedName>
    <definedName name="ConPointsPct">'Inputs'!$G$31</definedName>
    <definedName name="ConOtherCosts">'Inputs'!$G$32</definedName>
    <definedName name="ConMinDebtYield">'Inputs'!$G$33</definedName>
    <definedName name="ConMinDSCR">'Inputs'!$G$34</definedName>
    <definedName name="LenderReqReserveOverride">'Inputs'!$G$35</definedName>
    <definedName name="RefiLagMonths">'Inputs'!$G$38</definedName>
    <definedName name="InterestMethodCurrentPay">'Inputs'!$H$39</definedName>
    <definedName name="IntConvMonthOverride">'Inputs'!$G$40</definedName>
    <definedName name="PermMaxLTV">'Inputs'!$K$9</definedName>
    <definedName name="PermRate">'Inputs'!$K$10</definedName>
    <definedName name="PermTermMonths">'Inputs'!$K$11</definedName>
    <definedName name="PermIOMonths">'Inputs'!$K$12</definedName>
    <definedName name="PermAmortMonths">'Inputs'!$K$13</definedName>
    <definedName name="PermActual360">'Inputs'!$L$14</definedName>
    <definedName name="PermPointsPct">'Inputs'!$K$15</definedName>
    <definedName name="PermMinDebtYield">'Inputs'!$K$16</definedName>
    <definedName name="PermMinDSCR">'Inputs'!$K$17</definedName>
    <definedName name="NoCashOut">'Inputs'!$L$18</definedName>
    <definedName name="RefiMonthOverride">'Inputs'!$K$19</definedName>
    <definedName name="DevFeePctDirect">'Inputs'!$K$22</definedName>
    <definedName name="DevFeeThirdPartySplit">'Inputs'!$K$23</definedName>
    <definedName name="SponsorDispoFeePct">'Inputs'!$K$24</definedName>
    <definedName name="RecourseFeePct">'Inputs'!$K$25</definedName>
    <definedName name="BrokerCostPct">'Inputs'!$K$28</definedName>
    <definedName name="SalesTaxPct">'Inputs'!$K$29</definedName>
    <definedName name="TaxProrationMonths">'Inputs'!$K$30</definedName>
    <definedName name="TaxLevyPct">'Inputs'!$K$33</definedName>
    <definedName name="TaxAssessmentPct">'Inputs'!$K$34</definedName>
    <definedName name="TaxValueAdjFactor">'Inputs'!$K$35</definedName>
    <definedName name="TaxMethodValue">'Inputs'!$L$36</definedName>
    <definedName name="TaxYear1Override">'Inputs'!$K$37</definedName>
    <definedName name="ReassessOnSale">'Inputs'!$L$38</definedName>
    <definedName name="DispoTaxRatePct">'Inputs'!$K$39</definedName>
    <definedName name="TaxCapitalizeLeaseUp">'Inputs'!$L$40</definedName>
    <definedName name="LandCost">'Inputs'!$O$9</definedName>
    <definedName name="GrossAcres">'Inputs'!$O$10</definedName>
    <definedName name="NetAcres">'Inputs'!$O$11</definedName>
    <definedName name="FARRatio">'Inputs'!$O$12</definedName>
    <definedName name="EfficiencyRatio">'Inputs'!$O$13</definedName>
    <definedName name="ExistingStructureCost">'Inputs'!$O$14</definedName>
    <definedName name="RetailIncomeMo">'Inputs'!$O$22</definedName>
    <definedName name="StaticValue">'Inputs'!$S$11</definedName>
    <definedName name="SanityFlags">'Inputs'!$S$23</definedName>
    <definedName name="InputSanityWarnings">'Inputs'!$T$17</definedName>
    <definedName name="LossToLeasePct">'Proforma'!$C$14</definedName>
    <definedName name="BadDebtPct">'Proforma'!$C$15</definedName>
    <definedName name="ConcessionsPct">'Proforma'!$C$16</definedName>
    <definedName name="ModelUnits">'Proforma'!$C$17</definedName>
    <definedName name="ParkingPerUnitMo">'Proforma'!$C$18</definedName>
    <definedName name="UtilReimbPerUnitMo">'Proforma'!$C$19</definedName>
    <definedName name="OtherIncPerUnitMo">'Proforma'!$C$20</definedName>
    <definedName name="ExpInsurancePerUnit">'Proforma'!$C$24</definedName>
    <definedName name="ExpUtilitiesPerUnit">'Proforma'!$C$25</definedName>
    <definedName name="ExpPayrollPerUnit">'Proforma'!$C$26</definedName>
    <definedName name="MgmtFeePct">'Proforma'!$C$27</definedName>
    <definedName name="ExpRMPerUnit">'Proforma'!$C$28</definedName>
    <definedName name="ExpTurnoverPerUnit">'Proforma'!$C$29</definedName>
    <definedName name="ExpContractPerUnit">'Proforma'!$C$30</definedName>
    <definedName name="ExpAdminPerUnit">'Proforma'!$C$31</definedName>
    <definedName name="ExpAdvertisingPerUnit">'Proforma'!$C$32</definedName>
    <definedName name="CapReservePerUnit">'Proforma'!$C$37</definedName>
    <definedName name="TaxPrepPerUnit">'Proforma'!$C$38</definedName>
    <definedName name="AssetMgmtFeePct">'Proforma'!$C$39</definedName>
    <definedName name="UntrendedTaxRate">'Proforma'!$C$49</definedName>
    <definedName name="LP_IRR">'Waterfall'!$C$16</definedName>
    <definedName name="GP_IRR">'Waterfall'!$C$17</definedName>
    <definedName name="GPfee_IRR">'Waterfall'!$C$18</definedName>
    <definedName name="WaterfallCheck">'Waterfall'!$C$50</definedName>
    <definedName name="MonthlyCFCheck">'Monthly CF'!$D$15</definedName>
    <definedName name="BudgetLand">Budget!$J$109</definedName>
    <definedName name="BudgetSoft">Budget!$J$110</definedName>
    <definedName name="BudgetHard">Budget!$J$111</definedName>
    <definedName name="DirectCosts">Budget!$J$112</definedName>
    <definedName name="DevFee">Budget!$J$113</definedName>
    <definedName name="BudgetTDCref">Budget!$J$114</definedName>
    <definedName name="ConTaxTotal">DevSpend!$D$105</definedName>
    <definedName name="Chk_CostCurve">DevSpend!$D$107</definedName>
    <definedName name="Chk_DevFeeCurve">DevSpend!$D$108</definedName>
    <definedName name="VacancyPct">'Proforma'!$C$13</definedName>
    <definedName name="GrowthStartOverride">'Inputs'!$C$37</definedName>
    <definedName name="MS_Due_Diligence_Start">Timeline!$C$4</definedName>
    <definedName name="MS_Due_Diligence_End">Timeline!$E$4</definedName>
    <definedName name="MS_Open_Escrow_Start">Timeline!$C$4</definedName>
    <definedName name="MS_Open_Escrow_End">Timeline!$E$4</definedName>
    <definedName name="MS_Entitlement_Start">Timeline!$C$5</definedName>
    <definedName name="MS_Entitlement_End">Timeline!$E$5</definedName>
    <definedName name="MS_Pre_Construction_Start">Timeline!$C$6</definedName>
    <definedName name="MS_Pre_Construction_End">Timeline!$E$6</definedName>
    <definedName name="MS_Initial_Closing_Start">Timeline!$C$6</definedName>
    <definedName name="MS_Initial_Closing_End">Timeline!$E$6</definedName>
    <definedName name="MS_Construction_Start">Timeline!$C$7</definedName>
    <definedName name="MS_Construction_End">Timeline!$E$7</definedName>
    <definedName name="MS_1st_Unit_Delivery_Start">Timeline!$C$8</definedName>
    <definedName name="MS_1st_Unit_Delivery_End">Timeline!$E$8</definedName>
    <definedName name="MS_Lease_Up_Start">Timeline!$C$9</definedName>
    <definedName name="MS_Lease_Up_End">Timeline!$E$9</definedName>
    <definedName name="MS_Stabilization_Start">Timeline!$C$10</definedName>
    <definedName name="MS_Stabilization_End">Timeline!$E$10</definedName>
    <definedName name="MS_Recapitalization_Refinance_Start">Timeline!$C$11</definedName>
    <definedName name="MS_Recapitalization_Refinance_End">Timeline!$E$11</definedName>
    <definedName name="MS_Disposition_Start">Timeline!$C$12</definedName>
    <definedName name="MS_Disposition_End">Timeline!$E$12</definedName>
    <definedName name="MilestoneNames">Timeline!$B$4:$B$12</definedName>
    <definedName name="MilestoneStart">Timeline!$C$4:$C$12</definedName>
    <definedName name="MilestoneEnd">Timeline!$E$4:$E$12</definedName>
    <definedName name="Dur_OpenEscrow">Timeline!$D$4</definedName>
    <definedName name="Dur_DueDiligence">Timeline!$D$4</definedName>
    <definedName name="Dur_Entitlement">Timeline!$D$5</definedName>
    <definedName name="Dur_PreConstruction">Timeline!$D$6</definedName>
    <definedName name="Dur_InitialClosing">Timeline!$D$6</definedName>
    <definedName name="Dur_Construction">Timeline!$D$7</definedName>
    <definedName name="Dur_FirstUnitDelivery">Timeline!$D$8</definedName>
    <definedName name="Dur_Stabilization">Timeline!$D$10</definedName>
    <definedName name="Dur_Recap">Timeline!$D$11</definedName>
    <definedName name="Dur_Disposition">Timeline!$D$12</definedName>
    <definedName name="AnnualTDCCheck">Annual!$C$37</definedName>
    <definedName name="GPCoInvest">'Waterfall'!$D$6</definedName>
    <definedName name="PrefReturn">'Waterfall'!$G$5</definedName>
    <definedName name="Hurdle2IRR">'Waterfall'!$G$6</definedName>
    <definedName name="Promote2">'Waterfall'!$H$6</definedName>
    <definedName name="Hurdle3IRR">'Waterfall'!$G$7</definedName>
    <definedName name="Promote3">'Waterfall'!$H$7</definedName>
    <definedName name="Promote4">'Waterfall'!$H$8</definedName>
    <definedName name="DeliveryLagMonths">'Inputs'!$C$45</definedName>
    <definedName name="_xlnm.Print_Titles" localSheetId="0">'Dashboard'!$1:$2</definedName>
    <definedName name="_xlnm.Print_Area" localSheetId="0">'Dashboard'!$B$1:$F$29</definedName>
    <definedName name="_xlnm.Print_Titles" localSheetId="1">'Annual'!$1:$2</definedName>
    <definedName name="_xlnm.Print_Area" localSheetId="1">'Annual'!$B$1:$AG$40</definedName>
    <definedName name="_xlnm.Print_Titles" localSheetId="2">'Proforma'!$1:$2</definedName>
    <definedName name="_xlnm.Print_Area" localSheetId="2">'Proforma'!$B$1:$H$48</definedName>
    <definedName name="_xlnm.Print_Titles" localSheetId="18">'Diagnostics'!$1:$3</definedName>
    <definedName name="_xlnm.Print_Area" localSheetId="18">'Diagnostics'!$B$1:$G$42</definedName>
  </definedNames>
  <calcPr calcId="191029" fullCalcOnLoad="1" iterate="1"/>
</workbook>
</file>

<file path=xl/styles.xml><?xml version="1.0" encoding="utf-8"?>
<styleSheet xmlns="http://schemas.openxmlformats.org/spreadsheetml/2006/main">
  <numFmts count="21">
    <numFmt numFmtId="164" formatCode="#,##0&quot; mo&quot;"/>
    <numFmt numFmtId="165" formatCode="0.0%"/>
    <numFmt numFmtId="166" formatCode="\$#,##0;\(\$#,##0\)"/>
    <numFmt numFmtId="167" formatCode="0.00&quot;x&quot;"/>
    <numFmt numFmtId="168" formatCode="#,##0;\(#,##0\)"/>
    <numFmt numFmtId="169" formatCode="\$#,##0.00;\(\$#,##0.00\)"/>
    <numFmt numFmtId="170" formatCode="0.0000%"/>
    <numFmt numFmtId="171" formatCode="0.000%"/>
    <numFmt numFmtId="172" formatCode="#,##0&quot; bps&quot;"/>
    <numFmt numFmtId="173" formatCode="mmm\-yyyy"/>
    <numFmt numFmtId="174" formatCode="&quot;$&quot;#,##0"/>
    <numFmt numFmtId="175" formatCode="&quot;$&quot;#,##0.00"/>
    <numFmt numFmtId="176" formatCode="mmm-yyyy"/>
    <numFmt numFmtId="177" formatCode="$#,##0.00;($#,##0.00)"/>
    <numFmt numFmtId="178" formatCode="#,##0;(#,##0)"/>
    <numFmt numFmtId="179" formatCode="$#,##0"/>
    <numFmt numFmtId="180" formatCode="#,##0.0"/>
    <numFmt numFmtId="181" formatCode="$#,##0;($#,##0);&quot;–&quot;"/>
    <numFmt numFmtId="182" formatCode="$#,##0;($#,##0)"/>
    <numFmt numFmtId="183" formatCode="#,##0;(#,##0);&quot;–&quot;"/>
    <numFmt numFmtId="184" formatCode="$#,##0.0,,&quot;M&quot;"/>
  </numFmts>
  <fonts count="33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6"/>
    </font>
    <font>
      <name val="Calibri"/>
      <family val="2"/>
      <i val="1"/>
      <color rgb="FF000000"/>
      <sz val="10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family val="2"/>
      <color rgb="FF0000CC"/>
      <sz val="10"/>
    </font>
    <font>
      <name val="Calibri"/>
      <family val="2"/>
      <b val="1"/>
      <color rgb="FF1F3864"/>
      <sz val="10"/>
    </font>
    <font>
      <name val="Calibri"/>
      <family val="2"/>
      <b val="1"/>
      <color rgb="FF000000"/>
      <sz val="10"/>
    </font>
    <font>
      <name val="Calibri"/>
      <family val="2"/>
      <color rgb="FF006100"/>
      <sz val="10"/>
    </font>
    <font>
      <name val="Calibri"/>
      <family val="2"/>
      <b val="1"/>
      <color rgb="FF006100"/>
      <sz val="10"/>
    </font>
    <font>
      <name val="Calibri"/>
      <family val="2"/>
      <sz val="10"/>
    </font>
    <font>
      <name val="Calibri"/>
      <family val="2"/>
      <color theme="1"/>
      <sz val="10"/>
      <scheme val="minor"/>
    </font>
    <font>
      <name val="Calibri"/>
      <color rgb="FF000000"/>
      <sz val="10"/>
    </font>
    <font>
      <name val="Calibri"/>
      <b val="1"/>
      <color rgb="FF1F3864"/>
      <sz val="16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6100"/>
      <sz val="10"/>
    </font>
    <font>
      <name val="Calibri"/>
      <b val="1"/>
      <color rgb="FFFFFFFF"/>
      <sz val="9"/>
    </font>
    <font>
      <name val="Calibri"/>
      <b val="1"/>
      <color rgb="FF000000"/>
      <sz val="10"/>
    </font>
    <font>
      <name val="Calibri"/>
      <color rgb="FF0000CC"/>
      <sz val="10"/>
    </font>
    <font>
      <name val="Calibri"/>
      <color rgb="FF006100"/>
      <sz val="9"/>
    </font>
    <font>
      <name val="Calibri"/>
      <i val="1"/>
      <color rgb="FF595959"/>
      <sz val="9"/>
    </font>
    <font>
      <name val="Calibri"/>
      <b val="1"/>
      <color rgb="FF9C6500"/>
      <sz val="10"/>
    </font>
    <font>
      <name val="Calibri"/>
      <b val="1"/>
      <color rgb="FFFFFFFF"/>
      <sz val="15"/>
    </font>
    <font>
      <name val="Calibri"/>
      <color rgb="FF595959"/>
      <sz val="9"/>
    </font>
    <font>
      <name val="Calibri"/>
      <b val="1"/>
      <color rgb="FF1F3864"/>
      <sz val="12"/>
    </font>
    <font>
      <name val="Calibri"/>
      <b val="1"/>
      <color rgb="FFFFFFFF"/>
      <sz val="10"/>
    </font>
    <font>
      <name val="Calibri"/>
      <color rgb="FF006100"/>
      <sz val="8"/>
    </font>
    <font>
      <name val="Calibri"/>
      <b val="1"/>
      <color rgb="FF9C6500"/>
      <sz val="9"/>
    </font>
    <font>
      <name val="Calibri"/>
      <i val="1"/>
      <color rgb="FF808080"/>
      <sz val="9"/>
    </font>
    <font>
      <name val="Calibri"/>
      <b val="1"/>
      <color rgb="FF1F3864"/>
      <sz val="15"/>
    </font>
    <font>
      <name val="Calibri"/>
      <color rgb="FF808080"/>
      <sz val="10"/>
    </font>
    <font>
      <name val="Calibri"/>
      <b val="1"/>
      <color rgb="FF808080"/>
      <sz val="9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2E5496"/>
      </patternFill>
    </fill>
    <fill>
      <patternFill patternType="solid">
        <fgColor rgb="FFF2F2F2"/>
      </patternFill>
    </fill>
    <fill>
      <patternFill patternType="solid">
        <fgColor rgb="FFF7F7F7"/>
      </patternFill>
    </fill>
    <fill>
      <patternFill patternType="solid">
        <fgColor rgb="FFEAF0F8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top style="thin">
        <color rgb="FF808080"/>
      </top>
    </border>
    <border/>
  </borders>
  <cellStyleXfs count="1">
    <xf numFmtId="0" fontId="0" fillId="0" borderId="0"/>
  </cellStyleXfs>
  <cellXfs count="46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168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4" fontId="4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8" fillId="0" borderId="0" applyAlignment="1" pivotButton="0" quotePrefix="0" xfId="0">
      <alignment horizontal="right" vertical="center"/>
    </xf>
    <xf numFmtId="49" fontId="8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left" vertical="center"/>
    </xf>
    <xf numFmtId="0" fontId="0" fillId="2" borderId="3" pivotButton="0" quotePrefix="0" xfId="0"/>
    <xf numFmtId="0" fontId="4" fillId="0" borderId="4" applyAlignment="1" pivotButton="0" quotePrefix="0" xfId="0">
      <alignment horizontal="left" vertical="center"/>
    </xf>
    <xf numFmtId="3" fontId="8" fillId="0" borderId="5" applyAlignment="1" pivotButton="0" quotePrefix="0" xfId="0">
      <alignment horizontal="right" vertical="center"/>
    </xf>
    <xf numFmtId="164" fontId="8" fillId="0" borderId="5" applyAlignment="1" pivotButton="0" quotePrefix="0" xfId="0">
      <alignment horizontal="right" vertical="center"/>
    </xf>
    <xf numFmtId="49" fontId="8" fillId="0" borderId="5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/>
    </xf>
    <xf numFmtId="164" fontId="8" fillId="0" borderId="7" applyAlignment="1" pivotButton="0" quotePrefix="0" xfId="0">
      <alignment horizontal="right" vertical="center"/>
    </xf>
    <xf numFmtId="10" fontId="9" fillId="0" borderId="5" applyAlignment="1" pivotButton="0" quotePrefix="0" xfId="0">
      <alignment horizontal="right" vertical="center"/>
    </xf>
    <xf numFmtId="167" fontId="9" fillId="0" borderId="5" applyAlignment="1" pivotButton="0" quotePrefix="0" xfId="0">
      <alignment horizontal="right" vertical="center"/>
    </xf>
    <xf numFmtId="167" fontId="9" fillId="0" borderId="7" applyAlignment="1" pivotButton="0" quotePrefix="0" xfId="0">
      <alignment horizontal="right" vertical="center"/>
    </xf>
    <xf numFmtId="10" fontId="8" fillId="0" borderId="5" applyAlignment="1" pivotButton="0" quotePrefix="0" xfId="0">
      <alignment horizontal="right" vertical="center"/>
    </xf>
    <xf numFmtId="172" fontId="8" fillId="0" borderId="5" applyAlignment="1" pivotButton="0" quotePrefix="0" xfId="0">
      <alignment horizontal="right" vertical="center"/>
    </xf>
    <xf numFmtId="168" fontId="8" fillId="0" borderId="5" applyAlignment="1" pivotButton="0" quotePrefix="0" xfId="0">
      <alignment horizontal="right" vertical="center"/>
    </xf>
    <xf numFmtId="166" fontId="8" fillId="0" borderId="5" applyAlignment="1" pivotButton="0" quotePrefix="0" xfId="0">
      <alignment horizontal="right" vertical="center"/>
    </xf>
    <xf numFmtId="166" fontId="8" fillId="0" borderId="7" applyAlignment="1" pivotButton="0" quotePrefix="0" xfId="0">
      <alignment horizontal="right" vertical="center"/>
    </xf>
    <xf numFmtId="0" fontId="7" fillId="0" borderId="4" applyAlignment="1" pivotButton="0" quotePrefix="0" xfId="0">
      <alignment horizontal="left" vertical="center"/>
    </xf>
    <xf numFmtId="168" fontId="9" fillId="5" borderId="5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8" fontId="8" fillId="0" borderId="7" applyAlignment="1" pivotButton="0" quotePrefix="0" xfId="0">
      <alignment horizontal="right" vertical="center"/>
    </xf>
    <xf numFmtId="167" fontId="8" fillId="0" borderId="5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0" fontId="7" fillId="0" borderId="6" applyAlignment="1" pivotButton="0" quotePrefix="0" xfId="0">
      <alignment horizontal="left" vertical="center"/>
    </xf>
    <xf numFmtId="49" fontId="9" fillId="6" borderId="7" applyAlignment="1" pivotButton="0" quotePrefix="0" xfId="0">
      <alignment horizontal="right" vertical="center"/>
    </xf>
    <xf numFmtId="10" fontId="10" fillId="0" borderId="1" applyAlignment="1" pivotButton="0" quotePrefix="0" xfId="0">
      <alignment horizontal="right" vertical="center"/>
    </xf>
    <xf numFmtId="0" fontId="0" fillId="2" borderId="8" pivotButton="0" quotePrefix="0" xfId="0"/>
    <xf numFmtId="0" fontId="2" fillId="0" borderId="5" applyAlignment="1" pivotButton="0" quotePrefix="0" xfId="0">
      <alignment horizontal="left" vertical="center"/>
    </xf>
    <xf numFmtId="173" fontId="5" fillId="3" borderId="9" applyAlignment="1" pivotButton="0" quotePrefix="0" xfId="0">
      <alignment horizontal="right" vertical="center"/>
    </xf>
    <xf numFmtId="0" fontId="2" fillId="0" borderId="7" applyAlignment="1" pivotButton="0" quotePrefix="0" xfId="0">
      <alignment horizontal="left" vertical="center"/>
    </xf>
    <xf numFmtId="0" fontId="0" fillId="0" borderId="3" pivotButton="0" quotePrefix="0" xfId="0"/>
    <xf numFmtId="165" fontId="5" fillId="3" borderId="9" applyAlignment="1" pivotButton="0" quotePrefix="0" xfId="0">
      <alignment horizontal="right" vertical="center"/>
    </xf>
    <xf numFmtId="0" fontId="0" fillId="0" borderId="7" pivotButton="0" quotePrefix="0" xfId="0"/>
    <xf numFmtId="166" fontId="5" fillId="3" borderId="9" applyAlignment="1" pivotButton="0" quotePrefix="0" xfId="0">
      <alignment horizontal="right" vertical="center"/>
    </xf>
    <xf numFmtId="10" fontId="5" fillId="3" borderId="9" applyAlignment="1" pivotButton="0" quotePrefix="0" xfId="0">
      <alignment horizontal="right" vertical="center"/>
    </xf>
    <xf numFmtId="3" fontId="5" fillId="3" borderId="9" applyAlignment="1" pivotButton="0" quotePrefix="0" xfId="0">
      <alignment horizontal="right" vertical="center"/>
    </xf>
    <xf numFmtId="164" fontId="5" fillId="3" borderId="9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0" fillId="4" borderId="8" pivotButton="0" quotePrefix="0" xfId="0"/>
    <xf numFmtId="0" fontId="6" fillId="0" borderId="4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8" fontId="4" fillId="0" borderId="5" applyAlignment="1" pivotButton="0" quotePrefix="0" xfId="0">
      <alignment horizontal="right" vertical="center"/>
    </xf>
    <xf numFmtId="168" fontId="8" fillId="0" borderId="10" applyAlignment="1" pivotButton="0" quotePrefix="0" xfId="0">
      <alignment horizontal="right" vertical="center"/>
    </xf>
    <xf numFmtId="0" fontId="0" fillId="0" borderId="10" pivotButton="0" quotePrefix="0" xfId="0"/>
    <xf numFmtId="0" fontId="0" fillId="4" borderId="3" pivotButton="0" quotePrefix="0" xfId="0"/>
    <xf numFmtId="0" fontId="6" fillId="4" borderId="8" applyAlignment="1" pivotButton="0" quotePrefix="0" xfId="0">
      <alignment horizontal="left" vertical="center"/>
    </xf>
    <xf numFmtId="0" fontId="6" fillId="4" borderId="8" applyAlignment="1" pivotButton="0" quotePrefix="0" xfId="0">
      <alignment horizontal="right" vertical="center"/>
    </xf>
    <xf numFmtId="0" fontId="6" fillId="4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5" fontId="4" fillId="0" borderId="5" applyAlignment="1" pivotButton="0" quotePrefix="0" xfId="0">
      <alignment horizontal="right" vertical="center"/>
    </xf>
    <xf numFmtId="3" fontId="7" fillId="5" borderId="10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69" fontId="4" fillId="0" borderId="5" applyAlignment="1" pivotButton="0" quotePrefix="0" xfId="0">
      <alignment horizontal="right" vertical="center"/>
    </xf>
    <xf numFmtId="0" fontId="4" fillId="0" borderId="10" applyAlignment="1" pivotButton="0" quotePrefix="0" xfId="0">
      <alignment horizontal="left" vertical="center"/>
    </xf>
    <xf numFmtId="49" fontId="5" fillId="3" borderId="9" applyAlignment="1" pivotButton="0" quotePrefix="0" xfId="0">
      <alignment horizontal="left" vertical="center"/>
    </xf>
    <xf numFmtId="168" fontId="5" fillId="3" borderId="9" applyAlignment="1" pivotButton="0" quotePrefix="0" xfId="0">
      <alignment horizontal="right" vertical="center"/>
    </xf>
    <xf numFmtId="168" fontId="4" fillId="0" borderId="10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0" fontId="0" fillId="0" borderId="0" pivotButton="0" quotePrefix="0" xfId="0"/>
    <xf numFmtId="174" fontId="4" fillId="0" borderId="0" applyAlignment="1" pivotButton="0" quotePrefix="0" xfId="0">
      <alignment horizontal="right" vertical="center"/>
    </xf>
    <xf numFmtId="174" fontId="4" fillId="0" borderId="10" applyAlignment="1" pivotButton="0" quotePrefix="0" xfId="0">
      <alignment horizontal="right" vertical="center"/>
    </xf>
    <xf numFmtId="0" fontId="0" fillId="4" borderId="0" pivotButton="0" quotePrefix="0" xfId="0"/>
    <xf numFmtId="174" fontId="9" fillId="0" borderId="0" applyAlignment="1" pivotButton="0" quotePrefix="0" xfId="0">
      <alignment horizontal="right" vertical="center"/>
    </xf>
    <xf numFmtId="37" fontId="7" fillId="5" borderId="10" applyAlignment="1" pivotButton="0" quotePrefix="0" xfId="0">
      <alignment horizontal="right" vertical="center"/>
    </xf>
    <xf numFmtId="175" fontId="7" fillId="5" borderId="10" applyAlignment="1" pivotButton="0" quotePrefix="0" xfId="0">
      <alignment horizontal="right" vertical="center"/>
    </xf>
    <xf numFmtId="174" fontId="7" fillId="5" borderId="10" applyAlignment="1" pivotButton="0" quotePrefix="0" xfId="0">
      <alignment horizontal="right" vertical="center"/>
    </xf>
    <xf numFmtId="165" fontId="11" fillId="0" borderId="7" pivotButton="0" quotePrefix="0" xfId="0"/>
    <xf numFmtId="0" fontId="0" fillId="0" borderId="8" pivotButton="0" quotePrefix="0" xfId="0"/>
    <xf numFmtId="0" fontId="0" fillId="0" borderId="8" pivotButton="0" quotePrefix="0" xfId="0"/>
    <xf numFmtId="174" fontId="9" fillId="0" borderId="5" applyAlignment="1" pivotButton="0" quotePrefix="0" xfId="0">
      <alignment horizontal="right" vertical="center"/>
    </xf>
    <xf numFmtId="174" fontId="9" fillId="0" borderId="10" applyAlignment="1" pivotButton="0" quotePrefix="0" xfId="0">
      <alignment horizontal="right" vertical="center"/>
    </xf>
    <xf numFmtId="174" fontId="9" fillId="0" borderId="7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0" fontId="6" fillId="0" borderId="2" pivotButton="0" quotePrefix="0" xfId="0"/>
    <xf numFmtId="0" fontId="6" fillId="0" borderId="8" applyAlignment="1" pivotButton="0" quotePrefix="0" xfId="0">
      <alignment horizontal="right" vertical="center"/>
    </xf>
    <xf numFmtId="164" fontId="4" fillId="0" borderId="5" applyAlignment="1" pivotButton="0" quotePrefix="0" xfId="0">
      <alignment horizontal="right" vertical="center"/>
    </xf>
    <xf numFmtId="164" fontId="8" fillId="0" borderId="10" applyAlignment="1" pivotButton="0" quotePrefix="0" xfId="0">
      <alignment horizontal="right" vertical="center"/>
    </xf>
    <xf numFmtId="164" fontId="10" fillId="0" borderId="9" applyAlignment="1" pivotButton="0" quotePrefix="0" xfId="0">
      <alignment horizontal="right" vertical="center"/>
    </xf>
    <xf numFmtId="164" fontId="4" fillId="0" borderId="7" applyAlignment="1" pivotButton="0" quotePrefix="0" xfId="0">
      <alignment horizontal="right" vertical="center"/>
    </xf>
    <xf numFmtId="0" fontId="6" fillId="4" borderId="8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164" fontId="9" fillId="0" borderId="5" applyAlignment="1" pivotButton="0" quotePrefix="0" xfId="0">
      <alignment horizontal="right" vertical="center"/>
    </xf>
    <xf numFmtId="164" fontId="9" fillId="0" borderId="7" applyAlignment="1" pivotButton="0" quotePrefix="0" xfId="0">
      <alignment horizontal="right" vertical="center"/>
    </xf>
    <xf numFmtId="0" fontId="6" fillId="0" borderId="4" pivotButton="0" quotePrefix="0" xfId="0"/>
    <xf numFmtId="0" fontId="2" fillId="0" borderId="4" pivotButton="0" quotePrefix="0" xfId="0"/>
    <xf numFmtId="3" fontId="7" fillId="0" borderId="5" applyAlignment="1" pivotButton="0" quotePrefix="0" xfId="0">
      <alignment horizontal="right" vertical="center"/>
    </xf>
    <xf numFmtId="3" fontId="7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3" applyAlignment="1" pivotButton="0" quotePrefix="0" xfId="0">
      <alignment horizontal="right" vertical="center"/>
    </xf>
    <xf numFmtId="17" fontId="2" fillId="0" borderId="0" applyAlignment="1" pivotButton="0" quotePrefix="0" xfId="0">
      <alignment horizontal="right" vertical="center"/>
    </xf>
    <xf numFmtId="17" fontId="2" fillId="0" borderId="5" applyAlignment="1" pivotButton="0" quotePrefix="0" xfId="0">
      <alignment horizontal="right" vertical="center"/>
    </xf>
    <xf numFmtId="174" fontId="7" fillId="5" borderId="0" applyAlignment="1" pivotButton="0" quotePrefix="0" xfId="0">
      <alignment horizontal="right" vertical="center"/>
    </xf>
    <xf numFmtId="174" fontId="4" fillId="0" borderId="5" applyAlignment="1" pivotButton="0" quotePrefix="0" xfId="0">
      <alignment horizontal="right" vertical="center"/>
    </xf>
    <xf numFmtId="174" fontId="0" fillId="0" borderId="0" pivotButton="0" quotePrefix="0" xfId="0"/>
    <xf numFmtId="174" fontId="0" fillId="0" borderId="5" pivotButton="0" quotePrefix="0" xfId="0"/>
    <xf numFmtId="174" fontId="7" fillId="0" borderId="0" applyAlignment="1" pivotButton="0" quotePrefix="0" xfId="0">
      <alignment horizontal="right" vertical="center"/>
    </xf>
    <xf numFmtId="174" fontId="7" fillId="0" borderId="5" applyAlignment="1" pivotButton="0" quotePrefix="0" xfId="0">
      <alignment horizontal="right" vertical="center"/>
    </xf>
    <xf numFmtId="174" fontId="9" fillId="0" borderId="10" applyAlignment="1" pivotButton="0" quotePrefix="0" xfId="0">
      <alignment horizontal="right" vertical="center"/>
    </xf>
    <xf numFmtId="168" fontId="7" fillId="0" borderId="5" applyAlignment="1" pivotButton="0" quotePrefix="0" xfId="0">
      <alignment horizontal="right" vertical="center"/>
    </xf>
    <xf numFmtId="168" fontId="4" fillId="0" borderId="7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68" fontId="9" fillId="0" borderId="1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49" fontId="4" fillId="0" borderId="10" applyAlignment="1" pivotButton="0" quotePrefix="0" xfId="0">
      <alignment horizontal="right" vertical="center"/>
    </xf>
    <xf numFmtId="168" fontId="7" fillId="5" borderId="5" applyAlignment="1" pivotButton="0" quotePrefix="0" xfId="0">
      <alignment horizontal="right" vertical="center"/>
    </xf>
    <xf numFmtId="170" fontId="7" fillId="0" borderId="5" applyAlignment="1" pivotButton="0" quotePrefix="0" xfId="0">
      <alignment horizontal="right" vertical="center"/>
    </xf>
    <xf numFmtId="168" fontId="7" fillId="0" borderId="7" applyAlignment="1" pivotButton="0" quotePrefix="0" xfId="0">
      <alignment horizontal="right" vertical="center"/>
    </xf>
    <xf numFmtId="168" fontId="9" fillId="5" borderId="0" applyAlignment="1" pivotButton="0" quotePrefix="0" xfId="0">
      <alignment horizontal="right" vertical="center"/>
    </xf>
    <xf numFmtId="10" fontId="9" fillId="5" borderId="10" applyAlignment="1" pivotButton="0" quotePrefix="0" xfId="0">
      <alignment horizontal="right" vertical="center"/>
    </xf>
    <xf numFmtId="165" fontId="7" fillId="0" borderId="7" applyAlignment="1" pivotButton="0" quotePrefix="0" xfId="0">
      <alignment horizontal="right" vertical="center"/>
    </xf>
    <xf numFmtId="3" fontId="4" fillId="0" borderId="10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0" fontId="0" fillId="2" borderId="0" pivotButton="0" quotePrefix="0" xfId="0"/>
    <xf numFmtId="4" fontId="7" fillId="0" borderId="0" applyAlignment="1" pivotButton="0" quotePrefix="0" xfId="0">
      <alignment horizontal="right" vertical="center"/>
    </xf>
    <xf numFmtId="4" fontId="4" fillId="0" borderId="0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8" fontId="7" fillId="5" borderId="10" applyAlignment="1" pivotButton="0" quotePrefix="0" xfId="0">
      <alignment horizontal="right" vertical="center"/>
    </xf>
    <xf numFmtId="167" fontId="4" fillId="0" borderId="10" applyAlignment="1" pivotButton="0" quotePrefix="0" xfId="0">
      <alignment horizontal="right" vertical="center"/>
    </xf>
    <xf numFmtId="168" fontId="9" fillId="5" borderId="10" applyAlignment="1" pivotButton="0" quotePrefix="0" xfId="0">
      <alignment horizontal="right" vertical="center"/>
    </xf>
    <xf numFmtId="168" fontId="7" fillId="0" borderId="1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7" fontId="9" fillId="0" borderId="10" applyAlignment="1" pivotButton="0" quotePrefix="0" xfId="0">
      <alignment horizontal="right" vertical="center"/>
    </xf>
    <xf numFmtId="0" fontId="6" fillId="4" borderId="4" applyAlignment="1" pivotButton="0" quotePrefix="0" xfId="0">
      <alignment horizontal="left" vertical="center"/>
    </xf>
    <xf numFmtId="0" fontId="0" fillId="4" borderId="5" pivotButton="0" quotePrefix="0" xfId="0"/>
    <xf numFmtId="172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9" fillId="0" borderId="10" applyAlignment="1" pivotButton="0" quotePrefix="0" xfId="0">
      <alignment horizontal="right" vertical="center"/>
    </xf>
    <xf numFmtId="49" fontId="4" fillId="0" borderId="5" applyAlignment="1" pivotButton="0" quotePrefix="0" xfId="0">
      <alignment horizontal="center" vertical="center"/>
    </xf>
    <xf numFmtId="49" fontId="4" fillId="0" borderId="7" applyAlignment="1" pivotButton="0" quotePrefix="0" xfId="0">
      <alignment horizontal="center" vertical="center"/>
    </xf>
    <xf numFmtId="3" fontId="7" fillId="0" borderId="0" applyAlignment="1" pivotButton="0" quotePrefix="0" xfId="0">
      <alignment horizontal="right" vertical="center"/>
    </xf>
    <xf numFmtId="49" fontId="7" fillId="0" borderId="10" applyAlignment="1" pivotButton="0" quotePrefix="0" xfId="0">
      <alignment horizontal="right" vertical="center"/>
    </xf>
    <xf numFmtId="164" fontId="8" fillId="0" borderId="5" applyAlignment="1" pivotButton="0" quotePrefix="0" xfId="0">
      <alignment horizontal="right" vertical="center"/>
    </xf>
    <xf numFmtId="167" fontId="9" fillId="0" borderId="5" applyAlignment="1" pivotButton="0" quotePrefix="0" xfId="0">
      <alignment horizontal="right" vertical="center"/>
    </xf>
    <xf numFmtId="164" fontId="8" fillId="0" borderId="7" applyAlignment="1" pivotButton="0" quotePrefix="0" xfId="0">
      <alignment horizontal="right" vertical="center"/>
    </xf>
    <xf numFmtId="167" fontId="9" fillId="0" borderId="7" applyAlignment="1" pivotButton="0" quotePrefix="0" xfId="0">
      <alignment horizontal="right" vertical="center"/>
    </xf>
    <xf numFmtId="168" fontId="8" fillId="0" borderId="5" applyAlignment="1" pivotButton="0" quotePrefix="0" xfId="0">
      <alignment horizontal="right" vertical="center"/>
    </xf>
    <xf numFmtId="172" fontId="8" fillId="0" borderId="5" applyAlignment="1" pivotButton="0" quotePrefix="0" xfId="0">
      <alignment horizontal="right" vertical="center"/>
    </xf>
    <xf numFmtId="166" fontId="8" fillId="0" borderId="5" applyAlignment="1" pivotButton="0" quotePrefix="0" xfId="0">
      <alignment horizontal="right" vertical="center"/>
    </xf>
    <xf numFmtId="168" fontId="9" fillId="5" borderId="5" applyAlignment="1" pivotButton="0" quotePrefix="0" xfId="0">
      <alignment horizontal="right" vertical="center"/>
    </xf>
    <xf numFmtId="166" fontId="8" fillId="0" borderId="7" applyAlignment="1" pivotButton="0" quotePrefix="0" xfId="0">
      <alignment horizontal="right" vertical="center"/>
    </xf>
    <xf numFmtId="168" fontId="8" fillId="0" borderId="7" applyAlignment="1" pivotButton="0" quotePrefix="0" xfId="0">
      <alignment horizontal="right" vertical="center"/>
    </xf>
    <xf numFmtId="167" fontId="8" fillId="0" borderId="5" applyAlignment="1" pivotButton="0" quotePrefix="0" xfId="0">
      <alignment horizontal="right" vertical="center"/>
    </xf>
    <xf numFmtId="0" fontId="13" fillId="0" borderId="0" pivotButton="0" quotePrefix="0" xfId="0"/>
    <xf numFmtId="0" fontId="14" fillId="0" borderId="0" pivotButton="0" quotePrefix="0" xfId="0"/>
    <xf numFmtId="0" fontId="15" fillId="2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49" fontId="16" fillId="0" borderId="0" applyAlignment="1" pivotButton="0" quotePrefix="0" xfId="0">
      <alignment horizontal="right"/>
    </xf>
    <xf numFmtId="10" fontId="16" fillId="0" borderId="0" applyAlignment="1" pivotButton="0" quotePrefix="0" xfId="0">
      <alignment horizontal="right"/>
    </xf>
    <xf numFmtId="176" fontId="16" fillId="0" borderId="0" applyAlignment="1" pivotButton="0" quotePrefix="0" xfId="0">
      <alignment horizontal="right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right"/>
    </xf>
    <xf numFmtId="177" fontId="12" fillId="0" borderId="0" applyAlignment="1" pivotButton="0" quotePrefix="0" xfId="0">
      <alignment horizontal="right"/>
    </xf>
    <xf numFmtId="178" fontId="12" fillId="0" borderId="0" applyAlignment="1" pivotButton="0" quotePrefix="0" xfId="0">
      <alignment horizontal="right"/>
    </xf>
    <xf numFmtId="179" fontId="16" fillId="0" borderId="0" applyAlignment="1" pivotButton="0" quotePrefix="0" xfId="0">
      <alignment horizontal="right"/>
    </xf>
    <xf numFmtId="0" fontId="18" fillId="5" borderId="11" applyAlignment="1" pivotButton="0" quotePrefix="0" xfId="0">
      <alignment horizontal="left"/>
    </xf>
    <xf numFmtId="0" fontId="0" fillId="5" borderId="11" pivotButton="0" quotePrefix="0" xfId="0"/>
    <xf numFmtId="177" fontId="18" fillId="5" borderId="11" applyAlignment="1" pivotButton="0" quotePrefix="0" xfId="0">
      <alignment horizontal="right"/>
    </xf>
    <xf numFmtId="178" fontId="18" fillId="5" borderId="11" applyAlignment="1" pivotButton="0" quotePrefix="0" xfId="0">
      <alignment horizontal="right"/>
    </xf>
    <xf numFmtId="0" fontId="18" fillId="9" borderId="11" applyAlignment="1" pivotButton="0" quotePrefix="0" xfId="0">
      <alignment horizontal="left"/>
    </xf>
    <xf numFmtId="0" fontId="18" fillId="9" borderId="11" pivotButton="0" quotePrefix="0" xfId="0"/>
    <xf numFmtId="177" fontId="18" fillId="9" borderId="11" applyAlignment="1" pivotButton="0" quotePrefix="0" xfId="0">
      <alignment horizontal="right"/>
    </xf>
    <xf numFmtId="178" fontId="18" fillId="9" borderId="11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173" fontId="5" fillId="3" borderId="9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5" fillId="3" borderId="9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6" fontId="5" fillId="3" borderId="9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4" fontId="5" fillId="3" borderId="9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5" fontId="4" fillId="0" borderId="5" applyAlignment="1" pivotButton="0" quotePrefix="0" xfId="0">
      <alignment horizontal="right" vertical="center"/>
    </xf>
    <xf numFmtId="174" fontId="7" fillId="5" borderId="10" applyAlignment="1" pivotButton="0" quotePrefix="0" xfId="0">
      <alignment horizontal="right" vertical="center"/>
    </xf>
    <xf numFmtId="175" fontId="7" fillId="5" borderId="10" applyAlignment="1" pivotButton="0" quotePrefix="0" xfId="0">
      <alignment horizontal="right" vertical="center"/>
    </xf>
    <xf numFmtId="165" fontId="11" fillId="0" borderId="7" pivotButton="0" quotePrefix="0" xfId="0"/>
    <xf numFmtId="169" fontId="5" fillId="3" borderId="1" applyAlignment="1" pivotButton="0" quotePrefix="0" xfId="0">
      <alignment horizontal="right" vertical="center"/>
    </xf>
    <xf numFmtId="168" fontId="4" fillId="0" borderId="5" applyAlignment="1" pivotButton="0" quotePrefix="0" xfId="0">
      <alignment horizontal="right" vertical="center"/>
    </xf>
    <xf numFmtId="168" fontId="8" fillId="0" borderId="10" applyAlignment="1" pivotButton="0" quotePrefix="0" xfId="0">
      <alignment horizontal="right" vertical="center"/>
    </xf>
    <xf numFmtId="168" fontId="8" fillId="0" borderId="0" applyAlignment="1" pivotButton="0" quotePrefix="0" xfId="0">
      <alignment horizontal="right" vertical="center"/>
    </xf>
    <xf numFmtId="174" fontId="4" fillId="0" borderId="0" applyAlignment="1" pivotButton="0" quotePrefix="0" xfId="0">
      <alignment horizontal="right" vertical="center"/>
    </xf>
    <xf numFmtId="169" fontId="4" fillId="0" borderId="5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168" fontId="5" fillId="3" borderId="9" applyAlignment="1" pivotButton="0" quotePrefix="0" xfId="0">
      <alignment horizontal="right" vertical="center"/>
    </xf>
    <xf numFmtId="174" fontId="4" fillId="0" borderId="10" applyAlignment="1" pivotButton="0" quotePrefix="0" xfId="0">
      <alignment horizontal="right" vertical="center"/>
    </xf>
    <xf numFmtId="169" fontId="4" fillId="0" borderId="7" applyAlignment="1" pivotButton="0" quotePrefix="0" xfId="0">
      <alignment horizontal="right" vertical="center"/>
    </xf>
    <xf numFmtId="174" fontId="9" fillId="0" borderId="0" applyAlignment="1" pivotButton="0" quotePrefix="0" xfId="0">
      <alignment horizontal="right" vertical="center"/>
    </xf>
    <xf numFmtId="174" fontId="9" fillId="0" borderId="5" applyAlignment="1" pivotButton="0" quotePrefix="0" xfId="0">
      <alignment horizontal="right" vertical="center"/>
    </xf>
    <xf numFmtId="174" fontId="9" fillId="0" borderId="10" applyAlignment="1" pivotButton="0" quotePrefix="0" xfId="0">
      <alignment horizontal="right" vertical="center"/>
    </xf>
    <xf numFmtId="174" fontId="9" fillId="0" borderId="7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4" fillId="0" borderId="5" applyAlignment="1" pivotButton="0" quotePrefix="0" xfId="0">
      <alignment horizontal="right" vertical="center"/>
    </xf>
    <xf numFmtId="3" fontId="12" fillId="7" borderId="1" applyAlignment="1" pivotButton="0" quotePrefix="0" xfId="0">
      <alignment horizontal="right" vertical="center"/>
    </xf>
    <xf numFmtId="164" fontId="8" fillId="0" borderId="10" applyAlignment="1" pivotButton="0" quotePrefix="0" xfId="0">
      <alignment horizontal="right" vertical="center"/>
    </xf>
    <xf numFmtId="164" fontId="10" fillId="0" borderId="9" applyAlignment="1" pivotButton="0" quotePrefix="0" xfId="0">
      <alignment horizontal="right" vertical="center"/>
    </xf>
    <xf numFmtId="164" fontId="4" fillId="0" borderId="7" applyAlignment="1" pivotButton="0" quotePrefix="0" xfId="0">
      <alignment horizontal="right" vertical="center"/>
    </xf>
    <xf numFmtId="164" fontId="9" fillId="0" borderId="5" applyAlignment="1" pivotButton="0" quotePrefix="0" xfId="0">
      <alignment horizontal="right" vertical="center"/>
    </xf>
    <xf numFmtId="164" fontId="9" fillId="0" borderId="7" applyAlignment="1" pivotButton="0" quotePrefix="0" xfId="0">
      <alignment horizontal="right" vertical="center"/>
    </xf>
    <xf numFmtId="174" fontId="7" fillId="5" borderId="0" applyAlignment="1" pivotButton="0" quotePrefix="0" xfId="0">
      <alignment horizontal="right" vertical="center"/>
    </xf>
    <xf numFmtId="174" fontId="4" fillId="0" borderId="5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74" fontId="0" fillId="0" borderId="0" pivotButton="0" quotePrefix="0" xfId="0"/>
    <xf numFmtId="174" fontId="0" fillId="0" borderId="5" pivotButton="0" quotePrefix="0" xfId="0"/>
    <xf numFmtId="174" fontId="7" fillId="0" borderId="0" applyAlignment="1" pivotButton="0" quotePrefix="0" xfId="0">
      <alignment horizontal="right" vertical="center"/>
    </xf>
    <xf numFmtId="174" fontId="7" fillId="0" borderId="5" applyAlignment="1" pivotButton="0" quotePrefix="0" xfId="0">
      <alignment horizontal="right" vertical="center"/>
    </xf>
    <xf numFmtId="168" fontId="7" fillId="0" borderId="5" applyAlignment="1" pivotButton="0" quotePrefix="0" xfId="0">
      <alignment horizontal="right" vertical="center"/>
    </xf>
    <xf numFmtId="168" fontId="4" fillId="0" borderId="7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68" fontId="9" fillId="0" borderId="1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7" fillId="5" borderId="5" applyAlignment="1" pivotButton="0" quotePrefix="0" xfId="0">
      <alignment horizontal="right" vertical="center"/>
    </xf>
    <xf numFmtId="170" fontId="7" fillId="0" borderId="5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8" fontId="7" fillId="0" borderId="7" applyAlignment="1" pivotButton="0" quotePrefix="0" xfId="0">
      <alignment horizontal="right" vertical="center"/>
    </xf>
    <xf numFmtId="168" fontId="9" fillId="5" borderId="0" applyAlignment="1" pivotButton="0" quotePrefix="0" xfId="0">
      <alignment horizontal="right" vertical="center"/>
    </xf>
    <xf numFmtId="168" fontId="4" fillId="0" borderId="10" applyAlignment="1" pivotButton="0" quotePrefix="0" xfId="0">
      <alignment horizontal="right" vertical="center"/>
    </xf>
    <xf numFmtId="165" fontId="7" fillId="0" borderId="7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8" fontId="7" fillId="5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168" fontId="7" fillId="5" borderId="10" applyAlignment="1" pivotButton="0" quotePrefix="0" xfId="0">
      <alignment horizontal="right" vertical="center"/>
    </xf>
    <xf numFmtId="171" fontId="8" fillId="0" borderId="0" applyAlignment="1" pivotButton="0" quotePrefix="0" xfId="0">
      <alignment horizontal="right" vertical="center"/>
    </xf>
    <xf numFmtId="167" fontId="4" fillId="0" borderId="10" applyAlignment="1" pivotButton="0" quotePrefix="0" xfId="0">
      <alignment horizontal="right" vertical="center"/>
    </xf>
    <xf numFmtId="168" fontId="9" fillId="5" borderId="10" applyAlignment="1" pivotButton="0" quotePrefix="0" xfId="0">
      <alignment horizontal="right" vertical="center"/>
    </xf>
    <xf numFmtId="168" fontId="7" fillId="0" borderId="10" applyAlignment="1" pivotButton="0" quotePrefix="0" xfId="0">
      <alignment horizontal="right" vertical="center"/>
    </xf>
    <xf numFmtId="167" fontId="9" fillId="0" borderId="0" applyAlignment="1" pivotButton="0" quotePrefix="0" xfId="0">
      <alignment horizontal="right" vertical="center"/>
    </xf>
    <xf numFmtId="167" fontId="9" fillId="0" borderId="10" applyAlignment="1" pivotButton="0" quotePrefix="0" xfId="0">
      <alignment horizontal="right" vertical="center"/>
    </xf>
    <xf numFmtId="172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166" fontId="9" fillId="0" borderId="10" applyAlignment="1" pivotButton="0" quotePrefix="0" xfId="0">
      <alignment horizontal="right" vertical="center"/>
    </xf>
    <xf numFmtId="171" fontId="16" fillId="0" borderId="0" applyAlignment="1" pivotButton="0" quotePrefix="0" xfId="0">
      <alignment horizontal="right"/>
    </xf>
    <xf numFmtId="177" fontId="12" fillId="0" borderId="0" applyAlignment="1" pivotButton="0" quotePrefix="0" xfId="0">
      <alignment horizontal="right"/>
    </xf>
    <xf numFmtId="178" fontId="12" fillId="0" borderId="0" applyAlignment="1" pivotButton="0" quotePrefix="0" xfId="0">
      <alignment horizontal="right"/>
    </xf>
    <xf numFmtId="178" fontId="12" fillId="10" borderId="0" applyAlignment="1" pivotButton="0" quotePrefix="0" xfId="0">
      <alignment horizontal="right"/>
    </xf>
    <xf numFmtId="177" fontId="18" fillId="5" borderId="11" applyAlignment="1" pivotButton="0" quotePrefix="0" xfId="0">
      <alignment horizontal="right"/>
    </xf>
    <xf numFmtId="178" fontId="18" fillId="5" borderId="11" applyAlignment="1" pivotButton="0" quotePrefix="0" xfId="0">
      <alignment horizontal="right"/>
    </xf>
    <xf numFmtId="177" fontId="18" fillId="9" borderId="11" applyAlignment="1" pivotButton="0" quotePrefix="0" xfId="0">
      <alignment horizontal="right"/>
    </xf>
    <xf numFmtId="178" fontId="18" fillId="9" borderId="11" applyAlignment="1" pivotButton="0" quotePrefix="0" xfId="0">
      <alignment horizontal="right"/>
    </xf>
    <xf numFmtId="171" fontId="12" fillId="0" borderId="0" applyAlignment="1" pivotButton="0" quotePrefix="0" xfId="0">
      <alignment horizontal="right"/>
    </xf>
    <xf numFmtId="3" fontId="19" fillId="3" borderId="1" applyAlignment="1" pivotButton="0" quotePrefix="0" xfId="0">
      <alignment horizontal="right" vertical="center"/>
    </xf>
    <xf numFmtId="3" fontId="19" fillId="3" borderId="0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180" fontId="16" fillId="0" borderId="0" applyAlignment="1" pivotButton="0" quotePrefix="0" xfId="0">
      <alignment horizontal="right"/>
    </xf>
    <xf numFmtId="164" fontId="12" fillId="0" borderId="1" applyAlignment="1" pivotButton="0" quotePrefix="0" xfId="0">
      <alignment horizontal="right" vertical="center"/>
    </xf>
    <xf numFmtId="164" fontId="12" fillId="3" borderId="1" applyAlignment="1" pivotButton="0" quotePrefix="0" xfId="0">
      <alignment horizontal="right" vertical="center"/>
    </xf>
    <xf numFmtId="164" fontId="12" fillId="0" borderId="9" applyAlignment="1" pivotButton="0" quotePrefix="0" xfId="0">
      <alignment horizontal="right" vertical="center"/>
    </xf>
    <xf numFmtId="3" fontId="12" fillId="0" borderId="0" applyAlignment="1" pivotButton="0" quotePrefix="0" xfId="0">
      <alignment horizontal="right"/>
    </xf>
    <xf numFmtId="0" fontId="15" fillId="2" borderId="2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172" fontId="12" fillId="0" borderId="0" applyAlignment="1" pivotButton="0" quotePrefix="0" xfId="0">
      <alignment horizontal="right"/>
    </xf>
    <xf numFmtId="0" fontId="18" fillId="0" borderId="5" applyAlignment="1" pivotButton="0" quotePrefix="0" xfId="0">
      <alignment horizontal="center"/>
    </xf>
    <xf numFmtId="0" fontId="12" fillId="0" borderId="6" applyAlignment="1" pivotButton="0" quotePrefix="0" xfId="0">
      <alignment horizontal="left"/>
    </xf>
    <xf numFmtId="3" fontId="12" fillId="0" borderId="10" applyAlignment="1" pivotButton="0" quotePrefix="0" xfId="0">
      <alignment horizontal="right"/>
    </xf>
    <xf numFmtId="0" fontId="18" fillId="0" borderId="7" applyAlignment="1" pivotButton="0" quotePrefix="0" xfId="0">
      <alignment horizontal="center"/>
    </xf>
    <xf numFmtId="179" fontId="12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left"/>
    </xf>
    <xf numFmtId="3" fontId="18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right"/>
    </xf>
    <xf numFmtId="0" fontId="21" fillId="0" borderId="5" applyAlignment="1" pivotButton="0" quotePrefix="0" xfId="0">
      <alignment horizontal="left"/>
    </xf>
    <xf numFmtId="3" fontId="19" fillId="3" borderId="1" applyAlignment="1" pivotButton="0" quotePrefix="0" xfId="0">
      <alignment horizontal="left"/>
    </xf>
    <xf numFmtId="3" fontId="20" fillId="0" borderId="0" applyAlignment="1" pivotButton="0" quotePrefix="0" xfId="0">
      <alignment horizontal="center"/>
    </xf>
    <xf numFmtId="0" fontId="21" fillId="0" borderId="7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3" fontId="19" fillId="3" borderId="0" applyAlignment="1" pivotButton="0" quotePrefix="0" xfId="0">
      <alignment horizontal="left"/>
    </xf>
    <xf numFmtId="0" fontId="15" fillId="2" borderId="0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center"/>
    </xf>
    <xf numFmtId="165" fontId="16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left"/>
    </xf>
    <xf numFmtId="0" fontId="19" fillId="3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0" fontId="17" fillId="8" borderId="0" applyAlignment="1" pivotButton="0" quotePrefix="0" xfId="0">
      <alignment horizontal="left"/>
    </xf>
    <xf numFmtId="0" fontId="17" fillId="8" borderId="0" applyAlignment="1" pivotButton="0" quotePrefix="0" xfId="0">
      <alignment horizontal="center"/>
    </xf>
    <xf numFmtId="10" fontId="19" fillId="3" borderId="0" applyAlignment="1" pivotButton="0" quotePrefix="0" xfId="0">
      <alignment horizontal="center"/>
    </xf>
    <xf numFmtId="10" fontId="16" fillId="0" borderId="0" applyAlignment="1" pivotButton="0" quotePrefix="0" xfId="0">
      <alignment horizontal="center"/>
    </xf>
    <xf numFmtId="165" fontId="19" fillId="3" borderId="0" applyAlignment="1" pivotButton="0" quotePrefix="0" xfId="0">
      <alignment horizontal="center"/>
    </xf>
    <xf numFmtId="165" fontId="16" fillId="0" borderId="0" applyAlignment="1" pivotButton="0" quotePrefix="0" xfId="0">
      <alignment horizontal="center"/>
    </xf>
    <xf numFmtId="3" fontId="19" fillId="3" borderId="0" applyAlignment="1" pivotButton="0" quotePrefix="0" xfId="0">
      <alignment horizontal="center"/>
    </xf>
    <xf numFmtId="0" fontId="21" fillId="0" borderId="0" pivotButton="0" quotePrefix="0" xfId="0"/>
    <xf numFmtId="0" fontId="15" fillId="2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181" fontId="12" fillId="0" borderId="0" applyAlignment="1" pivotButton="0" quotePrefix="0" xfId="0">
      <alignment horizontal="right"/>
    </xf>
    <xf numFmtId="0" fontId="18" fillId="0" borderId="11" applyAlignment="1" pivotButton="0" quotePrefix="0" xfId="0">
      <alignment horizontal="left"/>
    </xf>
    <xf numFmtId="181" fontId="18" fillId="0" borderId="11" applyAlignment="1" pivotButton="0" quotePrefix="0" xfId="0">
      <alignment horizontal="right"/>
    </xf>
    <xf numFmtId="3" fontId="17" fillId="8" borderId="0" applyAlignment="1" pivotButton="0" quotePrefix="0" xfId="0">
      <alignment horizontal="right"/>
    </xf>
    <xf numFmtId="165" fontId="12" fillId="0" borderId="0" applyAlignment="1" pivotButton="0" quotePrefix="0" xfId="0">
      <alignment horizontal="right"/>
    </xf>
    <xf numFmtId="181" fontId="18" fillId="0" borderId="0" applyAlignment="1" pivotButton="0" quotePrefix="0" xfId="0">
      <alignment horizontal="right"/>
    </xf>
    <xf numFmtId="10" fontId="16" fillId="0" borderId="1" applyAlignment="1" pivotButton="0" quotePrefix="0" xfId="0">
      <alignment horizontal="right" vertical="center"/>
    </xf>
    <xf numFmtId="3" fontId="16" fillId="0" borderId="1" applyAlignment="1" pivotButton="0" quotePrefix="0" xfId="0">
      <alignment horizontal="right" vertical="center"/>
    </xf>
    <xf numFmtId="165" fontId="16" fillId="0" borderId="9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/>
    </xf>
    <xf numFmtId="0" fontId="0" fillId="0" borderId="12" pivotButton="0" quotePrefix="0" xfId="0"/>
    <xf numFmtId="0" fontId="13" fillId="0" borderId="12" pivotButton="0" quotePrefix="0" xfId="0"/>
    <xf numFmtId="49" fontId="21" fillId="0" borderId="12" applyAlignment="1" pivotButton="0" quotePrefix="0" xfId="0">
      <alignment horizontal="left" vertical="center"/>
    </xf>
    <xf numFmtId="0" fontId="15" fillId="0" borderId="12" applyAlignment="1" pivotButton="0" quotePrefix="0" xfId="0">
      <alignment horizontal="left"/>
    </xf>
    <xf numFmtId="0" fontId="3" fillId="0" borderId="12" applyAlignment="1" pivotButton="0" quotePrefix="0" xfId="0">
      <alignment horizontal="left" vertical="center"/>
    </xf>
    <xf numFmtId="0" fontId="15" fillId="0" borderId="12" applyAlignment="1" pivotButton="0" quotePrefix="0" xfId="0">
      <alignment horizontal="right"/>
    </xf>
    <xf numFmtId="0" fontId="4" fillId="0" borderId="12" applyAlignment="1" pivotButton="0" quotePrefix="0" xfId="0">
      <alignment horizontal="left" vertical="center"/>
    </xf>
    <xf numFmtId="3" fontId="8" fillId="0" borderId="12" applyAlignment="1" pivotButton="0" quotePrefix="0" xfId="0">
      <alignment horizontal="right" vertical="center"/>
    </xf>
    <xf numFmtId="10" fontId="9" fillId="0" borderId="12" applyAlignment="1" pivotButton="0" quotePrefix="0" xfId="0">
      <alignment horizontal="right" vertical="center"/>
    </xf>
    <xf numFmtId="0" fontId="15" fillId="2" borderId="12" applyAlignment="1" pivotButton="0" quotePrefix="0" xfId="0">
      <alignment horizontal="left"/>
    </xf>
    <xf numFmtId="3" fontId="8" fillId="2" borderId="12" applyAlignment="1" pivotButton="0" quotePrefix="0" xfId="0">
      <alignment horizontal="right" vertical="center"/>
    </xf>
    <xf numFmtId="10" fontId="9" fillId="2" borderId="12" applyAlignment="1" pivotButton="0" quotePrefix="0" xfId="0">
      <alignment horizontal="right" vertical="center"/>
    </xf>
    <xf numFmtId="0" fontId="12" fillId="0" borderId="12" applyAlignment="1" pivotButton="0" quotePrefix="0" xfId="0">
      <alignment horizontal="left"/>
    </xf>
    <xf numFmtId="10" fontId="16" fillId="0" borderId="12" applyAlignment="1" pivotButton="0" quotePrefix="0" xfId="0">
      <alignment horizontal="right"/>
    </xf>
    <xf numFmtId="181" fontId="16" fillId="0" borderId="12" applyAlignment="1" pivotButton="0" quotePrefix="0" xfId="0">
      <alignment horizontal="right"/>
    </xf>
    <xf numFmtId="0" fontId="18" fillId="0" borderId="12" applyAlignment="1" pivotButton="0" quotePrefix="0" xfId="0">
      <alignment horizontal="left"/>
    </xf>
    <xf numFmtId="172" fontId="18" fillId="0" borderId="12" applyAlignment="1" pivotButton="0" quotePrefix="0" xfId="0">
      <alignment horizontal="right"/>
    </xf>
    <xf numFmtId="0" fontId="0" fillId="2" borderId="12" pivotButton="0" quotePrefix="0" xfId="0"/>
    <xf numFmtId="10" fontId="8" fillId="0" borderId="12" applyAlignment="1" pivotButton="0" quotePrefix="0" xfId="0">
      <alignment horizontal="right" vertical="center"/>
    </xf>
    <xf numFmtId="181" fontId="18" fillId="0" borderId="12" applyAlignment="1" pivotButton="0" quotePrefix="0" xfId="0">
      <alignment horizontal="right"/>
    </xf>
    <xf numFmtId="10" fontId="8" fillId="2" borderId="12" applyAlignment="1" pivotButton="0" quotePrefix="0" xfId="0">
      <alignment horizontal="right" vertical="center"/>
    </xf>
    <xf numFmtId="10" fontId="18" fillId="0" borderId="12" applyAlignment="1" pivotButton="0" quotePrefix="0" xfId="0">
      <alignment horizontal="right"/>
    </xf>
    <xf numFmtId="168" fontId="8" fillId="0" borderId="12" applyAlignment="1" pivotButton="0" quotePrefix="0" xfId="0">
      <alignment horizontal="right" vertical="center"/>
    </xf>
    <xf numFmtId="168" fontId="8" fillId="2" borderId="12" applyAlignment="1" pivotButton="0" quotePrefix="0" xfId="0">
      <alignment horizontal="right" vertical="center"/>
    </xf>
    <xf numFmtId="167" fontId="16" fillId="0" borderId="12" applyAlignment="1" pivotButton="0" quotePrefix="0" xfId="0">
      <alignment horizontal="right"/>
    </xf>
    <xf numFmtId="49" fontId="18" fillId="0" borderId="12" applyAlignment="1" pivotButton="0" quotePrefix="0" xfId="0">
      <alignment horizontal="right"/>
    </xf>
    <xf numFmtId="49" fontId="16" fillId="0" borderId="12" applyAlignment="1" pivotButton="0" quotePrefix="0" xfId="0">
      <alignment horizontal="right"/>
    </xf>
    <xf numFmtId="167" fontId="8" fillId="0" borderId="12" applyAlignment="1" pivotButton="0" quotePrefix="0" xfId="0">
      <alignment horizontal="right" vertical="center"/>
    </xf>
    <xf numFmtId="0" fontId="7" fillId="0" borderId="12" applyAlignment="1" pivotButton="0" quotePrefix="0" xfId="0">
      <alignment horizontal="left" vertical="center"/>
    </xf>
    <xf numFmtId="3" fontId="9" fillId="0" borderId="12" applyAlignment="1" pivotButton="0" quotePrefix="0" xfId="0">
      <alignment horizontal="right" vertical="center"/>
    </xf>
    <xf numFmtId="49" fontId="9" fillId="0" borderId="12" applyAlignment="1" pivotButton="0" quotePrefix="0" xfId="0">
      <alignment horizontal="right" vertical="center"/>
    </xf>
    <xf numFmtId="10" fontId="19" fillId="3" borderId="1" applyAlignment="1" pivotButton="0" quotePrefix="0" xfId="0">
      <alignment horizontal="right"/>
    </xf>
    <xf numFmtId="3" fontId="19" fillId="3" borderId="1" applyAlignment="1" pivotButton="0" quotePrefix="0" xfId="0">
      <alignment horizontal="right"/>
    </xf>
    <xf numFmtId="10" fontId="19" fillId="3" borderId="9" applyAlignment="1" pivotButton="0" quotePrefix="0" xfId="0">
      <alignment horizontal="right"/>
    </xf>
    <xf numFmtId="0" fontId="19" fillId="3" borderId="0" applyAlignment="1" pivotButton="0" quotePrefix="0" xfId="0">
      <alignment horizontal="left"/>
    </xf>
    <xf numFmtId="178" fontId="0" fillId="0" borderId="0" pivotButton="0" quotePrefix="0" xfId="0"/>
    <xf numFmtId="182" fontId="16" fillId="0" borderId="12" applyAlignment="1" pivotButton="0" quotePrefix="0" xfId="0">
      <alignment horizontal="right"/>
    </xf>
    <xf numFmtId="0" fontId="23" fillId="2" borderId="0" pivotButton="0" quotePrefix="0" xfId="0"/>
    <xf numFmtId="0" fontId="24" fillId="11" borderId="0" applyAlignment="1" pivotButton="0" quotePrefix="0" xfId="0">
      <alignment horizontal="left"/>
    </xf>
    <xf numFmtId="0" fontId="0" fillId="11" borderId="0" pivotButton="0" quotePrefix="0" xfId="0"/>
    <xf numFmtId="10" fontId="25" fillId="11" borderId="0" applyAlignment="1" pivotButton="0" quotePrefix="0" xfId="0">
      <alignment horizontal="left"/>
    </xf>
    <xf numFmtId="167" fontId="25" fillId="11" borderId="0" applyAlignment="1" pivotButton="0" quotePrefix="0" xfId="0">
      <alignment horizontal="left"/>
    </xf>
    <xf numFmtId="172" fontId="25" fillId="11" borderId="0" applyAlignment="1" pivotButton="0" quotePrefix="0" xfId="0">
      <alignment horizontal="left"/>
    </xf>
    <xf numFmtId="182" fontId="25" fillId="11" borderId="0" applyAlignment="1" pivotButton="0" quotePrefix="0" xfId="0">
      <alignment horizontal="left"/>
    </xf>
    <xf numFmtId="49" fontId="25" fillId="11" borderId="0" applyAlignment="1" pivotButton="0" quotePrefix="0" xfId="0">
      <alignment horizontal="left"/>
    </xf>
    <xf numFmtId="0" fontId="26" fillId="2" borderId="0" applyAlignment="1" pivotButton="0" quotePrefix="0" xfId="0">
      <alignment horizontal="left"/>
    </xf>
    <xf numFmtId="49" fontId="19" fillId="3" borderId="0" applyAlignment="1" pivotButton="0" quotePrefix="0" xfId="0">
      <alignment horizontal="left"/>
    </xf>
    <xf numFmtId="10" fontId="19" fillId="3" borderId="0" applyAlignment="1" pivotButton="0" quotePrefix="0" xfId="0">
      <alignment horizontal="right"/>
    </xf>
    <xf numFmtId="166" fontId="19" fillId="3" borderId="0" applyAlignment="1" pivotButton="0" quotePrefix="0" xfId="0">
      <alignment horizontal="right"/>
    </xf>
    <xf numFmtId="4" fontId="19" fillId="3" borderId="0" applyAlignment="1" pivotButton="0" quotePrefix="0" xfId="0">
      <alignment horizontal="right"/>
    </xf>
    <xf numFmtId="164" fontId="19" fillId="3" borderId="0" applyAlignment="1" pivotButton="0" quotePrefix="0" xfId="0">
      <alignment horizontal="right"/>
    </xf>
    <xf numFmtId="4" fontId="16" fillId="0" borderId="0" applyAlignment="1" pivotButton="0" quotePrefix="0" xfId="0">
      <alignment horizontal="right"/>
    </xf>
    <xf numFmtId="182" fontId="16" fillId="0" borderId="0" applyAlignment="1" pivotButton="0" quotePrefix="0" xfId="0">
      <alignment horizontal="right"/>
    </xf>
    <xf numFmtId="165" fontId="19" fillId="3" borderId="0" applyAlignment="1" pivotButton="0" quotePrefix="0" xfId="0">
      <alignment horizontal="right"/>
    </xf>
    <xf numFmtId="3" fontId="27" fillId="0" borderId="0" applyAlignment="1" pivotButton="0" quotePrefix="0" xfId="0">
      <alignment horizontal="center"/>
    </xf>
    <xf numFmtId="173" fontId="19" fillId="3" borderId="0" applyAlignment="1" pivotButton="0" quotePrefix="0" xfId="0">
      <alignment horizontal="left"/>
    </xf>
    <xf numFmtId="167" fontId="19" fillId="3" borderId="0" applyAlignment="1" pivotButton="0" quotePrefix="0" xfId="0">
      <alignment horizontal="right"/>
    </xf>
    <xf numFmtId="0" fontId="28" fillId="0" borderId="0" applyAlignment="1" pivotButton="0" quotePrefix="0" xfId="0">
      <alignment horizontal="center"/>
    </xf>
    <xf numFmtId="166" fontId="19" fillId="3" borderId="0" applyAlignment="1" pivotButton="0" quotePrefix="0" xfId="0">
      <alignment horizontal="left"/>
    </xf>
    <xf numFmtId="173" fontId="16" fillId="0" borderId="0" applyAlignment="1" pivotButton="0" quotePrefix="0" xfId="0">
      <alignment horizontal="right"/>
    </xf>
    <xf numFmtId="182" fontId="19" fillId="3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6" fillId="2" borderId="0" pivotButton="0" quotePrefix="0" xfId="0"/>
    <xf numFmtId="183" fontId="12" fillId="0" borderId="0" applyAlignment="1" pivotButton="0" quotePrefix="0" xfId="0">
      <alignment horizontal="right"/>
    </xf>
    <xf numFmtId="183" fontId="18" fillId="0" borderId="11" applyAlignment="1" pivotButton="0" quotePrefix="0" xfId="0">
      <alignment horizontal="right"/>
    </xf>
    <xf numFmtId="165" fontId="18" fillId="0" borderId="0" applyAlignment="1" pivotButton="0" quotePrefix="0" xfId="0">
      <alignment horizontal="right"/>
    </xf>
    <xf numFmtId="0" fontId="30" fillId="0" borderId="0" pivotButton="0" quotePrefix="0" xfId="0"/>
    <xf numFmtId="17" fontId="12" fillId="0" borderId="0" applyAlignment="1" pivotButton="0" quotePrefix="0" xfId="0">
      <alignment horizontal="right"/>
    </xf>
    <xf numFmtId="183" fontId="18" fillId="0" borderId="0" applyAlignment="1" pivotButton="0" quotePrefix="0" xfId="0">
      <alignment horizontal="right"/>
    </xf>
    <xf numFmtId="10" fontId="25" fillId="0" borderId="0" applyAlignment="1" pivotButton="0" quotePrefix="0" xfId="0">
      <alignment horizontal="right"/>
    </xf>
    <xf numFmtId="167" fontId="25" fillId="0" borderId="0" applyAlignment="1" pivotButton="0" quotePrefix="0" xfId="0">
      <alignment horizontal="right"/>
    </xf>
    <xf numFmtId="183" fontId="18" fillId="5" borderId="0" applyAlignment="1" pivotButton="0" quotePrefix="0" xfId="0">
      <alignment horizontal="right"/>
    </xf>
    <xf numFmtId="0" fontId="21" fillId="0" borderId="0" applyAlignment="1" pivotButton="0" quotePrefix="0" xfId="0">
      <alignment horizontal="right"/>
    </xf>
    <xf numFmtId="0" fontId="21" fillId="0" borderId="12" applyAlignment="1" pivotButton="0" quotePrefix="0" xfId="0">
      <alignment horizontal="left"/>
    </xf>
    <xf numFmtId="49" fontId="19" fillId="3" borderId="12" applyAlignment="1" pivotButton="0" quotePrefix="0" xfId="0">
      <alignment horizontal="center"/>
    </xf>
    <xf numFmtId="183" fontId="19" fillId="3" borderId="12" applyAlignment="1" pivotButton="0" quotePrefix="0" xfId="0">
      <alignment horizontal="right"/>
    </xf>
    <xf numFmtId="49" fontId="19" fillId="3" borderId="12" applyAlignment="1" pivotButton="0" quotePrefix="0" xfId="0">
      <alignment horizontal="left"/>
    </xf>
    <xf numFmtId="1" fontId="19" fillId="3" borderId="12" applyAlignment="1" pivotButton="0" quotePrefix="0" xfId="0">
      <alignment horizontal="right"/>
    </xf>
    <xf numFmtId="183" fontId="12" fillId="0" borderId="12" applyAlignment="1" pivotButton="0" quotePrefix="0" xfId="0">
      <alignment horizontal="right"/>
    </xf>
    <xf numFmtId="165" fontId="12" fillId="0" borderId="12" applyAlignment="1" pivotButton="0" quotePrefix="0" xfId="0">
      <alignment horizontal="right"/>
    </xf>
    <xf numFmtId="0" fontId="19" fillId="3" borderId="12" applyAlignment="1" pivotButton="0" quotePrefix="0" xfId="0">
      <alignment horizontal="center"/>
    </xf>
    <xf numFmtId="0" fontId="19" fillId="3" borderId="12" applyAlignment="1" pivotButton="0" quotePrefix="0" xfId="0">
      <alignment horizontal="left"/>
    </xf>
    <xf numFmtId="183" fontId="19" fillId="3" borderId="0" applyAlignment="1" pivotButton="0" quotePrefix="0" xfId="0">
      <alignment horizontal="right"/>
    </xf>
    <xf numFmtId="1" fontId="19" fillId="3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183" fontId="16" fillId="0" borderId="0" applyAlignment="1" pivotButton="0" quotePrefix="0" xfId="0">
      <alignment horizontal="right"/>
    </xf>
    <xf numFmtId="183" fontId="12" fillId="5" borderId="0" applyAlignment="1" pivotButton="0" quotePrefix="0" xfId="0">
      <alignment horizontal="right"/>
    </xf>
    <xf numFmtId="183" fontId="12" fillId="0" borderId="5" applyAlignment="1" pivotButton="0" quotePrefix="0" xfId="0">
      <alignment horizontal="right"/>
    </xf>
    <xf numFmtId="183" fontId="12" fillId="0" borderId="10" applyAlignment="1" pivotButton="0" quotePrefix="0" xfId="0">
      <alignment horizontal="right"/>
    </xf>
    <xf numFmtId="183" fontId="12" fillId="0" borderId="7" applyAlignment="1" pivotButton="0" quotePrefix="0" xfId="0">
      <alignment horizontal="right"/>
    </xf>
    <xf numFmtId="0" fontId="12" fillId="2" borderId="2" applyAlignment="1" pivotButton="0" quotePrefix="0" xfId="0">
      <alignment horizontal="left"/>
    </xf>
    <xf numFmtId="183" fontId="12" fillId="2" borderId="3" applyAlignment="1" pivotButton="0" quotePrefix="0" xfId="0">
      <alignment horizontal="right"/>
    </xf>
    <xf numFmtId="0" fontId="26" fillId="0" borderId="0" applyAlignment="1" pivotButton="0" quotePrefix="0" xfId="0">
      <alignment horizontal="left"/>
    </xf>
    <xf numFmtId="176" fontId="19" fillId="3" borderId="0" applyAlignment="1" pivotButton="0" quotePrefix="0" xfId="0">
      <alignment horizontal="right"/>
    </xf>
    <xf numFmtId="10" fontId="16" fillId="3" borderId="0" applyAlignment="1" pivotButton="0" quotePrefix="0" xfId="0">
      <alignment horizontal="right"/>
    </xf>
    <xf numFmtId="0" fontId="17" fillId="8" borderId="2" applyAlignment="1" pivotButton="0" quotePrefix="0" xfId="0">
      <alignment horizontal="left"/>
    </xf>
    <xf numFmtId="0" fontId="17" fillId="8" borderId="8" applyAlignment="1" pivotButton="0" quotePrefix="0" xfId="0">
      <alignment horizontal="right"/>
    </xf>
    <xf numFmtId="3" fontId="17" fillId="8" borderId="8" applyAlignment="1" pivotButton="0" quotePrefix="0" xfId="0">
      <alignment horizontal="right"/>
    </xf>
    <xf numFmtId="3" fontId="17" fillId="8" borderId="3" applyAlignment="1" pivotButton="0" quotePrefix="0" xfId="0">
      <alignment horizontal="right"/>
    </xf>
    <xf numFmtId="0" fontId="29" fillId="0" borderId="0" pivotButton="0" quotePrefix="0" xfId="0"/>
    <xf numFmtId="0" fontId="12" fillId="0" borderId="4" pivotButton="0" quotePrefix="0" xfId="0"/>
    <xf numFmtId="183" fontId="0" fillId="0" borderId="0" pivotButton="0" quotePrefix="0" xfId="0"/>
    <xf numFmtId="3" fontId="19" fillId="0" borderId="0" applyAlignment="1" pivotButton="0" quotePrefix="0" xfId="0">
      <alignment horizontal="right"/>
    </xf>
    <xf numFmtId="3" fontId="10" fillId="0" borderId="1" applyAlignment="1" pivotButton="0" quotePrefix="0" xfId="0">
      <alignment horizontal="right"/>
    </xf>
    <xf numFmtId="3" fontId="4" fillId="0" borderId="5" applyAlignment="1" pivotButton="0" quotePrefix="0" xfId="0">
      <alignment horizontal="right"/>
    </xf>
    <xf numFmtId="3" fontId="31" fillId="0" borderId="1" applyAlignment="1" pivotButton="0" quotePrefix="0" xfId="0">
      <alignment horizontal="right"/>
    </xf>
    <xf numFmtId="3" fontId="16" fillId="3" borderId="1" applyAlignment="1" pivotButton="0" quotePrefix="0" xfId="0">
      <alignment horizontal="right"/>
    </xf>
    <xf numFmtId="3" fontId="12" fillId="3" borderId="1" applyAlignment="1" pivotButton="0" quotePrefix="0" xfId="0">
      <alignment horizontal="right"/>
    </xf>
    <xf numFmtId="0" fontId="32" fillId="0" borderId="0" pivotButton="0" quotePrefix="0" xfId="0"/>
    <xf numFmtId="3" fontId="31" fillId="7" borderId="1" applyAlignment="1" pivotButton="0" quotePrefix="0" xfId="0">
      <alignment horizontal="right"/>
    </xf>
    <xf numFmtId="0" fontId="26" fillId="2" borderId="0" applyAlignment="1" pivotButton="0" quotePrefix="0" xfId="0">
      <alignment horizontal="right"/>
    </xf>
    <xf numFmtId="181" fontId="16" fillId="0" borderId="0" applyAlignment="1" pivotButton="0" quotePrefix="0" xfId="0">
      <alignment horizontal="right"/>
    </xf>
    <xf numFmtId="167" fontId="16" fillId="0" borderId="0" applyAlignment="1" pivotButton="0" quotePrefix="0" xfId="0">
      <alignment horizontal="right"/>
    </xf>
    <xf numFmtId="165" fontId="18" fillId="0" borderId="11" applyAlignment="1" pivotButton="0" quotePrefix="0" xfId="0">
      <alignment horizontal="right"/>
    </xf>
    <xf numFmtId="3" fontId="26" fillId="2" borderId="0" applyAlignment="1" pivotButton="0" quotePrefix="0" xfId="0">
      <alignment horizontal="right"/>
    </xf>
    <xf numFmtId="181" fontId="21" fillId="0" borderId="0" applyAlignment="1" pivotButton="0" quotePrefix="0" xfId="0">
      <alignment horizontal="right"/>
    </xf>
    <xf numFmtId="10" fontId="19" fillId="0" borderId="0" applyAlignment="1" pivotButton="0" quotePrefix="0" xfId="0">
      <alignment horizontal="right"/>
    </xf>
    <xf numFmtId="3" fontId="12" fillId="0" borderId="12" applyAlignment="1" pivotButton="0" quotePrefix="0" xfId="0">
      <alignment horizontal="right"/>
    </xf>
    <xf numFmtId="3" fontId="19" fillId="3" borderId="12" applyAlignment="1" pivotButton="0" quotePrefix="0" xfId="0">
      <alignment horizontal="right"/>
    </xf>
    <xf numFmtId="3" fontId="31" fillId="0" borderId="12" applyAlignment="1" pivotButton="0" quotePrefix="0" xfId="0">
      <alignment horizontal="right"/>
    </xf>
    <xf numFmtId="3" fontId="16" fillId="0" borderId="12" applyAlignment="1" pivotButton="0" quotePrefix="0" xfId="0">
      <alignment horizontal="right"/>
    </xf>
    <xf numFmtId="0" fontId="32" fillId="0" borderId="12" applyAlignment="1" pivotButton="0" quotePrefix="0" xfId="0">
      <alignment horizontal="left"/>
    </xf>
    <xf numFmtId="164" fontId="5" fillId="0" borderId="12" applyAlignment="1" pivotButton="0" quotePrefix="0" xfId="0">
      <alignment horizontal="right" vertical="center"/>
    </xf>
    <xf numFmtId="164" fontId="12" fillId="0" borderId="12" applyAlignment="1" pivotButton="0" quotePrefix="0" xfId="0">
      <alignment horizontal="right" vertical="center"/>
    </xf>
    <xf numFmtId="164" fontId="4" fillId="0" borderId="12" applyAlignment="1" pivotButton="0" quotePrefix="0" xfId="0">
      <alignment horizontal="right" vertical="center"/>
    </xf>
    <xf numFmtId="164" fontId="8" fillId="0" borderId="12" applyAlignment="1" pivotButton="0" quotePrefix="0" xfId="0">
      <alignment horizontal="right" vertical="center"/>
    </xf>
    <xf numFmtId="179" fontId="25" fillId="11" borderId="0" applyAlignment="1" pivotButton="0" quotePrefix="0" xfId="0">
      <alignment horizontal="right"/>
    </xf>
    <xf numFmtId="184" fontId="25" fillId="11" borderId="0" applyAlignment="1" pivotButton="0" quotePrefix="0" xfId="0">
      <alignment horizontal="left"/>
    </xf>
    <xf numFmtId="0" fontId="15" fillId="0" borderId="0" applyAlignment="1" pivotButton="0" quotePrefix="0" xfId="0">
      <alignment horizontal="left"/>
    </xf>
  </cellXfs>
  <cellStyles count="1">
    <cellStyle name="Normal" xfId="0" builtinId="0"/>
  </cellStyles>
  <dxfs count="11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F2CC"/>
        </patternFill>
      </fill>
    </dxf>
    <dxf>
      <fill>
        <patternFill patternType="solid">
          <fgColor rgb="FF375623"/>
        </patternFill>
      </fill>
    </dxf>
    <dxf>
      <fill>
        <patternFill patternType="solid">
          <fgColor rgb="FFC00000"/>
        </patternFill>
      </fill>
    </dxf>
    <dxf>
      <font>
        <b val="1"/>
        <color rgb="FF9C0006"/>
      </font>
      <fill>
        <patternFill patternType="solid">
          <fgColor rgb="FFFFC7CE"/>
        </patternFill>
      </fill>
    </dxf>
    <dxf>
      <font>
        <b val="1"/>
        <color rgb="FF006100"/>
      </font>
    </dxf>
    <dxf>
      <font>
        <b val="1"/>
        <color rgb="FF006100"/>
      </font>
      <fill>
        <patternFill patternType="solid">
          <fgColor rgb="FFC6EFCE"/>
        </patternFill>
      </fill>
    </dxf>
    <dxf>
      <font>
        <b val="1"/>
        <color rgb="FF9C6500"/>
      </font>
      <fill>
        <patternFill patternType="solid">
          <fgColor rgb="FFFFEB9C"/>
        </patternFill>
      </fill>
    </dxf>
    <dxf>
      <font>
        <color rgb="FF808080"/>
      </font>
    </dxf>
    <dxf>
      <font>
        <name val="Calibri"/>
        <b val="1"/>
        <color rgb="FF9C6500"/>
        <sz val="9"/>
      </font>
      <fill>
        <patternFill patternType="solid">
          <fgColor rgb="FF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A1:F36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3" customWidth="1" style="97" min="1" max="1"/>
    <col width="30" customWidth="1" style="97" min="2" max="2"/>
    <col width="16" customWidth="1" style="97" min="3" max="3"/>
    <col width="3" customWidth="1" style="97" min="4" max="4"/>
    <col width="30" customWidth="1" style="97" min="5" max="5"/>
    <col width="16" customWidth="1" style="97" min="6" max="6"/>
    <col width="3" customWidth="1" style="97" min="7" max="7"/>
  </cols>
  <sheetData>
    <row r="1" ht="21" customHeight="1" s="97">
      <c r="A1" s="339" t="n"/>
      <c r="B1" s="340">
        <f>"Multifamily Development Model  —  "&amp;PropertyName</f>
        <v/>
      </c>
      <c r="C1" s="339" t="n"/>
      <c r="D1" s="339" t="n"/>
      <c r="E1" s="339" t="n"/>
      <c r="F1" s="339" t="n"/>
    </row>
    <row r="2">
      <c r="A2" s="339" t="n"/>
      <c r="B2" s="341">
        <f>City&amp;", "&amp;State&amp;"   •   "&amp;TotalUnits&amp;" units   •   "&amp;TEXT(NRSF,"#,##0")&amp;" NRSF"</f>
        <v/>
      </c>
      <c r="C2" s="339" t="n"/>
      <c r="D2" s="339" t="n"/>
      <c r="E2" s="339" t="n"/>
      <c r="F2" s="339" t="n"/>
    </row>
    <row r="3">
      <c r="A3" s="339" t="n"/>
      <c r="B3" s="339" t="n"/>
      <c r="C3" s="339" t="n"/>
      <c r="D3" s="339" t="n"/>
      <c r="E3" s="339" t="n"/>
      <c r="F3" s="339" t="n"/>
    </row>
    <row r="4">
      <c r="A4" s="339" t="n"/>
      <c r="B4" s="342">
        <f>IF(ErrorsFound=0,"✔  ALL CHECKS PASS — model is clean","⚠  "&amp;ErrorsFound&amp;"  ERROR(S) FOUND — REVIEW DIAGNOSTICS")</f>
        <v/>
      </c>
      <c r="C4" s="339" t="n"/>
      <c r="D4" s="339" t="n"/>
      <c r="E4" s="343" t="n"/>
      <c r="F4" s="344">
        <f>"Warnings: "&amp;WarningsFound</f>
        <v/>
      </c>
    </row>
    <row r="5">
      <c r="A5" s="339" t="n"/>
      <c r="B5" s="345" t="n"/>
      <c r="C5" s="346" t="n"/>
      <c r="D5" s="339" t="n"/>
      <c r="E5" s="345" t="n"/>
      <c r="F5" s="347" t="n"/>
    </row>
    <row r="6">
      <c r="A6" s="339" t="n"/>
      <c r="B6" s="348" t="inlineStr">
        <is>
          <t>Development Return (untrended)</t>
        </is>
      </c>
      <c r="C6" s="349" t="n"/>
      <c r="D6" s="339" t="n"/>
      <c r="E6" s="348" t="inlineStr">
        <is>
          <t>Cost &amp; Basis</t>
        </is>
      </c>
      <c r="F6" s="350" t="n"/>
    </row>
    <row r="7">
      <c r="A7" s="339" t="n"/>
      <c r="B7" s="351" t="inlineStr">
        <is>
          <t>Yield on Cost (untrended)</t>
        </is>
      </c>
      <c r="C7" s="352">
        <f>YieldOnCost</f>
        <v/>
      </c>
      <c r="D7" s="339" t="n"/>
      <c r="E7" s="351" t="inlineStr">
        <is>
          <t>Total Development Cost</t>
        </is>
      </c>
      <c r="F7" s="353">
        <f>TDC_Total</f>
        <v/>
      </c>
    </row>
    <row r="8">
      <c r="A8" s="339" t="n"/>
      <c r="B8" s="351" t="inlineStr">
        <is>
          <t>Exit Cap Rate</t>
        </is>
      </c>
      <c r="C8" s="352">
        <f>ExitCapResidential</f>
        <v/>
      </c>
      <c r="D8" s="339" t="n"/>
      <c r="E8" s="351" t="inlineStr">
        <is>
          <t>TDC / Unit</t>
        </is>
      </c>
      <c r="F8" s="353">
        <f>TDCperUnit</f>
        <v/>
      </c>
    </row>
    <row r="9">
      <c r="A9" s="339" t="n"/>
      <c r="B9" s="354" t="inlineStr">
        <is>
          <t>Development Spread</t>
        </is>
      </c>
      <c r="C9" s="355">
        <f>DevSpreadBps</f>
        <v/>
      </c>
      <c r="D9" s="339" t="n"/>
      <c r="E9" s="351" t="inlineStr">
        <is>
          <t>TDC / NRSF</t>
        </is>
      </c>
      <c r="F9" s="353">
        <f>TDCperSF</f>
        <v/>
      </c>
    </row>
    <row r="10">
      <c r="A10" s="339" t="n"/>
      <c r="B10" s="351" t="inlineStr">
        <is>
          <t>Return on Cost (stabilized)</t>
        </is>
      </c>
      <c r="C10" s="352">
        <f>ROCstab</f>
        <v/>
      </c>
      <c r="D10" s="339" t="n"/>
      <c r="E10" s="351" t="inlineStr">
        <is>
          <t>Exit Value</t>
        </is>
      </c>
      <c r="F10" s="353">
        <f>ExitValue</f>
        <v/>
      </c>
    </row>
    <row r="11">
      <c r="A11" s="339" t="n"/>
      <c r="B11" s="351" t="inlineStr">
        <is>
          <t>Debt Yield (stab, active loan)</t>
        </is>
      </c>
      <c r="C11" s="352">
        <f>DebtYieldStab</f>
        <v/>
      </c>
      <c r="D11" s="339" t="n"/>
      <c r="E11" s="351" t="inlineStr">
        <is>
          <t>Exit Basis / Unit</t>
        </is>
      </c>
      <c r="F11" s="353">
        <f>BasisPerUnitExit</f>
        <v/>
      </c>
    </row>
    <row r="12">
      <c r="A12" s="339" t="n"/>
      <c r="B12" s="339" t="n"/>
      <c r="C12" s="339" t="n"/>
      <c r="D12" s="339" t="n"/>
      <c r="E12" s="351" t="inlineStr">
        <is>
          <t>Static Value (untrended)</t>
        </is>
      </c>
      <c r="F12" s="375">
        <f>StaticValue</f>
        <v/>
      </c>
    </row>
    <row r="13">
      <c r="A13" s="339" t="n"/>
      <c r="B13" s="348" t="inlineStr">
        <is>
          <t>Trended Performance (with growth)</t>
        </is>
      </c>
      <c r="C13" s="356" t="n"/>
      <c r="D13" s="339" t="n"/>
      <c r="E13" s="348" t="inlineStr">
        <is>
          <t>Sources &amp; Uses</t>
        </is>
      </c>
      <c r="F13" s="356" t="n"/>
    </row>
    <row r="14">
      <c r="A14" s="339" t="n"/>
      <c r="B14" s="351" t="inlineStr">
        <is>
          <t>Stabilized NOI (trended)</t>
        </is>
      </c>
      <c r="C14" s="353">
        <f>StabNOI</f>
        <v/>
      </c>
      <c r="D14" s="339" t="n"/>
      <c r="E14" s="351" t="inlineStr">
        <is>
          <t>Construction Loan</t>
        </is>
      </c>
      <c r="F14" s="353">
        <f>ConLoanTotal</f>
        <v/>
      </c>
    </row>
    <row r="15">
      <c r="A15" s="339" t="n"/>
      <c r="B15" s="351" t="n"/>
      <c r="C15" s="353" t="n"/>
      <c r="D15" s="339" t="n"/>
      <c r="E15" s="351" t="inlineStr">
        <is>
          <t>Equity</t>
        </is>
      </c>
      <c r="F15" s="353">
        <f>EquityTotal</f>
        <v/>
      </c>
    </row>
    <row r="16">
      <c r="A16" s="339" t="n"/>
      <c r="B16" s="348" t="inlineStr">
        <is>
          <t>Returns</t>
        </is>
      </c>
      <c r="C16" s="359" t="n"/>
      <c r="D16" s="339" t="n"/>
      <c r="E16" s="354" t="inlineStr">
        <is>
          <t>Total Sources</t>
        </is>
      </c>
      <c r="F16" s="358">
        <f>ConLoanTotal+EquityTotal</f>
        <v/>
      </c>
    </row>
    <row r="17">
      <c r="A17" s="339" t="n"/>
      <c r="B17" s="354" t="inlineStr">
        <is>
          <t>Levered IRR (net)</t>
        </is>
      </c>
      <c r="C17" s="360">
        <f>LevIRR</f>
        <v/>
      </c>
      <c r="D17" s="339" t="n"/>
      <c r="E17" s="354" t="inlineStr">
        <is>
          <t>Total Uses (TDC)</t>
        </is>
      </c>
      <c r="F17" s="358">
        <f>TDC_Total</f>
        <v/>
      </c>
    </row>
    <row r="18">
      <c r="A18" s="339" t="n"/>
      <c r="B18" s="351" t="inlineStr">
        <is>
          <t>Levered IRR (gross)</t>
        </is>
      </c>
      <c r="C18" s="352">
        <f>LevIRRgross</f>
        <v/>
      </c>
      <c r="D18" s="339" t="n"/>
      <c r="E18" s="351" t="inlineStr">
        <is>
          <t>Sources − Uses (check)</t>
        </is>
      </c>
      <c r="F18" s="353">
        <f>ConLoanTotal+EquityTotal-TDC_Total</f>
        <v/>
      </c>
    </row>
    <row r="19">
      <c r="A19" s="339" t="n"/>
      <c r="B19" s="351" t="inlineStr">
        <is>
          <t>Unlevered IRR (net)</t>
        </is>
      </c>
      <c r="C19" s="352">
        <f>UnlevIRR</f>
        <v/>
      </c>
      <c r="D19" s="339" t="n"/>
      <c r="E19" s="345" t="n"/>
      <c r="F19" s="361" t="n"/>
    </row>
    <row r="20">
      <c r="A20" s="339" t="n"/>
      <c r="B20" s="351" t="inlineStr">
        <is>
          <t>Levered MOIC (net)</t>
        </is>
      </c>
      <c r="C20" s="363">
        <f>LevMOIC</f>
        <v/>
      </c>
      <c r="D20" s="339" t="n"/>
      <c r="E20" s="348" t="inlineStr">
        <is>
          <t>Loan Sizing (binding constraint)</t>
        </is>
      </c>
      <c r="F20" s="362" t="n"/>
    </row>
    <row r="21">
      <c r="A21" s="339" t="n"/>
      <c r="B21" s="351" t="inlineStr">
        <is>
          <t>Unlevered MOIC (net)</t>
        </is>
      </c>
      <c r="C21" s="363">
        <f>UnlevMOIC</f>
        <v/>
      </c>
      <c r="D21" s="339" t="n"/>
      <c r="E21" s="354" t="inlineStr">
        <is>
          <t>Refi or Sell</t>
        </is>
      </c>
      <c r="F21" s="364">
        <f>IF(RefiFlag=1,"Refinance then hold","Sell during construction")</f>
        <v/>
      </c>
    </row>
    <row r="22">
      <c r="A22" s="339" t="n"/>
      <c r="B22" s="351" t="inlineStr">
        <is>
          <t>Static Unlevered IRR (no-growth)</t>
        </is>
      </c>
      <c r="C22" s="352">
        <f>StaticUnlevIRR</f>
        <v/>
      </c>
      <c r="D22" s="339" t="n"/>
      <c r="E22" s="351" t="inlineStr">
        <is>
          <t>Construction Loan — binding</t>
        </is>
      </c>
      <c r="F22" s="365">
        <f>ConBinding</f>
        <v/>
      </c>
    </row>
    <row r="23">
      <c r="A23" s="339" t="n"/>
      <c r="B23" s="339" t="n"/>
      <c r="C23" s="339" t="n"/>
      <c r="D23" s="339" t="n"/>
      <c r="E23" s="351" t="inlineStr">
        <is>
          <t>Con Debt Yield / DSCR</t>
        </is>
      </c>
      <c r="F23" s="365">
        <f>ConDYtest&amp;" / "&amp;ConDSCRtest</f>
        <v/>
      </c>
    </row>
    <row r="24">
      <c r="A24" s="339" t="n"/>
      <c r="B24" s="348" t="inlineStr">
        <is>
          <t>Timeline (months)</t>
        </is>
      </c>
      <c r="C24" s="356" t="n"/>
      <c r="D24" s="339" t="n"/>
      <c r="E24" s="351" t="inlineStr">
        <is>
          <t>Permanent Loan — binding</t>
        </is>
      </c>
      <c r="F24" s="365">
        <f>PermBinding</f>
        <v/>
      </c>
    </row>
    <row r="25">
      <c r="A25" s="339" t="n"/>
      <c r="B25" s="351" t="inlineStr">
        <is>
          <t>Construction Start → Maturity</t>
        </is>
      </c>
      <c r="C25" s="365">
        <f>ConStart&amp;"  →  "&amp;ConMaturity</f>
        <v/>
      </c>
      <c r="D25" s="339" t="n"/>
      <c r="E25" s="351" t="inlineStr">
        <is>
          <t>Perm LTV / DSCR</t>
        </is>
      </c>
      <c r="F25" s="365">
        <f>PermLTVtest&amp;" / "&amp;PermDSCRtest</f>
        <v/>
      </c>
    </row>
    <row r="26">
      <c r="A26" s="339" t="n"/>
      <c r="B26" s="351" t="inlineStr">
        <is>
          <t>1st Delivery → Stabilization</t>
        </is>
      </c>
      <c r="C26" s="365">
        <f>DeliverStart&amp;"  →  "&amp;StabMonth</f>
        <v/>
      </c>
      <c r="D26" s="339" t="n"/>
      <c r="E26" s="345" t="n"/>
      <c r="F26" s="361" t="n"/>
    </row>
    <row r="27">
      <c r="A27" s="339" t="n"/>
      <c r="B27" s="351" t="inlineStr">
        <is>
          <t>Refi / Disposition</t>
        </is>
      </c>
      <c r="C27" s="365">
        <f>IF(RefiFlag=1,RefiMonth,0)&amp;"  /  "&amp;DispoMonth</f>
        <v/>
      </c>
      <c r="D27" s="339" t="n"/>
      <c r="E27" s="348" t="inlineStr">
        <is>
          <t>Validation</t>
        </is>
      </c>
      <c r="F27" s="356" t="n"/>
    </row>
    <row r="28">
      <c r="A28" s="339" t="n"/>
      <c r="B28" s="351" t="n"/>
      <c r="C28" s="365" t="n"/>
      <c r="D28" s="339" t="n"/>
      <c r="E28" s="351" t="inlineStr">
        <is>
          <t>Errors / Warnings / Sanity flags</t>
        </is>
      </c>
      <c r="F28" s="365">
        <f>ErrorsFound&amp;" / "&amp;WarningsFound&amp;" / "&amp;SanityFlags</f>
        <v/>
      </c>
    </row>
    <row r="29">
      <c r="A29" s="339" t="n"/>
      <c r="B29" s="345" t="n"/>
      <c r="C29" s="366" t="n"/>
      <c r="D29" s="339" t="n"/>
      <c r="E29" s="339" t="n"/>
      <c r="F29" s="339" t="n"/>
    </row>
    <row r="30">
      <c r="A30" s="339" t="n"/>
      <c r="B30" s="345" t="n"/>
      <c r="C30" s="361" t="n"/>
      <c r="D30" s="339" t="n"/>
      <c r="E30" s="339" t="n"/>
      <c r="F30" s="339" t="n"/>
    </row>
    <row r="31">
      <c r="A31" s="339" t="n"/>
      <c r="B31" s="345" t="n"/>
      <c r="C31" s="357" t="n"/>
      <c r="D31" s="339" t="n"/>
      <c r="E31" s="339" t="n"/>
      <c r="F31" s="339" t="n"/>
    </row>
    <row r="32">
      <c r="A32" s="339" t="n"/>
      <c r="B32" s="345" t="n"/>
      <c r="C32" s="366" t="n"/>
      <c r="D32" s="339" t="n"/>
      <c r="E32" s="339" t="n"/>
      <c r="F32" s="339" t="n"/>
    </row>
    <row r="33">
      <c r="A33" s="339" t="n"/>
      <c r="B33" s="345" t="n"/>
      <c r="C33" s="361" t="n"/>
      <c r="D33" s="339" t="n"/>
      <c r="E33" s="339" t="n"/>
      <c r="F33" s="339" t="n"/>
    </row>
    <row r="34">
      <c r="A34" s="339" t="n"/>
      <c r="B34" s="339" t="n"/>
      <c r="C34" s="339" t="n"/>
      <c r="D34" s="339" t="n"/>
      <c r="E34" s="343" t="n"/>
      <c r="F34" s="339" t="n"/>
    </row>
    <row r="35">
      <c r="A35" s="339" t="n"/>
      <c r="B35" s="339" t="n"/>
      <c r="C35" s="339" t="n"/>
      <c r="D35" s="339" t="n"/>
      <c r="E35" s="367" t="n"/>
      <c r="F35" s="368" t="n"/>
    </row>
    <row r="36">
      <c r="A36" s="339" t="n"/>
      <c r="B36" s="339" t="n"/>
      <c r="C36" s="339" t="n"/>
      <c r="D36" s="339" t="n"/>
      <c r="E36" s="367" t="n"/>
      <c r="F36" s="369" t="n"/>
    </row>
  </sheetData>
  <conditionalFormatting sqref="B4">
    <cfRule type="expression" priority="1" dxfId="3">
      <formula>ErrorsFound=0</formula>
    </cfRule>
    <cfRule type="expression" priority="2" dxfId="4">
      <formula>ErrorsFound&gt;0</formula>
    </cfRule>
  </conditionalFormatting>
  <conditionalFormatting sqref="C4">
    <cfRule type="expression" priority="3" dxfId="3">
      <formula>ErrorsFound=0</formula>
    </cfRule>
    <cfRule type="expression" priority="4" dxfId="4">
      <formula>ErrorsFound&gt;0</formula>
    </cfRule>
  </conditionalFormatting>
  <conditionalFormatting sqref="D4">
    <cfRule type="expression" priority="5" dxfId="3">
      <formula>ErrorsFound=0</formula>
    </cfRule>
    <cfRule type="expression" priority="6" dxfId="4">
      <formula>ErrorsFound&gt;0</formula>
    </cfRule>
  </conditionalFormatting>
  <conditionalFormatting sqref="E4">
    <cfRule type="expression" priority="7" dxfId="3">
      <formula>ErrorsFound=0</formula>
    </cfRule>
    <cfRule type="expression" priority="8" dxfId="4">
      <formula>ErrorsFound&gt;0</formula>
    </cfRule>
  </conditionalFormatting>
  <conditionalFormatting sqref="F4">
    <cfRule type="expression" priority="9" dxfId="3">
      <formula>ErrorsFound=0</formula>
    </cfRule>
    <cfRule type="expression" priority="10" dxfId="4">
      <formula>ErrorsFound&gt;0</formula>
    </cfRule>
  </conditionalFormatting>
  <conditionalFormatting sqref="C9">
    <cfRule type="cellIs" priority="11" operator="lessThan" dxfId="5">
      <formula>0</formula>
    </cfRule>
    <cfRule type="cellIs" priority="12" operator="greaterThanOrEqual" dxfId="6">
      <formula>0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B1:AG37"/>
  <sheetViews>
    <sheetView showGridLines="0" workbookViewId="0">
      <pane xSplit="2" ySplit="22" topLeftCell="C2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7" customWidth="1" style="97" min="1" max="1"/>
    <col width="34" customWidth="1" style="97" min="2" max="2"/>
    <col width="12" customWidth="1" style="97" min="3" max="3"/>
    <col width="12" customWidth="1" style="97" min="4" max="4"/>
    <col width="12" customWidth="1" style="97" min="5" max="5"/>
    <col width="12" customWidth="1" style="97" min="6" max="6"/>
    <col width="12" customWidth="1" style="97" min="7" max="7"/>
    <col width="12" customWidth="1" style="97" min="8" max="8"/>
    <col width="12" customWidth="1" style="97" min="9" max="9"/>
    <col width="12" customWidth="1" style="97" min="10" max="10"/>
    <col width="12" customWidth="1" style="97" min="11" max="11"/>
    <col width="12" customWidth="1" style="97" min="12" max="12"/>
    <col width="12" customWidth="1" style="97" min="13" max="13"/>
    <col width="12" customWidth="1" style="97" min="14" max="14"/>
    <col width="12" customWidth="1" style="97" min="15" max="15"/>
    <col width="12" customWidth="1" style="97" min="16" max="16"/>
    <col width="12" customWidth="1" style="97" min="17" max="17"/>
    <col width="12" customWidth="1" style="97" min="18" max="18"/>
    <col width="12" customWidth="1" style="97" min="19" max="19"/>
    <col width="12" customWidth="1" style="97" min="20" max="20"/>
    <col width="12" customWidth="1" style="97" min="21" max="21"/>
    <col width="12" customWidth="1" style="97" min="22" max="22"/>
    <col width="12" customWidth="1" style="97" min="23" max="23"/>
    <col width="12" customWidth="1" style="97" min="24" max="24"/>
    <col width="12" customWidth="1" style="97" min="25" max="25"/>
    <col width="12" customWidth="1" style="97" min="26" max="26"/>
    <col width="12" customWidth="1" style="97" min="27" max="27"/>
    <col width="12" customWidth="1" style="97" min="28" max="28"/>
    <col width="12" customWidth="1" style="97" min="29" max="29"/>
    <col width="12" customWidth="1" style="97" min="30" max="30"/>
    <col width="12" customWidth="1" style="97" min="31" max="31"/>
    <col width="12" customWidth="1" style="97" min="32" max="32"/>
    <col width="12" customWidth="1" style="97" min="33" max="33"/>
  </cols>
  <sheetData>
    <row r="1">
      <c r="B1" s="187" t="inlineStr">
        <is>
          <t>Annual Summary</t>
        </is>
      </c>
    </row>
    <row r="2">
      <c r="B2" s="326">
        <f>"Hold: "&amp;HoldPeriodMonths&amp;" months   •   Disposition month "&amp;DispoMonth</f>
        <v/>
      </c>
    </row>
    <row r="4">
      <c r="B4" s="327" t="inlineStr">
        <is>
          <t>Sources &amp; Uses</t>
        </is>
      </c>
      <c r="C4" s="155" t="n"/>
      <c r="D4" s="155" t="n"/>
    </row>
    <row r="5">
      <c r="B5" s="328" t="inlineStr">
        <is>
          <t>Uses</t>
        </is>
      </c>
    </row>
    <row r="6">
      <c r="B6" s="316" t="inlineStr">
        <is>
          <t xml:space="preserve">  Land</t>
        </is>
      </c>
      <c r="C6" s="329">
        <f>BudgetLand</f>
        <v/>
      </c>
    </row>
    <row r="7">
      <c r="B7" s="316" t="inlineStr">
        <is>
          <t xml:space="preserve">  Hard Costs</t>
        </is>
      </c>
      <c r="C7" s="329">
        <f>BudgetHard</f>
        <v/>
      </c>
    </row>
    <row r="8">
      <c r="B8" s="316" t="inlineStr">
        <is>
          <t xml:space="preserve">  Soft Costs</t>
        </is>
      </c>
      <c r="C8" s="329">
        <f>BudgetSoft</f>
        <v/>
      </c>
    </row>
    <row r="9">
      <c r="B9" s="316" t="inlineStr">
        <is>
          <t xml:space="preserve">  Development Fee</t>
        </is>
      </c>
      <c r="C9" s="329">
        <f>DevFee</f>
        <v/>
      </c>
    </row>
    <row r="10">
      <c r="B10" s="316" t="inlineStr">
        <is>
          <t xml:space="preserve">  Loan Costs (points, recourse, other)</t>
        </is>
      </c>
      <c r="C10" s="329">
        <f>ConPoints+RecourseFee+ConOtherCosts</f>
        <v/>
      </c>
    </row>
    <row r="11">
      <c r="B11" s="316" t="inlineStr">
        <is>
          <t xml:space="preserve">  Interest Reserve</t>
        </is>
      </c>
      <c r="C11" s="329">
        <f>InterestReserveFunded</f>
        <v/>
      </c>
    </row>
    <row r="12">
      <c r="B12" s="316" t="inlineStr">
        <is>
          <t xml:space="preserve">  Operating Reserve</t>
        </is>
      </c>
      <c r="C12" s="329">
        <f>OpReserve</f>
        <v/>
      </c>
    </row>
    <row r="13">
      <c r="B13" s="330" t="inlineStr">
        <is>
          <t xml:space="preserve">  Total Uses (TDC)</t>
        </is>
      </c>
      <c r="C13" s="331">
        <f>TDC_Total</f>
        <v/>
      </c>
    </row>
    <row r="14">
      <c r="B14" s="328" t="inlineStr">
        <is>
          <t>Sources</t>
        </is>
      </c>
    </row>
    <row r="15">
      <c r="B15" s="316" t="inlineStr">
        <is>
          <t xml:space="preserve">  Construction Loan</t>
        </is>
      </c>
      <c r="C15" s="329">
        <f>ConLoanTotal</f>
        <v/>
      </c>
    </row>
    <row r="16">
      <c r="B16" s="316" t="inlineStr">
        <is>
          <t xml:space="preserve">  Equity</t>
        </is>
      </c>
      <c r="C16" s="329">
        <f>EquityTotal</f>
        <v/>
      </c>
    </row>
    <row r="17">
      <c r="B17" s="316" t="inlineStr">
        <is>
          <t xml:space="preserve">  Refi Cash-Out (memo)</t>
        </is>
      </c>
      <c r="C17" s="329">
        <f>RefiCashOut</f>
        <v/>
      </c>
    </row>
    <row r="18">
      <c r="B18" s="330" t="inlineStr">
        <is>
          <t xml:space="preserve">  Total Sources</t>
        </is>
      </c>
      <c r="C18" s="331">
        <f>ConLoanTotal+EquityTotal</f>
        <v/>
      </c>
    </row>
    <row r="19">
      <c r="B19" s="330" t="inlineStr">
        <is>
          <t xml:space="preserve">  Sources − Uses (check = 0)</t>
        </is>
      </c>
      <c r="C19" s="331">
        <f>ConLoanTotal+EquityTotal-TDC_Total</f>
        <v/>
      </c>
    </row>
    <row r="21">
      <c r="B21" s="327" t="inlineStr">
        <is>
          <t>Annual Cash Flow (Year 1 … 31)</t>
        </is>
      </c>
    </row>
    <row r="22">
      <c r="B22" s="319" t="inlineStr">
        <is>
          <t>Year →</t>
        </is>
      </c>
      <c r="C22" s="332" t="n">
        <v>1</v>
      </c>
      <c r="D22" s="332" t="n">
        <v>2</v>
      </c>
      <c r="E22" s="332" t="n">
        <v>3</v>
      </c>
      <c r="F22" s="332" t="n">
        <v>4</v>
      </c>
      <c r="G22" s="332" t="n">
        <v>5</v>
      </c>
      <c r="H22" s="332" t="n">
        <v>6</v>
      </c>
      <c r="I22" s="332" t="n">
        <v>7</v>
      </c>
      <c r="J22" s="332" t="n">
        <v>8</v>
      </c>
      <c r="K22" s="332" t="n">
        <v>9</v>
      </c>
      <c r="L22" s="332" t="n">
        <v>10</v>
      </c>
      <c r="M22" s="332" t="n">
        <v>11</v>
      </c>
      <c r="N22" s="332" t="n">
        <v>12</v>
      </c>
      <c r="O22" s="332" t="n">
        <v>13</v>
      </c>
      <c r="P22" s="332" t="n">
        <v>14</v>
      </c>
      <c r="Q22" s="332" t="n">
        <v>15</v>
      </c>
      <c r="R22" s="332" t="n">
        <v>16</v>
      </c>
      <c r="S22" s="332" t="n">
        <v>17</v>
      </c>
      <c r="T22" s="332" t="n">
        <v>18</v>
      </c>
      <c r="U22" s="332" t="n">
        <v>19</v>
      </c>
      <c r="V22" s="332" t="n">
        <v>20</v>
      </c>
      <c r="W22" s="332" t="n">
        <v>21</v>
      </c>
      <c r="X22" s="332" t="n">
        <v>22</v>
      </c>
      <c r="Y22" s="332" t="n">
        <v>23</v>
      </c>
      <c r="Z22" s="332" t="n">
        <v>24</v>
      </c>
      <c r="AA22" s="332" t="n">
        <v>25</v>
      </c>
      <c r="AB22" s="332" t="n">
        <v>26</v>
      </c>
      <c r="AC22" s="332" t="n">
        <v>27</v>
      </c>
      <c r="AD22" s="332" t="n">
        <v>28</v>
      </c>
      <c r="AE22" s="332" t="n">
        <v>29</v>
      </c>
      <c r="AF22" s="332" t="n">
        <v>30</v>
      </c>
      <c r="AG22" s="332" t="n">
        <v>31</v>
      </c>
    </row>
    <row r="23">
      <c r="B23" s="316" t="inlineStr">
        <is>
          <t>Development Cost (cash, ex-interest)</t>
        </is>
      </c>
      <c r="C23" s="329">
        <f>SUM(INDEX(ConLoan!$E$26:$NL$26,((C$22-1)*12+1)):INDEX(ConLoan!$E$26:$NL$26,((C$22-1)*12+1)+11))</f>
        <v/>
      </c>
      <c r="D23" s="329">
        <f>SUM(INDEX(ConLoan!$E$26:$NL$26,((D$22-1)*12+1)):INDEX(ConLoan!$E$26:$NL$26,((D$22-1)*12+1)+11))</f>
        <v/>
      </c>
      <c r="E23" s="329">
        <f>SUM(INDEX(ConLoan!$E$26:$NL$26,((E$22-1)*12+1)):INDEX(ConLoan!$E$26:$NL$26,((E$22-1)*12+1)+11))</f>
        <v/>
      </c>
      <c r="F23" s="329">
        <f>SUM(INDEX(ConLoan!$E$26:$NL$26,((F$22-1)*12+1)):INDEX(ConLoan!$E$26:$NL$26,((F$22-1)*12+1)+11))</f>
        <v/>
      </c>
      <c r="G23" s="329">
        <f>SUM(INDEX(ConLoan!$E$26:$NL$26,((G$22-1)*12+1)):INDEX(ConLoan!$E$26:$NL$26,((G$22-1)*12+1)+11))</f>
        <v/>
      </c>
      <c r="H23" s="329">
        <f>SUM(INDEX(ConLoan!$E$26:$NL$26,((H$22-1)*12+1)):INDEX(ConLoan!$E$26:$NL$26,((H$22-1)*12+1)+11))</f>
        <v/>
      </c>
      <c r="I23" s="329">
        <f>SUM(INDEX(ConLoan!$E$26:$NL$26,((I$22-1)*12+1)):INDEX(ConLoan!$E$26:$NL$26,((I$22-1)*12+1)+11))</f>
        <v/>
      </c>
      <c r="J23" s="329">
        <f>SUM(INDEX(ConLoan!$E$26:$NL$26,((J$22-1)*12+1)):INDEX(ConLoan!$E$26:$NL$26,((J$22-1)*12+1)+11))</f>
        <v/>
      </c>
      <c r="K23" s="329">
        <f>SUM(INDEX(ConLoan!$E$26:$NL$26,((K$22-1)*12+1)):INDEX(ConLoan!$E$26:$NL$26,((K$22-1)*12+1)+11))</f>
        <v/>
      </c>
      <c r="L23" s="329">
        <f>SUM(INDEX(ConLoan!$E$26:$NL$26,((L$22-1)*12+1)):INDEX(ConLoan!$E$26:$NL$26,((L$22-1)*12+1)+11))</f>
        <v/>
      </c>
      <c r="M23" s="329">
        <f>SUM(INDEX(ConLoan!$E$26:$NL$26,((M$22-1)*12+1)):INDEX(ConLoan!$E$26:$NL$26,((M$22-1)*12+1)+11))</f>
        <v/>
      </c>
      <c r="N23" s="329">
        <f>SUM(INDEX(ConLoan!$E$26:$NL$26,((N$22-1)*12+1)):INDEX(ConLoan!$E$26:$NL$26,((N$22-1)*12+1)+11))</f>
        <v/>
      </c>
      <c r="O23" s="329">
        <f>SUM(INDEX(ConLoan!$E$26:$NL$26,((O$22-1)*12+1)):INDEX(ConLoan!$E$26:$NL$26,((O$22-1)*12+1)+11))</f>
        <v/>
      </c>
      <c r="P23" s="329">
        <f>SUM(INDEX(ConLoan!$E$26:$NL$26,((P$22-1)*12+1)):INDEX(ConLoan!$E$26:$NL$26,((P$22-1)*12+1)+11))</f>
        <v/>
      </c>
      <c r="Q23" s="329">
        <f>SUM(INDEX(ConLoan!$E$26:$NL$26,((Q$22-1)*12+1)):INDEX(ConLoan!$E$26:$NL$26,((Q$22-1)*12+1)+11))</f>
        <v/>
      </c>
      <c r="R23" s="329">
        <f>SUM(INDEX(ConLoan!$E$26:$NL$26,((R$22-1)*12+1)):INDEX(ConLoan!$E$26:$NL$26,((R$22-1)*12+1)+11))</f>
        <v/>
      </c>
      <c r="S23" s="329">
        <f>SUM(INDEX(ConLoan!$E$26:$NL$26,((S$22-1)*12+1)):INDEX(ConLoan!$E$26:$NL$26,((S$22-1)*12+1)+11))</f>
        <v/>
      </c>
      <c r="T23" s="329">
        <f>SUM(INDEX(ConLoan!$E$26:$NL$26,((T$22-1)*12+1)):INDEX(ConLoan!$E$26:$NL$26,((T$22-1)*12+1)+11))</f>
        <v/>
      </c>
      <c r="U23" s="329">
        <f>SUM(INDEX(ConLoan!$E$26:$NL$26,((U$22-1)*12+1)):INDEX(ConLoan!$E$26:$NL$26,((U$22-1)*12+1)+11))</f>
        <v/>
      </c>
      <c r="V23" s="329">
        <f>SUM(INDEX(ConLoan!$E$26:$NL$26,((V$22-1)*12+1)):INDEX(ConLoan!$E$26:$NL$26,((V$22-1)*12+1)+11))</f>
        <v/>
      </c>
      <c r="W23" s="329">
        <f>SUM(INDEX(ConLoan!$E$26:$NL$26,((W$22-1)*12+1)):INDEX(ConLoan!$E$26:$NL$26,((W$22-1)*12+1)+11))</f>
        <v/>
      </c>
      <c r="X23" s="329">
        <f>SUM(INDEX(ConLoan!$E$26:$NL$26,((X$22-1)*12+1)):INDEX(ConLoan!$E$26:$NL$26,((X$22-1)*12+1)+11))</f>
        <v/>
      </c>
      <c r="Y23" s="329">
        <f>SUM(INDEX(ConLoan!$E$26:$NL$26,((Y$22-1)*12+1)):INDEX(ConLoan!$E$26:$NL$26,((Y$22-1)*12+1)+11))</f>
        <v/>
      </c>
      <c r="Z23" s="329">
        <f>SUM(INDEX(ConLoan!$E$26:$NL$26,((Z$22-1)*12+1)):INDEX(ConLoan!$E$26:$NL$26,((Z$22-1)*12+1)+11))</f>
        <v/>
      </c>
      <c r="AA23" s="329">
        <f>SUM(INDEX(ConLoan!$E$26:$NL$26,((AA$22-1)*12+1)):INDEX(ConLoan!$E$26:$NL$26,((AA$22-1)*12+1)+11))</f>
        <v/>
      </c>
      <c r="AB23" s="329">
        <f>SUM(INDEX(ConLoan!$E$26:$NL$26,((AB$22-1)*12+1)):INDEX(ConLoan!$E$26:$NL$26,((AB$22-1)*12+1)+11))</f>
        <v/>
      </c>
      <c r="AC23" s="329">
        <f>SUM(INDEX(ConLoan!$E$26:$NL$26,((AC$22-1)*12+1)):INDEX(ConLoan!$E$26:$NL$26,((AC$22-1)*12+1)+11))</f>
        <v/>
      </c>
      <c r="AD23" s="329">
        <f>SUM(INDEX(ConLoan!$E$26:$NL$26,((AD$22-1)*12+1)):INDEX(ConLoan!$E$26:$NL$26,((AD$22-1)*12+1)+11))</f>
        <v/>
      </c>
      <c r="AE23" s="329">
        <f>SUM(INDEX(ConLoan!$E$26:$NL$26,((AE$22-1)*12+1)):INDEX(ConLoan!$E$26:$NL$26,((AE$22-1)*12+1)+11))</f>
        <v/>
      </c>
      <c r="AF23" s="329">
        <f>SUM(INDEX(ConLoan!$E$26:$NL$26,((AF$22-1)*12+1)):INDEX(ConLoan!$E$26:$NL$26,((AF$22-1)*12+1)+11))</f>
        <v/>
      </c>
      <c r="AG23" s="329">
        <f>SUM(INDEX(ConLoan!$E$26:$NL$26,((AG$22-1)*12+1)):INDEX(ConLoan!$E$26:$NL$26,((AG$22-1)*12+1)+11))</f>
        <v/>
      </c>
    </row>
    <row r="24">
      <c r="B24" s="316" t="inlineStr">
        <is>
          <t>Construction Debt Draw</t>
        </is>
      </c>
      <c r="C24" s="329">
        <f>SUM(INDEX(ConLoan!$E$29:$NL$29,((C$22-1)*12+1)):INDEX(ConLoan!$E$29:$NL$29,((C$22-1)*12+1)+11))</f>
        <v/>
      </c>
      <c r="D24" s="329">
        <f>SUM(INDEX(ConLoan!$E$29:$NL$29,((D$22-1)*12+1)):INDEX(ConLoan!$E$29:$NL$29,((D$22-1)*12+1)+11))</f>
        <v/>
      </c>
      <c r="E24" s="329">
        <f>SUM(INDEX(ConLoan!$E$29:$NL$29,((E$22-1)*12+1)):INDEX(ConLoan!$E$29:$NL$29,((E$22-1)*12+1)+11))</f>
        <v/>
      </c>
      <c r="F24" s="329">
        <f>SUM(INDEX(ConLoan!$E$29:$NL$29,((F$22-1)*12+1)):INDEX(ConLoan!$E$29:$NL$29,((F$22-1)*12+1)+11))</f>
        <v/>
      </c>
      <c r="G24" s="329">
        <f>SUM(INDEX(ConLoan!$E$29:$NL$29,((G$22-1)*12+1)):INDEX(ConLoan!$E$29:$NL$29,((G$22-1)*12+1)+11))</f>
        <v/>
      </c>
      <c r="H24" s="329">
        <f>SUM(INDEX(ConLoan!$E$29:$NL$29,((H$22-1)*12+1)):INDEX(ConLoan!$E$29:$NL$29,((H$22-1)*12+1)+11))</f>
        <v/>
      </c>
      <c r="I24" s="329">
        <f>SUM(INDEX(ConLoan!$E$29:$NL$29,((I$22-1)*12+1)):INDEX(ConLoan!$E$29:$NL$29,((I$22-1)*12+1)+11))</f>
        <v/>
      </c>
      <c r="J24" s="329">
        <f>SUM(INDEX(ConLoan!$E$29:$NL$29,((J$22-1)*12+1)):INDEX(ConLoan!$E$29:$NL$29,((J$22-1)*12+1)+11))</f>
        <v/>
      </c>
      <c r="K24" s="329">
        <f>SUM(INDEX(ConLoan!$E$29:$NL$29,((K$22-1)*12+1)):INDEX(ConLoan!$E$29:$NL$29,((K$22-1)*12+1)+11))</f>
        <v/>
      </c>
      <c r="L24" s="329">
        <f>SUM(INDEX(ConLoan!$E$29:$NL$29,((L$22-1)*12+1)):INDEX(ConLoan!$E$29:$NL$29,((L$22-1)*12+1)+11))</f>
        <v/>
      </c>
      <c r="M24" s="329">
        <f>SUM(INDEX(ConLoan!$E$29:$NL$29,((M$22-1)*12+1)):INDEX(ConLoan!$E$29:$NL$29,((M$22-1)*12+1)+11))</f>
        <v/>
      </c>
      <c r="N24" s="329">
        <f>SUM(INDEX(ConLoan!$E$29:$NL$29,((N$22-1)*12+1)):INDEX(ConLoan!$E$29:$NL$29,((N$22-1)*12+1)+11))</f>
        <v/>
      </c>
      <c r="O24" s="329">
        <f>SUM(INDEX(ConLoan!$E$29:$NL$29,((O$22-1)*12+1)):INDEX(ConLoan!$E$29:$NL$29,((O$22-1)*12+1)+11))</f>
        <v/>
      </c>
      <c r="P24" s="329">
        <f>SUM(INDEX(ConLoan!$E$29:$NL$29,((P$22-1)*12+1)):INDEX(ConLoan!$E$29:$NL$29,((P$22-1)*12+1)+11))</f>
        <v/>
      </c>
      <c r="Q24" s="329">
        <f>SUM(INDEX(ConLoan!$E$29:$NL$29,((Q$22-1)*12+1)):INDEX(ConLoan!$E$29:$NL$29,((Q$22-1)*12+1)+11))</f>
        <v/>
      </c>
      <c r="R24" s="329">
        <f>SUM(INDEX(ConLoan!$E$29:$NL$29,((R$22-1)*12+1)):INDEX(ConLoan!$E$29:$NL$29,((R$22-1)*12+1)+11))</f>
        <v/>
      </c>
      <c r="S24" s="329">
        <f>SUM(INDEX(ConLoan!$E$29:$NL$29,((S$22-1)*12+1)):INDEX(ConLoan!$E$29:$NL$29,((S$22-1)*12+1)+11))</f>
        <v/>
      </c>
      <c r="T24" s="329">
        <f>SUM(INDEX(ConLoan!$E$29:$NL$29,((T$22-1)*12+1)):INDEX(ConLoan!$E$29:$NL$29,((T$22-1)*12+1)+11))</f>
        <v/>
      </c>
      <c r="U24" s="329">
        <f>SUM(INDEX(ConLoan!$E$29:$NL$29,((U$22-1)*12+1)):INDEX(ConLoan!$E$29:$NL$29,((U$22-1)*12+1)+11))</f>
        <v/>
      </c>
      <c r="V24" s="329">
        <f>SUM(INDEX(ConLoan!$E$29:$NL$29,((V$22-1)*12+1)):INDEX(ConLoan!$E$29:$NL$29,((V$22-1)*12+1)+11))</f>
        <v/>
      </c>
      <c r="W24" s="329">
        <f>SUM(INDEX(ConLoan!$E$29:$NL$29,((W$22-1)*12+1)):INDEX(ConLoan!$E$29:$NL$29,((W$22-1)*12+1)+11))</f>
        <v/>
      </c>
      <c r="X24" s="329">
        <f>SUM(INDEX(ConLoan!$E$29:$NL$29,((X$22-1)*12+1)):INDEX(ConLoan!$E$29:$NL$29,((X$22-1)*12+1)+11))</f>
        <v/>
      </c>
      <c r="Y24" s="329">
        <f>SUM(INDEX(ConLoan!$E$29:$NL$29,((Y$22-1)*12+1)):INDEX(ConLoan!$E$29:$NL$29,((Y$22-1)*12+1)+11))</f>
        <v/>
      </c>
      <c r="Z24" s="329">
        <f>SUM(INDEX(ConLoan!$E$29:$NL$29,((Z$22-1)*12+1)):INDEX(ConLoan!$E$29:$NL$29,((Z$22-1)*12+1)+11))</f>
        <v/>
      </c>
      <c r="AA24" s="329">
        <f>SUM(INDEX(ConLoan!$E$29:$NL$29,((AA$22-1)*12+1)):INDEX(ConLoan!$E$29:$NL$29,((AA$22-1)*12+1)+11))</f>
        <v/>
      </c>
      <c r="AB24" s="329">
        <f>SUM(INDEX(ConLoan!$E$29:$NL$29,((AB$22-1)*12+1)):INDEX(ConLoan!$E$29:$NL$29,((AB$22-1)*12+1)+11))</f>
        <v/>
      </c>
      <c r="AC24" s="329">
        <f>SUM(INDEX(ConLoan!$E$29:$NL$29,((AC$22-1)*12+1)):INDEX(ConLoan!$E$29:$NL$29,((AC$22-1)*12+1)+11))</f>
        <v/>
      </c>
      <c r="AD24" s="329">
        <f>SUM(INDEX(ConLoan!$E$29:$NL$29,((AD$22-1)*12+1)):INDEX(ConLoan!$E$29:$NL$29,((AD$22-1)*12+1)+11))</f>
        <v/>
      </c>
      <c r="AE24" s="329">
        <f>SUM(INDEX(ConLoan!$E$29:$NL$29,((AE$22-1)*12+1)):INDEX(ConLoan!$E$29:$NL$29,((AE$22-1)*12+1)+11))</f>
        <v/>
      </c>
      <c r="AF24" s="329">
        <f>SUM(INDEX(ConLoan!$E$29:$NL$29,((AF$22-1)*12+1)):INDEX(ConLoan!$E$29:$NL$29,((AF$22-1)*12+1)+11))</f>
        <v/>
      </c>
      <c r="AG24" s="329">
        <f>SUM(INDEX(ConLoan!$E$29:$NL$29,((AG$22-1)*12+1)):INDEX(ConLoan!$E$29:$NL$29,((AG$22-1)*12+1)+11))</f>
        <v/>
      </c>
    </row>
    <row r="25">
      <c r="B25" s="316" t="inlineStr">
        <is>
          <t>Equity Draw</t>
        </is>
      </c>
      <c r="C25" s="329">
        <f>SUM(INDEX(ConLoan!$E$27:$NL$27,((C$22-1)*12+1)):INDEX(ConLoan!$E$27:$NL$27,((C$22-1)*12+1)+11))</f>
        <v/>
      </c>
      <c r="D25" s="329">
        <f>SUM(INDEX(ConLoan!$E$27:$NL$27,((D$22-1)*12+1)):INDEX(ConLoan!$E$27:$NL$27,((D$22-1)*12+1)+11))</f>
        <v/>
      </c>
      <c r="E25" s="329">
        <f>SUM(INDEX(ConLoan!$E$27:$NL$27,((E$22-1)*12+1)):INDEX(ConLoan!$E$27:$NL$27,((E$22-1)*12+1)+11))</f>
        <v/>
      </c>
      <c r="F25" s="329">
        <f>SUM(INDEX(ConLoan!$E$27:$NL$27,((F$22-1)*12+1)):INDEX(ConLoan!$E$27:$NL$27,((F$22-1)*12+1)+11))</f>
        <v/>
      </c>
      <c r="G25" s="329">
        <f>SUM(INDEX(ConLoan!$E$27:$NL$27,((G$22-1)*12+1)):INDEX(ConLoan!$E$27:$NL$27,((G$22-1)*12+1)+11))</f>
        <v/>
      </c>
      <c r="H25" s="329">
        <f>SUM(INDEX(ConLoan!$E$27:$NL$27,((H$22-1)*12+1)):INDEX(ConLoan!$E$27:$NL$27,((H$22-1)*12+1)+11))</f>
        <v/>
      </c>
      <c r="I25" s="329">
        <f>SUM(INDEX(ConLoan!$E$27:$NL$27,((I$22-1)*12+1)):INDEX(ConLoan!$E$27:$NL$27,((I$22-1)*12+1)+11))</f>
        <v/>
      </c>
      <c r="J25" s="329">
        <f>SUM(INDEX(ConLoan!$E$27:$NL$27,((J$22-1)*12+1)):INDEX(ConLoan!$E$27:$NL$27,((J$22-1)*12+1)+11))</f>
        <v/>
      </c>
      <c r="K25" s="329">
        <f>SUM(INDEX(ConLoan!$E$27:$NL$27,((K$22-1)*12+1)):INDEX(ConLoan!$E$27:$NL$27,((K$22-1)*12+1)+11))</f>
        <v/>
      </c>
      <c r="L25" s="329">
        <f>SUM(INDEX(ConLoan!$E$27:$NL$27,((L$22-1)*12+1)):INDEX(ConLoan!$E$27:$NL$27,((L$22-1)*12+1)+11))</f>
        <v/>
      </c>
      <c r="M25" s="329">
        <f>SUM(INDEX(ConLoan!$E$27:$NL$27,((M$22-1)*12+1)):INDEX(ConLoan!$E$27:$NL$27,((M$22-1)*12+1)+11))</f>
        <v/>
      </c>
      <c r="N25" s="329">
        <f>SUM(INDEX(ConLoan!$E$27:$NL$27,((N$22-1)*12+1)):INDEX(ConLoan!$E$27:$NL$27,((N$22-1)*12+1)+11))</f>
        <v/>
      </c>
      <c r="O25" s="329">
        <f>SUM(INDEX(ConLoan!$E$27:$NL$27,((O$22-1)*12+1)):INDEX(ConLoan!$E$27:$NL$27,((O$22-1)*12+1)+11))</f>
        <v/>
      </c>
      <c r="P25" s="329">
        <f>SUM(INDEX(ConLoan!$E$27:$NL$27,((P$22-1)*12+1)):INDEX(ConLoan!$E$27:$NL$27,((P$22-1)*12+1)+11))</f>
        <v/>
      </c>
      <c r="Q25" s="329">
        <f>SUM(INDEX(ConLoan!$E$27:$NL$27,((Q$22-1)*12+1)):INDEX(ConLoan!$E$27:$NL$27,((Q$22-1)*12+1)+11))</f>
        <v/>
      </c>
      <c r="R25" s="329">
        <f>SUM(INDEX(ConLoan!$E$27:$NL$27,((R$22-1)*12+1)):INDEX(ConLoan!$E$27:$NL$27,((R$22-1)*12+1)+11))</f>
        <v/>
      </c>
      <c r="S25" s="329">
        <f>SUM(INDEX(ConLoan!$E$27:$NL$27,((S$22-1)*12+1)):INDEX(ConLoan!$E$27:$NL$27,((S$22-1)*12+1)+11))</f>
        <v/>
      </c>
      <c r="T25" s="329">
        <f>SUM(INDEX(ConLoan!$E$27:$NL$27,((T$22-1)*12+1)):INDEX(ConLoan!$E$27:$NL$27,((T$22-1)*12+1)+11))</f>
        <v/>
      </c>
      <c r="U25" s="329">
        <f>SUM(INDEX(ConLoan!$E$27:$NL$27,((U$22-1)*12+1)):INDEX(ConLoan!$E$27:$NL$27,((U$22-1)*12+1)+11))</f>
        <v/>
      </c>
      <c r="V25" s="329">
        <f>SUM(INDEX(ConLoan!$E$27:$NL$27,((V$22-1)*12+1)):INDEX(ConLoan!$E$27:$NL$27,((V$22-1)*12+1)+11))</f>
        <v/>
      </c>
      <c r="W25" s="329">
        <f>SUM(INDEX(ConLoan!$E$27:$NL$27,((W$22-1)*12+1)):INDEX(ConLoan!$E$27:$NL$27,((W$22-1)*12+1)+11))</f>
        <v/>
      </c>
      <c r="X25" s="329">
        <f>SUM(INDEX(ConLoan!$E$27:$NL$27,((X$22-1)*12+1)):INDEX(ConLoan!$E$27:$NL$27,((X$22-1)*12+1)+11))</f>
        <v/>
      </c>
      <c r="Y25" s="329">
        <f>SUM(INDEX(ConLoan!$E$27:$NL$27,((Y$22-1)*12+1)):INDEX(ConLoan!$E$27:$NL$27,((Y$22-1)*12+1)+11))</f>
        <v/>
      </c>
      <c r="Z25" s="329">
        <f>SUM(INDEX(ConLoan!$E$27:$NL$27,((Z$22-1)*12+1)):INDEX(ConLoan!$E$27:$NL$27,((Z$22-1)*12+1)+11))</f>
        <v/>
      </c>
      <c r="AA25" s="329">
        <f>SUM(INDEX(ConLoan!$E$27:$NL$27,((AA$22-1)*12+1)):INDEX(ConLoan!$E$27:$NL$27,((AA$22-1)*12+1)+11))</f>
        <v/>
      </c>
      <c r="AB25" s="329">
        <f>SUM(INDEX(ConLoan!$E$27:$NL$27,((AB$22-1)*12+1)):INDEX(ConLoan!$E$27:$NL$27,((AB$22-1)*12+1)+11))</f>
        <v/>
      </c>
      <c r="AC25" s="329">
        <f>SUM(INDEX(ConLoan!$E$27:$NL$27,((AC$22-1)*12+1)):INDEX(ConLoan!$E$27:$NL$27,((AC$22-1)*12+1)+11))</f>
        <v/>
      </c>
      <c r="AD25" s="329">
        <f>SUM(INDEX(ConLoan!$E$27:$NL$27,((AD$22-1)*12+1)):INDEX(ConLoan!$E$27:$NL$27,((AD$22-1)*12+1)+11))</f>
        <v/>
      </c>
      <c r="AE25" s="329">
        <f>SUM(INDEX(ConLoan!$E$27:$NL$27,((AE$22-1)*12+1)):INDEX(ConLoan!$E$27:$NL$27,((AE$22-1)*12+1)+11))</f>
        <v/>
      </c>
      <c r="AF25" s="329">
        <f>SUM(INDEX(ConLoan!$E$27:$NL$27,((AF$22-1)*12+1)):INDEX(ConLoan!$E$27:$NL$27,((AF$22-1)*12+1)+11))</f>
        <v/>
      </c>
      <c r="AG25" s="329">
        <f>SUM(INDEX(ConLoan!$E$27:$NL$27,((AG$22-1)*12+1)):INDEX(ConLoan!$E$27:$NL$27,((AG$22-1)*12+1)+11))</f>
        <v/>
      </c>
    </row>
    <row r="26">
      <c r="B26" s="316" t="inlineStr">
        <is>
          <t>Effective Gross Income</t>
        </is>
      </c>
      <c r="C26" s="329">
        <f>SUM(INDEX(Operating!$E$23:$NL$23,((C$22-1)*12+1)):INDEX(Operating!$E$23:$NL$23,((C$22-1)*12+1)+11))</f>
        <v/>
      </c>
      <c r="D26" s="329">
        <f>SUM(INDEX(Operating!$E$23:$NL$23,((D$22-1)*12+1)):INDEX(Operating!$E$23:$NL$23,((D$22-1)*12+1)+11))</f>
        <v/>
      </c>
      <c r="E26" s="329">
        <f>SUM(INDEX(Operating!$E$23:$NL$23,((E$22-1)*12+1)):INDEX(Operating!$E$23:$NL$23,((E$22-1)*12+1)+11))</f>
        <v/>
      </c>
      <c r="F26" s="329">
        <f>SUM(INDEX(Operating!$E$23:$NL$23,((F$22-1)*12+1)):INDEX(Operating!$E$23:$NL$23,((F$22-1)*12+1)+11))</f>
        <v/>
      </c>
      <c r="G26" s="329">
        <f>SUM(INDEX(Operating!$E$23:$NL$23,((G$22-1)*12+1)):INDEX(Operating!$E$23:$NL$23,((G$22-1)*12+1)+11))</f>
        <v/>
      </c>
      <c r="H26" s="329">
        <f>SUM(INDEX(Operating!$E$23:$NL$23,((H$22-1)*12+1)):INDEX(Operating!$E$23:$NL$23,((H$22-1)*12+1)+11))</f>
        <v/>
      </c>
      <c r="I26" s="329">
        <f>SUM(INDEX(Operating!$E$23:$NL$23,((I$22-1)*12+1)):INDEX(Operating!$E$23:$NL$23,((I$22-1)*12+1)+11))</f>
        <v/>
      </c>
      <c r="J26" s="329">
        <f>SUM(INDEX(Operating!$E$23:$NL$23,((J$22-1)*12+1)):INDEX(Operating!$E$23:$NL$23,((J$22-1)*12+1)+11))</f>
        <v/>
      </c>
      <c r="K26" s="329">
        <f>SUM(INDEX(Operating!$E$23:$NL$23,((K$22-1)*12+1)):INDEX(Operating!$E$23:$NL$23,((K$22-1)*12+1)+11))</f>
        <v/>
      </c>
      <c r="L26" s="329">
        <f>SUM(INDEX(Operating!$E$23:$NL$23,((L$22-1)*12+1)):INDEX(Operating!$E$23:$NL$23,((L$22-1)*12+1)+11))</f>
        <v/>
      </c>
      <c r="M26" s="329">
        <f>SUM(INDEX(Operating!$E$23:$NL$23,((M$22-1)*12+1)):INDEX(Operating!$E$23:$NL$23,((M$22-1)*12+1)+11))</f>
        <v/>
      </c>
      <c r="N26" s="329">
        <f>SUM(INDEX(Operating!$E$23:$NL$23,((N$22-1)*12+1)):INDEX(Operating!$E$23:$NL$23,((N$22-1)*12+1)+11))</f>
        <v/>
      </c>
      <c r="O26" s="329">
        <f>SUM(INDEX(Operating!$E$23:$NL$23,((O$22-1)*12+1)):INDEX(Operating!$E$23:$NL$23,((O$22-1)*12+1)+11))</f>
        <v/>
      </c>
      <c r="P26" s="329">
        <f>SUM(INDEX(Operating!$E$23:$NL$23,((P$22-1)*12+1)):INDEX(Operating!$E$23:$NL$23,((P$22-1)*12+1)+11))</f>
        <v/>
      </c>
      <c r="Q26" s="329">
        <f>SUM(INDEX(Operating!$E$23:$NL$23,((Q$22-1)*12+1)):INDEX(Operating!$E$23:$NL$23,((Q$22-1)*12+1)+11))</f>
        <v/>
      </c>
      <c r="R26" s="329">
        <f>SUM(INDEX(Operating!$E$23:$NL$23,((R$22-1)*12+1)):INDEX(Operating!$E$23:$NL$23,((R$22-1)*12+1)+11))</f>
        <v/>
      </c>
      <c r="S26" s="329">
        <f>SUM(INDEX(Operating!$E$23:$NL$23,((S$22-1)*12+1)):INDEX(Operating!$E$23:$NL$23,((S$22-1)*12+1)+11))</f>
        <v/>
      </c>
      <c r="T26" s="329">
        <f>SUM(INDEX(Operating!$E$23:$NL$23,((T$22-1)*12+1)):INDEX(Operating!$E$23:$NL$23,((T$22-1)*12+1)+11))</f>
        <v/>
      </c>
      <c r="U26" s="329">
        <f>SUM(INDEX(Operating!$E$23:$NL$23,((U$22-1)*12+1)):INDEX(Operating!$E$23:$NL$23,((U$22-1)*12+1)+11))</f>
        <v/>
      </c>
      <c r="V26" s="329">
        <f>SUM(INDEX(Operating!$E$23:$NL$23,((V$22-1)*12+1)):INDEX(Operating!$E$23:$NL$23,((V$22-1)*12+1)+11))</f>
        <v/>
      </c>
      <c r="W26" s="329">
        <f>SUM(INDEX(Operating!$E$23:$NL$23,((W$22-1)*12+1)):INDEX(Operating!$E$23:$NL$23,((W$22-1)*12+1)+11))</f>
        <v/>
      </c>
      <c r="X26" s="329">
        <f>SUM(INDEX(Operating!$E$23:$NL$23,((X$22-1)*12+1)):INDEX(Operating!$E$23:$NL$23,((X$22-1)*12+1)+11))</f>
        <v/>
      </c>
      <c r="Y26" s="329">
        <f>SUM(INDEX(Operating!$E$23:$NL$23,((Y$22-1)*12+1)):INDEX(Operating!$E$23:$NL$23,((Y$22-1)*12+1)+11))</f>
        <v/>
      </c>
      <c r="Z26" s="329">
        <f>SUM(INDEX(Operating!$E$23:$NL$23,((Z$22-1)*12+1)):INDEX(Operating!$E$23:$NL$23,((Z$22-1)*12+1)+11))</f>
        <v/>
      </c>
      <c r="AA26" s="329">
        <f>SUM(INDEX(Operating!$E$23:$NL$23,((AA$22-1)*12+1)):INDEX(Operating!$E$23:$NL$23,((AA$22-1)*12+1)+11))</f>
        <v/>
      </c>
      <c r="AB26" s="329">
        <f>SUM(INDEX(Operating!$E$23:$NL$23,((AB$22-1)*12+1)):INDEX(Operating!$E$23:$NL$23,((AB$22-1)*12+1)+11))</f>
        <v/>
      </c>
      <c r="AC26" s="329">
        <f>SUM(INDEX(Operating!$E$23:$NL$23,((AC$22-1)*12+1)):INDEX(Operating!$E$23:$NL$23,((AC$22-1)*12+1)+11))</f>
        <v/>
      </c>
      <c r="AD26" s="329">
        <f>SUM(INDEX(Operating!$E$23:$NL$23,((AD$22-1)*12+1)):INDEX(Operating!$E$23:$NL$23,((AD$22-1)*12+1)+11))</f>
        <v/>
      </c>
      <c r="AE26" s="329">
        <f>SUM(INDEX(Operating!$E$23:$NL$23,((AE$22-1)*12+1)):INDEX(Operating!$E$23:$NL$23,((AE$22-1)*12+1)+11))</f>
        <v/>
      </c>
      <c r="AF26" s="329">
        <f>SUM(INDEX(Operating!$E$23:$NL$23,((AF$22-1)*12+1)):INDEX(Operating!$E$23:$NL$23,((AF$22-1)*12+1)+11))</f>
        <v/>
      </c>
      <c r="AG26" s="329">
        <f>SUM(INDEX(Operating!$E$23:$NL$23,((AG$22-1)*12+1)):INDEX(Operating!$E$23:$NL$23,((AG$22-1)*12+1)+11))</f>
        <v/>
      </c>
    </row>
    <row r="27">
      <c r="B27" s="316" t="inlineStr">
        <is>
          <t>Net Operating Income</t>
        </is>
      </c>
      <c r="C27" s="329">
        <f>SUM(INDEX(Operating!$E$38:$NL$38,((C$22-1)*12+1)):INDEX(Operating!$E$38:$NL$38,((C$22-1)*12+1)+11))</f>
        <v/>
      </c>
      <c r="D27" s="329">
        <f>SUM(INDEX(Operating!$E$38:$NL$38,((D$22-1)*12+1)):INDEX(Operating!$E$38:$NL$38,((D$22-1)*12+1)+11))</f>
        <v/>
      </c>
      <c r="E27" s="329">
        <f>SUM(INDEX(Operating!$E$38:$NL$38,((E$22-1)*12+1)):INDEX(Operating!$E$38:$NL$38,((E$22-1)*12+1)+11))</f>
        <v/>
      </c>
      <c r="F27" s="329">
        <f>SUM(INDEX(Operating!$E$38:$NL$38,((F$22-1)*12+1)):INDEX(Operating!$E$38:$NL$38,((F$22-1)*12+1)+11))</f>
        <v/>
      </c>
      <c r="G27" s="329">
        <f>SUM(INDEX(Operating!$E$38:$NL$38,((G$22-1)*12+1)):INDEX(Operating!$E$38:$NL$38,((G$22-1)*12+1)+11))</f>
        <v/>
      </c>
      <c r="H27" s="329">
        <f>SUM(INDEX(Operating!$E$38:$NL$38,((H$22-1)*12+1)):INDEX(Operating!$E$38:$NL$38,((H$22-1)*12+1)+11))</f>
        <v/>
      </c>
      <c r="I27" s="329">
        <f>SUM(INDEX(Operating!$E$38:$NL$38,((I$22-1)*12+1)):INDEX(Operating!$E$38:$NL$38,((I$22-1)*12+1)+11))</f>
        <v/>
      </c>
      <c r="J27" s="329">
        <f>SUM(INDEX(Operating!$E$38:$NL$38,((J$22-1)*12+1)):INDEX(Operating!$E$38:$NL$38,((J$22-1)*12+1)+11))</f>
        <v/>
      </c>
      <c r="K27" s="329">
        <f>SUM(INDEX(Operating!$E$38:$NL$38,((K$22-1)*12+1)):INDEX(Operating!$E$38:$NL$38,((K$22-1)*12+1)+11))</f>
        <v/>
      </c>
      <c r="L27" s="329">
        <f>SUM(INDEX(Operating!$E$38:$NL$38,((L$22-1)*12+1)):INDEX(Operating!$E$38:$NL$38,((L$22-1)*12+1)+11))</f>
        <v/>
      </c>
      <c r="M27" s="329">
        <f>SUM(INDEX(Operating!$E$38:$NL$38,((M$22-1)*12+1)):INDEX(Operating!$E$38:$NL$38,((M$22-1)*12+1)+11))</f>
        <v/>
      </c>
      <c r="N27" s="329">
        <f>SUM(INDEX(Operating!$E$38:$NL$38,((N$22-1)*12+1)):INDEX(Operating!$E$38:$NL$38,((N$22-1)*12+1)+11))</f>
        <v/>
      </c>
      <c r="O27" s="329">
        <f>SUM(INDEX(Operating!$E$38:$NL$38,((O$22-1)*12+1)):INDEX(Operating!$E$38:$NL$38,((O$22-1)*12+1)+11))</f>
        <v/>
      </c>
      <c r="P27" s="329">
        <f>SUM(INDEX(Operating!$E$38:$NL$38,((P$22-1)*12+1)):INDEX(Operating!$E$38:$NL$38,((P$22-1)*12+1)+11))</f>
        <v/>
      </c>
      <c r="Q27" s="329">
        <f>SUM(INDEX(Operating!$E$38:$NL$38,((Q$22-1)*12+1)):INDEX(Operating!$E$38:$NL$38,((Q$22-1)*12+1)+11))</f>
        <v/>
      </c>
      <c r="R27" s="329">
        <f>SUM(INDEX(Operating!$E$38:$NL$38,((R$22-1)*12+1)):INDEX(Operating!$E$38:$NL$38,((R$22-1)*12+1)+11))</f>
        <v/>
      </c>
      <c r="S27" s="329">
        <f>SUM(INDEX(Operating!$E$38:$NL$38,((S$22-1)*12+1)):INDEX(Operating!$E$38:$NL$38,((S$22-1)*12+1)+11))</f>
        <v/>
      </c>
      <c r="T27" s="329">
        <f>SUM(INDEX(Operating!$E$38:$NL$38,((T$22-1)*12+1)):INDEX(Operating!$E$38:$NL$38,((T$22-1)*12+1)+11))</f>
        <v/>
      </c>
      <c r="U27" s="329">
        <f>SUM(INDEX(Operating!$E$38:$NL$38,((U$22-1)*12+1)):INDEX(Operating!$E$38:$NL$38,((U$22-1)*12+1)+11))</f>
        <v/>
      </c>
      <c r="V27" s="329">
        <f>SUM(INDEX(Operating!$E$38:$NL$38,((V$22-1)*12+1)):INDEX(Operating!$E$38:$NL$38,((V$22-1)*12+1)+11))</f>
        <v/>
      </c>
      <c r="W27" s="329">
        <f>SUM(INDEX(Operating!$E$38:$NL$38,((W$22-1)*12+1)):INDEX(Operating!$E$38:$NL$38,((W$22-1)*12+1)+11))</f>
        <v/>
      </c>
      <c r="X27" s="329">
        <f>SUM(INDEX(Operating!$E$38:$NL$38,((X$22-1)*12+1)):INDEX(Operating!$E$38:$NL$38,((X$22-1)*12+1)+11))</f>
        <v/>
      </c>
      <c r="Y27" s="329">
        <f>SUM(INDEX(Operating!$E$38:$NL$38,((Y$22-1)*12+1)):INDEX(Operating!$E$38:$NL$38,((Y$22-1)*12+1)+11))</f>
        <v/>
      </c>
      <c r="Z27" s="329">
        <f>SUM(INDEX(Operating!$E$38:$NL$38,((Z$22-1)*12+1)):INDEX(Operating!$E$38:$NL$38,((Z$22-1)*12+1)+11))</f>
        <v/>
      </c>
      <c r="AA27" s="329">
        <f>SUM(INDEX(Operating!$E$38:$NL$38,((AA$22-1)*12+1)):INDEX(Operating!$E$38:$NL$38,((AA$22-1)*12+1)+11))</f>
        <v/>
      </c>
      <c r="AB27" s="329">
        <f>SUM(INDEX(Operating!$E$38:$NL$38,((AB$22-1)*12+1)):INDEX(Operating!$E$38:$NL$38,((AB$22-1)*12+1)+11))</f>
        <v/>
      </c>
      <c r="AC27" s="329">
        <f>SUM(INDEX(Operating!$E$38:$NL$38,((AC$22-1)*12+1)):INDEX(Operating!$E$38:$NL$38,((AC$22-1)*12+1)+11))</f>
        <v/>
      </c>
      <c r="AD27" s="329">
        <f>SUM(INDEX(Operating!$E$38:$NL$38,((AD$22-1)*12+1)):INDEX(Operating!$E$38:$NL$38,((AD$22-1)*12+1)+11))</f>
        <v/>
      </c>
      <c r="AE27" s="329">
        <f>SUM(INDEX(Operating!$E$38:$NL$38,((AE$22-1)*12+1)):INDEX(Operating!$E$38:$NL$38,((AE$22-1)*12+1)+11))</f>
        <v/>
      </c>
      <c r="AF27" s="329">
        <f>SUM(INDEX(Operating!$E$38:$NL$38,((AF$22-1)*12+1)):INDEX(Operating!$E$38:$NL$38,((AF$22-1)*12+1)+11))</f>
        <v/>
      </c>
      <c r="AG27" s="329">
        <f>SUM(INDEX(Operating!$E$38:$NL$38,((AG$22-1)*12+1)):INDEX(Operating!$E$38:$NL$38,((AG$22-1)*12+1)+11))</f>
        <v/>
      </c>
    </row>
    <row r="28">
      <c r="B28" s="316" t="inlineStr">
        <is>
          <t>Construction Interest (capitalized, financed)</t>
        </is>
      </c>
      <c r="C28" s="329">
        <f>SUM(INDEX(ConLoan!$E$31:$NL$31,((C$22-1)*12+1)):INDEX(ConLoan!$E$31:$NL$31,((C$22-1)*12+1)+11))</f>
        <v/>
      </c>
      <c r="D28" s="329">
        <f>SUM(INDEX(ConLoan!$E$31:$NL$31,((D$22-1)*12+1)):INDEX(ConLoan!$E$31:$NL$31,((D$22-1)*12+1)+11))</f>
        <v/>
      </c>
      <c r="E28" s="329">
        <f>SUM(INDEX(ConLoan!$E$31:$NL$31,((E$22-1)*12+1)):INDEX(ConLoan!$E$31:$NL$31,((E$22-1)*12+1)+11))</f>
        <v/>
      </c>
      <c r="F28" s="329">
        <f>SUM(INDEX(ConLoan!$E$31:$NL$31,((F$22-1)*12+1)):INDEX(ConLoan!$E$31:$NL$31,((F$22-1)*12+1)+11))</f>
        <v/>
      </c>
      <c r="G28" s="329">
        <f>SUM(INDEX(ConLoan!$E$31:$NL$31,((G$22-1)*12+1)):INDEX(ConLoan!$E$31:$NL$31,((G$22-1)*12+1)+11))</f>
        <v/>
      </c>
      <c r="H28" s="329">
        <f>SUM(INDEX(ConLoan!$E$31:$NL$31,((H$22-1)*12+1)):INDEX(ConLoan!$E$31:$NL$31,((H$22-1)*12+1)+11))</f>
        <v/>
      </c>
      <c r="I28" s="329">
        <f>SUM(INDEX(ConLoan!$E$31:$NL$31,((I$22-1)*12+1)):INDEX(ConLoan!$E$31:$NL$31,((I$22-1)*12+1)+11))</f>
        <v/>
      </c>
      <c r="J28" s="329">
        <f>SUM(INDEX(ConLoan!$E$31:$NL$31,((J$22-1)*12+1)):INDEX(ConLoan!$E$31:$NL$31,((J$22-1)*12+1)+11))</f>
        <v/>
      </c>
      <c r="K28" s="329">
        <f>SUM(INDEX(ConLoan!$E$31:$NL$31,((K$22-1)*12+1)):INDEX(ConLoan!$E$31:$NL$31,((K$22-1)*12+1)+11))</f>
        <v/>
      </c>
      <c r="L28" s="329">
        <f>SUM(INDEX(ConLoan!$E$31:$NL$31,((L$22-1)*12+1)):INDEX(ConLoan!$E$31:$NL$31,((L$22-1)*12+1)+11))</f>
        <v/>
      </c>
      <c r="M28" s="329">
        <f>SUM(INDEX(ConLoan!$E$31:$NL$31,((M$22-1)*12+1)):INDEX(ConLoan!$E$31:$NL$31,((M$22-1)*12+1)+11))</f>
        <v/>
      </c>
      <c r="N28" s="329">
        <f>SUM(INDEX(ConLoan!$E$31:$NL$31,((N$22-1)*12+1)):INDEX(ConLoan!$E$31:$NL$31,((N$22-1)*12+1)+11))</f>
        <v/>
      </c>
      <c r="O28" s="329">
        <f>SUM(INDEX(ConLoan!$E$31:$NL$31,((O$22-1)*12+1)):INDEX(ConLoan!$E$31:$NL$31,((O$22-1)*12+1)+11))</f>
        <v/>
      </c>
      <c r="P28" s="329">
        <f>SUM(INDEX(ConLoan!$E$31:$NL$31,((P$22-1)*12+1)):INDEX(ConLoan!$E$31:$NL$31,((P$22-1)*12+1)+11))</f>
        <v/>
      </c>
      <c r="Q28" s="329">
        <f>SUM(INDEX(ConLoan!$E$31:$NL$31,((Q$22-1)*12+1)):INDEX(ConLoan!$E$31:$NL$31,((Q$22-1)*12+1)+11))</f>
        <v/>
      </c>
      <c r="R28" s="329">
        <f>SUM(INDEX(ConLoan!$E$31:$NL$31,((R$22-1)*12+1)):INDEX(ConLoan!$E$31:$NL$31,((R$22-1)*12+1)+11))</f>
        <v/>
      </c>
      <c r="S28" s="329">
        <f>SUM(INDEX(ConLoan!$E$31:$NL$31,((S$22-1)*12+1)):INDEX(ConLoan!$E$31:$NL$31,((S$22-1)*12+1)+11))</f>
        <v/>
      </c>
      <c r="T28" s="329">
        <f>SUM(INDEX(ConLoan!$E$31:$NL$31,((T$22-1)*12+1)):INDEX(ConLoan!$E$31:$NL$31,((T$22-1)*12+1)+11))</f>
        <v/>
      </c>
      <c r="U28" s="329">
        <f>SUM(INDEX(ConLoan!$E$31:$NL$31,((U$22-1)*12+1)):INDEX(ConLoan!$E$31:$NL$31,((U$22-1)*12+1)+11))</f>
        <v/>
      </c>
      <c r="V28" s="329">
        <f>SUM(INDEX(ConLoan!$E$31:$NL$31,((V$22-1)*12+1)):INDEX(ConLoan!$E$31:$NL$31,((V$22-1)*12+1)+11))</f>
        <v/>
      </c>
      <c r="W28" s="329">
        <f>SUM(INDEX(ConLoan!$E$31:$NL$31,((W$22-1)*12+1)):INDEX(ConLoan!$E$31:$NL$31,((W$22-1)*12+1)+11))</f>
        <v/>
      </c>
      <c r="X28" s="329">
        <f>SUM(INDEX(ConLoan!$E$31:$NL$31,((X$22-1)*12+1)):INDEX(ConLoan!$E$31:$NL$31,((X$22-1)*12+1)+11))</f>
        <v/>
      </c>
      <c r="Y28" s="329">
        <f>SUM(INDEX(ConLoan!$E$31:$NL$31,((Y$22-1)*12+1)):INDEX(ConLoan!$E$31:$NL$31,((Y$22-1)*12+1)+11))</f>
        <v/>
      </c>
      <c r="Z28" s="329">
        <f>SUM(INDEX(ConLoan!$E$31:$NL$31,((Z$22-1)*12+1)):INDEX(ConLoan!$E$31:$NL$31,((Z$22-1)*12+1)+11))</f>
        <v/>
      </c>
      <c r="AA28" s="329">
        <f>SUM(INDEX(ConLoan!$E$31:$NL$31,((AA$22-1)*12+1)):INDEX(ConLoan!$E$31:$NL$31,((AA$22-1)*12+1)+11))</f>
        <v/>
      </c>
      <c r="AB28" s="329">
        <f>SUM(INDEX(ConLoan!$E$31:$NL$31,((AB$22-1)*12+1)):INDEX(ConLoan!$E$31:$NL$31,((AB$22-1)*12+1)+11))</f>
        <v/>
      </c>
      <c r="AC28" s="329">
        <f>SUM(INDEX(ConLoan!$E$31:$NL$31,((AC$22-1)*12+1)):INDEX(ConLoan!$E$31:$NL$31,((AC$22-1)*12+1)+11))</f>
        <v/>
      </c>
      <c r="AD28" s="329">
        <f>SUM(INDEX(ConLoan!$E$31:$NL$31,((AD$22-1)*12+1)):INDEX(ConLoan!$E$31:$NL$31,((AD$22-1)*12+1)+11))</f>
        <v/>
      </c>
      <c r="AE28" s="329">
        <f>SUM(INDEX(ConLoan!$E$31:$NL$31,((AE$22-1)*12+1)):INDEX(ConLoan!$E$31:$NL$31,((AE$22-1)*12+1)+11))</f>
        <v/>
      </c>
      <c r="AF28" s="329">
        <f>SUM(INDEX(ConLoan!$E$31:$NL$31,((AF$22-1)*12+1)):INDEX(ConLoan!$E$31:$NL$31,((AF$22-1)*12+1)+11))</f>
        <v/>
      </c>
      <c r="AG28" s="329">
        <f>SUM(INDEX(ConLoan!$E$31:$NL$31,((AG$22-1)*12+1)):INDEX(ConLoan!$E$31:$NL$31,((AG$22-1)*12+1)+11))</f>
        <v/>
      </c>
    </row>
    <row r="29">
      <c r="B29" s="316" t="inlineStr">
        <is>
          <t>Permanent Debt Service</t>
        </is>
      </c>
      <c r="C29" s="329">
        <f>SUM(INDEX(PermLoan!$E$29:$NL$29,((C$22-1)*12+1)):INDEX(PermLoan!$E$29:$NL$29,((C$22-1)*12+1)+11))</f>
        <v/>
      </c>
      <c r="D29" s="329">
        <f>SUM(INDEX(PermLoan!$E$29:$NL$29,((D$22-1)*12+1)):INDEX(PermLoan!$E$29:$NL$29,((D$22-1)*12+1)+11))</f>
        <v/>
      </c>
      <c r="E29" s="329">
        <f>SUM(INDEX(PermLoan!$E$29:$NL$29,((E$22-1)*12+1)):INDEX(PermLoan!$E$29:$NL$29,((E$22-1)*12+1)+11))</f>
        <v/>
      </c>
      <c r="F29" s="329">
        <f>SUM(INDEX(PermLoan!$E$29:$NL$29,((F$22-1)*12+1)):INDEX(PermLoan!$E$29:$NL$29,((F$22-1)*12+1)+11))</f>
        <v/>
      </c>
      <c r="G29" s="329">
        <f>SUM(INDEX(PermLoan!$E$29:$NL$29,((G$22-1)*12+1)):INDEX(PermLoan!$E$29:$NL$29,((G$22-1)*12+1)+11))</f>
        <v/>
      </c>
      <c r="H29" s="329">
        <f>SUM(INDEX(PermLoan!$E$29:$NL$29,((H$22-1)*12+1)):INDEX(PermLoan!$E$29:$NL$29,((H$22-1)*12+1)+11))</f>
        <v/>
      </c>
      <c r="I29" s="329">
        <f>SUM(INDEX(PermLoan!$E$29:$NL$29,((I$22-1)*12+1)):INDEX(PermLoan!$E$29:$NL$29,((I$22-1)*12+1)+11))</f>
        <v/>
      </c>
      <c r="J29" s="329">
        <f>SUM(INDEX(PermLoan!$E$29:$NL$29,((J$22-1)*12+1)):INDEX(PermLoan!$E$29:$NL$29,((J$22-1)*12+1)+11))</f>
        <v/>
      </c>
      <c r="K29" s="329">
        <f>SUM(INDEX(PermLoan!$E$29:$NL$29,((K$22-1)*12+1)):INDEX(PermLoan!$E$29:$NL$29,((K$22-1)*12+1)+11))</f>
        <v/>
      </c>
      <c r="L29" s="329">
        <f>SUM(INDEX(PermLoan!$E$29:$NL$29,((L$22-1)*12+1)):INDEX(PermLoan!$E$29:$NL$29,((L$22-1)*12+1)+11))</f>
        <v/>
      </c>
      <c r="M29" s="329">
        <f>SUM(INDEX(PermLoan!$E$29:$NL$29,((M$22-1)*12+1)):INDEX(PermLoan!$E$29:$NL$29,((M$22-1)*12+1)+11))</f>
        <v/>
      </c>
      <c r="N29" s="329">
        <f>SUM(INDEX(PermLoan!$E$29:$NL$29,((N$22-1)*12+1)):INDEX(PermLoan!$E$29:$NL$29,((N$22-1)*12+1)+11))</f>
        <v/>
      </c>
      <c r="O29" s="329">
        <f>SUM(INDEX(PermLoan!$E$29:$NL$29,((O$22-1)*12+1)):INDEX(PermLoan!$E$29:$NL$29,((O$22-1)*12+1)+11))</f>
        <v/>
      </c>
      <c r="P29" s="329">
        <f>SUM(INDEX(PermLoan!$E$29:$NL$29,((P$22-1)*12+1)):INDEX(PermLoan!$E$29:$NL$29,((P$22-1)*12+1)+11))</f>
        <v/>
      </c>
      <c r="Q29" s="329">
        <f>SUM(INDEX(PermLoan!$E$29:$NL$29,((Q$22-1)*12+1)):INDEX(PermLoan!$E$29:$NL$29,((Q$22-1)*12+1)+11))</f>
        <v/>
      </c>
      <c r="R29" s="329">
        <f>SUM(INDEX(PermLoan!$E$29:$NL$29,((R$22-1)*12+1)):INDEX(PermLoan!$E$29:$NL$29,((R$22-1)*12+1)+11))</f>
        <v/>
      </c>
      <c r="S29" s="329">
        <f>SUM(INDEX(PermLoan!$E$29:$NL$29,((S$22-1)*12+1)):INDEX(PermLoan!$E$29:$NL$29,((S$22-1)*12+1)+11))</f>
        <v/>
      </c>
      <c r="T29" s="329">
        <f>SUM(INDEX(PermLoan!$E$29:$NL$29,((T$22-1)*12+1)):INDEX(PermLoan!$E$29:$NL$29,((T$22-1)*12+1)+11))</f>
        <v/>
      </c>
      <c r="U29" s="329">
        <f>SUM(INDEX(PermLoan!$E$29:$NL$29,((U$22-1)*12+1)):INDEX(PermLoan!$E$29:$NL$29,((U$22-1)*12+1)+11))</f>
        <v/>
      </c>
      <c r="V29" s="329">
        <f>SUM(INDEX(PermLoan!$E$29:$NL$29,((V$22-1)*12+1)):INDEX(PermLoan!$E$29:$NL$29,((V$22-1)*12+1)+11))</f>
        <v/>
      </c>
      <c r="W29" s="329">
        <f>SUM(INDEX(PermLoan!$E$29:$NL$29,((W$22-1)*12+1)):INDEX(PermLoan!$E$29:$NL$29,((W$22-1)*12+1)+11))</f>
        <v/>
      </c>
      <c r="X29" s="329">
        <f>SUM(INDEX(PermLoan!$E$29:$NL$29,((X$22-1)*12+1)):INDEX(PermLoan!$E$29:$NL$29,((X$22-1)*12+1)+11))</f>
        <v/>
      </c>
      <c r="Y29" s="329">
        <f>SUM(INDEX(PermLoan!$E$29:$NL$29,((Y$22-1)*12+1)):INDEX(PermLoan!$E$29:$NL$29,((Y$22-1)*12+1)+11))</f>
        <v/>
      </c>
      <c r="Z29" s="329">
        <f>SUM(INDEX(PermLoan!$E$29:$NL$29,((Z$22-1)*12+1)):INDEX(PermLoan!$E$29:$NL$29,((Z$22-1)*12+1)+11))</f>
        <v/>
      </c>
      <c r="AA29" s="329">
        <f>SUM(INDEX(PermLoan!$E$29:$NL$29,((AA$22-1)*12+1)):INDEX(PermLoan!$E$29:$NL$29,((AA$22-1)*12+1)+11))</f>
        <v/>
      </c>
      <c r="AB29" s="329">
        <f>SUM(INDEX(PermLoan!$E$29:$NL$29,((AB$22-1)*12+1)):INDEX(PermLoan!$E$29:$NL$29,((AB$22-1)*12+1)+11))</f>
        <v/>
      </c>
      <c r="AC29" s="329">
        <f>SUM(INDEX(PermLoan!$E$29:$NL$29,((AC$22-1)*12+1)):INDEX(PermLoan!$E$29:$NL$29,((AC$22-1)*12+1)+11))</f>
        <v/>
      </c>
      <c r="AD29" s="329">
        <f>SUM(INDEX(PermLoan!$E$29:$NL$29,((AD$22-1)*12+1)):INDEX(PermLoan!$E$29:$NL$29,((AD$22-1)*12+1)+11))</f>
        <v/>
      </c>
      <c r="AE29" s="329">
        <f>SUM(INDEX(PermLoan!$E$29:$NL$29,((AE$22-1)*12+1)):INDEX(PermLoan!$E$29:$NL$29,((AE$22-1)*12+1)+11))</f>
        <v/>
      </c>
      <c r="AF29" s="329">
        <f>SUM(INDEX(PermLoan!$E$29:$NL$29,((AF$22-1)*12+1)):INDEX(PermLoan!$E$29:$NL$29,((AF$22-1)*12+1)+11))</f>
        <v/>
      </c>
      <c r="AG29" s="329">
        <f>SUM(INDEX(PermLoan!$E$29:$NL$29,((AG$22-1)*12+1)):INDEX(PermLoan!$E$29:$NL$29,((AG$22-1)*12+1)+11))</f>
        <v/>
      </c>
    </row>
    <row r="30">
      <c r="B30" s="316" t="inlineStr">
        <is>
          <t>Unlevered Cash Flow</t>
        </is>
      </c>
      <c r="C30" s="329">
        <f>SUM(INDEX(CashFlow!$E$7:$NL$7,((C$22-1)*12+1)):INDEX(CashFlow!$E$7:$NL$7,((C$22-1)*12+1)+11))</f>
        <v/>
      </c>
      <c r="D30" s="329">
        <f>SUM(INDEX(CashFlow!$E$7:$NL$7,((D$22-1)*12+1)):INDEX(CashFlow!$E$7:$NL$7,((D$22-1)*12+1)+11))</f>
        <v/>
      </c>
      <c r="E30" s="329">
        <f>SUM(INDEX(CashFlow!$E$7:$NL$7,((E$22-1)*12+1)):INDEX(CashFlow!$E$7:$NL$7,((E$22-1)*12+1)+11))</f>
        <v/>
      </c>
      <c r="F30" s="329">
        <f>SUM(INDEX(CashFlow!$E$7:$NL$7,((F$22-1)*12+1)):INDEX(CashFlow!$E$7:$NL$7,((F$22-1)*12+1)+11))</f>
        <v/>
      </c>
      <c r="G30" s="329">
        <f>SUM(INDEX(CashFlow!$E$7:$NL$7,((G$22-1)*12+1)):INDEX(CashFlow!$E$7:$NL$7,((G$22-1)*12+1)+11))</f>
        <v/>
      </c>
      <c r="H30" s="329">
        <f>SUM(INDEX(CashFlow!$E$7:$NL$7,((H$22-1)*12+1)):INDEX(CashFlow!$E$7:$NL$7,((H$22-1)*12+1)+11))</f>
        <v/>
      </c>
      <c r="I30" s="329">
        <f>SUM(INDEX(CashFlow!$E$7:$NL$7,((I$22-1)*12+1)):INDEX(CashFlow!$E$7:$NL$7,((I$22-1)*12+1)+11))</f>
        <v/>
      </c>
      <c r="J30" s="329">
        <f>SUM(INDEX(CashFlow!$E$7:$NL$7,((J$22-1)*12+1)):INDEX(CashFlow!$E$7:$NL$7,((J$22-1)*12+1)+11))</f>
        <v/>
      </c>
      <c r="K30" s="329">
        <f>SUM(INDEX(CashFlow!$E$7:$NL$7,((K$22-1)*12+1)):INDEX(CashFlow!$E$7:$NL$7,((K$22-1)*12+1)+11))</f>
        <v/>
      </c>
      <c r="L30" s="329">
        <f>SUM(INDEX(CashFlow!$E$7:$NL$7,((L$22-1)*12+1)):INDEX(CashFlow!$E$7:$NL$7,((L$22-1)*12+1)+11))</f>
        <v/>
      </c>
      <c r="M30" s="329">
        <f>SUM(INDEX(CashFlow!$E$7:$NL$7,((M$22-1)*12+1)):INDEX(CashFlow!$E$7:$NL$7,((M$22-1)*12+1)+11))</f>
        <v/>
      </c>
      <c r="N30" s="329">
        <f>SUM(INDEX(CashFlow!$E$7:$NL$7,((N$22-1)*12+1)):INDEX(CashFlow!$E$7:$NL$7,((N$22-1)*12+1)+11))</f>
        <v/>
      </c>
      <c r="O30" s="329">
        <f>SUM(INDEX(CashFlow!$E$7:$NL$7,((O$22-1)*12+1)):INDEX(CashFlow!$E$7:$NL$7,((O$22-1)*12+1)+11))</f>
        <v/>
      </c>
      <c r="P30" s="329">
        <f>SUM(INDEX(CashFlow!$E$7:$NL$7,((P$22-1)*12+1)):INDEX(CashFlow!$E$7:$NL$7,((P$22-1)*12+1)+11))</f>
        <v/>
      </c>
      <c r="Q30" s="329">
        <f>SUM(INDEX(CashFlow!$E$7:$NL$7,((Q$22-1)*12+1)):INDEX(CashFlow!$E$7:$NL$7,((Q$22-1)*12+1)+11))</f>
        <v/>
      </c>
      <c r="R30" s="329">
        <f>SUM(INDEX(CashFlow!$E$7:$NL$7,((R$22-1)*12+1)):INDEX(CashFlow!$E$7:$NL$7,((R$22-1)*12+1)+11))</f>
        <v/>
      </c>
      <c r="S30" s="329">
        <f>SUM(INDEX(CashFlow!$E$7:$NL$7,((S$22-1)*12+1)):INDEX(CashFlow!$E$7:$NL$7,((S$22-1)*12+1)+11))</f>
        <v/>
      </c>
      <c r="T30" s="329">
        <f>SUM(INDEX(CashFlow!$E$7:$NL$7,((T$22-1)*12+1)):INDEX(CashFlow!$E$7:$NL$7,((T$22-1)*12+1)+11))</f>
        <v/>
      </c>
      <c r="U30" s="329">
        <f>SUM(INDEX(CashFlow!$E$7:$NL$7,((U$22-1)*12+1)):INDEX(CashFlow!$E$7:$NL$7,((U$22-1)*12+1)+11))</f>
        <v/>
      </c>
      <c r="V30" s="329">
        <f>SUM(INDEX(CashFlow!$E$7:$NL$7,((V$22-1)*12+1)):INDEX(CashFlow!$E$7:$NL$7,((V$22-1)*12+1)+11))</f>
        <v/>
      </c>
      <c r="W30" s="329">
        <f>SUM(INDEX(CashFlow!$E$7:$NL$7,((W$22-1)*12+1)):INDEX(CashFlow!$E$7:$NL$7,((W$22-1)*12+1)+11))</f>
        <v/>
      </c>
      <c r="X30" s="329">
        <f>SUM(INDEX(CashFlow!$E$7:$NL$7,((X$22-1)*12+1)):INDEX(CashFlow!$E$7:$NL$7,((X$22-1)*12+1)+11))</f>
        <v/>
      </c>
      <c r="Y30" s="329">
        <f>SUM(INDEX(CashFlow!$E$7:$NL$7,((Y$22-1)*12+1)):INDEX(CashFlow!$E$7:$NL$7,((Y$22-1)*12+1)+11))</f>
        <v/>
      </c>
      <c r="Z30" s="329">
        <f>SUM(INDEX(CashFlow!$E$7:$NL$7,((Z$22-1)*12+1)):INDEX(CashFlow!$E$7:$NL$7,((Z$22-1)*12+1)+11))</f>
        <v/>
      </c>
      <c r="AA30" s="329">
        <f>SUM(INDEX(CashFlow!$E$7:$NL$7,((AA$22-1)*12+1)):INDEX(CashFlow!$E$7:$NL$7,((AA$22-1)*12+1)+11))</f>
        <v/>
      </c>
      <c r="AB30" s="329">
        <f>SUM(INDEX(CashFlow!$E$7:$NL$7,((AB$22-1)*12+1)):INDEX(CashFlow!$E$7:$NL$7,((AB$22-1)*12+1)+11))</f>
        <v/>
      </c>
      <c r="AC30" s="329">
        <f>SUM(INDEX(CashFlow!$E$7:$NL$7,((AC$22-1)*12+1)):INDEX(CashFlow!$E$7:$NL$7,((AC$22-1)*12+1)+11))</f>
        <v/>
      </c>
      <c r="AD30" s="329">
        <f>SUM(INDEX(CashFlow!$E$7:$NL$7,((AD$22-1)*12+1)):INDEX(CashFlow!$E$7:$NL$7,((AD$22-1)*12+1)+11))</f>
        <v/>
      </c>
      <c r="AE30" s="329">
        <f>SUM(INDEX(CashFlow!$E$7:$NL$7,((AE$22-1)*12+1)):INDEX(CashFlow!$E$7:$NL$7,((AE$22-1)*12+1)+11))</f>
        <v/>
      </c>
      <c r="AF30" s="329">
        <f>SUM(INDEX(CashFlow!$E$7:$NL$7,((AF$22-1)*12+1)):INDEX(CashFlow!$E$7:$NL$7,((AF$22-1)*12+1)+11))</f>
        <v/>
      </c>
      <c r="AG30" s="329">
        <f>SUM(INDEX(CashFlow!$E$7:$NL$7,((AG$22-1)*12+1)):INDEX(CashFlow!$E$7:$NL$7,((AG$22-1)*12+1)+11))</f>
        <v/>
      </c>
    </row>
    <row r="31">
      <c r="B31" s="316" t="inlineStr">
        <is>
          <t>Levered Cash Flow</t>
        </is>
      </c>
      <c r="C31" s="329">
        <f>SUM(INDEX(CashFlow!$E$6:$NL$6,((C$22-1)*12+1)):INDEX(CashFlow!$E$6:$NL$6,((C$22-1)*12+1)+11))</f>
        <v/>
      </c>
      <c r="D31" s="329">
        <f>SUM(INDEX(CashFlow!$E$6:$NL$6,((D$22-1)*12+1)):INDEX(CashFlow!$E$6:$NL$6,((D$22-1)*12+1)+11))</f>
        <v/>
      </c>
      <c r="E31" s="329">
        <f>SUM(INDEX(CashFlow!$E$6:$NL$6,((E$22-1)*12+1)):INDEX(CashFlow!$E$6:$NL$6,((E$22-1)*12+1)+11))</f>
        <v/>
      </c>
      <c r="F31" s="329">
        <f>SUM(INDEX(CashFlow!$E$6:$NL$6,((F$22-1)*12+1)):INDEX(CashFlow!$E$6:$NL$6,((F$22-1)*12+1)+11))</f>
        <v/>
      </c>
      <c r="G31" s="329">
        <f>SUM(INDEX(CashFlow!$E$6:$NL$6,((G$22-1)*12+1)):INDEX(CashFlow!$E$6:$NL$6,((G$22-1)*12+1)+11))</f>
        <v/>
      </c>
      <c r="H31" s="329">
        <f>SUM(INDEX(CashFlow!$E$6:$NL$6,((H$22-1)*12+1)):INDEX(CashFlow!$E$6:$NL$6,((H$22-1)*12+1)+11))</f>
        <v/>
      </c>
      <c r="I31" s="329">
        <f>SUM(INDEX(CashFlow!$E$6:$NL$6,((I$22-1)*12+1)):INDEX(CashFlow!$E$6:$NL$6,((I$22-1)*12+1)+11))</f>
        <v/>
      </c>
      <c r="J31" s="329">
        <f>SUM(INDEX(CashFlow!$E$6:$NL$6,((J$22-1)*12+1)):INDEX(CashFlow!$E$6:$NL$6,((J$22-1)*12+1)+11))</f>
        <v/>
      </c>
      <c r="K31" s="329">
        <f>SUM(INDEX(CashFlow!$E$6:$NL$6,((K$22-1)*12+1)):INDEX(CashFlow!$E$6:$NL$6,((K$22-1)*12+1)+11))</f>
        <v/>
      </c>
      <c r="L31" s="329">
        <f>SUM(INDEX(CashFlow!$E$6:$NL$6,((L$22-1)*12+1)):INDEX(CashFlow!$E$6:$NL$6,((L$22-1)*12+1)+11))</f>
        <v/>
      </c>
      <c r="M31" s="329">
        <f>SUM(INDEX(CashFlow!$E$6:$NL$6,((M$22-1)*12+1)):INDEX(CashFlow!$E$6:$NL$6,((M$22-1)*12+1)+11))</f>
        <v/>
      </c>
      <c r="N31" s="329">
        <f>SUM(INDEX(CashFlow!$E$6:$NL$6,((N$22-1)*12+1)):INDEX(CashFlow!$E$6:$NL$6,((N$22-1)*12+1)+11))</f>
        <v/>
      </c>
      <c r="O31" s="329">
        <f>SUM(INDEX(CashFlow!$E$6:$NL$6,((O$22-1)*12+1)):INDEX(CashFlow!$E$6:$NL$6,((O$22-1)*12+1)+11))</f>
        <v/>
      </c>
      <c r="P31" s="329">
        <f>SUM(INDEX(CashFlow!$E$6:$NL$6,((P$22-1)*12+1)):INDEX(CashFlow!$E$6:$NL$6,((P$22-1)*12+1)+11))</f>
        <v/>
      </c>
      <c r="Q31" s="329">
        <f>SUM(INDEX(CashFlow!$E$6:$NL$6,((Q$22-1)*12+1)):INDEX(CashFlow!$E$6:$NL$6,((Q$22-1)*12+1)+11))</f>
        <v/>
      </c>
      <c r="R31" s="329">
        <f>SUM(INDEX(CashFlow!$E$6:$NL$6,((R$22-1)*12+1)):INDEX(CashFlow!$E$6:$NL$6,((R$22-1)*12+1)+11))</f>
        <v/>
      </c>
      <c r="S31" s="329">
        <f>SUM(INDEX(CashFlow!$E$6:$NL$6,((S$22-1)*12+1)):INDEX(CashFlow!$E$6:$NL$6,((S$22-1)*12+1)+11))</f>
        <v/>
      </c>
      <c r="T31" s="329">
        <f>SUM(INDEX(CashFlow!$E$6:$NL$6,((T$22-1)*12+1)):INDEX(CashFlow!$E$6:$NL$6,((T$22-1)*12+1)+11))</f>
        <v/>
      </c>
      <c r="U31" s="329">
        <f>SUM(INDEX(CashFlow!$E$6:$NL$6,((U$22-1)*12+1)):INDEX(CashFlow!$E$6:$NL$6,((U$22-1)*12+1)+11))</f>
        <v/>
      </c>
      <c r="V31" s="329">
        <f>SUM(INDEX(CashFlow!$E$6:$NL$6,((V$22-1)*12+1)):INDEX(CashFlow!$E$6:$NL$6,((V$22-1)*12+1)+11))</f>
        <v/>
      </c>
      <c r="W31" s="329">
        <f>SUM(INDEX(CashFlow!$E$6:$NL$6,((W$22-1)*12+1)):INDEX(CashFlow!$E$6:$NL$6,((W$22-1)*12+1)+11))</f>
        <v/>
      </c>
      <c r="X31" s="329">
        <f>SUM(INDEX(CashFlow!$E$6:$NL$6,((X$22-1)*12+1)):INDEX(CashFlow!$E$6:$NL$6,((X$22-1)*12+1)+11))</f>
        <v/>
      </c>
      <c r="Y31" s="329">
        <f>SUM(INDEX(CashFlow!$E$6:$NL$6,((Y$22-1)*12+1)):INDEX(CashFlow!$E$6:$NL$6,((Y$22-1)*12+1)+11))</f>
        <v/>
      </c>
      <c r="Z31" s="329">
        <f>SUM(INDEX(CashFlow!$E$6:$NL$6,((Z$22-1)*12+1)):INDEX(CashFlow!$E$6:$NL$6,((Z$22-1)*12+1)+11))</f>
        <v/>
      </c>
      <c r="AA31" s="329">
        <f>SUM(INDEX(CashFlow!$E$6:$NL$6,((AA$22-1)*12+1)):INDEX(CashFlow!$E$6:$NL$6,((AA$22-1)*12+1)+11))</f>
        <v/>
      </c>
      <c r="AB31" s="329">
        <f>SUM(INDEX(CashFlow!$E$6:$NL$6,((AB$22-1)*12+1)):INDEX(CashFlow!$E$6:$NL$6,((AB$22-1)*12+1)+11))</f>
        <v/>
      </c>
      <c r="AC31" s="329">
        <f>SUM(INDEX(CashFlow!$E$6:$NL$6,((AC$22-1)*12+1)):INDEX(CashFlow!$E$6:$NL$6,((AC$22-1)*12+1)+11))</f>
        <v/>
      </c>
      <c r="AD31" s="329">
        <f>SUM(INDEX(CashFlow!$E$6:$NL$6,((AD$22-1)*12+1)):INDEX(CashFlow!$E$6:$NL$6,((AD$22-1)*12+1)+11))</f>
        <v/>
      </c>
      <c r="AE31" s="329">
        <f>SUM(INDEX(CashFlow!$E$6:$NL$6,((AE$22-1)*12+1)):INDEX(CashFlow!$E$6:$NL$6,((AE$22-1)*12+1)+11))</f>
        <v/>
      </c>
      <c r="AF31" s="329">
        <f>SUM(INDEX(CashFlow!$E$6:$NL$6,((AF$22-1)*12+1)):INDEX(CashFlow!$E$6:$NL$6,((AF$22-1)*12+1)+11))</f>
        <v/>
      </c>
      <c r="AG31" s="329">
        <f>SUM(INDEX(CashFlow!$E$6:$NL$6,((AG$22-1)*12+1)):INDEX(CashFlow!$E$6:$NL$6,((AG$22-1)*12+1)+11))</f>
        <v/>
      </c>
    </row>
    <row r="32">
      <c r="B32" s="316" t="inlineStr">
        <is>
          <t>Construction Loan Balance (EOY)</t>
        </is>
      </c>
      <c r="C32" s="329">
        <f>INDEX(ConLoan!$E$32:$NL$32,((C$22-1)*12+1)+11)</f>
        <v/>
      </c>
      <c r="D32" s="329">
        <f>INDEX(ConLoan!$E$32:$NL$32,((D$22-1)*12+1)+11)</f>
        <v/>
      </c>
      <c r="E32" s="329">
        <f>INDEX(ConLoan!$E$32:$NL$32,((E$22-1)*12+1)+11)</f>
        <v/>
      </c>
      <c r="F32" s="329">
        <f>INDEX(ConLoan!$E$32:$NL$32,((F$22-1)*12+1)+11)</f>
        <v/>
      </c>
      <c r="G32" s="329">
        <f>INDEX(ConLoan!$E$32:$NL$32,((G$22-1)*12+1)+11)</f>
        <v/>
      </c>
      <c r="H32" s="329">
        <f>INDEX(ConLoan!$E$32:$NL$32,((H$22-1)*12+1)+11)</f>
        <v/>
      </c>
      <c r="I32" s="329">
        <f>INDEX(ConLoan!$E$32:$NL$32,((I$22-1)*12+1)+11)</f>
        <v/>
      </c>
      <c r="J32" s="329">
        <f>INDEX(ConLoan!$E$32:$NL$32,((J$22-1)*12+1)+11)</f>
        <v/>
      </c>
      <c r="K32" s="329">
        <f>INDEX(ConLoan!$E$32:$NL$32,((K$22-1)*12+1)+11)</f>
        <v/>
      </c>
      <c r="L32" s="329">
        <f>INDEX(ConLoan!$E$32:$NL$32,((L$22-1)*12+1)+11)</f>
        <v/>
      </c>
      <c r="M32" s="329">
        <f>INDEX(ConLoan!$E$32:$NL$32,((M$22-1)*12+1)+11)</f>
        <v/>
      </c>
      <c r="N32" s="329">
        <f>INDEX(ConLoan!$E$32:$NL$32,((N$22-1)*12+1)+11)</f>
        <v/>
      </c>
      <c r="O32" s="329">
        <f>INDEX(ConLoan!$E$32:$NL$32,((O$22-1)*12+1)+11)</f>
        <v/>
      </c>
      <c r="P32" s="329">
        <f>INDEX(ConLoan!$E$32:$NL$32,((P$22-1)*12+1)+11)</f>
        <v/>
      </c>
      <c r="Q32" s="329">
        <f>INDEX(ConLoan!$E$32:$NL$32,((Q$22-1)*12+1)+11)</f>
        <v/>
      </c>
      <c r="R32" s="329">
        <f>INDEX(ConLoan!$E$32:$NL$32,((R$22-1)*12+1)+11)</f>
        <v/>
      </c>
      <c r="S32" s="329">
        <f>INDEX(ConLoan!$E$32:$NL$32,((S$22-1)*12+1)+11)</f>
        <v/>
      </c>
      <c r="T32" s="329">
        <f>INDEX(ConLoan!$E$32:$NL$32,((T$22-1)*12+1)+11)</f>
        <v/>
      </c>
      <c r="U32" s="329">
        <f>INDEX(ConLoan!$E$32:$NL$32,((U$22-1)*12+1)+11)</f>
        <v/>
      </c>
      <c r="V32" s="329">
        <f>INDEX(ConLoan!$E$32:$NL$32,((V$22-1)*12+1)+11)</f>
        <v/>
      </c>
      <c r="W32" s="329">
        <f>INDEX(ConLoan!$E$32:$NL$32,((W$22-1)*12+1)+11)</f>
        <v/>
      </c>
      <c r="X32" s="329">
        <f>INDEX(ConLoan!$E$32:$NL$32,((X$22-1)*12+1)+11)</f>
        <v/>
      </c>
      <c r="Y32" s="329">
        <f>INDEX(ConLoan!$E$32:$NL$32,((Y$22-1)*12+1)+11)</f>
        <v/>
      </c>
      <c r="Z32" s="329">
        <f>INDEX(ConLoan!$E$32:$NL$32,((Z$22-1)*12+1)+11)</f>
        <v/>
      </c>
      <c r="AA32" s="329">
        <f>INDEX(ConLoan!$E$32:$NL$32,((AA$22-1)*12+1)+11)</f>
        <v/>
      </c>
      <c r="AB32" s="329">
        <f>INDEX(ConLoan!$E$32:$NL$32,((AB$22-1)*12+1)+11)</f>
        <v/>
      </c>
      <c r="AC32" s="329">
        <f>INDEX(ConLoan!$E$32:$NL$32,((AC$22-1)*12+1)+11)</f>
        <v/>
      </c>
      <c r="AD32" s="329">
        <f>INDEX(ConLoan!$E$32:$NL$32,((AD$22-1)*12+1)+11)</f>
        <v/>
      </c>
      <c r="AE32" s="329">
        <f>INDEX(ConLoan!$E$32:$NL$32,((AE$22-1)*12+1)+11)</f>
        <v/>
      </c>
      <c r="AF32" s="329">
        <f>INDEX(ConLoan!$E$32:$NL$32,((AF$22-1)*12+1)+11)</f>
        <v/>
      </c>
      <c r="AG32" s="329">
        <f>INDEX(ConLoan!$E$32:$NL$32,((AG$22-1)*12+1)+11)</f>
        <v/>
      </c>
    </row>
    <row r="33">
      <c r="B33" s="316" t="inlineStr">
        <is>
          <t>Permanent Loan Balance (EOY)</t>
        </is>
      </c>
      <c r="C33" s="329">
        <f>INDEX(PermLoan!$E$30:$NL$30,((C$22-1)*12+1)+11)</f>
        <v/>
      </c>
      <c r="D33" s="329">
        <f>INDEX(PermLoan!$E$30:$NL$30,((D$22-1)*12+1)+11)</f>
        <v/>
      </c>
      <c r="E33" s="329">
        <f>INDEX(PermLoan!$E$30:$NL$30,((E$22-1)*12+1)+11)</f>
        <v/>
      </c>
      <c r="F33" s="329">
        <f>INDEX(PermLoan!$E$30:$NL$30,((F$22-1)*12+1)+11)</f>
        <v/>
      </c>
      <c r="G33" s="329">
        <f>INDEX(PermLoan!$E$30:$NL$30,((G$22-1)*12+1)+11)</f>
        <v/>
      </c>
      <c r="H33" s="329">
        <f>INDEX(PermLoan!$E$30:$NL$30,((H$22-1)*12+1)+11)</f>
        <v/>
      </c>
      <c r="I33" s="329">
        <f>INDEX(PermLoan!$E$30:$NL$30,((I$22-1)*12+1)+11)</f>
        <v/>
      </c>
      <c r="J33" s="329">
        <f>INDEX(PermLoan!$E$30:$NL$30,((J$22-1)*12+1)+11)</f>
        <v/>
      </c>
      <c r="K33" s="329">
        <f>INDEX(PermLoan!$E$30:$NL$30,((K$22-1)*12+1)+11)</f>
        <v/>
      </c>
      <c r="L33" s="329">
        <f>INDEX(PermLoan!$E$30:$NL$30,((L$22-1)*12+1)+11)</f>
        <v/>
      </c>
      <c r="M33" s="329">
        <f>INDEX(PermLoan!$E$30:$NL$30,((M$22-1)*12+1)+11)</f>
        <v/>
      </c>
      <c r="N33" s="329">
        <f>INDEX(PermLoan!$E$30:$NL$30,((N$22-1)*12+1)+11)</f>
        <v/>
      </c>
      <c r="O33" s="329">
        <f>INDEX(PermLoan!$E$30:$NL$30,((O$22-1)*12+1)+11)</f>
        <v/>
      </c>
      <c r="P33" s="329">
        <f>INDEX(PermLoan!$E$30:$NL$30,((P$22-1)*12+1)+11)</f>
        <v/>
      </c>
      <c r="Q33" s="329">
        <f>INDEX(PermLoan!$E$30:$NL$30,((Q$22-1)*12+1)+11)</f>
        <v/>
      </c>
      <c r="R33" s="329">
        <f>INDEX(PermLoan!$E$30:$NL$30,((R$22-1)*12+1)+11)</f>
        <v/>
      </c>
      <c r="S33" s="329">
        <f>INDEX(PermLoan!$E$30:$NL$30,((S$22-1)*12+1)+11)</f>
        <v/>
      </c>
      <c r="T33" s="329">
        <f>INDEX(PermLoan!$E$30:$NL$30,((T$22-1)*12+1)+11)</f>
        <v/>
      </c>
      <c r="U33" s="329">
        <f>INDEX(PermLoan!$E$30:$NL$30,((U$22-1)*12+1)+11)</f>
        <v/>
      </c>
      <c r="V33" s="329">
        <f>INDEX(PermLoan!$E$30:$NL$30,((V$22-1)*12+1)+11)</f>
        <v/>
      </c>
      <c r="W33" s="329">
        <f>INDEX(PermLoan!$E$30:$NL$30,((W$22-1)*12+1)+11)</f>
        <v/>
      </c>
      <c r="X33" s="329">
        <f>INDEX(PermLoan!$E$30:$NL$30,((X$22-1)*12+1)+11)</f>
        <v/>
      </c>
      <c r="Y33" s="329">
        <f>INDEX(PermLoan!$E$30:$NL$30,((Y$22-1)*12+1)+11)</f>
        <v/>
      </c>
      <c r="Z33" s="329">
        <f>INDEX(PermLoan!$E$30:$NL$30,((Z$22-1)*12+1)+11)</f>
        <v/>
      </c>
      <c r="AA33" s="329">
        <f>INDEX(PermLoan!$E$30:$NL$30,((AA$22-1)*12+1)+11)</f>
        <v/>
      </c>
      <c r="AB33" s="329">
        <f>INDEX(PermLoan!$E$30:$NL$30,((AB$22-1)*12+1)+11)</f>
        <v/>
      </c>
      <c r="AC33" s="329">
        <f>INDEX(PermLoan!$E$30:$NL$30,((AC$22-1)*12+1)+11)</f>
        <v/>
      </c>
      <c r="AD33" s="329">
        <f>INDEX(PermLoan!$E$30:$NL$30,((AD$22-1)*12+1)+11)</f>
        <v/>
      </c>
      <c r="AE33" s="329">
        <f>INDEX(PermLoan!$E$30:$NL$30,((AE$22-1)*12+1)+11)</f>
        <v/>
      </c>
      <c r="AF33" s="329">
        <f>INDEX(PermLoan!$E$30:$NL$30,((AF$22-1)*12+1)+11)</f>
        <v/>
      </c>
      <c r="AG33" s="329">
        <f>INDEX(PermLoan!$E$30:$NL$30,((AG$22-1)*12+1)+11)</f>
        <v/>
      </c>
    </row>
    <row r="34">
      <c r="B34" s="316" t="inlineStr">
        <is>
          <t>Physical Occupancy (EOY)</t>
        </is>
      </c>
      <c r="C34" s="333">
        <f>INDEX(LeaseUp!$E$10:$NL$10,((C$22-1)*12+1)+11)</f>
        <v/>
      </c>
      <c r="D34" s="333">
        <f>INDEX(LeaseUp!$E$10:$NL$10,((D$22-1)*12+1)+11)</f>
        <v/>
      </c>
      <c r="E34" s="333">
        <f>INDEX(LeaseUp!$E$10:$NL$10,((E$22-1)*12+1)+11)</f>
        <v/>
      </c>
      <c r="F34" s="333">
        <f>INDEX(LeaseUp!$E$10:$NL$10,((F$22-1)*12+1)+11)</f>
        <v/>
      </c>
      <c r="G34" s="333">
        <f>INDEX(LeaseUp!$E$10:$NL$10,((G$22-1)*12+1)+11)</f>
        <v/>
      </c>
      <c r="H34" s="333">
        <f>INDEX(LeaseUp!$E$10:$NL$10,((H$22-1)*12+1)+11)</f>
        <v/>
      </c>
      <c r="I34" s="333">
        <f>INDEX(LeaseUp!$E$10:$NL$10,((I$22-1)*12+1)+11)</f>
        <v/>
      </c>
      <c r="J34" s="333">
        <f>INDEX(LeaseUp!$E$10:$NL$10,((J$22-1)*12+1)+11)</f>
        <v/>
      </c>
      <c r="K34" s="333">
        <f>INDEX(LeaseUp!$E$10:$NL$10,((K$22-1)*12+1)+11)</f>
        <v/>
      </c>
      <c r="L34" s="333">
        <f>INDEX(LeaseUp!$E$10:$NL$10,((L$22-1)*12+1)+11)</f>
        <v/>
      </c>
      <c r="M34" s="333">
        <f>INDEX(LeaseUp!$E$10:$NL$10,((M$22-1)*12+1)+11)</f>
        <v/>
      </c>
      <c r="N34" s="333">
        <f>INDEX(LeaseUp!$E$10:$NL$10,((N$22-1)*12+1)+11)</f>
        <v/>
      </c>
      <c r="O34" s="333">
        <f>INDEX(LeaseUp!$E$10:$NL$10,((O$22-1)*12+1)+11)</f>
        <v/>
      </c>
      <c r="P34" s="333">
        <f>INDEX(LeaseUp!$E$10:$NL$10,((P$22-1)*12+1)+11)</f>
        <v/>
      </c>
      <c r="Q34" s="333">
        <f>INDEX(LeaseUp!$E$10:$NL$10,((Q$22-1)*12+1)+11)</f>
        <v/>
      </c>
      <c r="R34" s="333">
        <f>INDEX(LeaseUp!$E$10:$NL$10,((R$22-1)*12+1)+11)</f>
        <v/>
      </c>
      <c r="S34" s="333">
        <f>INDEX(LeaseUp!$E$10:$NL$10,((S$22-1)*12+1)+11)</f>
        <v/>
      </c>
      <c r="T34" s="333">
        <f>INDEX(LeaseUp!$E$10:$NL$10,((T$22-1)*12+1)+11)</f>
        <v/>
      </c>
      <c r="U34" s="333">
        <f>INDEX(LeaseUp!$E$10:$NL$10,((U$22-1)*12+1)+11)</f>
        <v/>
      </c>
      <c r="V34" s="333">
        <f>INDEX(LeaseUp!$E$10:$NL$10,((V$22-1)*12+1)+11)</f>
        <v/>
      </c>
      <c r="W34" s="333">
        <f>INDEX(LeaseUp!$E$10:$NL$10,((W$22-1)*12+1)+11)</f>
        <v/>
      </c>
      <c r="X34" s="333">
        <f>INDEX(LeaseUp!$E$10:$NL$10,((X$22-1)*12+1)+11)</f>
        <v/>
      </c>
      <c r="Y34" s="333">
        <f>INDEX(LeaseUp!$E$10:$NL$10,((Y$22-1)*12+1)+11)</f>
        <v/>
      </c>
      <c r="Z34" s="333">
        <f>INDEX(LeaseUp!$E$10:$NL$10,((Z$22-1)*12+1)+11)</f>
        <v/>
      </c>
      <c r="AA34" s="333">
        <f>INDEX(LeaseUp!$E$10:$NL$10,((AA$22-1)*12+1)+11)</f>
        <v/>
      </c>
      <c r="AB34" s="333">
        <f>INDEX(LeaseUp!$E$10:$NL$10,((AB$22-1)*12+1)+11)</f>
        <v/>
      </c>
      <c r="AC34" s="333">
        <f>INDEX(LeaseUp!$E$10:$NL$10,((AC$22-1)*12+1)+11)</f>
        <v/>
      </c>
      <c r="AD34" s="333">
        <f>INDEX(LeaseUp!$E$10:$NL$10,((AD$22-1)*12+1)+11)</f>
        <v/>
      </c>
      <c r="AE34" s="333">
        <f>INDEX(LeaseUp!$E$10:$NL$10,((AE$22-1)*12+1)+11)</f>
        <v/>
      </c>
      <c r="AF34" s="333">
        <f>INDEX(LeaseUp!$E$10:$NL$10,((AF$22-1)*12+1)+11)</f>
        <v/>
      </c>
      <c r="AG34" s="333">
        <f>INDEX(LeaseUp!$E$10:$NL$10,((AG$22-1)*12+1)+11)</f>
        <v/>
      </c>
    </row>
    <row r="36">
      <c r="B36" s="328" t="inlineStr">
        <is>
          <t>Check: ΣAnnual NOI − monthly total</t>
        </is>
      </c>
      <c r="C36" s="334">
        <f>SUM(C27:AG27)-Operating!$D$38</f>
        <v/>
      </c>
    </row>
    <row r="37">
      <c r="B37" t="inlineStr">
        <is>
          <t>Check: Σ Dev Cost + Σ Cap. Interest − TDC</t>
        </is>
      </c>
      <c r="C37" s="440">
        <f>SUM(C23:AG23)+SUM(C28:AG28)-TDC_Total</f>
        <v/>
      </c>
      <c r="D37">
        <f>IF(ABS(C37)&lt;1,"PASS","FAIL")</f>
        <v/>
      </c>
    </row>
  </sheetData>
  <conditionalFormatting sqref="C5:C40">
    <cfRule type="cellIs" priority="1" operator="equal" dxfId="7">
      <formula>"PASS"</formula>
    </cfRule>
    <cfRule type="cellIs" priority="2" operator="equal" dxfId="7">
      <formula>"OK"</formula>
    </cfRule>
    <cfRule type="cellIs" priority="3" operator="equal" dxfId="5">
      <formula>"FAIL"</formula>
    </cfRule>
    <cfRule type="cellIs" priority="4" operator="equal" dxfId="8">
      <formula>"WARN"</formula>
    </cfRule>
    <cfRule type="cellIs" priority="5" operator="equal" dxfId="8">
      <formula>"CHECK"</formula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B1:H49"/>
  <sheetViews>
    <sheetView showGridLines="0"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.7" customWidth="1" style="97" min="1" max="1"/>
    <col width="32" customWidth="1" style="97" min="2" max="2"/>
    <col width="14" customWidth="1" style="97" min="3" max="3"/>
    <col width="11" customWidth="1" style="97" min="4" max="4"/>
    <col width="12" customWidth="1" style="97" min="5" max="5"/>
    <col width="13" customWidth="1" style="97" min="6" max="6"/>
    <col width="14" customWidth="1" style="97" min="7" max="7"/>
    <col width="15" customWidth="1" style="97" min="8" max="8"/>
  </cols>
  <sheetData>
    <row r="1">
      <c r="B1" s="187" t="inlineStr">
        <is>
          <t>Stabilized Operating Proforma — Untrended</t>
        </is>
      </c>
    </row>
    <row r="2">
      <c r="B2" s="188">
        <f>""&amp;PropertyName&amp;"  •  "&amp;City&amp;", "&amp;State&amp;"  •  point-in-time at stabilized occupancy (no growth trending)"</f>
        <v/>
      </c>
    </row>
    <row r="4">
      <c r="B4" s="327" t="inlineStr">
        <is>
          <t>Basis</t>
        </is>
      </c>
      <c r="C4" s="155" t="n"/>
      <c r="D4" s="155" t="n"/>
      <c r="E4" s="155" t="n"/>
      <c r="F4" s="155" t="n"/>
      <c r="G4" s="155" t="n"/>
      <c r="H4" s="155" t="n"/>
    </row>
    <row r="5">
      <c r="B5" s="316" t="inlineStr">
        <is>
          <t>Total Units</t>
        </is>
      </c>
      <c r="C5" s="191">
        <f>TotalUnits</f>
        <v/>
      </c>
      <c r="E5" s="316" t="inlineStr">
        <is>
          <t>Occupied Units (stab)</t>
        </is>
      </c>
      <c r="F5" s="191">
        <f>StabLeasedTarget</f>
        <v/>
      </c>
    </row>
    <row r="6">
      <c r="B6" s="316" t="inlineStr">
        <is>
          <t>Net Rentable SF</t>
        </is>
      </c>
      <c r="C6" s="191">
        <f>NRSF</f>
        <v/>
      </c>
      <c r="E6" s="316" t="inlineStr">
        <is>
          <t>Stabilized Occupancy</t>
        </is>
      </c>
      <c r="F6" s="193">
        <f>StabilizedOccupancy</f>
        <v/>
      </c>
    </row>
    <row r="7">
      <c r="B7" s="316" t="inlineStr">
        <is>
          <t>Avg Unit SF</t>
        </is>
      </c>
      <c r="C7" s="191">
        <f>AvgUnitSF</f>
        <v/>
      </c>
      <c r="E7" s="316" t="inlineStr">
        <is>
          <t>Effective Tax Rate on Value</t>
        </is>
      </c>
      <c r="F7" s="278">
        <f>EffTaxRateOnValue</f>
        <v/>
      </c>
    </row>
    <row r="10">
      <c r="B10" s="319" t="inlineStr">
        <is>
          <t>Untrended Stabilized Proforma</t>
        </is>
      </c>
      <c r="C10" s="196" t="inlineStr">
        <is>
          <t>% of / amt</t>
        </is>
      </c>
      <c r="D10" s="196" t="inlineStr">
        <is>
          <t>$ / SF /mo</t>
        </is>
      </c>
      <c r="E10" s="196" t="inlineStr">
        <is>
          <t>$ / Unit /mo</t>
        </is>
      </c>
      <c r="F10" s="196" t="inlineStr">
        <is>
          <t>$ / Month</t>
        </is>
      </c>
      <c r="G10" s="196" t="inlineStr">
        <is>
          <t>$ / Year</t>
        </is>
      </c>
      <c r="H10" s="196" t="inlineStr">
        <is>
          <t>Trended $/yr (ref)</t>
        </is>
      </c>
    </row>
    <row r="11">
      <c r="B11" s="327" t="inlineStr">
        <is>
          <t>Revenue</t>
        </is>
      </c>
      <c r="C11" s="155" t="n"/>
      <c r="D11" s="155" t="n"/>
      <c r="E11" s="155" t="n"/>
      <c r="F11" s="155" t="n"/>
      <c r="G11" s="155" t="n"/>
      <c r="H11" s="155" t="n"/>
    </row>
    <row r="12">
      <c r="B12" s="316" t="inlineStr">
        <is>
          <t>Gross Potential Rent</t>
        </is>
      </c>
      <c r="C12" s="199">
        <f>(BaseMarketRentMo+BaseLowRentMo)/TotalUnits</f>
        <v/>
      </c>
      <c r="D12" s="279">
        <f>IF(NRSF=0,0,G12/12/NRSF)</f>
        <v/>
      </c>
      <c r="E12" s="280">
        <f>IF(TotalUnits=0,0,G12/12/TotalUnits)</f>
        <v/>
      </c>
      <c r="F12" s="280">
        <f>G12/12</f>
        <v/>
      </c>
      <c r="G12" s="280">
        <f>(BaseMarketRentMo+BaseLowRentMo)*12</f>
        <v/>
      </c>
      <c r="H12" s="281">
        <f>SUM(INDEX(Operating!$E$14:$NL$14,StabMonth):INDEX(Operating!$E$14:$NL$14,StabMonth+11))</f>
        <v/>
      </c>
    </row>
    <row r="13">
      <c r="B13" s="316" t="inlineStr">
        <is>
          <t>Vacancy Loss</t>
        </is>
      </c>
      <c r="C13" s="386" t="n">
        <v>-0.06</v>
      </c>
      <c r="D13" s="279">
        <f>IF(NRSF=0,0,G13/12/NRSF)</f>
        <v/>
      </c>
      <c r="E13" s="280">
        <f>IF(TotalUnits=0,0,G13/12/TotalUnits)</f>
        <v/>
      </c>
      <c r="F13" s="280">
        <f>G13/12</f>
        <v/>
      </c>
      <c r="G13" s="280">
        <f>G12*VacancyPct</f>
        <v/>
      </c>
      <c r="H13" s="281">
        <f>SUM(INDEX(Operating!$E$15:$NL$15,StabMonth):INDEX(Operating!$E$15:$NL$15,StabMonth+11))</f>
        <v/>
      </c>
    </row>
    <row r="14">
      <c r="B14" s="316" t="inlineStr">
        <is>
          <t>Gain / (Loss) to Lease</t>
        </is>
      </c>
      <c r="C14" s="386" t="n">
        <v>0</v>
      </c>
      <c r="D14" s="279">
        <f>IF(NRSF=0,0,G14/12/NRSF)</f>
        <v/>
      </c>
      <c r="E14" s="280">
        <f>IF(TotalUnits=0,0,G14/12/TotalUnits)</f>
        <v/>
      </c>
      <c r="F14" s="280">
        <f>G14/12</f>
        <v/>
      </c>
      <c r="G14" s="280">
        <f>G12*LossToLeasePct</f>
        <v/>
      </c>
      <c r="H14" s="281">
        <f>SUM(INDEX(Operating!$E$16:$NL$16,StabMonth):INDEX(Operating!$E$16:$NL$16,StabMonth+11))</f>
        <v/>
      </c>
    </row>
    <row r="15">
      <c r="B15" s="316" t="inlineStr">
        <is>
          <t>Bad Debt</t>
        </is>
      </c>
      <c r="C15" s="386" t="n">
        <v>-0.005</v>
      </c>
      <c r="D15" s="279">
        <f>IF(NRSF=0,0,G15/12/NRSF)</f>
        <v/>
      </c>
      <c r="E15" s="280">
        <f>IF(TotalUnits=0,0,G15/12/TotalUnits)</f>
        <v/>
      </c>
      <c r="F15" s="280">
        <f>G15/12</f>
        <v/>
      </c>
      <c r="G15" s="280">
        <f>G12*BadDebtPct</f>
        <v/>
      </c>
      <c r="H15" s="281">
        <f>SUM(INDEX(Operating!$E$17:$NL$17,StabMonth):INDEX(Operating!$E$17:$NL$17,StabMonth+11))</f>
        <v/>
      </c>
    </row>
    <row r="16">
      <c r="B16" s="316" t="inlineStr">
        <is>
          <t>Concessions</t>
        </is>
      </c>
      <c r="C16" s="386" t="n">
        <v>0</v>
      </c>
      <c r="D16" s="279">
        <f>IF(NRSF=0,0,G16/12/NRSF)</f>
        <v/>
      </c>
      <c r="E16" s="280">
        <f>IF(TotalUnits=0,0,G16/12/TotalUnits)</f>
        <v/>
      </c>
      <c r="F16" s="280">
        <f>G16/12</f>
        <v/>
      </c>
      <c r="G16" s="280">
        <f>G12*ConcessionsPct</f>
        <v/>
      </c>
      <c r="H16" s="281">
        <f>SUM(INDEX(Operating!$E$18:$NL$18,StabMonth):INDEX(Operating!$E$18:$NL$18,StabMonth+11))</f>
        <v/>
      </c>
    </row>
    <row r="17">
      <c r="B17" s="316" t="inlineStr">
        <is>
          <t>Model / Down Units</t>
        </is>
      </c>
      <c r="C17" s="288" t="n">
        <v>1</v>
      </c>
      <c r="D17" s="279">
        <f>IF(NRSF=0,0,G17/12/NRSF)</f>
        <v/>
      </c>
      <c r="E17" s="280">
        <f>IF(TotalUnits=0,0,G17/12/TotalUnits)</f>
        <v/>
      </c>
      <c r="F17" s="280">
        <f>G17/12</f>
        <v/>
      </c>
      <c r="G17" s="280">
        <f>-G12*ModelUnits/TotalUnits</f>
        <v/>
      </c>
    </row>
    <row r="18">
      <c r="B18" s="316" t="inlineStr">
        <is>
          <t>Parking &amp; Storage</t>
        </is>
      </c>
      <c r="C18" s="399" t="n">
        <v>50</v>
      </c>
      <c r="D18" s="279">
        <f>IF(NRSF=0,0,G18/12/NRSF)</f>
        <v/>
      </c>
      <c r="E18" s="280">
        <f>IF(TotalUnits=0,0,G18/12/TotalUnits)</f>
        <v/>
      </c>
      <c r="F18" s="280">
        <f>G18/12</f>
        <v/>
      </c>
      <c r="G18" s="280">
        <f>ParkingPerUnitMo*StabLeasedTarget*12</f>
        <v/>
      </c>
      <c r="H18" s="281">
        <f>SUM(INDEX(Operating!$E$19:$NL$19,StabMonth):INDEX(Operating!$E$19:$NL$19,StabMonth+11))</f>
        <v/>
      </c>
    </row>
    <row r="19">
      <c r="B19" s="316" t="inlineStr">
        <is>
          <t>Utility Reimbursement</t>
        </is>
      </c>
      <c r="C19" s="399" t="n">
        <v>50</v>
      </c>
      <c r="D19" s="279">
        <f>IF(NRSF=0,0,G19/12/NRSF)</f>
        <v/>
      </c>
      <c r="E19" s="280">
        <f>IF(TotalUnits=0,0,G19/12/TotalUnits)</f>
        <v/>
      </c>
      <c r="F19" s="280">
        <f>G19/12</f>
        <v/>
      </c>
      <c r="G19" s="280">
        <f>UtilReimbPerUnitMo*StabLeasedTarget*12</f>
        <v/>
      </c>
      <c r="H19" s="281">
        <f>SUM(INDEX(Operating!$E$20:$NL$20,StabMonth):INDEX(Operating!$E$20:$NL$20,StabMonth+11))</f>
        <v/>
      </c>
    </row>
    <row r="20">
      <c r="B20" s="316" t="inlineStr">
        <is>
          <t>Other Income</t>
        </is>
      </c>
      <c r="C20" s="399" t="n">
        <v>50</v>
      </c>
      <c r="D20" s="279">
        <f>IF(NRSF=0,0,G20/12/NRSF)</f>
        <v/>
      </c>
      <c r="E20" s="280">
        <f>IF(TotalUnits=0,0,G20/12/TotalUnits)</f>
        <v/>
      </c>
      <c r="F20" s="280">
        <f>G20/12</f>
        <v/>
      </c>
      <c r="G20" s="280">
        <f>OtherIncPerUnitMo*StabLeasedTarget*12</f>
        <v/>
      </c>
      <c r="H20" s="281">
        <f>SUM(INDEX(Operating!$E$21:$NL$21,StabMonth):INDEX(Operating!$E$21:$NL$21,StabMonth+11))</f>
        <v/>
      </c>
    </row>
    <row r="21">
      <c r="B21" s="316" t="inlineStr">
        <is>
          <t>Retail Income</t>
        </is>
      </c>
      <c r="C21" s="199">
        <f>RetailRentMo</f>
        <v/>
      </c>
      <c r="D21" s="279">
        <f>IF(NRSF=0,0,G21/12/NRSF)</f>
        <v/>
      </c>
      <c r="E21" s="280">
        <f>IF(TotalUnits=0,0,G21/12/TotalUnits)</f>
        <v/>
      </c>
      <c r="F21" s="280">
        <f>G21/12</f>
        <v/>
      </c>
      <c r="G21" s="280">
        <f>RetailRentMo*StabilizedOccupancy*12</f>
        <v/>
      </c>
      <c r="H21" s="281">
        <f>SUM(INDEX(Operating!$E$22:$NL$22,StabMonth):INDEX(Operating!$E$22:$NL$22,StabMonth+11))</f>
        <v/>
      </c>
    </row>
    <row r="22">
      <c r="B22" s="200" t="inlineStr">
        <is>
          <t>Effective Gross Income</t>
        </is>
      </c>
      <c r="C22" s="201" t="n"/>
      <c r="D22" s="282">
        <f>IF(NRSF=0,0,G22/12/NRSF)</f>
        <v/>
      </c>
      <c r="E22" s="283">
        <f>IF(TotalUnits=0,0,G22/12/TotalUnits)</f>
        <v/>
      </c>
      <c r="F22" s="283">
        <f>G22/12</f>
        <v/>
      </c>
      <c r="G22" s="283">
        <f>SUM(G12:G21)</f>
        <v/>
      </c>
      <c r="H22" s="281">
        <f>SUM(INDEX(Operating!$E$23:$NL$23,StabMonth):INDEX(Operating!$E$23:$NL$23,StabMonth+11))</f>
        <v/>
      </c>
    </row>
    <row r="23">
      <c r="B23" s="327" t="inlineStr">
        <is>
          <t>Operating Expenses</t>
        </is>
      </c>
      <c r="C23" s="155" t="n"/>
      <c r="D23" s="155" t="n"/>
      <c r="E23" s="155" t="n"/>
      <c r="F23" s="155" t="n"/>
      <c r="G23" s="155" t="n"/>
      <c r="H23" s="155" t="n"/>
    </row>
    <row r="24">
      <c r="B24" s="316" t="inlineStr">
        <is>
          <t>Insurance</t>
        </is>
      </c>
      <c r="C24" s="399" t="n">
        <v>500</v>
      </c>
      <c r="D24" s="279">
        <f>IF(NRSF=0,0,G24/12/NRSF)</f>
        <v/>
      </c>
      <c r="E24" s="280">
        <f>IF(TotalUnits=0,0,G24/12/TotalUnits)</f>
        <v/>
      </c>
      <c r="F24" s="280">
        <f>G24/12</f>
        <v/>
      </c>
      <c r="G24" s="280">
        <f>ExpInsurancePerUnit*TotalUnits</f>
        <v/>
      </c>
      <c r="H24" s="281">
        <f>SUM(INDEX(Operating!$E$25:$NL$25,StabMonth):INDEX(Operating!$E$25:$NL$25,StabMonth+11))</f>
        <v/>
      </c>
    </row>
    <row r="25">
      <c r="B25" s="316" t="inlineStr">
        <is>
          <t>Utilities</t>
        </is>
      </c>
      <c r="C25" s="399" t="n">
        <v>1000</v>
      </c>
      <c r="D25" s="279">
        <f>IF(NRSF=0,0,G25/12/NRSF)</f>
        <v/>
      </c>
      <c r="E25" s="280">
        <f>IF(TotalUnits=0,0,G25/12/TotalUnits)</f>
        <v/>
      </c>
      <c r="F25" s="280">
        <f>G25/12</f>
        <v/>
      </c>
      <c r="G25" s="280">
        <f>ExpUtilitiesPerUnit*TotalUnits</f>
        <v/>
      </c>
      <c r="H25" s="281">
        <f>SUM(INDEX(Operating!$E$27:$NL$27,StabMonth):INDEX(Operating!$E$27:$NL$27,StabMonth+11))</f>
        <v/>
      </c>
    </row>
    <row r="26">
      <c r="B26" s="316" t="inlineStr">
        <is>
          <t>Payroll</t>
        </is>
      </c>
      <c r="C26" s="399" t="n">
        <v>1544</v>
      </c>
      <c r="D26" s="279">
        <f>IF(NRSF=0,0,G26/12/NRSF)</f>
        <v/>
      </c>
      <c r="E26" s="280">
        <f>IF(TotalUnits=0,0,G26/12/TotalUnits)</f>
        <v/>
      </c>
      <c r="F26" s="280">
        <f>G26/12</f>
        <v/>
      </c>
      <c r="G26" s="280">
        <f>ExpPayrollPerUnit*TotalUnits</f>
        <v/>
      </c>
      <c r="H26" s="281">
        <f>SUM(INDEX(Operating!$E$31:$NL$31,StabMonth):INDEX(Operating!$E$31:$NL$31,StabMonth+11))</f>
        <v/>
      </c>
    </row>
    <row r="27">
      <c r="B27" s="316" t="inlineStr">
        <is>
          <t>Management Fee</t>
        </is>
      </c>
      <c r="C27" s="386" t="n">
        <v>0.034</v>
      </c>
      <c r="D27" s="279">
        <f>IF(NRSF=0,0,G27/12/NRSF)</f>
        <v/>
      </c>
      <c r="E27" s="280">
        <f>IF(TotalUnits=0,0,G27/12/TotalUnits)</f>
        <v/>
      </c>
      <c r="F27" s="280">
        <f>G27/12</f>
        <v/>
      </c>
      <c r="G27" s="280">
        <f>MgmtFeePct*G22</f>
        <v/>
      </c>
      <c r="H27" s="281">
        <f>SUM(INDEX(Operating!$E$33:$NL$33,StabMonth):INDEX(Operating!$E$33:$NL$33,StabMonth+11))</f>
        <v/>
      </c>
    </row>
    <row r="28">
      <c r="B28" s="316" t="inlineStr">
        <is>
          <t>Repairs &amp; Maintenance</t>
        </is>
      </c>
      <c r="C28" s="399" t="n">
        <v>365</v>
      </c>
      <c r="D28" s="279">
        <f>IF(NRSF=0,0,G28/12/NRSF)</f>
        <v/>
      </c>
      <c r="E28" s="280">
        <f>IF(TotalUnits=0,0,G28/12/TotalUnits)</f>
        <v/>
      </c>
      <c r="F28" s="280">
        <f>G28/12</f>
        <v/>
      </c>
      <c r="G28" s="280">
        <f>ExpRMPerUnit*TotalUnits</f>
        <v/>
      </c>
      <c r="H28" s="281">
        <f>SUM(INDEX(Operating!$E$28:$NL$28,StabMonth):INDEX(Operating!$E$28:$NL$28,StabMonth+11))</f>
        <v/>
      </c>
    </row>
    <row r="29">
      <c r="B29" s="316" t="inlineStr">
        <is>
          <t>Turnover</t>
        </is>
      </c>
      <c r="C29" s="399" t="n">
        <v>335</v>
      </c>
      <c r="D29" s="279">
        <f>IF(NRSF=0,0,G29/12/NRSF)</f>
        <v/>
      </c>
      <c r="E29" s="280">
        <f>IF(TotalUnits=0,0,G29/12/TotalUnits)</f>
        <v/>
      </c>
      <c r="F29" s="280">
        <f>G29/12</f>
        <v/>
      </c>
      <c r="G29" s="280">
        <f>ExpTurnoverPerUnit*TotalUnits</f>
        <v/>
      </c>
      <c r="H29" s="281">
        <f>SUM(INDEX(Operating!$E$29:$NL$29,StabMonth):INDEX(Operating!$E$29:$NL$29,StabMonth+11))</f>
        <v/>
      </c>
    </row>
    <row r="30">
      <c r="B30" s="316" t="inlineStr">
        <is>
          <t>Contract Services</t>
        </is>
      </c>
      <c r="C30" s="399">
        <f>441+408</f>
        <v/>
      </c>
      <c r="D30" s="279">
        <f>IF(NRSF=0,0,G30/12/NRSF)</f>
        <v/>
      </c>
      <c r="E30" s="280">
        <f>IF(TotalUnits=0,0,G30/12/TotalUnits)</f>
        <v/>
      </c>
      <c r="F30" s="280">
        <f>G30/12</f>
        <v/>
      </c>
      <c r="G30" s="280">
        <f>ExpContractPerUnit*TotalUnits</f>
        <v/>
      </c>
      <c r="H30" s="281">
        <f>SUM(INDEX(Operating!$E$30:$NL$30,StabMonth):INDEX(Operating!$E$30:$NL$30,StabMonth+11))</f>
        <v/>
      </c>
    </row>
    <row r="31">
      <c r="B31" s="316" t="inlineStr">
        <is>
          <t>Admin &amp; Legal</t>
        </is>
      </c>
      <c r="C31" s="399" t="n">
        <v>478</v>
      </c>
      <c r="D31" s="279">
        <f>IF(NRSF=0,0,G31/12/NRSF)</f>
        <v/>
      </c>
      <c r="E31" s="280">
        <f>IF(TotalUnits=0,0,G31/12/TotalUnits)</f>
        <v/>
      </c>
      <c r="F31" s="280">
        <f>G31/12</f>
        <v/>
      </c>
      <c r="G31" s="280">
        <f>ExpAdminPerUnit*TotalUnits</f>
        <v/>
      </c>
      <c r="H31" s="281">
        <f>SUM(INDEX(Operating!$E$26:$NL$26,StabMonth):INDEX(Operating!$E$26:$NL$26,StabMonth+11))</f>
        <v/>
      </c>
    </row>
    <row r="32">
      <c r="B32" s="316" t="inlineStr">
        <is>
          <t>Advertising</t>
        </is>
      </c>
      <c r="C32" s="399" t="n">
        <v>200</v>
      </c>
      <c r="D32" s="279">
        <f>IF(NRSF=0,0,G32/12/NRSF)</f>
        <v/>
      </c>
      <c r="E32" s="280">
        <f>IF(TotalUnits=0,0,G32/12/TotalUnits)</f>
        <v/>
      </c>
      <c r="F32" s="280">
        <f>G32/12</f>
        <v/>
      </c>
      <c r="G32" s="280">
        <f>ExpAdvertisingPerUnit*TotalUnits</f>
        <v/>
      </c>
      <c r="H32" s="281">
        <f>SUM(INDEX(Operating!$E$32:$NL$32,StabMonth):INDEX(Operating!$E$32:$NL$32,StabMonth+11))</f>
        <v/>
      </c>
    </row>
    <row r="33">
      <c r="B33" s="316" t="inlineStr">
        <is>
          <t>Property Taxes</t>
        </is>
      </c>
      <c r="C33" s="278">
        <f>UntrendedTaxRate</f>
        <v/>
      </c>
      <c r="D33" s="279">
        <f>IF(NRSF=0,0,G33/12/NRSF)</f>
        <v/>
      </c>
      <c r="E33" s="280">
        <f>IF(TotalUnits=0,0,G33/12/TotalUnits)</f>
        <v/>
      </c>
      <c r="F33" s="280">
        <f>G33/12</f>
        <v/>
      </c>
      <c r="G33" s="280">
        <f>IF(TaxYear1Override&gt;0,TaxYear1Override,(G22-SUM(G24:G32))/(EntryCapRate+UntrendedTaxRate)*UntrendedTaxRate)</f>
        <v/>
      </c>
      <c r="H33" s="281">
        <f>SUM(INDEX(Operating!$E$36:$NL$36,StabMonth):INDEX(Operating!$E$36:$NL$36,StabMonth+11))</f>
        <v/>
      </c>
    </row>
    <row r="34">
      <c r="B34" s="200" t="inlineStr">
        <is>
          <t>Total Operating Expenses</t>
        </is>
      </c>
      <c r="C34" s="201" t="n"/>
      <c r="D34" s="282">
        <f>IF(NRSF=0,0,G34/12/NRSF)</f>
        <v/>
      </c>
      <c r="E34" s="283">
        <f>IF(TotalUnits=0,0,G34/12/TotalUnits)</f>
        <v/>
      </c>
      <c r="F34" s="283">
        <f>G34/12</f>
        <v/>
      </c>
      <c r="G34" s="283">
        <f>SUM(G24:G33)</f>
        <v/>
      </c>
      <c r="H34" s="281">
        <f>SUM(INDEX(Operating!$E$37:$NL$37,StabMonth):INDEX(Operating!$E$37:$NL$37,StabMonth+11))</f>
        <v/>
      </c>
    </row>
    <row r="35">
      <c r="B35" s="204" t="inlineStr">
        <is>
          <t>Net Operating Income</t>
        </is>
      </c>
      <c r="C35" s="205" t="n"/>
      <c r="D35" s="284">
        <f>IF(NRSF=0,0,G35/12/NRSF)</f>
        <v/>
      </c>
      <c r="E35" s="285">
        <f>IF(TotalUnits=0,0,G35/12/TotalUnits)</f>
        <v/>
      </c>
      <c r="F35" s="285">
        <f>G35/12</f>
        <v/>
      </c>
      <c r="G35" s="285">
        <f>G22-G34</f>
        <v/>
      </c>
      <c r="H35" s="281">
        <f>SUM(INDEX(Operating!$E$38:$NL$38,StabMonth):INDEX(Operating!$E$38:$NL$38,StabMonth+11))</f>
        <v/>
      </c>
    </row>
    <row r="36">
      <c r="B36" s="327" t="inlineStr">
        <is>
          <t>Below-the-Line Expenses</t>
        </is>
      </c>
      <c r="C36" s="155" t="n"/>
      <c r="D36" s="155" t="n"/>
      <c r="E36" s="155" t="n"/>
      <c r="F36" s="155" t="n"/>
      <c r="G36" s="155" t="n"/>
      <c r="H36" s="155" t="n"/>
    </row>
    <row r="37">
      <c r="B37" s="316" t="inlineStr">
        <is>
          <t>Capital Reserves</t>
        </is>
      </c>
      <c r="C37" s="399" t="n">
        <v>300</v>
      </c>
      <c r="D37" s="279">
        <f>IF(NRSF=0,0,G37/12/NRSF)</f>
        <v/>
      </c>
      <c r="E37" s="280">
        <f>IF(TotalUnits=0,0,G37/12/TotalUnits)</f>
        <v/>
      </c>
      <c r="F37" s="280">
        <f>G37/12</f>
        <v/>
      </c>
      <c r="G37" s="280">
        <f>CapReservePerUnit*TotalUnits</f>
        <v/>
      </c>
    </row>
    <row r="38">
      <c r="B38" s="316" t="inlineStr">
        <is>
          <t>Tax Prep &amp; Appraisal</t>
        </is>
      </c>
      <c r="C38" s="399" t="n">
        <v>0</v>
      </c>
      <c r="D38" s="279">
        <f>IF(NRSF=0,0,G38/12/NRSF)</f>
        <v/>
      </c>
      <c r="E38" s="280">
        <f>IF(TotalUnits=0,0,G38/12/TotalUnits)</f>
        <v/>
      </c>
      <c r="F38" s="280">
        <f>G38/12</f>
        <v/>
      </c>
      <c r="G38" s="280">
        <f>TaxPrepPerUnit*TotalUnits</f>
        <v/>
      </c>
    </row>
    <row r="39">
      <c r="B39" s="316" t="inlineStr">
        <is>
          <t>Asset Management Fees</t>
        </is>
      </c>
      <c r="C39" s="386" t="n">
        <v>0.01</v>
      </c>
      <c r="D39" s="279">
        <f>IF(NRSF=0,0,G39/12/NRSF)</f>
        <v/>
      </c>
      <c r="E39" s="280">
        <f>IF(TotalUnits=0,0,G39/12/TotalUnits)</f>
        <v/>
      </c>
      <c r="F39" s="280">
        <f>G39/12</f>
        <v/>
      </c>
      <c r="G39" s="280">
        <f>AssetMgmtFeePct*G22</f>
        <v/>
      </c>
    </row>
    <row r="40">
      <c r="B40" s="200" t="inlineStr">
        <is>
          <t>Total Below-the-Line</t>
        </is>
      </c>
      <c r="C40" s="201" t="n"/>
      <c r="D40" s="282">
        <f>IF(NRSF=0,0,G40/12/NRSF)</f>
        <v/>
      </c>
      <c r="E40" s="283">
        <f>IF(TotalUnits=0,0,G40/12/TotalUnits)</f>
        <v/>
      </c>
      <c r="F40" s="283">
        <f>G40/12</f>
        <v/>
      </c>
      <c r="G40" s="283">
        <f>SUM(G37:G39)</f>
        <v/>
      </c>
    </row>
    <row r="41">
      <c r="B41" s="200" t="inlineStr">
        <is>
          <t>Proforma Operating Cash Flow</t>
        </is>
      </c>
      <c r="C41" s="201" t="n"/>
      <c r="D41" s="282">
        <f>IF(NRSF=0,0,G41/12/NRSF)</f>
        <v/>
      </c>
      <c r="E41" s="283">
        <f>IF(TotalUnits=0,0,G41/12/TotalUnits)</f>
        <v/>
      </c>
      <c r="F41" s="283">
        <f>G41/12</f>
        <v/>
      </c>
      <c r="G41" s="283">
        <f>G35-G40</f>
        <v/>
      </c>
      <c r="H41" s="281">
        <f>SUM(INDEX(Operating!$E$42:$NL$42,StabMonth):INDEX(Operating!$E$42:$NL$42,StabMonth+11))</f>
        <v/>
      </c>
    </row>
    <row r="43">
      <c r="B43" s="316" t="inlineStr">
        <is>
          <t>Untrended Stabilized NOI before Property Tax</t>
        </is>
      </c>
      <c r="G43" s="280">
        <f>G22-SUM(G24:G32)</f>
        <v/>
      </c>
    </row>
    <row r="45">
      <c r="B45" s="327" t="inlineStr">
        <is>
          <t>Reconciliation</t>
        </is>
      </c>
      <c r="C45" s="155" t="n"/>
      <c r="D45" s="155" t="n"/>
      <c r="E45" s="155" t="n"/>
      <c r="F45" s="155" t="n"/>
      <c r="G45" s="155" t="n"/>
      <c r="H45" s="155" t="n"/>
    </row>
    <row r="46">
      <c r="B46" s="316" t="inlineStr">
        <is>
          <t>Untrended NOI ≤ Trended NOI (growth ≥ 0)</t>
        </is>
      </c>
      <c r="C46" s="280">
        <f>StabNOI_Untrended-StabNOI</f>
        <v/>
      </c>
      <c r="D46" s="208">
        <f>IF(OR(GrowthRent&lt;0,GrowthExpense&lt;0),"n/a",IF(StabNOI_Untrended&lt;=StabNOI+1,"PASS","FAIL"))</f>
        <v/>
      </c>
    </row>
    <row r="47">
      <c r="B47" s="316" t="inlineStr">
        <is>
          <t>Untrended YOC (StabNOI_Untrended / TDC)</t>
        </is>
      </c>
      <c r="C47" s="286">
        <f>IF(TDC_Total=0,0,StabNOI_Untrended/TDC_Total)</f>
        <v/>
      </c>
      <c r="D47" s="208">
        <f>IF(YieldOnCost-ExitCapResidential&lt;0,"SPREAD&lt;0","OK")</f>
        <v/>
      </c>
    </row>
    <row r="49">
      <c r="B49" s="316" t="inlineStr">
        <is>
          <t>Untrended Tax Rate (reassess-aware)</t>
        </is>
      </c>
      <c r="C49" s="278">
        <f>IF(ReassessOnSale&gt;=1,DispoEffTaxRate,EffTaxRateOnValue)</f>
        <v/>
      </c>
    </row>
  </sheetData>
  <conditionalFormatting sqref="D40:D50">
    <cfRule type="cellIs" priority="1" operator="equal" dxfId="7">
      <formula>"PASS"</formula>
    </cfRule>
    <cfRule type="cellIs" priority="2" operator="equal" dxfId="7">
      <formula>"OK"</formula>
    </cfRule>
    <cfRule type="cellIs" priority="3" operator="equal" dxfId="5">
      <formula>"FAIL"</formula>
    </cfRule>
    <cfRule type="cellIs" priority="4" operator="equal" dxfId="8">
      <formula>"WARN"</formula>
    </cfRule>
    <cfRule type="cellIs" priority="5" operator="equal" dxfId="8">
      <formula>"CHECK"</formula>
    </cfRule>
  </conditionalFormatting>
  <dataValidations count="17">
    <dataValidation sqref="C17" showDropDown="0" showInputMessage="0" showErrorMessage="1" allowBlank="0" type="whole" operator="between">
      <formula1>0</formula1>
      <formula2>1000</formula2>
    </dataValidation>
    <dataValidation sqref="C18" showDropDown="0" showInputMessage="0" showErrorMessage="1" allowBlank="0" type="decimal" operator="between">
      <formula1>0</formula1>
      <formula2>100000.0</formula2>
    </dataValidation>
    <dataValidation sqref="C19" showDropDown="0" showInputMessage="0" showErrorMessage="1" allowBlank="0" type="decimal" operator="between">
      <formula1>0</formula1>
      <formula2>100000.0</formula2>
    </dataValidation>
    <dataValidation sqref="C20" showDropDown="0" showInputMessage="0" showErrorMessage="1" allowBlank="0" type="decimal" operator="between">
      <formula1>0</formula1>
      <formula2>100000.0</formula2>
    </dataValidation>
    <dataValidation sqref="C24" showDropDown="0" showInputMessage="0" showErrorMessage="1" allowBlank="0" type="decimal" operator="between">
      <formula1>0</formula1>
      <formula2>100000.0</formula2>
    </dataValidation>
    <dataValidation sqref="C25" showDropDown="0" showInputMessage="0" showErrorMessage="1" allowBlank="0" type="decimal" operator="between">
      <formula1>0</formula1>
      <formula2>100000.0</formula2>
    </dataValidation>
    <dataValidation sqref="C26" showDropDown="0" showInputMessage="0" showErrorMessage="1" allowBlank="0" type="decimal" operator="between">
      <formula1>0</formula1>
      <formula2>100000.0</formula2>
    </dataValidation>
    <dataValidation sqref="C27" showDropDown="0" showInputMessage="0" showErrorMessage="1" allowBlank="0" type="decimal" operator="between">
      <formula1>0</formula1>
      <formula2>0.1</formula2>
    </dataValidation>
    <dataValidation sqref="C28" showDropDown="0" showInputMessage="0" showErrorMessage="1" allowBlank="0" type="decimal" operator="between">
      <formula1>0</formula1>
      <formula2>100000.0</formula2>
    </dataValidation>
    <dataValidation sqref="C29" showDropDown="0" showInputMessage="0" showErrorMessage="1" allowBlank="0" type="decimal" operator="between">
      <formula1>0</formula1>
      <formula2>100000.0</formula2>
    </dataValidation>
    <dataValidation sqref="C30" showDropDown="0" showInputMessage="0" showErrorMessage="1" allowBlank="0" type="decimal" operator="between">
      <formula1>0</formula1>
      <formula2>100000.0</formula2>
    </dataValidation>
    <dataValidation sqref="C31" showDropDown="0" showInputMessage="0" showErrorMessage="1" allowBlank="0" type="decimal" operator="between">
      <formula1>0</formula1>
      <formula2>100000.0</formula2>
    </dataValidation>
    <dataValidation sqref="C32" showDropDown="0" showInputMessage="0" showErrorMessage="1" allowBlank="0" type="decimal" operator="between">
      <formula1>0</formula1>
      <formula2>100000.0</formula2>
    </dataValidation>
    <dataValidation sqref="C37" showDropDown="0" showInputMessage="0" showErrorMessage="1" allowBlank="0" type="decimal" operator="between">
      <formula1>0</formula1>
      <formula2>100000.0</formula2>
    </dataValidation>
    <dataValidation sqref="C38" showDropDown="0" showInputMessage="0" showErrorMessage="1" allowBlank="0" type="decimal" operator="between">
      <formula1>0</formula1>
      <formula2>100000.0</formula2>
    </dataValidation>
    <dataValidation sqref="C39" showDropDown="0" showInputMessage="0" showErrorMessage="1" allowBlank="0" type="decimal" operator="between">
      <formula1>0</formula1>
      <formula2>0.1</formula2>
    </dataValidation>
    <dataValidation sqref="C13 C14 C15 C16" showDropDown="0" showInputMessage="0" showErrorMessage="1" allowBlank="0" type="decimal" operator="between">
      <formula1>-0.5</formula1>
      <formula2>0</formula2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B1:T45"/>
  <sheetViews>
    <sheetView showGridLines="0" workbookViewId="0">
      <pane ySplit="7" topLeftCell="A8" activePane="bottomLeft" state="frozen"/>
      <selection pane="bottomLeft" activeCell="A4" sqref="A4"/>
    </sheetView>
  </sheetViews>
  <sheetFormatPr baseColWidth="8" defaultRowHeight="15"/>
  <cols>
    <col width="2" customWidth="1" style="97" min="1" max="1"/>
    <col width="26" customWidth="1" style="97" min="2" max="2"/>
    <col width="13" bestFit="1" customWidth="1" style="97" min="3" max="3"/>
    <col width="8" bestFit="1" customWidth="1" style="97" min="4" max="4"/>
    <col width="2" customWidth="1" style="97" min="5" max="5"/>
    <col width="26" customWidth="1" style="97" min="6" max="6"/>
    <col width="13" customWidth="1" style="97" min="7" max="7"/>
    <col width="8" customWidth="1" style="97" min="8" max="8"/>
    <col width="2" customWidth="1" style="97" min="9" max="9"/>
    <col width="26" customWidth="1" style="97" min="10" max="10"/>
    <col width="13" customWidth="1" style="97" min="11" max="11"/>
    <col width="8" customWidth="1" style="97" min="12" max="12"/>
    <col width="2" customWidth="1" style="97" min="13" max="13"/>
    <col width="26" customWidth="1" style="97" min="14" max="14"/>
    <col width="13" customWidth="1" style="97" min="15" max="15"/>
    <col width="8" customWidth="1" style="97" min="16" max="16"/>
    <col width="2" customWidth="1" style="97" min="17" max="17"/>
    <col width="26" customWidth="1" style="97" min="18" max="18"/>
    <col width="13" customWidth="1" style="97" min="19" max="19"/>
    <col width="8" customWidth="1" style="97" min="20" max="20"/>
    <col width="2" customWidth="1" style="97" min="21" max="21"/>
  </cols>
  <sheetData>
    <row r="1" ht="21" customHeight="1" s="97">
      <c r="B1" s="376">
        <f>"Multifamily Development Model  —  Master Input   |   "&amp;PropertyName</f>
        <v/>
      </c>
      <c r="C1" s="155" t="n"/>
      <c r="D1" s="155" t="n"/>
      <c r="E1" s="155" t="n"/>
      <c r="F1" s="155" t="n"/>
      <c r="G1" s="155" t="n"/>
      <c r="H1" s="155" t="n"/>
      <c r="I1" s="155" t="n"/>
      <c r="J1" s="155" t="n"/>
      <c r="K1" s="155" t="n"/>
      <c r="L1" s="155" t="n"/>
      <c r="M1" s="155" t="n"/>
      <c r="N1" s="155" t="n"/>
      <c r="O1" s="155" t="n"/>
      <c r="P1" s="155" t="n"/>
      <c r="Q1" s="155" t="n"/>
    </row>
    <row r="3">
      <c r="B3" s="377" t="inlineStr">
        <is>
          <t>Levered IRR (net)</t>
        </is>
      </c>
      <c r="C3" s="378" t="n"/>
      <c r="E3" s="377" t="inlineStr">
        <is>
          <t>Levered MOIC</t>
        </is>
      </c>
      <c r="F3" s="378" t="n"/>
      <c r="H3" s="377" t="inlineStr">
        <is>
          <t>Untrended YOC</t>
        </is>
      </c>
      <c r="I3" s="378" t="n"/>
      <c r="K3" s="377" t="inlineStr">
        <is>
          <t>Dev Spread</t>
        </is>
      </c>
      <c r="L3" s="378" t="n"/>
      <c r="N3" s="377" t="inlineStr">
        <is>
          <t>TDC</t>
        </is>
      </c>
      <c r="O3" s="378" t="n"/>
      <c r="Q3" s="377" t="inlineStr">
        <is>
          <t>TDC / Unit</t>
        </is>
      </c>
      <c r="R3" s="378" t="n"/>
    </row>
    <row r="4">
      <c r="B4" s="379">
        <f>LevIRR</f>
        <v/>
      </c>
      <c r="C4" s="378" t="n"/>
      <c r="E4" s="380">
        <f>LevMOIC</f>
        <v/>
      </c>
      <c r="F4" s="378" t="n"/>
      <c r="H4" s="379">
        <f>YieldOnCost</f>
        <v/>
      </c>
      <c r="I4" s="378" t="n"/>
      <c r="K4" s="381">
        <f>DevSpreadBps</f>
        <v/>
      </c>
      <c r="L4" s="378" t="n"/>
      <c r="N4" s="382">
        <f>TDC_Total</f>
        <v/>
      </c>
      <c r="O4" s="378" t="n"/>
      <c r="Q4" s="382" t="n"/>
      <c r="R4" s="465">
        <f>TDCperUnit</f>
        <v/>
      </c>
    </row>
    <row r="6">
      <c r="B6" s="377" t="inlineStr">
        <is>
          <t>Unlevered IRR (net)</t>
        </is>
      </c>
      <c r="C6" s="378" t="n"/>
      <c r="E6" s="377" t="inlineStr">
        <is>
          <t>Unlevered MOIC</t>
        </is>
      </c>
      <c r="F6" s="378" t="n"/>
      <c r="H6" s="377" t="inlineStr">
        <is>
          <t>Static Value</t>
        </is>
      </c>
      <c r="I6" s="378" t="n"/>
      <c r="K6" s="377" t="inlineStr">
        <is>
          <t>Realized LTC</t>
        </is>
      </c>
      <c r="L6" s="378" t="n"/>
      <c r="N6" s="377" t="inlineStr">
        <is>
          <t>Debt Yield (stab)</t>
        </is>
      </c>
      <c r="O6" s="378" t="n"/>
      <c r="Q6" s="377" t="inlineStr">
        <is>
          <t>Model Status</t>
        </is>
      </c>
      <c r="R6" s="378" t="n"/>
    </row>
    <row r="7">
      <c r="B7" s="379">
        <f>UnlevIRR</f>
        <v/>
      </c>
      <c r="C7" s="378" t="n"/>
      <c r="E7" s="380">
        <f>UnlevMOIC</f>
        <v/>
      </c>
      <c r="F7" s="378" t="n"/>
      <c r="H7" s="466">
        <f>StaticValue</f>
        <v/>
      </c>
      <c r="I7" s="378" t="n"/>
      <c r="K7" s="379">
        <f>LTC_Realized</f>
        <v/>
      </c>
      <c r="L7" s="378" t="n"/>
      <c r="N7" s="379">
        <f>DebtYieldStab</f>
        <v/>
      </c>
      <c r="O7" s="378" t="n"/>
      <c r="Q7" s="383">
        <f>IF(ErrorsFound=0,"PASS","REVIEW")</f>
        <v/>
      </c>
      <c r="R7" s="378" t="n"/>
    </row>
    <row r="8">
      <c r="B8" s="384" t="inlineStr">
        <is>
          <t>Property Details</t>
        </is>
      </c>
      <c r="C8" s="155" t="n"/>
      <c r="D8" s="155" t="n"/>
      <c r="F8" s="431" t="n"/>
      <c r="J8" s="384" t="inlineStr">
        <is>
          <t>Permanent Loan (Refinance)</t>
        </is>
      </c>
      <c r="K8" s="155" t="n"/>
      <c r="L8" s="155" t="n"/>
      <c r="N8" s="384" t="inlineStr">
        <is>
          <t>Site Details</t>
        </is>
      </c>
      <c r="O8" s="155" t="n"/>
      <c r="P8" s="155" t="n"/>
      <c r="R8" s="384" t="inlineStr">
        <is>
          <t>Derived &amp; Static Value</t>
        </is>
      </c>
      <c r="S8" s="155" t="n"/>
      <c r="T8" s="155" t="n"/>
    </row>
    <row r="9">
      <c r="B9" s="316" t="inlineStr">
        <is>
          <t>Investment Type</t>
        </is>
      </c>
      <c r="C9" s="385" t="inlineStr">
        <is>
          <t>Ground-Up Development</t>
        </is>
      </c>
      <c r="F9" s="316" t="n"/>
      <c r="G9" s="441" t="n"/>
      <c r="J9" s="316" t="inlineStr">
        <is>
          <t>Perm Max LTV</t>
        </is>
      </c>
      <c r="K9" s="386" t="n">
        <v>0.65</v>
      </c>
      <c r="N9" s="316" t="inlineStr">
        <is>
          <t>Land Cost</t>
        </is>
      </c>
      <c r="O9" s="387" t="n">
        <v>567000</v>
      </c>
      <c r="R9" s="316" t="inlineStr">
        <is>
          <t>Effective Tax Rate on Value</t>
        </is>
      </c>
      <c r="S9" s="278">
        <f>TaxLevyPct*TaxAssessmentPct*TaxValueAdjFactor</f>
        <v/>
      </c>
    </row>
    <row r="10">
      <c r="B10" s="316" t="inlineStr">
        <is>
          <t>Property Name</t>
        </is>
      </c>
      <c r="C10" s="385" t="inlineStr">
        <is>
          <t>The Verde</t>
        </is>
      </c>
      <c r="F10" s="400" t="n"/>
      <c r="G10" s="441" t="n"/>
      <c r="J10" s="316" t="inlineStr">
        <is>
          <t>Perm Rate</t>
        </is>
      </c>
      <c r="K10" s="386" t="n">
        <v>0.0625</v>
      </c>
      <c r="N10" s="316" t="inlineStr">
        <is>
          <t>Gross Acres</t>
        </is>
      </c>
      <c r="O10" s="388" t="n">
        <v>3.65</v>
      </c>
      <c r="R10" s="316" t="inlineStr">
        <is>
          <t>Stabilized Tax / Unit / Yr</t>
        </is>
      </c>
      <c r="S10" s="199">
        <f>IF(TotalUnits=0,0,StabTaxAnnual/TotalUnits)</f>
        <v/>
      </c>
    </row>
    <row r="11">
      <c r="B11" s="316" t="inlineStr">
        <is>
          <t>City</t>
        </is>
      </c>
      <c r="C11" s="385" t="inlineStr">
        <is>
          <t>Cottonwood</t>
        </is>
      </c>
      <c r="F11" s="316" t="n"/>
      <c r="G11" s="441" t="n"/>
      <c r="J11" s="316" t="inlineStr">
        <is>
          <t>Perm Term (mo)</t>
        </is>
      </c>
      <c r="K11" s="389" t="n">
        <v>360</v>
      </c>
      <c r="N11" s="316" t="inlineStr">
        <is>
          <t>Net Acres</t>
        </is>
      </c>
      <c r="O11" s="390">
        <f>+GrossAcres</f>
        <v/>
      </c>
      <c r="R11" s="316" t="inlineStr">
        <is>
          <t>Static Value (Untrended NOI ÷ Entry Cap)</t>
        </is>
      </c>
      <c r="S11" s="391">
        <f>IF(EntryCapRate=0,0,StabNOI_Untrended/EntryCapRate)</f>
        <v/>
      </c>
    </row>
    <row r="12">
      <c r="B12" s="316" t="inlineStr">
        <is>
          <t>State</t>
        </is>
      </c>
      <c r="C12" s="385" t="inlineStr">
        <is>
          <t>AZ</t>
        </is>
      </c>
      <c r="F12" s="316" t="n"/>
      <c r="G12" s="441" t="n"/>
      <c r="J12" s="316" t="inlineStr">
        <is>
          <t>Perm I/O (mo)</t>
        </is>
      </c>
      <c r="K12" s="389" t="n">
        <v>24</v>
      </c>
      <c r="N12" s="316" t="inlineStr">
        <is>
          <t>FAR Ratio</t>
        </is>
      </c>
      <c r="O12" s="388" t="n">
        <v>1.75</v>
      </c>
      <c r="R12" s="316" t="inlineStr">
        <is>
          <t>Static Value / Unit</t>
        </is>
      </c>
      <c r="S12" s="391">
        <f>IF(TotalUnits=0,0,StaticValue/TotalUnits)</f>
        <v/>
      </c>
    </row>
    <row r="13">
      <c r="B13" s="316" t="inlineStr">
        <is>
          <t>Market</t>
        </is>
      </c>
      <c r="C13" s="385" t="inlineStr">
        <is>
          <t>Verde Valley</t>
        </is>
      </c>
      <c r="F13" s="316" t="n"/>
      <c r="G13" s="441" t="n"/>
      <c r="J13" s="316" t="inlineStr">
        <is>
          <t>Perm Amort (mo)</t>
        </is>
      </c>
      <c r="K13" s="389" t="n">
        <v>360</v>
      </c>
      <c r="N13" s="316" t="inlineStr">
        <is>
          <t>Efficiency Ratio</t>
        </is>
      </c>
      <c r="O13" s="392" t="n">
        <v>0.85</v>
      </c>
      <c r="R13" s="316" t="inlineStr">
        <is>
          <t>Density (units / net acre)</t>
        </is>
      </c>
      <c r="S13" s="290">
        <f>IF(NetAcres=0,0,TotalUnits/NetAcres)</f>
        <v/>
      </c>
    </row>
    <row r="14">
      <c r="B14" s="316" t="inlineStr">
        <is>
          <t>Product Type</t>
        </is>
      </c>
      <c r="C14" s="385" t="inlineStr">
        <is>
          <t>Garden</t>
        </is>
      </c>
      <c r="F14" s="316" t="n"/>
      <c r="G14" s="441" t="n"/>
      <c r="J14" s="316" t="inlineStr">
        <is>
          <t>Perm Interest Calc</t>
        </is>
      </c>
      <c r="K14" s="373" t="inlineStr">
        <is>
          <t>30/360</t>
        </is>
      </c>
      <c r="L14" s="393">
        <f>IF(K14="Actual/360",1,0)</f>
        <v/>
      </c>
      <c r="N14" s="316" t="inlineStr">
        <is>
          <t>Existing Structure Cost</t>
        </is>
      </c>
      <c r="O14" s="387" t="n">
        <v>0</v>
      </c>
      <c r="R14" s="316" t="inlineStr">
        <is>
          <t>Max Buildable SF by FAR</t>
        </is>
      </c>
      <c r="S14" s="191">
        <f>FARRatio*NetAcres*43560</f>
        <v/>
      </c>
    </row>
    <row r="15">
      <c r="B15" s="316" t="inlineStr">
        <is>
          <t>Location</t>
        </is>
      </c>
      <c r="C15" s="385" t="inlineStr">
        <is>
          <t>Suburban</t>
        </is>
      </c>
      <c r="F15" s="316" t="n"/>
      <c r="G15" s="441" t="n"/>
      <c r="J15" s="316" t="inlineStr">
        <is>
          <t>Perm Points</t>
        </is>
      </c>
      <c r="K15" s="386" t="n">
        <v>0.0075</v>
      </c>
    </row>
    <row r="16">
      <c r="B16" s="316" t="inlineStr">
        <is>
          <t>Open Escrow Date</t>
        </is>
      </c>
      <c r="C16" s="394" t="n">
        <v>46210</v>
      </c>
      <c r="F16" s="316" t="n"/>
      <c r="G16" s="441" t="n"/>
      <c r="J16" s="316" t="inlineStr">
        <is>
          <t>Perm Min Debt Yield</t>
        </is>
      </c>
      <c r="K16" s="386" t="n">
        <v>0.08</v>
      </c>
      <c r="N16" s="467" t="n"/>
      <c r="R16" s="384" t="inlineStr">
        <is>
          <t>Input Sanity (soft warnings)</t>
        </is>
      </c>
      <c r="S16" s="155" t="n"/>
      <c r="T16" s="155" t="n"/>
    </row>
    <row r="17">
      <c r="F17" s="316" t="n"/>
      <c r="G17" s="441" t="n"/>
      <c r="J17" s="316" t="inlineStr">
        <is>
          <t>Perm Min DSCR</t>
        </is>
      </c>
      <c r="K17" s="395" t="n">
        <v>1.15</v>
      </c>
      <c r="N17" s="400" t="n"/>
      <c r="O17" s="386" t="n"/>
      <c r="R17" s="316" t="inlineStr">
        <is>
          <t>Construction term ≤ 48 mo</t>
        </is>
      </c>
      <c r="S17" s="191">
        <f>ConLoanTermMonths</f>
        <v/>
      </c>
      <c r="T17" s="396">
        <f>IF(ConLoanTermMonths&lt;=48,"OK","CHECK")</f>
        <v/>
      </c>
    </row>
    <row r="18">
      <c r="B18" s="384" t="inlineStr">
        <is>
          <t>Investment Details</t>
        </is>
      </c>
      <c r="C18" s="155" t="n"/>
      <c r="D18" s="155" t="n"/>
      <c r="F18" s="316" t="n"/>
      <c r="G18" s="441" t="n"/>
      <c r="J18" s="316" t="inlineStr">
        <is>
          <t>Cash-Out at Refi</t>
        </is>
      </c>
      <c r="K18" s="373" t="inlineStr">
        <is>
          <t>Cash-Out Permitted</t>
        </is>
      </c>
      <c r="L18" s="393">
        <f>IF(K18="No Cash-Out (solve LTV to zero)",1,0)</f>
        <v/>
      </c>
      <c r="N18" s="316" t="n"/>
      <c r="O18" s="386" t="n"/>
      <c r="R18" s="316" t="inlineStr">
        <is>
          <t>Stab tax/unit $500–$4,000</t>
        </is>
      </c>
      <c r="S18" s="199">
        <f>IF(TotalUnits=0,0,StabTaxAnnual/TotalUnits)</f>
        <v/>
      </c>
      <c r="T18" s="396">
        <f>IF(AND(StabTaxAnnual/TotalUnits&gt;=500,StabTaxAnnual/TotalUnits&lt;=4000),"OK","CHECK")</f>
        <v/>
      </c>
    </row>
    <row r="19">
      <c r="B19" s="316" t="inlineStr">
        <is>
          <t>Hold Period (mo)</t>
        </is>
      </c>
      <c r="C19" s="389" t="n">
        <v>120</v>
      </c>
      <c r="F19" s="316" t="n"/>
      <c r="G19" s="441" t="n"/>
      <c r="J19" s="316" t="inlineStr">
        <is>
          <t>Refi Month Override</t>
        </is>
      </c>
      <c r="K19" s="288" t="n">
        <v>0</v>
      </c>
      <c r="N19" s="316" t="n"/>
      <c r="O19" s="386" t="n"/>
      <c r="R19" s="316" t="inlineStr">
        <is>
          <t>Absorption ≤ delivery pace</t>
        </is>
      </c>
      <c r="S19" s="191">
        <f>UnitsLeasedPerMo</f>
        <v/>
      </c>
      <c r="T19" s="396">
        <f>IF(UnitsLeasedPerMo&lt;=UnitsDeliveredPerMo,"OK","CHECK")</f>
        <v/>
      </c>
    </row>
    <row r="20">
      <c r="B20" s="316" t="inlineStr">
        <is>
          <t>Entry Cap Rate</t>
        </is>
      </c>
      <c r="C20" s="386" t="n">
        <v>0.0525</v>
      </c>
      <c r="N20" s="316" t="n"/>
      <c r="O20" s="288" t="n"/>
      <c r="R20" s="316" t="inlineStr">
        <is>
          <t>Untrended YOC ≥ exit cap</t>
        </is>
      </c>
      <c r="S20" s="193">
        <f>YieldOnCost-ExitCapResidential</f>
        <v/>
      </c>
      <c r="T20" s="396">
        <f>IF(YieldOnCost&gt;=ExitCapResidential,"OK","CHECK")</f>
        <v/>
      </c>
    </row>
    <row r="21">
      <c r="F21" s="384" t="inlineStr">
        <is>
          <t>Capitalization &amp; Funding</t>
        </is>
      </c>
      <c r="G21" s="155" t="n"/>
      <c r="H21" s="155" t="n"/>
      <c r="J21" s="384" t="inlineStr">
        <is>
          <t>Sponsor Fees</t>
        </is>
      </c>
      <c r="K21" s="155" t="n"/>
      <c r="L21" s="155" t="n"/>
      <c r="N21" s="316" t="n"/>
      <c r="O21" s="387" t="n"/>
      <c r="R21" s="316" t="inlineStr">
        <is>
          <t>Occupancy 85%–98%</t>
        </is>
      </c>
      <c r="S21" s="315">
        <f>StabilizedOccupancy</f>
        <v/>
      </c>
      <c r="T21" s="396">
        <f>IF(AND(StabilizedOccupancy&gt;=0.85,StabilizedOccupancy&lt;=0.98),"OK","CHECK")</f>
        <v/>
      </c>
    </row>
    <row r="22">
      <c r="B22" s="384" t="inlineStr">
        <is>
          <t>Cap Rate &amp; Adjustments</t>
        </is>
      </c>
      <c r="C22" s="155" t="n"/>
      <c r="D22" s="155" t="n"/>
      <c r="F22" s="316" t="inlineStr">
        <is>
          <t>Funding Order</t>
        </is>
      </c>
      <c r="G22" s="373" t="inlineStr">
        <is>
          <t>Equity First</t>
        </is>
      </c>
      <c r="H22" s="393">
        <f>IF(G22="Pari-Passu",1,0)</f>
        <v/>
      </c>
      <c r="J22" s="316" t="inlineStr">
        <is>
          <t>Dev Fee % of Direct</t>
        </is>
      </c>
      <c r="K22" s="386" t="n">
        <v>0</v>
      </c>
      <c r="N22" s="316" t="n"/>
      <c r="O22" s="387" t="n"/>
      <c r="R22" s="316" t="inlineStr">
        <is>
          <t>Rent growth ≤ 5%</t>
        </is>
      </c>
      <c r="S22" s="193">
        <f>GrowthRent</f>
        <v/>
      </c>
      <c r="T22" s="396">
        <f>IF(GrowthRent&lt;=0.05,"OK","CHECK")</f>
        <v/>
      </c>
    </row>
    <row r="23">
      <c r="B23" s="316" t="inlineStr">
        <is>
          <t>Cap Adj — Location</t>
        </is>
      </c>
      <c r="C23" s="386" t="n">
        <v>0</v>
      </c>
      <c r="F23" s="316" t="inlineStr">
        <is>
          <t>Target LTC</t>
        </is>
      </c>
      <c r="G23" s="386" t="n">
        <v>0.65</v>
      </c>
      <c r="J23" s="316" t="inlineStr">
        <is>
          <t>3rd-Party Fee Split</t>
        </is>
      </c>
      <c r="K23" s="386" t="n">
        <v>0</v>
      </c>
      <c r="N23" s="316" t="n"/>
      <c r="O23" s="387" t="n"/>
      <c r="R23" s="316" t="inlineStr">
        <is>
          <t>Sanity checks flagged</t>
        </is>
      </c>
      <c r="S23" s="191">
        <f>COUNTIF(T17:T22,"CHECK")</f>
        <v/>
      </c>
    </row>
    <row r="24">
      <c r="B24" s="316" t="inlineStr">
        <is>
          <t>Cap Adj — Size</t>
        </is>
      </c>
      <c r="C24" s="386" t="n">
        <v>0</v>
      </c>
      <c r="F24" s="316" t="inlineStr">
        <is>
          <t>Op Reserve Coverage</t>
        </is>
      </c>
      <c r="G24" s="395" t="n">
        <v>1.1</v>
      </c>
      <c r="J24" s="316" t="inlineStr">
        <is>
          <t>Sponsor Dispo Fee</t>
        </is>
      </c>
      <c r="K24" s="386" t="n">
        <v>0</v>
      </c>
      <c r="N24" s="316" t="n"/>
      <c r="O24" s="387" t="n"/>
    </row>
    <row r="25">
      <c r="B25" s="316" t="inlineStr">
        <is>
          <t>Cap Adj — Aging</t>
        </is>
      </c>
      <c r="C25" s="386" t="n">
        <v>0</v>
      </c>
      <c r="F25" s="316" t="inlineStr">
        <is>
          <t>Op Reserve Min Months</t>
        </is>
      </c>
      <c r="G25" s="288" t="n">
        <v>3</v>
      </c>
      <c r="J25" s="316" t="inlineStr">
        <is>
          <t>Recourse Fee</t>
        </is>
      </c>
      <c r="K25" s="386" t="n">
        <v>0</v>
      </c>
    </row>
    <row r="26">
      <c r="B26" s="316" t="inlineStr">
        <is>
          <t>Exit Cap — Residential</t>
        </is>
      </c>
      <c r="C26" s="193">
        <f>EntryCapRate+CapAdjLocation+CapAdjSize+CapAdjAging</f>
        <v/>
      </c>
      <c r="N26" s="431" t="n"/>
    </row>
    <row r="27">
      <c r="B27" s="316" t="inlineStr">
        <is>
          <t>Exit Cap — Retail</t>
        </is>
      </c>
      <c r="C27" s="386" t="n">
        <v>0.065</v>
      </c>
      <c r="F27" s="384" t="inlineStr">
        <is>
          <t>Construction Loan</t>
        </is>
      </c>
      <c r="G27" s="155" t="n"/>
      <c r="H27" s="155" t="n"/>
      <c r="J27" s="384" t="inlineStr">
        <is>
          <t>Disposition &amp; Sale</t>
        </is>
      </c>
      <c r="K27" s="155" t="n"/>
      <c r="L27" s="155" t="n"/>
      <c r="N27" s="316" t="n"/>
      <c r="O27" s="387" t="n"/>
    </row>
    <row r="28">
      <c r="F28" s="316" t="inlineStr">
        <is>
          <t>Con Loan Term (mo)</t>
        </is>
      </c>
      <c r="G28" s="288" t="n">
        <v>36</v>
      </c>
      <c r="J28" s="316" t="inlineStr">
        <is>
          <t>Broker / Sale Cost</t>
        </is>
      </c>
      <c r="K28" s="386" t="n">
        <v>0.01</v>
      </c>
      <c r="N28" s="316" t="n"/>
      <c r="O28" s="387" t="n"/>
    </row>
    <row r="29">
      <c r="B29" s="384" t="inlineStr">
        <is>
          <t>Default Growth Rates</t>
        </is>
      </c>
      <c r="C29" s="155" t="n"/>
      <c r="D29" s="155" t="n"/>
      <c r="F29" s="316" t="inlineStr">
        <is>
          <t>Con Rate</t>
        </is>
      </c>
      <c r="G29" s="386" t="n">
        <v>0.057</v>
      </c>
      <c r="J29" s="316" t="inlineStr">
        <is>
          <t>Transfer / Sales Tax</t>
        </is>
      </c>
      <c r="K29" s="386" t="n">
        <v>0</v>
      </c>
      <c r="N29" s="316" t="n"/>
      <c r="O29" s="387" t="n"/>
    </row>
    <row r="30">
      <c r="B30" s="316" t="inlineStr">
        <is>
          <t>Rent Growth</t>
        </is>
      </c>
      <c r="C30" s="386" t="n">
        <v>0.03</v>
      </c>
      <c r="F30" s="316" t="inlineStr">
        <is>
          <t>Con Interest Calc</t>
        </is>
      </c>
      <c r="G30" s="373" t="inlineStr">
        <is>
          <t>Actual/360</t>
        </is>
      </c>
      <c r="H30" s="393">
        <f>IF(G30="Actual/360",1,0)</f>
        <v/>
      </c>
      <c r="J30" s="316" t="inlineStr">
        <is>
          <t>Tax Proration (mo)</t>
        </is>
      </c>
      <c r="K30" s="389" t="n">
        <v>2</v>
      </c>
      <c r="N30" s="316" t="n"/>
      <c r="O30" s="387" t="n"/>
    </row>
    <row r="31">
      <c r="B31" s="316" t="inlineStr">
        <is>
          <t>Low-Income Rent Growth</t>
        </is>
      </c>
      <c r="C31" s="386" t="n">
        <v>0.03</v>
      </c>
      <c r="F31" s="316" t="inlineStr">
        <is>
          <t>Con Points</t>
        </is>
      </c>
      <c r="G31" s="386" t="n">
        <v>0.01</v>
      </c>
      <c r="N31" s="316" t="n"/>
      <c r="O31" s="387" t="n"/>
    </row>
    <row r="32">
      <c r="B32" s="316" t="inlineStr">
        <is>
          <t>Expense Growth</t>
        </is>
      </c>
      <c r="C32" s="386" t="n">
        <v>0.03</v>
      </c>
      <c r="F32" s="316" t="inlineStr">
        <is>
          <t>Con Other Costs</t>
        </is>
      </c>
      <c r="G32" s="387" t="n">
        <v>250000</v>
      </c>
      <c r="J32" s="384" t="inlineStr">
        <is>
          <t>Property Taxes</t>
        </is>
      </c>
      <c r="K32" s="155" t="n"/>
      <c r="L32" s="155" t="n"/>
      <c r="N32" s="316" t="n"/>
      <c r="O32" s="397" t="n"/>
    </row>
    <row r="33">
      <c r="B33" s="316" t="inlineStr">
        <is>
          <t>Utility Growth</t>
        </is>
      </c>
      <c r="C33" s="386" t="n">
        <v>0.03</v>
      </c>
      <c r="F33" s="316" t="inlineStr">
        <is>
          <t>Con Min Debt Yield</t>
        </is>
      </c>
      <c r="G33" s="386" t="n">
        <v>0.07000000000000001</v>
      </c>
      <c r="J33" s="316" t="inlineStr">
        <is>
          <t>Tax Levy %</t>
        </is>
      </c>
      <c r="K33" s="386" t="n">
        <v>0.0185</v>
      </c>
      <c r="N33" s="316" t="n"/>
      <c r="O33" s="387" t="n"/>
    </row>
    <row r="34">
      <c r="B34" s="316" t="inlineStr">
        <is>
          <t>Tax Growth</t>
        </is>
      </c>
      <c r="C34" s="386" t="n">
        <v>0.03</v>
      </c>
      <c r="F34" s="316" t="inlineStr">
        <is>
          <t>Con Min DSCR</t>
        </is>
      </c>
      <c r="G34" s="395" t="n">
        <v>1.15</v>
      </c>
      <c r="J34" s="316" t="inlineStr">
        <is>
          <t>Assessment Ratio %</t>
        </is>
      </c>
      <c r="K34" s="392" t="n">
        <v>0.1</v>
      </c>
      <c r="N34" s="316" t="n"/>
      <c r="O34" s="387" t="n"/>
    </row>
    <row r="35">
      <c r="B35" s="316" t="inlineStr">
        <is>
          <t>Other-Income Growth</t>
        </is>
      </c>
      <c r="C35" s="386" t="n">
        <v>0.03</v>
      </c>
      <c r="F35" s="316" t="inlineStr">
        <is>
          <t>Lender Reserve Override</t>
        </is>
      </c>
      <c r="G35" s="387" t="n">
        <v>0</v>
      </c>
      <c r="J35" s="316" t="inlineStr">
        <is>
          <t>Value-Adj Factor</t>
        </is>
      </c>
      <c r="K35" s="388" t="n">
        <v>0.5</v>
      </c>
      <c r="N35" s="316" t="n"/>
      <c r="O35" s="386" t="n"/>
    </row>
    <row r="36">
      <c r="B36" s="316" t="inlineStr">
        <is>
          <t>Growth Start Date (effective)</t>
        </is>
      </c>
      <c r="C36" s="398">
        <f>IF(ISNUMBER(GrowthStartOverride),GrowthStartOverride,EOMONTH(InceptionDate,1))</f>
        <v/>
      </c>
      <c r="J36" s="316" t="inlineStr">
        <is>
          <t>Post-Stab Tax Method</t>
        </is>
      </c>
      <c r="K36" s="373" t="inlineStr">
        <is>
          <t>Value Approach</t>
        </is>
      </c>
      <c r="L36" s="393">
        <f>IF(K36="Value Approach",1,0)</f>
        <v/>
      </c>
      <c r="N36" s="316" t="n"/>
      <c r="O36" s="387" t="n"/>
    </row>
    <row r="37">
      <c r="B37" s="400" t="inlineStr">
        <is>
          <t xml:space="preserve">  → Override (blank = auto)</t>
        </is>
      </c>
      <c r="C37" s="432" t="n"/>
      <c r="F37" s="384" t="inlineStr">
        <is>
          <t>Construction Interest &amp; Refi</t>
        </is>
      </c>
      <c r="G37" s="155" t="n"/>
      <c r="H37" s="155" t="n"/>
      <c r="J37" s="316" t="inlineStr">
        <is>
          <t>Year-1 Tax Override</t>
        </is>
      </c>
      <c r="K37" s="387" t="n">
        <v>0</v>
      </c>
      <c r="N37" s="316" t="n"/>
      <c r="O37" s="387" t="n"/>
    </row>
    <row r="38">
      <c r="B38" s="384" t="inlineStr">
        <is>
          <t>Unit Delivery &amp; Lease-Up</t>
        </is>
      </c>
      <c r="C38" s="155" t="n"/>
      <c r="D38" s="155" t="n"/>
      <c r="F38" s="316" t="inlineStr">
        <is>
          <t>Refi Lag (mo)</t>
        </is>
      </c>
      <c r="G38" s="288" t="n">
        <v>1</v>
      </c>
      <c r="J38" s="316" t="inlineStr">
        <is>
          <t>Dispo Tax Driver</t>
        </is>
      </c>
      <c r="K38" s="373" t="inlineStr">
        <is>
          <t>Imputed</t>
        </is>
      </c>
      <c r="L38" s="393">
        <f>IF(K38="Reassessed",1,0)</f>
        <v/>
      </c>
      <c r="N38" s="316" t="n"/>
      <c r="O38" s="386" t="n"/>
    </row>
    <row r="39">
      <c r="B39" s="316" t="inlineStr">
        <is>
          <t>Lease-Up Income</t>
        </is>
      </c>
      <c r="C39" s="373" t="inlineStr">
        <is>
          <t>Offset vs equity</t>
        </is>
      </c>
      <c r="D39" s="393">
        <f>IF(C39="Offset vs equity",1,0)</f>
        <v/>
      </c>
      <c r="F39" s="316" t="inlineStr">
        <is>
          <t>Interest Method</t>
        </is>
      </c>
      <c r="G39" s="373" t="inlineStr">
        <is>
          <t>Current Pay</t>
        </is>
      </c>
      <c r="H39" s="393">
        <f>IF(G39="Current Pay",1,0)</f>
        <v/>
      </c>
      <c r="J39" s="316" t="inlineStr">
        <is>
          <t>Buyer Tax Rate</t>
        </is>
      </c>
      <c r="K39" s="386" t="n">
        <v>0</v>
      </c>
    </row>
    <row r="40">
      <c r="B40" s="316" t="inlineStr">
        <is>
          <t>Units Delivered / Mo</t>
        </is>
      </c>
      <c r="C40" s="288" t="n">
        <v>24</v>
      </c>
      <c r="F40" s="316" t="inlineStr">
        <is>
          <t>Interest Conversion Mo</t>
        </is>
      </c>
      <c r="G40" s="288" t="n">
        <v>0</v>
      </c>
      <c r="J40" s="316" t="inlineStr">
        <is>
          <t>Lease-Up Tax</t>
        </is>
      </c>
      <c r="K40" s="373" t="inlineStr">
        <is>
          <t>Capitalize in budget</t>
        </is>
      </c>
      <c r="L40" s="393">
        <f>IF(K40="Capitalize in budget",1,0)</f>
        <v/>
      </c>
    </row>
    <row r="41">
      <c r="B41" s="316" t="inlineStr">
        <is>
          <t>Units Leased / Mo</t>
        </is>
      </c>
      <c r="C41" s="288" t="n">
        <v>18</v>
      </c>
    </row>
    <row r="42">
      <c r="B42" s="316" t="inlineStr">
        <is>
          <t>Lease-Up Opex Ramp</t>
        </is>
      </c>
      <c r="C42" s="392" t="n">
        <v>0.6</v>
      </c>
    </row>
    <row r="43">
      <c r="B43" s="316" t="inlineStr">
        <is>
          <t>Lease-Up Opex Uplift</t>
        </is>
      </c>
      <c r="C43" s="392" t="n">
        <v>0.25</v>
      </c>
    </row>
    <row r="44">
      <c r="B44" s="316" t="inlineStr">
        <is>
          <t>Stabilized Occupancy (= 1 + vacancy, derived)</t>
        </is>
      </c>
      <c r="C44" s="433">
        <f>1+VacancyPct</f>
        <v/>
      </c>
    </row>
    <row r="45">
      <c r="B45" s="316" t="inlineStr">
        <is>
          <t>Delivery Lag (mo)</t>
        </is>
      </c>
      <c r="C45" s="288" t="n">
        <v>19</v>
      </c>
    </row>
  </sheetData>
  <conditionalFormatting sqref="T17:T22">
    <cfRule type="cellIs" priority="7" operator="equal" dxfId="10">
      <formula>"CHECK"</formula>
    </cfRule>
  </conditionalFormatting>
  <dataValidations count="99">
    <dataValidation sqref="C9" showDropDown="0" showInputMessage="0" showErrorMessage="0" allowBlank="1" type="list">
      <formula1>"Ground-Up Development,Value-Add,Core,Core-Plus"</formula1>
    </dataValidation>
    <dataValidation sqref="C12" showDropDown="0" showInputMessage="0" showErrorMessage="0" allowBlank="1" type="list">
      <formula1>"AZ,TX,CA,CO,NV,UT,NM,WA,OR,ID,FL,GA,NC,TN"</formula1>
    </dataValidation>
    <dataValidation sqref="C14" showDropDown="0" showInputMessage="0" showErrorMessage="0" allowBlank="1" type="list">
      <formula1>"Garden,Mid-Rise,High-Rise,Wrap,Podium,Townhome"</formula1>
    </dataValidation>
    <dataValidation sqref="C15" showDropDown="0" showInputMessage="0" showErrorMessage="0" allowBlank="1" type="list">
      <formula1>"Urban,Suburban,Suburban Infill,Rural"</formula1>
    </dataValidation>
    <dataValidation sqref="C19" showDropDown="0" showInputMessage="0" showErrorMessage="1" allowBlank="0" errorTitle="Out of range" error="Hold Period (mo): enter months." type="whole" operator="between">
      <formula1>1</formula1>
      <formula2>360</formula2>
    </dataValidation>
    <dataValidation sqref="C20" showDropDown="0" showInputMessage="0" showErrorMessage="1" allowBlank="0" errorTitle="Out of range" error="Entry Cap Rate: enter rate %." type="decimal" operator="between">
      <formula1>0</formula1>
      <formula2>0.25</formula2>
    </dataValidation>
    <dataValidation sqref="C23" showDropDown="0" showInputMessage="0" showErrorMessage="1" allowBlank="0" errorTitle="Out of range" error="Cap Adj — Location: enter ± rate." type="decimal" operator="between">
      <formula1>-0.05</formula1>
      <formula2>0.05</formula2>
    </dataValidation>
    <dataValidation sqref="C24" showDropDown="0" showInputMessage="0" showErrorMessage="1" allowBlank="0" errorTitle="Out of range" error="Cap Adj — Size: enter ± rate." type="decimal" operator="between">
      <formula1>-0.05</formula1>
      <formula2>0.05</formula2>
    </dataValidation>
    <dataValidation sqref="C25" showDropDown="0" showInputMessage="0" showErrorMessage="1" allowBlank="0" errorTitle="Out of range" error="Cap Adj — Aging: enter ± rate." type="decimal" operator="between">
      <formula1>-0.05</formula1>
      <formula2>0.05</formula2>
    </dataValidation>
    <dataValidation sqref="C27" showDropDown="0" showInputMessage="0" showErrorMessage="1" allowBlank="0" errorTitle="Out of range" error="Exit Cap — Retail: enter rate %." type="decimal" operator="between">
      <formula1>0</formula1>
      <formula2>0.25</formula2>
    </dataValidation>
    <dataValidation sqref="C30" showDropDown="0" showInputMessage="0" showErrorMessage="1" allowBlank="0" errorTitle="Out of range" error="Rent Growth: enter annual %." type="decimal" operator="between">
      <formula1>-0.1</formula1>
      <formula2>0.2</formula2>
    </dataValidation>
    <dataValidation sqref="C31" showDropDown="0" showInputMessage="0" showErrorMessage="1" allowBlank="0" errorTitle="Out of range" error="Low-Income Rent Growth: enter annual %." type="decimal" operator="between">
      <formula1>-0.1</formula1>
      <formula2>0.2</formula2>
    </dataValidation>
    <dataValidation sqref="C32" showDropDown="0" showInputMessage="0" showErrorMessage="1" allowBlank="0" errorTitle="Out of range" error="Expense Growth: enter annual %." type="decimal" operator="between">
      <formula1>-0.1</formula1>
      <formula2>0.2</formula2>
    </dataValidation>
    <dataValidation sqref="C33" showDropDown="0" showInputMessage="0" showErrorMessage="1" allowBlank="0" errorTitle="Out of range" error="Utility Growth: enter annual %." type="decimal" operator="between">
      <formula1>-0.1</formula1>
      <formula2>0.2</formula2>
    </dataValidation>
    <dataValidation sqref="C34" showDropDown="0" showInputMessage="0" showErrorMessage="1" allowBlank="0" errorTitle="Out of range" error="Tax Growth: enter annual %." type="decimal" operator="between">
      <formula1>-0.1</formula1>
      <formula2>0.2</formula2>
    </dataValidation>
    <dataValidation sqref="C35" showDropDown="0" showInputMessage="0" showErrorMessage="1" allowBlank="0" errorTitle="Out of range" error="Other-Income Growth: enter annual %." type="decimal" operator="between">
      <formula1>-0.1</formula1>
      <formula2>0.2</formula2>
    </dataValidation>
    <dataValidation sqref="C39" showDropDown="0" showInputMessage="0" showErrorMessage="1" allowBlank="0" type="list">
      <formula1>"Offset vs equity,Do not offset"</formula1>
    </dataValidation>
    <dataValidation sqref="C40" showDropDown="0" showInputMessage="0" showErrorMessage="1" allowBlank="0" errorTitle="Out of range" error="Units Delivered / Mo: enter units/mo." type="whole" operator="between">
      <formula1>1</formula1>
      <formula2>1000</formula2>
    </dataValidation>
    <dataValidation sqref="C41" showDropDown="0" showInputMessage="0" showErrorMessage="1" allowBlank="0" errorTitle="Out of range" error="Units Leased / Mo: enter units/mo." type="whole" operator="between">
      <formula1>1</formula1>
      <formula2>1000</formula2>
    </dataValidation>
    <dataValidation sqref="C42" showDropDown="0" showInputMessage="0" showErrorMessage="1" allowBlank="0" errorTitle="Out of range" error="Lease-Up Opex Ramp: enter % of stab." type="decimal" operator="between">
      <formula1>0</formula1>
      <formula2>1</formula2>
    </dataValidation>
    <dataValidation sqref="C43" showDropDown="0" showInputMessage="0" showErrorMessage="1" allowBlank="0" errorTitle="Out of range" error="Lease-Up Opex Uplift: enter uplift %." type="decimal" operator="between">
      <formula1>0</formula1>
      <formula2>1</formula2>
    </dataValidation>
    <dataValidation sqref="C44" showDropDown="0" showInputMessage="0" showErrorMessage="1" allowBlank="0" errorTitle="Out of range" error="Stabilized Occupancy: enter occupancy %." type="decimal" operator="between">
      <formula1>0.5</formula1>
      <formula2>1.0</formula2>
    </dataValidation>
    <dataValidation sqref="G9" showDropDown="0" showInputMessage="0" showErrorMessage="1" allowBlank="0" errorTitle="Out of range" error="Delivery Lag (mo): enter months." type="whole" operator="between">
      <formula1>0</formula1>
      <formula2>120</formula2>
    </dataValidation>
    <dataValidation sqref="G10" showDropDown="0" showInputMessage="0" showErrorMessage="1" allowBlank="0" errorTitle="Out of range" error="Open Escrow (mo): enter months." type="whole" operator="between">
      <formula1>0</formula1>
      <formula2>120</formula2>
    </dataValidation>
    <dataValidation sqref="G11" showDropDown="0" showInputMessage="0" showErrorMessage="1" allowBlank="0" errorTitle="Out of range" error="Due Diligence (mo): enter months." type="whole" operator="between">
      <formula1>0</formula1>
      <formula2>120</formula2>
    </dataValidation>
    <dataValidation sqref="G12" showDropDown="0" showInputMessage="0" showErrorMessage="1" allowBlank="0" errorTitle="Out of range" error="Entitlement (mo): enter months." type="whole" operator="between">
      <formula1>0</formula1>
      <formula2>120</formula2>
    </dataValidation>
    <dataValidation sqref="G13" showDropDown="0" showInputMessage="0" showErrorMessage="1" allowBlank="0" errorTitle="Out of range" error="Pre-Construction (mo): enter months." type="whole" operator="between">
      <formula1>0</formula1>
      <formula2>120</formula2>
    </dataValidation>
    <dataValidation sqref="G14" showDropDown="0" showInputMessage="0" showErrorMessage="1" allowBlank="0" errorTitle="Out of range" error="Initial Closing (mo): enter months." type="whole" operator="between">
      <formula1>0</formula1>
      <formula2>120</formula2>
    </dataValidation>
    <dataValidation sqref="G15" showDropDown="0" showInputMessage="0" showErrorMessage="1" allowBlank="0" errorTitle="Out of range" error="Construction (mo): enter months." type="whole" operator="between">
      <formula1>0</formula1>
      <formula2>120</formula2>
    </dataValidation>
    <dataValidation sqref="G16" showDropDown="0" showInputMessage="0" showErrorMessage="1" allowBlank="0" errorTitle="Out of range" error="1st Unit Delivery (mo): enter months." type="whole" operator="between">
      <formula1>0</formula1>
      <formula2>120</formula2>
    </dataValidation>
    <dataValidation sqref="G17" showDropDown="0" showInputMessage="0" showErrorMessage="1" allowBlank="0" errorTitle="Out of range" error="Stabilization (mo): enter months." type="whole" operator="between">
      <formula1>0</formula1>
      <formula2>120</formula2>
    </dataValidation>
    <dataValidation sqref="G18" showDropDown="0" showInputMessage="0" showErrorMessage="1" allowBlank="0" errorTitle="Out of range" error="Recap / Refi (mo): enter months." type="whole" operator="between">
      <formula1>0</formula1>
      <formula2>120</formula2>
    </dataValidation>
    <dataValidation sqref="G19" showDropDown="0" showInputMessage="0" showErrorMessage="1" allowBlank="0" errorTitle="Out of range" error="Disposition (mo): enter months." type="whole" operator="between">
      <formula1>0</formula1>
      <formula2>120</formula2>
    </dataValidation>
    <dataValidation sqref="G22" showDropDown="0" showInputMessage="0" showErrorMessage="1" allowBlank="0" type="list">
      <formula1>"Pari-Passu,Equity First"</formula1>
    </dataValidation>
    <dataValidation sqref="G23" showDropDown="0" showInputMessage="0" showErrorMessage="1" allowBlank="0" errorTitle="Out of range" error="Target LTC: enter LTC %." type="decimal" operator="between">
      <formula1>0</formula1>
      <formula2>0.9</formula2>
    </dataValidation>
    <dataValidation sqref="G24" showDropDown="0" showInputMessage="0" showErrorMessage="1" allowBlank="0" errorTitle="Out of range" error="Op Reserve Coverage: enter x." type="decimal" operator="between">
      <formula1>1.0</formula1>
      <formula2>3.0</formula2>
    </dataValidation>
    <dataValidation sqref="G25" showDropDown="0" showInputMessage="0" showErrorMessage="1" allowBlank="0" errorTitle="Out of range" error="Op Reserve Min Months: enter months." type="whole" operator="between">
      <formula1>0</formula1>
      <formula2>24</formula2>
    </dataValidation>
    <dataValidation sqref="G28" showDropDown="0" showInputMessage="0" showErrorMessage="1" allowBlank="0" errorTitle="Out of range" error="Con Loan Term (mo): enter months." type="whole" operator="between">
      <formula1>12</formula1>
      <formula2>60</formula2>
    </dataValidation>
    <dataValidation sqref="G29" showDropDown="0" showInputMessage="0" showErrorMessage="1" allowBlank="0" errorTitle="Out of range" error="Con Rate: enter rate %." type="decimal" operator="between">
      <formula1>0</formula1>
      <formula2>0.25</formula2>
    </dataValidation>
    <dataValidation sqref="G30" showDropDown="0" showInputMessage="0" showErrorMessage="1" allowBlank="0" type="list">
      <formula1>"Actual/360,30/360"</formula1>
    </dataValidation>
    <dataValidation sqref="G31" showDropDown="0" showInputMessage="0" showErrorMessage="1" allowBlank="0" errorTitle="Out of range" error="Con Points: enter points %." type="decimal" operator="between">
      <formula1>0</formula1>
      <formula2>0.1</formula2>
    </dataValidation>
    <dataValidation sqref="G32" showDropDown="0" showInputMessage="0" showErrorMessage="1" allowBlank="0" errorTitle="Out of range" error="Con Other Costs: enter $." type="decimal" operator="between">
      <formula1>0</formula1>
      <formula2>1000000000.0</formula2>
    </dataValidation>
    <dataValidation sqref="G33" showDropDown="0" showInputMessage="0" showErrorMessage="1" allowBlank="0" errorTitle="Out of range" error="Con Min Debt Yield: enter rate %." type="decimal" operator="between">
      <formula1>0</formula1>
      <formula2>0.25</formula2>
    </dataValidation>
    <dataValidation sqref="G34" showDropDown="0" showInputMessage="0" showErrorMessage="1" allowBlank="0" errorTitle="Out of range" error="Con Min DSCR: enter x." type="decimal" operator="between">
      <formula1>1.0</formula1>
      <formula2>2.0</formula2>
    </dataValidation>
    <dataValidation sqref="G35" showDropDown="0" showInputMessage="0" showErrorMessage="1" allowBlank="0" errorTitle="Out of range" error="Lender Reserve Override: enter $ (0=auto)." type="decimal" operator="between">
      <formula1>0</formula1>
      <formula2>1000000000.0</formula2>
    </dataValidation>
    <dataValidation sqref="G38" showDropDown="0" showInputMessage="0" showErrorMessage="1" allowBlank="0" errorTitle="Out of range" error="Refi Lag (mo): enter months." type="whole" operator="between">
      <formula1>0</formula1>
      <formula2>24</formula2>
    </dataValidation>
    <dataValidation sqref="G39" showDropDown="0" showInputMessage="0" showErrorMessage="1" allowBlank="0" type="list">
      <formula1>"Current Pay,Capitalized"</formula1>
    </dataValidation>
    <dataValidation sqref="G40" showDropDown="0" showInputMessage="0" showErrorMessage="1" allowBlank="0" errorTitle="Out of range" error="Interest Conversion Mo: enter mo (0=auto)." type="whole" operator="between">
      <formula1>0</formula1>
      <formula2>360</formula2>
    </dataValidation>
    <dataValidation sqref="K9" showDropDown="0" showInputMessage="0" showErrorMessage="1" allowBlank="0" errorTitle="Out of range" error="Perm Max LTV: enter LTV %." type="decimal" operator="between">
      <formula1>0</formula1>
      <formula2>0.9</formula2>
    </dataValidation>
    <dataValidation sqref="K10" showDropDown="0" showInputMessage="0" showErrorMessage="1" allowBlank="0" errorTitle="Out of range" error="Perm Rate: enter rate %." type="decimal" operator="between">
      <formula1>0</formula1>
      <formula2>0.25</formula2>
    </dataValidation>
    <dataValidation sqref="K11" showDropDown="0" showInputMessage="0" showErrorMessage="1" allowBlank="0" errorTitle="Out of range" error="Perm Term (mo): enter months." type="whole" operator="between">
      <formula1>60</formula1>
      <formula2>480</formula2>
    </dataValidation>
    <dataValidation sqref="K12" showDropDown="0" showInputMessage="0" showErrorMessage="1" allowBlank="0" errorTitle="Out of range" error="Perm I/O (mo): enter months." type="whole" operator="between">
      <formula1>0</formula1>
      <formula2>120</formula2>
    </dataValidation>
    <dataValidation sqref="K13" showDropDown="0" showInputMessage="0" showErrorMessage="1" allowBlank="0" errorTitle="Out of range" error="Perm Amort (mo): enter months." type="whole" operator="between">
      <formula1>60</formula1>
      <formula2>480</formula2>
    </dataValidation>
    <dataValidation sqref="K14" showDropDown="0" showInputMessage="0" showErrorMessage="1" allowBlank="0" type="list">
      <formula1>"Actual/360,30/360"</formula1>
    </dataValidation>
    <dataValidation sqref="K15" showDropDown="0" showInputMessage="0" showErrorMessage="1" allowBlank="0" errorTitle="Out of range" error="Perm Points: enter points %." type="decimal" operator="between">
      <formula1>0</formula1>
      <formula2>0.1</formula2>
    </dataValidation>
    <dataValidation sqref="K16" showDropDown="0" showInputMessage="0" showErrorMessage="1" allowBlank="0" errorTitle="Out of range" error="Perm Min Debt Yield: enter rate %." type="decimal" operator="between">
      <formula1>0</formula1>
      <formula2>0.25</formula2>
    </dataValidation>
    <dataValidation sqref="K17" showDropDown="0" showInputMessage="0" showErrorMessage="1" allowBlank="0" errorTitle="Out of range" error="Perm Min DSCR: enter x." type="decimal" operator="between">
      <formula1>1.0</formula1>
      <formula2>2.0</formula2>
    </dataValidation>
    <dataValidation sqref="K18" showDropDown="0" showInputMessage="0" showErrorMessage="1" allowBlank="0" type="list">
      <formula1>"No Cash-Out (solve LTV to zero),Cash-Out Permitted"</formula1>
    </dataValidation>
    <dataValidation sqref="K19" showDropDown="0" showInputMessage="0" showErrorMessage="1" allowBlank="0" errorTitle="Out of range" error="Refi Month Override: enter mo (0=auto)." type="whole" operator="between">
      <formula1>0</formula1>
      <formula2>360</formula2>
    </dataValidation>
    <dataValidation sqref="K22" showDropDown="0" showInputMessage="0" showErrorMessage="1" allowBlank="0" errorTitle="Out of range" error="Dev Fee % of Direct: enter % direct." type="decimal" operator="between">
      <formula1>0</formula1>
      <formula2>0.1</formula2>
    </dataValidation>
    <dataValidation sqref="K23" showDropDown="0" showInputMessage="0" showErrorMessage="1" allowBlank="0" errorTitle="Out of range" error="3rd-Party Fee Split: enter split %." type="decimal" operator="between">
      <formula1>0</formula1>
      <formula2>1</formula2>
    </dataValidation>
    <dataValidation sqref="K24" showDropDown="0" showInputMessage="0" showErrorMessage="1" allowBlank="0" errorTitle="Out of range" error="Sponsor Dispo Fee: enter % sale." type="decimal" operator="between">
      <formula1>0</formula1>
      <formula2>0.1</formula2>
    </dataValidation>
    <dataValidation sqref="K25" showDropDown="0" showInputMessage="0" showErrorMessage="1" allowBlank="0" errorTitle="Out of range" error="Recourse Fee: enter % loan." type="decimal" operator="between">
      <formula1>0</formula1>
      <formula2>0.1</formula2>
    </dataValidation>
    <dataValidation sqref="K28" showDropDown="0" showInputMessage="0" showErrorMessage="1" allowBlank="0" errorTitle="Out of range" error="Broker / Sale Cost: enter % sale." type="decimal" operator="between">
      <formula1>0</formula1>
      <formula2>0.1</formula2>
    </dataValidation>
    <dataValidation sqref="K29" showDropDown="0" showInputMessage="0" showErrorMessage="1" allowBlank="0" errorTitle="Out of range" error="Transfer / Sales Tax: enter % sale." type="decimal" operator="between">
      <formula1>0</formula1>
      <formula2>0.1</formula2>
    </dataValidation>
    <dataValidation sqref="K30" showDropDown="0" showInputMessage="0" showErrorMessage="1" allowBlank="0" errorTitle="Out of range" error="Tax Proration (mo): enter months." type="whole" operator="between">
      <formula1>0</formula1>
      <formula2>12</formula2>
    </dataValidation>
    <dataValidation sqref="K33" showDropDown="0" showInputMessage="0" showErrorMessage="1" allowBlank="0" errorTitle="Out of range" error="Tax Levy %: enter rate %." type="decimal" operator="between">
      <formula1>0</formula1>
      <formula2>0.25</formula2>
    </dataValidation>
    <dataValidation sqref="K34" showDropDown="0" showInputMessage="0" showErrorMessage="1" allowBlank="0" errorTitle="Out of range" error="Assessment Ratio %: enter assessment %." type="decimal" operator="between">
      <formula1>0</formula1>
      <formula2>1</formula2>
    </dataValidation>
    <dataValidation sqref="K35" showDropDown="0" showInputMessage="0" showErrorMessage="1" allowBlank="0" errorTitle="Out of range" error="Value-Adj Factor: enter factor." type="decimal" operator="between">
      <formula1>0</formula1>
      <formula2>1</formula2>
    </dataValidation>
    <dataValidation sqref="K36" showDropDown="0" showInputMessage="0" showErrorMessage="1" allowBlank="0" type="list">
      <formula1>"Value Approach,Income Approach"</formula1>
    </dataValidation>
    <dataValidation sqref="K37" showDropDown="0" showInputMessage="0" showErrorMessage="1" allowBlank="0" errorTitle="Out of range" error="Year-1 Tax Override: enter $ (0=auto)." type="decimal" operator="between">
      <formula1>0</formula1>
      <formula2>1000000000.0</formula2>
    </dataValidation>
    <dataValidation sqref="K38" showDropDown="0" showInputMessage="0" showErrorMessage="1" allowBlank="0" type="list">
      <formula1>"Reassessed,Imputed"</formula1>
    </dataValidation>
    <dataValidation sqref="K39" showDropDown="0" showInputMessage="0" showErrorMessage="1" allowBlank="0" errorTitle="Out of range" error="Buyer Tax Rate: enter rate %." type="decimal" operator="between">
      <formula1>0</formula1>
      <formula2>0.25</formula2>
    </dataValidation>
    <dataValidation sqref="K40" showDropDown="0" showInputMessage="0" showErrorMessage="1" allowBlank="0" type="list">
      <formula1>"Capitalize in budget,Expense from delivery"</formula1>
    </dataValidation>
    <dataValidation sqref="O9" showDropDown="0" showInputMessage="0" showErrorMessage="1" allowBlank="0" errorTitle="Out of range" error="Land Cost: enter $." type="decimal" operator="between">
      <formula1>0</formula1>
      <formula2>1000000000000.0</formula2>
    </dataValidation>
    <dataValidation sqref="O10" showDropDown="0" showInputMessage="0" showErrorMessage="1" allowBlank="0" errorTitle="Out of range" error="Gross Acres: enter acres." type="decimal" operator="between">
      <formula1>0</formula1>
      <formula2>10000</formula2>
    </dataValidation>
    <dataValidation sqref="O12" showDropDown="0" showInputMessage="0" showErrorMessage="1" allowBlank="0" errorTitle="Out of range" error="FAR Ratio: enter ratio." type="decimal" operator="between">
      <formula1>0</formula1>
      <formula2>20</formula2>
    </dataValidation>
    <dataValidation sqref="O13" showDropDown="0" showInputMessage="0" showErrorMessage="1" allowBlank="0" errorTitle="Out of range" error="Efficiency Ratio: enter NRSF/gross %." type="decimal" operator="between">
      <formula1>0.5</formula1>
      <formula2>1.0</formula2>
    </dataValidation>
    <dataValidation sqref="O14" showDropDown="0" showInputMessage="0" showErrorMessage="1" allowBlank="0" errorTitle="Out of range" error="Existing Structure Cost: enter $." type="decimal" operator="between">
      <formula1>0</formula1>
      <formula2>1000000000000.0</formula2>
    </dataValidation>
    <dataValidation sqref="O17" showDropDown="0" showInputMessage="0" showErrorMessage="1" allowBlank="0" errorTitle="Out of range" error="Bad Debt %: enter % GPR." type="decimal" operator="between">
      <formula1>0</formula1>
      <formula2>0.1</formula2>
    </dataValidation>
    <dataValidation sqref="O18" showDropDown="0" showInputMessage="0" showErrorMessage="1" allowBlank="0" errorTitle="Out of range" error="Concessions %: enter % GPR." type="decimal" operator="between">
      <formula1>0</formula1>
      <formula2>0.1</formula2>
    </dataValidation>
    <dataValidation sqref="O19" showDropDown="0" showInputMessage="0" showErrorMessage="1" allowBlank="0" errorTitle="Out of range" error="Loss to Lease %: enter % GPR." type="decimal" operator="between">
      <formula1>0</formula1>
      <formula2>0.1</formula2>
    </dataValidation>
    <dataValidation sqref="O20" showDropDown="0" showInputMessage="0" showErrorMessage="1" allowBlank="0" errorTitle="Out of range" error="Model / Down Units: enter units." type="whole" operator="between">
      <formula1>0</formula1>
      <formula2>1000</formula2>
    </dataValidation>
    <dataValidation sqref="O21" showDropDown="0" showInputMessage="0" showErrorMessage="1" allowBlank="0" errorTitle="Out of range" error="Parking $/unit/mo: enter $/unit/mo." type="decimal" operator="between">
      <formula1>0</formula1>
      <formula2>100000.0</formula2>
    </dataValidation>
    <dataValidation sqref="O22" showDropDown="0" showInputMessage="0" showErrorMessage="1" allowBlank="0" errorTitle="Out of range" error="Retail Income $/mo: enter $/mo." type="decimal" operator="between">
      <formula1>0</formula1>
      <formula2>10000000.0</formula2>
    </dataValidation>
    <dataValidation sqref="O23" showDropDown="0" showInputMessage="0" showErrorMessage="1" allowBlank="0" errorTitle="Out of range" error="Utility Reimb $/unit/mo: enter $/unit/mo." type="decimal" operator="between">
      <formula1>0</formula1>
      <formula2>100000.0</formula2>
    </dataValidation>
    <dataValidation sqref="O24" showDropDown="0" showInputMessage="0" showErrorMessage="1" allowBlank="0" errorTitle="Out of range" error="Other Income $/unit/mo: enter $/unit/mo." type="decimal" operator="between">
      <formula1>0</formula1>
      <formula2>100000.0</formula2>
    </dataValidation>
    <dataValidation sqref="O27" showDropDown="0" showInputMessage="0" showErrorMessage="1" allowBlank="0" errorTitle="Out of range" error="Insurance $/unit/yr: enter $/unit/yr." type="decimal" operator="between">
      <formula1>0</formula1>
      <formula2>100000.0</formula2>
    </dataValidation>
    <dataValidation sqref="O28" showDropDown="0" showInputMessage="0" showErrorMessage="1" allowBlank="0" errorTitle="Out of range" error="Utilities $/unit/yr: enter $/unit/yr." type="decimal" operator="between">
      <formula1>0</formula1>
      <formula2>100000.0</formula2>
    </dataValidation>
    <dataValidation sqref="O29" showDropDown="0" showInputMessage="0" showErrorMessage="1" allowBlank="0" errorTitle="Out of range" error="Payroll $/unit/yr: enter $/unit/yr." type="decimal" operator="between">
      <formula1>0</formula1>
      <formula2>100000.0</formula2>
    </dataValidation>
    <dataValidation sqref="O30" showDropDown="0" showInputMessage="0" showErrorMessage="1" allowBlank="0" errorTitle="Out of range" error="R&amp;M $/unit/yr: enter $/unit/yr." type="decimal" operator="between">
      <formula1>0</formula1>
      <formula2>100000.0</formula2>
    </dataValidation>
    <dataValidation sqref="O31" showDropDown="0" showInputMessage="0" showErrorMessage="1" allowBlank="0" errorTitle="Out of range" error="Turnover $/unit/yr: enter $/unit/yr." type="decimal" operator="between">
      <formula1>0</formula1>
      <formula2>100000.0</formula2>
    </dataValidation>
    <dataValidation sqref="O32" showDropDown="0" showInputMessage="0" showErrorMessage="1" allowBlank="0" errorTitle="Out of range" error="Contract Svc $/unit/yr: enter $/unit/yr." type="decimal" operator="between">
      <formula1>0</formula1>
      <formula2>100000.0</formula2>
    </dataValidation>
    <dataValidation sqref="O33" showDropDown="0" showInputMessage="0" showErrorMessage="1" allowBlank="0" errorTitle="Out of range" error="Admin &amp; Legal $/unit/yr: enter $/unit/yr." type="decimal" operator="between">
      <formula1>0</formula1>
      <formula2>100000.0</formula2>
    </dataValidation>
    <dataValidation sqref="O34" showDropDown="0" showInputMessage="0" showErrorMessage="1" allowBlank="0" errorTitle="Out of range" error="Advertising $/unit/yr: enter $/unit/yr." type="decimal" operator="between">
      <formula1>0</formula1>
      <formula2>100000.0</formula2>
    </dataValidation>
    <dataValidation sqref="O35" showDropDown="0" showInputMessage="0" showErrorMessage="1" allowBlank="0" errorTitle="Out of range" error="Management Fee %: enter % EGI." type="decimal" operator="between">
      <formula1>0</formula1>
      <formula2>0.1</formula2>
    </dataValidation>
    <dataValidation sqref="O36" showDropDown="0" showInputMessage="0" showErrorMessage="1" allowBlank="0" errorTitle="Out of range" error="Capital Reserve $/unit/yr: enter $/unit/yr." type="decimal" operator="between">
      <formula1>0</formula1>
      <formula2>100000.0</formula2>
    </dataValidation>
    <dataValidation sqref="O37" showDropDown="0" showInputMessage="0" showErrorMessage="1" allowBlank="0" errorTitle="Out of range" error="Tax Prep $/unit/yr: enter $/unit/yr." type="decimal" operator="between">
      <formula1>0</formula1>
      <formula2>100000.0</formula2>
    </dataValidation>
    <dataValidation sqref="O38" showDropDown="0" showInputMessage="0" showErrorMessage="1" allowBlank="0" errorTitle="Out of range" error="Asset Mgmt Fee %: enter % EGI." type="decimal" operator="between">
      <formula1>0</formula1>
      <formula2>0.1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5496"/>
    <outlinePr summaryBelow="1" summaryRight="1"/>
    <pageSetUpPr/>
  </sheetPr>
  <dimension ref="B1:K27"/>
  <sheetViews>
    <sheetView showGridLines="0" workbookViewId="0">
      <pane ySplit="3" topLeftCell="A4" activePane="bottomLeft" state="frozen"/>
      <selection pane="bottomLeft" activeCell="A4" sqref="A4"/>
    </sheetView>
  </sheetViews>
  <sheetFormatPr baseColWidth="8" defaultRowHeight="15"/>
  <cols>
    <col width="3.7109375" customWidth="1" style="97" min="1" max="1"/>
    <col width="22.7109375" bestFit="1" customWidth="1" style="97" min="2" max="2"/>
    <col width="12" customWidth="1" style="97" min="3" max="3"/>
    <col width="10" customWidth="1" style="97" min="4" max="5"/>
    <col width="12" customWidth="1" style="97" min="6" max="7"/>
    <col width="14" customWidth="1" style="97" min="8" max="9"/>
    <col width="10" customWidth="1" style="97" min="10" max="11"/>
  </cols>
  <sheetData>
    <row r="1" ht="21" customHeight="1" s="97">
      <c r="B1" s="1" t="inlineStr">
        <is>
          <t>Unit Matrix — Residential &amp; Retail</t>
        </is>
      </c>
    </row>
    <row r="3">
      <c r="B3" s="71" t="inlineStr">
        <is>
          <t>Plan</t>
        </is>
      </c>
      <c r="C3" s="81" t="inlineStr">
        <is>
          <t>Class</t>
        </is>
      </c>
      <c r="D3" s="82" t="inlineStr">
        <is>
          <t>Units</t>
        </is>
      </c>
      <c r="E3" s="82" t="inlineStr">
        <is>
          <t>Avg SF</t>
        </is>
      </c>
      <c r="F3" s="82" t="inlineStr">
        <is>
          <t>Total SF</t>
        </is>
      </c>
      <c r="G3" s="82" t="inlineStr">
        <is>
          <t>Market Rent</t>
        </is>
      </c>
      <c r="H3" s="82" t="inlineStr">
        <is>
          <t>Net Eff. Rent</t>
        </is>
      </c>
      <c r="I3" s="82" t="inlineStr">
        <is>
          <t>Annual Rent</t>
        </is>
      </c>
      <c r="J3" s="82" t="inlineStr">
        <is>
          <t>Rent / SF</t>
        </is>
      </c>
      <c r="K3" s="83" t="inlineStr">
        <is>
          <t>% of Total</t>
        </is>
      </c>
    </row>
    <row r="4">
      <c r="B4" s="36" t="inlineStr">
        <is>
          <t>Studio</t>
        </is>
      </c>
      <c r="C4" s="84" t="inlineStr">
        <is>
          <t>Market</t>
        </is>
      </c>
      <c r="D4" s="9" t="n">
        <v>30</v>
      </c>
      <c r="E4" s="9" t="n">
        <v>750</v>
      </c>
      <c r="F4" s="85">
        <f>D4*E4</f>
        <v/>
      </c>
      <c r="G4" s="213" t="n">
        <v>1625</v>
      </c>
      <c r="H4" s="217">
        <f>+G4</f>
        <v/>
      </c>
      <c r="I4" s="218">
        <f>D4*G4*12</f>
        <v/>
      </c>
      <c r="J4" s="219">
        <f>IF(E4=0,0,G4/E4)</f>
        <v/>
      </c>
      <c r="K4" s="220">
        <f>IF(TotalUnits=0,0,D4/TotalUnits)</f>
        <v/>
      </c>
    </row>
    <row r="5">
      <c r="B5" s="36" t="inlineStr">
        <is>
          <t>1BR-A</t>
        </is>
      </c>
      <c r="C5" s="84" t="inlineStr">
        <is>
          <t>Market</t>
        </is>
      </c>
      <c r="D5" s="9" t="n">
        <v>38</v>
      </c>
      <c r="E5" s="9" t="n">
        <v>1025</v>
      </c>
      <c r="F5" s="85">
        <f>D5*E5</f>
        <v/>
      </c>
      <c r="G5" s="213" t="n">
        <v>1850</v>
      </c>
      <c r="H5" s="217">
        <f>+G5</f>
        <v/>
      </c>
      <c r="I5" s="218">
        <f>D5*G5*12</f>
        <v/>
      </c>
      <c r="J5" s="219">
        <f>IF(E5=0,0,G5/E5)</f>
        <v/>
      </c>
      <c r="K5" s="220">
        <f>IF(TotalUnits=0,0,D5/TotalUnits)</f>
        <v/>
      </c>
    </row>
    <row r="6">
      <c r="B6" s="36" t="inlineStr">
        <is>
          <t>1BR-B</t>
        </is>
      </c>
      <c r="C6" s="84" t="inlineStr">
        <is>
          <t>Market</t>
        </is>
      </c>
      <c r="D6" s="9" t="n">
        <v>0</v>
      </c>
      <c r="E6" s="9" t="n">
        <v>0</v>
      </c>
      <c r="F6" s="85">
        <f>D6*E6</f>
        <v/>
      </c>
      <c r="G6" s="213" t="n">
        <v>0</v>
      </c>
      <c r="H6" s="217">
        <f>+G6</f>
        <v/>
      </c>
      <c r="I6" s="218">
        <f>D6*G6*12</f>
        <v/>
      </c>
      <c r="J6" s="219">
        <f>IF(E6=0,0,G6/E6)</f>
        <v/>
      </c>
      <c r="K6" s="220">
        <f>IF(TotalUnits=0,0,D6/TotalUnits)</f>
        <v/>
      </c>
    </row>
    <row r="7">
      <c r="B7" s="36" t="inlineStr">
        <is>
          <t>2BR-A</t>
        </is>
      </c>
      <c r="C7" s="84" t="inlineStr">
        <is>
          <t>Market</t>
        </is>
      </c>
      <c r="D7" s="9" t="n">
        <v>0</v>
      </c>
      <c r="E7" s="9" t="n">
        <v>0</v>
      </c>
      <c r="F7" s="85">
        <f>D7*E7</f>
        <v/>
      </c>
      <c r="G7" s="213" t="n">
        <v>0</v>
      </c>
      <c r="H7" s="217">
        <f>+G7</f>
        <v/>
      </c>
      <c r="I7" s="218">
        <f>D7*G7*12</f>
        <v/>
      </c>
      <c r="J7" s="219">
        <f>IF(E7=0,0,G7/E7)</f>
        <v/>
      </c>
      <c r="K7" s="220">
        <f>IF(TotalUnits=0,0,D7/TotalUnits)</f>
        <v/>
      </c>
    </row>
    <row r="8">
      <c r="B8" s="36" t="inlineStr">
        <is>
          <t>2BR-B</t>
        </is>
      </c>
      <c r="C8" s="84" t="inlineStr">
        <is>
          <t>Market</t>
        </is>
      </c>
      <c r="D8" s="9" t="n">
        <v>0</v>
      </c>
      <c r="E8" s="9" t="n">
        <v>0</v>
      </c>
      <c r="F8" s="85">
        <f>D8*E8</f>
        <v/>
      </c>
      <c r="G8" s="213" t="n">
        <v>0</v>
      </c>
      <c r="H8" s="217">
        <f>+G8</f>
        <v/>
      </c>
      <c r="I8" s="218">
        <f>D8*G8*12</f>
        <v/>
      </c>
      <c r="J8" s="219">
        <f>IF(E8=0,0,G8/E8)</f>
        <v/>
      </c>
      <c r="K8" s="220">
        <f>IF(TotalUnits=0,0,D8/TotalUnits)</f>
        <v/>
      </c>
    </row>
    <row r="9">
      <c r="B9" s="36" t="inlineStr">
        <is>
          <t>1BR-LI</t>
        </is>
      </c>
      <c r="C9" s="84" t="inlineStr">
        <is>
          <t>Low</t>
        </is>
      </c>
      <c r="D9" s="9" t="n">
        <v>0</v>
      </c>
      <c r="E9" s="9" t="n">
        <v>0</v>
      </c>
      <c r="F9" s="85">
        <f>D9*E9</f>
        <v/>
      </c>
      <c r="G9" s="213" t="n">
        <v>0</v>
      </c>
      <c r="H9" s="217">
        <f>+G9</f>
        <v/>
      </c>
      <c r="I9" s="218">
        <f>D9*G9*12</f>
        <v/>
      </c>
      <c r="J9" s="219">
        <f>IF(E9=0,0,G9/E9)</f>
        <v/>
      </c>
      <c r="K9" s="220">
        <f>IF(TotalUnits=0,0,D9/TotalUnits)</f>
        <v/>
      </c>
    </row>
    <row r="10">
      <c r="B10" s="36" t="inlineStr">
        <is>
          <t>2BR-LI</t>
        </is>
      </c>
      <c r="C10" s="84" t="inlineStr">
        <is>
          <t>Low</t>
        </is>
      </c>
      <c r="D10" s="9" t="n">
        <v>0</v>
      </c>
      <c r="E10" s="9" t="n">
        <v>0</v>
      </c>
      <c r="F10" s="85">
        <f>D10*E10</f>
        <v/>
      </c>
      <c r="G10" s="213" t="n">
        <v>0</v>
      </c>
      <c r="H10" s="217">
        <f>+G10</f>
        <v/>
      </c>
      <c r="I10" s="218">
        <f>D10*G10*12</f>
        <v/>
      </c>
      <c r="J10" s="219">
        <f>IF(E10=0,0,G10/E10)</f>
        <v/>
      </c>
      <c r="K10" s="220">
        <f>IF(TotalUnits=0,0,D10/TotalUnits)</f>
        <v/>
      </c>
    </row>
    <row r="11">
      <c r="B11" s="57" t="inlineStr">
        <is>
          <t>Total / Weighted</t>
        </is>
      </c>
      <c r="C11" s="79" t="n"/>
      <c r="D11" s="88">
        <f>SUM(D4:D10)</f>
        <v/>
      </c>
      <c r="E11" s="102">
        <f>SUMPRODUCT(E4:E10,$D$4:$D$10)/$D$11</f>
        <v/>
      </c>
      <c r="F11" s="88">
        <f>SUM(F4:F10)</f>
        <v/>
      </c>
      <c r="G11" s="221">
        <f>SUMPRODUCT(G4:G10,$D$4:$D$10)/$D$11</f>
        <v/>
      </c>
      <c r="H11" s="221">
        <f>SUMPRODUCT(H4:H10,$D$4:$D$10)/$D$11</f>
        <v/>
      </c>
      <c r="I11" s="88">
        <f>SUM(I4:I10)</f>
        <v/>
      </c>
      <c r="J11" s="222">
        <f>SUMPRODUCT(J4:J10,$D$4:$D$10)/$D$11</f>
        <v/>
      </c>
      <c r="K11" s="223">
        <f>SUM(K4:K10)</f>
        <v/>
      </c>
    </row>
    <row r="13">
      <c r="B13" s="71" t="inlineStr">
        <is>
          <t>Derived Unit Metrics</t>
        </is>
      </c>
      <c r="C13" s="80" t="n"/>
    </row>
    <row r="14">
      <c r="B14" s="36" t="inlineStr">
        <is>
          <t>Total Units</t>
        </is>
      </c>
      <c r="C14" s="37">
        <f>SUM(D4:D10)</f>
        <v/>
      </c>
    </row>
    <row r="15">
      <c r="B15" s="36" t="inlineStr">
        <is>
          <t>Market-Rate Units</t>
        </is>
      </c>
      <c r="C15" s="37">
        <f>SUMIF(C4:C10,"Market",D4:D10)</f>
        <v/>
      </c>
    </row>
    <row r="16">
      <c r="B16" s="36" t="inlineStr">
        <is>
          <t>Low-Income Units</t>
        </is>
      </c>
      <c r="C16" s="37">
        <f>SUMIF(C4:C10,"Low",D4:D10)</f>
        <v/>
      </c>
    </row>
    <row r="17">
      <c r="B17" s="36" t="inlineStr">
        <is>
          <t>Net Rentable SF (NRSF)</t>
        </is>
      </c>
      <c r="C17" s="37">
        <f>SUM(F4:F10)</f>
        <v/>
      </c>
    </row>
    <row r="18">
      <c r="B18" s="36" t="inlineStr">
        <is>
          <t>Buildable SF</t>
        </is>
      </c>
      <c r="C18" s="37">
        <f>NRSF/EfficiencyRatio</f>
        <v/>
      </c>
    </row>
    <row r="19">
      <c r="B19" s="36" t="inlineStr">
        <is>
          <t>Avg Unit SF</t>
        </is>
      </c>
      <c r="C19" s="37">
        <f>IF(TotalUnits=0,0,NRSF/TotalUnits)</f>
        <v/>
      </c>
    </row>
    <row r="20">
      <c r="B20" s="36" t="inlineStr">
        <is>
          <t>Base Market Rent / mo</t>
        </is>
      </c>
      <c r="C20" s="180">
        <f>SUMPRODUCT((C4:C10="Market")*D4:D10*G4:G10)</f>
        <v/>
      </c>
    </row>
    <row r="21">
      <c r="B21" s="40" t="inlineStr">
        <is>
          <t>Base Low-Income Rent / mo</t>
        </is>
      </c>
      <c r="C21" s="185">
        <f>SUMPRODUCT((C4:C10="Low")*D4:D10*G4:G10)</f>
        <v/>
      </c>
    </row>
    <row r="23">
      <c r="B23" s="71" t="inlineStr">
        <is>
          <t>Retail Matrix</t>
        </is>
      </c>
      <c r="C23" s="72" t="n"/>
      <c r="D23" s="72" t="n"/>
      <c r="E23" s="72" t="n"/>
      <c r="F23" s="80" t="n"/>
    </row>
    <row r="24">
      <c r="B24" s="73" t="inlineStr">
        <is>
          <t>Suite</t>
        </is>
      </c>
      <c r="C24" s="74" t="inlineStr">
        <is>
          <t>SF</t>
        </is>
      </c>
      <c r="D24" s="74" t="inlineStr">
        <is>
          <t>Rent / SF / yr</t>
        </is>
      </c>
      <c r="E24" s="74" t="inlineStr">
        <is>
          <t>Annual Rent</t>
        </is>
      </c>
      <c r="F24" s="75" t="inlineStr">
        <is>
          <t>Monthly Rent</t>
        </is>
      </c>
    </row>
    <row r="25">
      <c r="B25" s="36" t="inlineStr">
        <is>
          <t>Retail-1</t>
        </is>
      </c>
      <c r="C25" s="9" t="n">
        <v>0</v>
      </c>
      <c r="D25" s="224" t="n">
        <v>0</v>
      </c>
      <c r="E25" s="218">
        <f>C25*D25</f>
        <v/>
      </c>
      <c r="F25" s="225">
        <f>C25*D25/12</f>
        <v/>
      </c>
    </row>
    <row r="26">
      <c r="B26" s="36" t="inlineStr">
        <is>
          <t>Retail-2</t>
        </is>
      </c>
      <c r="C26" s="9" t="n">
        <v>0</v>
      </c>
      <c r="D26" s="224" t="n">
        <v>0</v>
      </c>
      <c r="E26" s="218">
        <f>C26*D26</f>
        <v/>
      </c>
      <c r="F26" s="225">
        <f>C26*D26/12</f>
        <v/>
      </c>
    </row>
    <row r="27">
      <c r="B27" s="40" t="inlineStr">
        <is>
          <t>Retail Rent / mo</t>
        </is>
      </c>
      <c r="C27" s="226">
        <f>SUM(F25:F26)</f>
        <v/>
      </c>
      <c r="D27" s="79" t="n"/>
      <c r="E27" s="79" t="n"/>
      <c r="F27" s="6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5496"/>
    <outlinePr summaryBelow="1" summaryRight="1"/>
    <pageSetUpPr/>
  </sheetPr>
  <dimension ref="A1:M130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3.7109375" customWidth="1" style="97" min="1" max="1"/>
    <col width="30" customWidth="1" style="97" min="2" max="2"/>
    <col width="8" customWidth="1" style="97" min="3" max="5"/>
    <col width="14" customWidth="1" style="97" min="6" max="6"/>
    <col width="20" customWidth="1" style="97" min="7" max="7"/>
    <col width="16" customWidth="1" style="97" min="8" max="8"/>
    <col width="10" customWidth="1" style="97" min="9" max="9"/>
    <col width="16" customWidth="1" style="97" min="10" max="10"/>
    <col width="12" customWidth="1" style="97" min="11" max="11"/>
    <col width="10" customWidth="1" style="97" min="12" max="12"/>
  </cols>
  <sheetData>
    <row r="1" ht="21" customHeight="1" s="97">
      <c r="B1" s="1" t="inlineStr">
        <is>
          <t>Development Budget &amp; Cost Assumptions</t>
        </is>
      </c>
    </row>
    <row r="2">
      <c r="B2" s="2" t="inlineStr">
        <is>
          <t>Basis: abs=$  unit=$/unit  sf=$/NRSF.  Modifier shifts the phase start/end by whole months (+later / −earlier).  Modeled Total drives the cost-curve engine.</t>
        </is>
      </c>
    </row>
    <row r="3">
      <c r="I3" s="411" t="inlineStr">
        <is>
          <t>± months vs. phase</t>
        </is>
      </c>
    </row>
    <row r="4">
      <c r="B4" s="71" t="inlineStr">
        <is>
          <t>Line Item</t>
        </is>
      </c>
      <c r="C4" s="81" t="inlineStr">
        <is>
          <t>Group</t>
        </is>
      </c>
      <c r="D4" s="81" t="inlineStr">
        <is>
          <t>Type</t>
        </is>
      </c>
      <c r="E4" s="81" t="inlineStr">
        <is>
          <t>Basis</t>
        </is>
      </c>
      <c r="F4" s="82" t="inlineStr">
        <is>
          <t>Amount</t>
        </is>
      </c>
      <c r="G4" s="82" t="inlineStr">
        <is>
          <t>Phase</t>
        </is>
      </c>
      <c r="H4" s="82" t="inlineStr">
        <is>
          <t>Cost Curve</t>
        </is>
      </c>
      <c r="I4" s="82" t="inlineStr">
        <is>
          <t>Modifier (months)</t>
        </is>
      </c>
      <c r="J4" s="82" t="inlineStr">
        <is>
          <t>Modeled Total</t>
        </is>
      </c>
      <c r="K4" s="82" t="inlineStr">
        <is>
          <t>Per Unit</t>
        </is>
      </c>
      <c r="L4" s="83" t="inlineStr">
        <is>
          <t>Per SF</t>
        </is>
      </c>
      <c r="M4" s="196" t="inlineStr">
        <is>
          <t>% of TDC</t>
        </is>
      </c>
    </row>
    <row r="5">
      <c r="A5" s="339" t="n"/>
      <c r="B5" s="351" t="inlineStr">
        <is>
          <t>Land Purchase Costs</t>
        </is>
      </c>
      <c r="C5" s="351" t="inlineStr">
        <is>
          <t>Land</t>
        </is>
      </c>
      <c r="D5" s="412" t="inlineStr">
        <is>
          <t>Land</t>
        </is>
      </c>
      <c r="E5" s="413" t="inlineStr">
        <is>
          <t>abs</t>
        </is>
      </c>
      <c r="F5" s="414">
        <f>LandCost</f>
        <v/>
      </c>
      <c r="G5" s="415" t="inlineStr">
        <is>
          <t>Pre-Construction</t>
        </is>
      </c>
      <c r="H5" s="415" t="inlineStr">
        <is>
          <t>Single_Point</t>
        </is>
      </c>
      <c r="I5" s="416" t="n">
        <v>0</v>
      </c>
      <c r="J5" s="417">
        <f>IF(E5="abs",F5,IF(E5="unit",F5*TotalUnits,IF(E5="sf",F5*NRSF,F5)))</f>
        <v/>
      </c>
      <c r="K5" s="417">
        <f>IF(TotalUnits=0,0,J5/TotalUnits)</f>
        <v/>
      </c>
      <c r="L5" s="417">
        <f>IF(NRSF=0,0,J5/NRSF)</f>
        <v/>
      </c>
      <c r="M5" s="418">
        <f>IF(TDC_Total=0,0,J5/TDC_Total)</f>
        <v/>
      </c>
    </row>
    <row r="6">
      <c r="A6" s="339" t="n"/>
      <c r="B6" s="351" t="inlineStr">
        <is>
          <t>Broker Fee</t>
        </is>
      </c>
      <c r="C6" s="351" t="inlineStr">
        <is>
          <t>Land</t>
        </is>
      </c>
      <c r="D6" s="412" t="inlineStr">
        <is>
          <t>Land</t>
        </is>
      </c>
      <c r="E6" s="413" t="inlineStr">
        <is>
          <t>abs</t>
        </is>
      </c>
      <c r="F6" s="414" t="n">
        <v>0</v>
      </c>
      <c r="G6" s="415" t="inlineStr">
        <is>
          <t>Entitlement</t>
        </is>
      </c>
      <c r="H6" s="415" t="inlineStr">
        <is>
          <t>Single_Point</t>
        </is>
      </c>
      <c r="I6" s="416" t="n">
        <v>0</v>
      </c>
      <c r="J6" s="417">
        <f>IF(E6="abs",F6,IF(E6="unit",F6*TotalUnits,IF(E6="sf",F6*NRSF,F6)))</f>
        <v/>
      </c>
      <c r="K6" s="417">
        <f>IF(TotalUnits=0,0,J6/TotalUnits)</f>
        <v/>
      </c>
      <c r="L6" s="417">
        <f>IF(NRSF=0,0,J6/NRSF)</f>
        <v/>
      </c>
      <c r="M6" s="418">
        <f>IF(TDC_Total=0,0,J6/TDC_Total)</f>
        <v/>
      </c>
    </row>
    <row r="7">
      <c r="A7" s="339" t="n"/>
      <c r="B7" s="351" t="inlineStr">
        <is>
          <t>Other Land Cost</t>
        </is>
      </c>
      <c r="C7" s="351" t="inlineStr">
        <is>
          <t>Land</t>
        </is>
      </c>
      <c r="D7" s="412" t="inlineStr">
        <is>
          <t>Land</t>
        </is>
      </c>
      <c r="E7" s="413" t="inlineStr">
        <is>
          <t>abs</t>
        </is>
      </c>
      <c r="F7" s="414" t="n">
        <v>0</v>
      </c>
      <c r="G7" s="415" t="inlineStr">
        <is>
          <t>Entitlement</t>
        </is>
      </c>
      <c r="H7" s="415" t="inlineStr">
        <is>
          <t>Single_Point</t>
        </is>
      </c>
      <c r="I7" s="416" t="n">
        <v>0</v>
      </c>
      <c r="J7" s="417">
        <f>IF(E7="abs",F7,IF(E7="unit",F7*TotalUnits,IF(E7="sf",F7*NRSF,F7)))</f>
        <v/>
      </c>
      <c r="K7" s="417">
        <f>IF(TotalUnits=0,0,J7/TotalUnits)</f>
        <v/>
      </c>
      <c r="L7" s="417">
        <f>IF(NRSF=0,0,J7/NRSF)</f>
        <v/>
      </c>
      <c r="M7" s="418">
        <f>IF(TDC_Total=0,0,J7/TDC_Total)</f>
        <v/>
      </c>
    </row>
    <row r="8">
      <c r="A8" s="339" t="n"/>
      <c r="B8" s="351" t="inlineStr">
        <is>
          <t>Legal: Entity Formation</t>
        </is>
      </c>
      <c r="C8" s="351" t="inlineStr">
        <is>
          <t>Soft</t>
        </is>
      </c>
      <c r="D8" s="412" t="inlineStr">
        <is>
          <t>Due Diligence</t>
        </is>
      </c>
      <c r="E8" s="413" t="inlineStr">
        <is>
          <t>abs</t>
        </is>
      </c>
      <c r="F8" s="414" t="n">
        <v>0</v>
      </c>
      <c r="G8" s="415" t="inlineStr">
        <is>
          <t>Entitlement</t>
        </is>
      </c>
      <c r="H8" s="415" t="inlineStr">
        <is>
          <t>Straight_Line</t>
        </is>
      </c>
      <c r="I8" s="416" t="n">
        <v>0</v>
      </c>
      <c r="J8" s="417">
        <f>IF(E8="abs",F8,IF(E8="unit",F8*TotalUnits,IF(E8="sf",F8*NRSF,F8)))</f>
        <v/>
      </c>
      <c r="K8" s="417">
        <f>IF(TotalUnits=0,0,J8/TotalUnits)</f>
        <v/>
      </c>
      <c r="L8" s="417">
        <f>IF(NRSF=0,0,J8/NRSF)</f>
        <v/>
      </c>
      <c r="M8" s="418">
        <f>IF(TDC_Total=0,0,J8/TDC_Total)</f>
        <v/>
      </c>
    </row>
    <row r="9">
      <c r="A9" s="339" t="n"/>
      <c r="B9" s="351" t="inlineStr">
        <is>
          <t>Legal: Closing Costs/Title/Escrow</t>
        </is>
      </c>
      <c r="C9" s="351" t="inlineStr">
        <is>
          <t>Soft</t>
        </is>
      </c>
      <c r="D9" s="412" t="inlineStr">
        <is>
          <t>Due Diligence</t>
        </is>
      </c>
      <c r="E9" s="413" t="inlineStr">
        <is>
          <t>abs</t>
        </is>
      </c>
      <c r="F9" s="414" t="n">
        <v>0</v>
      </c>
      <c r="G9" s="415" t="inlineStr">
        <is>
          <t>Entitlement</t>
        </is>
      </c>
      <c r="H9" s="415" t="inlineStr">
        <is>
          <t>Straight_Line</t>
        </is>
      </c>
      <c r="I9" s="416" t="n">
        <v>0</v>
      </c>
      <c r="J9" s="417">
        <f>IF(E9="abs",F9,IF(E9="unit",F9*TotalUnits,IF(E9="sf",F9*NRSF,F9)))</f>
        <v/>
      </c>
      <c r="K9" s="417">
        <f>IF(TotalUnits=0,0,J9/TotalUnits)</f>
        <v/>
      </c>
      <c r="L9" s="417">
        <f>IF(NRSF=0,0,J9/NRSF)</f>
        <v/>
      </c>
      <c r="M9" s="418">
        <f>IF(TDC_Total=0,0,J9/TDC_Total)</f>
        <v/>
      </c>
    </row>
    <row r="10">
      <c r="A10" s="339" t="n"/>
      <c r="B10" s="351" t="inlineStr">
        <is>
          <t>Legal: Misc.</t>
        </is>
      </c>
      <c r="C10" s="351" t="inlineStr">
        <is>
          <t>Soft</t>
        </is>
      </c>
      <c r="D10" s="412" t="inlineStr">
        <is>
          <t>Due Diligence</t>
        </is>
      </c>
      <c r="E10" s="413" t="inlineStr">
        <is>
          <t>abs</t>
        </is>
      </c>
      <c r="F10" s="414" t="n">
        <v>0</v>
      </c>
      <c r="G10" s="415" t="inlineStr">
        <is>
          <t>Construction</t>
        </is>
      </c>
      <c r="H10" s="415" t="inlineStr">
        <is>
          <t>Straight_Line</t>
        </is>
      </c>
      <c r="I10" s="416" t="n">
        <v>0</v>
      </c>
      <c r="J10" s="417">
        <f>IF(E10="abs",F10,IF(E10="unit",F10*TotalUnits,IF(E10="sf",F10*NRSF,F10)))</f>
        <v/>
      </c>
      <c r="K10" s="417">
        <f>IF(TotalUnits=0,0,J10/TotalUnits)</f>
        <v/>
      </c>
      <c r="L10" s="417">
        <f>IF(NRSF=0,0,J10/NRSF)</f>
        <v/>
      </c>
      <c r="M10" s="418">
        <f>IF(TDC_Total=0,0,J10/TDC_Total)</f>
        <v/>
      </c>
    </row>
    <row r="11">
      <c r="A11" s="339" t="n"/>
      <c r="B11" s="351" t="inlineStr">
        <is>
          <t>HOA/CC&amp;R's/Land Use</t>
        </is>
      </c>
      <c r="C11" s="351" t="inlineStr">
        <is>
          <t>Soft</t>
        </is>
      </c>
      <c r="D11" s="412" t="inlineStr">
        <is>
          <t>Due Diligence</t>
        </is>
      </c>
      <c r="E11" s="413" t="inlineStr">
        <is>
          <t>abs</t>
        </is>
      </c>
      <c r="F11" s="414" t="n">
        <v>0</v>
      </c>
      <c r="G11" s="415" t="inlineStr">
        <is>
          <t>Lease-Up</t>
        </is>
      </c>
      <c r="H11" s="415" t="inlineStr">
        <is>
          <t>Straight_Line</t>
        </is>
      </c>
      <c r="I11" s="416" t="n">
        <v>0</v>
      </c>
      <c r="J11" s="417">
        <f>IF(E11="abs",F11,IF(E11="unit",F11*TotalUnits,IF(E11="sf",F11*NRSF,F11)))</f>
        <v/>
      </c>
      <c r="K11" s="417">
        <f>IF(TotalUnits=0,0,J11/TotalUnits)</f>
        <v/>
      </c>
      <c r="L11" s="417">
        <f>IF(NRSF=0,0,J11/NRSF)</f>
        <v/>
      </c>
      <c r="M11" s="418">
        <f>IF(TDC_Total=0,0,J11/TDC_Total)</f>
        <v/>
      </c>
    </row>
    <row r="12">
      <c r="A12" s="339" t="n"/>
      <c r="B12" s="351" t="inlineStr">
        <is>
          <t>Market Study/Appraisal</t>
        </is>
      </c>
      <c r="C12" s="351" t="inlineStr">
        <is>
          <t>Soft</t>
        </is>
      </c>
      <c r="D12" s="412" t="inlineStr">
        <is>
          <t>Due Diligence</t>
        </is>
      </c>
      <c r="E12" s="413" t="inlineStr">
        <is>
          <t>abs</t>
        </is>
      </c>
      <c r="F12" s="414" t="n">
        <v>0</v>
      </c>
      <c r="G12" s="415" t="inlineStr">
        <is>
          <t>Entitlement</t>
        </is>
      </c>
      <c r="H12" s="415" t="inlineStr">
        <is>
          <t>Straight_Line</t>
        </is>
      </c>
      <c r="I12" s="416" t="n">
        <v>0</v>
      </c>
      <c r="J12" s="417">
        <f>IF(E12="abs",F12,IF(E12="unit",F12*TotalUnits,IF(E12="sf",F12*NRSF,F12)))</f>
        <v/>
      </c>
      <c r="K12" s="417">
        <f>IF(TotalUnits=0,0,J12/TotalUnits)</f>
        <v/>
      </c>
      <c r="L12" s="417">
        <f>IF(NRSF=0,0,J12/NRSF)</f>
        <v/>
      </c>
      <c r="M12" s="418">
        <f>IF(TDC_Total=0,0,J12/TDC_Total)</f>
        <v/>
      </c>
    </row>
    <row r="13">
      <c r="A13" s="339" t="n"/>
      <c r="B13" s="351" t="inlineStr">
        <is>
          <t>Other Due Diligence (DD Report, Tax, Misc.)</t>
        </is>
      </c>
      <c r="C13" s="351" t="inlineStr">
        <is>
          <t>Soft</t>
        </is>
      </c>
      <c r="D13" s="412" t="inlineStr">
        <is>
          <t>Due Diligence</t>
        </is>
      </c>
      <c r="E13" s="413" t="inlineStr">
        <is>
          <t>abs</t>
        </is>
      </c>
      <c r="F13" s="414" t="n">
        <v>60000</v>
      </c>
      <c r="G13" s="415" t="inlineStr">
        <is>
          <t>Due Diligence</t>
        </is>
      </c>
      <c r="H13" s="415" t="inlineStr">
        <is>
          <t>Straight_Line</t>
        </is>
      </c>
      <c r="I13" s="416" t="n">
        <v>0</v>
      </c>
      <c r="J13" s="417">
        <f>IF(E13="abs",F13,IF(E13="unit",F13*TotalUnits,IF(E13="sf",F13*NRSF,F13)))</f>
        <v/>
      </c>
      <c r="K13" s="417">
        <f>IF(TotalUnits=0,0,J13/TotalUnits)</f>
        <v/>
      </c>
      <c r="L13" s="417">
        <f>IF(NRSF=0,0,J13/NRSF)</f>
        <v/>
      </c>
      <c r="M13" s="418">
        <f>IF(TDC_Total=0,0,J13/TDC_Total)</f>
        <v/>
      </c>
    </row>
    <row r="14">
      <c r="A14" s="339" t="n"/>
      <c r="B14" s="351" t="inlineStr">
        <is>
          <t>Municipal Fees: Entitlement Phase</t>
        </is>
      </c>
      <c r="C14" s="351" t="inlineStr">
        <is>
          <t>Soft</t>
        </is>
      </c>
      <c r="D14" s="412" t="inlineStr">
        <is>
          <t>Entitlements</t>
        </is>
      </c>
      <c r="E14" s="413" t="inlineStr">
        <is>
          <t>abs</t>
        </is>
      </c>
      <c r="F14" s="414" t="n">
        <v>0</v>
      </c>
      <c r="G14" s="415" t="inlineStr">
        <is>
          <t>Entitlement</t>
        </is>
      </c>
      <c r="H14" s="415" t="inlineStr">
        <is>
          <t>Straight_Line</t>
        </is>
      </c>
      <c r="I14" s="416" t="n">
        <v>0</v>
      </c>
      <c r="J14" s="417">
        <f>IF(E14="abs",F14,IF(E14="unit",F14*TotalUnits,IF(E14="sf",F14*NRSF,F14)))</f>
        <v/>
      </c>
      <c r="K14" s="417">
        <f>IF(TotalUnits=0,0,J14/TotalUnits)</f>
        <v/>
      </c>
      <c r="L14" s="417">
        <f>IF(NRSF=0,0,J14/NRSF)</f>
        <v/>
      </c>
      <c r="M14" s="418">
        <f>IF(TDC_Total=0,0,J14/TDC_Total)</f>
        <v/>
      </c>
    </row>
    <row r="15">
      <c r="A15" s="339" t="n"/>
      <c r="B15" s="351" t="inlineStr">
        <is>
          <t>Municipal Fees: Plan Review Fees</t>
        </is>
      </c>
      <c r="C15" s="351" t="inlineStr">
        <is>
          <t>Soft</t>
        </is>
      </c>
      <c r="D15" s="412" t="inlineStr">
        <is>
          <t>Entitlements</t>
        </is>
      </c>
      <c r="E15" s="413" t="inlineStr">
        <is>
          <t>abs</t>
        </is>
      </c>
      <c r="F15" s="414" t="n">
        <v>0</v>
      </c>
      <c r="G15" s="415" t="inlineStr">
        <is>
          <t>Entitlement</t>
        </is>
      </c>
      <c r="H15" s="415" t="inlineStr">
        <is>
          <t>Straight_Line</t>
        </is>
      </c>
      <c r="I15" s="416" t="n">
        <v>0</v>
      </c>
      <c r="J15" s="417">
        <f>IF(E15="abs",F15,IF(E15="unit",F15*TotalUnits,IF(E15="sf",F15*NRSF,F15)))</f>
        <v/>
      </c>
      <c r="K15" s="417">
        <f>IF(TotalUnits=0,0,J15/TotalUnits)</f>
        <v/>
      </c>
      <c r="L15" s="417">
        <f>IF(NRSF=0,0,J15/NRSF)</f>
        <v/>
      </c>
      <c r="M15" s="418">
        <f>IF(TDC_Total=0,0,J15/TDC_Total)</f>
        <v/>
      </c>
    </row>
    <row r="16">
      <c r="A16" s="339" t="n"/>
      <c r="B16" s="351" t="inlineStr">
        <is>
          <t>Municipal Fees: Development Fees</t>
        </is>
      </c>
      <c r="C16" s="351" t="inlineStr">
        <is>
          <t>Soft</t>
        </is>
      </c>
      <c r="D16" s="412" t="inlineStr">
        <is>
          <t>Entitlements</t>
        </is>
      </c>
      <c r="E16" s="413" t="inlineStr">
        <is>
          <t>abs</t>
        </is>
      </c>
      <c r="F16" s="414" t="n">
        <v>460000</v>
      </c>
      <c r="G16" s="415" t="inlineStr">
        <is>
          <t>Entitlement</t>
        </is>
      </c>
      <c r="H16" s="415" t="inlineStr">
        <is>
          <t>Straight_Line</t>
        </is>
      </c>
      <c r="I16" s="416" t="n">
        <v>0</v>
      </c>
      <c r="J16" s="417">
        <f>IF(E16="abs",F16,IF(E16="unit",F16*TotalUnits,IF(E16="sf",F16*NRSF,F16)))</f>
        <v/>
      </c>
      <c r="K16" s="417">
        <f>IF(TotalUnits=0,0,J16/TotalUnits)</f>
        <v/>
      </c>
      <c r="L16" s="417">
        <f>IF(NRSF=0,0,J16/NRSF)</f>
        <v/>
      </c>
      <c r="M16" s="418">
        <f>IF(TDC_Total=0,0,J16/TDC_Total)</f>
        <v/>
      </c>
    </row>
    <row r="17">
      <c r="A17" s="339" t="n"/>
      <c r="B17" s="351" t="inlineStr">
        <is>
          <t>Municipal Fees: Permit Fees</t>
        </is>
      </c>
      <c r="C17" s="351" t="inlineStr">
        <is>
          <t>Soft</t>
        </is>
      </c>
      <c r="D17" s="412" t="inlineStr">
        <is>
          <t>Entitlements</t>
        </is>
      </c>
      <c r="E17" s="413" t="inlineStr">
        <is>
          <t>abs</t>
        </is>
      </c>
      <c r="F17" s="414" t="n">
        <v>0</v>
      </c>
      <c r="G17" s="415" t="inlineStr">
        <is>
          <t>Entitlement</t>
        </is>
      </c>
      <c r="H17" s="415" t="inlineStr">
        <is>
          <t>Straight_Line</t>
        </is>
      </c>
      <c r="I17" s="416" t="n">
        <v>0</v>
      </c>
      <c r="J17" s="417">
        <f>IF(E17="abs",F17,IF(E17="unit",F17*TotalUnits,IF(E17="sf",F17*NRSF,F17)))</f>
        <v/>
      </c>
      <c r="K17" s="417">
        <f>IF(TotalUnits=0,0,J17/TotalUnits)</f>
        <v/>
      </c>
      <c r="L17" s="417">
        <f>IF(NRSF=0,0,J17/NRSF)</f>
        <v/>
      </c>
      <c r="M17" s="418">
        <f>IF(TDC_Total=0,0,J17/TDC_Total)</f>
        <v/>
      </c>
    </row>
    <row r="18">
      <c r="A18" s="339" t="n"/>
      <c r="B18" s="351" t="inlineStr">
        <is>
          <t>Municipal Fees: Use Taxes</t>
        </is>
      </c>
      <c r="C18" s="351" t="inlineStr">
        <is>
          <t>Soft</t>
        </is>
      </c>
      <c r="D18" s="412" t="inlineStr">
        <is>
          <t>Entitlements</t>
        </is>
      </c>
      <c r="E18" s="413" t="inlineStr">
        <is>
          <t>abs</t>
        </is>
      </c>
      <c r="F18" s="414" t="n">
        <v>0</v>
      </c>
      <c r="G18" s="415" t="inlineStr">
        <is>
          <t>Entitlement</t>
        </is>
      </c>
      <c r="H18" s="415" t="inlineStr">
        <is>
          <t>Straight_Line</t>
        </is>
      </c>
      <c r="I18" s="416" t="n">
        <v>0</v>
      </c>
      <c r="J18" s="417">
        <f>IF(E18="abs",F18,IF(E18="unit",F18*TotalUnits,IF(E18="sf",F18*NRSF,F18)))</f>
        <v/>
      </c>
      <c r="K18" s="417">
        <f>IF(TotalUnits=0,0,J18/TotalUnits)</f>
        <v/>
      </c>
      <c r="L18" s="417">
        <f>IF(NRSF=0,0,J18/NRSF)</f>
        <v/>
      </c>
      <c r="M18" s="418">
        <f>IF(TDC_Total=0,0,J18/TDC_Total)</f>
        <v/>
      </c>
    </row>
    <row r="19">
      <c r="A19" s="339" t="n"/>
      <c r="B19" s="351" t="inlineStr">
        <is>
          <t>Guarantees/LOC/Bond Premiums</t>
        </is>
      </c>
      <c r="C19" s="351" t="inlineStr">
        <is>
          <t>Soft</t>
        </is>
      </c>
      <c r="D19" s="412" t="inlineStr">
        <is>
          <t>Entitlements</t>
        </is>
      </c>
      <c r="E19" s="413" t="inlineStr">
        <is>
          <t>abs</t>
        </is>
      </c>
      <c r="F19" s="414" t="n">
        <v>0</v>
      </c>
      <c r="G19" s="415" t="inlineStr">
        <is>
          <t>Pre-Construction</t>
        </is>
      </c>
      <c r="H19" s="415" t="inlineStr">
        <is>
          <t>Straight_Line</t>
        </is>
      </c>
      <c r="I19" s="416" t="n">
        <v>0</v>
      </c>
      <c r="J19" s="417">
        <f>IF(E19="abs",F19,IF(E19="unit",F19*TotalUnits,IF(E19="sf",F19*NRSF,F19)))</f>
        <v/>
      </c>
      <c r="K19" s="417">
        <f>IF(TotalUnits=0,0,J19/TotalUnits)</f>
        <v/>
      </c>
      <c r="L19" s="417">
        <f>IF(NRSF=0,0,J19/NRSF)</f>
        <v/>
      </c>
      <c r="M19" s="418">
        <f>IF(TDC_Total=0,0,J19/TDC_Total)</f>
        <v/>
      </c>
    </row>
    <row r="20">
      <c r="A20" s="339" t="n"/>
      <c r="B20" s="351" t="inlineStr">
        <is>
          <t>Legal: Zoning/Entitlement</t>
        </is>
      </c>
      <c r="C20" s="351" t="inlineStr">
        <is>
          <t>Soft</t>
        </is>
      </c>
      <c r="D20" s="412" t="inlineStr">
        <is>
          <t>Entitlements</t>
        </is>
      </c>
      <c r="E20" s="413" t="inlineStr">
        <is>
          <t>abs</t>
        </is>
      </c>
      <c r="F20" s="414" t="n">
        <v>0</v>
      </c>
      <c r="G20" s="415" t="inlineStr">
        <is>
          <t>Entitlement</t>
        </is>
      </c>
      <c r="H20" s="415" t="inlineStr">
        <is>
          <t>Straight_Line</t>
        </is>
      </c>
      <c r="I20" s="416" t="n">
        <v>0</v>
      </c>
      <c r="J20" s="417">
        <f>IF(E20="abs",F20,IF(E20="unit",F20*TotalUnits,IF(E20="sf",F20*NRSF,F20)))</f>
        <v/>
      </c>
      <c r="K20" s="417">
        <f>IF(TotalUnits=0,0,J20/TotalUnits)</f>
        <v/>
      </c>
      <c r="L20" s="417">
        <f>IF(NRSF=0,0,J20/NRSF)</f>
        <v/>
      </c>
      <c r="M20" s="418">
        <f>IF(TDC_Total=0,0,J20/TDC_Total)</f>
        <v/>
      </c>
    </row>
    <row r="21">
      <c r="A21" s="339" t="n"/>
      <c r="B21" s="351" t="inlineStr">
        <is>
          <t>Entitlement Consultants</t>
        </is>
      </c>
      <c r="C21" s="351" t="inlineStr">
        <is>
          <t>Soft</t>
        </is>
      </c>
      <c r="D21" s="412" t="inlineStr">
        <is>
          <t>Entitlements</t>
        </is>
      </c>
      <c r="E21" s="413" t="inlineStr">
        <is>
          <t>abs</t>
        </is>
      </c>
      <c r="F21" s="414" t="n">
        <v>168000</v>
      </c>
      <c r="G21" s="415" t="inlineStr">
        <is>
          <t>Entitlement</t>
        </is>
      </c>
      <c r="H21" s="415" t="inlineStr">
        <is>
          <t>Straight_Line</t>
        </is>
      </c>
      <c r="I21" s="416" t="n">
        <v>0</v>
      </c>
      <c r="J21" s="417">
        <f>IF(E21="abs",F21,IF(E21="unit",F21*TotalUnits,IF(E21="sf",F21*NRSF,F21)))</f>
        <v/>
      </c>
      <c r="K21" s="417">
        <f>IF(TotalUnits=0,0,J21/TotalUnits)</f>
        <v/>
      </c>
      <c r="L21" s="417">
        <f>IF(NRSF=0,0,J21/NRSF)</f>
        <v/>
      </c>
      <c r="M21" s="418">
        <f>IF(TDC_Total=0,0,J21/TDC_Total)</f>
        <v/>
      </c>
    </row>
    <row r="22">
      <c r="A22" s="339" t="n"/>
      <c r="B22" s="351" t="inlineStr">
        <is>
          <t>Public Relations/Outreach</t>
        </is>
      </c>
      <c r="C22" s="351" t="inlineStr">
        <is>
          <t>Soft</t>
        </is>
      </c>
      <c r="D22" s="412" t="inlineStr">
        <is>
          <t>Entitlements</t>
        </is>
      </c>
      <c r="E22" s="413" t="inlineStr">
        <is>
          <t>abs</t>
        </is>
      </c>
      <c r="F22" s="414" t="n">
        <v>0</v>
      </c>
      <c r="G22" s="415" t="inlineStr">
        <is>
          <t>Construction</t>
        </is>
      </c>
      <c r="H22" s="415" t="inlineStr">
        <is>
          <t>Straight_Line</t>
        </is>
      </c>
      <c r="I22" s="416" t="n">
        <v>0</v>
      </c>
      <c r="J22" s="417">
        <f>IF(E22="abs",F22,IF(E22="unit",F22*TotalUnits,IF(E22="sf",F22*NRSF,F22)))</f>
        <v/>
      </c>
      <c r="K22" s="417">
        <f>IF(TotalUnits=0,0,J22/TotalUnits)</f>
        <v/>
      </c>
      <c r="L22" s="417">
        <f>IF(NRSF=0,0,J22/NRSF)</f>
        <v/>
      </c>
      <c r="M22" s="418">
        <f>IF(TDC_Total=0,0,J22/TDC_Total)</f>
        <v/>
      </c>
    </row>
    <row r="23">
      <c r="A23" s="339" t="n"/>
      <c r="B23" s="351" t="inlineStr">
        <is>
          <t>Other Entitlement Costs</t>
        </is>
      </c>
      <c r="C23" s="351" t="inlineStr">
        <is>
          <t>Soft</t>
        </is>
      </c>
      <c r="D23" s="412" t="inlineStr">
        <is>
          <t>Entitlements</t>
        </is>
      </c>
      <c r="E23" s="413" t="inlineStr">
        <is>
          <t>abs</t>
        </is>
      </c>
      <c r="F23" s="414" t="n">
        <v>0</v>
      </c>
      <c r="G23" s="415" t="inlineStr">
        <is>
          <t>Entitlement</t>
        </is>
      </c>
      <c r="H23" s="415" t="inlineStr">
        <is>
          <t>Straight_Line</t>
        </is>
      </c>
      <c r="I23" s="416" t="n">
        <v>0</v>
      </c>
      <c r="J23" s="417">
        <f>IF(E23="abs",F23,IF(E23="unit",F23*TotalUnits,IF(E23="sf",F23*NRSF,F23)))</f>
        <v/>
      </c>
      <c r="K23" s="417">
        <f>IF(TotalUnits=0,0,J23/TotalUnits)</f>
        <v/>
      </c>
      <c r="L23" s="417">
        <f>IF(NRSF=0,0,J23/NRSF)</f>
        <v/>
      </c>
      <c r="M23" s="418">
        <f>IF(TDC_Total=0,0,J23/TDC_Total)</f>
        <v/>
      </c>
    </row>
    <row r="24">
      <c r="A24" s="339" t="n"/>
      <c r="B24" s="351" t="inlineStr">
        <is>
          <t>Site Planning</t>
        </is>
      </c>
      <c r="C24" s="351" t="inlineStr">
        <is>
          <t>Soft</t>
        </is>
      </c>
      <c r="D24" s="412" t="inlineStr">
        <is>
          <t>Consultants</t>
        </is>
      </c>
      <c r="E24" s="413" t="inlineStr">
        <is>
          <t>abs</t>
        </is>
      </c>
      <c r="F24" s="414" t="n">
        <v>0</v>
      </c>
      <c r="G24" s="415" t="inlineStr">
        <is>
          <t>Entitlement</t>
        </is>
      </c>
      <c r="H24" s="415" t="inlineStr">
        <is>
          <t>Straight_Line</t>
        </is>
      </c>
      <c r="I24" s="416" t="n">
        <v>0</v>
      </c>
      <c r="J24" s="417">
        <f>IF(E24="abs",F24,IF(E24="unit",F24*TotalUnits,IF(E24="sf",F24*NRSF,F24)))</f>
        <v/>
      </c>
      <c r="K24" s="417">
        <f>IF(TotalUnits=0,0,J24/TotalUnits)</f>
        <v/>
      </c>
      <c r="L24" s="417">
        <f>IF(NRSF=0,0,J24/NRSF)</f>
        <v/>
      </c>
      <c r="M24" s="418">
        <f>IF(TDC_Total=0,0,J24/TDC_Total)</f>
        <v/>
      </c>
    </row>
    <row r="25">
      <c r="A25" s="339" t="n"/>
      <c r="B25" s="351" t="inlineStr">
        <is>
          <t>Architect 1</t>
        </is>
      </c>
      <c r="C25" s="351" t="inlineStr">
        <is>
          <t>Soft</t>
        </is>
      </c>
      <c r="D25" s="412" t="inlineStr">
        <is>
          <t>Consultants</t>
        </is>
      </c>
      <c r="E25" s="413" t="inlineStr">
        <is>
          <t>abs</t>
        </is>
      </c>
      <c r="F25" s="414" t="n">
        <v>0</v>
      </c>
      <c r="G25" s="415" t="inlineStr">
        <is>
          <t>Entitlement</t>
        </is>
      </c>
      <c r="H25" s="415" t="inlineStr">
        <is>
          <t>Straight_Line</t>
        </is>
      </c>
      <c r="I25" s="416" t="n">
        <v>0</v>
      </c>
      <c r="J25" s="417">
        <f>IF(E25="abs",F25,IF(E25="unit",F25*TotalUnits,IF(E25="sf",F25*NRSF,F25)))</f>
        <v/>
      </c>
      <c r="K25" s="417">
        <f>IF(TotalUnits=0,0,J25/TotalUnits)</f>
        <v/>
      </c>
      <c r="L25" s="417">
        <f>IF(NRSF=0,0,J25/NRSF)</f>
        <v/>
      </c>
      <c r="M25" s="418">
        <f>IF(TDC_Total=0,0,J25/TDC_Total)</f>
        <v/>
      </c>
    </row>
    <row r="26">
      <c r="A26" s="339" t="n"/>
      <c r="B26" s="351" t="inlineStr">
        <is>
          <t>Architect 2</t>
        </is>
      </c>
      <c r="C26" s="351" t="inlineStr">
        <is>
          <t>Soft</t>
        </is>
      </c>
      <c r="D26" s="412" t="inlineStr">
        <is>
          <t>Consultants</t>
        </is>
      </c>
      <c r="E26" s="413" t="inlineStr">
        <is>
          <t>abs</t>
        </is>
      </c>
      <c r="F26" s="414" t="n">
        <v>0</v>
      </c>
      <c r="G26" s="415" t="inlineStr">
        <is>
          <t>Construction</t>
        </is>
      </c>
      <c r="H26" s="415" t="inlineStr">
        <is>
          <t>Straight_Line</t>
        </is>
      </c>
      <c r="I26" s="416" t="n">
        <v>0</v>
      </c>
      <c r="J26" s="417">
        <f>IF(E26="abs",F26,IF(E26="unit",F26*TotalUnits,IF(E26="sf",F26*NRSF,F26)))</f>
        <v/>
      </c>
      <c r="K26" s="417">
        <f>IF(TotalUnits=0,0,J26/TotalUnits)</f>
        <v/>
      </c>
      <c r="L26" s="417">
        <f>IF(NRSF=0,0,J26/NRSF)</f>
        <v/>
      </c>
      <c r="M26" s="418">
        <f>IF(TDC_Total=0,0,J26/TDC_Total)</f>
        <v/>
      </c>
    </row>
    <row r="27">
      <c r="A27" s="339" t="n"/>
      <c r="B27" s="351" t="inlineStr">
        <is>
          <t>Design Consulting</t>
        </is>
      </c>
      <c r="C27" s="351" t="inlineStr">
        <is>
          <t>Soft</t>
        </is>
      </c>
      <c r="D27" s="412" t="inlineStr">
        <is>
          <t>Consultants</t>
        </is>
      </c>
      <c r="E27" s="413" t="inlineStr">
        <is>
          <t>abs</t>
        </is>
      </c>
      <c r="F27" s="414" t="n">
        <v>0</v>
      </c>
      <c r="G27" s="415" t="inlineStr">
        <is>
          <t>Entitlement</t>
        </is>
      </c>
      <c r="H27" s="415" t="inlineStr">
        <is>
          <t>Straight_Line</t>
        </is>
      </c>
      <c r="I27" s="416" t="n">
        <v>0</v>
      </c>
      <c r="J27" s="417">
        <f>IF(E27="abs",F27,IF(E27="unit",F27*TotalUnits,IF(E27="sf",F27*NRSF,F27)))</f>
        <v/>
      </c>
      <c r="K27" s="417">
        <f>IF(TotalUnits=0,0,J27/TotalUnits)</f>
        <v/>
      </c>
      <c r="L27" s="417">
        <f>IF(NRSF=0,0,J27/NRSF)</f>
        <v/>
      </c>
      <c r="M27" s="418">
        <f>IF(TDC_Total=0,0,J27/TDC_Total)</f>
        <v/>
      </c>
    </row>
    <row r="28">
      <c r="A28" s="339" t="n"/>
      <c r="B28" s="351" t="inlineStr">
        <is>
          <t>Structural Engineer</t>
        </is>
      </c>
      <c r="C28" s="351" t="inlineStr">
        <is>
          <t>Soft</t>
        </is>
      </c>
      <c r="D28" s="412" t="inlineStr">
        <is>
          <t>Consultants</t>
        </is>
      </c>
      <c r="E28" s="413" t="inlineStr">
        <is>
          <t>abs</t>
        </is>
      </c>
      <c r="F28" s="414" t="n">
        <v>0</v>
      </c>
      <c r="G28" s="415" t="inlineStr">
        <is>
          <t>Entitlement</t>
        </is>
      </c>
      <c r="H28" s="415" t="inlineStr">
        <is>
          <t>Straight_Line</t>
        </is>
      </c>
      <c r="I28" s="416" t="n">
        <v>0</v>
      </c>
      <c r="J28" s="417">
        <f>IF(E28="abs",F28,IF(E28="unit",F28*TotalUnits,IF(E28="sf",F28*NRSF,F28)))</f>
        <v/>
      </c>
      <c r="K28" s="417">
        <f>IF(TotalUnits=0,0,J28/TotalUnits)</f>
        <v/>
      </c>
      <c r="L28" s="417">
        <f>IF(NRSF=0,0,J28/NRSF)</f>
        <v/>
      </c>
      <c r="M28" s="418">
        <f>IF(TDC_Total=0,0,J28/TDC_Total)</f>
        <v/>
      </c>
    </row>
    <row r="29">
      <c r="A29" s="339" t="n"/>
      <c r="B29" s="351" t="inlineStr">
        <is>
          <t>Mechanical Engineer</t>
        </is>
      </c>
      <c r="C29" s="351" t="inlineStr">
        <is>
          <t>Soft</t>
        </is>
      </c>
      <c r="D29" s="412" t="inlineStr">
        <is>
          <t>Consultants</t>
        </is>
      </c>
      <c r="E29" s="413" t="inlineStr">
        <is>
          <t>abs</t>
        </is>
      </c>
      <c r="F29" s="414" t="n">
        <v>0</v>
      </c>
      <c r="G29" s="415" t="inlineStr">
        <is>
          <t>Entitlement</t>
        </is>
      </c>
      <c r="H29" s="415" t="inlineStr">
        <is>
          <t>Straight_Line</t>
        </is>
      </c>
      <c r="I29" s="416" t="n">
        <v>0</v>
      </c>
      <c r="J29" s="417">
        <f>IF(E29="abs",F29,IF(E29="unit",F29*TotalUnits,IF(E29="sf",F29*NRSF,F29)))</f>
        <v/>
      </c>
      <c r="K29" s="417">
        <f>IF(TotalUnits=0,0,J29/TotalUnits)</f>
        <v/>
      </c>
      <c r="L29" s="417">
        <f>IF(NRSF=0,0,J29/NRSF)</f>
        <v/>
      </c>
      <c r="M29" s="418">
        <f>IF(TDC_Total=0,0,J29/TDC_Total)</f>
        <v/>
      </c>
    </row>
    <row r="30">
      <c r="A30" s="339" t="n"/>
      <c r="B30" s="351" t="inlineStr">
        <is>
          <t>Plumbing Engineer</t>
        </is>
      </c>
      <c r="C30" s="351" t="inlineStr">
        <is>
          <t>Soft</t>
        </is>
      </c>
      <c r="D30" s="412" t="inlineStr">
        <is>
          <t>Consultants</t>
        </is>
      </c>
      <c r="E30" s="413" t="inlineStr">
        <is>
          <t>abs</t>
        </is>
      </c>
      <c r="F30" s="414" t="n">
        <v>0</v>
      </c>
      <c r="G30" s="415" t="inlineStr">
        <is>
          <t>Entitlement</t>
        </is>
      </c>
      <c r="H30" s="415" t="inlineStr">
        <is>
          <t>Straight_Line</t>
        </is>
      </c>
      <c r="I30" s="416" t="n">
        <v>0</v>
      </c>
      <c r="J30" s="417">
        <f>IF(E30="abs",F30,IF(E30="unit",F30*TotalUnits,IF(E30="sf",F30*NRSF,F30)))</f>
        <v/>
      </c>
      <c r="K30" s="417">
        <f>IF(TotalUnits=0,0,J30/TotalUnits)</f>
        <v/>
      </c>
      <c r="L30" s="417">
        <f>IF(NRSF=0,0,J30/NRSF)</f>
        <v/>
      </c>
      <c r="M30" s="418">
        <f>IF(TDC_Total=0,0,J30/TDC_Total)</f>
        <v/>
      </c>
    </row>
    <row r="31">
      <c r="A31" s="339" t="n"/>
      <c r="B31" s="351" t="inlineStr">
        <is>
          <t>Electrical Engineer</t>
        </is>
      </c>
      <c r="C31" s="351" t="inlineStr">
        <is>
          <t>Soft</t>
        </is>
      </c>
      <c r="D31" s="412" t="inlineStr">
        <is>
          <t>Consultants</t>
        </is>
      </c>
      <c r="E31" s="413" t="inlineStr">
        <is>
          <t>abs</t>
        </is>
      </c>
      <c r="F31" s="414" t="n">
        <v>0</v>
      </c>
      <c r="G31" s="415" t="inlineStr">
        <is>
          <t>Entitlement</t>
        </is>
      </c>
      <c r="H31" s="415" t="inlineStr">
        <is>
          <t>Straight_Line</t>
        </is>
      </c>
      <c r="I31" s="416" t="n">
        <v>0</v>
      </c>
      <c r="J31" s="417">
        <f>IF(E31="abs",F31,IF(E31="unit",F31*TotalUnits,IF(E31="sf",F31*NRSF,F31)))</f>
        <v/>
      </c>
      <c r="K31" s="417">
        <f>IF(TotalUnits=0,0,J31/TotalUnits)</f>
        <v/>
      </c>
      <c r="L31" s="417">
        <f>IF(NRSF=0,0,J31/NRSF)</f>
        <v/>
      </c>
      <c r="M31" s="418">
        <f>IF(TDC_Total=0,0,J31/TDC_Total)</f>
        <v/>
      </c>
    </row>
    <row r="32">
      <c r="A32" s="339" t="n"/>
      <c r="B32" s="351" t="inlineStr">
        <is>
          <t>Energy Calcs</t>
        </is>
      </c>
      <c r="C32" s="351" t="inlineStr">
        <is>
          <t>Soft</t>
        </is>
      </c>
      <c r="D32" s="412" t="inlineStr">
        <is>
          <t>Consultants</t>
        </is>
      </c>
      <c r="E32" s="419" t="inlineStr">
        <is>
          <t>abs</t>
        </is>
      </c>
      <c r="F32" s="414" t="n">
        <v>0</v>
      </c>
      <c r="G32" s="420" t="inlineStr">
        <is>
          <t>Entitlement</t>
        </is>
      </c>
      <c r="H32" s="420" t="inlineStr">
        <is>
          <t>Straight_Line</t>
        </is>
      </c>
      <c r="I32" s="416" t="n">
        <v>0</v>
      </c>
      <c r="J32" s="417">
        <f>IF(E32="abs",F32,IF(E32="unit",F32*TotalUnits,IF(E32="sf",F32*NRSF,F32)))</f>
        <v/>
      </c>
      <c r="K32" s="417">
        <f>IF(TotalUnits=0,0,J32/TotalUnits)</f>
        <v/>
      </c>
      <c r="L32" s="417">
        <f>IF(NRSF=0,0,J32/NRSF)</f>
        <v/>
      </c>
      <c r="M32" s="418">
        <f>IF(TDC_Total=0,0,J32/TDC_Total)</f>
        <v/>
      </c>
    </row>
    <row r="33">
      <c r="A33" s="339" t="n"/>
      <c r="B33" s="351" t="inlineStr">
        <is>
          <t>Civil Engineer</t>
        </is>
      </c>
      <c r="C33" s="351" t="inlineStr">
        <is>
          <t>Soft</t>
        </is>
      </c>
      <c r="D33" s="412" t="inlineStr">
        <is>
          <t>Consultants</t>
        </is>
      </c>
      <c r="E33" s="419" t="inlineStr">
        <is>
          <t>abs</t>
        </is>
      </c>
      <c r="F33" s="414" t="n">
        <v>0</v>
      </c>
      <c r="G33" s="420" t="inlineStr">
        <is>
          <t>Entitlement</t>
        </is>
      </c>
      <c r="H33" s="420" t="inlineStr">
        <is>
          <t>Straight_Line</t>
        </is>
      </c>
      <c r="I33" s="416" t="n">
        <v>0</v>
      </c>
      <c r="J33" s="417">
        <f>IF(E33="abs",F33,IF(E33="unit",F33*TotalUnits,IF(E33="sf",F33*NRSF,F33)))</f>
        <v/>
      </c>
      <c r="K33" s="417">
        <f>IF(TotalUnits=0,0,J33/TotalUnits)</f>
        <v/>
      </c>
      <c r="L33" s="417">
        <f>IF(NRSF=0,0,J33/NRSF)</f>
        <v/>
      </c>
      <c r="M33" s="418">
        <f>IF(TDC_Total=0,0,J33/TDC_Total)</f>
        <v/>
      </c>
    </row>
    <row r="34">
      <c r="A34" s="339" t="n"/>
      <c r="B34" s="351" t="inlineStr">
        <is>
          <t>Landscape Architect</t>
        </is>
      </c>
      <c r="C34" s="351" t="inlineStr">
        <is>
          <t>Soft</t>
        </is>
      </c>
      <c r="D34" s="412" t="inlineStr">
        <is>
          <t>Consultants</t>
        </is>
      </c>
      <c r="E34" s="419" t="inlineStr">
        <is>
          <t>abs</t>
        </is>
      </c>
      <c r="F34" s="414" t="n">
        <v>0</v>
      </c>
      <c r="G34" s="420" t="inlineStr">
        <is>
          <t>Entitlement</t>
        </is>
      </c>
      <c r="H34" s="420" t="inlineStr">
        <is>
          <t>Straight_Line</t>
        </is>
      </c>
      <c r="I34" s="416" t="n">
        <v>0</v>
      </c>
      <c r="J34" s="417">
        <f>IF(E34="abs",F34,IF(E34="unit",F34*TotalUnits,IF(E34="sf",F34*NRSF,F34)))</f>
        <v/>
      </c>
      <c r="K34" s="417">
        <f>IF(TotalUnits=0,0,J34/TotalUnits)</f>
        <v/>
      </c>
      <c r="L34" s="417">
        <f>IF(NRSF=0,0,J34/NRSF)</f>
        <v/>
      </c>
      <c r="M34" s="418">
        <f>IF(TDC_Total=0,0,J34/TDC_Total)</f>
        <v/>
      </c>
    </row>
    <row r="35">
      <c r="A35" s="339" t="n"/>
      <c r="B35" s="351" t="inlineStr">
        <is>
          <t>Dry Utilities</t>
        </is>
      </c>
      <c r="C35" s="351" t="inlineStr">
        <is>
          <t>Soft</t>
        </is>
      </c>
      <c r="D35" s="412" t="inlineStr">
        <is>
          <t>Consultants</t>
        </is>
      </c>
      <c r="E35" s="419" t="inlineStr">
        <is>
          <t>abs</t>
        </is>
      </c>
      <c r="F35" s="414" t="n">
        <v>0</v>
      </c>
      <c r="G35" s="420" t="inlineStr">
        <is>
          <t>Entitlement</t>
        </is>
      </c>
      <c r="H35" s="420" t="inlineStr">
        <is>
          <t>Straight_Line</t>
        </is>
      </c>
      <c r="I35" s="416" t="n">
        <v>0</v>
      </c>
      <c r="J35" s="417">
        <f>IF(E35="abs",F35,IF(E35="unit",F35*TotalUnits,IF(E35="sf",F35*NRSF,F35)))</f>
        <v/>
      </c>
      <c r="K35" s="417">
        <f>IF(TotalUnits=0,0,J35/TotalUnits)</f>
        <v/>
      </c>
      <c r="L35" s="417">
        <f>IF(NRSF=0,0,J35/NRSF)</f>
        <v/>
      </c>
      <c r="M35" s="418">
        <f>IF(TDC_Total=0,0,J35/TDC_Total)</f>
        <v/>
      </c>
    </row>
    <row r="36">
      <c r="A36" s="339" t="n"/>
      <c r="B36" s="351" t="inlineStr">
        <is>
          <t>Fire Sprinkler</t>
        </is>
      </c>
      <c r="C36" s="351" t="inlineStr">
        <is>
          <t>Soft</t>
        </is>
      </c>
      <c r="D36" s="412" t="inlineStr">
        <is>
          <t>Consultants</t>
        </is>
      </c>
      <c r="E36" s="419" t="inlineStr">
        <is>
          <t>abs</t>
        </is>
      </c>
      <c r="F36" s="414" t="n">
        <v>0</v>
      </c>
      <c r="G36" s="420" t="inlineStr">
        <is>
          <t>Entitlement</t>
        </is>
      </c>
      <c r="H36" s="420" t="inlineStr">
        <is>
          <t>Straight_Line</t>
        </is>
      </c>
      <c r="I36" s="416" t="n">
        <v>0</v>
      </c>
      <c r="J36" s="417">
        <f>IF(E36="abs",F36,IF(E36="unit",F36*TotalUnits,IF(E36="sf",F36*NRSF,F36)))</f>
        <v/>
      </c>
      <c r="K36" s="417">
        <f>IF(TotalUnits=0,0,J36/TotalUnits)</f>
        <v/>
      </c>
      <c r="L36" s="417">
        <f>IF(NRSF=0,0,J36/NRSF)</f>
        <v/>
      </c>
      <c r="M36" s="418">
        <f>IF(TDC_Total=0,0,J36/TDC_Total)</f>
        <v/>
      </c>
    </row>
    <row r="37">
      <c r="A37" s="339" t="n"/>
      <c r="B37" s="351" t="inlineStr">
        <is>
          <t>Fire Alarm</t>
        </is>
      </c>
      <c r="C37" s="351" t="inlineStr">
        <is>
          <t>Soft</t>
        </is>
      </c>
      <c r="D37" s="412" t="inlineStr">
        <is>
          <t>Consultants</t>
        </is>
      </c>
      <c r="E37" s="419" t="inlineStr">
        <is>
          <t>abs</t>
        </is>
      </c>
      <c r="F37" s="414" t="n">
        <v>0</v>
      </c>
      <c r="G37" s="420" t="inlineStr">
        <is>
          <t>Entitlement</t>
        </is>
      </c>
      <c r="H37" s="420" t="inlineStr">
        <is>
          <t>Straight_Line</t>
        </is>
      </c>
      <c r="I37" s="416" t="n">
        <v>0</v>
      </c>
      <c r="J37" s="417">
        <f>IF(E37="abs",F37,IF(E37="unit",F37*TotalUnits,IF(E37="sf",F37*NRSF,F37)))</f>
        <v/>
      </c>
      <c r="K37" s="417">
        <f>IF(TotalUnits=0,0,J37/TotalUnits)</f>
        <v/>
      </c>
      <c r="L37" s="417">
        <f>IF(NRSF=0,0,J37/NRSF)</f>
        <v/>
      </c>
      <c r="M37" s="418">
        <f>IF(TDC_Total=0,0,J37/TDC_Total)</f>
        <v/>
      </c>
    </row>
    <row r="38">
      <c r="A38" s="339" t="n"/>
      <c r="B38" s="351" t="inlineStr">
        <is>
          <t>Low Voltage</t>
        </is>
      </c>
      <c r="C38" s="351" t="inlineStr">
        <is>
          <t>Soft</t>
        </is>
      </c>
      <c r="D38" s="412" t="inlineStr">
        <is>
          <t>Consultants</t>
        </is>
      </c>
      <c r="E38" s="419" t="inlineStr">
        <is>
          <t>abs</t>
        </is>
      </c>
      <c r="F38" s="414" t="n">
        <v>0</v>
      </c>
      <c r="G38" s="420" t="inlineStr">
        <is>
          <t>Construction</t>
        </is>
      </c>
      <c r="H38" s="420" t="inlineStr">
        <is>
          <t>Straight_Line</t>
        </is>
      </c>
      <c r="I38" s="416" t="n">
        <v>0</v>
      </c>
      <c r="J38" s="417">
        <f>IF(E38="abs",F38,IF(E38="unit",F38*TotalUnits,IF(E38="sf",F38*NRSF,F38)))</f>
        <v/>
      </c>
      <c r="K38" s="417">
        <f>IF(TotalUnits=0,0,J38/TotalUnits)</f>
        <v/>
      </c>
      <c r="L38" s="417">
        <f>IF(NRSF=0,0,J38/NRSF)</f>
        <v/>
      </c>
      <c r="M38" s="418">
        <f>IF(TDC_Total=0,0,J38/TDC_Total)</f>
        <v/>
      </c>
    </row>
    <row r="39">
      <c r="A39" s="339" t="n"/>
      <c r="B39" s="351" t="inlineStr">
        <is>
          <t>Interior Design</t>
        </is>
      </c>
      <c r="C39" s="351" t="inlineStr">
        <is>
          <t>Soft</t>
        </is>
      </c>
      <c r="D39" s="412" t="inlineStr">
        <is>
          <t>Consultants</t>
        </is>
      </c>
      <c r="E39" s="419" t="inlineStr">
        <is>
          <t>abs</t>
        </is>
      </c>
      <c r="F39" s="414" t="n">
        <v>0</v>
      </c>
      <c r="G39" s="420" t="inlineStr">
        <is>
          <t>Entitlement</t>
        </is>
      </c>
      <c r="H39" s="420" t="inlineStr">
        <is>
          <t>Straight_Line</t>
        </is>
      </c>
      <c r="I39" s="416" t="n">
        <v>0</v>
      </c>
      <c r="J39" s="417">
        <f>IF(E39="abs",F39,IF(E39="unit",F39*TotalUnits,IF(E39="sf",F39*NRSF,F39)))</f>
        <v/>
      </c>
      <c r="K39" s="417">
        <f>IF(TotalUnits=0,0,J39/TotalUnits)</f>
        <v/>
      </c>
      <c r="L39" s="417">
        <f>IF(NRSF=0,0,J39/NRSF)</f>
        <v/>
      </c>
      <c r="M39" s="418">
        <f>IF(TDC_Total=0,0,J39/TDC_Total)</f>
        <v/>
      </c>
    </row>
    <row r="40">
      <c r="A40" s="339" t="n"/>
      <c r="B40" s="351" t="inlineStr">
        <is>
          <t>Branding/Graphic Design</t>
        </is>
      </c>
      <c r="C40" s="351" t="inlineStr">
        <is>
          <t>Soft</t>
        </is>
      </c>
      <c r="D40" s="412" t="inlineStr">
        <is>
          <t>Consultants</t>
        </is>
      </c>
      <c r="E40" s="419" t="inlineStr">
        <is>
          <t>abs</t>
        </is>
      </c>
      <c r="F40" s="414" t="n">
        <v>0</v>
      </c>
      <c r="G40" s="420" t="inlineStr">
        <is>
          <t>Lease-Up</t>
        </is>
      </c>
      <c r="H40" s="420" t="inlineStr">
        <is>
          <t>Straight_Line</t>
        </is>
      </c>
      <c r="I40" s="416" t="n">
        <v>0</v>
      </c>
      <c r="J40" s="417">
        <f>IF(E40="abs",F40,IF(E40="unit",F40*TotalUnits,IF(E40="sf",F40*NRSF,F40)))</f>
        <v/>
      </c>
      <c r="K40" s="417">
        <f>IF(TotalUnits=0,0,J40/TotalUnits)</f>
        <v/>
      </c>
      <c r="L40" s="417">
        <f>IF(NRSF=0,0,J40/NRSF)</f>
        <v/>
      </c>
      <c r="M40" s="418">
        <f>IF(TDC_Total=0,0,J40/TDC_Total)</f>
        <v/>
      </c>
    </row>
    <row r="41">
      <c r="A41" s="339" t="n"/>
      <c r="B41" s="351" t="inlineStr">
        <is>
          <t>Signage Design</t>
        </is>
      </c>
      <c r="C41" s="351" t="inlineStr">
        <is>
          <t>Soft</t>
        </is>
      </c>
      <c r="D41" s="412" t="inlineStr">
        <is>
          <t>Consultants</t>
        </is>
      </c>
      <c r="E41" s="419" t="inlineStr">
        <is>
          <t>abs</t>
        </is>
      </c>
      <c r="F41" s="414" t="n">
        <v>0</v>
      </c>
      <c r="G41" s="420" t="inlineStr">
        <is>
          <t>Entitlement</t>
        </is>
      </c>
      <c r="H41" s="420" t="inlineStr">
        <is>
          <t>Straight_Line</t>
        </is>
      </c>
      <c r="I41" s="416" t="n">
        <v>0</v>
      </c>
      <c r="J41" s="417">
        <f>IF(E41="abs",F41,IF(E41="unit",F41*TotalUnits,IF(E41="sf",F41*NRSF,F41)))</f>
        <v/>
      </c>
      <c r="K41" s="417">
        <f>IF(TotalUnits=0,0,J41/TotalUnits)</f>
        <v/>
      </c>
      <c r="L41" s="417">
        <f>IF(NRSF=0,0,J41/NRSF)</f>
        <v/>
      </c>
      <c r="M41" s="418">
        <f>IF(TDC_Total=0,0,J41/TDC_Total)</f>
        <v/>
      </c>
    </row>
    <row r="42">
      <c r="A42" s="339" t="n"/>
      <c r="B42" s="351" t="inlineStr">
        <is>
          <t>Renderings/Photography</t>
        </is>
      </c>
      <c r="C42" s="351" t="inlineStr">
        <is>
          <t>Soft</t>
        </is>
      </c>
      <c r="D42" s="412" t="inlineStr">
        <is>
          <t>Consultants</t>
        </is>
      </c>
      <c r="E42" s="419" t="inlineStr">
        <is>
          <t>abs</t>
        </is>
      </c>
      <c r="F42" s="414" t="n">
        <v>0</v>
      </c>
      <c r="G42" s="420" t="inlineStr">
        <is>
          <t>Entitlement</t>
        </is>
      </c>
      <c r="H42" s="420" t="inlineStr">
        <is>
          <t>Straight_Line</t>
        </is>
      </c>
      <c r="I42" s="416" t="n">
        <v>0</v>
      </c>
      <c r="J42" s="417">
        <f>IF(E42="abs",F42,IF(E42="unit",F42*TotalUnits,IF(E42="sf",F42*NRSF,F42)))</f>
        <v/>
      </c>
      <c r="K42" s="417">
        <f>IF(TotalUnits=0,0,J42/TotalUnits)</f>
        <v/>
      </c>
      <c r="L42" s="417">
        <f>IF(NRSF=0,0,J42/NRSF)</f>
        <v/>
      </c>
      <c r="M42" s="418">
        <f>IF(TDC_Total=0,0,J42/TDC_Total)</f>
        <v/>
      </c>
    </row>
    <row r="43">
      <c r="A43" s="339" t="n"/>
      <c r="B43" s="351" t="inlineStr">
        <is>
          <t>Pre-ALTA Survey/Topo</t>
        </is>
      </c>
      <c r="C43" s="351" t="inlineStr">
        <is>
          <t>Soft</t>
        </is>
      </c>
      <c r="D43" s="412" t="inlineStr">
        <is>
          <t>Consultants</t>
        </is>
      </c>
      <c r="E43" s="419" t="inlineStr">
        <is>
          <t>abs</t>
        </is>
      </c>
      <c r="F43" s="414" t="n">
        <v>0</v>
      </c>
      <c r="G43" s="420" t="inlineStr">
        <is>
          <t>Entitlement</t>
        </is>
      </c>
      <c r="H43" s="420" t="inlineStr">
        <is>
          <t>Straight_Line</t>
        </is>
      </c>
      <c r="I43" s="416" t="n">
        <v>0</v>
      </c>
      <c r="J43" s="417">
        <f>IF(E43="abs",F43,IF(E43="unit",F43*TotalUnits,IF(E43="sf",F43*NRSF,F43)))</f>
        <v/>
      </c>
      <c r="K43" s="417">
        <f>IF(TotalUnits=0,0,J43/TotalUnits)</f>
        <v/>
      </c>
      <c r="L43" s="417">
        <f>IF(NRSF=0,0,J43/NRSF)</f>
        <v/>
      </c>
      <c r="M43" s="418">
        <f>IF(TDC_Total=0,0,J43/TDC_Total)</f>
        <v/>
      </c>
    </row>
    <row r="44">
      <c r="A44" s="339" t="n"/>
      <c r="B44" s="351" t="inlineStr">
        <is>
          <t>Post ALTA Survey</t>
        </is>
      </c>
      <c r="C44" s="351" t="inlineStr">
        <is>
          <t>Soft</t>
        </is>
      </c>
      <c r="D44" s="412" t="inlineStr">
        <is>
          <t>Consultants</t>
        </is>
      </c>
      <c r="E44" s="419" t="inlineStr">
        <is>
          <t>abs</t>
        </is>
      </c>
      <c r="F44" s="414" t="n">
        <v>0</v>
      </c>
      <c r="G44" s="420" t="inlineStr">
        <is>
          <t>Construction</t>
        </is>
      </c>
      <c r="H44" s="420" t="inlineStr">
        <is>
          <t>Straight_Line</t>
        </is>
      </c>
      <c r="I44" s="416" t="n">
        <v>0</v>
      </c>
      <c r="J44" s="417">
        <f>IF(E44="abs",F44,IF(E44="unit",F44*TotalUnits,IF(E44="sf",F44*NRSF,F44)))</f>
        <v/>
      </c>
      <c r="K44" s="417">
        <f>IF(TotalUnits=0,0,J44/TotalUnits)</f>
        <v/>
      </c>
      <c r="L44" s="417">
        <f>IF(NRSF=0,0,J44/NRSF)</f>
        <v/>
      </c>
      <c r="M44" s="418">
        <f>IF(TDC_Total=0,0,J44/TDC_Total)</f>
        <v/>
      </c>
    </row>
    <row r="45">
      <c r="A45" s="339" t="n"/>
      <c r="B45" s="351" t="inlineStr">
        <is>
          <t>Printing/Reimbursable A/E</t>
        </is>
      </c>
      <c r="C45" s="351" t="inlineStr">
        <is>
          <t>Soft</t>
        </is>
      </c>
      <c r="D45" s="412" t="inlineStr">
        <is>
          <t>Consultants</t>
        </is>
      </c>
      <c r="E45" s="419" t="inlineStr">
        <is>
          <t>abs</t>
        </is>
      </c>
      <c r="F45" s="414" t="n">
        <v>0</v>
      </c>
      <c r="G45" s="420" t="inlineStr">
        <is>
          <t>Construction</t>
        </is>
      </c>
      <c r="H45" s="420" t="inlineStr">
        <is>
          <t>Straight_Line</t>
        </is>
      </c>
      <c r="I45" s="416" t="n">
        <v>0</v>
      </c>
      <c r="J45" s="417">
        <f>IF(E45="abs",F45,IF(E45="unit",F45*TotalUnits,IF(E45="sf",F45*NRSF,F45)))</f>
        <v/>
      </c>
      <c r="K45" s="417">
        <f>IF(TotalUnits=0,0,J45/TotalUnits)</f>
        <v/>
      </c>
      <c r="L45" s="417">
        <f>IF(NRSF=0,0,J45/NRSF)</f>
        <v/>
      </c>
      <c r="M45" s="418">
        <f>IF(TDC_Total=0,0,J45/TDC_Total)</f>
        <v/>
      </c>
    </row>
    <row r="46">
      <c r="A46" s="339" t="n"/>
      <c r="B46" s="351" t="inlineStr">
        <is>
          <t>Traffic Engineer</t>
        </is>
      </c>
      <c r="C46" s="351" t="inlineStr">
        <is>
          <t>Soft</t>
        </is>
      </c>
      <c r="D46" s="412" t="inlineStr">
        <is>
          <t>Consultants</t>
        </is>
      </c>
      <c r="E46" s="419" t="inlineStr">
        <is>
          <t>abs</t>
        </is>
      </c>
      <c r="F46" s="414" t="n">
        <v>0</v>
      </c>
      <c r="G46" s="420" t="inlineStr">
        <is>
          <t>Entitlement</t>
        </is>
      </c>
      <c r="H46" s="420" t="inlineStr">
        <is>
          <t>Straight_Line</t>
        </is>
      </c>
      <c r="I46" s="416" t="n">
        <v>0</v>
      </c>
      <c r="J46" s="417">
        <f>IF(E46="abs",F46,IF(E46="unit",F46*TotalUnits,IF(E46="sf",F46*NRSF,F46)))</f>
        <v/>
      </c>
      <c r="K46" s="417">
        <f>IF(TotalUnits=0,0,J46/TotalUnits)</f>
        <v/>
      </c>
      <c r="L46" s="417">
        <f>IF(NRSF=0,0,J46/NRSF)</f>
        <v/>
      </c>
      <c r="M46" s="418">
        <f>IF(TDC_Total=0,0,J46/TDC_Total)</f>
        <v/>
      </c>
    </row>
    <row r="47">
      <c r="A47" s="339" t="n"/>
      <c r="B47" s="351" t="inlineStr">
        <is>
          <t>Waterproofing/Envelope</t>
        </is>
      </c>
      <c r="C47" s="351" t="inlineStr">
        <is>
          <t>Soft</t>
        </is>
      </c>
      <c r="D47" s="412" t="inlineStr">
        <is>
          <t>Consultants</t>
        </is>
      </c>
      <c r="E47" s="419" t="inlineStr">
        <is>
          <t>abs</t>
        </is>
      </c>
      <c r="F47" s="414" t="n">
        <v>0</v>
      </c>
      <c r="G47" s="420" t="inlineStr">
        <is>
          <t>Construction</t>
        </is>
      </c>
      <c r="H47" s="420" t="inlineStr">
        <is>
          <t>Straight_Line</t>
        </is>
      </c>
      <c r="I47" s="416" t="n">
        <v>0</v>
      </c>
      <c r="J47" s="417">
        <f>IF(E47="abs",F47,IF(E47="unit",F47*TotalUnits,IF(E47="sf",F47*NRSF,F47)))</f>
        <v/>
      </c>
      <c r="K47" s="417">
        <f>IF(TotalUnits=0,0,J47/TotalUnits)</f>
        <v/>
      </c>
      <c r="L47" s="417">
        <f>IF(NRSF=0,0,J47/NRSF)</f>
        <v/>
      </c>
      <c r="M47" s="418">
        <f>IF(TDC_Total=0,0,J47/TDC_Total)</f>
        <v/>
      </c>
    </row>
    <row r="48">
      <c r="A48" s="339" t="n"/>
      <c r="B48" s="351" t="inlineStr">
        <is>
          <t>Acoustical Engineer</t>
        </is>
      </c>
      <c r="C48" s="351" t="inlineStr">
        <is>
          <t>Soft</t>
        </is>
      </c>
      <c r="D48" s="412" t="inlineStr">
        <is>
          <t>Consultants</t>
        </is>
      </c>
      <c r="E48" s="419" t="inlineStr">
        <is>
          <t>abs</t>
        </is>
      </c>
      <c r="F48" s="414" t="n">
        <v>0</v>
      </c>
      <c r="G48" s="420" t="inlineStr">
        <is>
          <t>Entitlement</t>
        </is>
      </c>
      <c r="H48" s="420" t="inlineStr">
        <is>
          <t>Straight_Line</t>
        </is>
      </c>
      <c r="I48" s="416" t="n">
        <v>0</v>
      </c>
      <c r="J48" s="417">
        <f>IF(E48="abs",F48,IF(E48="unit",F48*TotalUnits,IF(E48="sf",F48*NRSF,F48)))</f>
        <v/>
      </c>
      <c r="K48" s="417">
        <f>IF(TotalUnits=0,0,J48/TotalUnits)</f>
        <v/>
      </c>
      <c r="L48" s="417">
        <f>IF(NRSF=0,0,J48/NRSF)</f>
        <v/>
      </c>
      <c r="M48" s="418">
        <f>IF(TDC_Total=0,0,J48/TDC_Total)</f>
        <v/>
      </c>
    </row>
    <row r="49">
      <c r="A49" s="339" t="n"/>
      <c r="B49" s="351" t="inlineStr">
        <is>
          <t>Accessibility Review</t>
        </is>
      </c>
      <c r="C49" s="351" t="inlineStr">
        <is>
          <t>Soft</t>
        </is>
      </c>
      <c r="D49" s="412" t="inlineStr">
        <is>
          <t>Consultants</t>
        </is>
      </c>
      <c r="E49" s="419" t="inlineStr">
        <is>
          <t>abs</t>
        </is>
      </c>
      <c r="F49" s="414" t="n">
        <v>0</v>
      </c>
      <c r="G49" s="420" t="inlineStr">
        <is>
          <t>Construction</t>
        </is>
      </c>
      <c r="H49" s="420" t="inlineStr">
        <is>
          <t>Straight_Line</t>
        </is>
      </c>
      <c r="I49" s="416" t="n">
        <v>0</v>
      </c>
      <c r="J49" s="417">
        <f>IF(E49="abs",F49,IF(E49="unit",F49*TotalUnits,IF(E49="sf",F49*NRSF,F49)))</f>
        <v/>
      </c>
      <c r="K49" s="417">
        <f>IF(TotalUnits=0,0,J49/TotalUnits)</f>
        <v/>
      </c>
      <c r="L49" s="417">
        <f>IF(NRSF=0,0,J49/NRSF)</f>
        <v/>
      </c>
      <c r="M49" s="418">
        <f>IF(TDC_Total=0,0,J49/TDC_Total)</f>
        <v/>
      </c>
    </row>
    <row r="50">
      <c r="A50" s="339" t="n"/>
      <c r="B50" s="351" t="inlineStr">
        <is>
          <t>Environmental: Phase 1 ESA</t>
        </is>
      </c>
      <c r="C50" s="351" t="inlineStr">
        <is>
          <t>Soft</t>
        </is>
      </c>
      <c r="D50" s="412" t="inlineStr">
        <is>
          <t>Consultants</t>
        </is>
      </c>
      <c r="E50" s="419" t="inlineStr">
        <is>
          <t>abs</t>
        </is>
      </c>
      <c r="F50" s="414" t="n">
        <v>0</v>
      </c>
      <c r="G50" s="420" t="inlineStr">
        <is>
          <t>Entitlement</t>
        </is>
      </c>
      <c r="H50" s="420" t="inlineStr">
        <is>
          <t>Straight_Line</t>
        </is>
      </c>
      <c r="I50" s="416" t="n">
        <v>0</v>
      </c>
      <c r="J50" s="417">
        <f>IF(E50="abs",F50,IF(E50="unit",F50*TotalUnits,IF(E50="sf",F50*NRSF,F50)))</f>
        <v/>
      </c>
      <c r="K50" s="417">
        <f>IF(TotalUnits=0,0,J50/TotalUnits)</f>
        <v/>
      </c>
      <c r="L50" s="417">
        <f>IF(NRSF=0,0,J50/NRSF)</f>
        <v/>
      </c>
      <c r="M50" s="418">
        <f>IF(TDC_Total=0,0,J50/TDC_Total)</f>
        <v/>
      </c>
    </row>
    <row r="51">
      <c r="A51" s="339" t="n"/>
      <c r="B51" s="351" t="inlineStr">
        <is>
          <t>Environmental: Phase 2 ESA</t>
        </is>
      </c>
      <c r="C51" s="351" t="inlineStr">
        <is>
          <t>Soft</t>
        </is>
      </c>
      <c r="D51" s="412" t="inlineStr">
        <is>
          <t>Consultants</t>
        </is>
      </c>
      <c r="E51" s="419" t="inlineStr">
        <is>
          <t>abs</t>
        </is>
      </c>
      <c r="F51" s="414" t="n">
        <v>0</v>
      </c>
      <c r="G51" s="420" t="inlineStr">
        <is>
          <t>Entitlement</t>
        </is>
      </c>
      <c r="H51" s="420" t="inlineStr">
        <is>
          <t>Straight_Line</t>
        </is>
      </c>
      <c r="I51" s="416" t="n">
        <v>0</v>
      </c>
      <c r="J51" s="417">
        <f>IF(E51="abs",F51,IF(E51="unit",F51*TotalUnits,IF(E51="sf",F51*NRSF,F51)))</f>
        <v/>
      </c>
      <c r="K51" s="417">
        <f>IF(TotalUnits=0,0,J51/TotalUnits)</f>
        <v/>
      </c>
      <c r="L51" s="417">
        <f>IF(NRSF=0,0,J51/NRSF)</f>
        <v/>
      </c>
      <c r="M51" s="418">
        <f>IF(TDC_Total=0,0,J51/TDC_Total)</f>
        <v/>
      </c>
    </row>
    <row r="52">
      <c r="A52" s="339" t="n"/>
      <c r="B52" s="351" t="inlineStr">
        <is>
          <t>Environmental: Geotechnical/Soils</t>
        </is>
      </c>
      <c r="C52" s="351" t="inlineStr">
        <is>
          <t>Soft</t>
        </is>
      </c>
      <c r="D52" s="412" t="inlineStr">
        <is>
          <t>Consultants</t>
        </is>
      </c>
      <c r="E52" s="419" t="inlineStr">
        <is>
          <t>abs</t>
        </is>
      </c>
      <c r="F52" s="414" t="n">
        <v>0</v>
      </c>
      <c r="G52" s="420" t="inlineStr">
        <is>
          <t>Entitlement</t>
        </is>
      </c>
      <c r="H52" s="420" t="inlineStr">
        <is>
          <t>Straight_Line</t>
        </is>
      </c>
      <c r="I52" s="416" t="n">
        <v>0</v>
      </c>
      <c r="J52" s="417">
        <f>IF(E52="abs",F52,IF(E52="unit",F52*TotalUnits,IF(E52="sf",F52*NRSF,F52)))</f>
        <v/>
      </c>
      <c r="K52" s="417">
        <f>IF(TotalUnits=0,0,J52/TotalUnits)</f>
        <v/>
      </c>
      <c r="L52" s="417">
        <f>IF(NRSF=0,0,J52/NRSF)</f>
        <v/>
      </c>
      <c r="M52" s="418">
        <f>IF(TDC_Total=0,0,J52/TDC_Total)</f>
        <v/>
      </c>
    </row>
    <row r="53">
      <c r="A53" s="339" t="n"/>
      <c r="B53" s="351" t="inlineStr">
        <is>
          <t>Environmental: Asbestos/Lead</t>
        </is>
      </c>
      <c r="C53" s="351" t="inlineStr">
        <is>
          <t>Soft</t>
        </is>
      </c>
      <c r="D53" s="412" t="inlineStr">
        <is>
          <t>Consultants</t>
        </is>
      </c>
      <c r="E53" s="419" t="inlineStr">
        <is>
          <t>abs</t>
        </is>
      </c>
      <c r="F53" s="414" t="n">
        <v>0</v>
      </c>
      <c r="G53" s="420" t="inlineStr">
        <is>
          <t>Entitlement</t>
        </is>
      </c>
      <c r="H53" s="420" t="inlineStr">
        <is>
          <t>Straight_Line</t>
        </is>
      </c>
      <c r="I53" s="416" t="n">
        <v>0</v>
      </c>
      <c r="J53" s="417">
        <f>IF(E53="abs",F53,IF(E53="unit",F53*TotalUnits,IF(E53="sf",F53*NRSF,F53)))</f>
        <v/>
      </c>
      <c r="K53" s="417">
        <f>IF(TotalUnits=0,0,J53/TotalUnits)</f>
        <v/>
      </c>
      <c r="L53" s="417">
        <f>IF(NRSF=0,0,J53/NRSF)</f>
        <v/>
      </c>
      <c r="M53" s="418">
        <f>IF(TDC_Total=0,0,J53/TDC_Total)</f>
        <v/>
      </c>
    </row>
    <row r="54">
      <c r="A54" s="339" t="n"/>
      <c r="B54" s="351" t="inlineStr">
        <is>
          <t>Environmental: Wetland/Biology</t>
        </is>
      </c>
      <c r="C54" s="351" t="inlineStr">
        <is>
          <t>Soft</t>
        </is>
      </c>
      <c r="D54" s="412" t="inlineStr">
        <is>
          <t>Consultants</t>
        </is>
      </c>
      <c r="E54" s="419" t="inlineStr">
        <is>
          <t>abs</t>
        </is>
      </c>
      <c r="F54" s="414" t="n">
        <v>0</v>
      </c>
      <c r="G54" s="420" t="inlineStr">
        <is>
          <t>Entitlement</t>
        </is>
      </c>
      <c r="H54" s="420" t="inlineStr">
        <is>
          <t>Straight_Line</t>
        </is>
      </c>
      <c r="I54" s="416" t="n">
        <v>0</v>
      </c>
      <c r="J54" s="417">
        <f>IF(E54="abs",F54,IF(E54="unit",F54*TotalUnits,IF(E54="sf",F54*NRSF,F54)))</f>
        <v/>
      </c>
      <c r="K54" s="417">
        <f>IF(TotalUnits=0,0,J54/TotalUnits)</f>
        <v/>
      </c>
      <c r="L54" s="417">
        <f>IF(NRSF=0,0,J54/NRSF)</f>
        <v/>
      </c>
      <c r="M54" s="418">
        <f>IF(TDC_Total=0,0,J54/TDC_Total)</f>
        <v/>
      </c>
    </row>
    <row r="55">
      <c r="A55" s="339" t="n"/>
      <c r="B55" s="351" t="inlineStr">
        <is>
          <t>Affordable Housing</t>
        </is>
      </c>
      <c r="C55" s="351" t="inlineStr">
        <is>
          <t>Soft</t>
        </is>
      </c>
      <c r="D55" s="412" t="inlineStr">
        <is>
          <t>Consultants</t>
        </is>
      </c>
      <c r="E55" s="419" t="inlineStr">
        <is>
          <t>abs</t>
        </is>
      </c>
      <c r="F55" s="414" t="n">
        <v>0</v>
      </c>
      <c r="G55" s="420" t="inlineStr">
        <is>
          <t>Entitlement</t>
        </is>
      </c>
      <c r="H55" s="420" t="inlineStr">
        <is>
          <t>Straight_Line</t>
        </is>
      </c>
      <c r="I55" s="416" t="n">
        <v>0</v>
      </c>
      <c r="J55" s="417">
        <f>IF(E55="abs",F55,IF(E55="unit",F55*TotalUnits,IF(E55="sf",F55*NRSF,F55)))</f>
        <v/>
      </c>
      <c r="K55" s="417">
        <f>IF(TotalUnits=0,0,J55/TotalUnits)</f>
        <v/>
      </c>
      <c r="L55" s="417">
        <f>IF(NRSF=0,0,J55/NRSF)</f>
        <v/>
      </c>
      <c r="M55" s="418">
        <f>IF(TDC_Total=0,0,J55/TDC_Total)</f>
        <v/>
      </c>
    </row>
    <row r="56">
      <c r="B56" s="316" t="inlineStr">
        <is>
          <t>S.W.P.P.</t>
        </is>
      </c>
      <c r="C56" s="316" t="inlineStr">
        <is>
          <t>Soft</t>
        </is>
      </c>
      <c r="D56" s="310" t="inlineStr">
        <is>
          <t>Consultants</t>
        </is>
      </c>
      <c r="E56" s="317" t="inlineStr">
        <is>
          <t>abs</t>
        </is>
      </c>
      <c r="F56" s="421" t="n">
        <v>0</v>
      </c>
      <c r="G56" s="373" t="inlineStr">
        <is>
          <t>Construction</t>
        </is>
      </c>
      <c r="H56" s="373" t="inlineStr">
        <is>
          <t>Straight_Line</t>
        </is>
      </c>
      <c r="I56" s="422" t="n">
        <v>0</v>
      </c>
      <c r="J56" s="402">
        <f>IF(E56="abs",F56,IF(E56="unit",F56*TotalUnits,IF(E56="sf",F56*NRSF,F56)))</f>
        <v/>
      </c>
      <c r="K56" s="402">
        <f>IF(TotalUnits=0,0,J56/TotalUnits)</f>
        <v/>
      </c>
      <c r="L56" s="402">
        <f>IF(NRSF=0,0,J56/NRSF)</f>
        <v/>
      </c>
      <c r="M56" s="333">
        <f>IF(TDC_Total=0,0,J56/TDC_Total)</f>
        <v/>
      </c>
    </row>
    <row r="57">
      <c r="B57" s="316" t="inlineStr">
        <is>
          <t>Special Inspections/Testing</t>
        </is>
      </c>
      <c r="C57" s="316" t="inlineStr">
        <is>
          <t>Soft</t>
        </is>
      </c>
      <c r="D57" s="310" t="inlineStr">
        <is>
          <t>Consultants</t>
        </is>
      </c>
      <c r="E57" s="317" t="inlineStr">
        <is>
          <t>abs</t>
        </is>
      </c>
      <c r="F57" s="421" t="n">
        <v>0</v>
      </c>
      <c r="G57" s="373" t="inlineStr">
        <is>
          <t>Construction</t>
        </is>
      </c>
      <c r="H57" s="373" t="inlineStr">
        <is>
          <t>Straight_Line</t>
        </is>
      </c>
      <c r="I57" s="422" t="n">
        <v>0</v>
      </c>
      <c r="J57" s="402">
        <f>IF(E57="abs",F57,IF(E57="unit",F57*TotalUnits,IF(E57="sf",F57*NRSF,F57)))</f>
        <v/>
      </c>
      <c r="K57" s="402">
        <f>IF(TotalUnits=0,0,J57/TotalUnits)</f>
        <v/>
      </c>
      <c r="L57" s="402">
        <f>IF(NRSF=0,0,J57/NRSF)</f>
        <v/>
      </c>
      <c r="M57" s="333">
        <f>IF(TDC_Total=0,0,J57/TDC_Total)</f>
        <v/>
      </c>
    </row>
    <row r="58">
      <c r="B58" s="316" t="inlineStr">
        <is>
          <t>Preconstruction Estimating</t>
        </is>
      </c>
      <c r="C58" s="316" t="inlineStr">
        <is>
          <t>Soft</t>
        </is>
      </c>
      <c r="D58" s="310" t="inlineStr">
        <is>
          <t>Consultants</t>
        </is>
      </c>
      <c r="E58" s="317" t="inlineStr">
        <is>
          <t>abs</t>
        </is>
      </c>
      <c r="F58" s="421" t="n">
        <v>0</v>
      </c>
      <c r="G58" s="373" t="inlineStr">
        <is>
          <t>Pre-Construction</t>
        </is>
      </c>
      <c r="H58" s="373" t="inlineStr">
        <is>
          <t>Straight_Line</t>
        </is>
      </c>
      <c r="I58" s="422" t="n">
        <v>0</v>
      </c>
      <c r="J58" s="402">
        <f>IF(E58="abs",F58,IF(E58="unit",F58*TotalUnits,IF(E58="sf",F58*NRSF,F58)))</f>
        <v/>
      </c>
      <c r="K58" s="402">
        <f>IF(TotalUnits=0,0,J58/TotalUnits)</f>
        <v/>
      </c>
      <c r="L58" s="402">
        <f>IF(NRSF=0,0,J58/NRSF)</f>
        <v/>
      </c>
      <c r="M58" s="333">
        <f>IF(TDC_Total=0,0,J58/TDC_Total)</f>
        <v/>
      </c>
    </row>
    <row r="59">
      <c r="B59" s="316" t="inlineStr">
        <is>
          <t>LEED Fees</t>
        </is>
      </c>
      <c r="C59" s="316" t="inlineStr">
        <is>
          <t>Soft</t>
        </is>
      </c>
      <c r="D59" s="310" t="inlineStr">
        <is>
          <t>Consultants</t>
        </is>
      </c>
      <c r="E59" s="317" t="inlineStr">
        <is>
          <t>abs</t>
        </is>
      </c>
      <c r="F59" s="421" t="n">
        <v>0</v>
      </c>
      <c r="G59" s="373" t="inlineStr">
        <is>
          <t>Construction</t>
        </is>
      </c>
      <c r="H59" s="373" t="inlineStr">
        <is>
          <t>Straight_Line</t>
        </is>
      </c>
      <c r="I59" s="422" t="n">
        <v>0</v>
      </c>
      <c r="J59" s="402">
        <f>IF(E59="abs",F59,IF(E59="unit",F59*TotalUnits,IF(E59="sf",F59*NRSF,F59)))</f>
        <v/>
      </c>
      <c r="K59" s="402">
        <f>IF(TotalUnits=0,0,J59/TotalUnits)</f>
        <v/>
      </c>
      <c r="L59" s="402">
        <f>IF(NRSF=0,0,J59/NRSF)</f>
        <v/>
      </c>
      <c r="M59" s="333">
        <f>IF(TDC_Total=0,0,J59/TDC_Total)</f>
        <v/>
      </c>
    </row>
    <row r="60">
      <c r="B60" s="316" t="inlineStr">
        <is>
          <t>Consultant Contingency</t>
        </is>
      </c>
      <c r="C60" s="316" t="inlineStr">
        <is>
          <t>Soft</t>
        </is>
      </c>
      <c r="D60" s="310" t="inlineStr">
        <is>
          <t>Consultants</t>
        </is>
      </c>
      <c r="E60" s="317" t="inlineStr">
        <is>
          <t>abs</t>
        </is>
      </c>
      <c r="F60" s="421" t="n">
        <v>0</v>
      </c>
      <c r="G60" s="373" t="inlineStr">
        <is>
          <t>Construction</t>
        </is>
      </c>
      <c r="H60" s="373" t="inlineStr">
        <is>
          <t>Straight_Line</t>
        </is>
      </c>
      <c r="I60" s="422" t="n">
        <v>0</v>
      </c>
      <c r="J60" s="402">
        <f>IF(E60="abs",F60,IF(E60="unit",F60*TotalUnits,IF(E60="sf",F60*NRSF,F60)))</f>
        <v/>
      </c>
      <c r="K60" s="402">
        <f>IF(TotalUnits=0,0,J60/TotalUnits)</f>
        <v/>
      </c>
      <c r="L60" s="402">
        <f>IF(NRSF=0,0,J60/NRSF)</f>
        <v/>
      </c>
      <c r="M60" s="333">
        <f>IF(TDC_Total=0,0,J60/TDC_Total)</f>
        <v/>
      </c>
    </row>
    <row r="61">
      <c r="B61" s="316" t="inlineStr">
        <is>
          <t>Building Maintenance Support</t>
        </is>
      </c>
      <c r="C61" s="316" t="inlineStr">
        <is>
          <t>Soft</t>
        </is>
      </c>
      <c r="D61" s="310" t="inlineStr">
        <is>
          <t>Consultants</t>
        </is>
      </c>
      <c r="E61" s="317" t="inlineStr">
        <is>
          <t>abs</t>
        </is>
      </c>
      <c r="F61" s="421" t="n">
        <v>0</v>
      </c>
      <c r="G61" s="373" t="inlineStr">
        <is>
          <t>Construction</t>
        </is>
      </c>
      <c r="H61" s="373" t="inlineStr">
        <is>
          <t>Straight_Line</t>
        </is>
      </c>
      <c r="I61" s="422" t="n">
        <v>0</v>
      </c>
      <c r="J61" s="402">
        <f>IF(E61="abs",F61,IF(E61="unit",F61*TotalUnits,IF(E61="sf",F61*NRSF,F61)))</f>
        <v/>
      </c>
      <c r="K61" s="402">
        <f>IF(TotalUnits=0,0,J61/TotalUnits)</f>
        <v/>
      </c>
      <c r="L61" s="402">
        <f>IF(NRSF=0,0,J61/NRSF)</f>
        <v/>
      </c>
      <c r="M61" s="333">
        <f>IF(TDC_Total=0,0,J61/TDC_Total)</f>
        <v/>
      </c>
    </row>
    <row r="62">
      <c r="B62" s="316" t="inlineStr">
        <is>
          <t>Retail Consulting</t>
        </is>
      </c>
      <c r="C62" s="316" t="inlineStr">
        <is>
          <t>Soft</t>
        </is>
      </c>
      <c r="D62" s="310" t="inlineStr">
        <is>
          <t>Consultants</t>
        </is>
      </c>
      <c r="E62" s="317" t="inlineStr">
        <is>
          <t>abs</t>
        </is>
      </c>
      <c r="F62" s="421" t="n">
        <v>0</v>
      </c>
      <c r="G62" s="373" t="inlineStr">
        <is>
          <t>Construction</t>
        </is>
      </c>
      <c r="H62" s="373" t="inlineStr">
        <is>
          <t>Straight_Line</t>
        </is>
      </c>
      <c r="I62" s="422" t="n">
        <v>0</v>
      </c>
      <c r="J62" s="402">
        <f>IF(E62="abs",F62,IF(E62="unit",F62*TotalUnits,IF(E62="sf",F62*NRSF,F62)))</f>
        <v/>
      </c>
      <c r="K62" s="402">
        <f>IF(TotalUnits=0,0,J62/TotalUnits)</f>
        <v/>
      </c>
      <c r="L62" s="402">
        <f>IF(NRSF=0,0,J62/NRSF)</f>
        <v/>
      </c>
      <c r="M62" s="333">
        <f>IF(TDC_Total=0,0,J62/TDC_Total)</f>
        <v/>
      </c>
    </row>
    <row r="63">
      <c r="B63" s="316" t="inlineStr">
        <is>
          <t>Site Security</t>
        </is>
      </c>
      <c r="C63" s="316" t="inlineStr">
        <is>
          <t>Soft</t>
        </is>
      </c>
      <c r="D63" s="310" t="inlineStr">
        <is>
          <t>Consultants</t>
        </is>
      </c>
      <c r="E63" s="317" t="inlineStr">
        <is>
          <t>abs</t>
        </is>
      </c>
      <c r="F63" s="421" t="n">
        <v>0</v>
      </c>
      <c r="G63" s="373" t="inlineStr">
        <is>
          <t>Construction</t>
        </is>
      </c>
      <c r="H63" s="373" t="inlineStr">
        <is>
          <t>Straight_Line</t>
        </is>
      </c>
      <c r="I63" s="422" t="n">
        <v>0</v>
      </c>
      <c r="J63" s="402">
        <f>IF(E63="abs",F63,IF(E63="unit",F63*TotalUnits,IF(E63="sf",F63*NRSF,F63)))</f>
        <v/>
      </c>
      <c r="K63" s="402">
        <f>IF(TotalUnits=0,0,J63/TotalUnits)</f>
        <v/>
      </c>
      <c r="L63" s="402">
        <f>IF(NRSF=0,0,J63/NRSF)</f>
        <v/>
      </c>
      <c r="M63" s="333">
        <f>IF(TDC_Total=0,0,J63/TDC_Total)</f>
        <v/>
      </c>
    </row>
    <row r="64">
      <c r="B64" s="316" t="inlineStr">
        <is>
          <t>Surveying: Legal Description, Plat, Mapping</t>
        </is>
      </c>
      <c r="C64" s="316" t="inlineStr">
        <is>
          <t>Soft</t>
        </is>
      </c>
      <c r="D64" s="310" t="inlineStr">
        <is>
          <t>Consultants</t>
        </is>
      </c>
      <c r="E64" s="317" t="inlineStr">
        <is>
          <t>abs</t>
        </is>
      </c>
      <c r="F64" s="421" t="n">
        <v>0</v>
      </c>
      <c r="G64" s="373" t="inlineStr">
        <is>
          <t>Entitlement</t>
        </is>
      </c>
      <c r="H64" s="373" t="inlineStr">
        <is>
          <t>Straight_Line</t>
        </is>
      </c>
      <c r="I64" s="422" t="n">
        <v>0</v>
      </c>
      <c r="J64" s="402">
        <f>IF(E64="abs",F64,IF(E64="unit",F64*TotalUnits,IF(E64="sf",F64*NRSF,F64)))</f>
        <v/>
      </c>
      <c r="K64" s="402">
        <f>IF(TotalUnits=0,0,J64/TotalUnits)</f>
        <v/>
      </c>
      <c r="L64" s="402">
        <f>IF(NRSF=0,0,J64/NRSF)</f>
        <v/>
      </c>
      <c r="M64" s="333">
        <f>IF(TDC_Total=0,0,J64/TDC_Total)</f>
        <v/>
      </c>
    </row>
    <row r="65">
      <c r="B65" s="316" t="inlineStr">
        <is>
          <t>Property Insurance</t>
        </is>
      </c>
      <c r="C65" s="316" t="inlineStr">
        <is>
          <t>Soft</t>
        </is>
      </c>
      <c r="D65" s="310" t="inlineStr">
        <is>
          <t>Other Soft</t>
        </is>
      </c>
      <c r="E65" s="317" t="inlineStr">
        <is>
          <t>abs</t>
        </is>
      </c>
      <c r="F65" s="421" t="n">
        <v>0</v>
      </c>
      <c r="G65" s="373" t="inlineStr">
        <is>
          <t>Construction</t>
        </is>
      </c>
      <c r="H65" s="373" t="inlineStr">
        <is>
          <t>Straight_Line</t>
        </is>
      </c>
      <c r="I65" s="422" t="n">
        <v>0</v>
      </c>
      <c r="J65" s="402">
        <f>IF(E65="abs",F65,IF(E65="unit",F65*TotalUnits,IF(E65="sf",F65*NRSF,F65)))</f>
        <v/>
      </c>
      <c r="K65" s="402">
        <f>IF(TotalUnits=0,0,J65/TotalUnits)</f>
        <v/>
      </c>
      <c r="L65" s="402">
        <f>IF(NRSF=0,0,J65/NRSF)</f>
        <v/>
      </c>
      <c r="M65" s="333">
        <f>IF(TDC_Total=0,0,J65/TDC_Total)</f>
        <v/>
      </c>
    </row>
    <row r="66">
      <c r="B66" s="316" t="inlineStr">
        <is>
          <t>Working Capital</t>
        </is>
      </c>
      <c r="C66" s="316" t="inlineStr">
        <is>
          <t>Soft</t>
        </is>
      </c>
      <c r="D66" s="310" t="inlineStr">
        <is>
          <t>Other Soft</t>
        </is>
      </c>
      <c r="E66" s="317" t="inlineStr">
        <is>
          <t>abs</t>
        </is>
      </c>
      <c r="F66" s="421" t="n">
        <v>0</v>
      </c>
      <c r="G66" s="373" t="inlineStr">
        <is>
          <t>Entitlement</t>
        </is>
      </c>
      <c r="H66" s="373" t="inlineStr">
        <is>
          <t>Straight_Line</t>
        </is>
      </c>
      <c r="I66" s="422" t="n">
        <v>0</v>
      </c>
      <c r="J66" s="402">
        <f>IF(E66="abs",F66,IF(E66="unit",F66*TotalUnits,IF(E66="sf",F66*NRSF,F66)))</f>
        <v/>
      </c>
      <c r="K66" s="402">
        <f>IF(TotalUnits=0,0,J66/TotalUnits)</f>
        <v/>
      </c>
      <c r="L66" s="402">
        <f>IF(NRSF=0,0,J66/NRSF)</f>
        <v/>
      </c>
      <c r="M66" s="333">
        <f>IF(TDC_Total=0,0,J66/TDC_Total)</f>
        <v/>
      </c>
    </row>
    <row r="67">
      <c r="B67" s="316" t="inlineStr">
        <is>
          <t>Sales and Marketing</t>
        </is>
      </c>
      <c r="C67" s="316" t="inlineStr">
        <is>
          <t>Soft</t>
        </is>
      </c>
      <c r="D67" s="310" t="inlineStr">
        <is>
          <t>Other Soft</t>
        </is>
      </c>
      <c r="E67" s="317" t="inlineStr">
        <is>
          <t>abs</t>
        </is>
      </c>
      <c r="F67" s="421" t="n">
        <v>0</v>
      </c>
      <c r="G67" s="373" t="inlineStr">
        <is>
          <t>Lease-Up</t>
        </is>
      </c>
      <c r="H67" s="373" t="inlineStr">
        <is>
          <t>Straight_Line</t>
        </is>
      </c>
      <c r="I67" s="422" t="n">
        <v>0</v>
      </c>
      <c r="J67" s="402">
        <f>IF(E67="abs",F67,IF(E67="unit",F67*TotalUnits,IF(E67="sf",F67*NRSF,F67)))</f>
        <v/>
      </c>
      <c r="K67" s="402">
        <f>IF(TotalUnits=0,0,J67/TotalUnits)</f>
        <v/>
      </c>
      <c r="L67" s="402">
        <f>IF(NRSF=0,0,J67/NRSF)</f>
        <v/>
      </c>
      <c r="M67" s="333">
        <f>IF(TDC_Total=0,0,J67/TDC_Total)</f>
        <v/>
      </c>
    </row>
    <row r="68">
      <c r="B68" s="316" t="inlineStr">
        <is>
          <t>FF&amp;E: Exercise Equipment</t>
        </is>
      </c>
      <c r="C68" s="316" t="inlineStr">
        <is>
          <t>Soft</t>
        </is>
      </c>
      <c r="D68" s="310" t="inlineStr">
        <is>
          <t>Other Soft</t>
        </is>
      </c>
      <c r="E68" s="317" t="inlineStr">
        <is>
          <t>abs</t>
        </is>
      </c>
      <c r="F68" s="421" t="n">
        <v>0</v>
      </c>
      <c r="G68" s="373" t="inlineStr">
        <is>
          <t>Lease-Up</t>
        </is>
      </c>
      <c r="H68" s="373" t="inlineStr">
        <is>
          <t>Straight_Line</t>
        </is>
      </c>
      <c r="I68" s="422" t="n">
        <v>0</v>
      </c>
      <c r="J68" s="402">
        <f>IF(E68="abs",F68,IF(E68="unit",F68*TotalUnits,IF(E68="sf",F68*NRSF,F68)))</f>
        <v/>
      </c>
      <c r="K68" s="402">
        <f>IF(TotalUnits=0,0,J68/TotalUnits)</f>
        <v/>
      </c>
      <c r="L68" s="402">
        <f>IF(NRSF=0,0,J68/NRSF)</f>
        <v/>
      </c>
      <c r="M68" s="333">
        <f>IF(TDC_Total=0,0,J68/TDC_Total)</f>
        <v/>
      </c>
    </row>
    <row r="69">
      <c r="B69" s="316" t="inlineStr">
        <is>
          <t>FF&amp;E: Model Furniture</t>
        </is>
      </c>
      <c r="C69" s="316" t="inlineStr">
        <is>
          <t>Soft</t>
        </is>
      </c>
      <c r="D69" s="310" t="inlineStr">
        <is>
          <t>Other Soft</t>
        </is>
      </c>
      <c r="E69" s="317" t="inlineStr">
        <is>
          <t>abs</t>
        </is>
      </c>
      <c r="F69" s="421" t="n">
        <v>0</v>
      </c>
      <c r="G69" s="373" t="inlineStr">
        <is>
          <t>Lease-Up</t>
        </is>
      </c>
      <c r="H69" s="373" t="inlineStr">
        <is>
          <t>Straight_Line</t>
        </is>
      </c>
      <c r="I69" s="422" t="n">
        <v>0</v>
      </c>
      <c r="J69" s="402">
        <f>IF(E69="abs",F69,IF(E69="unit",F69*TotalUnits,IF(E69="sf",F69*NRSF,F69)))</f>
        <v/>
      </c>
      <c r="K69" s="402">
        <f>IF(TotalUnits=0,0,J69/TotalUnits)</f>
        <v/>
      </c>
      <c r="L69" s="402">
        <f>IF(NRSF=0,0,J69/NRSF)</f>
        <v/>
      </c>
      <c r="M69" s="333">
        <f>IF(TDC_Total=0,0,J69/TDC_Total)</f>
        <v/>
      </c>
    </row>
    <row r="70">
      <c r="B70" s="316" t="inlineStr">
        <is>
          <t>FF&amp;E: Clubhouse Furniture</t>
        </is>
      </c>
      <c r="C70" s="316" t="inlineStr">
        <is>
          <t>Soft</t>
        </is>
      </c>
      <c r="D70" s="310" t="inlineStr">
        <is>
          <t>Other Soft</t>
        </is>
      </c>
      <c r="E70" s="317" t="inlineStr">
        <is>
          <t>abs</t>
        </is>
      </c>
      <c r="F70" s="421" t="n">
        <v>0</v>
      </c>
      <c r="G70" s="373" t="inlineStr">
        <is>
          <t>Lease-Up</t>
        </is>
      </c>
      <c r="H70" s="373" t="inlineStr">
        <is>
          <t>Straight_Line</t>
        </is>
      </c>
      <c r="I70" s="422" t="n">
        <v>0</v>
      </c>
      <c r="J70" s="402">
        <f>IF(E70="abs",F70,IF(E70="unit",F70*TotalUnits,IF(E70="sf",F70*NRSF,F70)))</f>
        <v/>
      </c>
      <c r="K70" s="402">
        <f>IF(TotalUnits=0,0,J70/TotalUnits)</f>
        <v/>
      </c>
      <c r="L70" s="402">
        <f>IF(NRSF=0,0,J70/NRSF)</f>
        <v/>
      </c>
      <c r="M70" s="333">
        <f>IF(TDC_Total=0,0,J70/TDC_Total)</f>
        <v/>
      </c>
    </row>
    <row r="71">
      <c r="B71" s="316" t="inlineStr">
        <is>
          <t>FF&amp;E: Pool &amp; Exterior Common Areas</t>
        </is>
      </c>
      <c r="C71" s="316" t="inlineStr">
        <is>
          <t>Soft</t>
        </is>
      </c>
      <c r="D71" s="310" t="inlineStr">
        <is>
          <t>Other Soft</t>
        </is>
      </c>
      <c r="E71" s="317" t="inlineStr">
        <is>
          <t>abs</t>
        </is>
      </c>
      <c r="F71" s="421" t="n">
        <v>0</v>
      </c>
      <c r="G71" s="373" t="inlineStr">
        <is>
          <t>Lease-Up</t>
        </is>
      </c>
      <c r="H71" s="373" t="inlineStr">
        <is>
          <t>Straight_Line</t>
        </is>
      </c>
      <c r="I71" s="422" t="n">
        <v>0</v>
      </c>
      <c r="J71" s="402">
        <f>IF(E71="abs",F71,IF(E71="unit",F71*TotalUnits,IF(E71="sf",F71*NRSF,F71)))</f>
        <v/>
      </c>
      <c r="K71" s="402">
        <f>IF(TotalUnits=0,0,J71/TotalUnits)</f>
        <v/>
      </c>
      <c r="L71" s="402">
        <f>IF(NRSF=0,0,J71/NRSF)</f>
        <v/>
      </c>
      <c r="M71" s="333">
        <f>IF(TDC_Total=0,0,J71/TDC_Total)</f>
        <v/>
      </c>
    </row>
    <row r="72">
      <c r="B72" s="316" t="inlineStr">
        <is>
          <t>Overhead Reimbursement - Staff</t>
        </is>
      </c>
      <c r="C72" s="316" t="inlineStr">
        <is>
          <t>Soft</t>
        </is>
      </c>
      <c r="D72" s="310" t="inlineStr">
        <is>
          <t>Other Soft</t>
        </is>
      </c>
      <c r="E72" s="317" t="inlineStr">
        <is>
          <t>abs</t>
        </is>
      </c>
      <c r="F72" s="421" t="n">
        <v>0</v>
      </c>
      <c r="G72" s="373" t="inlineStr">
        <is>
          <t>Construction</t>
        </is>
      </c>
      <c r="H72" s="373" t="inlineStr">
        <is>
          <t>Straight_Line</t>
        </is>
      </c>
      <c r="I72" s="422" t="n">
        <v>0</v>
      </c>
      <c r="J72" s="402">
        <f>IF(E72="abs",F72,IF(E72="unit",F72*TotalUnits,IF(E72="sf",F72*NRSF,F72)))</f>
        <v/>
      </c>
      <c r="K72" s="402">
        <f>IF(TotalUnits=0,0,J72/TotalUnits)</f>
        <v/>
      </c>
      <c r="L72" s="402">
        <f>IF(NRSF=0,0,J72/NRSF)</f>
        <v/>
      </c>
      <c r="M72" s="333">
        <f>IF(TDC_Total=0,0,J72/TDC_Total)</f>
        <v/>
      </c>
    </row>
    <row r="73">
      <c r="B73" s="316" t="inlineStr">
        <is>
          <t>Overhead Reimbursement - Remote Office</t>
        </is>
      </c>
      <c r="C73" s="316" t="inlineStr">
        <is>
          <t>Soft</t>
        </is>
      </c>
      <c r="D73" s="310" t="inlineStr">
        <is>
          <t>Other Soft</t>
        </is>
      </c>
      <c r="E73" s="317" t="inlineStr">
        <is>
          <t>abs</t>
        </is>
      </c>
      <c r="F73" s="421" t="n">
        <v>0</v>
      </c>
      <c r="G73" s="373" t="inlineStr">
        <is>
          <t>Construction</t>
        </is>
      </c>
      <c r="H73" s="373" t="inlineStr">
        <is>
          <t>Straight_Line</t>
        </is>
      </c>
      <c r="I73" s="422" t="n">
        <v>0</v>
      </c>
      <c r="J73" s="402">
        <f>IF(E73="abs",F73,IF(E73="unit",F73*TotalUnits,IF(E73="sf",F73*NRSF,F73)))</f>
        <v/>
      </c>
      <c r="K73" s="402">
        <f>IF(TotalUnits=0,0,J73/TotalUnits)</f>
        <v/>
      </c>
      <c r="L73" s="402">
        <f>IF(NRSF=0,0,J73/NRSF)</f>
        <v/>
      </c>
      <c r="M73" s="333">
        <f>IF(TDC_Total=0,0,J73/TDC_Total)</f>
        <v/>
      </c>
    </row>
    <row r="74">
      <c r="B74" s="316" t="inlineStr">
        <is>
          <t>Overhead Reimbursement - Sponsor</t>
        </is>
      </c>
      <c r="C74" s="316" t="inlineStr">
        <is>
          <t>Soft</t>
        </is>
      </c>
      <c r="D74" s="310" t="inlineStr">
        <is>
          <t>Other Soft</t>
        </is>
      </c>
      <c r="E74" s="317" t="inlineStr">
        <is>
          <t>abs</t>
        </is>
      </c>
      <c r="F74" s="421" t="n">
        <v>0</v>
      </c>
      <c r="G74" s="373" t="inlineStr">
        <is>
          <t>Construction</t>
        </is>
      </c>
      <c r="H74" s="373" t="inlineStr">
        <is>
          <t>Straight_Line</t>
        </is>
      </c>
      <c r="I74" s="422" t="n">
        <v>0</v>
      </c>
      <c r="J74" s="402">
        <f>IF(E74="abs",F74,IF(E74="unit",F74*TotalUnits,IF(E74="sf",F74*NRSF,F74)))</f>
        <v/>
      </c>
      <c r="K74" s="402">
        <f>IF(TotalUnits=0,0,J74/TotalUnits)</f>
        <v/>
      </c>
      <c r="L74" s="402">
        <f>IF(NRSF=0,0,J74/NRSF)</f>
        <v/>
      </c>
      <c r="M74" s="333">
        <f>IF(TDC_Total=0,0,J74/TDC_Total)</f>
        <v/>
      </c>
    </row>
    <row r="75">
      <c r="B75" s="316" t="inlineStr">
        <is>
          <t>Travel</t>
        </is>
      </c>
      <c r="C75" s="316" t="inlineStr">
        <is>
          <t>Soft</t>
        </is>
      </c>
      <c r="D75" s="310" t="inlineStr">
        <is>
          <t>Other Soft</t>
        </is>
      </c>
      <c r="E75" s="317" t="inlineStr">
        <is>
          <t>abs</t>
        </is>
      </c>
      <c r="F75" s="421" t="n">
        <v>0</v>
      </c>
      <c r="G75" s="373" t="inlineStr">
        <is>
          <t>Construction</t>
        </is>
      </c>
      <c r="H75" s="373" t="inlineStr">
        <is>
          <t>Straight_Line</t>
        </is>
      </c>
      <c r="I75" s="422" t="n">
        <v>0</v>
      </c>
      <c r="J75" s="402">
        <f>IF(E75="abs",F75,IF(E75="unit",F75*TotalUnits,IF(E75="sf",F75*NRSF,F75)))</f>
        <v/>
      </c>
      <c r="K75" s="402">
        <f>IF(TotalUnits=0,0,J75/TotalUnits)</f>
        <v/>
      </c>
      <c r="L75" s="402">
        <f>IF(NRSF=0,0,J75/NRSF)</f>
        <v/>
      </c>
      <c r="M75" s="333">
        <f>IF(TDC_Total=0,0,J75/TDC_Total)</f>
        <v/>
      </c>
    </row>
    <row r="76">
      <c r="B76" s="316" t="inlineStr">
        <is>
          <t>Development Fee - Third Party</t>
        </is>
      </c>
      <c r="C76" s="316" t="inlineStr">
        <is>
          <t>Soft</t>
        </is>
      </c>
      <c r="D76" s="310" t="inlineStr">
        <is>
          <t>Other Soft</t>
        </is>
      </c>
      <c r="E76" s="317" t="inlineStr">
        <is>
          <t>abs</t>
        </is>
      </c>
      <c r="F76" s="421" t="n">
        <v>0</v>
      </c>
      <c r="G76" s="373" t="inlineStr">
        <is>
          <t>Construction</t>
        </is>
      </c>
      <c r="H76" s="373" t="inlineStr">
        <is>
          <t>Straight_Line</t>
        </is>
      </c>
      <c r="I76" s="422" t="n">
        <v>0</v>
      </c>
      <c r="J76" s="402">
        <f>IF(E76="abs",F76,IF(E76="unit",F76*TotalUnits,IF(E76="sf",F76*NRSF,F76)))</f>
        <v/>
      </c>
      <c r="K76" s="402">
        <f>IF(TotalUnits=0,0,J76/TotalUnits)</f>
        <v/>
      </c>
      <c r="L76" s="402">
        <f>IF(NRSF=0,0,J76/NRSF)</f>
        <v/>
      </c>
      <c r="M76" s="333">
        <f>IF(TDC_Total=0,0,J76/TDC_Total)</f>
        <v/>
      </c>
    </row>
    <row r="77">
      <c r="B77" s="316" t="inlineStr">
        <is>
          <t>Retail Leasing Commissions</t>
        </is>
      </c>
      <c r="C77" s="316" t="inlineStr">
        <is>
          <t>Soft</t>
        </is>
      </c>
      <c r="D77" s="310" t="inlineStr">
        <is>
          <t>Other Soft</t>
        </is>
      </c>
      <c r="E77" s="317" t="inlineStr">
        <is>
          <t>abs</t>
        </is>
      </c>
      <c r="F77" s="421" t="n">
        <v>0</v>
      </c>
      <c r="G77" s="373" t="inlineStr">
        <is>
          <t>Lease-Up</t>
        </is>
      </c>
      <c r="H77" s="373" t="inlineStr">
        <is>
          <t>Straight_Line</t>
        </is>
      </c>
      <c r="I77" s="422" t="n">
        <v>0</v>
      </c>
      <c r="J77" s="402">
        <f>IF(E77="abs",F77,IF(E77="unit",F77*TotalUnits,IF(E77="sf",F77*NRSF,F77)))</f>
        <v/>
      </c>
      <c r="K77" s="402">
        <f>IF(TotalUnits=0,0,J77/TotalUnits)</f>
        <v/>
      </c>
      <c r="L77" s="402">
        <f>IF(NRSF=0,0,J77/NRSF)</f>
        <v/>
      </c>
      <c r="M77" s="333">
        <f>IF(TDC_Total=0,0,J77/TDC_Total)</f>
        <v/>
      </c>
    </row>
    <row r="78">
      <c r="B78" s="316" t="inlineStr">
        <is>
          <t>Soft Cost Contingency</t>
        </is>
      </c>
      <c r="C78" s="316" t="inlineStr">
        <is>
          <t>Soft</t>
        </is>
      </c>
      <c r="D78" s="310" t="inlineStr">
        <is>
          <t>Other Soft</t>
        </is>
      </c>
      <c r="E78" s="317" t="inlineStr">
        <is>
          <t>abs</t>
        </is>
      </c>
      <c r="F78" s="421" t="n">
        <v>0</v>
      </c>
      <c r="G78" s="373" t="inlineStr">
        <is>
          <t>Construction</t>
        </is>
      </c>
      <c r="H78" s="373" t="inlineStr">
        <is>
          <t>Straight_Line</t>
        </is>
      </c>
      <c r="I78" s="422" t="n">
        <v>0</v>
      </c>
      <c r="J78" s="402">
        <f>IF(E78="abs",F78,IF(E78="unit",F78*TotalUnits,IF(E78="sf",F78*NRSF,F78)))</f>
        <v/>
      </c>
      <c r="K78" s="402">
        <f>IF(TotalUnits=0,0,J78/TotalUnits)</f>
        <v/>
      </c>
      <c r="L78" s="402">
        <f>IF(NRSF=0,0,J78/NRSF)</f>
        <v/>
      </c>
      <c r="M78" s="333">
        <f>IF(TDC_Total=0,0,J78/TDC_Total)</f>
        <v/>
      </c>
    </row>
    <row r="79">
      <c r="B79" s="316" t="inlineStr">
        <is>
          <t>Other Soft Cost Item 1</t>
        </is>
      </c>
      <c r="C79" s="316" t="inlineStr">
        <is>
          <t>Soft</t>
        </is>
      </c>
      <c r="D79" s="310" t="inlineStr">
        <is>
          <t>Other Soft</t>
        </is>
      </c>
      <c r="E79" s="317" t="inlineStr">
        <is>
          <t>abs</t>
        </is>
      </c>
      <c r="F79" s="421" t="n">
        <v>0</v>
      </c>
      <c r="G79" s="373" t="inlineStr">
        <is>
          <t>Entitlement</t>
        </is>
      </c>
      <c r="H79" s="373" t="inlineStr">
        <is>
          <t>Straight_Line</t>
        </is>
      </c>
      <c r="I79" s="422" t="n">
        <v>0</v>
      </c>
      <c r="J79" s="402">
        <f>IF(E79="abs",F79,IF(E79="unit",F79*TotalUnits,IF(E79="sf",F79*NRSF,F79)))</f>
        <v/>
      </c>
      <c r="K79" s="402">
        <f>IF(TotalUnits=0,0,J79/TotalUnits)</f>
        <v/>
      </c>
      <c r="L79" s="402">
        <f>IF(NRSF=0,0,J79/NRSF)</f>
        <v/>
      </c>
      <c r="M79" s="333">
        <f>IF(TDC_Total=0,0,J79/TDC_Total)</f>
        <v/>
      </c>
    </row>
    <row r="80">
      <c r="B80" s="316" t="inlineStr">
        <is>
          <t>Other Soft Cost Item 2</t>
        </is>
      </c>
      <c r="C80" s="316" t="inlineStr">
        <is>
          <t>Soft</t>
        </is>
      </c>
      <c r="D80" s="310" t="inlineStr">
        <is>
          <t>Other Soft</t>
        </is>
      </c>
      <c r="E80" s="317" t="inlineStr">
        <is>
          <t>abs</t>
        </is>
      </c>
      <c r="F80" s="421" t="n">
        <v>0</v>
      </c>
      <c r="G80" s="373" t="inlineStr">
        <is>
          <t>Entitlement</t>
        </is>
      </c>
      <c r="H80" s="373" t="inlineStr">
        <is>
          <t>Straight_Line</t>
        </is>
      </c>
      <c r="I80" s="422" t="n">
        <v>0</v>
      </c>
      <c r="J80" s="402">
        <f>IF(E80="abs",F80,IF(E80="unit",F80*TotalUnits,IF(E80="sf",F80*NRSF,F80)))</f>
        <v/>
      </c>
      <c r="K80" s="402">
        <f>IF(TotalUnits=0,0,J80/TotalUnits)</f>
        <v/>
      </c>
      <c r="L80" s="402">
        <f>IF(NRSF=0,0,J80/NRSF)</f>
        <v/>
      </c>
      <c r="M80" s="333">
        <f>IF(TDC_Total=0,0,J80/TDC_Total)</f>
        <v/>
      </c>
    </row>
    <row r="81">
      <c r="B81" s="316" t="inlineStr">
        <is>
          <t>Other Soft Cost Item 3</t>
        </is>
      </c>
      <c r="C81" s="316" t="inlineStr">
        <is>
          <t>Soft</t>
        </is>
      </c>
      <c r="D81" s="310" t="inlineStr">
        <is>
          <t>Other Soft</t>
        </is>
      </c>
      <c r="E81" s="317" t="inlineStr">
        <is>
          <t>abs</t>
        </is>
      </c>
      <c r="F81" s="421" t="n">
        <v>0</v>
      </c>
      <c r="G81" s="373" t="inlineStr">
        <is>
          <t>Entitlement</t>
        </is>
      </c>
      <c r="H81" s="373" t="inlineStr">
        <is>
          <t>Straight_Line</t>
        </is>
      </c>
      <c r="I81" s="422" t="n">
        <v>0</v>
      </c>
      <c r="J81" s="402">
        <f>IF(E81="abs",F81,IF(E81="unit",F81*TotalUnits,IF(E81="sf",F81*NRSF,F81)))</f>
        <v/>
      </c>
      <c r="K81" s="402">
        <f>IF(TotalUnits=0,0,J81/TotalUnits)</f>
        <v/>
      </c>
      <c r="L81" s="402">
        <f>IF(NRSF=0,0,J81/NRSF)</f>
        <v/>
      </c>
      <c r="M81" s="333">
        <f>IF(TDC_Total=0,0,J81/TDC_Total)</f>
        <v/>
      </c>
    </row>
    <row r="82">
      <c r="B82" s="316" t="inlineStr">
        <is>
          <t>Other Soft Cost Item 4</t>
        </is>
      </c>
      <c r="C82" s="316" t="inlineStr">
        <is>
          <t>Soft</t>
        </is>
      </c>
      <c r="D82" s="310" t="inlineStr">
        <is>
          <t>Other Soft</t>
        </is>
      </c>
      <c r="E82" s="317" t="inlineStr">
        <is>
          <t>abs</t>
        </is>
      </c>
      <c r="F82" s="421" t="n">
        <v>0</v>
      </c>
      <c r="G82" s="373" t="inlineStr">
        <is>
          <t>Entitlement</t>
        </is>
      </c>
      <c r="H82" s="373" t="inlineStr">
        <is>
          <t>Straight_Line</t>
        </is>
      </c>
      <c r="I82" s="422" t="n">
        <v>0</v>
      </c>
      <c r="J82" s="402">
        <f>IF(E82="abs",F82,IF(E82="unit",F82*TotalUnits,IF(E82="sf",F82*NRSF,F82)))</f>
        <v/>
      </c>
      <c r="K82" s="402">
        <f>IF(TotalUnits=0,0,J82/TotalUnits)</f>
        <v/>
      </c>
      <c r="L82" s="402">
        <f>IF(NRSF=0,0,J82/NRSF)</f>
        <v/>
      </c>
      <c r="M82" s="333">
        <f>IF(TDC_Total=0,0,J82/TDC_Total)</f>
        <v/>
      </c>
    </row>
    <row r="83">
      <c r="B83" s="316" t="inlineStr">
        <is>
          <t>GC Contract</t>
        </is>
      </c>
      <c r="C83" s="316" t="inlineStr">
        <is>
          <t>Hard</t>
        </is>
      </c>
      <c r="D83" s="310" t="inlineStr">
        <is>
          <t>Hard</t>
        </is>
      </c>
      <c r="E83" s="317" t="inlineStr">
        <is>
          <t>unit</t>
        </is>
      </c>
      <c r="F83" s="421" t="n">
        <v>206624</v>
      </c>
      <c r="G83" s="373" t="inlineStr">
        <is>
          <t>Construction</t>
        </is>
      </c>
      <c r="H83" s="373" t="inlineStr">
        <is>
          <t>Bell_Curve</t>
        </is>
      </c>
      <c r="I83" s="422" t="n">
        <v>0</v>
      </c>
      <c r="J83" s="402">
        <f>IF(E83="abs",F83,IF(E83="unit",F83*TotalUnits,IF(E83="sf",F83*NRSF,F83)))</f>
        <v/>
      </c>
      <c r="K83" s="402">
        <f>IF(TotalUnits=0,0,J83/TotalUnits)</f>
        <v/>
      </c>
      <c r="L83" s="402">
        <f>IF(NRSF=0,0,J83/NRSF)</f>
        <v/>
      </c>
      <c r="M83" s="333">
        <f>IF(TDC_Total=0,0,J83/TDC_Total)</f>
        <v/>
      </c>
    </row>
    <row r="84">
      <c r="B84" s="316" t="inlineStr">
        <is>
          <t>Off Site Improvements (Not Included Above)</t>
        </is>
      </c>
      <c r="C84" s="316" t="inlineStr">
        <is>
          <t>Hard</t>
        </is>
      </c>
      <c r="D84" s="310" t="inlineStr">
        <is>
          <t>Hard</t>
        </is>
      </c>
      <c r="E84" s="317" t="inlineStr">
        <is>
          <t>abs</t>
        </is>
      </c>
      <c r="F84" s="421" t="n">
        <v>0</v>
      </c>
      <c r="G84" s="373" t="inlineStr">
        <is>
          <t>Construction</t>
        </is>
      </c>
      <c r="H84" s="373" t="inlineStr">
        <is>
          <t>Straight_Line</t>
        </is>
      </c>
      <c r="I84" s="422" t="n">
        <v>0</v>
      </c>
      <c r="J84" s="402">
        <f>IF(E84="abs",F84,IF(E84="unit",F84*TotalUnits,IF(E84="sf",F84*NRSF,F84)))</f>
        <v/>
      </c>
      <c r="K84" s="402">
        <f>IF(TotalUnits=0,0,J84/TotalUnits)</f>
        <v/>
      </c>
      <c r="L84" s="402">
        <f>IF(NRSF=0,0,J84/NRSF)</f>
        <v/>
      </c>
      <c r="M84" s="333">
        <f>IF(TDC_Total=0,0,J84/TDC_Total)</f>
        <v/>
      </c>
    </row>
    <row r="85">
      <c r="B85" s="316" t="inlineStr">
        <is>
          <t>Demolition (Not Included Above)</t>
        </is>
      </c>
      <c r="C85" s="316" t="inlineStr">
        <is>
          <t>Hard</t>
        </is>
      </c>
      <c r="D85" s="310" t="inlineStr">
        <is>
          <t>Hard</t>
        </is>
      </c>
      <c r="E85" s="317" t="inlineStr">
        <is>
          <t>abs</t>
        </is>
      </c>
      <c r="F85" s="421">
        <f>ExistingStructureCost</f>
        <v/>
      </c>
      <c r="G85" s="373" t="inlineStr">
        <is>
          <t>Construction</t>
        </is>
      </c>
      <c r="H85" s="373" t="inlineStr">
        <is>
          <t>Straight_Line</t>
        </is>
      </c>
      <c r="I85" s="422" t="n">
        <v>0</v>
      </c>
      <c r="J85" s="402">
        <f>IF(E85="abs",F85,IF(E85="unit",F85*TotalUnits,IF(E85="sf",F85*NRSF,F85)))</f>
        <v/>
      </c>
      <c r="K85" s="402">
        <f>IF(TotalUnits=0,0,J85/TotalUnits)</f>
        <v/>
      </c>
      <c r="L85" s="402">
        <f>IF(NRSF=0,0,J85/NRSF)</f>
        <v/>
      </c>
      <c r="M85" s="333">
        <f>IF(TDC_Total=0,0,J85/TDC_Total)</f>
        <v/>
      </c>
    </row>
    <row r="86">
      <c r="B86" s="316" t="inlineStr">
        <is>
          <t>Utility System Installation Costs</t>
        </is>
      </c>
      <c r="C86" s="316" t="inlineStr">
        <is>
          <t>Hard</t>
        </is>
      </c>
      <c r="D86" s="310" t="inlineStr">
        <is>
          <t>Hard</t>
        </is>
      </c>
      <c r="E86" s="317" t="inlineStr">
        <is>
          <t>abs</t>
        </is>
      </c>
      <c r="F86" s="421" t="n">
        <v>0</v>
      </c>
      <c r="G86" s="373" t="inlineStr">
        <is>
          <t>Construction</t>
        </is>
      </c>
      <c r="H86" s="373" t="inlineStr">
        <is>
          <t>Straight_Line</t>
        </is>
      </c>
      <c r="I86" s="422" t="n">
        <v>0</v>
      </c>
      <c r="J86" s="402">
        <f>IF(E86="abs",F86,IF(E86="unit",F86*TotalUnits,IF(E86="sf",F86*NRSF,F86)))</f>
        <v/>
      </c>
      <c r="K86" s="402">
        <f>IF(TotalUnits=0,0,J86/TotalUnits)</f>
        <v/>
      </c>
      <c r="L86" s="402">
        <f>IF(NRSF=0,0,J86/NRSF)</f>
        <v/>
      </c>
      <c r="M86" s="333">
        <f>IF(TDC_Total=0,0,J86/TDC_Total)</f>
        <v/>
      </c>
    </row>
    <row r="87">
      <c r="B87" s="316" t="inlineStr">
        <is>
          <t>Other Hard Costs Outside GC Contract</t>
        </is>
      </c>
      <c r="C87" s="316" t="inlineStr">
        <is>
          <t>Hard</t>
        </is>
      </c>
      <c r="D87" s="310" t="inlineStr">
        <is>
          <t>Hard</t>
        </is>
      </c>
      <c r="E87" s="317" t="inlineStr">
        <is>
          <t>abs</t>
        </is>
      </c>
      <c r="F87" s="421" t="n">
        <v>0</v>
      </c>
      <c r="G87" s="373" t="inlineStr">
        <is>
          <t>Lease-Up</t>
        </is>
      </c>
      <c r="H87" s="373" t="inlineStr">
        <is>
          <t>Straight_Line</t>
        </is>
      </c>
      <c r="I87" s="422" t="n">
        <v>0</v>
      </c>
      <c r="J87" s="402">
        <f>IF(E87="abs",F87,IF(E87="unit",F87*TotalUnits,IF(E87="sf",F87*NRSF,F87)))</f>
        <v/>
      </c>
      <c r="K87" s="402">
        <f>IF(TotalUnits=0,0,J87/TotalUnits)</f>
        <v/>
      </c>
      <c r="L87" s="402">
        <f>IF(NRSF=0,0,J87/NRSF)</f>
        <v/>
      </c>
      <c r="M87" s="333">
        <f>IF(TDC_Total=0,0,J87/TDC_Total)</f>
        <v/>
      </c>
    </row>
    <row r="88">
      <c r="B88" s="316" t="inlineStr">
        <is>
          <t>Hard Cost Contingency</t>
        </is>
      </c>
      <c r="C88" s="316" t="inlineStr">
        <is>
          <t>Hard</t>
        </is>
      </c>
      <c r="D88" s="310" t="inlineStr">
        <is>
          <t>Hard</t>
        </is>
      </c>
      <c r="E88" s="317" t="inlineStr">
        <is>
          <t>abs</t>
        </is>
      </c>
      <c r="F88" s="421" t="n">
        <v>0</v>
      </c>
      <c r="G88" s="373" t="inlineStr">
        <is>
          <t>Construction</t>
        </is>
      </c>
      <c r="H88" s="373" t="inlineStr">
        <is>
          <t>Straight_Line</t>
        </is>
      </c>
      <c r="I88" s="422" t="n">
        <v>0</v>
      </c>
      <c r="J88" s="402">
        <f>IF(E88="abs",F88,IF(E88="unit",F88*TotalUnits,IF(E88="sf",F88*NRSF,F88)))</f>
        <v/>
      </c>
      <c r="K88" s="402">
        <f>IF(TotalUnits=0,0,J88/TotalUnits)</f>
        <v/>
      </c>
      <c r="L88" s="402">
        <f>IF(NRSF=0,0,J88/NRSF)</f>
        <v/>
      </c>
      <c r="M88" s="333">
        <f>IF(TDC_Total=0,0,J88/TDC_Total)</f>
        <v/>
      </c>
    </row>
    <row r="89">
      <c r="B89" s="316" t="inlineStr">
        <is>
          <t>Tenant Improvements</t>
        </is>
      </c>
      <c r="C89" s="316" t="inlineStr">
        <is>
          <t>Hard</t>
        </is>
      </c>
      <c r="D89" s="310" t="inlineStr">
        <is>
          <t>Hard</t>
        </is>
      </c>
      <c r="E89" s="317" t="inlineStr">
        <is>
          <t>abs</t>
        </is>
      </c>
      <c r="F89" s="421" t="n">
        <v>0</v>
      </c>
      <c r="G89" s="373" t="inlineStr">
        <is>
          <t>Lease-Up</t>
        </is>
      </c>
      <c r="H89" s="373" t="inlineStr">
        <is>
          <t>Straight_Line</t>
        </is>
      </c>
      <c r="I89" s="422" t="n">
        <v>0</v>
      </c>
      <c r="J89" s="402">
        <f>IF(E89="abs",F89,IF(E89="unit",F89*TotalUnits,IF(E89="sf",F89*NRSF,F89)))</f>
        <v/>
      </c>
      <c r="K89" s="402">
        <f>IF(TotalUnits=0,0,J89/TotalUnits)</f>
        <v/>
      </c>
      <c r="L89" s="402">
        <f>IF(NRSF=0,0,J89/NRSF)</f>
        <v/>
      </c>
      <c r="M89" s="333">
        <f>IF(TDC_Total=0,0,J89/TDC_Total)</f>
        <v/>
      </c>
    </row>
    <row r="90">
      <c r="B90" s="316" t="inlineStr">
        <is>
          <t>Taxes - State Excise &amp; Other</t>
        </is>
      </c>
      <c r="C90" s="316" t="inlineStr">
        <is>
          <t>Hard</t>
        </is>
      </c>
      <c r="D90" s="310" t="inlineStr">
        <is>
          <t>Hard</t>
        </is>
      </c>
      <c r="E90" s="317" t="inlineStr">
        <is>
          <t>abs</t>
        </is>
      </c>
      <c r="F90" s="421" t="n">
        <v>0</v>
      </c>
      <c r="G90" s="373" t="inlineStr">
        <is>
          <t>Construction</t>
        </is>
      </c>
      <c r="H90" s="373" t="inlineStr">
        <is>
          <t>Bell_Curve</t>
        </is>
      </c>
      <c r="I90" s="422" t="n">
        <v>0</v>
      </c>
      <c r="J90" s="402">
        <f>IF(E90="abs",F90,IF(E90="unit",F90*TotalUnits,IF(E90="sf",F90*NRSF,F90)))</f>
        <v/>
      </c>
      <c r="K90" s="402">
        <f>IF(TotalUnits=0,0,J90/TotalUnits)</f>
        <v/>
      </c>
      <c r="L90" s="402">
        <f>IF(NRSF=0,0,J90/NRSF)</f>
        <v/>
      </c>
      <c r="M90" s="333">
        <f>IF(TDC_Total=0,0,J90/TDC_Total)</f>
        <v/>
      </c>
    </row>
    <row r="91">
      <c r="B91" s="316" t="inlineStr">
        <is>
          <t>Insurance - Builders Risk, OCIP, Pollution</t>
        </is>
      </c>
      <c r="C91" s="316" t="inlineStr">
        <is>
          <t>Hard</t>
        </is>
      </c>
      <c r="D91" s="310" t="inlineStr">
        <is>
          <t>Hard</t>
        </is>
      </c>
      <c r="E91" s="317" t="inlineStr">
        <is>
          <t>abs</t>
        </is>
      </c>
      <c r="F91" s="421" t="n">
        <v>0</v>
      </c>
      <c r="G91" s="373" t="inlineStr">
        <is>
          <t>Construction</t>
        </is>
      </c>
      <c r="H91" s="373" t="inlineStr">
        <is>
          <t>Straight_Line</t>
        </is>
      </c>
      <c r="I91" s="422" t="n">
        <v>0</v>
      </c>
      <c r="J91" s="402">
        <f>IF(E91="abs",F91,IF(E91="unit",F91*TotalUnits,IF(E91="sf",F91*NRSF,F91)))</f>
        <v/>
      </c>
      <c r="K91" s="402">
        <f>IF(TotalUnits=0,0,J91/TotalUnits)</f>
        <v/>
      </c>
      <c r="L91" s="402">
        <f>IF(NRSF=0,0,J91/NRSF)</f>
        <v/>
      </c>
      <c r="M91" s="333">
        <f>IF(TDC_Total=0,0,J91/TDC_Total)</f>
        <v/>
      </c>
    </row>
    <row r="92">
      <c r="B92" s="316" t="inlineStr">
        <is>
          <t>Unit Finish Upgrades Outside GC Contract</t>
        </is>
      </c>
      <c r="C92" s="316" t="inlineStr">
        <is>
          <t>Hard</t>
        </is>
      </c>
      <c r="D92" s="310" t="inlineStr">
        <is>
          <t>Hard</t>
        </is>
      </c>
      <c r="E92" s="317" t="inlineStr">
        <is>
          <t>abs</t>
        </is>
      </c>
      <c r="F92" s="421" t="n">
        <v>0</v>
      </c>
      <c r="G92" s="373" t="inlineStr">
        <is>
          <t>Construction</t>
        </is>
      </c>
      <c r="H92" s="373" t="inlineStr">
        <is>
          <t>Straight_Line</t>
        </is>
      </c>
      <c r="I92" s="422" t="n">
        <v>0</v>
      </c>
      <c r="J92" s="402">
        <f>IF(E92="abs",F92,IF(E92="unit",F92*TotalUnits,IF(E92="sf",F92*NRSF,F92)))</f>
        <v/>
      </c>
      <c r="K92" s="402">
        <f>IF(TotalUnits=0,0,J92/TotalUnits)</f>
        <v/>
      </c>
      <c r="L92" s="402">
        <f>IF(NRSF=0,0,J92/NRSF)</f>
        <v/>
      </c>
      <c r="M92" s="333">
        <f>IF(TDC_Total=0,0,J92/TDC_Total)</f>
        <v/>
      </c>
    </row>
    <row r="93">
      <c r="B93" s="316" t="inlineStr">
        <is>
          <t>GC Fee</t>
        </is>
      </c>
      <c r="C93" s="316" t="inlineStr">
        <is>
          <t>Hard</t>
        </is>
      </c>
      <c r="D93" s="310" t="inlineStr">
        <is>
          <t>Hard</t>
        </is>
      </c>
      <c r="E93" s="317" t="inlineStr">
        <is>
          <t>abs</t>
        </is>
      </c>
      <c r="F93" s="421" t="n">
        <v>0</v>
      </c>
      <c r="G93" s="373" t="inlineStr">
        <is>
          <t>Construction</t>
        </is>
      </c>
      <c r="H93" s="373" t="inlineStr">
        <is>
          <t>Bell_Curve</t>
        </is>
      </c>
      <c r="I93" s="422" t="n">
        <v>0</v>
      </c>
      <c r="J93" s="402">
        <f>IF(E93="abs",F93,IF(E93="unit",F93*TotalUnits,IF(E93="sf",F93*NRSF,F93)))</f>
        <v/>
      </c>
      <c r="K93" s="402">
        <f>IF(TotalUnits=0,0,J93/TotalUnits)</f>
        <v/>
      </c>
      <c r="L93" s="402">
        <f>IF(NRSF=0,0,J93/NRSF)</f>
        <v/>
      </c>
      <c r="M93" s="333">
        <f>IF(TDC_Total=0,0,J93/TDC_Total)</f>
        <v/>
      </c>
    </row>
    <row r="94">
      <c r="B94" s="316" t="inlineStr">
        <is>
          <t>Other Hard Cost Item 1</t>
        </is>
      </c>
      <c r="C94" s="316" t="inlineStr">
        <is>
          <t>Hard</t>
        </is>
      </c>
      <c r="D94" s="310" t="inlineStr">
        <is>
          <t>Hard</t>
        </is>
      </c>
      <c r="E94" s="317" t="inlineStr">
        <is>
          <t>abs</t>
        </is>
      </c>
      <c r="F94" s="421" t="n">
        <v>0</v>
      </c>
      <c r="G94" s="373" t="inlineStr">
        <is>
          <t>Construction</t>
        </is>
      </c>
      <c r="H94" s="373" t="inlineStr">
        <is>
          <t>Straight_Line</t>
        </is>
      </c>
      <c r="I94" s="422" t="n">
        <v>0</v>
      </c>
      <c r="J94" s="402">
        <f>IF(E94="abs",F94,IF(E94="unit",F94*TotalUnits,IF(E94="sf",F94*NRSF,F94)))</f>
        <v/>
      </c>
      <c r="K94" s="402">
        <f>IF(TotalUnits=0,0,J94/TotalUnits)</f>
        <v/>
      </c>
      <c r="L94" s="402">
        <f>IF(NRSF=0,0,J94/NRSF)</f>
        <v/>
      </c>
      <c r="M94" s="333">
        <f>IF(TDC_Total=0,0,J94/TDC_Total)</f>
        <v/>
      </c>
    </row>
    <row r="95">
      <c r="B95" s="316" t="inlineStr">
        <is>
          <t>Other Hard Cost Item 2</t>
        </is>
      </c>
      <c r="C95" s="316" t="inlineStr">
        <is>
          <t>Hard</t>
        </is>
      </c>
      <c r="D95" s="310" t="inlineStr">
        <is>
          <t>Hard</t>
        </is>
      </c>
      <c r="E95" s="317" t="inlineStr">
        <is>
          <t>abs</t>
        </is>
      </c>
      <c r="F95" s="421" t="n">
        <v>0</v>
      </c>
      <c r="G95" s="373" t="inlineStr">
        <is>
          <t>Construction</t>
        </is>
      </c>
      <c r="H95" s="373" t="inlineStr">
        <is>
          <t>Straight_Line</t>
        </is>
      </c>
      <c r="I95" s="422" t="n">
        <v>0</v>
      </c>
      <c r="J95" s="402">
        <f>IF(E95="abs",F95,IF(E95="unit",F95*TotalUnits,IF(E95="sf",F95*NRSF,F95)))</f>
        <v/>
      </c>
      <c r="K95" s="402">
        <f>IF(TotalUnits=0,0,J95/TotalUnits)</f>
        <v/>
      </c>
      <c r="L95" s="402">
        <f>IF(NRSF=0,0,J95/NRSF)</f>
        <v/>
      </c>
      <c r="M95" s="333">
        <f>IF(TDC_Total=0,0,J95/TDC_Total)</f>
        <v/>
      </c>
    </row>
    <row r="96">
      <c r="B96" s="316" t="inlineStr">
        <is>
          <t>Other Hard Cost Item 3</t>
        </is>
      </c>
      <c r="C96" s="316" t="inlineStr">
        <is>
          <t>Hard</t>
        </is>
      </c>
      <c r="D96" s="310" t="inlineStr">
        <is>
          <t>Hard</t>
        </is>
      </c>
      <c r="E96" s="317" t="inlineStr">
        <is>
          <t>abs</t>
        </is>
      </c>
      <c r="F96" s="421" t="n">
        <v>0</v>
      </c>
      <c r="G96" s="373" t="inlineStr">
        <is>
          <t>Construction</t>
        </is>
      </c>
      <c r="H96" s="373" t="inlineStr">
        <is>
          <t>Straight_Line</t>
        </is>
      </c>
      <c r="I96" s="422" t="n">
        <v>0</v>
      </c>
      <c r="J96" s="402">
        <f>IF(E96="abs",F96,IF(E96="unit",F96*TotalUnits,IF(E96="sf",F96*NRSF,F96)))</f>
        <v/>
      </c>
      <c r="K96" s="402">
        <f>IF(TotalUnits=0,0,J96/TotalUnits)</f>
        <v/>
      </c>
      <c r="L96" s="402">
        <f>IF(NRSF=0,0,J96/NRSF)</f>
        <v/>
      </c>
      <c r="M96" s="333">
        <f>IF(TDC_Total=0,0,J96/TDC_Total)</f>
        <v/>
      </c>
    </row>
    <row r="97">
      <c r="B97" s="316" t="inlineStr">
        <is>
          <t>Other Hard Cost Item 4</t>
        </is>
      </c>
      <c r="C97" s="316" t="inlineStr">
        <is>
          <t>Hard</t>
        </is>
      </c>
      <c r="D97" s="310" t="inlineStr">
        <is>
          <t>Hard</t>
        </is>
      </c>
      <c r="E97" s="317" t="inlineStr">
        <is>
          <t>abs</t>
        </is>
      </c>
      <c r="F97" s="421" t="n">
        <v>0</v>
      </c>
      <c r="G97" s="373" t="inlineStr">
        <is>
          <t>Construction</t>
        </is>
      </c>
      <c r="H97" s="373" t="inlineStr">
        <is>
          <t>Straight_Line</t>
        </is>
      </c>
      <c r="I97" s="422" t="n">
        <v>0</v>
      </c>
      <c r="J97" s="402">
        <f>IF(E97="abs",F97,IF(E97="unit",F97*TotalUnits,IF(E97="sf",F97*NRSF,F97)))</f>
        <v/>
      </c>
      <c r="K97" s="402">
        <f>IF(TotalUnits=0,0,J97/TotalUnits)</f>
        <v/>
      </c>
      <c r="L97" s="402">
        <f>IF(NRSF=0,0,J97/NRSF)</f>
        <v/>
      </c>
      <c r="M97" s="333">
        <f>IF(TDC_Total=0,0,J97/TDC_Total)</f>
        <v/>
      </c>
    </row>
    <row r="99">
      <c r="B99" s="384" t="inlineStr">
        <is>
          <t>Financing &amp; Reserves (captured in capitalization — not in Direct Costs)</t>
        </is>
      </c>
      <c r="C99" s="155" t="n"/>
      <c r="D99" s="155" t="n"/>
      <c r="E99" s="155" t="n"/>
      <c r="F99" s="155" t="n"/>
      <c r="G99" s="155" t="n"/>
      <c r="H99" s="155" t="n"/>
      <c r="I99" s="155" t="n"/>
      <c r="J99" s="155" t="n"/>
      <c r="K99" s="155" t="n"/>
      <c r="L99" s="155" t="n"/>
      <c r="M99" s="155" t="n"/>
    </row>
    <row r="100">
      <c r="B100" s="316" t="inlineStr">
        <is>
          <t>Points / Origination</t>
        </is>
      </c>
      <c r="C100" s="316" t="inlineStr">
        <is>
          <t>Memo</t>
        </is>
      </c>
      <c r="D100" s="310" t="inlineStr">
        <is>
          <t>Financing &amp; Reserves</t>
        </is>
      </c>
      <c r="E100" s="423" t="inlineStr">
        <is>
          <t>abs</t>
        </is>
      </c>
      <c r="F100" s="424">
        <f>ConPoints</f>
        <v/>
      </c>
      <c r="J100" s="424">
        <f>F100</f>
        <v/>
      </c>
      <c r="M100" s="333">
        <f>IF(TDC_Total=0,0,J100/TDC_Total)</f>
        <v/>
      </c>
    </row>
    <row r="101">
      <c r="B101" s="316" t="inlineStr">
        <is>
          <t>Other Loan / Closing Costs</t>
        </is>
      </c>
      <c r="C101" s="316" t="inlineStr">
        <is>
          <t>Memo</t>
        </is>
      </c>
      <c r="D101" s="310" t="inlineStr">
        <is>
          <t>Financing &amp; Reserves</t>
        </is>
      </c>
      <c r="E101" s="423" t="inlineStr">
        <is>
          <t>abs</t>
        </is>
      </c>
      <c r="F101" s="424">
        <f>ConOtherCosts</f>
        <v/>
      </c>
      <c r="J101" s="424">
        <f>F101</f>
        <v/>
      </c>
      <c r="M101" s="333">
        <f>IF(TDC_Total=0,0,J101/TDC_Total)</f>
        <v/>
      </c>
    </row>
    <row r="102">
      <c r="B102" s="316" t="inlineStr">
        <is>
          <t>Recourse / Indemnity Fee</t>
        </is>
      </c>
      <c r="C102" s="316" t="inlineStr">
        <is>
          <t>Memo</t>
        </is>
      </c>
      <c r="D102" s="310" t="inlineStr">
        <is>
          <t>Financing &amp; Reserves</t>
        </is>
      </c>
      <c r="E102" s="423" t="inlineStr">
        <is>
          <t>abs</t>
        </is>
      </c>
      <c r="F102" s="424">
        <f>RecourseFee</f>
        <v/>
      </c>
      <c r="J102" s="424">
        <f>F102</f>
        <v/>
      </c>
      <c r="M102" s="333">
        <f>IF(TDC_Total=0,0,J102/TDC_Total)</f>
        <v/>
      </c>
    </row>
    <row r="103">
      <c r="B103" s="316" t="inlineStr">
        <is>
          <t>Debt Service (Interest Reserve)</t>
        </is>
      </c>
      <c r="C103" s="316" t="inlineStr">
        <is>
          <t>Memo</t>
        </is>
      </c>
      <c r="D103" s="310" t="inlineStr">
        <is>
          <t>Financing &amp; Reserves</t>
        </is>
      </c>
      <c r="E103" s="423" t="inlineStr">
        <is>
          <t>abs</t>
        </is>
      </c>
      <c r="F103" s="424">
        <f>InterestReserveFunded</f>
        <v/>
      </c>
      <c r="J103" s="424">
        <f>F103</f>
        <v/>
      </c>
      <c r="M103" s="333">
        <f>IF(TDC_Total=0,0,J103/TDC_Total)</f>
        <v/>
      </c>
    </row>
    <row r="104">
      <c r="B104" s="316" t="inlineStr">
        <is>
          <t>Operating Reserve / Initial Operating Deficit</t>
        </is>
      </c>
      <c r="C104" s="316" t="inlineStr">
        <is>
          <t>Memo</t>
        </is>
      </c>
      <c r="D104" s="310" t="inlineStr">
        <is>
          <t>Financing &amp; Reserves</t>
        </is>
      </c>
      <c r="E104" s="423" t="inlineStr">
        <is>
          <t>abs</t>
        </is>
      </c>
      <c r="F104" s="424">
        <f>OpReserve</f>
        <v/>
      </c>
      <c r="J104" s="424">
        <f>F104</f>
        <v/>
      </c>
      <c r="M104" s="333">
        <f>IF(TDC_Total=0,0,J104/TDC_Total)</f>
        <v/>
      </c>
    </row>
    <row r="105">
      <c r="B105" s="316" t="inlineStr">
        <is>
          <t>Construction-Period Property Taxes</t>
        </is>
      </c>
      <c r="C105" s="316" t="inlineStr">
        <is>
          <t>Memo</t>
        </is>
      </c>
      <c r="D105" s="310" t="inlineStr">
        <is>
          <t>Financing &amp; Reserves</t>
        </is>
      </c>
      <c r="E105" s="423" t="inlineStr">
        <is>
          <t>abs</t>
        </is>
      </c>
      <c r="F105" s="424">
        <f>ConTaxTotal</f>
        <v/>
      </c>
      <c r="J105" s="424">
        <f>F105</f>
        <v/>
      </c>
      <c r="M105" s="333">
        <f>IF(TDC_Total=0,0,J105/TDC_Total)</f>
        <v/>
      </c>
    </row>
    <row r="106">
      <c r="B106" s="316" t="inlineStr">
        <is>
          <t>Sponsor Development Fee</t>
        </is>
      </c>
      <c r="C106" s="316" t="inlineStr">
        <is>
          <t>Memo</t>
        </is>
      </c>
      <c r="D106" s="310" t="inlineStr">
        <is>
          <t>Financing &amp; Reserves</t>
        </is>
      </c>
      <c r="E106" s="423" t="inlineStr">
        <is>
          <t>abs</t>
        </is>
      </c>
      <c r="F106" s="424">
        <f>DevFee</f>
        <v/>
      </c>
      <c r="J106" s="424">
        <f>F106</f>
        <v/>
      </c>
      <c r="M106" s="333">
        <f>IF(TDC_Total=0,0,J106/TDC_Total)</f>
        <v/>
      </c>
    </row>
    <row r="108">
      <c r="B108" s="384" t="inlineStr">
        <is>
          <t>Budget Summary</t>
        </is>
      </c>
      <c r="C108" s="155" t="n"/>
      <c r="D108" s="155" t="n"/>
      <c r="E108" s="155" t="n"/>
      <c r="F108" s="155" t="n"/>
      <c r="G108" s="155" t="n"/>
      <c r="H108" s="155" t="n"/>
      <c r="I108" s="155" t="n"/>
      <c r="J108" s="155" t="n"/>
      <c r="K108" s="155" t="n"/>
      <c r="L108" s="155" t="n"/>
      <c r="M108" s="155" t="n"/>
    </row>
    <row r="109">
      <c r="B109" s="316" t="inlineStr">
        <is>
          <t>Land</t>
        </is>
      </c>
      <c r="J109" s="402">
        <f>SUMIF($C$5:$C$97,"Land",$J$5:$J$97)</f>
        <v/>
      </c>
      <c r="M109" s="333">
        <f>IF(TDC_Total=0,0,J109/TDC_Total)</f>
        <v/>
      </c>
    </row>
    <row r="110">
      <c r="B110" s="316" t="inlineStr">
        <is>
          <t>Soft Costs</t>
        </is>
      </c>
      <c r="J110" s="402">
        <f>SUMIF($C$5:$C$97,"Soft",$J$5:$J$97)</f>
        <v/>
      </c>
      <c r="M110" s="333">
        <f>IF(TDC_Total=0,0,J110/TDC_Total)</f>
        <v/>
      </c>
    </row>
    <row r="111">
      <c r="B111" s="316" t="inlineStr">
        <is>
          <t>Hard Costs</t>
        </is>
      </c>
      <c r="J111" s="402">
        <f>SUMIF($C$5:$C$97,"Hard",$J$5:$J$97)</f>
        <v/>
      </c>
      <c r="M111" s="333">
        <f>IF(TDC_Total=0,0,J111/TDC_Total)</f>
        <v/>
      </c>
    </row>
    <row r="112">
      <c r="B112" s="330" t="inlineStr">
        <is>
          <t>Direct Costs (subtotal)</t>
        </is>
      </c>
      <c r="J112" s="403">
        <f>SUM($J$5:$J$97)</f>
        <v/>
      </c>
      <c r="M112" s="404">
        <f>IF(TDC_Total=0,0,J112/TDC_Total)</f>
        <v/>
      </c>
    </row>
    <row r="113">
      <c r="B113" s="316" t="inlineStr">
        <is>
          <t>Sponsor Development Fee</t>
        </is>
      </c>
      <c r="J113" s="402">
        <f>DevFeePctDirect*DirectCosts</f>
        <v/>
      </c>
      <c r="M113" s="333">
        <f>IF(TDC_Total=0,0,J113/TDC_Total)</f>
        <v/>
      </c>
    </row>
    <row r="114">
      <c r="B114" s="330" t="inlineStr">
        <is>
          <t>Total Development Cost (TDC)</t>
        </is>
      </c>
      <c r="J114" s="403">
        <f>TDC_Total</f>
        <v/>
      </c>
      <c r="M114" s="404">
        <f>IF(TDC_Total=0,0,J114/TDC_Total)</f>
        <v/>
      </c>
    </row>
    <row r="116">
      <c r="B116" s="384" t="inlineStr">
        <is>
          <t>Total Uses (Capitalization)</t>
        </is>
      </c>
      <c r="C116" s="155" t="n"/>
      <c r="D116" s="155" t="n"/>
      <c r="E116" s="155" t="n"/>
      <c r="F116" s="155" t="n"/>
      <c r="G116" s="155" t="n"/>
      <c r="H116" s="155" t="n"/>
      <c r="I116" s="155" t="n"/>
      <c r="J116" s="155" t="n"/>
      <c r="K116" s="155" t="n"/>
      <c r="L116" s="155" t="n"/>
      <c r="M116" s="155" t="n"/>
    </row>
    <row r="117">
      <c r="B117" s="316" t="inlineStr">
        <is>
          <t>Direct Costs</t>
        </is>
      </c>
      <c r="J117" s="402">
        <f>DirectCosts</f>
        <v/>
      </c>
      <c r="M117" s="333">
        <f>IF(TDC_Total=0,0,J117/TDC_Total)</f>
        <v/>
      </c>
    </row>
    <row r="118">
      <c r="B118" s="316" t="inlineStr">
        <is>
          <t>Development Fee</t>
        </is>
      </c>
      <c r="J118" s="402">
        <f>DevFee</f>
        <v/>
      </c>
      <c r="M118" s="333">
        <f>IF(TDC_Total=0,0,J118/TDC_Total)</f>
        <v/>
      </c>
    </row>
    <row r="119">
      <c r="B119" s="316" t="inlineStr">
        <is>
          <t>Origination Points</t>
        </is>
      </c>
      <c r="J119" s="402">
        <f>ConPoints</f>
        <v/>
      </c>
      <c r="M119" s="333">
        <f>IF(TDC_Total=0,0,J119/TDC_Total)</f>
        <v/>
      </c>
    </row>
    <row r="120">
      <c r="B120" s="316" t="inlineStr">
        <is>
          <t>Recourse / Indemnity Fee</t>
        </is>
      </c>
      <c r="J120" s="402">
        <f>RecourseFee</f>
        <v/>
      </c>
      <c r="M120" s="333">
        <f>IF(TDC_Total=0,0,J120/TDC_Total)</f>
        <v/>
      </c>
    </row>
    <row r="121">
      <c r="B121" s="316" t="inlineStr">
        <is>
          <t>Other Loan / Closing Costs</t>
        </is>
      </c>
      <c r="J121" s="402">
        <f>ConOtherCosts</f>
        <v/>
      </c>
      <c r="M121" s="333">
        <f>IF(TDC_Total=0,0,J121/TDC_Total)</f>
        <v/>
      </c>
    </row>
    <row r="122">
      <c r="B122" s="316" t="inlineStr">
        <is>
          <t>Interest Reserve</t>
        </is>
      </c>
      <c r="J122" s="402">
        <f>InterestReserveFunded</f>
        <v/>
      </c>
      <c r="M122" s="333">
        <f>IF(TDC_Total=0,0,J122/TDC_Total)</f>
        <v/>
      </c>
    </row>
    <row r="123">
      <c r="B123" s="316" t="inlineStr">
        <is>
          <t>Operating Reserve</t>
        </is>
      </c>
      <c r="J123" s="402">
        <f>OpReserve</f>
        <v/>
      </c>
      <c r="M123" s="333">
        <f>IF(TDC_Total=0,0,J123/TDC_Total)</f>
        <v/>
      </c>
    </row>
    <row r="124">
      <c r="B124" s="330" t="inlineStr">
        <is>
          <t>TOTAL USES (TDC)</t>
        </is>
      </c>
      <c r="J124" s="403">
        <f>TDC_Total</f>
        <v/>
      </c>
      <c r="M124" s="404">
        <f>IF(TDC_Total=0,0,J124/TDC_Total)</f>
        <v/>
      </c>
    </row>
    <row r="126">
      <c r="B126" s="384" t="inlineStr">
        <is>
          <t>Sources</t>
        </is>
      </c>
      <c r="C126" s="155" t="n"/>
      <c r="D126" s="155" t="n"/>
      <c r="E126" s="155" t="n"/>
      <c r="F126" s="155" t="n"/>
      <c r="G126" s="155" t="n"/>
      <c r="H126" s="155" t="n"/>
      <c r="I126" s="155" t="n"/>
      <c r="J126" s="155" t="n"/>
      <c r="K126" s="155" t="n"/>
      <c r="L126" s="155" t="n"/>
      <c r="M126" s="155" t="n"/>
    </row>
    <row r="127">
      <c r="B127" s="316" t="inlineStr">
        <is>
          <t>Construction Loan</t>
        </is>
      </c>
      <c r="J127" s="402">
        <f>ConLoanTotal</f>
        <v/>
      </c>
    </row>
    <row r="128">
      <c r="B128" s="316" t="inlineStr">
        <is>
          <t>Equity</t>
        </is>
      </c>
      <c r="J128" s="402">
        <f>EquityTotal</f>
        <v/>
      </c>
    </row>
    <row r="129">
      <c r="B129" s="330" t="inlineStr">
        <is>
          <t>TOTAL SOURCES</t>
        </is>
      </c>
      <c r="J129" s="403">
        <f>ConLoanTotal+EquityTotal</f>
        <v/>
      </c>
    </row>
    <row r="130">
      <c r="B130" s="330" t="inlineStr">
        <is>
          <t>Sources − Uses (check = 0)</t>
        </is>
      </c>
      <c r="J130" s="403">
        <f>ConLoanTotal+EquityTotal-TDC_Total</f>
        <v/>
      </c>
    </row>
  </sheetData>
  <dataValidations count="3">
    <dataValidation sqref="E5:E97" showDropDown="0" showInputMessage="0" showErrorMessage="1" allowBlank="1" type="list">
      <formula1>"abs, sf, unit"</formula1>
    </dataValidation>
    <dataValidation sqref="H5:H97" showDropDown="0" showInputMessage="0" showErrorMessage="1" allowBlank="1" type="list">
      <formula1>"Single_Point, Straight_Line, Bell_Curve"</formula1>
    </dataValidation>
    <dataValidation sqref="G5:G97" showDropDown="0" showInputMessage="0" showErrorMessage="1" allowBlank="1" type="list">
      <formula1>"Due Diligence, Entitlement, Pre-Construction, Construction, Lease-Up, Stabilization"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1" summaryRight="1"/>
    <pageSetUpPr/>
  </sheetPr>
  <dimension ref="A1:NL48"/>
  <sheetViews>
    <sheetView showGridLines="0"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3.7109375" customWidth="1" style="97" min="1" max="1"/>
    <col width="30" customWidth="1" style="97" min="2" max="2"/>
    <col width="12" customWidth="1" style="97" min="3" max="5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Timeline Engine — Milestones &amp; Monthly Period Grid</t>
        </is>
      </c>
    </row>
    <row r="3">
      <c r="B3" s="71" t="inlineStr">
        <is>
          <t>Milestone</t>
        </is>
      </c>
      <c r="C3" s="118" t="inlineStr">
        <is>
          <t>Start (mo)</t>
        </is>
      </c>
      <c r="D3" s="118" t="inlineStr">
        <is>
          <t>Duration (mo)</t>
        </is>
      </c>
      <c r="E3" s="119" t="inlineStr">
        <is>
          <t>End (mo)</t>
        </is>
      </c>
    </row>
    <row r="4">
      <c r="A4" s="339" t="n"/>
      <c r="B4" s="351" t="inlineStr">
        <is>
          <t>Due Diligence</t>
        </is>
      </c>
      <c r="C4" s="456" t="n">
        <v>1</v>
      </c>
      <c r="D4" s="457" t="n">
        <v>4</v>
      </c>
      <c r="E4" s="456">
        <f>SUM(C4:D4)-1</f>
        <v/>
      </c>
    </row>
    <row r="5">
      <c r="A5" s="339" t="n"/>
      <c r="B5" s="351" t="inlineStr">
        <is>
          <t>Entitlement</t>
        </is>
      </c>
      <c r="C5" s="456">
        <f>+MS_Due_Diligence_End</f>
        <v/>
      </c>
      <c r="D5" s="457" t="n">
        <v>5</v>
      </c>
      <c r="E5" s="456">
        <f>SUM(C5:D5)-1</f>
        <v/>
      </c>
    </row>
    <row r="6">
      <c r="A6" s="339" t="n"/>
      <c r="B6" s="351" t="inlineStr">
        <is>
          <t>Pre-Construction</t>
        </is>
      </c>
      <c r="C6" s="456">
        <f>+MS_Entitlement_End</f>
        <v/>
      </c>
      <c r="D6" s="457" t="n">
        <v>3</v>
      </c>
      <c r="E6" s="456">
        <f>SUM(C6:D6)-1</f>
        <v/>
      </c>
    </row>
    <row r="7">
      <c r="A7" s="339" t="n"/>
      <c r="B7" s="351" t="inlineStr">
        <is>
          <t>Construction</t>
        </is>
      </c>
      <c r="C7" s="456">
        <f>+MS_Pre_Construction_End</f>
        <v/>
      </c>
      <c r="D7" s="457" t="n">
        <v>22</v>
      </c>
      <c r="E7" s="456">
        <f>SUM(C7:D7)-1</f>
        <v/>
      </c>
    </row>
    <row r="8">
      <c r="A8" s="339" t="n"/>
      <c r="B8" s="351" t="inlineStr">
        <is>
          <t>1st Unit Delivery</t>
        </is>
      </c>
      <c r="C8" s="456">
        <f>+MS_Construction_Start+DeliveryLagMonths</f>
        <v/>
      </c>
      <c r="D8" s="458" t="n">
        <v>1</v>
      </c>
      <c r="E8" s="456">
        <f>SUM(C8:D8)-1</f>
        <v/>
      </c>
    </row>
    <row r="9">
      <c r="A9" s="339" t="n"/>
      <c r="B9" s="351" t="inlineStr">
        <is>
          <t>Lease-Up</t>
        </is>
      </c>
      <c r="C9" s="456">
        <f>+MS_1st_Unit_Delivery_Start</f>
        <v/>
      </c>
      <c r="D9" s="459">
        <f>MAX(CEILING(StabLeasedTarget/UnitsLeasedPerMo,1),CEILING(StabLeasedTarget/UnitsDeliveredPerMo,1))</f>
        <v/>
      </c>
      <c r="E9" s="456">
        <f>SUM(C9:D9)-1</f>
        <v/>
      </c>
    </row>
    <row r="10">
      <c r="A10" s="339" t="n"/>
      <c r="B10" s="351" t="inlineStr">
        <is>
          <t>Stabilization</t>
        </is>
      </c>
      <c r="C10" s="456">
        <f>+MS_Lease_Up_End</f>
        <v/>
      </c>
      <c r="D10" s="458" t="n">
        <v>1</v>
      </c>
      <c r="E10" s="456">
        <f>SUM(C10:D10)-1</f>
        <v/>
      </c>
    </row>
    <row r="11">
      <c r="A11" s="460" t="inlineStr">
        <is>
          <t>Exit</t>
        </is>
      </c>
      <c r="B11" s="351" t="inlineStr">
        <is>
          <t>Recapitalization/Refinance</t>
        </is>
      </c>
      <c r="C11" s="456">
        <f>IF(RefiFlag=1,RefiMonth,MS_Stabilization_End)</f>
        <v/>
      </c>
      <c r="D11" s="458" t="n">
        <v>1</v>
      </c>
      <c r="E11" s="456">
        <f>SUM(C11:D11)-1</f>
        <v/>
      </c>
    </row>
    <row r="12">
      <c r="A12" s="339" t="n"/>
      <c r="B12" s="351" t="inlineStr">
        <is>
          <t>Disposition</t>
        </is>
      </c>
      <c r="C12" s="456">
        <f>HoldPeriodMonths</f>
        <v/>
      </c>
      <c r="D12" s="458" t="n">
        <v>1</v>
      </c>
      <c r="E12" s="456">
        <f>SUM(C12:D12)-1</f>
        <v/>
      </c>
    </row>
    <row r="13">
      <c r="A13" s="339" t="n"/>
      <c r="B13" s="345" t="n"/>
      <c r="C13" s="461" t="n"/>
      <c r="D13" s="462" t="n"/>
      <c r="E13" s="463" t="n"/>
    </row>
    <row r="14">
      <c r="A14" s="339" t="n"/>
      <c r="B14" s="345" t="n"/>
      <c r="C14" s="464" t="n"/>
      <c r="D14" s="462" t="n"/>
      <c r="E14" s="463" t="n"/>
    </row>
    <row r="16">
      <c r="B16" s="71" t="inlineStr">
        <is>
          <t>Key Timing (derived)</t>
        </is>
      </c>
      <c r="C16" s="80" t="n"/>
    </row>
    <row r="17">
      <c r="B17" s="36" t="inlineStr">
        <is>
          <t>Construction Start</t>
        </is>
      </c>
      <c r="C17" s="244">
        <f>MS_Construction_Start</f>
        <v/>
      </c>
    </row>
    <row r="18">
      <c r="B18" s="36" t="inlineStr">
        <is>
          <t>Construction Maturity</t>
        </is>
      </c>
      <c r="C18" s="244">
        <f>ConStart+ConLoanTermMonths-1</f>
        <v/>
      </c>
    </row>
    <row r="19">
      <c r="B19" s="36" t="inlineStr">
        <is>
          <t>1st Unit Delivery</t>
        </is>
      </c>
      <c r="C19" s="244">
        <f>MS_1st_Unit_Delivery_Start</f>
        <v/>
      </c>
    </row>
    <row r="20">
      <c r="B20" s="36" t="inlineStr">
        <is>
          <t>Stabilization Month</t>
        </is>
      </c>
      <c r="C20" s="244">
        <f>MS_Stabilization_Start</f>
        <v/>
      </c>
    </row>
    <row r="21">
      <c r="B21" s="36" t="inlineStr">
        <is>
          <t>Disposition Month</t>
        </is>
      </c>
      <c r="C21" s="244">
        <f>HoldPeriodMonths</f>
        <v/>
      </c>
    </row>
    <row r="22">
      <c r="B22" s="36" t="inlineStr">
        <is>
          <t>Growth Start Month</t>
        </is>
      </c>
      <c r="C22" s="244">
        <f>(YEAR(GrowthStartDate)-YEAR(InceptionDate))*12+MONTH(GrowthStartDate)-MONTH(InceptionDate)</f>
        <v/>
      </c>
    </row>
    <row r="23">
      <c r="B23" s="36" t="inlineStr">
        <is>
          <t>Refi Flag (1=refi,0=sell)</t>
        </is>
      </c>
      <c r="C23" s="56">
        <f>IF(DispoMonth&gt;ConMaturity,1,0)</f>
        <v/>
      </c>
    </row>
    <row r="24">
      <c r="B24" s="36" t="inlineStr">
        <is>
          <t>Refi Month</t>
        </is>
      </c>
      <c r="C24" s="244">
        <f>IF(RefiFlag=1,MIN(ConMaturity,IF(RefiMonthOverride&gt;0,RefiMonthOverride,MAX(StabMonth,ConEndMonth)+RefiLagMonths)),0)</f>
        <v/>
      </c>
    </row>
    <row r="25">
      <c r="B25" s="40" t="inlineStr">
        <is>
          <t>Con Payoff Month</t>
        </is>
      </c>
      <c r="C25" s="245">
        <f>IF(RefiFlag=1,RefiMonth,DispoMonth)</f>
        <v/>
      </c>
    </row>
    <row r="27">
      <c r="B27" s="34" t="inlineStr">
        <is>
          <t>Monthly Period Grid</t>
        </is>
      </c>
      <c r="C27" s="60" t="n"/>
      <c r="D27" s="35" t="n"/>
    </row>
    <row r="28">
      <c r="B28" s="122" t="inlineStr">
        <is>
          <t>Period →</t>
        </is>
      </c>
      <c r="D28" s="75" t="inlineStr">
        <is>
          <t>Total</t>
        </is>
      </c>
      <c r="E28" s="27" t="n">
        <v>1</v>
      </c>
      <c r="F28" s="27" t="n">
        <v>2</v>
      </c>
      <c r="G28" s="27" t="n">
        <v>3</v>
      </c>
      <c r="H28" s="27" t="n">
        <v>4</v>
      </c>
      <c r="I28" s="27" t="n">
        <v>5</v>
      </c>
      <c r="J28" s="27" t="n">
        <v>6</v>
      </c>
      <c r="K28" s="27" t="n">
        <v>7</v>
      </c>
      <c r="L28" s="27" t="n">
        <v>8</v>
      </c>
      <c r="M28" s="27" t="n">
        <v>9</v>
      </c>
      <c r="N28" s="27" t="n">
        <v>10</v>
      </c>
      <c r="O28" s="27" t="n">
        <v>11</v>
      </c>
      <c r="P28" s="27" t="n">
        <v>12</v>
      </c>
      <c r="Q28" s="27" t="n">
        <v>13</v>
      </c>
      <c r="R28" s="27" t="n">
        <v>14</v>
      </c>
      <c r="S28" s="27" t="n">
        <v>15</v>
      </c>
      <c r="T28" s="27" t="n">
        <v>16</v>
      </c>
      <c r="U28" s="27" t="n">
        <v>17</v>
      </c>
      <c r="V28" s="27" t="n">
        <v>18</v>
      </c>
      <c r="W28" s="27" t="n">
        <v>19</v>
      </c>
      <c r="X28" s="27" t="n">
        <v>20</v>
      </c>
      <c r="Y28" s="27" t="n">
        <v>21</v>
      </c>
      <c r="Z28" s="27" t="n">
        <v>22</v>
      </c>
      <c r="AA28" s="27" t="n">
        <v>23</v>
      </c>
      <c r="AB28" s="27" t="n">
        <v>24</v>
      </c>
      <c r="AC28" s="27" t="n">
        <v>25</v>
      </c>
      <c r="AD28" s="27" t="n">
        <v>26</v>
      </c>
      <c r="AE28" s="27" t="n">
        <v>27</v>
      </c>
      <c r="AF28" s="27" t="n">
        <v>28</v>
      </c>
      <c r="AG28" s="27" t="n">
        <v>29</v>
      </c>
      <c r="AH28" s="27" t="n">
        <v>30</v>
      </c>
      <c r="AI28" s="27" t="n">
        <v>31</v>
      </c>
      <c r="AJ28" s="27" t="n">
        <v>32</v>
      </c>
      <c r="AK28" s="27" t="n">
        <v>33</v>
      </c>
      <c r="AL28" s="27" t="n">
        <v>34</v>
      </c>
      <c r="AM28" s="27" t="n">
        <v>35</v>
      </c>
      <c r="AN28" s="27" t="n">
        <v>36</v>
      </c>
      <c r="AO28" s="27" t="n">
        <v>37</v>
      </c>
      <c r="AP28" s="27" t="n">
        <v>38</v>
      </c>
      <c r="AQ28" s="27" t="n">
        <v>39</v>
      </c>
      <c r="AR28" s="27" t="n">
        <v>40</v>
      </c>
      <c r="AS28" s="27" t="n">
        <v>41</v>
      </c>
      <c r="AT28" s="27" t="n">
        <v>42</v>
      </c>
      <c r="AU28" s="27" t="n">
        <v>43</v>
      </c>
      <c r="AV28" s="27" t="n">
        <v>44</v>
      </c>
      <c r="AW28" s="27" t="n">
        <v>45</v>
      </c>
      <c r="AX28" s="27" t="n">
        <v>46</v>
      </c>
      <c r="AY28" s="27" t="n">
        <v>47</v>
      </c>
      <c r="AZ28" s="27" t="n">
        <v>48</v>
      </c>
      <c r="BA28" s="27" t="n">
        <v>49</v>
      </c>
      <c r="BB28" s="27" t="n">
        <v>50</v>
      </c>
      <c r="BC28" s="27" t="n">
        <v>51</v>
      </c>
      <c r="BD28" s="27" t="n">
        <v>52</v>
      </c>
      <c r="BE28" s="27" t="n">
        <v>53</v>
      </c>
      <c r="BF28" s="27" t="n">
        <v>54</v>
      </c>
      <c r="BG28" s="27" t="n">
        <v>55</v>
      </c>
      <c r="BH28" s="27" t="n">
        <v>56</v>
      </c>
      <c r="BI28" s="27" t="n">
        <v>57</v>
      </c>
      <c r="BJ28" s="27" t="n">
        <v>58</v>
      </c>
      <c r="BK28" s="27" t="n">
        <v>59</v>
      </c>
      <c r="BL28" s="27" t="n">
        <v>60</v>
      </c>
      <c r="BM28" s="27" t="n">
        <v>61</v>
      </c>
      <c r="BN28" s="27" t="n">
        <v>62</v>
      </c>
      <c r="BO28" s="27" t="n">
        <v>63</v>
      </c>
      <c r="BP28" s="27" t="n">
        <v>64</v>
      </c>
      <c r="BQ28" s="27" t="n">
        <v>65</v>
      </c>
      <c r="BR28" s="27" t="n">
        <v>66</v>
      </c>
      <c r="BS28" s="27" t="n">
        <v>67</v>
      </c>
      <c r="BT28" s="27" t="n">
        <v>68</v>
      </c>
      <c r="BU28" s="27" t="n">
        <v>69</v>
      </c>
      <c r="BV28" s="27" t="n">
        <v>70</v>
      </c>
      <c r="BW28" s="27" t="n">
        <v>71</v>
      </c>
      <c r="BX28" s="27" t="n">
        <v>72</v>
      </c>
      <c r="BY28" s="27" t="n">
        <v>73</v>
      </c>
      <c r="BZ28" s="27" t="n">
        <v>74</v>
      </c>
      <c r="CA28" s="27" t="n">
        <v>75</v>
      </c>
      <c r="CB28" s="27" t="n">
        <v>76</v>
      </c>
      <c r="CC28" s="27" t="n">
        <v>77</v>
      </c>
      <c r="CD28" s="27" t="n">
        <v>78</v>
      </c>
      <c r="CE28" s="27" t="n">
        <v>79</v>
      </c>
      <c r="CF28" s="27" t="n">
        <v>80</v>
      </c>
      <c r="CG28" s="27" t="n">
        <v>81</v>
      </c>
      <c r="CH28" s="27" t="n">
        <v>82</v>
      </c>
      <c r="CI28" s="27" t="n">
        <v>83</v>
      </c>
      <c r="CJ28" s="27" t="n">
        <v>84</v>
      </c>
      <c r="CK28" s="27" t="n">
        <v>85</v>
      </c>
      <c r="CL28" s="27" t="n">
        <v>86</v>
      </c>
      <c r="CM28" s="27" t="n">
        <v>87</v>
      </c>
      <c r="CN28" s="27" t="n">
        <v>88</v>
      </c>
      <c r="CO28" s="27" t="n">
        <v>89</v>
      </c>
      <c r="CP28" s="27" t="n">
        <v>90</v>
      </c>
      <c r="CQ28" s="27" t="n">
        <v>91</v>
      </c>
      <c r="CR28" s="27" t="n">
        <v>92</v>
      </c>
      <c r="CS28" s="27" t="n">
        <v>93</v>
      </c>
      <c r="CT28" s="27" t="n">
        <v>94</v>
      </c>
      <c r="CU28" s="27" t="n">
        <v>95</v>
      </c>
      <c r="CV28" s="27" t="n">
        <v>96</v>
      </c>
      <c r="CW28" s="27" t="n">
        <v>97</v>
      </c>
      <c r="CX28" s="27" t="n">
        <v>98</v>
      </c>
      <c r="CY28" s="27" t="n">
        <v>99</v>
      </c>
      <c r="CZ28" s="27" t="n">
        <v>100</v>
      </c>
      <c r="DA28" s="27" t="n">
        <v>101</v>
      </c>
      <c r="DB28" s="27" t="n">
        <v>102</v>
      </c>
      <c r="DC28" s="27" t="n">
        <v>103</v>
      </c>
      <c r="DD28" s="27" t="n">
        <v>104</v>
      </c>
      <c r="DE28" s="27" t="n">
        <v>105</v>
      </c>
      <c r="DF28" s="27" t="n">
        <v>106</v>
      </c>
      <c r="DG28" s="27" t="n">
        <v>107</v>
      </c>
      <c r="DH28" s="27" t="n">
        <v>108</v>
      </c>
      <c r="DI28" s="27" t="n">
        <v>109</v>
      </c>
      <c r="DJ28" s="27" t="n">
        <v>110</v>
      </c>
      <c r="DK28" s="27" t="n">
        <v>111</v>
      </c>
      <c r="DL28" s="27" t="n">
        <v>112</v>
      </c>
      <c r="DM28" s="27" t="n">
        <v>113</v>
      </c>
      <c r="DN28" s="27" t="n">
        <v>114</v>
      </c>
      <c r="DO28" s="27" t="n">
        <v>115</v>
      </c>
      <c r="DP28" s="27" t="n">
        <v>116</v>
      </c>
      <c r="DQ28" s="27" t="n">
        <v>117</v>
      </c>
      <c r="DR28" s="27" t="n">
        <v>118</v>
      </c>
      <c r="DS28" s="27" t="n">
        <v>119</v>
      </c>
      <c r="DT28" s="27" t="n">
        <v>120</v>
      </c>
      <c r="DU28" s="27" t="n">
        <v>121</v>
      </c>
      <c r="DV28" s="27" t="n">
        <v>122</v>
      </c>
      <c r="DW28" s="27" t="n">
        <v>123</v>
      </c>
      <c r="DX28" s="27" t="n">
        <v>124</v>
      </c>
      <c r="DY28" s="27" t="n">
        <v>125</v>
      </c>
      <c r="DZ28" s="27" t="n">
        <v>126</v>
      </c>
      <c r="EA28" s="27" t="n">
        <v>127</v>
      </c>
      <c r="EB28" s="27" t="n">
        <v>128</v>
      </c>
      <c r="EC28" s="27" t="n">
        <v>129</v>
      </c>
      <c r="ED28" s="27" t="n">
        <v>130</v>
      </c>
      <c r="EE28" s="27" t="n">
        <v>131</v>
      </c>
      <c r="EF28" s="27" t="n">
        <v>132</v>
      </c>
      <c r="EG28" s="27" t="n">
        <v>133</v>
      </c>
      <c r="EH28" s="27" t="n">
        <v>134</v>
      </c>
      <c r="EI28" s="27" t="n">
        <v>135</v>
      </c>
      <c r="EJ28" s="27" t="n">
        <v>136</v>
      </c>
      <c r="EK28" s="27" t="n">
        <v>137</v>
      </c>
      <c r="EL28" s="27" t="n">
        <v>138</v>
      </c>
      <c r="EM28" s="27" t="n">
        <v>139</v>
      </c>
      <c r="EN28" s="27" t="n">
        <v>140</v>
      </c>
      <c r="EO28" s="27" t="n">
        <v>141</v>
      </c>
      <c r="EP28" s="27" t="n">
        <v>142</v>
      </c>
      <c r="EQ28" s="27" t="n">
        <v>143</v>
      </c>
      <c r="ER28" s="27" t="n">
        <v>144</v>
      </c>
      <c r="ES28" s="27" t="n">
        <v>145</v>
      </c>
      <c r="ET28" s="27" t="n">
        <v>146</v>
      </c>
      <c r="EU28" s="27" t="n">
        <v>147</v>
      </c>
      <c r="EV28" s="27" t="n">
        <v>148</v>
      </c>
      <c r="EW28" s="27" t="n">
        <v>149</v>
      </c>
      <c r="EX28" s="27" t="n">
        <v>150</v>
      </c>
      <c r="EY28" s="27" t="n">
        <v>151</v>
      </c>
      <c r="EZ28" s="27" t="n">
        <v>152</v>
      </c>
      <c r="FA28" s="27" t="n">
        <v>153</v>
      </c>
      <c r="FB28" s="27" t="n">
        <v>154</v>
      </c>
      <c r="FC28" s="27" t="n">
        <v>155</v>
      </c>
      <c r="FD28" s="27" t="n">
        <v>156</v>
      </c>
      <c r="FE28" s="27" t="n">
        <v>157</v>
      </c>
      <c r="FF28" s="27" t="n">
        <v>158</v>
      </c>
      <c r="FG28" s="27" t="n">
        <v>159</v>
      </c>
      <c r="FH28" s="27" t="n">
        <v>160</v>
      </c>
      <c r="FI28" s="27" t="n">
        <v>161</v>
      </c>
      <c r="FJ28" s="27" t="n">
        <v>162</v>
      </c>
      <c r="FK28" s="27" t="n">
        <v>163</v>
      </c>
      <c r="FL28" s="27" t="n">
        <v>164</v>
      </c>
      <c r="FM28" s="27" t="n">
        <v>165</v>
      </c>
      <c r="FN28" s="27" t="n">
        <v>166</v>
      </c>
      <c r="FO28" s="27" t="n">
        <v>167</v>
      </c>
      <c r="FP28" s="27" t="n">
        <v>168</v>
      </c>
      <c r="FQ28" s="27" t="n">
        <v>169</v>
      </c>
      <c r="FR28" s="27" t="n">
        <v>170</v>
      </c>
      <c r="FS28" s="27" t="n">
        <v>171</v>
      </c>
      <c r="FT28" s="27" t="n">
        <v>172</v>
      </c>
      <c r="FU28" s="27" t="n">
        <v>173</v>
      </c>
      <c r="FV28" s="27" t="n">
        <v>174</v>
      </c>
      <c r="FW28" s="27" t="n">
        <v>175</v>
      </c>
      <c r="FX28" s="27" t="n">
        <v>176</v>
      </c>
      <c r="FY28" s="27" t="n">
        <v>177</v>
      </c>
      <c r="FZ28" s="27" t="n">
        <v>178</v>
      </c>
      <c r="GA28" s="27" t="n">
        <v>179</v>
      </c>
      <c r="GB28" s="27" t="n">
        <v>180</v>
      </c>
      <c r="GC28" s="27" t="n">
        <v>181</v>
      </c>
      <c r="GD28" s="27" t="n">
        <v>182</v>
      </c>
      <c r="GE28" s="27" t="n">
        <v>183</v>
      </c>
      <c r="GF28" s="27" t="n">
        <v>184</v>
      </c>
      <c r="GG28" s="27" t="n">
        <v>185</v>
      </c>
      <c r="GH28" s="27" t="n">
        <v>186</v>
      </c>
      <c r="GI28" s="27" t="n">
        <v>187</v>
      </c>
      <c r="GJ28" s="27" t="n">
        <v>188</v>
      </c>
      <c r="GK28" s="27" t="n">
        <v>189</v>
      </c>
      <c r="GL28" s="27" t="n">
        <v>190</v>
      </c>
      <c r="GM28" s="27" t="n">
        <v>191</v>
      </c>
      <c r="GN28" s="27" t="n">
        <v>192</v>
      </c>
      <c r="GO28" s="27" t="n">
        <v>193</v>
      </c>
      <c r="GP28" s="27" t="n">
        <v>194</v>
      </c>
      <c r="GQ28" s="27" t="n">
        <v>195</v>
      </c>
      <c r="GR28" s="27" t="n">
        <v>196</v>
      </c>
      <c r="GS28" s="27" t="n">
        <v>197</v>
      </c>
      <c r="GT28" s="27" t="n">
        <v>198</v>
      </c>
      <c r="GU28" s="27" t="n">
        <v>199</v>
      </c>
      <c r="GV28" s="27" t="n">
        <v>200</v>
      </c>
      <c r="GW28" s="27" t="n">
        <v>201</v>
      </c>
      <c r="GX28" s="27" t="n">
        <v>202</v>
      </c>
      <c r="GY28" s="27" t="n">
        <v>203</v>
      </c>
      <c r="GZ28" s="27" t="n">
        <v>204</v>
      </c>
      <c r="HA28" s="27" t="n">
        <v>205</v>
      </c>
      <c r="HB28" s="27" t="n">
        <v>206</v>
      </c>
      <c r="HC28" s="27" t="n">
        <v>207</v>
      </c>
      <c r="HD28" s="27" t="n">
        <v>208</v>
      </c>
      <c r="HE28" s="27" t="n">
        <v>209</v>
      </c>
      <c r="HF28" s="27" t="n">
        <v>210</v>
      </c>
      <c r="HG28" s="27" t="n">
        <v>211</v>
      </c>
      <c r="HH28" s="27" t="n">
        <v>212</v>
      </c>
      <c r="HI28" s="27" t="n">
        <v>213</v>
      </c>
      <c r="HJ28" s="27" t="n">
        <v>214</v>
      </c>
      <c r="HK28" s="27" t="n">
        <v>215</v>
      </c>
      <c r="HL28" s="27" t="n">
        <v>216</v>
      </c>
      <c r="HM28" s="27" t="n">
        <v>217</v>
      </c>
      <c r="HN28" s="27" t="n">
        <v>218</v>
      </c>
      <c r="HO28" s="27" t="n">
        <v>219</v>
      </c>
      <c r="HP28" s="27" t="n">
        <v>220</v>
      </c>
      <c r="HQ28" s="27" t="n">
        <v>221</v>
      </c>
      <c r="HR28" s="27" t="n">
        <v>222</v>
      </c>
      <c r="HS28" s="27" t="n">
        <v>223</v>
      </c>
      <c r="HT28" s="27" t="n">
        <v>224</v>
      </c>
      <c r="HU28" s="27" t="n">
        <v>225</v>
      </c>
      <c r="HV28" s="27" t="n">
        <v>226</v>
      </c>
      <c r="HW28" s="27" t="n">
        <v>227</v>
      </c>
      <c r="HX28" s="27" t="n">
        <v>228</v>
      </c>
      <c r="HY28" s="27" t="n">
        <v>229</v>
      </c>
      <c r="HZ28" s="27" t="n">
        <v>230</v>
      </c>
      <c r="IA28" s="27" t="n">
        <v>231</v>
      </c>
      <c r="IB28" s="27" t="n">
        <v>232</v>
      </c>
      <c r="IC28" s="27" t="n">
        <v>233</v>
      </c>
      <c r="ID28" s="27" t="n">
        <v>234</v>
      </c>
      <c r="IE28" s="27" t="n">
        <v>235</v>
      </c>
      <c r="IF28" s="27" t="n">
        <v>236</v>
      </c>
      <c r="IG28" s="27" t="n">
        <v>237</v>
      </c>
      <c r="IH28" s="27" t="n">
        <v>238</v>
      </c>
      <c r="II28" s="27" t="n">
        <v>239</v>
      </c>
      <c r="IJ28" s="27" t="n">
        <v>240</v>
      </c>
      <c r="IK28" s="27" t="n">
        <v>241</v>
      </c>
      <c r="IL28" s="27" t="n">
        <v>242</v>
      </c>
      <c r="IM28" s="27" t="n">
        <v>243</v>
      </c>
      <c r="IN28" s="27" t="n">
        <v>244</v>
      </c>
      <c r="IO28" s="27" t="n">
        <v>245</v>
      </c>
      <c r="IP28" s="27" t="n">
        <v>246</v>
      </c>
      <c r="IQ28" s="27" t="n">
        <v>247</v>
      </c>
      <c r="IR28" s="27" t="n">
        <v>248</v>
      </c>
      <c r="IS28" s="27" t="n">
        <v>249</v>
      </c>
      <c r="IT28" s="27" t="n">
        <v>250</v>
      </c>
      <c r="IU28" s="27" t="n">
        <v>251</v>
      </c>
      <c r="IV28" s="27" t="n">
        <v>252</v>
      </c>
      <c r="IW28" s="27" t="n">
        <v>253</v>
      </c>
      <c r="IX28" s="27" t="n">
        <v>254</v>
      </c>
      <c r="IY28" s="27" t="n">
        <v>255</v>
      </c>
      <c r="IZ28" s="27" t="n">
        <v>256</v>
      </c>
      <c r="JA28" s="27" t="n">
        <v>257</v>
      </c>
      <c r="JB28" s="27" t="n">
        <v>258</v>
      </c>
      <c r="JC28" s="27" t="n">
        <v>259</v>
      </c>
      <c r="JD28" s="27" t="n">
        <v>260</v>
      </c>
      <c r="JE28" s="27" t="n">
        <v>261</v>
      </c>
      <c r="JF28" s="27" t="n">
        <v>262</v>
      </c>
      <c r="JG28" s="27" t="n">
        <v>263</v>
      </c>
      <c r="JH28" s="27" t="n">
        <v>264</v>
      </c>
      <c r="JI28" s="27" t="n">
        <v>265</v>
      </c>
      <c r="JJ28" s="27" t="n">
        <v>266</v>
      </c>
      <c r="JK28" s="27" t="n">
        <v>267</v>
      </c>
      <c r="JL28" s="27" t="n">
        <v>268</v>
      </c>
      <c r="JM28" s="27" t="n">
        <v>269</v>
      </c>
      <c r="JN28" s="27" t="n">
        <v>270</v>
      </c>
      <c r="JO28" s="27" t="n">
        <v>271</v>
      </c>
      <c r="JP28" s="27" t="n">
        <v>272</v>
      </c>
      <c r="JQ28" s="27" t="n">
        <v>273</v>
      </c>
      <c r="JR28" s="27" t="n">
        <v>274</v>
      </c>
      <c r="JS28" s="27" t="n">
        <v>275</v>
      </c>
      <c r="JT28" s="27" t="n">
        <v>276</v>
      </c>
      <c r="JU28" s="27" t="n">
        <v>277</v>
      </c>
      <c r="JV28" s="27" t="n">
        <v>278</v>
      </c>
      <c r="JW28" s="27" t="n">
        <v>279</v>
      </c>
      <c r="JX28" s="27" t="n">
        <v>280</v>
      </c>
      <c r="JY28" s="27" t="n">
        <v>281</v>
      </c>
      <c r="JZ28" s="27" t="n">
        <v>282</v>
      </c>
      <c r="KA28" s="27" t="n">
        <v>283</v>
      </c>
      <c r="KB28" s="27" t="n">
        <v>284</v>
      </c>
      <c r="KC28" s="27" t="n">
        <v>285</v>
      </c>
      <c r="KD28" s="27" t="n">
        <v>286</v>
      </c>
      <c r="KE28" s="27" t="n">
        <v>287</v>
      </c>
      <c r="KF28" s="27" t="n">
        <v>288</v>
      </c>
      <c r="KG28" s="27" t="n">
        <v>289</v>
      </c>
      <c r="KH28" s="27" t="n">
        <v>290</v>
      </c>
      <c r="KI28" s="27" t="n">
        <v>291</v>
      </c>
      <c r="KJ28" s="27" t="n">
        <v>292</v>
      </c>
      <c r="KK28" s="27" t="n">
        <v>293</v>
      </c>
      <c r="KL28" s="27" t="n">
        <v>294</v>
      </c>
      <c r="KM28" s="27" t="n">
        <v>295</v>
      </c>
      <c r="KN28" s="27" t="n">
        <v>296</v>
      </c>
      <c r="KO28" s="27" t="n">
        <v>297</v>
      </c>
      <c r="KP28" s="27" t="n">
        <v>298</v>
      </c>
      <c r="KQ28" s="27" t="n">
        <v>299</v>
      </c>
      <c r="KR28" s="27" t="n">
        <v>300</v>
      </c>
      <c r="KS28" s="27" t="n">
        <v>301</v>
      </c>
      <c r="KT28" s="27" t="n">
        <v>302</v>
      </c>
      <c r="KU28" s="27" t="n">
        <v>303</v>
      </c>
      <c r="KV28" s="27" t="n">
        <v>304</v>
      </c>
      <c r="KW28" s="27" t="n">
        <v>305</v>
      </c>
      <c r="KX28" s="27" t="n">
        <v>306</v>
      </c>
      <c r="KY28" s="27" t="n">
        <v>307</v>
      </c>
      <c r="KZ28" s="27" t="n">
        <v>308</v>
      </c>
      <c r="LA28" s="27" t="n">
        <v>309</v>
      </c>
      <c r="LB28" s="27" t="n">
        <v>310</v>
      </c>
      <c r="LC28" s="27" t="n">
        <v>311</v>
      </c>
      <c r="LD28" s="27" t="n">
        <v>312</v>
      </c>
      <c r="LE28" s="27" t="n">
        <v>313</v>
      </c>
      <c r="LF28" s="27" t="n">
        <v>314</v>
      </c>
      <c r="LG28" s="27" t="n">
        <v>315</v>
      </c>
      <c r="LH28" s="27" t="n">
        <v>316</v>
      </c>
      <c r="LI28" s="27" t="n">
        <v>317</v>
      </c>
      <c r="LJ28" s="27" t="n">
        <v>318</v>
      </c>
      <c r="LK28" s="27" t="n">
        <v>319</v>
      </c>
      <c r="LL28" s="27" t="n">
        <v>320</v>
      </c>
      <c r="LM28" s="27" t="n">
        <v>321</v>
      </c>
      <c r="LN28" s="27" t="n">
        <v>322</v>
      </c>
      <c r="LO28" s="27" t="n">
        <v>323</v>
      </c>
      <c r="LP28" s="27" t="n">
        <v>324</v>
      </c>
      <c r="LQ28" s="27" t="n">
        <v>325</v>
      </c>
      <c r="LR28" s="27" t="n">
        <v>326</v>
      </c>
      <c r="LS28" s="27" t="n">
        <v>327</v>
      </c>
      <c r="LT28" s="27" t="n">
        <v>328</v>
      </c>
      <c r="LU28" s="27" t="n">
        <v>329</v>
      </c>
      <c r="LV28" s="27" t="n">
        <v>330</v>
      </c>
      <c r="LW28" s="27" t="n">
        <v>331</v>
      </c>
      <c r="LX28" s="27" t="n">
        <v>332</v>
      </c>
      <c r="LY28" s="27" t="n">
        <v>333</v>
      </c>
      <c r="LZ28" s="27" t="n">
        <v>334</v>
      </c>
      <c r="MA28" s="27" t="n">
        <v>335</v>
      </c>
      <c r="MB28" s="27" t="n">
        <v>336</v>
      </c>
      <c r="MC28" s="27" t="n">
        <v>337</v>
      </c>
      <c r="MD28" s="27" t="n">
        <v>338</v>
      </c>
      <c r="ME28" s="27" t="n">
        <v>339</v>
      </c>
      <c r="MF28" s="27" t="n">
        <v>340</v>
      </c>
      <c r="MG28" s="27" t="n">
        <v>341</v>
      </c>
      <c r="MH28" s="27" t="n">
        <v>342</v>
      </c>
      <c r="MI28" s="27" t="n">
        <v>343</v>
      </c>
      <c r="MJ28" s="27" t="n">
        <v>344</v>
      </c>
      <c r="MK28" s="27" t="n">
        <v>345</v>
      </c>
      <c r="ML28" s="27" t="n">
        <v>346</v>
      </c>
      <c r="MM28" s="27" t="n">
        <v>347</v>
      </c>
      <c r="MN28" s="27" t="n">
        <v>348</v>
      </c>
      <c r="MO28" s="27" t="n">
        <v>349</v>
      </c>
      <c r="MP28" s="27" t="n">
        <v>350</v>
      </c>
      <c r="MQ28" s="27" t="n">
        <v>351</v>
      </c>
      <c r="MR28" s="27" t="n">
        <v>352</v>
      </c>
      <c r="MS28" s="27" t="n">
        <v>353</v>
      </c>
      <c r="MT28" s="27" t="n">
        <v>354</v>
      </c>
      <c r="MU28" s="27" t="n">
        <v>355</v>
      </c>
      <c r="MV28" s="27" t="n">
        <v>356</v>
      </c>
      <c r="MW28" s="27" t="n">
        <v>357</v>
      </c>
      <c r="MX28" s="27" t="n">
        <v>358</v>
      </c>
      <c r="MY28" s="27" t="n">
        <v>359</v>
      </c>
      <c r="MZ28" s="27" t="n">
        <v>360</v>
      </c>
      <c r="NA28" s="27" t="n">
        <v>361</v>
      </c>
      <c r="NB28" s="27" t="n">
        <v>362</v>
      </c>
      <c r="NC28" s="27" t="n">
        <v>363</v>
      </c>
      <c r="ND28" s="27" t="n">
        <v>364</v>
      </c>
      <c r="NE28" s="27" t="n">
        <v>365</v>
      </c>
      <c r="NF28" s="27" t="n">
        <v>366</v>
      </c>
      <c r="NG28" s="27" t="n">
        <v>367</v>
      </c>
      <c r="NH28" s="27" t="n">
        <v>368</v>
      </c>
      <c r="NI28" s="27" t="n">
        <v>369</v>
      </c>
      <c r="NJ28" s="27" t="n">
        <v>370</v>
      </c>
      <c r="NK28" s="27" t="n">
        <v>371</v>
      </c>
      <c r="NL28" s="27" t="n">
        <v>372</v>
      </c>
    </row>
    <row r="29">
      <c r="B29" s="123" t="inlineStr">
        <is>
          <t>Month Start</t>
        </is>
      </c>
      <c r="D29" s="53" t="n"/>
      <c r="E29" s="128">
        <f>EDATE(InceptionDate,0)</f>
        <v/>
      </c>
      <c r="F29" s="128">
        <f>EDATE(InceptionDate,1)</f>
        <v/>
      </c>
      <c r="G29" s="128">
        <f>EDATE(InceptionDate,2)</f>
        <v/>
      </c>
      <c r="H29" s="128">
        <f>EDATE(InceptionDate,3)</f>
        <v/>
      </c>
      <c r="I29" s="128">
        <f>EDATE(InceptionDate,4)</f>
        <v/>
      </c>
      <c r="J29" s="128">
        <f>EDATE(InceptionDate,5)</f>
        <v/>
      </c>
      <c r="K29" s="128">
        <f>EDATE(InceptionDate,6)</f>
        <v/>
      </c>
      <c r="L29" s="128">
        <f>EDATE(InceptionDate,7)</f>
        <v/>
      </c>
      <c r="M29" s="128">
        <f>EDATE(InceptionDate,8)</f>
        <v/>
      </c>
      <c r="N29" s="128">
        <f>EDATE(InceptionDate,9)</f>
        <v/>
      </c>
      <c r="O29" s="128">
        <f>EDATE(InceptionDate,10)</f>
        <v/>
      </c>
      <c r="P29" s="128">
        <f>EDATE(InceptionDate,11)</f>
        <v/>
      </c>
      <c r="Q29" s="128">
        <f>EDATE(InceptionDate,12)</f>
        <v/>
      </c>
      <c r="R29" s="128">
        <f>EDATE(InceptionDate,13)</f>
        <v/>
      </c>
      <c r="S29" s="128">
        <f>EDATE(InceptionDate,14)</f>
        <v/>
      </c>
      <c r="T29" s="128">
        <f>EDATE(InceptionDate,15)</f>
        <v/>
      </c>
      <c r="U29" s="128">
        <f>EDATE(InceptionDate,16)</f>
        <v/>
      </c>
      <c r="V29" s="128">
        <f>EDATE(InceptionDate,17)</f>
        <v/>
      </c>
      <c r="W29" s="128">
        <f>EDATE(InceptionDate,18)</f>
        <v/>
      </c>
      <c r="X29" s="128">
        <f>EDATE(InceptionDate,19)</f>
        <v/>
      </c>
      <c r="Y29" s="128">
        <f>EDATE(InceptionDate,20)</f>
        <v/>
      </c>
      <c r="Z29" s="128">
        <f>EDATE(InceptionDate,21)</f>
        <v/>
      </c>
      <c r="AA29" s="128">
        <f>EDATE(InceptionDate,22)</f>
        <v/>
      </c>
      <c r="AB29" s="128">
        <f>EDATE(InceptionDate,23)</f>
        <v/>
      </c>
      <c r="AC29" s="128">
        <f>EDATE(InceptionDate,24)</f>
        <v/>
      </c>
      <c r="AD29" s="128">
        <f>EDATE(InceptionDate,25)</f>
        <v/>
      </c>
      <c r="AE29" s="128">
        <f>EDATE(InceptionDate,26)</f>
        <v/>
      </c>
      <c r="AF29" s="128">
        <f>EDATE(InceptionDate,27)</f>
        <v/>
      </c>
      <c r="AG29" s="128">
        <f>EDATE(InceptionDate,28)</f>
        <v/>
      </c>
      <c r="AH29" s="128">
        <f>EDATE(InceptionDate,29)</f>
        <v/>
      </c>
      <c r="AI29" s="128">
        <f>EDATE(InceptionDate,30)</f>
        <v/>
      </c>
      <c r="AJ29" s="128">
        <f>EDATE(InceptionDate,31)</f>
        <v/>
      </c>
      <c r="AK29" s="128">
        <f>EDATE(InceptionDate,32)</f>
        <v/>
      </c>
      <c r="AL29" s="128">
        <f>EDATE(InceptionDate,33)</f>
        <v/>
      </c>
      <c r="AM29" s="128">
        <f>EDATE(InceptionDate,34)</f>
        <v/>
      </c>
      <c r="AN29" s="128">
        <f>EDATE(InceptionDate,35)</f>
        <v/>
      </c>
      <c r="AO29" s="128">
        <f>EDATE(InceptionDate,36)</f>
        <v/>
      </c>
      <c r="AP29" s="128">
        <f>EDATE(InceptionDate,37)</f>
        <v/>
      </c>
      <c r="AQ29" s="128">
        <f>EDATE(InceptionDate,38)</f>
        <v/>
      </c>
      <c r="AR29" s="128">
        <f>EDATE(InceptionDate,39)</f>
        <v/>
      </c>
      <c r="AS29" s="128">
        <f>EDATE(InceptionDate,40)</f>
        <v/>
      </c>
      <c r="AT29" s="128">
        <f>EDATE(InceptionDate,41)</f>
        <v/>
      </c>
      <c r="AU29" s="128">
        <f>EDATE(InceptionDate,42)</f>
        <v/>
      </c>
      <c r="AV29" s="128">
        <f>EDATE(InceptionDate,43)</f>
        <v/>
      </c>
      <c r="AW29" s="128">
        <f>EDATE(InceptionDate,44)</f>
        <v/>
      </c>
      <c r="AX29" s="128">
        <f>EDATE(InceptionDate,45)</f>
        <v/>
      </c>
      <c r="AY29" s="128">
        <f>EDATE(InceptionDate,46)</f>
        <v/>
      </c>
      <c r="AZ29" s="128">
        <f>EDATE(InceptionDate,47)</f>
        <v/>
      </c>
      <c r="BA29" s="128">
        <f>EDATE(InceptionDate,48)</f>
        <v/>
      </c>
      <c r="BB29" s="128">
        <f>EDATE(InceptionDate,49)</f>
        <v/>
      </c>
      <c r="BC29" s="128">
        <f>EDATE(InceptionDate,50)</f>
        <v/>
      </c>
      <c r="BD29" s="128">
        <f>EDATE(InceptionDate,51)</f>
        <v/>
      </c>
      <c r="BE29" s="128">
        <f>EDATE(InceptionDate,52)</f>
        <v/>
      </c>
      <c r="BF29" s="128">
        <f>EDATE(InceptionDate,53)</f>
        <v/>
      </c>
      <c r="BG29" s="128">
        <f>EDATE(InceptionDate,54)</f>
        <v/>
      </c>
      <c r="BH29" s="128">
        <f>EDATE(InceptionDate,55)</f>
        <v/>
      </c>
      <c r="BI29" s="128">
        <f>EDATE(InceptionDate,56)</f>
        <v/>
      </c>
      <c r="BJ29" s="128">
        <f>EDATE(InceptionDate,57)</f>
        <v/>
      </c>
      <c r="BK29" s="128">
        <f>EDATE(InceptionDate,58)</f>
        <v/>
      </c>
      <c r="BL29" s="128">
        <f>EDATE(InceptionDate,59)</f>
        <v/>
      </c>
      <c r="BM29" s="128">
        <f>EDATE(InceptionDate,60)</f>
        <v/>
      </c>
      <c r="BN29" s="128">
        <f>EDATE(InceptionDate,61)</f>
        <v/>
      </c>
      <c r="BO29" s="128">
        <f>EDATE(InceptionDate,62)</f>
        <v/>
      </c>
      <c r="BP29" s="128">
        <f>EDATE(InceptionDate,63)</f>
        <v/>
      </c>
      <c r="BQ29" s="128">
        <f>EDATE(InceptionDate,64)</f>
        <v/>
      </c>
      <c r="BR29" s="128">
        <f>EDATE(InceptionDate,65)</f>
        <v/>
      </c>
      <c r="BS29" s="128">
        <f>EDATE(InceptionDate,66)</f>
        <v/>
      </c>
      <c r="BT29" s="128">
        <f>EDATE(InceptionDate,67)</f>
        <v/>
      </c>
      <c r="BU29" s="128">
        <f>EDATE(InceptionDate,68)</f>
        <v/>
      </c>
      <c r="BV29" s="128">
        <f>EDATE(InceptionDate,69)</f>
        <v/>
      </c>
      <c r="BW29" s="128">
        <f>EDATE(InceptionDate,70)</f>
        <v/>
      </c>
      <c r="BX29" s="128">
        <f>EDATE(InceptionDate,71)</f>
        <v/>
      </c>
      <c r="BY29" s="128">
        <f>EDATE(InceptionDate,72)</f>
        <v/>
      </c>
      <c r="BZ29" s="128">
        <f>EDATE(InceptionDate,73)</f>
        <v/>
      </c>
      <c r="CA29" s="128">
        <f>EDATE(InceptionDate,74)</f>
        <v/>
      </c>
      <c r="CB29" s="128">
        <f>EDATE(InceptionDate,75)</f>
        <v/>
      </c>
      <c r="CC29" s="128">
        <f>EDATE(InceptionDate,76)</f>
        <v/>
      </c>
      <c r="CD29" s="128">
        <f>EDATE(InceptionDate,77)</f>
        <v/>
      </c>
      <c r="CE29" s="128">
        <f>EDATE(InceptionDate,78)</f>
        <v/>
      </c>
      <c r="CF29" s="128">
        <f>EDATE(InceptionDate,79)</f>
        <v/>
      </c>
      <c r="CG29" s="128">
        <f>EDATE(InceptionDate,80)</f>
        <v/>
      </c>
      <c r="CH29" s="128">
        <f>EDATE(InceptionDate,81)</f>
        <v/>
      </c>
      <c r="CI29" s="128">
        <f>EDATE(InceptionDate,82)</f>
        <v/>
      </c>
      <c r="CJ29" s="128">
        <f>EDATE(InceptionDate,83)</f>
        <v/>
      </c>
      <c r="CK29" s="128">
        <f>EDATE(InceptionDate,84)</f>
        <v/>
      </c>
      <c r="CL29" s="128">
        <f>EDATE(InceptionDate,85)</f>
        <v/>
      </c>
      <c r="CM29" s="128">
        <f>EDATE(InceptionDate,86)</f>
        <v/>
      </c>
      <c r="CN29" s="128">
        <f>EDATE(InceptionDate,87)</f>
        <v/>
      </c>
      <c r="CO29" s="128">
        <f>EDATE(InceptionDate,88)</f>
        <v/>
      </c>
      <c r="CP29" s="128">
        <f>EDATE(InceptionDate,89)</f>
        <v/>
      </c>
      <c r="CQ29" s="128">
        <f>EDATE(InceptionDate,90)</f>
        <v/>
      </c>
      <c r="CR29" s="128">
        <f>EDATE(InceptionDate,91)</f>
        <v/>
      </c>
      <c r="CS29" s="128">
        <f>EDATE(InceptionDate,92)</f>
        <v/>
      </c>
      <c r="CT29" s="128">
        <f>EDATE(InceptionDate,93)</f>
        <v/>
      </c>
      <c r="CU29" s="128">
        <f>EDATE(InceptionDate,94)</f>
        <v/>
      </c>
      <c r="CV29" s="128">
        <f>EDATE(InceptionDate,95)</f>
        <v/>
      </c>
      <c r="CW29" s="128">
        <f>EDATE(InceptionDate,96)</f>
        <v/>
      </c>
      <c r="CX29" s="128">
        <f>EDATE(InceptionDate,97)</f>
        <v/>
      </c>
      <c r="CY29" s="128">
        <f>EDATE(InceptionDate,98)</f>
        <v/>
      </c>
      <c r="CZ29" s="128">
        <f>EDATE(InceptionDate,99)</f>
        <v/>
      </c>
      <c r="DA29" s="128">
        <f>EDATE(InceptionDate,100)</f>
        <v/>
      </c>
      <c r="DB29" s="128">
        <f>EDATE(InceptionDate,101)</f>
        <v/>
      </c>
      <c r="DC29" s="128">
        <f>EDATE(InceptionDate,102)</f>
        <v/>
      </c>
      <c r="DD29" s="128">
        <f>EDATE(InceptionDate,103)</f>
        <v/>
      </c>
      <c r="DE29" s="128">
        <f>EDATE(InceptionDate,104)</f>
        <v/>
      </c>
      <c r="DF29" s="128">
        <f>EDATE(InceptionDate,105)</f>
        <v/>
      </c>
      <c r="DG29" s="128">
        <f>EDATE(InceptionDate,106)</f>
        <v/>
      </c>
      <c r="DH29" s="128">
        <f>EDATE(InceptionDate,107)</f>
        <v/>
      </c>
      <c r="DI29" s="128">
        <f>EDATE(InceptionDate,108)</f>
        <v/>
      </c>
      <c r="DJ29" s="128">
        <f>EDATE(InceptionDate,109)</f>
        <v/>
      </c>
      <c r="DK29" s="128">
        <f>EDATE(InceptionDate,110)</f>
        <v/>
      </c>
      <c r="DL29" s="128">
        <f>EDATE(InceptionDate,111)</f>
        <v/>
      </c>
      <c r="DM29" s="128">
        <f>EDATE(InceptionDate,112)</f>
        <v/>
      </c>
      <c r="DN29" s="128">
        <f>EDATE(InceptionDate,113)</f>
        <v/>
      </c>
      <c r="DO29" s="128">
        <f>EDATE(InceptionDate,114)</f>
        <v/>
      </c>
      <c r="DP29" s="128">
        <f>EDATE(InceptionDate,115)</f>
        <v/>
      </c>
      <c r="DQ29" s="128">
        <f>EDATE(InceptionDate,116)</f>
        <v/>
      </c>
      <c r="DR29" s="128">
        <f>EDATE(InceptionDate,117)</f>
        <v/>
      </c>
      <c r="DS29" s="128">
        <f>EDATE(InceptionDate,118)</f>
        <v/>
      </c>
      <c r="DT29" s="128">
        <f>EDATE(InceptionDate,119)</f>
        <v/>
      </c>
      <c r="DU29" s="128">
        <f>EDATE(InceptionDate,120)</f>
        <v/>
      </c>
      <c r="DV29" s="128">
        <f>EDATE(InceptionDate,121)</f>
        <v/>
      </c>
      <c r="DW29" s="128">
        <f>EDATE(InceptionDate,122)</f>
        <v/>
      </c>
      <c r="DX29" s="128">
        <f>EDATE(InceptionDate,123)</f>
        <v/>
      </c>
      <c r="DY29" s="128">
        <f>EDATE(InceptionDate,124)</f>
        <v/>
      </c>
      <c r="DZ29" s="128">
        <f>EDATE(InceptionDate,125)</f>
        <v/>
      </c>
      <c r="EA29" s="128">
        <f>EDATE(InceptionDate,126)</f>
        <v/>
      </c>
      <c r="EB29" s="128">
        <f>EDATE(InceptionDate,127)</f>
        <v/>
      </c>
      <c r="EC29" s="128">
        <f>EDATE(InceptionDate,128)</f>
        <v/>
      </c>
      <c r="ED29" s="128">
        <f>EDATE(InceptionDate,129)</f>
        <v/>
      </c>
      <c r="EE29" s="128">
        <f>EDATE(InceptionDate,130)</f>
        <v/>
      </c>
      <c r="EF29" s="128">
        <f>EDATE(InceptionDate,131)</f>
        <v/>
      </c>
      <c r="EG29" s="128">
        <f>EDATE(InceptionDate,132)</f>
        <v/>
      </c>
      <c r="EH29" s="128">
        <f>EDATE(InceptionDate,133)</f>
        <v/>
      </c>
      <c r="EI29" s="128">
        <f>EDATE(InceptionDate,134)</f>
        <v/>
      </c>
      <c r="EJ29" s="128">
        <f>EDATE(InceptionDate,135)</f>
        <v/>
      </c>
      <c r="EK29" s="128">
        <f>EDATE(InceptionDate,136)</f>
        <v/>
      </c>
      <c r="EL29" s="128">
        <f>EDATE(InceptionDate,137)</f>
        <v/>
      </c>
      <c r="EM29" s="128">
        <f>EDATE(InceptionDate,138)</f>
        <v/>
      </c>
      <c r="EN29" s="128">
        <f>EDATE(InceptionDate,139)</f>
        <v/>
      </c>
      <c r="EO29" s="128">
        <f>EDATE(InceptionDate,140)</f>
        <v/>
      </c>
      <c r="EP29" s="128">
        <f>EDATE(InceptionDate,141)</f>
        <v/>
      </c>
      <c r="EQ29" s="128">
        <f>EDATE(InceptionDate,142)</f>
        <v/>
      </c>
      <c r="ER29" s="128">
        <f>EDATE(InceptionDate,143)</f>
        <v/>
      </c>
      <c r="ES29" s="128">
        <f>EDATE(InceptionDate,144)</f>
        <v/>
      </c>
      <c r="ET29" s="128">
        <f>EDATE(InceptionDate,145)</f>
        <v/>
      </c>
      <c r="EU29" s="128">
        <f>EDATE(InceptionDate,146)</f>
        <v/>
      </c>
      <c r="EV29" s="128">
        <f>EDATE(InceptionDate,147)</f>
        <v/>
      </c>
      <c r="EW29" s="128">
        <f>EDATE(InceptionDate,148)</f>
        <v/>
      </c>
      <c r="EX29" s="128">
        <f>EDATE(InceptionDate,149)</f>
        <v/>
      </c>
      <c r="EY29" s="128">
        <f>EDATE(InceptionDate,150)</f>
        <v/>
      </c>
      <c r="EZ29" s="128">
        <f>EDATE(InceptionDate,151)</f>
        <v/>
      </c>
      <c r="FA29" s="128">
        <f>EDATE(InceptionDate,152)</f>
        <v/>
      </c>
      <c r="FB29" s="128">
        <f>EDATE(InceptionDate,153)</f>
        <v/>
      </c>
      <c r="FC29" s="128">
        <f>EDATE(InceptionDate,154)</f>
        <v/>
      </c>
      <c r="FD29" s="128">
        <f>EDATE(InceptionDate,155)</f>
        <v/>
      </c>
      <c r="FE29" s="128">
        <f>EDATE(InceptionDate,156)</f>
        <v/>
      </c>
      <c r="FF29" s="128">
        <f>EDATE(InceptionDate,157)</f>
        <v/>
      </c>
      <c r="FG29" s="128">
        <f>EDATE(InceptionDate,158)</f>
        <v/>
      </c>
      <c r="FH29" s="128">
        <f>EDATE(InceptionDate,159)</f>
        <v/>
      </c>
      <c r="FI29" s="128">
        <f>EDATE(InceptionDate,160)</f>
        <v/>
      </c>
      <c r="FJ29" s="128">
        <f>EDATE(InceptionDate,161)</f>
        <v/>
      </c>
      <c r="FK29" s="128">
        <f>EDATE(InceptionDate,162)</f>
        <v/>
      </c>
      <c r="FL29" s="128">
        <f>EDATE(InceptionDate,163)</f>
        <v/>
      </c>
      <c r="FM29" s="128">
        <f>EDATE(InceptionDate,164)</f>
        <v/>
      </c>
      <c r="FN29" s="128">
        <f>EDATE(InceptionDate,165)</f>
        <v/>
      </c>
      <c r="FO29" s="128">
        <f>EDATE(InceptionDate,166)</f>
        <v/>
      </c>
      <c r="FP29" s="128">
        <f>EDATE(InceptionDate,167)</f>
        <v/>
      </c>
      <c r="FQ29" s="128">
        <f>EDATE(InceptionDate,168)</f>
        <v/>
      </c>
      <c r="FR29" s="128">
        <f>EDATE(InceptionDate,169)</f>
        <v/>
      </c>
      <c r="FS29" s="128">
        <f>EDATE(InceptionDate,170)</f>
        <v/>
      </c>
      <c r="FT29" s="128">
        <f>EDATE(InceptionDate,171)</f>
        <v/>
      </c>
      <c r="FU29" s="128">
        <f>EDATE(InceptionDate,172)</f>
        <v/>
      </c>
      <c r="FV29" s="128">
        <f>EDATE(InceptionDate,173)</f>
        <v/>
      </c>
      <c r="FW29" s="128">
        <f>EDATE(InceptionDate,174)</f>
        <v/>
      </c>
      <c r="FX29" s="128">
        <f>EDATE(InceptionDate,175)</f>
        <v/>
      </c>
      <c r="FY29" s="128">
        <f>EDATE(InceptionDate,176)</f>
        <v/>
      </c>
      <c r="FZ29" s="128">
        <f>EDATE(InceptionDate,177)</f>
        <v/>
      </c>
      <c r="GA29" s="128">
        <f>EDATE(InceptionDate,178)</f>
        <v/>
      </c>
      <c r="GB29" s="128">
        <f>EDATE(InceptionDate,179)</f>
        <v/>
      </c>
      <c r="GC29" s="128">
        <f>EDATE(InceptionDate,180)</f>
        <v/>
      </c>
      <c r="GD29" s="128">
        <f>EDATE(InceptionDate,181)</f>
        <v/>
      </c>
      <c r="GE29" s="128">
        <f>EDATE(InceptionDate,182)</f>
        <v/>
      </c>
      <c r="GF29" s="128">
        <f>EDATE(InceptionDate,183)</f>
        <v/>
      </c>
      <c r="GG29" s="128">
        <f>EDATE(InceptionDate,184)</f>
        <v/>
      </c>
      <c r="GH29" s="128">
        <f>EDATE(InceptionDate,185)</f>
        <v/>
      </c>
      <c r="GI29" s="128">
        <f>EDATE(InceptionDate,186)</f>
        <v/>
      </c>
      <c r="GJ29" s="128">
        <f>EDATE(InceptionDate,187)</f>
        <v/>
      </c>
      <c r="GK29" s="128">
        <f>EDATE(InceptionDate,188)</f>
        <v/>
      </c>
      <c r="GL29" s="128">
        <f>EDATE(InceptionDate,189)</f>
        <v/>
      </c>
      <c r="GM29" s="128">
        <f>EDATE(InceptionDate,190)</f>
        <v/>
      </c>
      <c r="GN29" s="128">
        <f>EDATE(InceptionDate,191)</f>
        <v/>
      </c>
      <c r="GO29" s="128">
        <f>EDATE(InceptionDate,192)</f>
        <v/>
      </c>
      <c r="GP29" s="128">
        <f>EDATE(InceptionDate,193)</f>
        <v/>
      </c>
      <c r="GQ29" s="128">
        <f>EDATE(InceptionDate,194)</f>
        <v/>
      </c>
      <c r="GR29" s="128">
        <f>EDATE(InceptionDate,195)</f>
        <v/>
      </c>
      <c r="GS29" s="128">
        <f>EDATE(InceptionDate,196)</f>
        <v/>
      </c>
      <c r="GT29" s="128">
        <f>EDATE(InceptionDate,197)</f>
        <v/>
      </c>
      <c r="GU29" s="128">
        <f>EDATE(InceptionDate,198)</f>
        <v/>
      </c>
      <c r="GV29" s="128">
        <f>EDATE(InceptionDate,199)</f>
        <v/>
      </c>
      <c r="GW29" s="128">
        <f>EDATE(InceptionDate,200)</f>
        <v/>
      </c>
      <c r="GX29" s="128">
        <f>EDATE(InceptionDate,201)</f>
        <v/>
      </c>
      <c r="GY29" s="128">
        <f>EDATE(InceptionDate,202)</f>
        <v/>
      </c>
      <c r="GZ29" s="128">
        <f>EDATE(InceptionDate,203)</f>
        <v/>
      </c>
      <c r="HA29" s="128">
        <f>EDATE(InceptionDate,204)</f>
        <v/>
      </c>
      <c r="HB29" s="128">
        <f>EDATE(InceptionDate,205)</f>
        <v/>
      </c>
      <c r="HC29" s="128">
        <f>EDATE(InceptionDate,206)</f>
        <v/>
      </c>
      <c r="HD29" s="128">
        <f>EDATE(InceptionDate,207)</f>
        <v/>
      </c>
      <c r="HE29" s="128">
        <f>EDATE(InceptionDate,208)</f>
        <v/>
      </c>
      <c r="HF29" s="128">
        <f>EDATE(InceptionDate,209)</f>
        <v/>
      </c>
      <c r="HG29" s="128">
        <f>EDATE(InceptionDate,210)</f>
        <v/>
      </c>
      <c r="HH29" s="128">
        <f>EDATE(InceptionDate,211)</f>
        <v/>
      </c>
      <c r="HI29" s="128">
        <f>EDATE(InceptionDate,212)</f>
        <v/>
      </c>
      <c r="HJ29" s="128">
        <f>EDATE(InceptionDate,213)</f>
        <v/>
      </c>
      <c r="HK29" s="128">
        <f>EDATE(InceptionDate,214)</f>
        <v/>
      </c>
      <c r="HL29" s="128">
        <f>EDATE(InceptionDate,215)</f>
        <v/>
      </c>
      <c r="HM29" s="128">
        <f>EDATE(InceptionDate,216)</f>
        <v/>
      </c>
      <c r="HN29" s="128">
        <f>EDATE(InceptionDate,217)</f>
        <v/>
      </c>
      <c r="HO29" s="128">
        <f>EDATE(InceptionDate,218)</f>
        <v/>
      </c>
      <c r="HP29" s="128">
        <f>EDATE(InceptionDate,219)</f>
        <v/>
      </c>
      <c r="HQ29" s="128">
        <f>EDATE(InceptionDate,220)</f>
        <v/>
      </c>
      <c r="HR29" s="128">
        <f>EDATE(InceptionDate,221)</f>
        <v/>
      </c>
      <c r="HS29" s="128">
        <f>EDATE(InceptionDate,222)</f>
        <v/>
      </c>
      <c r="HT29" s="128">
        <f>EDATE(InceptionDate,223)</f>
        <v/>
      </c>
      <c r="HU29" s="128">
        <f>EDATE(InceptionDate,224)</f>
        <v/>
      </c>
      <c r="HV29" s="128">
        <f>EDATE(InceptionDate,225)</f>
        <v/>
      </c>
      <c r="HW29" s="128">
        <f>EDATE(InceptionDate,226)</f>
        <v/>
      </c>
      <c r="HX29" s="128">
        <f>EDATE(InceptionDate,227)</f>
        <v/>
      </c>
      <c r="HY29" s="128">
        <f>EDATE(InceptionDate,228)</f>
        <v/>
      </c>
      <c r="HZ29" s="128">
        <f>EDATE(InceptionDate,229)</f>
        <v/>
      </c>
      <c r="IA29" s="128">
        <f>EDATE(InceptionDate,230)</f>
        <v/>
      </c>
      <c r="IB29" s="128">
        <f>EDATE(InceptionDate,231)</f>
        <v/>
      </c>
      <c r="IC29" s="128">
        <f>EDATE(InceptionDate,232)</f>
        <v/>
      </c>
      <c r="ID29" s="128">
        <f>EDATE(InceptionDate,233)</f>
        <v/>
      </c>
      <c r="IE29" s="128">
        <f>EDATE(InceptionDate,234)</f>
        <v/>
      </c>
      <c r="IF29" s="128">
        <f>EDATE(InceptionDate,235)</f>
        <v/>
      </c>
      <c r="IG29" s="128">
        <f>EDATE(InceptionDate,236)</f>
        <v/>
      </c>
      <c r="IH29" s="128">
        <f>EDATE(InceptionDate,237)</f>
        <v/>
      </c>
      <c r="II29" s="128">
        <f>EDATE(InceptionDate,238)</f>
        <v/>
      </c>
      <c r="IJ29" s="128">
        <f>EDATE(InceptionDate,239)</f>
        <v/>
      </c>
      <c r="IK29" s="128">
        <f>EDATE(InceptionDate,240)</f>
        <v/>
      </c>
      <c r="IL29" s="128">
        <f>EDATE(InceptionDate,241)</f>
        <v/>
      </c>
      <c r="IM29" s="128">
        <f>EDATE(InceptionDate,242)</f>
        <v/>
      </c>
      <c r="IN29" s="128">
        <f>EDATE(InceptionDate,243)</f>
        <v/>
      </c>
      <c r="IO29" s="128">
        <f>EDATE(InceptionDate,244)</f>
        <v/>
      </c>
      <c r="IP29" s="128">
        <f>EDATE(InceptionDate,245)</f>
        <v/>
      </c>
      <c r="IQ29" s="128">
        <f>EDATE(InceptionDate,246)</f>
        <v/>
      </c>
      <c r="IR29" s="128">
        <f>EDATE(InceptionDate,247)</f>
        <v/>
      </c>
      <c r="IS29" s="128">
        <f>EDATE(InceptionDate,248)</f>
        <v/>
      </c>
      <c r="IT29" s="128">
        <f>EDATE(InceptionDate,249)</f>
        <v/>
      </c>
      <c r="IU29" s="128">
        <f>EDATE(InceptionDate,250)</f>
        <v/>
      </c>
      <c r="IV29" s="128">
        <f>EDATE(InceptionDate,251)</f>
        <v/>
      </c>
      <c r="IW29" s="128">
        <f>EDATE(InceptionDate,252)</f>
        <v/>
      </c>
      <c r="IX29" s="128">
        <f>EDATE(InceptionDate,253)</f>
        <v/>
      </c>
      <c r="IY29" s="128">
        <f>EDATE(InceptionDate,254)</f>
        <v/>
      </c>
      <c r="IZ29" s="128">
        <f>EDATE(InceptionDate,255)</f>
        <v/>
      </c>
      <c r="JA29" s="128">
        <f>EDATE(InceptionDate,256)</f>
        <v/>
      </c>
      <c r="JB29" s="128">
        <f>EDATE(InceptionDate,257)</f>
        <v/>
      </c>
      <c r="JC29" s="128">
        <f>EDATE(InceptionDate,258)</f>
        <v/>
      </c>
      <c r="JD29" s="128">
        <f>EDATE(InceptionDate,259)</f>
        <v/>
      </c>
      <c r="JE29" s="128">
        <f>EDATE(InceptionDate,260)</f>
        <v/>
      </c>
      <c r="JF29" s="128">
        <f>EDATE(InceptionDate,261)</f>
        <v/>
      </c>
      <c r="JG29" s="128">
        <f>EDATE(InceptionDate,262)</f>
        <v/>
      </c>
      <c r="JH29" s="128">
        <f>EDATE(InceptionDate,263)</f>
        <v/>
      </c>
      <c r="JI29" s="128">
        <f>EDATE(InceptionDate,264)</f>
        <v/>
      </c>
      <c r="JJ29" s="128">
        <f>EDATE(InceptionDate,265)</f>
        <v/>
      </c>
      <c r="JK29" s="128">
        <f>EDATE(InceptionDate,266)</f>
        <v/>
      </c>
      <c r="JL29" s="128">
        <f>EDATE(InceptionDate,267)</f>
        <v/>
      </c>
      <c r="JM29" s="128">
        <f>EDATE(InceptionDate,268)</f>
        <v/>
      </c>
      <c r="JN29" s="128">
        <f>EDATE(InceptionDate,269)</f>
        <v/>
      </c>
      <c r="JO29" s="128">
        <f>EDATE(InceptionDate,270)</f>
        <v/>
      </c>
      <c r="JP29" s="128">
        <f>EDATE(InceptionDate,271)</f>
        <v/>
      </c>
      <c r="JQ29" s="128">
        <f>EDATE(InceptionDate,272)</f>
        <v/>
      </c>
      <c r="JR29" s="128">
        <f>EDATE(InceptionDate,273)</f>
        <v/>
      </c>
      <c r="JS29" s="128">
        <f>EDATE(InceptionDate,274)</f>
        <v/>
      </c>
      <c r="JT29" s="128">
        <f>EDATE(InceptionDate,275)</f>
        <v/>
      </c>
      <c r="JU29" s="128">
        <f>EDATE(InceptionDate,276)</f>
        <v/>
      </c>
      <c r="JV29" s="128">
        <f>EDATE(InceptionDate,277)</f>
        <v/>
      </c>
      <c r="JW29" s="128">
        <f>EDATE(InceptionDate,278)</f>
        <v/>
      </c>
      <c r="JX29" s="128">
        <f>EDATE(InceptionDate,279)</f>
        <v/>
      </c>
      <c r="JY29" s="128">
        <f>EDATE(InceptionDate,280)</f>
        <v/>
      </c>
      <c r="JZ29" s="128">
        <f>EDATE(InceptionDate,281)</f>
        <v/>
      </c>
      <c r="KA29" s="128">
        <f>EDATE(InceptionDate,282)</f>
        <v/>
      </c>
      <c r="KB29" s="128">
        <f>EDATE(InceptionDate,283)</f>
        <v/>
      </c>
      <c r="KC29" s="128">
        <f>EDATE(InceptionDate,284)</f>
        <v/>
      </c>
      <c r="KD29" s="128">
        <f>EDATE(InceptionDate,285)</f>
        <v/>
      </c>
      <c r="KE29" s="128">
        <f>EDATE(InceptionDate,286)</f>
        <v/>
      </c>
      <c r="KF29" s="128">
        <f>EDATE(InceptionDate,287)</f>
        <v/>
      </c>
      <c r="KG29" s="128">
        <f>EDATE(InceptionDate,288)</f>
        <v/>
      </c>
      <c r="KH29" s="128">
        <f>EDATE(InceptionDate,289)</f>
        <v/>
      </c>
      <c r="KI29" s="128">
        <f>EDATE(InceptionDate,290)</f>
        <v/>
      </c>
      <c r="KJ29" s="128">
        <f>EDATE(InceptionDate,291)</f>
        <v/>
      </c>
      <c r="KK29" s="128">
        <f>EDATE(InceptionDate,292)</f>
        <v/>
      </c>
      <c r="KL29" s="128">
        <f>EDATE(InceptionDate,293)</f>
        <v/>
      </c>
      <c r="KM29" s="128">
        <f>EDATE(InceptionDate,294)</f>
        <v/>
      </c>
      <c r="KN29" s="128">
        <f>EDATE(InceptionDate,295)</f>
        <v/>
      </c>
      <c r="KO29" s="128">
        <f>EDATE(InceptionDate,296)</f>
        <v/>
      </c>
      <c r="KP29" s="128">
        <f>EDATE(InceptionDate,297)</f>
        <v/>
      </c>
      <c r="KQ29" s="128">
        <f>EDATE(InceptionDate,298)</f>
        <v/>
      </c>
      <c r="KR29" s="128">
        <f>EDATE(InceptionDate,299)</f>
        <v/>
      </c>
      <c r="KS29" s="128">
        <f>EDATE(InceptionDate,300)</f>
        <v/>
      </c>
      <c r="KT29" s="128">
        <f>EDATE(InceptionDate,301)</f>
        <v/>
      </c>
      <c r="KU29" s="128">
        <f>EDATE(InceptionDate,302)</f>
        <v/>
      </c>
      <c r="KV29" s="128">
        <f>EDATE(InceptionDate,303)</f>
        <v/>
      </c>
      <c r="KW29" s="128">
        <f>EDATE(InceptionDate,304)</f>
        <v/>
      </c>
      <c r="KX29" s="128">
        <f>EDATE(InceptionDate,305)</f>
        <v/>
      </c>
      <c r="KY29" s="128">
        <f>EDATE(InceptionDate,306)</f>
        <v/>
      </c>
      <c r="KZ29" s="128">
        <f>EDATE(InceptionDate,307)</f>
        <v/>
      </c>
      <c r="LA29" s="128">
        <f>EDATE(InceptionDate,308)</f>
        <v/>
      </c>
      <c r="LB29" s="128">
        <f>EDATE(InceptionDate,309)</f>
        <v/>
      </c>
      <c r="LC29" s="128">
        <f>EDATE(InceptionDate,310)</f>
        <v/>
      </c>
      <c r="LD29" s="128">
        <f>EDATE(InceptionDate,311)</f>
        <v/>
      </c>
      <c r="LE29" s="128">
        <f>EDATE(InceptionDate,312)</f>
        <v/>
      </c>
      <c r="LF29" s="128">
        <f>EDATE(InceptionDate,313)</f>
        <v/>
      </c>
      <c r="LG29" s="128">
        <f>EDATE(InceptionDate,314)</f>
        <v/>
      </c>
      <c r="LH29" s="128">
        <f>EDATE(InceptionDate,315)</f>
        <v/>
      </c>
      <c r="LI29" s="128">
        <f>EDATE(InceptionDate,316)</f>
        <v/>
      </c>
      <c r="LJ29" s="128">
        <f>EDATE(InceptionDate,317)</f>
        <v/>
      </c>
      <c r="LK29" s="128">
        <f>EDATE(InceptionDate,318)</f>
        <v/>
      </c>
      <c r="LL29" s="128">
        <f>EDATE(InceptionDate,319)</f>
        <v/>
      </c>
      <c r="LM29" s="128">
        <f>EDATE(InceptionDate,320)</f>
        <v/>
      </c>
      <c r="LN29" s="128">
        <f>EDATE(InceptionDate,321)</f>
        <v/>
      </c>
      <c r="LO29" s="128">
        <f>EDATE(InceptionDate,322)</f>
        <v/>
      </c>
      <c r="LP29" s="128">
        <f>EDATE(InceptionDate,323)</f>
        <v/>
      </c>
      <c r="LQ29" s="128">
        <f>EDATE(InceptionDate,324)</f>
        <v/>
      </c>
      <c r="LR29" s="128">
        <f>EDATE(InceptionDate,325)</f>
        <v/>
      </c>
      <c r="LS29" s="128">
        <f>EDATE(InceptionDate,326)</f>
        <v/>
      </c>
      <c r="LT29" s="128">
        <f>EDATE(InceptionDate,327)</f>
        <v/>
      </c>
      <c r="LU29" s="128">
        <f>EDATE(InceptionDate,328)</f>
        <v/>
      </c>
      <c r="LV29" s="128">
        <f>EDATE(InceptionDate,329)</f>
        <v/>
      </c>
      <c r="LW29" s="128">
        <f>EDATE(InceptionDate,330)</f>
        <v/>
      </c>
      <c r="LX29" s="128">
        <f>EDATE(InceptionDate,331)</f>
        <v/>
      </c>
      <c r="LY29" s="128">
        <f>EDATE(InceptionDate,332)</f>
        <v/>
      </c>
      <c r="LZ29" s="128">
        <f>EDATE(InceptionDate,333)</f>
        <v/>
      </c>
      <c r="MA29" s="128">
        <f>EDATE(InceptionDate,334)</f>
        <v/>
      </c>
      <c r="MB29" s="128">
        <f>EDATE(InceptionDate,335)</f>
        <v/>
      </c>
      <c r="MC29" s="128">
        <f>EDATE(InceptionDate,336)</f>
        <v/>
      </c>
      <c r="MD29" s="128">
        <f>EDATE(InceptionDate,337)</f>
        <v/>
      </c>
      <c r="ME29" s="128">
        <f>EDATE(InceptionDate,338)</f>
        <v/>
      </c>
      <c r="MF29" s="128">
        <f>EDATE(InceptionDate,339)</f>
        <v/>
      </c>
      <c r="MG29" s="128">
        <f>EDATE(InceptionDate,340)</f>
        <v/>
      </c>
      <c r="MH29" s="128">
        <f>EDATE(InceptionDate,341)</f>
        <v/>
      </c>
      <c r="MI29" s="128">
        <f>EDATE(InceptionDate,342)</f>
        <v/>
      </c>
      <c r="MJ29" s="128">
        <f>EDATE(InceptionDate,343)</f>
        <v/>
      </c>
      <c r="MK29" s="128">
        <f>EDATE(InceptionDate,344)</f>
        <v/>
      </c>
      <c r="ML29" s="128">
        <f>EDATE(InceptionDate,345)</f>
        <v/>
      </c>
      <c r="MM29" s="128">
        <f>EDATE(InceptionDate,346)</f>
        <v/>
      </c>
      <c r="MN29" s="128">
        <f>EDATE(InceptionDate,347)</f>
        <v/>
      </c>
      <c r="MO29" s="128">
        <f>EDATE(InceptionDate,348)</f>
        <v/>
      </c>
      <c r="MP29" s="128">
        <f>EDATE(InceptionDate,349)</f>
        <v/>
      </c>
      <c r="MQ29" s="128">
        <f>EDATE(InceptionDate,350)</f>
        <v/>
      </c>
      <c r="MR29" s="128">
        <f>EDATE(InceptionDate,351)</f>
        <v/>
      </c>
      <c r="MS29" s="128">
        <f>EDATE(InceptionDate,352)</f>
        <v/>
      </c>
      <c r="MT29" s="128">
        <f>EDATE(InceptionDate,353)</f>
        <v/>
      </c>
      <c r="MU29" s="128">
        <f>EDATE(InceptionDate,354)</f>
        <v/>
      </c>
      <c r="MV29" s="128">
        <f>EDATE(InceptionDate,355)</f>
        <v/>
      </c>
      <c r="MW29" s="128">
        <f>EDATE(InceptionDate,356)</f>
        <v/>
      </c>
      <c r="MX29" s="128">
        <f>EDATE(InceptionDate,357)</f>
        <v/>
      </c>
      <c r="MY29" s="128">
        <f>EDATE(InceptionDate,358)</f>
        <v/>
      </c>
      <c r="MZ29" s="128">
        <f>EDATE(InceptionDate,359)</f>
        <v/>
      </c>
      <c r="NA29" s="128">
        <f>EDATE(InceptionDate,360)</f>
        <v/>
      </c>
      <c r="NB29" s="128">
        <f>EDATE(InceptionDate,361)</f>
        <v/>
      </c>
      <c r="NC29" s="128">
        <f>EDATE(InceptionDate,362)</f>
        <v/>
      </c>
      <c r="ND29" s="128">
        <f>EDATE(InceptionDate,363)</f>
        <v/>
      </c>
      <c r="NE29" s="128">
        <f>EDATE(InceptionDate,364)</f>
        <v/>
      </c>
      <c r="NF29" s="128">
        <f>EDATE(InceptionDate,365)</f>
        <v/>
      </c>
      <c r="NG29" s="128">
        <f>EDATE(InceptionDate,366)</f>
        <v/>
      </c>
      <c r="NH29" s="128">
        <f>EDATE(InceptionDate,367)</f>
        <v/>
      </c>
      <c r="NI29" s="128">
        <f>EDATE(InceptionDate,368)</f>
        <v/>
      </c>
      <c r="NJ29" s="128">
        <f>EDATE(InceptionDate,369)</f>
        <v/>
      </c>
      <c r="NK29" s="128">
        <f>EDATE(InceptionDate,370)</f>
        <v/>
      </c>
      <c r="NL29" s="128">
        <f>EDATE(InceptionDate,371)</f>
        <v/>
      </c>
    </row>
    <row r="30">
      <c r="B30" s="36" t="inlineStr">
        <is>
          <t>Flag: Open Escrow</t>
        </is>
      </c>
      <c r="D30" s="124" t="n"/>
      <c r="E30" s="85">
        <f>IF(AND(1&gt;=$C$4,1&lt;=$E$4),1,0)</f>
        <v/>
      </c>
      <c r="F30" s="85">
        <f>IF(AND(2&gt;=$C$4,2&lt;=$E$4),1,0)</f>
        <v/>
      </c>
      <c r="G30" s="85">
        <f>IF(AND(3&gt;=$C$4,3&lt;=$E$4),1,0)</f>
        <v/>
      </c>
      <c r="H30" s="85">
        <f>IF(AND(4&gt;=$C$4,4&lt;=$E$4),1,0)</f>
        <v/>
      </c>
      <c r="I30" s="85">
        <f>IF(AND(5&gt;=$C$4,5&lt;=$E$4),1,0)</f>
        <v/>
      </c>
      <c r="J30" s="85">
        <f>IF(AND(6&gt;=$C$4,6&lt;=$E$4),1,0)</f>
        <v/>
      </c>
      <c r="K30" s="85">
        <f>IF(AND(7&gt;=$C$4,7&lt;=$E$4),1,0)</f>
        <v/>
      </c>
      <c r="L30" s="85">
        <f>IF(AND(8&gt;=$C$4,8&lt;=$E$4),1,0)</f>
        <v/>
      </c>
      <c r="M30" s="85">
        <f>IF(AND(9&gt;=$C$4,9&lt;=$E$4),1,0)</f>
        <v/>
      </c>
      <c r="N30" s="85">
        <f>IF(AND(10&gt;=$C$4,10&lt;=$E$4),1,0)</f>
        <v/>
      </c>
      <c r="O30" s="85">
        <f>IF(AND(11&gt;=$C$4,11&lt;=$E$4),1,0)</f>
        <v/>
      </c>
      <c r="P30" s="85">
        <f>IF(AND(12&gt;=$C$4,12&lt;=$E$4),1,0)</f>
        <v/>
      </c>
      <c r="Q30" s="85">
        <f>IF(AND(13&gt;=$C$4,13&lt;=$E$4),1,0)</f>
        <v/>
      </c>
      <c r="R30" s="85">
        <f>IF(AND(14&gt;=$C$4,14&lt;=$E$4),1,0)</f>
        <v/>
      </c>
      <c r="S30" s="85">
        <f>IF(AND(15&gt;=$C$4,15&lt;=$E$4),1,0)</f>
        <v/>
      </c>
      <c r="T30" s="85">
        <f>IF(AND(16&gt;=$C$4,16&lt;=$E$4),1,0)</f>
        <v/>
      </c>
      <c r="U30" s="85">
        <f>IF(AND(17&gt;=$C$4,17&lt;=$E$4),1,0)</f>
        <v/>
      </c>
      <c r="V30" s="85">
        <f>IF(AND(18&gt;=$C$4,18&lt;=$E$4),1,0)</f>
        <v/>
      </c>
      <c r="W30" s="85">
        <f>IF(AND(19&gt;=$C$4,19&lt;=$E$4),1,0)</f>
        <v/>
      </c>
      <c r="X30" s="85">
        <f>IF(AND(20&gt;=$C$4,20&lt;=$E$4),1,0)</f>
        <v/>
      </c>
      <c r="Y30" s="85">
        <f>IF(AND(21&gt;=$C$4,21&lt;=$E$4),1,0)</f>
        <v/>
      </c>
      <c r="Z30" s="85">
        <f>IF(AND(22&gt;=$C$4,22&lt;=$E$4),1,0)</f>
        <v/>
      </c>
      <c r="AA30" s="85">
        <f>IF(AND(23&gt;=$C$4,23&lt;=$E$4),1,0)</f>
        <v/>
      </c>
      <c r="AB30" s="85">
        <f>IF(AND(24&gt;=$C$4,24&lt;=$E$4),1,0)</f>
        <v/>
      </c>
      <c r="AC30" s="85">
        <f>IF(AND(25&gt;=$C$4,25&lt;=$E$4),1,0)</f>
        <v/>
      </c>
      <c r="AD30" s="85">
        <f>IF(AND(26&gt;=$C$4,26&lt;=$E$4),1,0)</f>
        <v/>
      </c>
      <c r="AE30" s="85">
        <f>IF(AND(27&gt;=$C$4,27&lt;=$E$4),1,0)</f>
        <v/>
      </c>
      <c r="AF30" s="85">
        <f>IF(AND(28&gt;=$C$4,28&lt;=$E$4),1,0)</f>
        <v/>
      </c>
      <c r="AG30" s="85">
        <f>IF(AND(29&gt;=$C$4,29&lt;=$E$4),1,0)</f>
        <v/>
      </c>
      <c r="AH30" s="85">
        <f>IF(AND(30&gt;=$C$4,30&lt;=$E$4),1,0)</f>
        <v/>
      </c>
      <c r="AI30" s="85">
        <f>IF(AND(31&gt;=$C$4,31&lt;=$E$4),1,0)</f>
        <v/>
      </c>
      <c r="AJ30" s="85">
        <f>IF(AND(32&gt;=$C$4,32&lt;=$E$4),1,0)</f>
        <v/>
      </c>
      <c r="AK30" s="85">
        <f>IF(AND(33&gt;=$C$4,33&lt;=$E$4),1,0)</f>
        <v/>
      </c>
      <c r="AL30" s="85">
        <f>IF(AND(34&gt;=$C$4,34&lt;=$E$4),1,0)</f>
        <v/>
      </c>
      <c r="AM30" s="85">
        <f>IF(AND(35&gt;=$C$4,35&lt;=$E$4),1,0)</f>
        <v/>
      </c>
      <c r="AN30" s="85">
        <f>IF(AND(36&gt;=$C$4,36&lt;=$E$4),1,0)</f>
        <v/>
      </c>
      <c r="AO30" s="85">
        <f>IF(AND(37&gt;=$C$4,37&lt;=$E$4),1,0)</f>
        <v/>
      </c>
      <c r="AP30" s="85">
        <f>IF(AND(38&gt;=$C$4,38&lt;=$E$4),1,0)</f>
        <v/>
      </c>
      <c r="AQ30" s="85">
        <f>IF(AND(39&gt;=$C$4,39&lt;=$E$4),1,0)</f>
        <v/>
      </c>
      <c r="AR30" s="85">
        <f>IF(AND(40&gt;=$C$4,40&lt;=$E$4),1,0)</f>
        <v/>
      </c>
      <c r="AS30" s="85">
        <f>IF(AND(41&gt;=$C$4,41&lt;=$E$4),1,0)</f>
        <v/>
      </c>
      <c r="AT30" s="85">
        <f>IF(AND(42&gt;=$C$4,42&lt;=$E$4),1,0)</f>
        <v/>
      </c>
      <c r="AU30" s="85">
        <f>IF(AND(43&gt;=$C$4,43&lt;=$E$4),1,0)</f>
        <v/>
      </c>
      <c r="AV30" s="85">
        <f>IF(AND(44&gt;=$C$4,44&lt;=$E$4),1,0)</f>
        <v/>
      </c>
      <c r="AW30" s="85">
        <f>IF(AND(45&gt;=$C$4,45&lt;=$E$4),1,0)</f>
        <v/>
      </c>
      <c r="AX30" s="85">
        <f>IF(AND(46&gt;=$C$4,46&lt;=$E$4),1,0)</f>
        <v/>
      </c>
      <c r="AY30" s="85">
        <f>IF(AND(47&gt;=$C$4,47&lt;=$E$4),1,0)</f>
        <v/>
      </c>
      <c r="AZ30" s="85">
        <f>IF(AND(48&gt;=$C$4,48&lt;=$E$4),1,0)</f>
        <v/>
      </c>
      <c r="BA30" s="85">
        <f>IF(AND(49&gt;=$C$4,49&lt;=$E$4),1,0)</f>
        <v/>
      </c>
      <c r="BB30" s="85">
        <f>IF(AND(50&gt;=$C$4,50&lt;=$E$4),1,0)</f>
        <v/>
      </c>
      <c r="BC30" s="85">
        <f>IF(AND(51&gt;=$C$4,51&lt;=$E$4),1,0)</f>
        <v/>
      </c>
      <c r="BD30" s="85">
        <f>IF(AND(52&gt;=$C$4,52&lt;=$E$4),1,0)</f>
        <v/>
      </c>
      <c r="BE30" s="85">
        <f>IF(AND(53&gt;=$C$4,53&lt;=$E$4),1,0)</f>
        <v/>
      </c>
      <c r="BF30" s="85">
        <f>IF(AND(54&gt;=$C$4,54&lt;=$E$4),1,0)</f>
        <v/>
      </c>
      <c r="BG30" s="85">
        <f>IF(AND(55&gt;=$C$4,55&lt;=$E$4),1,0)</f>
        <v/>
      </c>
      <c r="BH30" s="85">
        <f>IF(AND(56&gt;=$C$4,56&lt;=$E$4),1,0)</f>
        <v/>
      </c>
      <c r="BI30" s="85">
        <f>IF(AND(57&gt;=$C$4,57&lt;=$E$4),1,0)</f>
        <v/>
      </c>
      <c r="BJ30" s="85">
        <f>IF(AND(58&gt;=$C$4,58&lt;=$E$4),1,0)</f>
        <v/>
      </c>
      <c r="BK30" s="85">
        <f>IF(AND(59&gt;=$C$4,59&lt;=$E$4),1,0)</f>
        <v/>
      </c>
      <c r="BL30" s="85">
        <f>IF(AND(60&gt;=$C$4,60&lt;=$E$4),1,0)</f>
        <v/>
      </c>
      <c r="BM30" s="85">
        <f>IF(AND(61&gt;=$C$4,61&lt;=$E$4),1,0)</f>
        <v/>
      </c>
      <c r="BN30" s="85">
        <f>IF(AND(62&gt;=$C$4,62&lt;=$E$4),1,0)</f>
        <v/>
      </c>
      <c r="BO30" s="85">
        <f>IF(AND(63&gt;=$C$4,63&lt;=$E$4),1,0)</f>
        <v/>
      </c>
      <c r="BP30" s="85">
        <f>IF(AND(64&gt;=$C$4,64&lt;=$E$4),1,0)</f>
        <v/>
      </c>
      <c r="BQ30" s="85">
        <f>IF(AND(65&gt;=$C$4,65&lt;=$E$4),1,0)</f>
        <v/>
      </c>
      <c r="BR30" s="85">
        <f>IF(AND(66&gt;=$C$4,66&lt;=$E$4),1,0)</f>
        <v/>
      </c>
      <c r="BS30" s="85">
        <f>IF(AND(67&gt;=$C$4,67&lt;=$E$4),1,0)</f>
        <v/>
      </c>
      <c r="BT30" s="85">
        <f>IF(AND(68&gt;=$C$4,68&lt;=$E$4),1,0)</f>
        <v/>
      </c>
      <c r="BU30" s="85">
        <f>IF(AND(69&gt;=$C$4,69&lt;=$E$4),1,0)</f>
        <v/>
      </c>
      <c r="BV30" s="85">
        <f>IF(AND(70&gt;=$C$4,70&lt;=$E$4),1,0)</f>
        <v/>
      </c>
      <c r="BW30" s="85">
        <f>IF(AND(71&gt;=$C$4,71&lt;=$E$4),1,0)</f>
        <v/>
      </c>
      <c r="BX30" s="85">
        <f>IF(AND(72&gt;=$C$4,72&lt;=$E$4),1,0)</f>
        <v/>
      </c>
      <c r="BY30" s="85">
        <f>IF(AND(73&gt;=$C$4,73&lt;=$E$4),1,0)</f>
        <v/>
      </c>
      <c r="BZ30" s="85">
        <f>IF(AND(74&gt;=$C$4,74&lt;=$E$4),1,0)</f>
        <v/>
      </c>
      <c r="CA30" s="85">
        <f>IF(AND(75&gt;=$C$4,75&lt;=$E$4),1,0)</f>
        <v/>
      </c>
      <c r="CB30" s="85">
        <f>IF(AND(76&gt;=$C$4,76&lt;=$E$4),1,0)</f>
        <v/>
      </c>
      <c r="CC30" s="85">
        <f>IF(AND(77&gt;=$C$4,77&lt;=$E$4),1,0)</f>
        <v/>
      </c>
      <c r="CD30" s="85">
        <f>IF(AND(78&gt;=$C$4,78&lt;=$E$4),1,0)</f>
        <v/>
      </c>
      <c r="CE30" s="85">
        <f>IF(AND(79&gt;=$C$4,79&lt;=$E$4),1,0)</f>
        <v/>
      </c>
      <c r="CF30" s="85">
        <f>IF(AND(80&gt;=$C$4,80&lt;=$E$4),1,0)</f>
        <v/>
      </c>
      <c r="CG30" s="85">
        <f>IF(AND(81&gt;=$C$4,81&lt;=$E$4),1,0)</f>
        <v/>
      </c>
      <c r="CH30" s="85">
        <f>IF(AND(82&gt;=$C$4,82&lt;=$E$4),1,0)</f>
        <v/>
      </c>
      <c r="CI30" s="85">
        <f>IF(AND(83&gt;=$C$4,83&lt;=$E$4),1,0)</f>
        <v/>
      </c>
      <c r="CJ30" s="85">
        <f>IF(AND(84&gt;=$C$4,84&lt;=$E$4),1,0)</f>
        <v/>
      </c>
      <c r="CK30" s="85">
        <f>IF(AND(85&gt;=$C$4,85&lt;=$E$4),1,0)</f>
        <v/>
      </c>
      <c r="CL30" s="85">
        <f>IF(AND(86&gt;=$C$4,86&lt;=$E$4),1,0)</f>
        <v/>
      </c>
      <c r="CM30" s="85">
        <f>IF(AND(87&gt;=$C$4,87&lt;=$E$4),1,0)</f>
        <v/>
      </c>
      <c r="CN30" s="85">
        <f>IF(AND(88&gt;=$C$4,88&lt;=$E$4),1,0)</f>
        <v/>
      </c>
      <c r="CO30" s="85">
        <f>IF(AND(89&gt;=$C$4,89&lt;=$E$4),1,0)</f>
        <v/>
      </c>
      <c r="CP30" s="85">
        <f>IF(AND(90&gt;=$C$4,90&lt;=$E$4),1,0)</f>
        <v/>
      </c>
      <c r="CQ30" s="85">
        <f>IF(AND(91&gt;=$C$4,91&lt;=$E$4),1,0)</f>
        <v/>
      </c>
      <c r="CR30" s="85">
        <f>IF(AND(92&gt;=$C$4,92&lt;=$E$4),1,0)</f>
        <v/>
      </c>
      <c r="CS30" s="85">
        <f>IF(AND(93&gt;=$C$4,93&lt;=$E$4),1,0)</f>
        <v/>
      </c>
      <c r="CT30" s="85">
        <f>IF(AND(94&gt;=$C$4,94&lt;=$E$4),1,0)</f>
        <v/>
      </c>
      <c r="CU30" s="85">
        <f>IF(AND(95&gt;=$C$4,95&lt;=$E$4),1,0)</f>
        <v/>
      </c>
      <c r="CV30" s="85">
        <f>IF(AND(96&gt;=$C$4,96&lt;=$E$4),1,0)</f>
        <v/>
      </c>
      <c r="CW30" s="85">
        <f>IF(AND(97&gt;=$C$4,97&lt;=$E$4),1,0)</f>
        <v/>
      </c>
      <c r="CX30" s="85">
        <f>IF(AND(98&gt;=$C$4,98&lt;=$E$4),1,0)</f>
        <v/>
      </c>
      <c r="CY30" s="85">
        <f>IF(AND(99&gt;=$C$4,99&lt;=$E$4),1,0)</f>
        <v/>
      </c>
      <c r="CZ30" s="85">
        <f>IF(AND(100&gt;=$C$4,100&lt;=$E$4),1,0)</f>
        <v/>
      </c>
      <c r="DA30" s="85">
        <f>IF(AND(101&gt;=$C$4,101&lt;=$E$4),1,0)</f>
        <v/>
      </c>
      <c r="DB30" s="85">
        <f>IF(AND(102&gt;=$C$4,102&lt;=$E$4),1,0)</f>
        <v/>
      </c>
      <c r="DC30" s="85">
        <f>IF(AND(103&gt;=$C$4,103&lt;=$E$4),1,0)</f>
        <v/>
      </c>
      <c r="DD30" s="85">
        <f>IF(AND(104&gt;=$C$4,104&lt;=$E$4),1,0)</f>
        <v/>
      </c>
      <c r="DE30" s="85">
        <f>IF(AND(105&gt;=$C$4,105&lt;=$E$4),1,0)</f>
        <v/>
      </c>
      <c r="DF30" s="85">
        <f>IF(AND(106&gt;=$C$4,106&lt;=$E$4),1,0)</f>
        <v/>
      </c>
      <c r="DG30" s="85">
        <f>IF(AND(107&gt;=$C$4,107&lt;=$E$4),1,0)</f>
        <v/>
      </c>
      <c r="DH30" s="85">
        <f>IF(AND(108&gt;=$C$4,108&lt;=$E$4),1,0)</f>
        <v/>
      </c>
      <c r="DI30" s="85">
        <f>IF(AND(109&gt;=$C$4,109&lt;=$E$4),1,0)</f>
        <v/>
      </c>
      <c r="DJ30" s="85">
        <f>IF(AND(110&gt;=$C$4,110&lt;=$E$4),1,0)</f>
        <v/>
      </c>
      <c r="DK30" s="85">
        <f>IF(AND(111&gt;=$C$4,111&lt;=$E$4),1,0)</f>
        <v/>
      </c>
      <c r="DL30" s="85">
        <f>IF(AND(112&gt;=$C$4,112&lt;=$E$4),1,0)</f>
        <v/>
      </c>
      <c r="DM30" s="85">
        <f>IF(AND(113&gt;=$C$4,113&lt;=$E$4),1,0)</f>
        <v/>
      </c>
      <c r="DN30" s="85">
        <f>IF(AND(114&gt;=$C$4,114&lt;=$E$4),1,0)</f>
        <v/>
      </c>
      <c r="DO30" s="85">
        <f>IF(AND(115&gt;=$C$4,115&lt;=$E$4),1,0)</f>
        <v/>
      </c>
      <c r="DP30" s="85">
        <f>IF(AND(116&gt;=$C$4,116&lt;=$E$4),1,0)</f>
        <v/>
      </c>
      <c r="DQ30" s="85">
        <f>IF(AND(117&gt;=$C$4,117&lt;=$E$4),1,0)</f>
        <v/>
      </c>
      <c r="DR30" s="85">
        <f>IF(AND(118&gt;=$C$4,118&lt;=$E$4),1,0)</f>
        <v/>
      </c>
      <c r="DS30" s="85">
        <f>IF(AND(119&gt;=$C$4,119&lt;=$E$4),1,0)</f>
        <v/>
      </c>
      <c r="DT30" s="85">
        <f>IF(AND(120&gt;=$C$4,120&lt;=$E$4),1,0)</f>
        <v/>
      </c>
      <c r="DU30" s="85">
        <f>IF(AND(121&gt;=$C$4,121&lt;=$E$4),1,0)</f>
        <v/>
      </c>
      <c r="DV30" s="85">
        <f>IF(AND(122&gt;=$C$4,122&lt;=$E$4),1,0)</f>
        <v/>
      </c>
      <c r="DW30" s="85">
        <f>IF(AND(123&gt;=$C$4,123&lt;=$E$4),1,0)</f>
        <v/>
      </c>
      <c r="DX30" s="85">
        <f>IF(AND(124&gt;=$C$4,124&lt;=$E$4),1,0)</f>
        <v/>
      </c>
      <c r="DY30" s="85">
        <f>IF(AND(125&gt;=$C$4,125&lt;=$E$4),1,0)</f>
        <v/>
      </c>
      <c r="DZ30" s="85">
        <f>IF(AND(126&gt;=$C$4,126&lt;=$E$4),1,0)</f>
        <v/>
      </c>
      <c r="EA30" s="85">
        <f>IF(AND(127&gt;=$C$4,127&lt;=$E$4),1,0)</f>
        <v/>
      </c>
      <c r="EB30" s="85">
        <f>IF(AND(128&gt;=$C$4,128&lt;=$E$4),1,0)</f>
        <v/>
      </c>
      <c r="EC30" s="85">
        <f>IF(AND(129&gt;=$C$4,129&lt;=$E$4),1,0)</f>
        <v/>
      </c>
      <c r="ED30" s="85">
        <f>IF(AND(130&gt;=$C$4,130&lt;=$E$4),1,0)</f>
        <v/>
      </c>
      <c r="EE30" s="85">
        <f>IF(AND(131&gt;=$C$4,131&lt;=$E$4),1,0)</f>
        <v/>
      </c>
      <c r="EF30" s="85">
        <f>IF(AND(132&gt;=$C$4,132&lt;=$E$4),1,0)</f>
        <v/>
      </c>
      <c r="EG30" s="85">
        <f>IF(AND(133&gt;=$C$4,133&lt;=$E$4),1,0)</f>
        <v/>
      </c>
      <c r="EH30" s="85">
        <f>IF(AND(134&gt;=$C$4,134&lt;=$E$4),1,0)</f>
        <v/>
      </c>
      <c r="EI30" s="85">
        <f>IF(AND(135&gt;=$C$4,135&lt;=$E$4),1,0)</f>
        <v/>
      </c>
      <c r="EJ30" s="85">
        <f>IF(AND(136&gt;=$C$4,136&lt;=$E$4),1,0)</f>
        <v/>
      </c>
      <c r="EK30" s="85">
        <f>IF(AND(137&gt;=$C$4,137&lt;=$E$4),1,0)</f>
        <v/>
      </c>
      <c r="EL30" s="85">
        <f>IF(AND(138&gt;=$C$4,138&lt;=$E$4),1,0)</f>
        <v/>
      </c>
      <c r="EM30" s="85">
        <f>IF(AND(139&gt;=$C$4,139&lt;=$E$4),1,0)</f>
        <v/>
      </c>
      <c r="EN30" s="85">
        <f>IF(AND(140&gt;=$C$4,140&lt;=$E$4),1,0)</f>
        <v/>
      </c>
      <c r="EO30" s="85">
        <f>IF(AND(141&gt;=$C$4,141&lt;=$E$4),1,0)</f>
        <v/>
      </c>
      <c r="EP30" s="85">
        <f>IF(AND(142&gt;=$C$4,142&lt;=$E$4),1,0)</f>
        <v/>
      </c>
      <c r="EQ30" s="85">
        <f>IF(AND(143&gt;=$C$4,143&lt;=$E$4),1,0)</f>
        <v/>
      </c>
      <c r="ER30" s="85">
        <f>IF(AND(144&gt;=$C$4,144&lt;=$E$4),1,0)</f>
        <v/>
      </c>
      <c r="ES30" s="85">
        <f>IF(AND(145&gt;=$C$4,145&lt;=$E$4),1,0)</f>
        <v/>
      </c>
      <c r="ET30" s="85">
        <f>IF(AND(146&gt;=$C$4,146&lt;=$E$4),1,0)</f>
        <v/>
      </c>
      <c r="EU30" s="85">
        <f>IF(AND(147&gt;=$C$4,147&lt;=$E$4),1,0)</f>
        <v/>
      </c>
      <c r="EV30" s="85">
        <f>IF(AND(148&gt;=$C$4,148&lt;=$E$4),1,0)</f>
        <v/>
      </c>
      <c r="EW30" s="85">
        <f>IF(AND(149&gt;=$C$4,149&lt;=$E$4),1,0)</f>
        <v/>
      </c>
      <c r="EX30" s="85">
        <f>IF(AND(150&gt;=$C$4,150&lt;=$E$4),1,0)</f>
        <v/>
      </c>
      <c r="EY30" s="85">
        <f>IF(AND(151&gt;=$C$4,151&lt;=$E$4),1,0)</f>
        <v/>
      </c>
      <c r="EZ30" s="85">
        <f>IF(AND(152&gt;=$C$4,152&lt;=$E$4),1,0)</f>
        <v/>
      </c>
      <c r="FA30" s="85">
        <f>IF(AND(153&gt;=$C$4,153&lt;=$E$4),1,0)</f>
        <v/>
      </c>
      <c r="FB30" s="85">
        <f>IF(AND(154&gt;=$C$4,154&lt;=$E$4),1,0)</f>
        <v/>
      </c>
      <c r="FC30" s="85">
        <f>IF(AND(155&gt;=$C$4,155&lt;=$E$4),1,0)</f>
        <v/>
      </c>
      <c r="FD30" s="85">
        <f>IF(AND(156&gt;=$C$4,156&lt;=$E$4),1,0)</f>
        <v/>
      </c>
      <c r="FE30" s="85">
        <f>IF(AND(157&gt;=$C$4,157&lt;=$E$4),1,0)</f>
        <v/>
      </c>
      <c r="FF30" s="85">
        <f>IF(AND(158&gt;=$C$4,158&lt;=$E$4),1,0)</f>
        <v/>
      </c>
      <c r="FG30" s="85">
        <f>IF(AND(159&gt;=$C$4,159&lt;=$E$4),1,0)</f>
        <v/>
      </c>
      <c r="FH30" s="85">
        <f>IF(AND(160&gt;=$C$4,160&lt;=$E$4),1,0)</f>
        <v/>
      </c>
      <c r="FI30" s="85">
        <f>IF(AND(161&gt;=$C$4,161&lt;=$E$4),1,0)</f>
        <v/>
      </c>
      <c r="FJ30" s="85">
        <f>IF(AND(162&gt;=$C$4,162&lt;=$E$4),1,0)</f>
        <v/>
      </c>
      <c r="FK30" s="85">
        <f>IF(AND(163&gt;=$C$4,163&lt;=$E$4),1,0)</f>
        <v/>
      </c>
      <c r="FL30" s="85">
        <f>IF(AND(164&gt;=$C$4,164&lt;=$E$4),1,0)</f>
        <v/>
      </c>
      <c r="FM30" s="85">
        <f>IF(AND(165&gt;=$C$4,165&lt;=$E$4),1,0)</f>
        <v/>
      </c>
      <c r="FN30" s="85">
        <f>IF(AND(166&gt;=$C$4,166&lt;=$E$4),1,0)</f>
        <v/>
      </c>
      <c r="FO30" s="85">
        <f>IF(AND(167&gt;=$C$4,167&lt;=$E$4),1,0)</f>
        <v/>
      </c>
      <c r="FP30" s="85">
        <f>IF(AND(168&gt;=$C$4,168&lt;=$E$4),1,0)</f>
        <v/>
      </c>
      <c r="FQ30" s="85">
        <f>IF(AND(169&gt;=$C$4,169&lt;=$E$4),1,0)</f>
        <v/>
      </c>
      <c r="FR30" s="85">
        <f>IF(AND(170&gt;=$C$4,170&lt;=$E$4),1,0)</f>
        <v/>
      </c>
      <c r="FS30" s="85">
        <f>IF(AND(171&gt;=$C$4,171&lt;=$E$4),1,0)</f>
        <v/>
      </c>
      <c r="FT30" s="85">
        <f>IF(AND(172&gt;=$C$4,172&lt;=$E$4),1,0)</f>
        <v/>
      </c>
      <c r="FU30" s="85">
        <f>IF(AND(173&gt;=$C$4,173&lt;=$E$4),1,0)</f>
        <v/>
      </c>
      <c r="FV30" s="85">
        <f>IF(AND(174&gt;=$C$4,174&lt;=$E$4),1,0)</f>
        <v/>
      </c>
      <c r="FW30" s="85">
        <f>IF(AND(175&gt;=$C$4,175&lt;=$E$4),1,0)</f>
        <v/>
      </c>
      <c r="FX30" s="85">
        <f>IF(AND(176&gt;=$C$4,176&lt;=$E$4),1,0)</f>
        <v/>
      </c>
      <c r="FY30" s="85">
        <f>IF(AND(177&gt;=$C$4,177&lt;=$E$4),1,0)</f>
        <v/>
      </c>
      <c r="FZ30" s="85">
        <f>IF(AND(178&gt;=$C$4,178&lt;=$E$4),1,0)</f>
        <v/>
      </c>
      <c r="GA30" s="85">
        <f>IF(AND(179&gt;=$C$4,179&lt;=$E$4),1,0)</f>
        <v/>
      </c>
      <c r="GB30" s="85">
        <f>IF(AND(180&gt;=$C$4,180&lt;=$E$4),1,0)</f>
        <v/>
      </c>
      <c r="GC30" s="85">
        <f>IF(AND(181&gt;=$C$4,181&lt;=$E$4),1,0)</f>
        <v/>
      </c>
      <c r="GD30" s="85">
        <f>IF(AND(182&gt;=$C$4,182&lt;=$E$4),1,0)</f>
        <v/>
      </c>
      <c r="GE30" s="85">
        <f>IF(AND(183&gt;=$C$4,183&lt;=$E$4),1,0)</f>
        <v/>
      </c>
      <c r="GF30" s="85">
        <f>IF(AND(184&gt;=$C$4,184&lt;=$E$4),1,0)</f>
        <v/>
      </c>
      <c r="GG30" s="85">
        <f>IF(AND(185&gt;=$C$4,185&lt;=$E$4),1,0)</f>
        <v/>
      </c>
      <c r="GH30" s="85">
        <f>IF(AND(186&gt;=$C$4,186&lt;=$E$4),1,0)</f>
        <v/>
      </c>
      <c r="GI30" s="85">
        <f>IF(AND(187&gt;=$C$4,187&lt;=$E$4),1,0)</f>
        <v/>
      </c>
      <c r="GJ30" s="85">
        <f>IF(AND(188&gt;=$C$4,188&lt;=$E$4),1,0)</f>
        <v/>
      </c>
      <c r="GK30" s="85">
        <f>IF(AND(189&gt;=$C$4,189&lt;=$E$4),1,0)</f>
        <v/>
      </c>
      <c r="GL30" s="85">
        <f>IF(AND(190&gt;=$C$4,190&lt;=$E$4),1,0)</f>
        <v/>
      </c>
      <c r="GM30" s="85">
        <f>IF(AND(191&gt;=$C$4,191&lt;=$E$4),1,0)</f>
        <v/>
      </c>
      <c r="GN30" s="85">
        <f>IF(AND(192&gt;=$C$4,192&lt;=$E$4),1,0)</f>
        <v/>
      </c>
      <c r="GO30" s="85">
        <f>IF(AND(193&gt;=$C$4,193&lt;=$E$4),1,0)</f>
        <v/>
      </c>
      <c r="GP30" s="85">
        <f>IF(AND(194&gt;=$C$4,194&lt;=$E$4),1,0)</f>
        <v/>
      </c>
      <c r="GQ30" s="85">
        <f>IF(AND(195&gt;=$C$4,195&lt;=$E$4),1,0)</f>
        <v/>
      </c>
      <c r="GR30" s="85">
        <f>IF(AND(196&gt;=$C$4,196&lt;=$E$4),1,0)</f>
        <v/>
      </c>
      <c r="GS30" s="85">
        <f>IF(AND(197&gt;=$C$4,197&lt;=$E$4),1,0)</f>
        <v/>
      </c>
      <c r="GT30" s="85">
        <f>IF(AND(198&gt;=$C$4,198&lt;=$E$4),1,0)</f>
        <v/>
      </c>
      <c r="GU30" s="85">
        <f>IF(AND(199&gt;=$C$4,199&lt;=$E$4),1,0)</f>
        <v/>
      </c>
      <c r="GV30" s="85">
        <f>IF(AND(200&gt;=$C$4,200&lt;=$E$4),1,0)</f>
        <v/>
      </c>
      <c r="GW30" s="85">
        <f>IF(AND(201&gt;=$C$4,201&lt;=$E$4),1,0)</f>
        <v/>
      </c>
      <c r="GX30" s="85">
        <f>IF(AND(202&gt;=$C$4,202&lt;=$E$4),1,0)</f>
        <v/>
      </c>
      <c r="GY30" s="85">
        <f>IF(AND(203&gt;=$C$4,203&lt;=$E$4),1,0)</f>
        <v/>
      </c>
      <c r="GZ30" s="85">
        <f>IF(AND(204&gt;=$C$4,204&lt;=$E$4),1,0)</f>
        <v/>
      </c>
      <c r="HA30" s="85">
        <f>IF(AND(205&gt;=$C$4,205&lt;=$E$4),1,0)</f>
        <v/>
      </c>
      <c r="HB30" s="85">
        <f>IF(AND(206&gt;=$C$4,206&lt;=$E$4),1,0)</f>
        <v/>
      </c>
      <c r="HC30" s="85">
        <f>IF(AND(207&gt;=$C$4,207&lt;=$E$4),1,0)</f>
        <v/>
      </c>
      <c r="HD30" s="85">
        <f>IF(AND(208&gt;=$C$4,208&lt;=$E$4),1,0)</f>
        <v/>
      </c>
      <c r="HE30" s="85">
        <f>IF(AND(209&gt;=$C$4,209&lt;=$E$4),1,0)</f>
        <v/>
      </c>
      <c r="HF30" s="85">
        <f>IF(AND(210&gt;=$C$4,210&lt;=$E$4),1,0)</f>
        <v/>
      </c>
      <c r="HG30" s="85">
        <f>IF(AND(211&gt;=$C$4,211&lt;=$E$4),1,0)</f>
        <v/>
      </c>
      <c r="HH30" s="85">
        <f>IF(AND(212&gt;=$C$4,212&lt;=$E$4),1,0)</f>
        <v/>
      </c>
      <c r="HI30" s="85">
        <f>IF(AND(213&gt;=$C$4,213&lt;=$E$4),1,0)</f>
        <v/>
      </c>
      <c r="HJ30" s="85">
        <f>IF(AND(214&gt;=$C$4,214&lt;=$E$4),1,0)</f>
        <v/>
      </c>
      <c r="HK30" s="85">
        <f>IF(AND(215&gt;=$C$4,215&lt;=$E$4),1,0)</f>
        <v/>
      </c>
      <c r="HL30" s="85">
        <f>IF(AND(216&gt;=$C$4,216&lt;=$E$4),1,0)</f>
        <v/>
      </c>
      <c r="HM30" s="85">
        <f>IF(AND(217&gt;=$C$4,217&lt;=$E$4),1,0)</f>
        <v/>
      </c>
      <c r="HN30" s="85">
        <f>IF(AND(218&gt;=$C$4,218&lt;=$E$4),1,0)</f>
        <v/>
      </c>
      <c r="HO30" s="85">
        <f>IF(AND(219&gt;=$C$4,219&lt;=$E$4),1,0)</f>
        <v/>
      </c>
      <c r="HP30" s="85">
        <f>IF(AND(220&gt;=$C$4,220&lt;=$E$4),1,0)</f>
        <v/>
      </c>
      <c r="HQ30" s="85">
        <f>IF(AND(221&gt;=$C$4,221&lt;=$E$4),1,0)</f>
        <v/>
      </c>
      <c r="HR30" s="85">
        <f>IF(AND(222&gt;=$C$4,222&lt;=$E$4),1,0)</f>
        <v/>
      </c>
      <c r="HS30" s="85">
        <f>IF(AND(223&gt;=$C$4,223&lt;=$E$4),1,0)</f>
        <v/>
      </c>
      <c r="HT30" s="85">
        <f>IF(AND(224&gt;=$C$4,224&lt;=$E$4),1,0)</f>
        <v/>
      </c>
      <c r="HU30" s="85">
        <f>IF(AND(225&gt;=$C$4,225&lt;=$E$4),1,0)</f>
        <v/>
      </c>
      <c r="HV30" s="85">
        <f>IF(AND(226&gt;=$C$4,226&lt;=$E$4),1,0)</f>
        <v/>
      </c>
      <c r="HW30" s="85">
        <f>IF(AND(227&gt;=$C$4,227&lt;=$E$4),1,0)</f>
        <v/>
      </c>
      <c r="HX30" s="85">
        <f>IF(AND(228&gt;=$C$4,228&lt;=$E$4),1,0)</f>
        <v/>
      </c>
      <c r="HY30" s="85">
        <f>IF(AND(229&gt;=$C$4,229&lt;=$E$4),1,0)</f>
        <v/>
      </c>
      <c r="HZ30" s="85">
        <f>IF(AND(230&gt;=$C$4,230&lt;=$E$4),1,0)</f>
        <v/>
      </c>
      <c r="IA30" s="85">
        <f>IF(AND(231&gt;=$C$4,231&lt;=$E$4),1,0)</f>
        <v/>
      </c>
      <c r="IB30" s="85">
        <f>IF(AND(232&gt;=$C$4,232&lt;=$E$4),1,0)</f>
        <v/>
      </c>
      <c r="IC30" s="85">
        <f>IF(AND(233&gt;=$C$4,233&lt;=$E$4),1,0)</f>
        <v/>
      </c>
      <c r="ID30" s="85">
        <f>IF(AND(234&gt;=$C$4,234&lt;=$E$4),1,0)</f>
        <v/>
      </c>
      <c r="IE30" s="85">
        <f>IF(AND(235&gt;=$C$4,235&lt;=$E$4),1,0)</f>
        <v/>
      </c>
      <c r="IF30" s="85">
        <f>IF(AND(236&gt;=$C$4,236&lt;=$E$4),1,0)</f>
        <v/>
      </c>
      <c r="IG30" s="85">
        <f>IF(AND(237&gt;=$C$4,237&lt;=$E$4),1,0)</f>
        <v/>
      </c>
      <c r="IH30" s="85">
        <f>IF(AND(238&gt;=$C$4,238&lt;=$E$4),1,0)</f>
        <v/>
      </c>
      <c r="II30" s="85">
        <f>IF(AND(239&gt;=$C$4,239&lt;=$E$4),1,0)</f>
        <v/>
      </c>
      <c r="IJ30" s="85">
        <f>IF(AND(240&gt;=$C$4,240&lt;=$E$4),1,0)</f>
        <v/>
      </c>
      <c r="IK30" s="85">
        <f>IF(AND(241&gt;=$C$4,241&lt;=$E$4),1,0)</f>
        <v/>
      </c>
      <c r="IL30" s="85">
        <f>IF(AND(242&gt;=$C$4,242&lt;=$E$4),1,0)</f>
        <v/>
      </c>
      <c r="IM30" s="85">
        <f>IF(AND(243&gt;=$C$4,243&lt;=$E$4),1,0)</f>
        <v/>
      </c>
      <c r="IN30" s="85">
        <f>IF(AND(244&gt;=$C$4,244&lt;=$E$4),1,0)</f>
        <v/>
      </c>
      <c r="IO30" s="85">
        <f>IF(AND(245&gt;=$C$4,245&lt;=$E$4),1,0)</f>
        <v/>
      </c>
      <c r="IP30" s="85">
        <f>IF(AND(246&gt;=$C$4,246&lt;=$E$4),1,0)</f>
        <v/>
      </c>
      <c r="IQ30" s="85">
        <f>IF(AND(247&gt;=$C$4,247&lt;=$E$4),1,0)</f>
        <v/>
      </c>
      <c r="IR30" s="85">
        <f>IF(AND(248&gt;=$C$4,248&lt;=$E$4),1,0)</f>
        <v/>
      </c>
      <c r="IS30" s="85">
        <f>IF(AND(249&gt;=$C$4,249&lt;=$E$4),1,0)</f>
        <v/>
      </c>
      <c r="IT30" s="85">
        <f>IF(AND(250&gt;=$C$4,250&lt;=$E$4),1,0)</f>
        <v/>
      </c>
      <c r="IU30" s="85">
        <f>IF(AND(251&gt;=$C$4,251&lt;=$E$4),1,0)</f>
        <v/>
      </c>
      <c r="IV30" s="85">
        <f>IF(AND(252&gt;=$C$4,252&lt;=$E$4),1,0)</f>
        <v/>
      </c>
      <c r="IW30" s="85">
        <f>IF(AND(253&gt;=$C$4,253&lt;=$E$4),1,0)</f>
        <v/>
      </c>
      <c r="IX30" s="85">
        <f>IF(AND(254&gt;=$C$4,254&lt;=$E$4),1,0)</f>
        <v/>
      </c>
      <c r="IY30" s="85">
        <f>IF(AND(255&gt;=$C$4,255&lt;=$E$4),1,0)</f>
        <v/>
      </c>
      <c r="IZ30" s="85">
        <f>IF(AND(256&gt;=$C$4,256&lt;=$E$4),1,0)</f>
        <v/>
      </c>
      <c r="JA30" s="85">
        <f>IF(AND(257&gt;=$C$4,257&lt;=$E$4),1,0)</f>
        <v/>
      </c>
      <c r="JB30" s="85">
        <f>IF(AND(258&gt;=$C$4,258&lt;=$E$4),1,0)</f>
        <v/>
      </c>
      <c r="JC30" s="85">
        <f>IF(AND(259&gt;=$C$4,259&lt;=$E$4),1,0)</f>
        <v/>
      </c>
      <c r="JD30" s="85">
        <f>IF(AND(260&gt;=$C$4,260&lt;=$E$4),1,0)</f>
        <v/>
      </c>
      <c r="JE30" s="85">
        <f>IF(AND(261&gt;=$C$4,261&lt;=$E$4),1,0)</f>
        <v/>
      </c>
      <c r="JF30" s="85">
        <f>IF(AND(262&gt;=$C$4,262&lt;=$E$4),1,0)</f>
        <v/>
      </c>
      <c r="JG30" s="85">
        <f>IF(AND(263&gt;=$C$4,263&lt;=$E$4),1,0)</f>
        <v/>
      </c>
      <c r="JH30" s="85">
        <f>IF(AND(264&gt;=$C$4,264&lt;=$E$4),1,0)</f>
        <v/>
      </c>
      <c r="JI30" s="85">
        <f>IF(AND(265&gt;=$C$4,265&lt;=$E$4),1,0)</f>
        <v/>
      </c>
      <c r="JJ30" s="85">
        <f>IF(AND(266&gt;=$C$4,266&lt;=$E$4),1,0)</f>
        <v/>
      </c>
      <c r="JK30" s="85">
        <f>IF(AND(267&gt;=$C$4,267&lt;=$E$4),1,0)</f>
        <v/>
      </c>
      <c r="JL30" s="85">
        <f>IF(AND(268&gt;=$C$4,268&lt;=$E$4),1,0)</f>
        <v/>
      </c>
      <c r="JM30" s="85">
        <f>IF(AND(269&gt;=$C$4,269&lt;=$E$4),1,0)</f>
        <v/>
      </c>
      <c r="JN30" s="85">
        <f>IF(AND(270&gt;=$C$4,270&lt;=$E$4),1,0)</f>
        <v/>
      </c>
      <c r="JO30" s="85">
        <f>IF(AND(271&gt;=$C$4,271&lt;=$E$4),1,0)</f>
        <v/>
      </c>
      <c r="JP30" s="85">
        <f>IF(AND(272&gt;=$C$4,272&lt;=$E$4),1,0)</f>
        <v/>
      </c>
      <c r="JQ30" s="85">
        <f>IF(AND(273&gt;=$C$4,273&lt;=$E$4),1,0)</f>
        <v/>
      </c>
      <c r="JR30" s="85">
        <f>IF(AND(274&gt;=$C$4,274&lt;=$E$4),1,0)</f>
        <v/>
      </c>
      <c r="JS30" s="85">
        <f>IF(AND(275&gt;=$C$4,275&lt;=$E$4),1,0)</f>
        <v/>
      </c>
      <c r="JT30" s="85">
        <f>IF(AND(276&gt;=$C$4,276&lt;=$E$4),1,0)</f>
        <v/>
      </c>
      <c r="JU30" s="85">
        <f>IF(AND(277&gt;=$C$4,277&lt;=$E$4),1,0)</f>
        <v/>
      </c>
      <c r="JV30" s="85">
        <f>IF(AND(278&gt;=$C$4,278&lt;=$E$4),1,0)</f>
        <v/>
      </c>
      <c r="JW30" s="85">
        <f>IF(AND(279&gt;=$C$4,279&lt;=$E$4),1,0)</f>
        <v/>
      </c>
      <c r="JX30" s="85">
        <f>IF(AND(280&gt;=$C$4,280&lt;=$E$4),1,0)</f>
        <v/>
      </c>
      <c r="JY30" s="85">
        <f>IF(AND(281&gt;=$C$4,281&lt;=$E$4),1,0)</f>
        <v/>
      </c>
      <c r="JZ30" s="85">
        <f>IF(AND(282&gt;=$C$4,282&lt;=$E$4),1,0)</f>
        <v/>
      </c>
      <c r="KA30" s="85">
        <f>IF(AND(283&gt;=$C$4,283&lt;=$E$4),1,0)</f>
        <v/>
      </c>
      <c r="KB30" s="85">
        <f>IF(AND(284&gt;=$C$4,284&lt;=$E$4),1,0)</f>
        <v/>
      </c>
      <c r="KC30" s="85">
        <f>IF(AND(285&gt;=$C$4,285&lt;=$E$4),1,0)</f>
        <v/>
      </c>
      <c r="KD30" s="85">
        <f>IF(AND(286&gt;=$C$4,286&lt;=$E$4),1,0)</f>
        <v/>
      </c>
      <c r="KE30" s="85">
        <f>IF(AND(287&gt;=$C$4,287&lt;=$E$4),1,0)</f>
        <v/>
      </c>
      <c r="KF30" s="85">
        <f>IF(AND(288&gt;=$C$4,288&lt;=$E$4),1,0)</f>
        <v/>
      </c>
      <c r="KG30" s="85">
        <f>IF(AND(289&gt;=$C$4,289&lt;=$E$4),1,0)</f>
        <v/>
      </c>
      <c r="KH30" s="85">
        <f>IF(AND(290&gt;=$C$4,290&lt;=$E$4),1,0)</f>
        <v/>
      </c>
      <c r="KI30" s="85">
        <f>IF(AND(291&gt;=$C$4,291&lt;=$E$4),1,0)</f>
        <v/>
      </c>
      <c r="KJ30" s="85">
        <f>IF(AND(292&gt;=$C$4,292&lt;=$E$4),1,0)</f>
        <v/>
      </c>
      <c r="KK30" s="85">
        <f>IF(AND(293&gt;=$C$4,293&lt;=$E$4),1,0)</f>
        <v/>
      </c>
      <c r="KL30" s="85">
        <f>IF(AND(294&gt;=$C$4,294&lt;=$E$4),1,0)</f>
        <v/>
      </c>
      <c r="KM30" s="85">
        <f>IF(AND(295&gt;=$C$4,295&lt;=$E$4),1,0)</f>
        <v/>
      </c>
      <c r="KN30" s="85">
        <f>IF(AND(296&gt;=$C$4,296&lt;=$E$4),1,0)</f>
        <v/>
      </c>
      <c r="KO30" s="85">
        <f>IF(AND(297&gt;=$C$4,297&lt;=$E$4),1,0)</f>
        <v/>
      </c>
      <c r="KP30" s="85">
        <f>IF(AND(298&gt;=$C$4,298&lt;=$E$4),1,0)</f>
        <v/>
      </c>
      <c r="KQ30" s="85">
        <f>IF(AND(299&gt;=$C$4,299&lt;=$E$4),1,0)</f>
        <v/>
      </c>
      <c r="KR30" s="85">
        <f>IF(AND(300&gt;=$C$4,300&lt;=$E$4),1,0)</f>
        <v/>
      </c>
      <c r="KS30" s="85">
        <f>IF(AND(301&gt;=$C$4,301&lt;=$E$4),1,0)</f>
        <v/>
      </c>
      <c r="KT30" s="85">
        <f>IF(AND(302&gt;=$C$4,302&lt;=$E$4),1,0)</f>
        <v/>
      </c>
      <c r="KU30" s="85">
        <f>IF(AND(303&gt;=$C$4,303&lt;=$E$4),1,0)</f>
        <v/>
      </c>
      <c r="KV30" s="85">
        <f>IF(AND(304&gt;=$C$4,304&lt;=$E$4),1,0)</f>
        <v/>
      </c>
      <c r="KW30" s="85">
        <f>IF(AND(305&gt;=$C$4,305&lt;=$E$4),1,0)</f>
        <v/>
      </c>
      <c r="KX30" s="85">
        <f>IF(AND(306&gt;=$C$4,306&lt;=$E$4),1,0)</f>
        <v/>
      </c>
      <c r="KY30" s="85">
        <f>IF(AND(307&gt;=$C$4,307&lt;=$E$4),1,0)</f>
        <v/>
      </c>
      <c r="KZ30" s="85">
        <f>IF(AND(308&gt;=$C$4,308&lt;=$E$4),1,0)</f>
        <v/>
      </c>
      <c r="LA30" s="85">
        <f>IF(AND(309&gt;=$C$4,309&lt;=$E$4),1,0)</f>
        <v/>
      </c>
      <c r="LB30" s="85">
        <f>IF(AND(310&gt;=$C$4,310&lt;=$E$4),1,0)</f>
        <v/>
      </c>
      <c r="LC30" s="85">
        <f>IF(AND(311&gt;=$C$4,311&lt;=$E$4),1,0)</f>
        <v/>
      </c>
      <c r="LD30" s="85">
        <f>IF(AND(312&gt;=$C$4,312&lt;=$E$4),1,0)</f>
        <v/>
      </c>
      <c r="LE30" s="85">
        <f>IF(AND(313&gt;=$C$4,313&lt;=$E$4),1,0)</f>
        <v/>
      </c>
      <c r="LF30" s="85">
        <f>IF(AND(314&gt;=$C$4,314&lt;=$E$4),1,0)</f>
        <v/>
      </c>
      <c r="LG30" s="85">
        <f>IF(AND(315&gt;=$C$4,315&lt;=$E$4),1,0)</f>
        <v/>
      </c>
      <c r="LH30" s="85">
        <f>IF(AND(316&gt;=$C$4,316&lt;=$E$4),1,0)</f>
        <v/>
      </c>
      <c r="LI30" s="85">
        <f>IF(AND(317&gt;=$C$4,317&lt;=$E$4),1,0)</f>
        <v/>
      </c>
      <c r="LJ30" s="85">
        <f>IF(AND(318&gt;=$C$4,318&lt;=$E$4),1,0)</f>
        <v/>
      </c>
      <c r="LK30" s="85">
        <f>IF(AND(319&gt;=$C$4,319&lt;=$E$4),1,0)</f>
        <v/>
      </c>
      <c r="LL30" s="85">
        <f>IF(AND(320&gt;=$C$4,320&lt;=$E$4),1,0)</f>
        <v/>
      </c>
      <c r="LM30" s="85">
        <f>IF(AND(321&gt;=$C$4,321&lt;=$E$4),1,0)</f>
        <v/>
      </c>
      <c r="LN30" s="85">
        <f>IF(AND(322&gt;=$C$4,322&lt;=$E$4),1,0)</f>
        <v/>
      </c>
      <c r="LO30" s="85">
        <f>IF(AND(323&gt;=$C$4,323&lt;=$E$4),1,0)</f>
        <v/>
      </c>
      <c r="LP30" s="85">
        <f>IF(AND(324&gt;=$C$4,324&lt;=$E$4),1,0)</f>
        <v/>
      </c>
      <c r="LQ30" s="85">
        <f>IF(AND(325&gt;=$C$4,325&lt;=$E$4),1,0)</f>
        <v/>
      </c>
      <c r="LR30" s="85">
        <f>IF(AND(326&gt;=$C$4,326&lt;=$E$4),1,0)</f>
        <v/>
      </c>
      <c r="LS30" s="85">
        <f>IF(AND(327&gt;=$C$4,327&lt;=$E$4),1,0)</f>
        <v/>
      </c>
      <c r="LT30" s="85">
        <f>IF(AND(328&gt;=$C$4,328&lt;=$E$4),1,0)</f>
        <v/>
      </c>
      <c r="LU30" s="85">
        <f>IF(AND(329&gt;=$C$4,329&lt;=$E$4),1,0)</f>
        <v/>
      </c>
      <c r="LV30" s="85">
        <f>IF(AND(330&gt;=$C$4,330&lt;=$E$4),1,0)</f>
        <v/>
      </c>
      <c r="LW30" s="85">
        <f>IF(AND(331&gt;=$C$4,331&lt;=$E$4),1,0)</f>
        <v/>
      </c>
      <c r="LX30" s="85">
        <f>IF(AND(332&gt;=$C$4,332&lt;=$E$4),1,0)</f>
        <v/>
      </c>
      <c r="LY30" s="85">
        <f>IF(AND(333&gt;=$C$4,333&lt;=$E$4),1,0)</f>
        <v/>
      </c>
      <c r="LZ30" s="85">
        <f>IF(AND(334&gt;=$C$4,334&lt;=$E$4),1,0)</f>
        <v/>
      </c>
      <c r="MA30" s="85">
        <f>IF(AND(335&gt;=$C$4,335&lt;=$E$4),1,0)</f>
        <v/>
      </c>
      <c r="MB30" s="85">
        <f>IF(AND(336&gt;=$C$4,336&lt;=$E$4),1,0)</f>
        <v/>
      </c>
      <c r="MC30" s="85">
        <f>IF(AND(337&gt;=$C$4,337&lt;=$E$4),1,0)</f>
        <v/>
      </c>
      <c r="MD30" s="85">
        <f>IF(AND(338&gt;=$C$4,338&lt;=$E$4),1,0)</f>
        <v/>
      </c>
      <c r="ME30" s="85">
        <f>IF(AND(339&gt;=$C$4,339&lt;=$E$4),1,0)</f>
        <v/>
      </c>
      <c r="MF30" s="85">
        <f>IF(AND(340&gt;=$C$4,340&lt;=$E$4),1,0)</f>
        <v/>
      </c>
      <c r="MG30" s="85">
        <f>IF(AND(341&gt;=$C$4,341&lt;=$E$4),1,0)</f>
        <v/>
      </c>
      <c r="MH30" s="85">
        <f>IF(AND(342&gt;=$C$4,342&lt;=$E$4),1,0)</f>
        <v/>
      </c>
      <c r="MI30" s="85">
        <f>IF(AND(343&gt;=$C$4,343&lt;=$E$4),1,0)</f>
        <v/>
      </c>
      <c r="MJ30" s="85">
        <f>IF(AND(344&gt;=$C$4,344&lt;=$E$4),1,0)</f>
        <v/>
      </c>
      <c r="MK30" s="85">
        <f>IF(AND(345&gt;=$C$4,345&lt;=$E$4),1,0)</f>
        <v/>
      </c>
      <c r="ML30" s="85">
        <f>IF(AND(346&gt;=$C$4,346&lt;=$E$4),1,0)</f>
        <v/>
      </c>
      <c r="MM30" s="85">
        <f>IF(AND(347&gt;=$C$4,347&lt;=$E$4),1,0)</f>
        <v/>
      </c>
      <c r="MN30" s="85">
        <f>IF(AND(348&gt;=$C$4,348&lt;=$E$4),1,0)</f>
        <v/>
      </c>
      <c r="MO30" s="85">
        <f>IF(AND(349&gt;=$C$4,349&lt;=$E$4),1,0)</f>
        <v/>
      </c>
      <c r="MP30" s="85">
        <f>IF(AND(350&gt;=$C$4,350&lt;=$E$4),1,0)</f>
        <v/>
      </c>
      <c r="MQ30" s="85">
        <f>IF(AND(351&gt;=$C$4,351&lt;=$E$4),1,0)</f>
        <v/>
      </c>
      <c r="MR30" s="85">
        <f>IF(AND(352&gt;=$C$4,352&lt;=$E$4),1,0)</f>
        <v/>
      </c>
      <c r="MS30" s="85">
        <f>IF(AND(353&gt;=$C$4,353&lt;=$E$4),1,0)</f>
        <v/>
      </c>
      <c r="MT30" s="85">
        <f>IF(AND(354&gt;=$C$4,354&lt;=$E$4),1,0)</f>
        <v/>
      </c>
      <c r="MU30" s="85">
        <f>IF(AND(355&gt;=$C$4,355&lt;=$E$4),1,0)</f>
        <v/>
      </c>
      <c r="MV30" s="85">
        <f>IF(AND(356&gt;=$C$4,356&lt;=$E$4),1,0)</f>
        <v/>
      </c>
      <c r="MW30" s="85">
        <f>IF(AND(357&gt;=$C$4,357&lt;=$E$4),1,0)</f>
        <v/>
      </c>
      <c r="MX30" s="85">
        <f>IF(AND(358&gt;=$C$4,358&lt;=$E$4),1,0)</f>
        <v/>
      </c>
      <c r="MY30" s="85">
        <f>IF(AND(359&gt;=$C$4,359&lt;=$E$4),1,0)</f>
        <v/>
      </c>
      <c r="MZ30" s="85">
        <f>IF(AND(360&gt;=$C$4,360&lt;=$E$4),1,0)</f>
        <v/>
      </c>
      <c r="NA30" s="85">
        <f>IF(AND(361&gt;=$C$4,361&lt;=$E$4),1,0)</f>
        <v/>
      </c>
      <c r="NB30" s="85">
        <f>IF(AND(362&gt;=$C$4,362&lt;=$E$4),1,0)</f>
        <v/>
      </c>
      <c r="NC30" s="85">
        <f>IF(AND(363&gt;=$C$4,363&lt;=$E$4),1,0)</f>
        <v/>
      </c>
      <c r="ND30" s="85">
        <f>IF(AND(364&gt;=$C$4,364&lt;=$E$4),1,0)</f>
        <v/>
      </c>
      <c r="NE30" s="85">
        <f>IF(AND(365&gt;=$C$4,365&lt;=$E$4),1,0)</f>
        <v/>
      </c>
      <c r="NF30" s="85">
        <f>IF(AND(366&gt;=$C$4,366&lt;=$E$4),1,0)</f>
        <v/>
      </c>
      <c r="NG30" s="85">
        <f>IF(AND(367&gt;=$C$4,367&lt;=$E$4),1,0)</f>
        <v/>
      </c>
      <c r="NH30" s="85">
        <f>IF(AND(368&gt;=$C$4,368&lt;=$E$4),1,0)</f>
        <v/>
      </c>
      <c r="NI30" s="85">
        <f>IF(AND(369&gt;=$C$4,369&lt;=$E$4),1,0)</f>
        <v/>
      </c>
      <c r="NJ30" s="85">
        <f>IF(AND(370&gt;=$C$4,370&lt;=$E$4),1,0)</f>
        <v/>
      </c>
      <c r="NK30" s="85">
        <f>IF(AND(371&gt;=$C$4,371&lt;=$E$4),1,0)</f>
        <v/>
      </c>
      <c r="NL30" s="85">
        <f>IF(AND(372&gt;=$C$4,372&lt;=$E$4),1,0)</f>
        <v/>
      </c>
    </row>
    <row r="31">
      <c r="B31" s="36" t="inlineStr">
        <is>
          <t>Flag: Due Diligence</t>
        </is>
      </c>
      <c r="D31" s="124" t="n"/>
      <c r="E31" s="85">
        <f>IF(AND(1&gt;=$C$5,1&lt;=$E$5),1,0)</f>
        <v/>
      </c>
      <c r="F31" s="85">
        <f>IF(AND(2&gt;=$C$5,2&lt;=$E$5),1,0)</f>
        <v/>
      </c>
      <c r="G31" s="85">
        <f>IF(AND(3&gt;=$C$5,3&lt;=$E$5),1,0)</f>
        <v/>
      </c>
      <c r="H31" s="85">
        <f>IF(AND(4&gt;=$C$5,4&lt;=$E$5),1,0)</f>
        <v/>
      </c>
      <c r="I31" s="85">
        <f>IF(AND(5&gt;=$C$5,5&lt;=$E$5),1,0)</f>
        <v/>
      </c>
      <c r="J31" s="85">
        <f>IF(AND(6&gt;=$C$5,6&lt;=$E$5),1,0)</f>
        <v/>
      </c>
      <c r="K31" s="85">
        <f>IF(AND(7&gt;=$C$5,7&lt;=$E$5),1,0)</f>
        <v/>
      </c>
      <c r="L31" s="85">
        <f>IF(AND(8&gt;=$C$5,8&lt;=$E$5),1,0)</f>
        <v/>
      </c>
      <c r="M31" s="85">
        <f>IF(AND(9&gt;=$C$5,9&lt;=$E$5),1,0)</f>
        <v/>
      </c>
      <c r="N31" s="85">
        <f>IF(AND(10&gt;=$C$5,10&lt;=$E$5),1,0)</f>
        <v/>
      </c>
      <c r="O31" s="85">
        <f>IF(AND(11&gt;=$C$5,11&lt;=$E$5),1,0)</f>
        <v/>
      </c>
      <c r="P31" s="85">
        <f>IF(AND(12&gt;=$C$5,12&lt;=$E$5),1,0)</f>
        <v/>
      </c>
      <c r="Q31" s="85">
        <f>IF(AND(13&gt;=$C$5,13&lt;=$E$5),1,0)</f>
        <v/>
      </c>
      <c r="R31" s="85">
        <f>IF(AND(14&gt;=$C$5,14&lt;=$E$5),1,0)</f>
        <v/>
      </c>
      <c r="S31" s="85">
        <f>IF(AND(15&gt;=$C$5,15&lt;=$E$5),1,0)</f>
        <v/>
      </c>
      <c r="T31" s="85">
        <f>IF(AND(16&gt;=$C$5,16&lt;=$E$5),1,0)</f>
        <v/>
      </c>
      <c r="U31" s="85">
        <f>IF(AND(17&gt;=$C$5,17&lt;=$E$5),1,0)</f>
        <v/>
      </c>
      <c r="V31" s="85">
        <f>IF(AND(18&gt;=$C$5,18&lt;=$E$5),1,0)</f>
        <v/>
      </c>
      <c r="W31" s="85">
        <f>IF(AND(19&gt;=$C$5,19&lt;=$E$5),1,0)</f>
        <v/>
      </c>
      <c r="X31" s="85">
        <f>IF(AND(20&gt;=$C$5,20&lt;=$E$5),1,0)</f>
        <v/>
      </c>
      <c r="Y31" s="85">
        <f>IF(AND(21&gt;=$C$5,21&lt;=$E$5),1,0)</f>
        <v/>
      </c>
      <c r="Z31" s="85">
        <f>IF(AND(22&gt;=$C$5,22&lt;=$E$5),1,0)</f>
        <v/>
      </c>
      <c r="AA31" s="85">
        <f>IF(AND(23&gt;=$C$5,23&lt;=$E$5),1,0)</f>
        <v/>
      </c>
      <c r="AB31" s="85">
        <f>IF(AND(24&gt;=$C$5,24&lt;=$E$5),1,0)</f>
        <v/>
      </c>
      <c r="AC31" s="85">
        <f>IF(AND(25&gt;=$C$5,25&lt;=$E$5),1,0)</f>
        <v/>
      </c>
      <c r="AD31" s="85">
        <f>IF(AND(26&gt;=$C$5,26&lt;=$E$5),1,0)</f>
        <v/>
      </c>
      <c r="AE31" s="85">
        <f>IF(AND(27&gt;=$C$5,27&lt;=$E$5),1,0)</f>
        <v/>
      </c>
      <c r="AF31" s="85">
        <f>IF(AND(28&gt;=$C$5,28&lt;=$E$5),1,0)</f>
        <v/>
      </c>
      <c r="AG31" s="85">
        <f>IF(AND(29&gt;=$C$5,29&lt;=$E$5),1,0)</f>
        <v/>
      </c>
      <c r="AH31" s="85">
        <f>IF(AND(30&gt;=$C$5,30&lt;=$E$5),1,0)</f>
        <v/>
      </c>
      <c r="AI31" s="85">
        <f>IF(AND(31&gt;=$C$5,31&lt;=$E$5),1,0)</f>
        <v/>
      </c>
      <c r="AJ31" s="85">
        <f>IF(AND(32&gt;=$C$5,32&lt;=$E$5),1,0)</f>
        <v/>
      </c>
      <c r="AK31" s="85">
        <f>IF(AND(33&gt;=$C$5,33&lt;=$E$5),1,0)</f>
        <v/>
      </c>
      <c r="AL31" s="85">
        <f>IF(AND(34&gt;=$C$5,34&lt;=$E$5),1,0)</f>
        <v/>
      </c>
      <c r="AM31" s="85">
        <f>IF(AND(35&gt;=$C$5,35&lt;=$E$5),1,0)</f>
        <v/>
      </c>
      <c r="AN31" s="85">
        <f>IF(AND(36&gt;=$C$5,36&lt;=$E$5),1,0)</f>
        <v/>
      </c>
      <c r="AO31" s="85">
        <f>IF(AND(37&gt;=$C$5,37&lt;=$E$5),1,0)</f>
        <v/>
      </c>
      <c r="AP31" s="85">
        <f>IF(AND(38&gt;=$C$5,38&lt;=$E$5),1,0)</f>
        <v/>
      </c>
      <c r="AQ31" s="85">
        <f>IF(AND(39&gt;=$C$5,39&lt;=$E$5),1,0)</f>
        <v/>
      </c>
      <c r="AR31" s="85">
        <f>IF(AND(40&gt;=$C$5,40&lt;=$E$5),1,0)</f>
        <v/>
      </c>
      <c r="AS31" s="85">
        <f>IF(AND(41&gt;=$C$5,41&lt;=$E$5),1,0)</f>
        <v/>
      </c>
      <c r="AT31" s="85">
        <f>IF(AND(42&gt;=$C$5,42&lt;=$E$5),1,0)</f>
        <v/>
      </c>
      <c r="AU31" s="85">
        <f>IF(AND(43&gt;=$C$5,43&lt;=$E$5),1,0)</f>
        <v/>
      </c>
      <c r="AV31" s="85">
        <f>IF(AND(44&gt;=$C$5,44&lt;=$E$5),1,0)</f>
        <v/>
      </c>
      <c r="AW31" s="85">
        <f>IF(AND(45&gt;=$C$5,45&lt;=$E$5),1,0)</f>
        <v/>
      </c>
      <c r="AX31" s="85">
        <f>IF(AND(46&gt;=$C$5,46&lt;=$E$5),1,0)</f>
        <v/>
      </c>
      <c r="AY31" s="85">
        <f>IF(AND(47&gt;=$C$5,47&lt;=$E$5),1,0)</f>
        <v/>
      </c>
      <c r="AZ31" s="85">
        <f>IF(AND(48&gt;=$C$5,48&lt;=$E$5),1,0)</f>
        <v/>
      </c>
      <c r="BA31" s="85">
        <f>IF(AND(49&gt;=$C$5,49&lt;=$E$5),1,0)</f>
        <v/>
      </c>
      <c r="BB31" s="85">
        <f>IF(AND(50&gt;=$C$5,50&lt;=$E$5),1,0)</f>
        <v/>
      </c>
      <c r="BC31" s="85">
        <f>IF(AND(51&gt;=$C$5,51&lt;=$E$5),1,0)</f>
        <v/>
      </c>
      <c r="BD31" s="85">
        <f>IF(AND(52&gt;=$C$5,52&lt;=$E$5),1,0)</f>
        <v/>
      </c>
      <c r="BE31" s="85">
        <f>IF(AND(53&gt;=$C$5,53&lt;=$E$5),1,0)</f>
        <v/>
      </c>
      <c r="BF31" s="85">
        <f>IF(AND(54&gt;=$C$5,54&lt;=$E$5),1,0)</f>
        <v/>
      </c>
      <c r="BG31" s="85">
        <f>IF(AND(55&gt;=$C$5,55&lt;=$E$5),1,0)</f>
        <v/>
      </c>
      <c r="BH31" s="85">
        <f>IF(AND(56&gt;=$C$5,56&lt;=$E$5),1,0)</f>
        <v/>
      </c>
      <c r="BI31" s="85">
        <f>IF(AND(57&gt;=$C$5,57&lt;=$E$5),1,0)</f>
        <v/>
      </c>
      <c r="BJ31" s="85">
        <f>IF(AND(58&gt;=$C$5,58&lt;=$E$5),1,0)</f>
        <v/>
      </c>
      <c r="BK31" s="85">
        <f>IF(AND(59&gt;=$C$5,59&lt;=$E$5),1,0)</f>
        <v/>
      </c>
      <c r="BL31" s="85">
        <f>IF(AND(60&gt;=$C$5,60&lt;=$E$5),1,0)</f>
        <v/>
      </c>
      <c r="BM31" s="85">
        <f>IF(AND(61&gt;=$C$5,61&lt;=$E$5),1,0)</f>
        <v/>
      </c>
      <c r="BN31" s="85">
        <f>IF(AND(62&gt;=$C$5,62&lt;=$E$5),1,0)</f>
        <v/>
      </c>
      <c r="BO31" s="85">
        <f>IF(AND(63&gt;=$C$5,63&lt;=$E$5),1,0)</f>
        <v/>
      </c>
      <c r="BP31" s="85">
        <f>IF(AND(64&gt;=$C$5,64&lt;=$E$5),1,0)</f>
        <v/>
      </c>
      <c r="BQ31" s="85">
        <f>IF(AND(65&gt;=$C$5,65&lt;=$E$5),1,0)</f>
        <v/>
      </c>
      <c r="BR31" s="85">
        <f>IF(AND(66&gt;=$C$5,66&lt;=$E$5),1,0)</f>
        <v/>
      </c>
      <c r="BS31" s="85">
        <f>IF(AND(67&gt;=$C$5,67&lt;=$E$5),1,0)</f>
        <v/>
      </c>
      <c r="BT31" s="85">
        <f>IF(AND(68&gt;=$C$5,68&lt;=$E$5),1,0)</f>
        <v/>
      </c>
      <c r="BU31" s="85">
        <f>IF(AND(69&gt;=$C$5,69&lt;=$E$5),1,0)</f>
        <v/>
      </c>
      <c r="BV31" s="85">
        <f>IF(AND(70&gt;=$C$5,70&lt;=$E$5),1,0)</f>
        <v/>
      </c>
      <c r="BW31" s="85">
        <f>IF(AND(71&gt;=$C$5,71&lt;=$E$5),1,0)</f>
        <v/>
      </c>
      <c r="BX31" s="85">
        <f>IF(AND(72&gt;=$C$5,72&lt;=$E$5),1,0)</f>
        <v/>
      </c>
      <c r="BY31" s="85">
        <f>IF(AND(73&gt;=$C$5,73&lt;=$E$5),1,0)</f>
        <v/>
      </c>
      <c r="BZ31" s="85">
        <f>IF(AND(74&gt;=$C$5,74&lt;=$E$5),1,0)</f>
        <v/>
      </c>
      <c r="CA31" s="85">
        <f>IF(AND(75&gt;=$C$5,75&lt;=$E$5),1,0)</f>
        <v/>
      </c>
      <c r="CB31" s="85">
        <f>IF(AND(76&gt;=$C$5,76&lt;=$E$5),1,0)</f>
        <v/>
      </c>
      <c r="CC31" s="85">
        <f>IF(AND(77&gt;=$C$5,77&lt;=$E$5),1,0)</f>
        <v/>
      </c>
      <c r="CD31" s="85">
        <f>IF(AND(78&gt;=$C$5,78&lt;=$E$5),1,0)</f>
        <v/>
      </c>
      <c r="CE31" s="85">
        <f>IF(AND(79&gt;=$C$5,79&lt;=$E$5),1,0)</f>
        <v/>
      </c>
      <c r="CF31" s="85">
        <f>IF(AND(80&gt;=$C$5,80&lt;=$E$5),1,0)</f>
        <v/>
      </c>
      <c r="CG31" s="85">
        <f>IF(AND(81&gt;=$C$5,81&lt;=$E$5),1,0)</f>
        <v/>
      </c>
      <c r="CH31" s="85">
        <f>IF(AND(82&gt;=$C$5,82&lt;=$E$5),1,0)</f>
        <v/>
      </c>
      <c r="CI31" s="85">
        <f>IF(AND(83&gt;=$C$5,83&lt;=$E$5),1,0)</f>
        <v/>
      </c>
      <c r="CJ31" s="85">
        <f>IF(AND(84&gt;=$C$5,84&lt;=$E$5),1,0)</f>
        <v/>
      </c>
      <c r="CK31" s="85">
        <f>IF(AND(85&gt;=$C$5,85&lt;=$E$5),1,0)</f>
        <v/>
      </c>
      <c r="CL31" s="85">
        <f>IF(AND(86&gt;=$C$5,86&lt;=$E$5),1,0)</f>
        <v/>
      </c>
      <c r="CM31" s="85">
        <f>IF(AND(87&gt;=$C$5,87&lt;=$E$5),1,0)</f>
        <v/>
      </c>
      <c r="CN31" s="85">
        <f>IF(AND(88&gt;=$C$5,88&lt;=$E$5),1,0)</f>
        <v/>
      </c>
      <c r="CO31" s="85">
        <f>IF(AND(89&gt;=$C$5,89&lt;=$E$5),1,0)</f>
        <v/>
      </c>
      <c r="CP31" s="85">
        <f>IF(AND(90&gt;=$C$5,90&lt;=$E$5),1,0)</f>
        <v/>
      </c>
      <c r="CQ31" s="85">
        <f>IF(AND(91&gt;=$C$5,91&lt;=$E$5),1,0)</f>
        <v/>
      </c>
      <c r="CR31" s="85">
        <f>IF(AND(92&gt;=$C$5,92&lt;=$E$5),1,0)</f>
        <v/>
      </c>
      <c r="CS31" s="85">
        <f>IF(AND(93&gt;=$C$5,93&lt;=$E$5),1,0)</f>
        <v/>
      </c>
      <c r="CT31" s="85">
        <f>IF(AND(94&gt;=$C$5,94&lt;=$E$5),1,0)</f>
        <v/>
      </c>
      <c r="CU31" s="85">
        <f>IF(AND(95&gt;=$C$5,95&lt;=$E$5),1,0)</f>
        <v/>
      </c>
      <c r="CV31" s="85">
        <f>IF(AND(96&gt;=$C$5,96&lt;=$E$5),1,0)</f>
        <v/>
      </c>
      <c r="CW31" s="85">
        <f>IF(AND(97&gt;=$C$5,97&lt;=$E$5),1,0)</f>
        <v/>
      </c>
      <c r="CX31" s="85">
        <f>IF(AND(98&gt;=$C$5,98&lt;=$E$5),1,0)</f>
        <v/>
      </c>
      <c r="CY31" s="85">
        <f>IF(AND(99&gt;=$C$5,99&lt;=$E$5),1,0)</f>
        <v/>
      </c>
      <c r="CZ31" s="85">
        <f>IF(AND(100&gt;=$C$5,100&lt;=$E$5),1,0)</f>
        <v/>
      </c>
      <c r="DA31" s="85">
        <f>IF(AND(101&gt;=$C$5,101&lt;=$E$5),1,0)</f>
        <v/>
      </c>
      <c r="DB31" s="85">
        <f>IF(AND(102&gt;=$C$5,102&lt;=$E$5),1,0)</f>
        <v/>
      </c>
      <c r="DC31" s="85">
        <f>IF(AND(103&gt;=$C$5,103&lt;=$E$5),1,0)</f>
        <v/>
      </c>
      <c r="DD31" s="85">
        <f>IF(AND(104&gt;=$C$5,104&lt;=$E$5),1,0)</f>
        <v/>
      </c>
      <c r="DE31" s="85">
        <f>IF(AND(105&gt;=$C$5,105&lt;=$E$5),1,0)</f>
        <v/>
      </c>
      <c r="DF31" s="85">
        <f>IF(AND(106&gt;=$C$5,106&lt;=$E$5),1,0)</f>
        <v/>
      </c>
      <c r="DG31" s="85">
        <f>IF(AND(107&gt;=$C$5,107&lt;=$E$5),1,0)</f>
        <v/>
      </c>
      <c r="DH31" s="85">
        <f>IF(AND(108&gt;=$C$5,108&lt;=$E$5),1,0)</f>
        <v/>
      </c>
      <c r="DI31" s="85">
        <f>IF(AND(109&gt;=$C$5,109&lt;=$E$5),1,0)</f>
        <v/>
      </c>
      <c r="DJ31" s="85">
        <f>IF(AND(110&gt;=$C$5,110&lt;=$E$5),1,0)</f>
        <v/>
      </c>
      <c r="DK31" s="85">
        <f>IF(AND(111&gt;=$C$5,111&lt;=$E$5),1,0)</f>
        <v/>
      </c>
      <c r="DL31" s="85">
        <f>IF(AND(112&gt;=$C$5,112&lt;=$E$5),1,0)</f>
        <v/>
      </c>
      <c r="DM31" s="85">
        <f>IF(AND(113&gt;=$C$5,113&lt;=$E$5),1,0)</f>
        <v/>
      </c>
      <c r="DN31" s="85">
        <f>IF(AND(114&gt;=$C$5,114&lt;=$E$5),1,0)</f>
        <v/>
      </c>
      <c r="DO31" s="85">
        <f>IF(AND(115&gt;=$C$5,115&lt;=$E$5),1,0)</f>
        <v/>
      </c>
      <c r="DP31" s="85">
        <f>IF(AND(116&gt;=$C$5,116&lt;=$E$5),1,0)</f>
        <v/>
      </c>
      <c r="DQ31" s="85">
        <f>IF(AND(117&gt;=$C$5,117&lt;=$E$5),1,0)</f>
        <v/>
      </c>
      <c r="DR31" s="85">
        <f>IF(AND(118&gt;=$C$5,118&lt;=$E$5),1,0)</f>
        <v/>
      </c>
      <c r="DS31" s="85">
        <f>IF(AND(119&gt;=$C$5,119&lt;=$E$5),1,0)</f>
        <v/>
      </c>
      <c r="DT31" s="85">
        <f>IF(AND(120&gt;=$C$5,120&lt;=$E$5),1,0)</f>
        <v/>
      </c>
      <c r="DU31" s="85">
        <f>IF(AND(121&gt;=$C$5,121&lt;=$E$5),1,0)</f>
        <v/>
      </c>
      <c r="DV31" s="85">
        <f>IF(AND(122&gt;=$C$5,122&lt;=$E$5),1,0)</f>
        <v/>
      </c>
      <c r="DW31" s="85">
        <f>IF(AND(123&gt;=$C$5,123&lt;=$E$5),1,0)</f>
        <v/>
      </c>
      <c r="DX31" s="85">
        <f>IF(AND(124&gt;=$C$5,124&lt;=$E$5),1,0)</f>
        <v/>
      </c>
      <c r="DY31" s="85">
        <f>IF(AND(125&gt;=$C$5,125&lt;=$E$5),1,0)</f>
        <v/>
      </c>
      <c r="DZ31" s="85">
        <f>IF(AND(126&gt;=$C$5,126&lt;=$E$5),1,0)</f>
        <v/>
      </c>
      <c r="EA31" s="85">
        <f>IF(AND(127&gt;=$C$5,127&lt;=$E$5),1,0)</f>
        <v/>
      </c>
      <c r="EB31" s="85">
        <f>IF(AND(128&gt;=$C$5,128&lt;=$E$5),1,0)</f>
        <v/>
      </c>
      <c r="EC31" s="85">
        <f>IF(AND(129&gt;=$C$5,129&lt;=$E$5),1,0)</f>
        <v/>
      </c>
      <c r="ED31" s="85">
        <f>IF(AND(130&gt;=$C$5,130&lt;=$E$5),1,0)</f>
        <v/>
      </c>
      <c r="EE31" s="85">
        <f>IF(AND(131&gt;=$C$5,131&lt;=$E$5),1,0)</f>
        <v/>
      </c>
      <c r="EF31" s="85">
        <f>IF(AND(132&gt;=$C$5,132&lt;=$E$5),1,0)</f>
        <v/>
      </c>
      <c r="EG31" s="85">
        <f>IF(AND(133&gt;=$C$5,133&lt;=$E$5),1,0)</f>
        <v/>
      </c>
      <c r="EH31" s="85">
        <f>IF(AND(134&gt;=$C$5,134&lt;=$E$5),1,0)</f>
        <v/>
      </c>
      <c r="EI31" s="85">
        <f>IF(AND(135&gt;=$C$5,135&lt;=$E$5),1,0)</f>
        <v/>
      </c>
      <c r="EJ31" s="85">
        <f>IF(AND(136&gt;=$C$5,136&lt;=$E$5),1,0)</f>
        <v/>
      </c>
      <c r="EK31" s="85">
        <f>IF(AND(137&gt;=$C$5,137&lt;=$E$5),1,0)</f>
        <v/>
      </c>
      <c r="EL31" s="85">
        <f>IF(AND(138&gt;=$C$5,138&lt;=$E$5),1,0)</f>
        <v/>
      </c>
      <c r="EM31" s="85">
        <f>IF(AND(139&gt;=$C$5,139&lt;=$E$5),1,0)</f>
        <v/>
      </c>
      <c r="EN31" s="85">
        <f>IF(AND(140&gt;=$C$5,140&lt;=$E$5),1,0)</f>
        <v/>
      </c>
      <c r="EO31" s="85">
        <f>IF(AND(141&gt;=$C$5,141&lt;=$E$5),1,0)</f>
        <v/>
      </c>
      <c r="EP31" s="85">
        <f>IF(AND(142&gt;=$C$5,142&lt;=$E$5),1,0)</f>
        <v/>
      </c>
      <c r="EQ31" s="85">
        <f>IF(AND(143&gt;=$C$5,143&lt;=$E$5),1,0)</f>
        <v/>
      </c>
      <c r="ER31" s="85">
        <f>IF(AND(144&gt;=$C$5,144&lt;=$E$5),1,0)</f>
        <v/>
      </c>
      <c r="ES31" s="85">
        <f>IF(AND(145&gt;=$C$5,145&lt;=$E$5),1,0)</f>
        <v/>
      </c>
      <c r="ET31" s="85">
        <f>IF(AND(146&gt;=$C$5,146&lt;=$E$5),1,0)</f>
        <v/>
      </c>
      <c r="EU31" s="85">
        <f>IF(AND(147&gt;=$C$5,147&lt;=$E$5),1,0)</f>
        <v/>
      </c>
      <c r="EV31" s="85">
        <f>IF(AND(148&gt;=$C$5,148&lt;=$E$5),1,0)</f>
        <v/>
      </c>
      <c r="EW31" s="85">
        <f>IF(AND(149&gt;=$C$5,149&lt;=$E$5),1,0)</f>
        <v/>
      </c>
      <c r="EX31" s="85">
        <f>IF(AND(150&gt;=$C$5,150&lt;=$E$5),1,0)</f>
        <v/>
      </c>
      <c r="EY31" s="85">
        <f>IF(AND(151&gt;=$C$5,151&lt;=$E$5),1,0)</f>
        <v/>
      </c>
      <c r="EZ31" s="85">
        <f>IF(AND(152&gt;=$C$5,152&lt;=$E$5),1,0)</f>
        <v/>
      </c>
      <c r="FA31" s="85">
        <f>IF(AND(153&gt;=$C$5,153&lt;=$E$5),1,0)</f>
        <v/>
      </c>
      <c r="FB31" s="85">
        <f>IF(AND(154&gt;=$C$5,154&lt;=$E$5),1,0)</f>
        <v/>
      </c>
      <c r="FC31" s="85">
        <f>IF(AND(155&gt;=$C$5,155&lt;=$E$5),1,0)</f>
        <v/>
      </c>
      <c r="FD31" s="85">
        <f>IF(AND(156&gt;=$C$5,156&lt;=$E$5),1,0)</f>
        <v/>
      </c>
      <c r="FE31" s="85">
        <f>IF(AND(157&gt;=$C$5,157&lt;=$E$5),1,0)</f>
        <v/>
      </c>
      <c r="FF31" s="85">
        <f>IF(AND(158&gt;=$C$5,158&lt;=$E$5),1,0)</f>
        <v/>
      </c>
      <c r="FG31" s="85">
        <f>IF(AND(159&gt;=$C$5,159&lt;=$E$5),1,0)</f>
        <v/>
      </c>
      <c r="FH31" s="85">
        <f>IF(AND(160&gt;=$C$5,160&lt;=$E$5),1,0)</f>
        <v/>
      </c>
      <c r="FI31" s="85">
        <f>IF(AND(161&gt;=$C$5,161&lt;=$E$5),1,0)</f>
        <v/>
      </c>
      <c r="FJ31" s="85">
        <f>IF(AND(162&gt;=$C$5,162&lt;=$E$5),1,0)</f>
        <v/>
      </c>
      <c r="FK31" s="85">
        <f>IF(AND(163&gt;=$C$5,163&lt;=$E$5),1,0)</f>
        <v/>
      </c>
      <c r="FL31" s="85">
        <f>IF(AND(164&gt;=$C$5,164&lt;=$E$5),1,0)</f>
        <v/>
      </c>
      <c r="FM31" s="85">
        <f>IF(AND(165&gt;=$C$5,165&lt;=$E$5),1,0)</f>
        <v/>
      </c>
      <c r="FN31" s="85">
        <f>IF(AND(166&gt;=$C$5,166&lt;=$E$5),1,0)</f>
        <v/>
      </c>
      <c r="FO31" s="85">
        <f>IF(AND(167&gt;=$C$5,167&lt;=$E$5),1,0)</f>
        <v/>
      </c>
      <c r="FP31" s="85">
        <f>IF(AND(168&gt;=$C$5,168&lt;=$E$5),1,0)</f>
        <v/>
      </c>
      <c r="FQ31" s="85">
        <f>IF(AND(169&gt;=$C$5,169&lt;=$E$5),1,0)</f>
        <v/>
      </c>
      <c r="FR31" s="85">
        <f>IF(AND(170&gt;=$C$5,170&lt;=$E$5),1,0)</f>
        <v/>
      </c>
      <c r="FS31" s="85">
        <f>IF(AND(171&gt;=$C$5,171&lt;=$E$5),1,0)</f>
        <v/>
      </c>
      <c r="FT31" s="85">
        <f>IF(AND(172&gt;=$C$5,172&lt;=$E$5),1,0)</f>
        <v/>
      </c>
      <c r="FU31" s="85">
        <f>IF(AND(173&gt;=$C$5,173&lt;=$E$5),1,0)</f>
        <v/>
      </c>
      <c r="FV31" s="85">
        <f>IF(AND(174&gt;=$C$5,174&lt;=$E$5),1,0)</f>
        <v/>
      </c>
      <c r="FW31" s="85">
        <f>IF(AND(175&gt;=$C$5,175&lt;=$E$5),1,0)</f>
        <v/>
      </c>
      <c r="FX31" s="85">
        <f>IF(AND(176&gt;=$C$5,176&lt;=$E$5),1,0)</f>
        <v/>
      </c>
      <c r="FY31" s="85">
        <f>IF(AND(177&gt;=$C$5,177&lt;=$E$5),1,0)</f>
        <v/>
      </c>
      <c r="FZ31" s="85">
        <f>IF(AND(178&gt;=$C$5,178&lt;=$E$5),1,0)</f>
        <v/>
      </c>
      <c r="GA31" s="85">
        <f>IF(AND(179&gt;=$C$5,179&lt;=$E$5),1,0)</f>
        <v/>
      </c>
      <c r="GB31" s="85">
        <f>IF(AND(180&gt;=$C$5,180&lt;=$E$5),1,0)</f>
        <v/>
      </c>
      <c r="GC31" s="85">
        <f>IF(AND(181&gt;=$C$5,181&lt;=$E$5),1,0)</f>
        <v/>
      </c>
      <c r="GD31" s="85">
        <f>IF(AND(182&gt;=$C$5,182&lt;=$E$5),1,0)</f>
        <v/>
      </c>
      <c r="GE31" s="85">
        <f>IF(AND(183&gt;=$C$5,183&lt;=$E$5),1,0)</f>
        <v/>
      </c>
      <c r="GF31" s="85">
        <f>IF(AND(184&gt;=$C$5,184&lt;=$E$5),1,0)</f>
        <v/>
      </c>
      <c r="GG31" s="85">
        <f>IF(AND(185&gt;=$C$5,185&lt;=$E$5),1,0)</f>
        <v/>
      </c>
      <c r="GH31" s="85">
        <f>IF(AND(186&gt;=$C$5,186&lt;=$E$5),1,0)</f>
        <v/>
      </c>
      <c r="GI31" s="85">
        <f>IF(AND(187&gt;=$C$5,187&lt;=$E$5),1,0)</f>
        <v/>
      </c>
      <c r="GJ31" s="85">
        <f>IF(AND(188&gt;=$C$5,188&lt;=$E$5),1,0)</f>
        <v/>
      </c>
      <c r="GK31" s="85">
        <f>IF(AND(189&gt;=$C$5,189&lt;=$E$5),1,0)</f>
        <v/>
      </c>
      <c r="GL31" s="85">
        <f>IF(AND(190&gt;=$C$5,190&lt;=$E$5),1,0)</f>
        <v/>
      </c>
      <c r="GM31" s="85">
        <f>IF(AND(191&gt;=$C$5,191&lt;=$E$5),1,0)</f>
        <v/>
      </c>
      <c r="GN31" s="85">
        <f>IF(AND(192&gt;=$C$5,192&lt;=$E$5),1,0)</f>
        <v/>
      </c>
      <c r="GO31" s="85">
        <f>IF(AND(193&gt;=$C$5,193&lt;=$E$5),1,0)</f>
        <v/>
      </c>
      <c r="GP31" s="85">
        <f>IF(AND(194&gt;=$C$5,194&lt;=$E$5),1,0)</f>
        <v/>
      </c>
      <c r="GQ31" s="85">
        <f>IF(AND(195&gt;=$C$5,195&lt;=$E$5),1,0)</f>
        <v/>
      </c>
      <c r="GR31" s="85">
        <f>IF(AND(196&gt;=$C$5,196&lt;=$E$5),1,0)</f>
        <v/>
      </c>
      <c r="GS31" s="85">
        <f>IF(AND(197&gt;=$C$5,197&lt;=$E$5),1,0)</f>
        <v/>
      </c>
      <c r="GT31" s="85">
        <f>IF(AND(198&gt;=$C$5,198&lt;=$E$5),1,0)</f>
        <v/>
      </c>
      <c r="GU31" s="85">
        <f>IF(AND(199&gt;=$C$5,199&lt;=$E$5),1,0)</f>
        <v/>
      </c>
      <c r="GV31" s="85">
        <f>IF(AND(200&gt;=$C$5,200&lt;=$E$5),1,0)</f>
        <v/>
      </c>
      <c r="GW31" s="85">
        <f>IF(AND(201&gt;=$C$5,201&lt;=$E$5),1,0)</f>
        <v/>
      </c>
      <c r="GX31" s="85">
        <f>IF(AND(202&gt;=$C$5,202&lt;=$E$5),1,0)</f>
        <v/>
      </c>
      <c r="GY31" s="85">
        <f>IF(AND(203&gt;=$C$5,203&lt;=$E$5),1,0)</f>
        <v/>
      </c>
      <c r="GZ31" s="85">
        <f>IF(AND(204&gt;=$C$5,204&lt;=$E$5),1,0)</f>
        <v/>
      </c>
      <c r="HA31" s="85">
        <f>IF(AND(205&gt;=$C$5,205&lt;=$E$5),1,0)</f>
        <v/>
      </c>
      <c r="HB31" s="85">
        <f>IF(AND(206&gt;=$C$5,206&lt;=$E$5),1,0)</f>
        <v/>
      </c>
      <c r="HC31" s="85">
        <f>IF(AND(207&gt;=$C$5,207&lt;=$E$5),1,0)</f>
        <v/>
      </c>
      <c r="HD31" s="85">
        <f>IF(AND(208&gt;=$C$5,208&lt;=$E$5),1,0)</f>
        <v/>
      </c>
      <c r="HE31" s="85">
        <f>IF(AND(209&gt;=$C$5,209&lt;=$E$5),1,0)</f>
        <v/>
      </c>
      <c r="HF31" s="85">
        <f>IF(AND(210&gt;=$C$5,210&lt;=$E$5),1,0)</f>
        <v/>
      </c>
      <c r="HG31" s="85">
        <f>IF(AND(211&gt;=$C$5,211&lt;=$E$5),1,0)</f>
        <v/>
      </c>
      <c r="HH31" s="85">
        <f>IF(AND(212&gt;=$C$5,212&lt;=$E$5),1,0)</f>
        <v/>
      </c>
      <c r="HI31" s="85">
        <f>IF(AND(213&gt;=$C$5,213&lt;=$E$5),1,0)</f>
        <v/>
      </c>
      <c r="HJ31" s="85">
        <f>IF(AND(214&gt;=$C$5,214&lt;=$E$5),1,0)</f>
        <v/>
      </c>
      <c r="HK31" s="85">
        <f>IF(AND(215&gt;=$C$5,215&lt;=$E$5),1,0)</f>
        <v/>
      </c>
      <c r="HL31" s="85">
        <f>IF(AND(216&gt;=$C$5,216&lt;=$E$5),1,0)</f>
        <v/>
      </c>
      <c r="HM31" s="85">
        <f>IF(AND(217&gt;=$C$5,217&lt;=$E$5),1,0)</f>
        <v/>
      </c>
      <c r="HN31" s="85">
        <f>IF(AND(218&gt;=$C$5,218&lt;=$E$5),1,0)</f>
        <v/>
      </c>
      <c r="HO31" s="85">
        <f>IF(AND(219&gt;=$C$5,219&lt;=$E$5),1,0)</f>
        <v/>
      </c>
      <c r="HP31" s="85">
        <f>IF(AND(220&gt;=$C$5,220&lt;=$E$5),1,0)</f>
        <v/>
      </c>
      <c r="HQ31" s="85">
        <f>IF(AND(221&gt;=$C$5,221&lt;=$E$5),1,0)</f>
        <v/>
      </c>
      <c r="HR31" s="85">
        <f>IF(AND(222&gt;=$C$5,222&lt;=$E$5),1,0)</f>
        <v/>
      </c>
      <c r="HS31" s="85">
        <f>IF(AND(223&gt;=$C$5,223&lt;=$E$5),1,0)</f>
        <v/>
      </c>
      <c r="HT31" s="85">
        <f>IF(AND(224&gt;=$C$5,224&lt;=$E$5),1,0)</f>
        <v/>
      </c>
      <c r="HU31" s="85">
        <f>IF(AND(225&gt;=$C$5,225&lt;=$E$5),1,0)</f>
        <v/>
      </c>
      <c r="HV31" s="85">
        <f>IF(AND(226&gt;=$C$5,226&lt;=$E$5),1,0)</f>
        <v/>
      </c>
      <c r="HW31" s="85">
        <f>IF(AND(227&gt;=$C$5,227&lt;=$E$5),1,0)</f>
        <v/>
      </c>
      <c r="HX31" s="85">
        <f>IF(AND(228&gt;=$C$5,228&lt;=$E$5),1,0)</f>
        <v/>
      </c>
      <c r="HY31" s="85">
        <f>IF(AND(229&gt;=$C$5,229&lt;=$E$5),1,0)</f>
        <v/>
      </c>
      <c r="HZ31" s="85">
        <f>IF(AND(230&gt;=$C$5,230&lt;=$E$5),1,0)</f>
        <v/>
      </c>
      <c r="IA31" s="85">
        <f>IF(AND(231&gt;=$C$5,231&lt;=$E$5),1,0)</f>
        <v/>
      </c>
      <c r="IB31" s="85">
        <f>IF(AND(232&gt;=$C$5,232&lt;=$E$5),1,0)</f>
        <v/>
      </c>
      <c r="IC31" s="85">
        <f>IF(AND(233&gt;=$C$5,233&lt;=$E$5),1,0)</f>
        <v/>
      </c>
      <c r="ID31" s="85">
        <f>IF(AND(234&gt;=$C$5,234&lt;=$E$5),1,0)</f>
        <v/>
      </c>
      <c r="IE31" s="85">
        <f>IF(AND(235&gt;=$C$5,235&lt;=$E$5),1,0)</f>
        <v/>
      </c>
      <c r="IF31" s="85">
        <f>IF(AND(236&gt;=$C$5,236&lt;=$E$5),1,0)</f>
        <v/>
      </c>
      <c r="IG31" s="85">
        <f>IF(AND(237&gt;=$C$5,237&lt;=$E$5),1,0)</f>
        <v/>
      </c>
      <c r="IH31" s="85">
        <f>IF(AND(238&gt;=$C$5,238&lt;=$E$5),1,0)</f>
        <v/>
      </c>
      <c r="II31" s="85">
        <f>IF(AND(239&gt;=$C$5,239&lt;=$E$5),1,0)</f>
        <v/>
      </c>
      <c r="IJ31" s="85">
        <f>IF(AND(240&gt;=$C$5,240&lt;=$E$5),1,0)</f>
        <v/>
      </c>
      <c r="IK31" s="85">
        <f>IF(AND(241&gt;=$C$5,241&lt;=$E$5),1,0)</f>
        <v/>
      </c>
      <c r="IL31" s="85">
        <f>IF(AND(242&gt;=$C$5,242&lt;=$E$5),1,0)</f>
        <v/>
      </c>
      <c r="IM31" s="85">
        <f>IF(AND(243&gt;=$C$5,243&lt;=$E$5),1,0)</f>
        <v/>
      </c>
      <c r="IN31" s="85">
        <f>IF(AND(244&gt;=$C$5,244&lt;=$E$5),1,0)</f>
        <v/>
      </c>
      <c r="IO31" s="85">
        <f>IF(AND(245&gt;=$C$5,245&lt;=$E$5),1,0)</f>
        <v/>
      </c>
      <c r="IP31" s="85">
        <f>IF(AND(246&gt;=$C$5,246&lt;=$E$5),1,0)</f>
        <v/>
      </c>
      <c r="IQ31" s="85">
        <f>IF(AND(247&gt;=$C$5,247&lt;=$E$5),1,0)</f>
        <v/>
      </c>
      <c r="IR31" s="85">
        <f>IF(AND(248&gt;=$C$5,248&lt;=$E$5),1,0)</f>
        <v/>
      </c>
      <c r="IS31" s="85">
        <f>IF(AND(249&gt;=$C$5,249&lt;=$E$5),1,0)</f>
        <v/>
      </c>
      <c r="IT31" s="85">
        <f>IF(AND(250&gt;=$C$5,250&lt;=$E$5),1,0)</f>
        <v/>
      </c>
      <c r="IU31" s="85">
        <f>IF(AND(251&gt;=$C$5,251&lt;=$E$5),1,0)</f>
        <v/>
      </c>
      <c r="IV31" s="85">
        <f>IF(AND(252&gt;=$C$5,252&lt;=$E$5),1,0)</f>
        <v/>
      </c>
      <c r="IW31" s="85">
        <f>IF(AND(253&gt;=$C$5,253&lt;=$E$5),1,0)</f>
        <v/>
      </c>
      <c r="IX31" s="85">
        <f>IF(AND(254&gt;=$C$5,254&lt;=$E$5),1,0)</f>
        <v/>
      </c>
      <c r="IY31" s="85">
        <f>IF(AND(255&gt;=$C$5,255&lt;=$E$5),1,0)</f>
        <v/>
      </c>
      <c r="IZ31" s="85">
        <f>IF(AND(256&gt;=$C$5,256&lt;=$E$5),1,0)</f>
        <v/>
      </c>
      <c r="JA31" s="85">
        <f>IF(AND(257&gt;=$C$5,257&lt;=$E$5),1,0)</f>
        <v/>
      </c>
      <c r="JB31" s="85">
        <f>IF(AND(258&gt;=$C$5,258&lt;=$E$5),1,0)</f>
        <v/>
      </c>
      <c r="JC31" s="85">
        <f>IF(AND(259&gt;=$C$5,259&lt;=$E$5),1,0)</f>
        <v/>
      </c>
      <c r="JD31" s="85">
        <f>IF(AND(260&gt;=$C$5,260&lt;=$E$5),1,0)</f>
        <v/>
      </c>
      <c r="JE31" s="85">
        <f>IF(AND(261&gt;=$C$5,261&lt;=$E$5),1,0)</f>
        <v/>
      </c>
      <c r="JF31" s="85">
        <f>IF(AND(262&gt;=$C$5,262&lt;=$E$5),1,0)</f>
        <v/>
      </c>
      <c r="JG31" s="85">
        <f>IF(AND(263&gt;=$C$5,263&lt;=$E$5),1,0)</f>
        <v/>
      </c>
      <c r="JH31" s="85">
        <f>IF(AND(264&gt;=$C$5,264&lt;=$E$5),1,0)</f>
        <v/>
      </c>
      <c r="JI31" s="85">
        <f>IF(AND(265&gt;=$C$5,265&lt;=$E$5),1,0)</f>
        <v/>
      </c>
      <c r="JJ31" s="85">
        <f>IF(AND(266&gt;=$C$5,266&lt;=$E$5),1,0)</f>
        <v/>
      </c>
      <c r="JK31" s="85">
        <f>IF(AND(267&gt;=$C$5,267&lt;=$E$5),1,0)</f>
        <v/>
      </c>
      <c r="JL31" s="85">
        <f>IF(AND(268&gt;=$C$5,268&lt;=$E$5),1,0)</f>
        <v/>
      </c>
      <c r="JM31" s="85">
        <f>IF(AND(269&gt;=$C$5,269&lt;=$E$5),1,0)</f>
        <v/>
      </c>
      <c r="JN31" s="85">
        <f>IF(AND(270&gt;=$C$5,270&lt;=$E$5),1,0)</f>
        <v/>
      </c>
      <c r="JO31" s="85">
        <f>IF(AND(271&gt;=$C$5,271&lt;=$E$5),1,0)</f>
        <v/>
      </c>
      <c r="JP31" s="85">
        <f>IF(AND(272&gt;=$C$5,272&lt;=$E$5),1,0)</f>
        <v/>
      </c>
      <c r="JQ31" s="85">
        <f>IF(AND(273&gt;=$C$5,273&lt;=$E$5),1,0)</f>
        <v/>
      </c>
      <c r="JR31" s="85">
        <f>IF(AND(274&gt;=$C$5,274&lt;=$E$5),1,0)</f>
        <v/>
      </c>
      <c r="JS31" s="85">
        <f>IF(AND(275&gt;=$C$5,275&lt;=$E$5),1,0)</f>
        <v/>
      </c>
      <c r="JT31" s="85">
        <f>IF(AND(276&gt;=$C$5,276&lt;=$E$5),1,0)</f>
        <v/>
      </c>
      <c r="JU31" s="85">
        <f>IF(AND(277&gt;=$C$5,277&lt;=$E$5),1,0)</f>
        <v/>
      </c>
      <c r="JV31" s="85">
        <f>IF(AND(278&gt;=$C$5,278&lt;=$E$5),1,0)</f>
        <v/>
      </c>
      <c r="JW31" s="85">
        <f>IF(AND(279&gt;=$C$5,279&lt;=$E$5),1,0)</f>
        <v/>
      </c>
      <c r="JX31" s="85">
        <f>IF(AND(280&gt;=$C$5,280&lt;=$E$5),1,0)</f>
        <v/>
      </c>
      <c r="JY31" s="85">
        <f>IF(AND(281&gt;=$C$5,281&lt;=$E$5),1,0)</f>
        <v/>
      </c>
      <c r="JZ31" s="85">
        <f>IF(AND(282&gt;=$C$5,282&lt;=$E$5),1,0)</f>
        <v/>
      </c>
      <c r="KA31" s="85">
        <f>IF(AND(283&gt;=$C$5,283&lt;=$E$5),1,0)</f>
        <v/>
      </c>
      <c r="KB31" s="85">
        <f>IF(AND(284&gt;=$C$5,284&lt;=$E$5),1,0)</f>
        <v/>
      </c>
      <c r="KC31" s="85">
        <f>IF(AND(285&gt;=$C$5,285&lt;=$E$5),1,0)</f>
        <v/>
      </c>
      <c r="KD31" s="85">
        <f>IF(AND(286&gt;=$C$5,286&lt;=$E$5),1,0)</f>
        <v/>
      </c>
      <c r="KE31" s="85">
        <f>IF(AND(287&gt;=$C$5,287&lt;=$E$5),1,0)</f>
        <v/>
      </c>
      <c r="KF31" s="85">
        <f>IF(AND(288&gt;=$C$5,288&lt;=$E$5),1,0)</f>
        <v/>
      </c>
      <c r="KG31" s="85">
        <f>IF(AND(289&gt;=$C$5,289&lt;=$E$5),1,0)</f>
        <v/>
      </c>
      <c r="KH31" s="85">
        <f>IF(AND(290&gt;=$C$5,290&lt;=$E$5),1,0)</f>
        <v/>
      </c>
      <c r="KI31" s="85">
        <f>IF(AND(291&gt;=$C$5,291&lt;=$E$5),1,0)</f>
        <v/>
      </c>
      <c r="KJ31" s="85">
        <f>IF(AND(292&gt;=$C$5,292&lt;=$E$5),1,0)</f>
        <v/>
      </c>
      <c r="KK31" s="85">
        <f>IF(AND(293&gt;=$C$5,293&lt;=$E$5),1,0)</f>
        <v/>
      </c>
      <c r="KL31" s="85">
        <f>IF(AND(294&gt;=$C$5,294&lt;=$E$5),1,0)</f>
        <v/>
      </c>
      <c r="KM31" s="85">
        <f>IF(AND(295&gt;=$C$5,295&lt;=$E$5),1,0)</f>
        <v/>
      </c>
      <c r="KN31" s="85">
        <f>IF(AND(296&gt;=$C$5,296&lt;=$E$5),1,0)</f>
        <v/>
      </c>
      <c r="KO31" s="85">
        <f>IF(AND(297&gt;=$C$5,297&lt;=$E$5),1,0)</f>
        <v/>
      </c>
      <c r="KP31" s="85">
        <f>IF(AND(298&gt;=$C$5,298&lt;=$E$5),1,0)</f>
        <v/>
      </c>
      <c r="KQ31" s="85">
        <f>IF(AND(299&gt;=$C$5,299&lt;=$E$5),1,0)</f>
        <v/>
      </c>
      <c r="KR31" s="85">
        <f>IF(AND(300&gt;=$C$5,300&lt;=$E$5),1,0)</f>
        <v/>
      </c>
      <c r="KS31" s="85">
        <f>IF(AND(301&gt;=$C$5,301&lt;=$E$5),1,0)</f>
        <v/>
      </c>
      <c r="KT31" s="85">
        <f>IF(AND(302&gt;=$C$5,302&lt;=$E$5),1,0)</f>
        <v/>
      </c>
      <c r="KU31" s="85">
        <f>IF(AND(303&gt;=$C$5,303&lt;=$E$5),1,0)</f>
        <v/>
      </c>
      <c r="KV31" s="85">
        <f>IF(AND(304&gt;=$C$5,304&lt;=$E$5),1,0)</f>
        <v/>
      </c>
      <c r="KW31" s="85">
        <f>IF(AND(305&gt;=$C$5,305&lt;=$E$5),1,0)</f>
        <v/>
      </c>
      <c r="KX31" s="85">
        <f>IF(AND(306&gt;=$C$5,306&lt;=$E$5),1,0)</f>
        <v/>
      </c>
      <c r="KY31" s="85">
        <f>IF(AND(307&gt;=$C$5,307&lt;=$E$5),1,0)</f>
        <v/>
      </c>
      <c r="KZ31" s="85">
        <f>IF(AND(308&gt;=$C$5,308&lt;=$E$5),1,0)</f>
        <v/>
      </c>
      <c r="LA31" s="85">
        <f>IF(AND(309&gt;=$C$5,309&lt;=$E$5),1,0)</f>
        <v/>
      </c>
      <c r="LB31" s="85">
        <f>IF(AND(310&gt;=$C$5,310&lt;=$E$5),1,0)</f>
        <v/>
      </c>
      <c r="LC31" s="85">
        <f>IF(AND(311&gt;=$C$5,311&lt;=$E$5),1,0)</f>
        <v/>
      </c>
      <c r="LD31" s="85">
        <f>IF(AND(312&gt;=$C$5,312&lt;=$E$5),1,0)</f>
        <v/>
      </c>
      <c r="LE31" s="85">
        <f>IF(AND(313&gt;=$C$5,313&lt;=$E$5),1,0)</f>
        <v/>
      </c>
      <c r="LF31" s="85">
        <f>IF(AND(314&gt;=$C$5,314&lt;=$E$5),1,0)</f>
        <v/>
      </c>
      <c r="LG31" s="85">
        <f>IF(AND(315&gt;=$C$5,315&lt;=$E$5),1,0)</f>
        <v/>
      </c>
      <c r="LH31" s="85">
        <f>IF(AND(316&gt;=$C$5,316&lt;=$E$5),1,0)</f>
        <v/>
      </c>
      <c r="LI31" s="85">
        <f>IF(AND(317&gt;=$C$5,317&lt;=$E$5),1,0)</f>
        <v/>
      </c>
      <c r="LJ31" s="85">
        <f>IF(AND(318&gt;=$C$5,318&lt;=$E$5),1,0)</f>
        <v/>
      </c>
      <c r="LK31" s="85">
        <f>IF(AND(319&gt;=$C$5,319&lt;=$E$5),1,0)</f>
        <v/>
      </c>
      <c r="LL31" s="85">
        <f>IF(AND(320&gt;=$C$5,320&lt;=$E$5),1,0)</f>
        <v/>
      </c>
      <c r="LM31" s="85">
        <f>IF(AND(321&gt;=$C$5,321&lt;=$E$5),1,0)</f>
        <v/>
      </c>
      <c r="LN31" s="85">
        <f>IF(AND(322&gt;=$C$5,322&lt;=$E$5),1,0)</f>
        <v/>
      </c>
      <c r="LO31" s="85">
        <f>IF(AND(323&gt;=$C$5,323&lt;=$E$5),1,0)</f>
        <v/>
      </c>
      <c r="LP31" s="85">
        <f>IF(AND(324&gt;=$C$5,324&lt;=$E$5),1,0)</f>
        <v/>
      </c>
      <c r="LQ31" s="85">
        <f>IF(AND(325&gt;=$C$5,325&lt;=$E$5),1,0)</f>
        <v/>
      </c>
      <c r="LR31" s="85">
        <f>IF(AND(326&gt;=$C$5,326&lt;=$E$5),1,0)</f>
        <v/>
      </c>
      <c r="LS31" s="85">
        <f>IF(AND(327&gt;=$C$5,327&lt;=$E$5),1,0)</f>
        <v/>
      </c>
      <c r="LT31" s="85">
        <f>IF(AND(328&gt;=$C$5,328&lt;=$E$5),1,0)</f>
        <v/>
      </c>
      <c r="LU31" s="85">
        <f>IF(AND(329&gt;=$C$5,329&lt;=$E$5),1,0)</f>
        <v/>
      </c>
      <c r="LV31" s="85">
        <f>IF(AND(330&gt;=$C$5,330&lt;=$E$5),1,0)</f>
        <v/>
      </c>
      <c r="LW31" s="85">
        <f>IF(AND(331&gt;=$C$5,331&lt;=$E$5),1,0)</f>
        <v/>
      </c>
      <c r="LX31" s="85">
        <f>IF(AND(332&gt;=$C$5,332&lt;=$E$5),1,0)</f>
        <v/>
      </c>
      <c r="LY31" s="85">
        <f>IF(AND(333&gt;=$C$5,333&lt;=$E$5),1,0)</f>
        <v/>
      </c>
      <c r="LZ31" s="85">
        <f>IF(AND(334&gt;=$C$5,334&lt;=$E$5),1,0)</f>
        <v/>
      </c>
      <c r="MA31" s="85">
        <f>IF(AND(335&gt;=$C$5,335&lt;=$E$5),1,0)</f>
        <v/>
      </c>
      <c r="MB31" s="85">
        <f>IF(AND(336&gt;=$C$5,336&lt;=$E$5),1,0)</f>
        <v/>
      </c>
      <c r="MC31" s="85">
        <f>IF(AND(337&gt;=$C$5,337&lt;=$E$5),1,0)</f>
        <v/>
      </c>
      <c r="MD31" s="85">
        <f>IF(AND(338&gt;=$C$5,338&lt;=$E$5),1,0)</f>
        <v/>
      </c>
      <c r="ME31" s="85">
        <f>IF(AND(339&gt;=$C$5,339&lt;=$E$5),1,0)</f>
        <v/>
      </c>
      <c r="MF31" s="85">
        <f>IF(AND(340&gt;=$C$5,340&lt;=$E$5),1,0)</f>
        <v/>
      </c>
      <c r="MG31" s="85">
        <f>IF(AND(341&gt;=$C$5,341&lt;=$E$5),1,0)</f>
        <v/>
      </c>
      <c r="MH31" s="85">
        <f>IF(AND(342&gt;=$C$5,342&lt;=$E$5),1,0)</f>
        <v/>
      </c>
      <c r="MI31" s="85">
        <f>IF(AND(343&gt;=$C$5,343&lt;=$E$5),1,0)</f>
        <v/>
      </c>
      <c r="MJ31" s="85">
        <f>IF(AND(344&gt;=$C$5,344&lt;=$E$5),1,0)</f>
        <v/>
      </c>
      <c r="MK31" s="85">
        <f>IF(AND(345&gt;=$C$5,345&lt;=$E$5),1,0)</f>
        <v/>
      </c>
      <c r="ML31" s="85">
        <f>IF(AND(346&gt;=$C$5,346&lt;=$E$5),1,0)</f>
        <v/>
      </c>
      <c r="MM31" s="85">
        <f>IF(AND(347&gt;=$C$5,347&lt;=$E$5),1,0)</f>
        <v/>
      </c>
      <c r="MN31" s="85">
        <f>IF(AND(348&gt;=$C$5,348&lt;=$E$5),1,0)</f>
        <v/>
      </c>
      <c r="MO31" s="85">
        <f>IF(AND(349&gt;=$C$5,349&lt;=$E$5),1,0)</f>
        <v/>
      </c>
      <c r="MP31" s="85">
        <f>IF(AND(350&gt;=$C$5,350&lt;=$E$5),1,0)</f>
        <v/>
      </c>
      <c r="MQ31" s="85">
        <f>IF(AND(351&gt;=$C$5,351&lt;=$E$5),1,0)</f>
        <v/>
      </c>
      <c r="MR31" s="85">
        <f>IF(AND(352&gt;=$C$5,352&lt;=$E$5),1,0)</f>
        <v/>
      </c>
      <c r="MS31" s="85">
        <f>IF(AND(353&gt;=$C$5,353&lt;=$E$5),1,0)</f>
        <v/>
      </c>
      <c r="MT31" s="85">
        <f>IF(AND(354&gt;=$C$5,354&lt;=$E$5),1,0)</f>
        <v/>
      </c>
      <c r="MU31" s="85">
        <f>IF(AND(355&gt;=$C$5,355&lt;=$E$5),1,0)</f>
        <v/>
      </c>
      <c r="MV31" s="85">
        <f>IF(AND(356&gt;=$C$5,356&lt;=$E$5),1,0)</f>
        <v/>
      </c>
      <c r="MW31" s="85">
        <f>IF(AND(357&gt;=$C$5,357&lt;=$E$5),1,0)</f>
        <v/>
      </c>
      <c r="MX31" s="85">
        <f>IF(AND(358&gt;=$C$5,358&lt;=$E$5),1,0)</f>
        <v/>
      </c>
      <c r="MY31" s="85">
        <f>IF(AND(359&gt;=$C$5,359&lt;=$E$5),1,0)</f>
        <v/>
      </c>
      <c r="MZ31" s="85">
        <f>IF(AND(360&gt;=$C$5,360&lt;=$E$5),1,0)</f>
        <v/>
      </c>
      <c r="NA31" s="85">
        <f>IF(AND(361&gt;=$C$5,361&lt;=$E$5),1,0)</f>
        <v/>
      </c>
      <c r="NB31" s="85">
        <f>IF(AND(362&gt;=$C$5,362&lt;=$E$5),1,0)</f>
        <v/>
      </c>
      <c r="NC31" s="85">
        <f>IF(AND(363&gt;=$C$5,363&lt;=$E$5),1,0)</f>
        <v/>
      </c>
      <c r="ND31" s="85">
        <f>IF(AND(364&gt;=$C$5,364&lt;=$E$5),1,0)</f>
        <v/>
      </c>
      <c r="NE31" s="85">
        <f>IF(AND(365&gt;=$C$5,365&lt;=$E$5),1,0)</f>
        <v/>
      </c>
      <c r="NF31" s="85">
        <f>IF(AND(366&gt;=$C$5,366&lt;=$E$5),1,0)</f>
        <v/>
      </c>
      <c r="NG31" s="85">
        <f>IF(AND(367&gt;=$C$5,367&lt;=$E$5),1,0)</f>
        <v/>
      </c>
      <c r="NH31" s="85">
        <f>IF(AND(368&gt;=$C$5,368&lt;=$E$5),1,0)</f>
        <v/>
      </c>
      <c r="NI31" s="85">
        <f>IF(AND(369&gt;=$C$5,369&lt;=$E$5),1,0)</f>
        <v/>
      </c>
      <c r="NJ31" s="85">
        <f>IF(AND(370&gt;=$C$5,370&lt;=$E$5),1,0)</f>
        <v/>
      </c>
      <c r="NK31" s="85">
        <f>IF(AND(371&gt;=$C$5,371&lt;=$E$5),1,0)</f>
        <v/>
      </c>
      <c r="NL31" s="85">
        <f>IF(AND(372&gt;=$C$5,372&lt;=$E$5),1,0)</f>
        <v/>
      </c>
    </row>
    <row r="32">
      <c r="B32" s="36" t="inlineStr">
        <is>
          <t>Flag: Entitlement</t>
        </is>
      </c>
      <c r="D32" s="124" t="n"/>
      <c r="E32" s="85">
        <f>IF(AND(1&gt;=$C$6,1&lt;=$E$6),1,0)</f>
        <v/>
      </c>
      <c r="F32" s="85">
        <f>IF(AND(2&gt;=$C$6,2&lt;=$E$6),1,0)</f>
        <v/>
      </c>
      <c r="G32" s="85">
        <f>IF(AND(3&gt;=$C$6,3&lt;=$E$6),1,0)</f>
        <v/>
      </c>
      <c r="H32" s="85">
        <f>IF(AND(4&gt;=$C$6,4&lt;=$E$6),1,0)</f>
        <v/>
      </c>
      <c r="I32" s="85">
        <f>IF(AND(5&gt;=$C$6,5&lt;=$E$6),1,0)</f>
        <v/>
      </c>
      <c r="J32" s="85">
        <f>IF(AND(6&gt;=$C$6,6&lt;=$E$6),1,0)</f>
        <v/>
      </c>
      <c r="K32" s="85">
        <f>IF(AND(7&gt;=$C$6,7&lt;=$E$6),1,0)</f>
        <v/>
      </c>
      <c r="L32" s="85">
        <f>IF(AND(8&gt;=$C$6,8&lt;=$E$6),1,0)</f>
        <v/>
      </c>
      <c r="M32" s="85">
        <f>IF(AND(9&gt;=$C$6,9&lt;=$E$6),1,0)</f>
        <v/>
      </c>
      <c r="N32" s="85">
        <f>IF(AND(10&gt;=$C$6,10&lt;=$E$6),1,0)</f>
        <v/>
      </c>
      <c r="O32" s="85">
        <f>IF(AND(11&gt;=$C$6,11&lt;=$E$6),1,0)</f>
        <v/>
      </c>
      <c r="P32" s="85">
        <f>IF(AND(12&gt;=$C$6,12&lt;=$E$6),1,0)</f>
        <v/>
      </c>
      <c r="Q32" s="85">
        <f>IF(AND(13&gt;=$C$6,13&lt;=$E$6),1,0)</f>
        <v/>
      </c>
      <c r="R32" s="85">
        <f>IF(AND(14&gt;=$C$6,14&lt;=$E$6),1,0)</f>
        <v/>
      </c>
      <c r="S32" s="85">
        <f>IF(AND(15&gt;=$C$6,15&lt;=$E$6),1,0)</f>
        <v/>
      </c>
      <c r="T32" s="85">
        <f>IF(AND(16&gt;=$C$6,16&lt;=$E$6),1,0)</f>
        <v/>
      </c>
      <c r="U32" s="85">
        <f>IF(AND(17&gt;=$C$6,17&lt;=$E$6),1,0)</f>
        <v/>
      </c>
      <c r="V32" s="85">
        <f>IF(AND(18&gt;=$C$6,18&lt;=$E$6),1,0)</f>
        <v/>
      </c>
      <c r="W32" s="85">
        <f>IF(AND(19&gt;=$C$6,19&lt;=$E$6),1,0)</f>
        <v/>
      </c>
      <c r="X32" s="85">
        <f>IF(AND(20&gt;=$C$6,20&lt;=$E$6),1,0)</f>
        <v/>
      </c>
      <c r="Y32" s="85">
        <f>IF(AND(21&gt;=$C$6,21&lt;=$E$6),1,0)</f>
        <v/>
      </c>
      <c r="Z32" s="85">
        <f>IF(AND(22&gt;=$C$6,22&lt;=$E$6),1,0)</f>
        <v/>
      </c>
      <c r="AA32" s="85">
        <f>IF(AND(23&gt;=$C$6,23&lt;=$E$6),1,0)</f>
        <v/>
      </c>
      <c r="AB32" s="85">
        <f>IF(AND(24&gt;=$C$6,24&lt;=$E$6),1,0)</f>
        <v/>
      </c>
      <c r="AC32" s="85">
        <f>IF(AND(25&gt;=$C$6,25&lt;=$E$6),1,0)</f>
        <v/>
      </c>
      <c r="AD32" s="85">
        <f>IF(AND(26&gt;=$C$6,26&lt;=$E$6),1,0)</f>
        <v/>
      </c>
      <c r="AE32" s="85">
        <f>IF(AND(27&gt;=$C$6,27&lt;=$E$6),1,0)</f>
        <v/>
      </c>
      <c r="AF32" s="85">
        <f>IF(AND(28&gt;=$C$6,28&lt;=$E$6),1,0)</f>
        <v/>
      </c>
      <c r="AG32" s="85">
        <f>IF(AND(29&gt;=$C$6,29&lt;=$E$6),1,0)</f>
        <v/>
      </c>
      <c r="AH32" s="85">
        <f>IF(AND(30&gt;=$C$6,30&lt;=$E$6),1,0)</f>
        <v/>
      </c>
      <c r="AI32" s="85">
        <f>IF(AND(31&gt;=$C$6,31&lt;=$E$6),1,0)</f>
        <v/>
      </c>
      <c r="AJ32" s="85">
        <f>IF(AND(32&gt;=$C$6,32&lt;=$E$6),1,0)</f>
        <v/>
      </c>
      <c r="AK32" s="85">
        <f>IF(AND(33&gt;=$C$6,33&lt;=$E$6),1,0)</f>
        <v/>
      </c>
      <c r="AL32" s="85">
        <f>IF(AND(34&gt;=$C$6,34&lt;=$E$6),1,0)</f>
        <v/>
      </c>
      <c r="AM32" s="85">
        <f>IF(AND(35&gt;=$C$6,35&lt;=$E$6),1,0)</f>
        <v/>
      </c>
      <c r="AN32" s="85">
        <f>IF(AND(36&gt;=$C$6,36&lt;=$E$6),1,0)</f>
        <v/>
      </c>
      <c r="AO32" s="85">
        <f>IF(AND(37&gt;=$C$6,37&lt;=$E$6),1,0)</f>
        <v/>
      </c>
      <c r="AP32" s="85">
        <f>IF(AND(38&gt;=$C$6,38&lt;=$E$6),1,0)</f>
        <v/>
      </c>
      <c r="AQ32" s="85">
        <f>IF(AND(39&gt;=$C$6,39&lt;=$E$6),1,0)</f>
        <v/>
      </c>
      <c r="AR32" s="85">
        <f>IF(AND(40&gt;=$C$6,40&lt;=$E$6),1,0)</f>
        <v/>
      </c>
      <c r="AS32" s="85">
        <f>IF(AND(41&gt;=$C$6,41&lt;=$E$6),1,0)</f>
        <v/>
      </c>
      <c r="AT32" s="85">
        <f>IF(AND(42&gt;=$C$6,42&lt;=$E$6),1,0)</f>
        <v/>
      </c>
      <c r="AU32" s="85">
        <f>IF(AND(43&gt;=$C$6,43&lt;=$E$6),1,0)</f>
        <v/>
      </c>
      <c r="AV32" s="85">
        <f>IF(AND(44&gt;=$C$6,44&lt;=$E$6),1,0)</f>
        <v/>
      </c>
      <c r="AW32" s="85">
        <f>IF(AND(45&gt;=$C$6,45&lt;=$E$6),1,0)</f>
        <v/>
      </c>
      <c r="AX32" s="85">
        <f>IF(AND(46&gt;=$C$6,46&lt;=$E$6),1,0)</f>
        <v/>
      </c>
      <c r="AY32" s="85">
        <f>IF(AND(47&gt;=$C$6,47&lt;=$E$6),1,0)</f>
        <v/>
      </c>
      <c r="AZ32" s="85">
        <f>IF(AND(48&gt;=$C$6,48&lt;=$E$6),1,0)</f>
        <v/>
      </c>
      <c r="BA32" s="85">
        <f>IF(AND(49&gt;=$C$6,49&lt;=$E$6),1,0)</f>
        <v/>
      </c>
      <c r="BB32" s="85">
        <f>IF(AND(50&gt;=$C$6,50&lt;=$E$6),1,0)</f>
        <v/>
      </c>
      <c r="BC32" s="85">
        <f>IF(AND(51&gt;=$C$6,51&lt;=$E$6),1,0)</f>
        <v/>
      </c>
      <c r="BD32" s="85">
        <f>IF(AND(52&gt;=$C$6,52&lt;=$E$6),1,0)</f>
        <v/>
      </c>
      <c r="BE32" s="85">
        <f>IF(AND(53&gt;=$C$6,53&lt;=$E$6),1,0)</f>
        <v/>
      </c>
      <c r="BF32" s="85">
        <f>IF(AND(54&gt;=$C$6,54&lt;=$E$6),1,0)</f>
        <v/>
      </c>
      <c r="BG32" s="85">
        <f>IF(AND(55&gt;=$C$6,55&lt;=$E$6),1,0)</f>
        <v/>
      </c>
      <c r="BH32" s="85">
        <f>IF(AND(56&gt;=$C$6,56&lt;=$E$6),1,0)</f>
        <v/>
      </c>
      <c r="BI32" s="85">
        <f>IF(AND(57&gt;=$C$6,57&lt;=$E$6),1,0)</f>
        <v/>
      </c>
      <c r="BJ32" s="85">
        <f>IF(AND(58&gt;=$C$6,58&lt;=$E$6),1,0)</f>
        <v/>
      </c>
      <c r="BK32" s="85">
        <f>IF(AND(59&gt;=$C$6,59&lt;=$E$6),1,0)</f>
        <v/>
      </c>
      <c r="BL32" s="85">
        <f>IF(AND(60&gt;=$C$6,60&lt;=$E$6),1,0)</f>
        <v/>
      </c>
      <c r="BM32" s="85">
        <f>IF(AND(61&gt;=$C$6,61&lt;=$E$6),1,0)</f>
        <v/>
      </c>
      <c r="BN32" s="85">
        <f>IF(AND(62&gt;=$C$6,62&lt;=$E$6),1,0)</f>
        <v/>
      </c>
      <c r="BO32" s="85">
        <f>IF(AND(63&gt;=$C$6,63&lt;=$E$6),1,0)</f>
        <v/>
      </c>
      <c r="BP32" s="85">
        <f>IF(AND(64&gt;=$C$6,64&lt;=$E$6),1,0)</f>
        <v/>
      </c>
      <c r="BQ32" s="85">
        <f>IF(AND(65&gt;=$C$6,65&lt;=$E$6),1,0)</f>
        <v/>
      </c>
      <c r="BR32" s="85">
        <f>IF(AND(66&gt;=$C$6,66&lt;=$E$6),1,0)</f>
        <v/>
      </c>
      <c r="BS32" s="85">
        <f>IF(AND(67&gt;=$C$6,67&lt;=$E$6),1,0)</f>
        <v/>
      </c>
      <c r="BT32" s="85">
        <f>IF(AND(68&gt;=$C$6,68&lt;=$E$6),1,0)</f>
        <v/>
      </c>
      <c r="BU32" s="85">
        <f>IF(AND(69&gt;=$C$6,69&lt;=$E$6),1,0)</f>
        <v/>
      </c>
      <c r="BV32" s="85">
        <f>IF(AND(70&gt;=$C$6,70&lt;=$E$6),1,0)</f>
        <v/>
      </c>
      <c r="BW32" s="85">
        <f>IF(AND(71&gt;=$C$6,71&lt;=$E$6),1,0)</f>
        <v/>
      </c>
      <c r="BX32" s="85">
        <f>IF(AND(72&gt;=$C$6,72&lt;=$E$6),1,0)</f>
        <v/>
      </c>
      <c r="BY32" s="85">
        <f>IF(AND(73&gt;=$C$6,73&lt;=$E$6),1,0)</f>
        <v/>
      </c>
      <c r="BZ32" s="85">
        <f>IF(AND(74&gt;=$C$6,74&lt;=$E$6),1,0)</f>
        <v/>
      </c>
      <c r="CA32" s="85">
        <f>IF(AND(75&gt;=$C$6,75&lt;=$E$6),1,0)</f>
        <v/>
      </c>
      <c r="CB32" s="85">
        <f>IF(AND(76&gt;=$C$6,76&lt;=$E$6),1,0)</f>
        <v/>
      </c>
      <c r="CC32" s="85">
        <f>IF(AND(77&gt;=$C$6,77&lt;=$E$6),1,0)</f>
        <v/>
      </c>
      <c r="CD32" s="85">
        <f>IF(AND(78&gt;=$C$6,78&lt;=$E$6),1,0)</f>
        <v/>
      </c>
      <c r="CE32" s="85">
        <f>IF(AND(79&gt;=$C$6,79&lt;=$E$6),1,0)</f>
        <v/>
      </c>
      <c r="CF32" s="85">
        <f>IF(AND(80&gt;=$C$6,80&lt;=$E$6),1,0)</f>
        <v/>
      </c>
      <c r="CG32" s="85">
        <f>IF(AND(81&gt;=$C$6,81&lt;=$E$6),1,0)</f>
        <v/>
      </c>
      <c r="CH32" s="85">
        <f>IF(AND(82&gt;=$C$6,82&lt;=$E$6),1,0)</f>
        <v/>
      </c>
      <c r="CI32" s="85">
        <f>IF(AND(83&gt;=$C$6,83&lt;=$E$6),1,0)</f>
        <v/>
      </c>
      <c r="CJ32" s="85">
        <f>IF(AND(84&gt;=$C$6,84&lt;=$E$6),1,0)</f>
        <v/>
      </c>
      <c r="CK32" s="85">
        <f>IF(AND(85&gt;=$C$6,85&lt;=$E$6),1,0)</f>
        <v/>
      </c>
      <c r="CL32" s="85">
        <f>IF(AND(86&gt;=$C$6,86&lt;=$E$6),1,0)</f>
        <v/>
      </c>
      <c r="CM32" s="85">
        <f>IF(AND(87&gt;=$C$6,87&lt;=$E$6),1,0)</f>
        <v/>
      </c>
      <c r="CN32" s="85">
        <f>IF(AND(88&gt;=$C$6,88&lt;=$E$6),1,0)</f>
        <v/>
      </c>
      <c r="CO32" s="85">
        <f>IF(AND(89&gt;=$C$6,89&lt;=$E$6),1,0)</f>
        <v/>
      </c>
      <c r="CP32" s="85">
        <f>IF(AND(90&gt;=$C$6,90&lt;=$E$6),1,0)</f>
        <v/>
      </c>
      <c r="CQ32" s="85">
        <f>IF(AND(91&gt;=$C$6,91&lt;=$E$6),1,0)</f>
        <v/>
      </c>
      <c r="CR32" s="85">
        <f>IF(AND(92&gt;=$C$6,92&lt;=$E$6),1,0)</f>
        <v/>
      </c>
      <c r="CS32" s="85">
        <f>IF(AND(93&gt;=$C$6,93&lt;=$E$6),1,0)</f>
        <v/>
      </c>
      <c r="CT32" s="85">
        <f>IF(AND(94&gt;=$C$6,94&lt;=$E$6),1,0)</f>
        <v/>
      </c>
      <c r="CU32" s="85">
        <f>IF(AND(95&gt;=$C$6,95&lt;=$E$6),1,0)</f>
        <v/>
      </c>
      <c r="CV32" s="85">
        <f>IF(AND(96&gt;=$C$6,96&lt;=$E$6),1,0)</f>
        <v/>
      </c>
      <c r="CW32" s="85">
        <f>IF(AND(97&gt;=$C$6,97&lt;=$E$6),1,0)</f>
        <v/>
      </c>
      <c r="CX32" s="85">
        <f>IF(AND(98&gt;=$C$6,98&lt;=$E$6),1,0)</f>
        <v/>
      </c>
      <c r="CY32" s="85">
        <f>IF(AND(99&gt;=$C$6,99&lt;=$E$6),1,0)</f>
        <v/>
      </c>
      <c r="CZ32" s="85">
        <f>IF(AND(100&gt;=$C$6,100&lt;=$E$6),1,0)</f>
        <v/>
      </c>
      <c r="DA32" s="85">
        <f>IF(AND(101&gt;=$C$6,101&lt;=$E$6),1,0)</f>
        <v/>
      </c>
      <c r="DB32" s="85">
        <f>IF(AND(102&gt;=$C$6,102&lt;=$E$6),1,0)</f>
        <v/>
      </c>
      <c r="DC32" s="85">
        <f>IF(AND(103&gt;=$C$6,103&lt;=$E$6),1,0)</f>
        <v/>
      </c>
      <c r="DD32" s="85">
        <f>IF(AND(104&gt;=$C$6,104&lt;=$E$6),1,0)</f>
        <v/>
      </c>
      <c r="DE32" s="85">
        <f>IF(AND(105&gt;=$C$6,105&lt;=$E$6),1,0)</f>
        <v/>
      </c>
      <c r="DF32" s="85">
        <f>IF(AND(106&gt;=$C$6,106&lt;=$E$6),1,0)</f>
        <v/>
      </c>
      <c r="DG32" s="85">
        <f>IF(AND(107&gt;=$C$6,107&lt;=$E$6),1,0)</f>
        <v/>
      </c>
      <c r="DH32" s="85">
        <f>IF(AND(108&gt;=$C$6,108&lt;=$E$6),1,0)</f>
        <v/>
      </c>
      <c r="DI32" s="85">
        <f>IF(AND(109&gt;=$C$6,109&lt;=$E$6),1,0)</f>
        <v/>
      </c>
      <c r="DJ32" s="85">
        <f>IF(AND(110&gt;=$C$6,110&lt;=$E$6),1,0)</f>
        <v/>
      </c>
      <c r="DK32" s="85">
        <f>IF(AND(111&gt;=$C$6,111&lt;=$E$6),1,0)</f>
        <v/>
      </c>
      <c r="DL32" s="85">
        <f>IF(AND(112&gt;=$C$6,112&lt;=$E$6),1,0)</f>
        <v/>
      </c>
      <c r="DM32" s="85">
        <f>IF(AND(113&gt;=$C$6,113&lt;=$E$6),1,0)</f>
        <v/>
      </c>
      <c r="DN32" s="85">
        <f>IF(AND(114&gt;=$C$6,114&lt;=$E$6),1,0)</f>
        <v/>
      </c>
      <c r="DO32" s="85">
        <f>IF(AND(115&gt;=$C$6,115&lt;=$E$6),1,0)</f>
        <v/>
      </c>
      <c r="DP32" s="85">
        <f>IF(AND(116&gt;=$C$6,116&lt;=$E$6),1,0)</f>
        <v/>
      </c>
      <c r="DQ32" s="85">
        <f>IF(AND(117&gt;=$C$6,117&lt;=$E$6),1,0)</f>
        <v/>
      </c>
      <c r="DR32" s="85">
        <f>IF(AND(118&gt;=$C$6,118&lt;=$E$6),1,0)</f>
        <v/>
      </c>
      <c r="DS32" s="85">
        <f>IF(AND(119&gt;=$C$6,119&lt;=$E$6),1,0)</f>
        <v/>
      </c>
      <c r="DT32" s="85">
        <f>IF(AND(120&gt;=$C$6,120&lt;=$E$6),1,0)</f>
        <v/>
      </c>
      <c r="DU32" s="85">
        <f>IF(AND(121&gt;=$C$6,121&lt;=$E$6),1,0)</f>
        <v/>
      </c>
      <c r="DV32" s="85">
        <f>IF(AND(122&gt;=$C$6,122&lt;=$E$6),1,0)</f>
        <v/>
      </c>
      <c r="DW32" s="85">
        <f>IF(AND(123&gt;=$C$6,123&lt;=$E$6),1,0)</f>
        <v/>
      </c>
      <c r="DX32" s="85">
        <f>IF(AND(124&gt;=$C$6,124&lt;=$E$6),1,0)</f>
        <v/>
      </c>
      <c r="DY32" s="85">
        <f>IF(AND(125&gt;=$C$6,125&lt;=$E$6),1,0)</f>
        <v/>
      </c>
      <c r="DZ32" s="85">
        <f>IF(AND(126&gt;=$C$6,126&lt;=$E$6),1,0)</f>
        <v/>
      </c>
      <c r="EA32" s="85">
        <f>IF(AND(127&gt;=$C$6,127&lt;=$E$6),1,0)</f>
        <v/>
      </c>
      <c r="EB32" s="85">
        <f>IF(AND(128&gt;=$C$6,128&lt;=$E$6),1,0)</f>
        <v/>
      </c>
      <c r="EC32" s="85">
        <f>IF(AND(129&gt;=$C$6,129&lt;=$E$6),1,0)</f>
        <v/>
      </c>
      <c r="ED32" s="85">
        <f>IF(AND(130&gt;=$C$6,130&lt;=$E$6),1,0)</f>
        <v/>
      </c>
      <c r="EE32" s="85">
        <f>IF(AND(131&gt;=$C$6,131&lt;=$E$6),1,0)</f>
        <v/>
      </c>
      <c r="EF32" s="85">
        <f>IF(AND(132&gt;=$C$6,132&lt;=$E$6),1,0)</f>
        <v/>
      </c>
      <c r="EG32" s="85">
        <f>IF(AND(133&gt;=$C$6,133&lt;=$E$6),1,0)</f>
        <v/>
      </c>
      <c r="EH32" s="85">
        <f>IF(AND(134&gt;=$C$6,134&lt;=$E$6),1,0)</f>
        <v/>
      </c>
      <c r="EI32" s="85">
        <f>IF(AND(135&gt;=$C$6,135&lt;=$E$6),1,0)</f>
        <v/>
      </c>
      <c r="EJ32" s="85">
        <f>IF(AND(136&gt;=$C$6,136&lt;=$E$6),1,0)</f>
        <v/>
      </c>
      <c r="EK32" s="85">
        <f>IF(AND(137&gt;=$C$6,137&lt;=$E$6),1,0)</f>
        <v/>
      </c>
      <c r="EL32" s="85">
        <f>IF(AND(138&gt;=$C$6,138&lt;=$E$6),1,0)</f>
        <v/>
      </c>
      <c r="EM32" s="85">
        <f>IF(AND(139&gt;=$C$6,139&lt;=$E$6),1,0)</f>
        <v/>
      </c>
      <c r="EN32" s="85">
        <f>IF(AND(140&gt;=$C$6,140&lt;=$E$6),1,0)</f>
        <v/>
      </c>
      <c r="EO32" s="85">
        <f>IF(AND(141&gt;=$C$6,141&lt;=$E$6),1,0)</f>
        <v/>
      </c>
      <c r="EP32" s="85">
        <f>IF(AND(142&gt;=$C$6,142&lt;=$E$6),1,0)</f>
        <v/>
      </c>
      <c r="EQ32" s="85">
        <f>IF(AND(143&gt;=$C$6,143&lt;=$E$6),1,0)</f>
        <v/>
      </c>
      <c r="ER32" s="85">
        <f>IF(AND(144&gt;=$C$6,144&lt;=$E$6),1,0)</f>
        <v/>
      </c>
      <c r="ES32" s="85">
        <f>IF(AND(145&gt;=$C$6,145&lt;=$E$6),1,0)</f>
        <v/>
      </c>
      <c r="ET32" s="85">
        <f>IF(AND(146&gt;=$C$6,146&lt;=$E$6),1,0)</f>
        <v/>
      </c>
      <c r="EU32" s="85">
        <f>IF(AND(147&gt;=$C$6,147&lt;=$E$6),1,0)</f>
        <v/>
      </c>
      <c r="EV32" s="85">
        <f>IF(AND(148&gt;=$C$6,148&lt;=$E$6),1,0)</f>
        <v/>
      </c>
      <c r="EW32" s="85">
        <f>IF(AND(149&gt;=$C$6,149&lt;=$E$6),1,0)</f>
        <v/>
      </c>
      <c r="EX32" s="85">
        <f>IF(AND(150&gt;=$C$6,150&lt;=$E$6),1,0)</f>
        <v/>
      </c>
      <c r="EY32" s="85">
        <f>IF(AND(151&gt;=$C$6,151&lt;=$E$6),1,0)</f>
        <v/>
      </c>
      <c r="EZ32" s="85">
        <f>IF(AND(152&gt;=$C$6,152&lt;=$E$6),1,0)</f>
        <v/>
      </c>
      <c r="FA32" s="85">
        <f>IF(AND(153&gt;=$C$6,153&lt;=$E$6),1,0)</f>
        <v/>
      </c>
      <c r="FB32" s="85">
        <f>IF(AND(154&gt;=$C$6,154&lt;=$E$6),1,0)</f>
        <v/>
      </c>
      <c r="FC32" s="85">
        <f>IF(AND(155&gt;=$C$6,155&lt;=$E$6),1,0)</f>
        <v/>
      </c>
      <c r="FD32" s="85">
        <f>IF(AND(156&gt;=$C$6,156&lt;=$E$6),1,0)</f>
        <v/>
      </c>
      <c r="FE32" s="85">
        <f>IF(AND(157&gt;=$C$6,157&lt;=$E$6),1,0)</f>
        <v/>
      </c>
      <c r="FF32" s="85">
        <f>IF(AND(158&gt;=$C$6,158&lt;=$E$6),1,0)</f>
        <v/>
      </c>
      <c r="FG32" s="85">
        <f>IF(AND(159&gt;=$C$6,159&lt;=$E$6),1,0)</f>
        <v/>
      </c>
      <c r="FH32" s="85">
        <f>IF(AND(160&gt;=$C$6,160&lt;=$E$6),1,0)</f>
        <v/>
      </c>
      <c r="FI32" s="85">
        <f>IF(AND(161&gt;=$C$6,161&lt;=$E$6),1,0)</f>
        <v/>
      </c>
      <c r="FJ32" s="85">
        <f>IF(AND(162&gt;=$C$6,162&lt;=$E$6),1,0)</f>
        <v/>
      </c>
      <c r="FK32" s="85">
        <f>IF(AND(163&gt;=$C$6,163&lt;=$E$6),1,0)</f>
        <v/>
      </c>
      <c r="FL32" s="85">
        <f>IF(AND(164&gt;=$C$6,164&lt;=$E$6),1,0)</f>
        <v/>
      </c>
      <c r="FM32" s="85">
        <f>IF(AND(165&gt;=$C$6,165&lt;=$E$6),1,0)</f>
        <v/>
      </c>
      <c r="FN32" s="85">
        <f>IF(AND(166&gt;=$C$6,166&lt;=$E$6),1,0)</f>
        <v/>
      </c>
      <c r="FO32" s="85">
        <f>IF(AND(167&gt;=$C$6,167&lt;=$E$6),1,0)</f>
        <v/>
      </c>
      <c r="FP32" s="85">
        <f>IF(AND(168&gt;=$C$6,168&lt;=$E$6),1,0)</f>
        <v/>
      </c>
      <c r="FQ32" s="85">
        <f>IF(AND(169&gt;=$C$6,169&lt;=$E$6),1,0)</f>
        <v/>
      </c>
      <c r="FR32" s="85">
        <f>IF(AND(170&gt;=$C$6,170&lt;=$E$6),1,0)</f>
        <v/>
      </c>
      <c r="FS32" s="85">
        <f>IF(AND(171&gt;=$C$6,171&lt;=$E$6),1,0)</f>
        <v/>
      </c>
      <c r="FT32" s="85">
        <f>IF(AND(172&gt;=$C$6,172&lt;=$E$6),1,0)</f>
        <v/>
      </c>
      <c r="FU32" s="85">
        <f>IF(AND(173&gt;=$C$6,173&lt;=$E$6),1,0)</f>
        <v/>
      </c>
      <c r="FV32" s="85">
        <f>IF(AND(174&gt;=$C$6,174&lt;=$E$6),1,0)</f>
        <v/>
      </c>
      <c r="FW32" s="85">
        <f>IF(AND(175&gt;=$C$6,175&lt;=$E$6),1,0)</f>
        <v/>
      </c>
      <c r="FX32" s="85">
        <f>IF(AND(176&gt;=$C$6,176&lt;=$E$6),1,0)</f>
        <v/>
      </c>
      <c r="FY32" s="85">
        <f>IF(AND(177&gt;=$C$6,177&lt;=$E$6),1,0)</f>
        <v/>
      </c>
      <c r="FZ32" s="85">
        <f>IF(AND(178&gt;=$C$6,178&lt;=$E$6),1,0)</f>
        <v/>
      </c>
      <c r="GA32" s="85">
        <f>IF(AND(179&gt;=$C$6,179&lt;=$E$6),1,0)</f>
        <v/>
      </c>
      <c r="GB32" s="85">
        <f>IF(AND(180&gt;=$C$6,180&lt;=$E$6),1,0)</f>
        <v/>
      </c>
      <c r="GC32" s="85">
        <f>IF(AND(181&gt;=$C$6,181&lt;=$E$6),1,0)</f>
        <v/>
      </c>
      <c r="GD32" s="85">
        <f>IF(AND(182&gt;=$C$6,182&lt;=$E$6),1,0)</f>
        <v/>
      </c>
      <c r="GE32" s="85">
        <f>IF(AND(183&gt;=$C$6,183&lt;=$E$6),1,0)</f>
        <v/>
      </c>
      <c r="GF32" s="85">
        <f>IF(AND(184&gt;=$C$6,184&lt;=$E$6),1,0)</f>
        <v/>
      </c>
      <c r="GG32" s="85">
        <f>IF(AND(185&gt;=$C$6,185&lt;=$E$6),1,0)</f>
        <v/>
      </c>
      <c r="GH32" s="85">
        <f>IF(AND(186&gt;=$C$6,186&lt;=$E$6),1,0)</f>
        <v/>
      </c>
      <c r="GI32" s="85">
        <f>IF(AND(187&gt;=$C$6,187&lt;=$E$6),1,0)</f>
        <v/>
      </c>
      <c r="GJ32" s="85">
        <f>IF(AND(188&gt;=$C$6,188&lt;=$E$6),1,0)</f>
        <v/>
      </c>
      <c r="GK32" s="85">
        <f>IF(AND(189&gt;=$C$6,189&lt;=$E$6),1,0)</f>
        <v/>
      </c>
      <c r="GL32" s="85">
        <f>IF(AND(190&gt;=$C$6,190&lt;=$E$6),1,0)</f>
        <v/>
      </c>
      <c r="GM32" s="85">
        <f>IF(AND(191&gt;=$C$6,191&lt;=$E$6),1,0)</f>
        <v/>
      </c>
      <c r="GN32" s="85">
        <f>IF(AND(192&gt;=$C$6,192&lt;=$E$6),1,0)</f>
        <v/>
      </c>
      <c r="GO32" s="85">
        <f>IF(AND(193&gt;=$C$6,193&lt;=$E$6),1,0)</f>
        <v/>
      </c>
      <c r="GP32" s="85">
        <f>IF(AND(194&gt;=$C$6,194&lt;=$E$6),1,0)</f>
        <v/>
      </c>
      <c r="GQ32" s="85">
        <f>IF(AND(195&gt;=$C$6,195&lt;=$E$6),1,0)</f>
        <v/>
      </c>
      <c r="GR32" s="85">
        <f>IF(AND(196&gt;=$C$6,196&lt;=$E$6),1,0)</f>
        <v/>
      </c>
      <c r="GS32" s="85">
        <f>IF(AND(197&gt;=$C$6,197&lt;=$E$6),1,0)</f>
        <v/>
      </c>
      <c r="GT32" s="85">
        <f>IF(AND(198&gt;=$C$6,198&lt;=$E$6),1,0)</f>
        <v/>
      </c>
      <c r="GU32" s="85">
        <f>IF(AND(199&gt;=$C$6,199&lt;=$E$6),1,0)</f>
        <v/>
      </c>
      <c r="GV32" s="85">
        <f>IF(AND(200&gt;=$C$6,200&lt;=$E$6),1,0)</f>
        <v/>
      </c>
      <c r="GW32" s="85">
        <f>IF(AND(201&gt;=$C$6,201&lt;=$E$6),1,0)</f>
        <v/>
      </c>
      <c r="GX32" s="85">
        <f>IF(AND(202&gt;=$C$6,202&lt;=$E$6),1,0)</f>
        <v/>
      </c>
      <c r="GY32" s="85">
        <f>IF(AND(203&gt;=$C$6,203&lt;=$E$6),1,0)</f>
        <v/>
      </c>
      <c r="GZ32" s="85">
        <f>IF(AND(204&gt;=$C$6,204&lt;=$E$6),1,0)</f>
        <v/>
      </c>
      <c r="HA32" s="85">
        <f>IF(AND(205&gt;=$C$6,205&lt;=$E$6),1,0)</f>
        <v/>
      </c>
      <c r="HB32" s="85">
        <f>IF(AND(206&gt;=$C$6,206&lt;=$E$6),1,0)</f>
        <v/>
      </c>
      <c r="HC32" s="85">
        <f>IF(AND(207&gt;=$C$6,207&lt;=$E$6),1,0)</f>
        <v/>
      </c>
      <c r="HD32" s="85">
        <f>IF(AND(208&gt;=$C$6,208&lt;=$E$6),1,0)</f>
        <v/>
      </c>
      <c r="HE32" s="85">
        <f>IF(AND(209&gt;=$C$6,209&lt;=$E$6),1,0)</f>
        <v/>
      </c>
      <c r="HF32" s="85">
        <f>IF(AND(210&gt;=$C$6,210&lt;=$E$6),1,0)</f>
        <v/>
      </c>
      <c r="HG32" s="85">
        <f>IF(AND(211&gt;=$C$6,211&lt;=$E$6),1,0)</f>
        <v/>
      </c>
      <c r="HH32" s="85">
        <f>IF(AND(212&gt;=$C$6,212&lt;=$E$6),1,0)</f>
        <v/>
      </c>
      <c r="HI32" s="85">
        <f>IF(AND(213&gt;=$C$6,213&lt;=$E$6),1,0)</f>
        <v/>
      </c>
      <c r="HJ32" s="85">
        <f>IF(AND(214&gt;=$C$6,214&lt;=$E$6),1,0)</f>
        <v/>
      </c>
      <c r="HK32" s="85">
        <f>IF(AND(215&gt;=$C$6,215&lt;=$E$6),1,0)</f>
        <v/>
      </c>
      <c r="HL32" s="85">
        <f>IF(AND(216&gt;=$C$6,216&lt;=$E$6),1,0)</f>
        <v/>
      </c>
      <c r="HM32" s="85">
        <f>IF(AND(217&gt;=$C$6,217&lt;=$E$6),1,0)</f>
        <v/>
      </c>
      <c r="HN32" s="85">
        <f>IF(AND(218&gt;=$C$6,218&lt;=$E$6),1,0)</f>
        <v/>
      </c>
      <c r="HO32" s="85">
        <f>IF(AND(219&gt;=$C$6,219&lt;=$E$6),1,0)</f>
        <v/>
      </c>
      <c r="HP32" s="85">
        <f>IF(AND(220&gt;=$C$6,220&lt;=$E$6),1,0)</f>
        <v/>
      </c>
      <c r="HQ32" s="85">
        <f>IF(AND(221&gt;=$C$6,221&lt;=$E$6),1,0)</f>
        <v/>
      </c>
      <c r="HR32" s="85">
        <f>IF(AND(222&gt;=$C$6,222&lt;=$E$6),1,0)</f>
        <v/>
      </c>
      <c r="HS32" s="85">
        <f>IF(AND(223&gt;=$C$6,223&lt;=$E$6),1,0)</f>
        <v/>
      </c>
      <c r="HT32" s="85">
        <f>IF(AND(224&gt;=$C$6,224&lt;=$E$6),1,0)</f>
        <v/>
      </c>
      <c r="HU32" s="85">
        <f>IF(AND(225&gt;=$C$6,225&lt;=$E$6),1,0)</f>
        <v/>
      </c>
      <c r="HV32" s="85">
        <f>IF(AND(226&gt;=$C$6,226&lt;=$E$6),1,0)</f>
        <v/>
      </c>
      <c r="HW32" s="85">
        <f>IF(AND(227&gt;=$C$6,227&lt;=$E$6),1,0)</f>
        <v/>
      </c>
      <c r="HX32" s="85">
        <f>IF(AND(228&gt;=$C$6,228&lt;=$E$6),1,0)</f>
        <v/>
      </c>
      <c r="HY32" s="85">
        <f>IF(AND(229&gt;=$C$6,229&lt;=$E$6),1,0)</f>
        <v/>
      </c>
      <c r="HZ32" s="85">
        <f>IF(AND(230&gt;=$C$6,230&lt;=$E$6),1,0)</f>
        <v/>
      </c>
      <c r="IA32" s="85">
        <f>IF(AND(231&gt;=$C$6,231&lt;=$E$6),1,0)</f>
        <v/>
      </c>
      <c r="IB32" s="85">
        <f>IF(AND(232&gt;=$C$6,232&lt;=$E$6),1,0)</f>
        <v/>
      </c>
      <c r="IC32" s="85">
        <f>IF(AND(233&gt;=$C$6,233&lt;=$E$6),1,0)</f>
        <v/>
      </c>
      <c r="ID32" s="85">
        <f>IF(AND(234&gt;=$C$6,234&lt;=$E$6),1,0)</f>
        <v/>
      </c>
      <c r="IE32" s="85">
        <f>IF(AND(235&gt;=$C$6,235&lt;=$E$6),1,0)</f>
        <v/>
      </c>
      <c r="IF32" s="85">
        <f>IF(AND(236&gt;=$C$6,236&lt;=$E$6),1,0)</f>
        <v/>
      </c>
      <c r="IG32" s="85">
        <f>IF(AND(237&gt;=$C$6,237&lt;=$E$6),1,0)</f>
        <v/>
      </c>
      <c r="IH32" s="85">
        <f>IF(AND(238&gt;=$C$6,238&lt;=$E$6),1,0)</f>
        <v/>
      </c>
      <c r="II32" s="85">
        <f>IF(AND(239&gt;=$C$6,239&lt;=$E$6),1,0)</f>
        <v/>
      </c>
      <c r="IJ32" s="85">
        <f>IF(AND(240&gt;=$C$6,240&lt;=$E$6),1,0)</f>
        <v/>
      </c>
      <c r="IK32" s="85">
        <f>IF(AND(241&gt;=$C$6,241&lt;=$E$6),1,0)</f>
        <v/>
      </c>
      <c r="IL32" s="85">
        <f>IF(AND(242&gt;=$C$6,242&lt;=$E$6),1,0)</f>
        <v/>
      </c>
      <c r="IM32" s="85">
        <f>IF(AND(243&gt;=$C$6,243&lt;=$E$6),1,0)</f>
        <v/>
      </c>
      <c r="IN32" s="85">
        <f>IF(AND(244&gt;=$C$6,244&lt;=$E$6),1,0)</f>
        <v/>
      </c>
      <c r="IO32" s="85">
        <f>IF(AND(245&gt;=$C$6,245&lt;=$E$6),1,0)</f>
        <v/>
      </c>
      <c r="IP32" s="85">
        <f>IF(AND(246&gt;=$C$6,246&lt;=$E$6),1,0)</f>
        <v/>
      </c>
      <c r="IQ32" s="85">
        <f>IF(AND(247&gt;=$C$6,247&lt;=$E$6),1,0)</f>
        <v/>
      </c>
      <c r="IR32" s="85">
        <f>IF(AND(248&gt;=$C$6,248&lt;=$E$6),1,0)</f>
        <v/>
      </c>
      <c r="IS32" s="85">
        <f>IF(AND(249&gt;=$C$6,249&lt;=$E$6),1,0)</f>
        <v/>
      </c>
      <c r="IT32" s="85">
        <f>IF(AND(250&gt;=$C$6,250&lt;=$E$6),1,0)</f>
        <v/>
      </c>
      <c r="IU32" s="85">
        <f>IF(AND(251&gt;=$C$6,251&lt;=$E$6),1,0)</f>
        <v/>
      </c>
      <c r="IV32" s="85">
        <f>IF(AND(252&gt;=$C$6,252&lt;=$E$6),1,0)</f>
        <v/>
      </c>
      <c r="IW32" s="85">
        <f>IF(AND(253&gt;=$C$6,253&lt;=$E$6),1,0)</f>
        <v/>
      </c>
      <c r="IX32" s="85">
        <f>IF(AND(254&gt;=$C$6,254&lt;=$E$6),1,0)</f>
        <v/>
      </c>
      <c r="IY32" s="85">
        <f>IF(AND(255&gt;=$C$6,255&lt;=$E$6),1,0)</f>
        <v/>
      </c>
      <c r="IZ32" s="85">
        <f>IF(AND(256&gt;=$C$6,256&lt;=$E$6),1,0)</f>
        <v/>
      </c>
      <c r="JA32" s="85">
        <f>IF(AND(257&gt;=$C$6,257&lt;=$E$6),1,0)</f>
        <v/>
      </c>
      <c r="JB32" s="85">
        <f>IF(AND(258&gt;=$C$6,258&lt;=$E$6),1,0)</f>
        <v/>
      </c>
      <c r="JC32" s="85">
        <f>IF(AND(259&gt;=$C$6,259&lt;=$E$6),1,0)</f>
        <v/>
      </c>
      <c r="JD32" s="85">
        <f>IF(AND(260&gt;=$C$6,260&lt;=$E$6),1,0)</f>
        <v/>
      </c>
      <c r="JE32" s="85">
        <f>IF(AND(261&gt;=$C$6,261&lt;=$E$6),1,0)</f>
        <v/>
      </c>
      <c r="JF32" s="85">
        <f>IF(AND(262&gt;=$C$6,262&lt;=$E$6),1,0)</f>
        <v/>
      </c>
      <c r="JG32" s="85">
        <f>IF(AND(263&gt;=$C$6,263&lt;=$E$6),1,0)</f>
        <v/>
      </c>
      <c r="JH32" s="85">
        <f>IF(AND(264&gt;=$C$6,264&lt;=$E$6),1,0)</f>
        <v/>
      </c>
      <c r="JI32" s="85">
        <f>IF(AND(265&gt;=$C$6,265&lt;=$E$6),1,0)</f>
        <v/>
      </c>
      <c r="JJ32" s="85">
        <f>IF(AND(266&gt;=$C$6,266&lt;=$E$6),1,0)</f>
        <v/>
      </c>
      <c r="JK32" s="85">
        <f>IF(AND(267&gt;=$C$6,267&lt;=$E$6),1,0)</f>
        <v/>
      </c>
      <c r="JL32" s="85">
        <f>IF(AND(268&gt;=$C$6,268&lt;=$E$6),1,0)</f>
        <v/>
      </c>
      <c r="JM32" s="85">
        <f>IF(AND(269&gt;=$C$6,269&lt;=$E$6),1,0)</f>
        <v/>
      </c>
      <c r="JN32" s="85">
        <f>IF(AND(270&gt;=$C$6,270&lt;=$E$6),1,0)</f>
        <v/>
      </c>
      <c r="JO32" s="85">
        <f>IF(AND(271&gt;=$C$6,271&lt;=$E$6),1,0)</f>
        <v/>
      </c>
      <c r="JP32" s="85">
        <f>IF(AND(272&gt;=$C$6,272&lt;=$E$6),1,0)</f>
        <v/>
      </c>
      <c r="JQ32" s="85">
        <f>IF(AND(273&gt;=$C$6,273&lt;=$E$6),1,0)</f>
        <v/>
      </c>
      <c r="JR32" s="85">
        <f>IF(AND(274&gt;=$C$6,274&lt;=$E$6),1,0)</f>
        <v/>
      </c>
      <c r="JS32" s="85">
        <f>IF(AND(275&gt;=$C$6,275&lt;=$E$6),1,0)</f>
        <v/>
      </c>
      <c r="JT32" s="85">
        <f>IF(AND(276&gt;=$C$6,276&lt;=$E$6),1,0)</f>
        <v/>
      </c>
      <c r="JU32" s="85">
        <f>IF(AND(277&gt;=$C$6,277&lt;=$E$6),1,0)</f>
        <v/>
      </c>
      <c r="JV32" s="85">
        <f>IF(AND(278&gt;=$C$6,278&lt;=$E$6),1,0)</f>
        <v/>
      </c>
      <c r="JW32" s="85">
        <f>IF(AND(279&gt;=$C$6,279&lt;=$E$6),1,0)</f>
        <v/>
      </c>
      <c r="JX32" s="85">
        <f>IF(AND(280&gt;=$C$6,280&lt;=$E$6),1,0)</f>
        <v/>
      </c>
      <c r="JY32" s="85">
        <f>IF(AND(281&gt;=$C$6,281&lt;=$E$6),1,0)</f>
        <v/>
      </c>
      <c r="JZ32" s="85">
        <f>IF(AND(282&gt;=$C$6,282&lt;=$E$6),1,0)</f>
        <v/>
      </c>
      <c r="KA32" s="85">
        <f>IF(AND(283&gt;=$C$6,283&lt;=$E$6),1,0)</f>
        <v/>
      </c>
      <c r="KB32" s="85">
        <f>IF(AND(284&gt;=$C$6,284&lt;=$E$6),1,0)</f>
        <v/>
      </c>
      <c r="KC32" s="85">
        <f>IF(AND(285&gt;=$C$6,285&lt;=$E$6),1,0)</f>
        <v/>
      </c>
      <c r="KD32" s="85">
        <f>IF(AND(286&gt;=$C$6,286&lt;=$E$6),1,0)</f>
        <v/>
      </c>
      <c r="KE32" s="85">
        <f>IF(AND(287&gt;=$C$6,287&lt;=$E$6),1,0)</f>
        <v/>
      </c>
      <c r="KF32" s="85">
        <f>IF(AND(288&gt;=$C$6,288&lt;=$E$6),1,0)</f>
        <v/>
      </c>
      <c r="KG32" s="85">
        <f>IF(AND(289&gt;=$C$6,289&lt;=$E$6),1,0)</f>
        <v/>
      </c>
      <c r="KH32" s="85">
        <f>IF(AND(290&gt;=$C$6,290&lt;=$E$6),1,0)</f>
        <v/>
      </c>
      <c r="KI32" s="85">
        <f>IF(AND(291&gt;=$C$6,291&lt;=$E$6),1,0)</f>
        <v/>
      </c>
      <c r="KJ32" s="85">
        <f>IF(AND(292&gt;=$C$6,292&lt;=$E$6),1,0)</f>
        <v/>
      </c>
      <c r="KK32" s="85">
        <f>IF(AND(293&gt;=$C$6,293&lt;=$E$6),1,0)</f>
        <v/>
      </c>
      <c r="KL32" s="85">
        <f>IF(AND(294&gt;=$C$6,294&lt;=$E$6),1,0)</f>
        <v/>
      </c>
      <c r="KM32" s="85">
        <f>IF(AND(295&gt;=$C$6,295&lt;=$E$6),1,0)</f>
        <v/>
      </c>
      <c r="KN32" s="85">
        <f>IF(AND(296&gt;=$C$6,296&lt;=$E$6),1,0)</f>
        <v/>
      </c>
      <c r="KO32" s="85">
        <f>IF(AND(297&gt;=$C$6,297&lt;=$E$6),1,0)</f>
        <v/>
      </c>
      <c r="KP32" s="85">
        <f>IF(AND(298&gt;=$C$6,298&lt;=$E$6),1,0)</f>
        <v/>
      </c>
      <c r="KQ32" s="85">
        <f>IF(AND(299&gt;=$C$6,299&lt;=$E$6),1,0)</f>
        <v/>
      </c>
      <c r="KR32" s="85">
        <f>IF(AND(300&gt;=$C$6,300&lt;=$E$6),1,0)</f>
        <v/>
      </c>
      <c r="KS32" s="85">
        <f>IF(AND(301&gt;=$C$6,301&lt;=$E$6),1,0)</f>
        <v/>
      </c>
      <c r="KT32" s="85">
        <f>IF(AND(302&gt;=$C$6,302&lt;=$E$6),1,0)</f>
        <v/>
      </c>
      <c r="KU32" s="85">
        <f>IF(AND(303&gt;=$C$6,303&lt;=$E$6),1,0)</f>
        <v/>
      </c>
      <c r="KV32" s="85">
        <f>IF(AND(304&gt;=$C$6,304&lt;=$E$6),1,0)</f>
        <v/>
      </c>
      <c r="KW32" s="85">
        <f>IF(AND(305&gt;=$C$6,305&lt;=$E$6),1,0)</f>
        <v/>
      </c>
      <c r="KX32" s="85">
        <f>IF(AND(306&gt;=$C$6,306&lt;=$E$6),1,0)</f>
        <v/>
      </c>
      <c r="KY32" s="85">
        <f>IF(AND(307&gt;=$C$6,307&lt;=$E$6),1,0)</f>
        <v/>
      </c>
      <c r="KZ32" s="85">
        <f>IF(AND(308&gt;=$C$6,308&lt;=$E$6),1,0)</f>
        <v/>
      </c>
      <c r="LA32" s="85">
        <f>IF(AND(309&gt;=$C$6,309&lt;=$E$6),1,0)</f>
        <v/>
      </c>
      <c r="LB32" s="85">
        <f>IF(AND(310&gt;=$C$6,310&lt;=$E$6),1,0)</f>
        <v/>
      </c>
      <c r="LC32" s="85">
        <f>IF(AND(311&gt;=$C$6,311&lt;=$E$6),1,0)</f>
        <v/>
      </c>
      <c r="LD32" s="85">
        <f>IF(AND(312&gt;=$C$6,312&lt;=$E$6),1,0)</f>
        <v/>
      </c>
      <c r="LE32" s="85">
        <f>IF(AND(313&gt;=$C$6,313&lt;=$E$6),1,0)</f>
        <v/>
      </c>
      <c r="LF32" s="85">
        <f>IF(AND(314&gt;=$C$6,314&lt;=$E$6),1,0)</f>
        <v/>
      </c>
      <c r="LG32" s="85">
        <f>IF(AND(315&gt;=$C$6,315&lt;=$E$6),1,0)</f>
        <v/>
      </c>
      <c r="LH32" s="85">
        <f>IF(AND(316&gt;=$C$6,316&lt;=$E$6),1,0)</f>
        <v/>
      </c>
      <c r="LI32" s="85">
        <f>IF(AND(317&gt;=$C$6,317&lt;=$E$6),1,0)</f>
        <v/>
      </c>
      <c r="LJ32" s="85">
        <f>IF(AND(318&gt;=$C$6,318&lt;=$E$6),1,0)</f>
        <v/>
      </c>
      <c r="LK32" s="85">
        <f>IF(AND(319&gt;=$C$6,319&lt;=$E$6),1,0)</f>
        <v/>
      </c>
      <c r="LL32" s="85">
        <f>IF(AND(320&gt;=$C$6,320&lt;=$E$6),1,0)</f>
        <v/>
      </c>
      <c r="LM32" s="85">
        <f>IF(AND(321&gt;=$C$6,321&lt;=$E$6),1,0)</f>
        <v/>
      </c>
      <c r="LN32" s="85">
        <f>IF(AND(322&gt;=$C$6,322&lt;=$E$6),1,0)</f>
        <v/>
      </c>
      <c r="LO32" s="85">
        <f>IF(AND(323&gt;=$C$6,323&lt;=$E$6),1,0)</f>
        <v/>
      </c>
      <c r="LP32" s="85">
        <f>IF(AND(324&gt;=$C$6,324&lt;=$E$6),1,0)</f>
        <v/>
      </c>
      <c r="LQ32" s="85">
        <f>IF(AND(325&gt;=$C$6,325&lt;=$E$6),1,0)</f>
        <v/>
      </c>
      <c r="LR32" s="85">
        <f>IF(AND(326&gt;=$C$6,326&lt;=$E$6),1,0)</f>
        <v/>
      </c>
      <c r="LS32" s="85">
        <f>IF(AND(327&gt;=$C$6,327&lt;=$E$6),1,0)</f>
        <v/>
      </c>
      <c r="LT32" s="85">
        <f>IF(AND(328&gt;=$C$6,328&lt;=$E$6),1,0)</f>
        <v/>
      </c>
      <c r="LU32" s="85">
        <f>IF(AND(329&gt;=$C$6,329&lt;=$E$6),1,0)</f>
        <v/>
      </c>
      <c r="LV32" s="85">
        <f>IF(AND(330&gt;=$C$6,330&lt;=$E$6),1,0)</f>
        <v/>
      </c>
      <c r="LW32" s="85">
        <f>IF(AND(331&gt;=$C$6,331&lt;=$E$6),1,0)</f>
        <v/>
      </c>
      <c r="LX32" s="85">
        <f>IF(AND(332&gt;=$C$6,332&lt;=$E$6),1,0)</f>
        <v/>
      </c>
      <c r="LY32" s="85">
        <f>IF(AND(333&gt;=$C$6,333&lt;=$E$6),1,0)</f>
        <v/>
      </c>
      <c r="LZ32" s="85">
        <f>IF(AND(334&gt;=$C$6,334&lt;=$E$6),1,0)</f>
        <v/>
      </c>
      <c r="MA32" s="85">
        <f>IF(AND(335&gt;=$C$6,335&lt;=$E$6),1,0)</f>
        <v/>
      </c>
      <c r="MB32" s="85">
        <f>IF(AND(336&gt;=$C$6,336&lt;=$E$6),1,0)</f>
        <v/>
      </c>
      <c r="MC32" s="85">
        <f>IF(AND(337&gt;=$C$6,337&lt;=$E$6),1,0)</f>
        <v/>
      </c>
      <c r="MD32" s="85">
        <f>IF(AND(338&gt;=$C$6,338&lt;=$E$6),1,0)</f>
        <v/>
      </c>
      <c r="ME32" s="85">
        <f>IF(AND(339&gt;=$C$6,339&lt;=$E$6),1,0)</f>
        <v/>
      </c>
      <c r="MF32" s="85">
        <f>IF(AND(340&gt;=$C$6,340&lt;=$E$6),1,0)</f>
        <v/>
      </c>
      <c r="MG32" s="85">
        <f>IF(AND(341&gt;=$C$6,341&lt;=$E$6),1,0)</f>
        <v/>
      </c>
      <c r="MH32" s="85">
        <f>IF(AND(342&gt;=$C$6,342&lt;=$E$6),1,0)</f>
        <v/>
      </c>
      <c r="MI32" s="85">
        <f>IF(AND(343&gt;=$C$6,343&lt;=$E$6),1,0)</f>
        <v/>
      </c>
      <c r="MJ32" s="85">
        <f>IF(AND(344&gt;=$C$6,344&lt;=$E$6),1,0)</f>
        <v/>
      </c>
      <c r="MK32" s="85">
        <f>IF(AND(345&gt;=$C$6,345&lt;=$E$6),1,0)</f>
        <v/>
      </c>
      <c r="ML32" s="85">
        <f>IF(AND(346&gt;=$C$6,346&lt;=$E$6),1,0)</f>
        <v/>
      </c>
      <c r="MM32" s="85">
        <f>IF(AND(347&gt;=$C$6,347&lt;=$E$6),1,0)</f>
        <v/>
      </c>
      <c r="MN32" s="85">
        <f>IF(AND(348&gt;=$C$6,348&lt;=$E$6),1,0)</f>
        <v/>
      </c>
      <c r="MO32" s="85">
        <f>IF(AND(349&gt;=$C$6,349&lt;=$E$6),1,0)</f>
        <v/>
      </c>
      <c r="MP32" s="85">
        <f>IF(AND(350&gt;=$C$6,350&lt;=$E$6),1,0)</f>
        <v/>
      </c>
      <c r="MQ32" s="85">
        <f>IF(AND(351&gt;=$C$6,351&lt;=$E$6),1,0)</f>
        <v/>
      </c>
      <c r="MR32" s="85">
        <f>IF(AND(352&gt;=$C$6,352&lt;=$E$6),1,0)</f>
        <v/>
      </c>
      <c r="MS32" s="85">
        <f>IF(AND(353&gt;=$C$6,353&lt;=$E$6),1,0)</f>
        <v/>
      </c>
      <c r="MT32" s="85">
        <f>IF(AND(354&gt;=$C$6,354&lt;=$E$6),1,0)</f>
        <v/>
      </c>
      <c r="MU32" s="85">
        <f>IF(AND(355&gt;=$C$6,355&lt;=$E$6),1,0)</f>
        <v/>
      </c>
      <c r="MV32" s="85">
        <f>IF(AND(356&gt;=$C$6,356&lt;=$E$6),1,0)</f>
        <v/>
      </c>
      <c r="MW32" s="85">
        <f>IF(AND(357&gt;=$C$6,357&lt;=$E$6),1,0)</f>
        <v/>
      </c>
      <c r="MX32" s="85">
        <f>IF(AND(358&gt;=$C$6,358&lt;=$E$6),1,0)</f>
        <v/>
      </c>
      <c r="MY32" s="85">
        <f>IF(AND(359&gt;=$C$6,359&lt;=$E$6),1,0)</f>
        <v/>
      </c>
      <c r="MZ32" s="85">
        <f>IF(AND(360&gt;=$C$6,360&lt;=$E$6),1,0)</f>
        <v/>
      </c>
      <c r="NA32" s="85">
        <f>IF(AND(361&gt;=$C$6,361&lt;=$E$6),1,0)</f>
        <v/>
      </c>
      <c r="NB32" s="85">
        <f>IF(AND(362&gt;=$C$6,362&lt;=$E$6),1,0)</f>
        <v/>
      </c>
      <c r="NC32" s="85">
        <f>IF(AND(363&gt;=$C$6,363&lt;=$E$6),1,0)</f>
        <v/>
      </c>
      <c r="ND32" s="85">
        <f>IF(AND(364&gt;=$C$6,364&lt;=$E$6),1,0)</f>
        <v/>
      </c>
      <c r="NE32" s="85">
        <f>IF(AND(365&gt;=$C$6,365&lt;=$E$6),1,0)</f>
        <v/>
      </c>
      <c r="NF32" s="85">
        <f>IF(AND(366&gt;=$C$6,366&lt;=$E$6),1,0)</f>
        <v/>
      </c>
      <c r="NG32" s="85">
        <f>IF(AND(367&gt;=$C$6,367&lt;=$E$6),1,0)</f>
        <v/>
      </c>
      <c r="NH32" s="85">
        <f>IF(AND(368&gt;=$C$6,368&lt;=$E$6),1,0)</f>
        <v/>
      </c>
      <c r="NI32" s="85">
        <f>IF(AND(369&gt;=$C$6,369&lt;=$E$6),1,0)</f>
        <v/>
      </c>
      <c r="NJ32" s="85">
        <f>IF(AND(370&gt;=$C$6,370&lt;=$E$6),1,0)</f>
        <v/>
      </c>
      <c r="NK32" s="85">
        <f>IF(AND(371&gt;=$C$6,371&lt;=$E$6),1,0)</f>
        <v/>
      </c>
      <c r="NL32" s="85">
        <f>IF(AND(372&gt;=$C$6,372&lt;=$E$6),1,0)</f>
        <v/>
      </c>
    </row>
    <row r="33">
      <c r="B33" s="36" t="inlineStr">
        <is>
          <t>Flag: Pre-Construction</t>
        </is>
      </c>
      <c r="D33" s="124" t="n"/>
      <c r="E33" s="85">
        <f>IF(AND(1&gt;=$C$7,1&lt;=$E$7),1,0)</f>
        <v/>
      </c>
      <c r="F33" s="85">
        <f>IF(AND(2&gt;=$C$7,2&lt;=$E$7),1,0)</f>
        <v/>
      </c>
      <c r="G33" s="85">
        <f>IF(AND(3&gt;=$C$7,3&lt;=$E$7),1,0)</f>
        <v/>
      </c>
      <c r="H33" s="85">
        <f>IF(AND(4&gt;=$C$7,4&lt;=$E$7),1,0)</f>
        <v/>
      </c>
      <c r="I33" s="85">
        <f>IF(AND(5&gt;=$C$7,5&lt;=$E$7),1,0)</f>
        <v/>
      </c>
      <c r="J33" s="85">
        <f>IF(AND(6&gt;=$C$7,6&lt;=$E$7),1,0)</f>
        <v/>
      </c>
      <c r="K33" s="85">
        <f>IF(AND(7&gt;=$C$7,7&lt;=$E$7),1,0)</f>
        <v/>
      </c>
      <c r="L33" s="85">
        <f>IF(AND(8&gt;=$C$7,8&lt;=$E$7),1,0)</f>
        <v/>
      </c>
      <c r="M33" s="85">
        <f>IF(AND(9&gt;=$C$7,9&lt;=$E$7),1,0)</f>
        <v/>
      </c>
      <c r="N33" s="85">
        <f>IF(AND(10&gt;=$C$7,10&lt;=$E$7),1,0)</f>
        <v/>
      </c>
      <c r="O33" s="85">
        <f>IF(AND(11&gt;=$C$7,11&lt;=$E$7),1,0)</f>
        <v/>
      </c>
      <c r="P33" s="85">
        <f>IF(AND(12&gt;=$C$7,12&lt;=$E$7),1,0)</f>
        <v/>
      </c>
      <c r="Q33" s="85">
        <f>IF(AND(13&gt;=$C$7,13&lt;=$E$7),1,0)</f>
        <v/>
      </c>
      <c r="R33" s="85">
        <f>IF(AND(14&gt;=$C$7,14&lt;=$E$7),1,0)</f>
        <v/>
      </c>
      <c r="S33" s="85">
        <f>IF(AND(15&gt;=$C$7,15&lt;=$E$7),1,0)</f>
        <v/>
      </c>
      <c r="T33" s="85">
        <f>IF(AND(16&gt;=$C$7,16&lt;=$E$7),1,0)</f>
        <v/>
      </c>
      <c r="U33" s="85">
        <f>IF(AND(17&gt;=$C$7,17&lt;=$E$7),1,0)</f>
        <v/>
      </c>
      <c r="V33" s="85">
        <f>IF(AND(18&gt;=$C$7,18&lt;=$E$7),1,0)</f>
        <v/>
      </c>
      <c r="W33" s="85">
        <f>IF(AND(19&gt;=$C$7,19&lt;=$E$7),1,0)</f>
        <v/>
      </c>
      <c r="X33" s="85">
        <f>IF(AND(20&gt;=$C$7,20&lt;=$E$7),1,0)</f>
        <v/>
      </c>
      <c r="Y33" s="85">
        <f>IF(AND(21&gt;=$C$7,21&lt;=$E$7),1,0)</f>
        <v/>
      </c>
      <c r="Z33" s="85">
        <f>IF(AND(22&gt;=$C$7,22&lt;=$E$7),1,0)</f>
        <v/>
      </c>
      <c r="AA33" s="85">
        <f>IF(AND(23&gt;=$C$7,23&lt;=$E$7),1,0)</f>
        <v/>
      </c>
      <c r="AB33" s="85">
        <f>IF(AND(24&gt;=$C$7,24&lt;=$E$7),1,0)</f>
        <v/>
      </c>
      <c r="AC33" s="85">
        <f>IF(AND(25&gt;=$C$7,25&lt;=$E$7),1,0)</f>
        <v/>
      </c>
      <c r="AD33" s="85">
        <f>IF(AND(26&gt;=$C$7,26&lt;=$E$7),1,0)</f>
        <v/>
      </c>
      <c r="AE33" s="85">
        <f>IF(AND(27&gt;=$C$7,27&lt;=$E$7),1,0)</f>
        <v/>
      </c>
      <c r="AF33" s="85">
        <f>IF(AND(28&gt;=$C$7,28&lt;=$E$7),1,0)</f>
        <v/>
      </c>
      <c r="AG33" s="85">
        <f>IF(AND(29&gt;=$C$7,29&lt;=$E$7),1,0)</f>
        <v/>
      </c>
      <c r="AH33" s="85">
        <f>IF(AND(30&gt;=$C$7,30&lt;=$E$7),1,0)</f>
        <v/>
      </c>
      <c r="AI33" s="85">
        <f>IF(AND(31&gt;=$C$7,31&lt;=$E$7),1,0)</f>
        <v/>
      </c>
      <c r="AJ33" s="85">
        <f>IF(AND(32&gt;=$C$7,32&lt;=$E$7),1,0)</f>
        <v/>
      </c>
      <c r="AK33" s="85">
        <f>IF(AND(33&gt;=$C$7,33&lt;=$E$7),1,0)</f>
        <v/>
      </c>
      <c r="AL33" s="85">
        <f>IF(AND(34&gt;=$C$7,34&lt;=$E$7),1,0)</f>
        <v/>
      </c>
      <c r="AM33" s="85">
        <f>IF(AND(35&gt;=$C$7,35&lt;=$E$7),1,0)</f>
        <v/>
      </c>
      <c r="AN33" s="85">
        <f>IF(AND(36&gt;=$C$7,36&lt;=$E$7),1,0)</f>
        <v/>
      </c>
      <c r="AO33" s="85">
        <f>IF(AND(37&gt;=$C$7,37&lt;=$E$7),1,0)</f>
        <v/>
      </c>
      <c r="AP33" s="85">
        <f>IF(AND(38&gt;=$C$7,38&lt;=$E$7),1,0)</f>
        <v/>
      </c>
      <c r="AQ33" s="85">
        <f>IF(AND(39&gt;=$C$7,39&lt;=$E$7),1,0)</f>
        <v/>
      </c>
      <c r="AR33" s="85">
        <f>IF(AND(40&gt;=$C$7,40&lt;=$E$7),1,0)</f>
        <v/>
      </c>
      <c r="AS33" s="85">
        <f>IF(AND(41&gt;=$C$7,41&lt;=$E$7),1,0)</f>
        <v/>
      </c>
      <c r="AT33" s="85">
        <f>IF(AND(42&gt;=$C$7,42&lt;=$E$7),1,0)</f>
        <v/>
      </c>
      <c r="AU33" s="85">
        <f>IF(AND(43&gt;=$C$7,43&lt;=$E$7),1,0)</f>
        <v/>
      </c>
      <c r="AV33" s="85">
        <f>IF(AND(44&gt;=$C$7,44&lt;=$E$7),1,0)</f>
        <v/>
      </c>
      <c r="AW33" s="85">
        <f>IF(AND(45&gt;=$C$7,45&lt;=$E$7),1,0)</f>
        <v/>
      </c>
      <c r="AX33" s="85">
        <f>IF(AND(46&gt;=$C$7,46&lt;=$E$7),1,0)</f>
        <v/>
      </c>
      <c r="AY33" s="85">
        <f>IF(AND(47&gt;=$C$7,47&lt;=$E$7),1,0)</f>
        <v/>
      </c>
      <c r="AZ33" s="85">
        <f>IF(AND(48&gt;=$C$7,48&lt;=$E$7),1,0)</f>
        <v/>
      </c>
      <c r="BA33" s="85">
        <f>IF(AND(49&gt;=$C$7,49&lt;=$E$7),1,0)</f>
        <v/>
      </c>
      <c r="BB33" s="85">
        <f>IF(AND(50&gt;=$C$7,50&lt;=$E$7),1,0)</f>
        <v/>
      </c>
      <c r="BC33" s="85">
        <f>IF(AND(51&gt;=$C$7,51&lt;=$E$7),1,0)</f>
        <v/>
      </c>
      <c r="BD33" s="85">
        <f>IF(AND(52&gt;=$C$7,52&lt;=$E$7),1,0)</f>
        <v/>
      </c>
      <c r="BE33" s="85">
        <f>IF(AND(53&gt;=$C$7,53&lt;=$E$7),1,0)</f>
        <v/>
      </c>
      <c r="BF33" s="85">
        <f>IF(AND(54&gt;=$C$7,54&lt;=$E$7),1,0)</f>
        <v/>
      </c>
      <c r="BG33" s="85">
        <f>IF(AND(55&gt;=$C$7,55&lt;=$E$7),1,0)</f>
        <v/>
      </c>
      <c r="BH33" s="85">
        <f>IF(AND(56&gt;=$C$7,56&lt;=$E$7),1,0)</f>
        <v/>
      </c>
      <c r="BI33" s="85">
        <f>IF(AND(57&gt;=$C$7,57&lt;=$E$7),1,0)</f>
        <v/>
      </c>
      <c r="BJ33" s="85">
        <f>IF(AND(58&gt;=$C$7,58&lt;=$E$7),1,0)</f>
        <v/>
      </c>
      <c r="BK33" s="85">
        <f>IF(AND(59&gt;=$C$7,59&lt;=$E$7),1,0)</f>
        <v/>
      </c>
      <c r="BL33" s="85">
        <f>IF(AND(60&gt;=$C$7,60&lt;=$E$7),1,0)</f>
        <v/>
      </c>
      <c r="BM33" s="85">
        <f>IF(AND(61&gt;=$C$7,61&lt;=$E$7),1,0)</f>
        <v/>
      </c>
      <c r="BN33" s="85">
        <f>IF(AND(62&gt;=$C$7,62&lt;=$E$7),1,0)</f>
        <v/>
      </c>
      <c r="BO33" s="85">
        <f>IF(AND(63&gt;=$C$7,63&lt;=$E$7),1,0)</f>
        <v/>
      </c>
      <c r="BP33" s="85">
        <f>IF(AND(64&gt;=$C$7,64&lt;=$E$7),1,0)</f>
        <v/>
      </c>
      <c r="BQ33" s="85">
        <f>IF(AND(65&gt;=$C$7,65&lt;=$E$7),1,0)</f>
        <v/>
      </c>
      <c r="BR33" s="85">
        <f>IF(AND(66&gt;=$C$7,66&lt;=$E$7),1,0)</f>
        <v/>
      </c>
      <c r="BS33" s="85">
        <f>IF(AND(67&gt;=$C$7,67&lt;=$E$7),1,0)</f>
        <v/>
      </c>
      <c r="BT33" s="85">
        <f>IF(AND(68&gt;=$C$7,68&lt;=$E$7),1,0)</f>
        <v/>
      </c>
      <c r="BU33" s="85">
        <f>IF(AND(69&gt;=$C$7,69&lt;=$E$7),1,0)</f>
        <v/>
      </c>
      <c r="BV33" s="85">
        <f>IF(AND(70&gt;=$C$7,70&lt;=$E$7),1,0)</f>
        <v/>
      </c>
      <c r="BW33" s="85">
        <f>IF(AND(71&gt;=$C$7,71&lt;=$E$7),1,0)</f>
        <v/>
      </c>
      <c r="BX33" s="85">
        <f>IF(AND(72&gt;=$C$7,72&lt;=$E$7),1,0)</f>
        <v/>
      </c>
      <c r="BY33" s="85">
        <f>IF(AND(73&gt;=$C$7,73&lt;=$E$7),1,0)</f>
        <v/>
      </c>
      <c r="BZ33" s="85">
        <f>IF(AND(74&gt;=$C$7,74&lt;=$E$7),1,0)</f>
        <v/>
      </c>
      <c r="CA33" s="85">
        <f>IF(AND(75&gt;=$C$7,75&lt;=$E$7),1,0)</f>
        <v/>
      </c>
      <c r="CB33" s="85">
        <f>IF(AND(76&gt;=$C$7,76&lt;=$E$7),1,0)</f>
        <v/>
      </c>
      <c r="CC33" s="85">
        <f>IF(AND(77&gt;=$C$7,77&lt;=$E$7),1,0)</f>
        <v/>
      </c>
      <c r="CD33" s="85">
        <f>IF(AND(78&gt;=$C$7,78&lt;=$E$7),1,0)</f>
        <v/>
      </c>
      <c r="CE33" s="85">
        <f>IF(AND(79&gt;=$C$7,79&lt;=$E$7),1,0)</f>
        <v/>
      </c>
      <c r="CF33" s="85">
        <f>IF(AND(80&gt;=$C$7,80&lt;=$E$7),1,0)</f>
        <v/>
      </c>
      <c r="CG33" s="85">
        <f>IF(AND(81&gt;=$C$7,81&lt;=$E$7),1,0)</f>
        <v/>
      </c>
      <c r="CH33" s="85">
        <f>IF(AND(82&gt;=$C$7,82&lt;=$E$7),1,0)</f>
        <v/>
      </c>
      <c r="CI33" s="85">
        <f>IF(AND(83&gt;=$C$7,83&lt;=$E$7),1,0)</f>
        <v/>
      </c>
      <c r="CJ33" s="85">
        <f>IF(AND(84&gt;=$C$7,84&lt;=$E$7),1,0)</f>
        <v/>
      </c>
      <c r="CK33" s="85">
        <f>IF(AND(85&gt;=$C$7,85&lt;=$E$7),1,0)</f>
        <v/>
      </c>
      <c r="CL33" s="85">
        <f>IF(AND(86&gt;=$C$7,86&lt;=$E$7),1,0)</f>
        <v/>
      </c>
      <c r="CM33" s="85">
        <f>IF(AND(87&gt;=$C$7,87&lt;=$E$7),1,0)</f>
        <v/>
      </c>
      <c r="CN33" s="85">
        <f>IF(AND(88&gt;=$C$7,88&lt;=$E$7),1,0)</f>
        <v/>
      </c>
      <c r="CO33" s="85">
        <f>IF(AND(89&gt;=$C$7,89&lt;=$E$7),1,0)</f>
        <v/>
      </c>
      <c r="CP33" s="85">
        <f>IF(AND(90&gt;=$C$7,90&lt;=$E$7),1,0)</f>
        <v/>
      </c>
      <c r="CQ33" s="85">
        <f>IF(AND(91&gt;=$C$7,91&lt;=$E$7),1,0)</f>
        <v/>
      </c>
      <c r="CR33" s="85">
        <f>IF(AND(92&gt;=$C$7,92&lt;=$E$7),1,0)</f>
        <v/>
      </c>
      <c r="CS33" s="85">
        <f>IF(AND(93&gt;=$C$7,93&lt;=$E$7),1,0)</f>
        <v/>
      </c>
      <c r="CT33" s="85">
        <f>IF(AND(94&gt;=$C$7,94&lt;=$E$7),1,0)</f>
        <v/>
      </c>
      <c r="CU33" s="85">
        <f>IF(AND(95&gt;=$C$7,95&lt;=$E$7),1,0)</f>
        <v/>
      </c>
      <c r="CV33" s="85">
        <f>IF(AND(96&gt;=$C$7,96&lt;=$E$7),1,0)</f>
        <v/>
      </c>
      <c r="CW33" s="85">
        <f>IF(AND(97&gt;=$C$7,97&lt;=$E$7),1,0)</f>
        <v/>
      </c>
      <c r="CX33" s="85">
        <f>IF(AND(98&gt;=$C$7,98&lt;=$E$7),1,0)</f>
        <v/>
      </c>
      <c r="CY33" s="85">
        <f>IF(AND(99&gt;=$C$7,99&lt;=$E$7),1,0)</f>
        <v/>
      </c>
      <c r="CZ33" s="85">
        <f>IF(AND(100&gt;=$C$7,100&lt;=$E$7),1,0)</f>
        <v/>
      </c>
      <c r="DA33" s="85">
        <f>IF(AND(101&gt;=$C$7,101&lt;=$E$7),1,0)</f>
        <v/>
      </c>
      <c r="DB33" s="85">
        <f>IF(AND(102&gt;=$C$7,102&lt;=$E$7),1,0)</f>
        <v/>
      </c>
      <c r="DC33" s="85">
        <f>IF(AND(103&gt;=$C$7,103&lt;=$E$7),1,0)</f>
        <v/>
      </c>
      <c r="DD33" s="85">
        <f>IF(AND(104&gt;=$C$7,104&lt;=$E$7),1,0)</f>
        <v/>
      </c>
      <c r="DE33" s="85">
        <f>IF(AND(105&gt;=$C$7,105&lt;=$E$7),1,0)</f>
        <v/>
      </c>
      <c r="DF33" s="85">
        <f>IF(AND(106&gt;=$C$7,106&lt;=$E$7),1,0)</f>
        <v/>
      </c>
      <c r="DG33" s="85">
        <f>IF(AND(107&gt;=$C$7,107&lt;=$E$7),1,0)</f>
        <v/>
      </c>
      <c r="DH33" s="85">
        <f>IF(AND(108&gt;=$C$7,108&lt;=$E$7),1,0)</f>
        <v/>
      </c>
      <c r="DI33" s="85">
        <f>IF(AND(109&gt;=$C$7,109&lt;=$E$7),1,0)</f>
        <v/>
      </c>
      <c r="DJ33" s="85">
        <f>IF(AND(110&gt;=$C$7,110&lt;=$E$7),1,0)</f>
        <v/>
      </c>
      <c r="DK33" s="85">
        <f>IF(AND(111&gt;=$C$7,111&lt;=$E$7),1,0)</f>
        <v/>
      </c>
      <c r="DL33" s="85">
        <f>IF(AND(112&gt;=$C$7,112&lt;=$E$7),1,0)</f>
        <v/>
      </c>
      <c r="DM33" s="85">
        <f>IF(AND(113&gt;=$C$7,113&lt;=$E$7),1,0)</f>
        <v/>
      </c>
      <c r="DN33" s="85">
        <f>IF(AND(114&gt;=$C$7,114&lt;=$E$7),1,0)</f>
        <v/>
      </c>
      <c r="DO33" s="85">
        <f>IF(AND(115&gt;=$C$7,115&lt;=$E$7),1,0)</f>
        <v/>
      </c>
      <c r="DP33" s="85">
        <f>IF(AND(116&gt;=$C$7,116&lt;=$E$7),1,0)</f>
        <v/>
      </c>
      <c r="DQ33" s="85">
        <f>IF(AND(117&gt;=$C$7,117&lt;=$E$7),1,0)</f>
        <v/>
      </c>
      <c r="DR33" s="85">
        <f>IF(AND(118&gt;=$C$7,118&lt;=$E$7),1,0)</f>
        <v/>
      </c>
      <c r="DS33" s="85">
        <f>IF(AND(119&gt;=$C$7,119&lt;=$E$7),1,0)</f>
        <v/>
      </c>
      <c r="DT33" s="85">
        <f>IF(AND(120&gt;=$C$7,120&lt;=$E$7),1,0)</f>
        <v/>
      </c>
      <c r="DU33" s="85">
        <f>IF(AND(121&gt;=$C$7,121&lt;=$E$7),1,0)</f>
        <v/>
      </c>
      <c r="DV33" s="85">
        <f>IF(AND(122&gt;=$C$7,122&lt;=$E$7),1,0)</f>
        <v/>
      </c>
      <c r="DW33" s="85">
        <f>IF(AND(123&gt;=$C$7,123&lt;=$E$7),1,0)</f>
        <v/>
      </c>
      <c r="DX33" s="85">
        <f>IF(AND(124&gt;=$C$7,124&lt;=$E$7),1,0)</f>
        <v/>
      </c>
      <c r="DY33" s="85">
        <f>IF(AND(125&gt;=$C$7,125&lt;=$E$7),1,0)</f>
        <v/>
      </c>
      <c r="DZ33" s="85">
        <f>IF(AND(126&gt;=$C$7,126&lt;=$E$7),1,0)</f>
        <v/>
      </c>
      <c r="EA33" s="85">
        <f>IF(AND(127&gt;=$C$7,127&lt;=$E$7),1,0)</f>
        <v/>
      </c>
      <c r="EB33" s="85">
        <f>IF(AND(128&gt;=$C$7,128&lt;=$E$7),1,0)</f>
        <v/>
      </c>
      <c r="EC33" s="85">
        <f>IF(AND(129&gt;=$C$7,129&lt;=$E$7),1,0)</f>
        <v/>
      </c>
      <c r="ED33" s="85">
        <f>IF(AND(130&gt;=$C$7,130&lt;=$E$7),1,0)</f>
        <v/>
      </c>
      <c r="EE33" s="85">
        <f>IF(AND(131&gt;=$C$7,131&lt;=$E$7),1,0)</f>
        <v/>
      </c>
      <c r="EF33" s="85">
        <f>IF(AND(132&gt;=$C$7,132&lt;=$E$7),1,0)</f>
        <v/>
      </c>
      <c r="EG33" s="85">
        <f>IF(AND(133&gt;=$C$7,133&lt;=$E$7),1,0)</f>
        <v/>
      </c>
      <c r="EH33" s="85">
        <f>IF(AND(134&gt;=$C$7,134&lt;=$E$7),1,0)</f>
        <v/>
      </c>
      <c r="EI33" s="85">
        <f>IF(AND(135&gt;=$C$7,135&lt;=$E$7),1,0)</f>
        <v/>
      </c>
      <c r="EJ33" s="85">
        <f>IF(AND(136&gt;=$C$7,136&lt;=$E$7),1,0)</f>
        <v/>
      </c>
      <c r="EK33" s="85">
        <f>IF(AND(137&gt;=$C$7,137&lt;=$E$7),1,0)</f>
        <v/>
      </c>
      <c r="EL33" s="85">
        <f>IF(AND(138&gt;=$C$7,138&lt;=$E$7),1,0)</f>
        <v/>
      </c>
      <c r="EM33" s="85">
        <f>IF(AND(139&gt;=$C$7,139&lt;=$E$7),1,0)</f>
        <v/>
      </c>
      <c r="EN33" s="85">
        <f>IF(AND(140&gt;=$C$7,140&lt;=$E$7),1,0)</f>
        <v/>
      </c>
      <c r="EO33" s="85">
        <f>IF(AND(141&gt;=$C$7,141&lt;=$E$7),1,0)</f>
        <v/>
      </c>
      <c r="EP33" s="85">
        <f>IF(AND(142&gt;=$C$7,142&lt;=$E$7),1,0)</f>
        <v/>
      </c>
      <c r="EQ33" s="85">
        <f>IF(AND(143&gt;=$C$7,143&lt;=$E$7),1,0)</f>
        <v/>
      </c>
      <c r="ER33" s="85">
        <f>IF(AND(144&gt;=$C$7,144&lt;=$E$7),1,0)</f>
        <v/>
      </c>
      <c r="ES33" s="85">
        <f>IF(AND(145&gt;=$C$7,145&lt;=$E$7),1,0)</f>
        <v/>
      </c>
      <c r="ET33" s="85">
        <f>IF(AND(146&gt;=$C$7,146&lt;=$E$7),1,0)</f>
        <v/>
      </c>
      <c r="EU33" s="85">
        <f>IF(AND(147&gt;=$C$7,147&lt;=$E$7),1,0)</f>
        <v/>
      </c>
      <c r="EV33" s="85">
        <f>IF(AND(148&gt;=$C$7,148&lt;=$E$7),1,0)</f>
        <v/>
      </c>
      <c r="EW33" s="85">
        <f>IF(AND(149&gt;=$C$7,149&lt;=$E$7),1,0)</f>
        <v/>
      </c>
      <c r="EX33" s="85">
        <f>IF(AND(150&gt;=$C$7,150&lt;=$E$7),1,0)</f>
        <v/>
      </c>
      <c r="EY33" s="85">
        <f>IF(AND(151&gt;=$C$7,151&lt;=$E$7),1,0)</f>
        <v/>
      </c>
      <c r="EZ33" s="85">
        <f>IF(AND(152&gt;=$C$7,152&lt;=$E$7),1,0)</f>
        <v/>
      </c>
      <c r="FA33" s="85">
        <f>IF(AND(153&gt;=$C$7,153&lt;=$E$7),1,0)</f>
        <v/>
      </c>
      <c r="FB33" s="85">
        <f>IF(AND(154&gt;=$C$7,154&lt;=$E$7),1,0)</f>
        <v/>
      </c>
      <c r="FC33" s="85">
        <f>IF(AND(155&gt;=$C$7,155&lt;=$E$7),1,0)</f>
        <v/>
      </c>
      <c r="FD33" s="85">
        <f>IF(AND(156&gt;=$C$7,156&lt;=$E$7),1,0)</f>
        <v/>
      </c>
      <c r="FE33" s="85">
        <f>IF(AND(157&gt;=$C$7,157&lt;=$E$7),1,0)</f>
        <v/>
      </c>
      <c r="FF33" s="85">
        <f>IF(AND(158&gt;=$C$7,158&lt;=$E$7),1,0)</f>
        <v/>
      </c>
      <c r="FG33" s="85">
        <f>IF(AND(159&gt;=$C$7,159&lt;=$E$7),1,0)</f>
        <v/>
      </c>
      <c r="FH33" s="85">
        <f>IF(AND(160&gt;=$C$7,160&lt;=$E$7),1,0)</f>
        <v/>
      </c>
      <c r="FI33" s="85">
        <f>IF(AND(161&gt;=$C$7,161&lt;=$E$7),1,0)</f>
        <v/>
      </c>
      <c r="FJ33" s="85">
        <f>IF(AND(162&gt;=$C$7,162&lt;=$E$7),1,0)</f>
        <v/>
      </c>
      <c r="FK33" s="85">
        <f>IF(AND(163&gt;=$C$7,163&lt;=$E$7),1,0)</f>
        <v/>
      </c>
      <c r="FL33" s="85">
        <f>IF(AND(164&gt;=$C$7,164&lt;=$E$7),1,0)</f>
        <v/>
      </c>
      <c r="FM33" s="85">
        <f>IF(AND(165&gt;=$C$7,165&lt;=$E$7),1,0)</f>
        <v/>
      </c>
      <c r="FN33" s="85">
        <f>IF(AND(166&gt;=$C$7,166&lt;=$E$7),1,0)</f>
        <v/>
      </c>
      <c r="FO33" s="85">
        <f>IF(AND(167&gt;=$C$7,167&lt;=$E$7),1,0)</f>
        <v/>
      </c>
      <c r="FP33" s="85">
        <f>IF(AND(168&gt;=$C$7,168&lt;=$E$7),1,0)</f>
        <v/>
      </c>
      <c r="FQ33" s="85">
        <f>IF(AND(169&gt;=$C$7,169&lt;=$E$7),1,0)</f>
        <v/>
      </c>
      <c r="FR33" s="85">
        <f>IF(AND(170&gt;=$C$7,170&lt;=$E$7),1,0)</f>
        <v/>
      </c>
      <c r="FS33" s="85">
        <f>IF(AND(171&gt;=$C$7,171&lt;=$E$7),1,0)</f>
        <v/>
      </c>
      <c r="FT33" s="85">
        <f>IF(AND(172&gt;=$C$7,172&lt;=$E$7),1,0)</f>
        <v/>
      </c>
      <c r="FU33" s="85">
        <f>IF(AND(173&gt;=$C$7,173&lt;=$E$7),1,0)</f>
        <v/>
      </c>
      <c r="FV33" s="85">
        <f>IF(AND(174&gt;=$C$7,174&lt;=$E$7),1,0)</f>
        <v/>
      </c>
      <c r="FW33" s="85">
        <f>IF(AND(175&gt;=$C$7,175&lt;=$E$7),1,0)</f>
        <v/>
      </c>
      <c r="FX33" s="85">
        <f>IF(AND(176&gt;=$C$7,176&lt;=$E$7),1,0)</f>
        <v/>
      </c>
      <c r="FY33" s="85">
        <f>IF(AND(177&gt;=$C$7,177&lt;=$E$7),1,0)</f>
        <v/>
      </c>
      <c r="FZ33" s="85">
        <f>IF(AND(178&gt;=$C$7,178&lt;=$E$7),1,0)</f>
        <v/>
      </c>
      <c r="GA33" s="85">
        <f>IF(AND(179&gt;=$C$7,179&lt;=$E$7),1,0)</f>
        <v/>
      </c>
      <c r="GB33" s="85">
        <f>IF(AND(180&gt;=$C$7,180&lt;=$E$7),1,0)</f>
        <v/>
      </c>
      <c r="GC33" s="85">
        <f>IF(AND(181&gt;=$C$7,181&lt;=$E$7),1,0)</f>
        <v/>
      </c>
      <c r="GD33" s="85">
        <f>IF(AND(182&gt;=$C$7,182&lt;=$E$7),1,0)</f>
        <v/>
      </c>
      <c r="GE33" s="85">
        <f>IF(AND(183&gt;=$C$7,183&lt;=$E$7),1,0)</f>
        <v/>
      </c>
      <c r="GF33" s="85">
        <f>IF(AND(184&gt;=$C$7,184&lt;=$E$7),1,0)</f>
        <v/>
      </c>
      <c r="GG33" s="85">
        <f>IF(AND(185&gt;=$C$7,185&lt;=$E$7),1,0)</f>
        <v/>
      </c>
      <c r="GH33" s="85">
        <f>IF(AND(186&gt;=$C$7,186&lt;=$E$7),1,0)</f>
        <v/>
      </c>
      <c r="GI33" s="85">
        <f>IF(AND(187&gt;=$C$7,187&lt;=$E$7),1,0)</f>
        <v/>
      </c>
      <c r="GJ33" s="85">
        <f>IF(AND(188&gt;=$C$7,188&lt;=$E$7),1,0)</f>
        <v/>
      </c>
      <c r="GK33" s="85">
        <f>IF(AND(189&gt;=$C$7,189&lt;=$E$7),1,0)</f>
        <v/>
      </c>
      <c r="GL33" s="85">
        <f>IF(AND(190&gt;=$C$7,190&lt;=$E$7),1,0)</f>
        <v/>
      </c>
      <c r="GM33" s="85">
        <f>IF(AND(191&gt;=$C$7,191&lt;=$E$7),1,0)</f>
        <v/>
      </c>
      <c r="GN33" s="85">
        <f>IF(AND(192&gt;=$C$7,192&lt;=$E$7),1,0)</f>
        <v/>
      </c>
      <c r="GO33" s="85">
        <f>IF(AND(193&gt;=$C$7,193&lt;=$E$7),1,0)</f>
        <v/>
      </c>
      <c r="GP33" s="85">
        <f>IF(AND(194&gt;=$C$7,194&lt;=$E$7),1,0)</f>
        <v/>
      </c>
      <c r="GQ33" s="85">
        <f>IF(AND(195&gt;=$C$7,195&lt;=$E$7),1,0)</f>
        <v/>
      </c>
      <c r="GR33" s="85">
        <f>IF(AND(196&gt;=$C$7,196&lt;=$E$7),1,0)</f>
        <v/>
      </c>
      <c r="GS33" s="85">
        <f>IF(AND(197&gt;=$C$7,197&lt;=$E$7),1,0)</f>
        <v/>
      </c>
      <c r="GT33" s="85">
        <f>IF(AND(198&gt;=$C$7,198&lt;=$E$7),1,0)</f>
        <v/>
      </c>
      <c r="GU33" s="85">
        <f>IF(AND(199&gt;=$C$7,199&lt;=$E$7),1,0)</f>
        <v/>
      </c>
      <c r="GV33" s="85">
        <f>IF(AND(200&gt;=$C$7,200&lt;=$E$7),1,0)</f>
        <v/>
      </c>
      <c r="GW33" s="85">
        <f>IF(AND(201&gt;=$C$7,201&lt;=$E$7),1,0)</f>
        <v/>
      </c>
      <c r="GX33" s="85">
        <f>IF(AND(202&gt;=$C$7,202&lt;=$E$7),1,0)</f>
        <v/>
      </c>
      <c r="GY33" s="85">
        <f>IF(AND(203&gt;=$C$7,203&lt;=$E$7),1,0)</f>
        <v/>
      </c>
      <c r="GZ33" s="85">
        <f>IF(AND(204&gt;=$C$7,204&lt;=$E$7),1,0)</f>
        <v/>
      </c>
      <c r="HA33" s="85">
        <f>IF(AND(205&gt;=$C$7,205&lt;=$E$7),1,0)</f>
        <v/>
      </c>
      <c r="HB33" s="85">
        <f>IF(AND(206&gt;=$C$7,206&lt;=$E$7),1,0)</f>
        <v/>
      </c>
      <c r="HC33" s="85">
        <f>IF(AND(207&gt;=$C$7,207&lt;=$E$7),1,0)</f>
        <v/>
      </c>
      <c r="HD33" s="85">
        <f>IF(AND(208&gt;=$C$7,208&lt;=$E$7),1,0)</f>
        <v/>
      </c>
      <c r="HE33" s="85">
        <f>IF(AND(209&gt;=$C$7,209&lt;=$E$7),1,0)</f>
        <v/>
      </c>
      <c r="HF33" s="85">
        <f>IF(AND(210&gt;=$C$7,210&lt;=$E$7),1,0)</f>
        <v/>
      </c>
      <c r="HG33" s="85">
        <f>IF(AND(211&gt;=$C$7,211&lt;=$E$7),1,0)</f>
        <v/>
      </c>
      <c r="HH33" s="85">
        <f>IF(AND(212&gt;=$C$7,212&lt;=$E$7),1,0)</f>
        <v/>
      </c>
      <c r="HI33" s="85">
        <f>IF(AND(213&gt;=$C$7,213&lt;=$E$7),1,0)</f>
        <v/>
      </c>
      <c r="HJ33" s="85">
        <f>IF(AND(214&gt;=$C$7,214&lt;=$E$7),1,0)</f>
        <v/>
      </c>
      <c r="HK33" s="85">
        <f>IF(AND(215&gt;=$C$7,215&lt;=$E$7),1,0)</f>
        <v/>
      </c>
      <c r="HL33" s="85">
        <f>IF(AND(216&gt;=$C$7,216&lt;=$E$7),1,0)</f>
        <v/>
      </c>
      <c r="HM33" s="85">
        <f>IF(AND(217&gt;=$C$7,217&lt;=$E$7),1,0)</f>
        <v/>
      </c>
      <c r="HN33" s="85">
        <f>IF(AND(218&gt;=$C$7,218&lt;=$E$7),1,0)</f>
        <v/>
      </c>
      <c r="HO33" s="85">
        <f>IF(AND(219&gt;=$C$7,219&lt;=$E$7),1,0)</f>
        <v/>
      </c>
      <c r="HP33" s="85">
        <f>IF(AND(220&gt;=$C$7,220&lt;=$E$7),1,0)</f>
        <v/>
      </c>
      <c r="HQ33" s="85">
        <f>IF(AND(221&gt;=$C$7,221&lt;=$E$7),1,0)</f>
        <v/>
      </c>
      <c r="HR33" s="85">
        <f>IF(AND(222&gt;=$C$7,222&lt;=$E$7),1,0)</f>
        <v/>
      </c>
      <c r="HS33" s="85">
        <f>IF(AND(223&gt;=$C$7,223&lt;=$E$7),1,0)</f>
        <v/>
      </c>
      <c r="HT33" s="85">
        <f>IF(AND(224&gt;=$C$7,224&lt;=$E$7),1,0)</f>
        <v/>
      </c>
      <c r="HU33" s="85">
        <f>IF(AND(225&gt;=$C$7,225&lt;=$E$7),1,0)</f>
        <v/>
      </c>
      <c r="HV33" s="85">
        <f>IF(AND(226&gt;=$C$7,226&lt;=$E$7),1,0)</f>
        <v/>
      </c>
      <c r="HW33" s="85">
        <f>IF(AND(227&gt;=$C$7,227&lt;=$E$7),1,0)</f>
        <v/>
      </c>
      <c r="HX33" s="85">
        <f>IF(AND(228&gt;=$C$7,228&lt;=$E$7),1,0)</f>
        <v/>
      </c>
      <c r="HY33" s="85">
        <f>IF(AND(229&gt;=$C$7,229&lt;=$E$7),1,0)</f>
        <v/>
      </c>
      <c r="HZ33" s="85">
        <f>IF(AND(230&gt;=$C$7,230&lt;=$E$7),1,0)</f>
        <v/>
      </c>
      <c r="IA33" s="85">
        <f>IF(AND(231&gt;=$C$7,231&lt;=$E$7),1,0)</f>
        <v/>
      </c>
      <c r="IB33" s="85">
        <f>IF(AND(232&gt;=$C$7,232&lt;=$E$7),1,0)</f>
        <v/>
      </c>
      <c r="IC33" s="85">
        <f>IF(AND(233&gt;=$C$7,233&lt;=$E$7),1,0)</f>
        <v/>
      </c>
      <c r="ID33" s="85">
        <f>IF(AND(234&gt;=$C$7,234&lt;=$E$7),1,0)</f>
        <v/>
      </c>
      <c r="IE33" s="85">
        <f>IF(AND(235&gt;=$C$7,235&lt;=$E$7),1,0)</f>
        <v/>
      </c>
      <c r="IF33" s="85">
        <f>IF(AND(236&gt;=$C$7,236&lt;=$E$7),1,0)</f>
        <v/>
      </c>
      <c r="IG33" s="85">
        <f>IF(AND(237&gt;=$C$7,237&lt;=$E$7),1,0)</f>
        <v/>
      </c>
      <c r="IH33" s="85">
        <f>IF(AND(238&gt;=$C$7,238&lt;=$E$7),1,0)</f>
        <v/>
      </c>
      <c r="II33" s="85">
        <f>IF(AND(239&gt;=$C$7,239&lt;=$E$7),1,0)</f>
        <v/>
      </c>
      <c r="IJ33" s="85">
        <f>IF(AND(240&gt;=$C$7,240&lt;=$E$7),1,0)</f>
        <v/>
      </c>
      <c r="IK33" s="85">
        <f>IF(AND(241&gt;=$C$7,241&lt;=$E$7),1,0)</f>
        <v/>
      </c>
      <c r="IL33" s="85">
        <f>IF(AND(242&gt;=$C$7,242&lt;=$E$7),1,0)</f>
        <v/>
      </c>
      <c r="IM33" s="85">
        <f>IF(AND(243&gt;=$C$7,243&lt;=$E$7),1,0)</f>
        <v/>
      </c>
      <c r="IN33" s="85">
        <f>IF(AND(244&gt;=$C$7,244&lt;=$E$7),1,0)</f>
        <v/>
      </c>
      <c r="IO33" s="85">
        <f>IF(AND(245&gt;=$C$7,245&lt;=$E$7),1,0)</f>
        <v/>
      </c>
      <c r="IP33" s="85">
        <f>IF(AND(246&gt;=$C$7,246&lt;=$E$7),1,0)</f>
        <v/>
      </c>
      <c r="IQ33" s="85">
        <f>IF(AND(247&gt;=$C$7,247&lt;=$E$7),1,0)</f>
        <v/>
      </c>
      <c r="IR33" s="85">
        <f>IF(AND(248&gt;=$C$7,248&lt;=$E$7),1,0)</f>
        <v/>
      </c>
      <c r="IS33" s="85">
        <f>IF(AND(249&gt;=$C$7,249&lt;=$E$7),1,0)</f>
        <v/>
      </c>
      <c r="IT33" s="85">
        <f>IF(AND(250&gt;=$C$7,250&lt;=$E$7),1,0)</f>
        <v/>
      </c>
      <c r="IU33" s="85">
        <f>IF(AND(251&gt;=$C$7,251&lt;=$E$7),1,0)</f>
        <v/>
      </c>
      <c r="IV33" s="85">
        <f>IF(AND(252&gt;=$C$7,252&lt;=$E$7),1,0)</f>
        <v/>
      </c>
      <c r="IW33" s="85">
        <f>IF(AND(253&gt;=$C$7,253&lt;=$E$7),1,0)</f>
        <v/>
      </c>
      <c r="IX33" s="85">
        <f>IF(AND(254&gt;=$C$7,254&lt;=$E$7),1,0)</f>
        <v/>
      </c>
      <c r="IY33" s="85">
        <f>IF(AND(255&gt;=$C$7,255&lt;=$E$7),1,0)</f>
        <v/>
      </c>
      <c r="IZ33" s="85">
        <f>IF(AND(256&gt;=$C$7,256&lt;=$E$7),1,0)</f>
        <v/>
      </c>
      <c r="JA33" s="85">
        <f>IF(AND(257&gt;=$C$7,257&lt;=$E$7),1,0)</f>
        <v/>
      </c>
      <c r="JB33" s="85">
        <f>IF(AND(258&gt;=$C$7,258&lt;=$E$7),1,0)</f>
        <v/>
      </c>
      <c r="JC33" s="85">
        <f>IF(AND(259&gt;=$C$7,259&lt;=$E$7),1,0)</f>
        <v/>
      </c>
      <c r="JD33" s="85">
        <f>IF(AND(260&gt;=$C$7,260&lt;=$E$7),1,0)</f>
        <v/>
      </c>
      <c r="JE33" s="85">
        <f>IF(AND(261&gt;=$C$7,261&lt;=$E$7),1,0)</f>
        <v/>
      </c>
      <c r="JF33" s="85">
        <f>IF(AND(262&gt;=$C$7,262&lt;=$E$7),1,0)</f>
        <v/>
      </c>
      <c r="JG33" s="85">
        <f>IF(AND(263&gt;=$C$7,263&lt;=$E$7),1,0)</f>
        <v/>
      </c>
      <c r="JH33" s="85">
        <f>IF(AND(264&gt;=$C$7,264&lt;=$E$7),1,0)</f>
        <v/>
      </c>
      <c r="JI33" s="85">
        <f>IF(AND(265&gt;=$C$7,265&lt;=$E$7),1,0)</f>
        <v/>
      </c>
      <c r="JJ33" s="85">
        <f>IF(AND(266&gt;=$C$7,266&lt;=$E$7),1,0)</f>
        <v/>
      </c>
      <c r="JK33" s="85">
        <f>IF(AND(267&gt;=$C$7,267&lt;=$E$7),1,0)</f>
        <v/>
      </c>
      <c r="JL33" s="85">
        <f>IF(AND(268&gt;=$C$7,268&lt;=$E$7),1,0)</f>
        <v/>
      </c>
      <c r="JM33" s="85">
        <f>IF(AND(269&gt;=$C$7,269&lt;=$E$7),1,0)</f>
        <v/>
      </c>
      <c r="JN33" s="85">
        <f>IF(AND(270&gt;=$C$7,270&lt;=$E$7),1,0)</f>
        <v/>
      </c>
      <c r="JO33" s="85">
        <f>IF(AND(271&gt;=$C$7,271&lt;=$E$7),1,0)</f>
        <v/>
      </c>
      <c r="JP33" s="85">
        <f>IF(AND(272&gt;=$C$7,272&lt;=$E$7),1,0)</f>
        <v/>
      </c>
      <c r="JQ33" s="85">
        <f>IF(AND(273&gt;=$C$7,273&lt;=$E$7),1,0)</f>
        <v/>
      </c>
      <c r="JR33" s="85">
        <f>IF(AND(274&gt;=$C$7,274&lt;=$E$7),1,0)</f>
        <v/>
      </c>
      <c r="JS33" s="85">
        <f>IF(AND(275&gt;=$C$7,275&lt;=$E$7),1,0)</f>
        <v/>
      </c>
      <c r="JT33" s="85">
        <f>IF(AND(276&gt;=$C$7,276&lt;=$E$7),1,0)</f>
        <v/>
      </c>
      <c r="JU33" s="85">
        <f>IF(AND(277&gt;=$C$7,277&lt;=$E$7),1,0)</f>
        <v/>
      </c>
      <c r="JV33" s="85">
        <f>IF(AND(278&gt;=$C$7,278&lt;=$E$7),1,0)</f>
        <v/>
      </c>
      <c r="JW33" s="85">
        <f>IF(AND(279&gt;=$C$7,279&lt;=$E$7),1,0)</f>
        <v/>
      </c>
      <c r="JX33" s="85">
        <f>IF(AND(280&gt;=$C$7,280&lt;=$E$7),1,0)</f>
        <v/>
      </c>
      <c r="JY33" s="85">
        <f>IF(AND(281&gt;=$C$7,281&lt;=$E$7),1,0)</f>
        <v/>
      </c>
      <c r="JZ33" s="85">
        <f>IF(AND(282&gt;=$C$7,282&lt;=$E$7),1,0)</f>
        <v/>
      </c>
      <c r="KA33" s="85">
        <f>IF(AND(283&gt;=$C$7,283&lt;=$E$7),1,0)</f>
        <v/>
      </c>
      <c r="KB33" s="85">
        <f>IF(AND(284&gt;=$C$7,284&lt;=$E$7),1,0)</f>
        <v/>
      </c>
      <c r="KC33" s="85">
        <f>IF(AND(285&gt;=$C$7,285&lt;=$E$7),1,0)</f>
        <v/>
      </c>
      <c r="KD33" s="85">
        <f>IF(AND(286&gt;=$C$7,286&lt;=$E$7),1,0)</f>
        <v/>
      </c>
      <c r="KE33" s="85">
        <f>IF(AND(287&gt;=$C$7,287&lt;=$E$7),1,0)</f>
        <v/>
      </c>
      <c r="KF33" s="85">
        <f>IF(AND(288&gt;=$C$7,288&lt;=$E$7),1,0)</f>
        <v/>
      </c>
      <c r="KG33" s="85">
        <f>IF(AND(289&gt;=$C$7,289&lt;=$E$7),1,0)</f>
        <v/>
      </c>
      <c r="KH33" s="85">
        <f>IF(AND(290&gt;=$C$7,290&lt;=$E$7),1,0)</f>
        <v/>
      </c>
      <c r="KI33" s="85">
        <f>IF(AND(291&gt;=$C$7,291&lt;=$E$7),1,0)</f>
        <v/>
      </c>
      <c r="KJ33" s="85">
        <f>IF(AND(292&gt;=$C$7,292&lt;=$E$7),1,0)</f>
        <v/>
      </c>
      <c r="KK33" s="85">
        <f>IF(AND(293&gt;=$C$7,293&lt;=$E$7),1,0)</f>
        <v/>
      </c>
      <c r="KL33" s="85">
        <f>IF(AND(294&gt;=$C$7,294&lt;=$E$7),1,0)</f>
        <v/>
      </c>
      <c r="KM33" s="85">
        <f>IF(AND(295&gt;=$C$7,295&lt;=$E$7),1,0)</f>
        <v/>
      </c>
      <c r="KN33" s="85">
        <f>IF(AND(296&gt;=$C$7,296&lt;=$E$7),1,0)</f>
        <v/>
      </c>
      <c r="KO33" s="85">
        <f>IF(AND(297&gt;=$C$7,297&lt;=$E$7),1,0)</f>
        <v/>
      </c>
      <c r="KP33" s="85">
        <f>IF(AND(298&gt;=$C$7,298&lt;=$E$7),1,0)</f>
        <v/>
      </c>
      <c r="KQ33" s="85">
        <f>IF(AND(299&gt;=$C$7,299&lt;=$E$7),1,0)</f>
        <v/>
      </c>
      <c r="KR33" s="85">
        <f>IF(AND(300&gt;=$C$7,300&lt;=$E$7),1,0)</f>
        <v/>
      </c>
      <c r="KS33" s="85">
        <f>IF(AND(301&gt;=$C$7,301&lt;=$E$7),1,0)</f>
        <v/>
      </c>
      <c r="KT33" s="85">
        <f>IF(AND(302&gt;=$C$7,302&lt;=$E$7),1,0)</f>
        <v/>
      </c>
      <c r="KU33" s="85">
        <f>IF(AND(303&gt;=$C$7,303&lt;=$E$7),1,0)</f>
        <v/>
      </c>
      <c r="KV33" s="85">
        <f>IF(AND(304&gt;=$C$7,304&lt;=$E$7),1,0)</f>
        <v/>
      </c>
      <c r="KW33" s="85">
        <f>IF(AND(305&gt;=$C$7,305&lt;=$E$7),1,0)</f>
        <v/>
      </c>
      <c r="KX33" s="85">
        <f>IF(AND(306&gt;=$C$7,306&lt;=$E$7),1,0)</f>
        <v/>
      </c>
      <c r="KY33" s="85">
        <f>IF(AND(307&gt;=$C$7,307&lt;=$E$7),1,0)</f>
        <v/>
      </c>
      <c r="KZ33" s="85">
        <f>IF(AND(308&gt;=$C$7,308&lt;=$E$7),1,0)</f>
        <v/>
      </c>
      <c r="LA33" s="85">
        <f>IF(AND(309&gt;=$C$7,309&lt;=$E$7),1,0)</f>
        <v/>
      </c>
      <c r="LB33" s="85">
        <f>IF(AND(310&gt;=$C$7,310&lt;=$E$7),1,0)</f>
        <v/>
      </c>
      <c r="LC33" s="85">
        <f>IF(AND(311&gt;=$C$7,311&lt;=$E$7),1,0)</f>
        <v/>
      </c>
      <c r="LD33" s="85">
        <f>IF(AND(312&gt;=$C$7,312&lt;=$E$7),1,0)</f>
        <v/>
      </c>
      <c r="LE33" s="85">
        <f>IF(AND(313&gt;=$C$7,313&lt;=$E$7),1,0)</f>
        <v/>
      </c>
      <c r="LF33" s="85">
        <f>IF(AND(314&gt;=$C$7,314&lt;=$E$7),1,0)</f>
        <v/>
      </c>
      <c r="LG33" s="85">
        <f>IF(AND(315&gt;=$C$7,315&lt;=$E$7),1,0)</f>
        <v/>
      </c>
      <c r="LH33" s="85">
        <f>IF(AND(316&gt;=$C$7,316&lt;=$E$7),1,0)</f>
        <v/>
      </c>
      <c r="LI33" s="85">
        <f>IF(AND(317&gt;=$C$7,317&lt;=$E$7),1,0)</f>
        <v/>
      </c>
      <c r="LJ33" s="85">
        <f>IF(AND(318&gt;=$C$7,318&lt;=$E$7),1,0)</f>
        <v/>
      </c>
      <c r="LK33" s="85">
        <f>IF(AND(319&gt;=$C$7,319&lt;=$E$7),1,0)</f>
        <v/>
      </c>
      <c r="LL33" s="85">
        <f>IF(AND(320&gt;=$C$7,320&lt;=$E$7),1,0)</f>
        <v/>
      </c>
      <c r="LM33" s="85">
        <f>IF(AND(321&gt;=$C$7,321&lt;=$E$7),1,0)</f>
        <v/>
      </c>
      <c r="LN33" s="85">
        <f>IF(AND(322&gt;=$C$7,322&lt;=$E$7),1,0)</f>
        <v/>
      </c>
      <c r="LO33" s="85">
        <f>IF(AND(323&gt;=$C$7,323&lt;=$E$7),1,0)</f>
        <v/>
      </c>
      <c r="LP33" s="85">
        <f>IF(AND(324&gt;=$C$7,324&lt;=$E$7),1,0)</f>
        <v/>
      </c>
      <c r="LQ33" s="85">
        <f>IF(AND(325&gt;=$C$7,325&lt;=$E$7),1,0)</f>
        <v/>
      </c>
      <c r="LR33" s="85">
        <f>IF(AND(326&gt;=$C$7,326&lt;=$E$7),1,0)</f>
        <v/>
      </c>
      <c r="LS33" s="85">
        <f>IF(AND(327&gt;=$C$7,327&lt;=$E$7),1,0)</f>
        <v/>
      </c>
      <c r="LT33" s="85">
        <f>IF(AND(328&gt;=$C$7,328&lt;=$E$7),1,0)</f>
        <v/>
      </c>
      <c r="LU33" s="85">
        <f>IF(AND(329&gt;=$C$7,329&lt;=$E$7),1,0)</f>
        <v/>
      </c>
      <c r="LV33" s="85">
        <f>IF(AND(330&gt;=$C$7,330&lt;=$E$7),1,0)</f>
        <v/>
      </c>
      <c r="LW33" s="85">
        <f>IF(AND(331&gt;=$C$7,331&lt;=$E$7),1,0)</f>
        <v/>
      </c>
      <c r="LX33" s="85">
        <f>IF(AND(332&gt;=$C$7,332&lt;=$E$7),1,0)</f>
        <v/>
      </c>
      <c r="LY33" s="85">
        <f>IF(AND(333&gt;=$C$7,333&lt;=$E$7),1,0)</f>
        <v/>
      </c>
      <c r="LZ33" s="85">
        <f>IF(AND(334&gt;=$C$7,334&lt;=$E$7),1,0)</f>
        <v/>
      </c>
      <c r="MA33" s="85">
        <f>IF(AND(335&gt;=$C$7,335&lt;=$E$7),1,0)</f>
        <v/>
      </c>
      <c r="MB33" s="85">
        <f>IF(AND(336&gt;=$C$7,336&lt;=$E$7),1,0)</f>
        <v/>
      </c>
      <c r="MC33" s="85">
        <f>IF(AND(337&gt;=$C$7,337&lt;=$E$7),1,0)</f>
        <v/>
      </c>
      <c r="MD33" s="85">
        <f>IF(AND(338&gt;=$C$7,338&lt;=$E$7),1,0)</f>
        <v/>
      </c>
      <c r="ME33" s="85">
        <f>IF(AND(339&gt;=$C$7,339&lt;=$E$7),1,0)</f>
        <v/>
      </c>
      <c r="MF33" s="85">
        <f>IF(AND(340&gt;=$C$7,340&lt;=$E$7),1,0)</f>
        <v/>
      </c>
      <c r="MG33" s="85">
        <f>IF(AND(341&gt;=$C$7,341&lt;=$E$7),1,0)</f>
        <v/>
      </c>
      <c r="MH33" s="85">
        <f>IF(AND(342&gt;=$C$7,342&lt;=$E$7),1,0)</f>
        <v/>
      </c>
      <c r="MI33" s="85">
        <f>IF(AND(343&gt;=$C$7,343&lt;=$E$7),1,0)</f>
        <v/>
      </c>
      <c r="MJ33" s="85">
        <f>IF(AND(344&gt;=$C$7,344&lt;=$E$7),1,0)</f>
        <v/>
      </c>
      <c r="MK33" s="85">
        <f>IF(AND(345&gt;=$C$7,345&lt;=$E$7),1,0)</f>
        <v/>
      </c>
      <c r="ML33" s="85">
        <f>IF(AND(346&gt;=$C$7,346&lt;=$E$7),1,0)</f>
        <v/>
      </c>
      <c r="MM33" s="85">
        <f>IF(AND(347&gt;=$C$7,347&lt;=$E$7),1,0)</f>
        <v/>
      </c>
      <c r="MN33" s="85">
        <f>IF(AND(348&gt;=$C$7,348&lt;=$E$7),1,0)</f>
        <v/>
      </c>
      <c r="MO33" s="85">
        <f>IF(AND(349&gt;=$C$7,349&lt;=$E$7),1,0)</f>
        <v/>
      </c>
      <c r="MP33" s="85">
        <f>IF(AND(350&gt;=$C$7,350&lt;=$E$7),1,0)</f>
        <v/>
      </c>
      <c r="MQ33" s="85">
        <f>IF(AND(351&gt;=$C$7,351&lt;=$E$7),1,0)</f>
        <v/>
      </c>
      <c r="MR33" s="85">
        <f>IF(AND(352&gt;=$C$7,352&lt;=$E$7),1,0)</f>
        <v/>
      </c>
      <c r="MS33" s="85">
        <f>IF(AND(353&gt;=$C$7,353&lt;=$E$7),1,0)</f>
        <v/>
      </c>
      <c r="MT33" s="85">
        <f>IF(AND(354&gt;=$C$7,354&lt;=$E$7),1,0)</f>
        <v/>
      </c>
      <c r="MU33" s="85">
        <f>IF(AND(355&gt;=$C$7,355&lt;=$E$7),1,0)</f>
        <v/>
      </c>
      <c r="MV33" s="85">
        <f>IF(AND(356&gt;=$C$7,356&lt;=$E$7),1,0)</f>
        <v/>
      </c>
      <c r="MW33" s="85">
        <f>IF(AND(357&gt;=$C$7,357&lt;=$E$7),1,0)</f>
        <v/>
      </c>
      <c r="MX33" s="85">
        <f>IF(AND(358&gt;=$C$7,358&lt;=$E$7),1,0)</f>
        <v/>
      </c>
      <c r="MY33" s="85">
        <f>IF(AND(359&gt;=$C$7,359&lt;=$E$7),1,0)</f>
        <v/>
      </c>
      <c r="MZ33" s="85">
        <f>IF(AND(360&gt;=$C$7,360&lt;=$E$7),1,0)</f>
        <v/>
      </c>
      <c r="NA33" s="85">
        <f>IF(AND(361&gt;=$C$7,361&lt;=$E$7),1,0)</f>
        <v/>
      </c>
      <c r="NB33" s="85">
        <f>IF(AND(362&gt;=$C$7,362&lt;=$E$7),1,0)</f>
        <v/>
      </c>
      <c r="NC33" s="85">
        <f>IF(AND(363&gt;=$C$7,363&lt;=$E$7),1,0)</f>
        <v/>
      </c>
      <c r="ND33" s="85">
        <f>IF(AND(364&gt;=$C$7,364&lt;=$E$7),1,0)</f>
        <v/>
      </c>
      <c r="NE33" s="85">
        <f>IF(AND(365&gt;=$C$7,365&lt;=$E$7),1,0)</f>
        <v/>
      </c>
      <c r="NF33" s="85">
        <f>IF(AND(366&gt;=$C$7,366&lt;=$E$7),1,0)</f>
        <v/>
      </c>
      <c r="NG33" s="85">
        <f>IF(AND(367&gt;=$C$7,367&lt;=$E$7),1,0)</f>
        <v/>
      </c>
      <c r="NH33" s="85">
        <f>IF(AND(368&gt;=$C$7,368&lt;=$E$7),1,0)</f>
        <v/>
      </c>
      <c r="NI33" s="85">
        <f>IF(AND(369&gt;=$C$7,369&lt;=$E$7),1,0)</f>
        <v/>
      </c>
      <c r="NJ33" s="85">
        <f>IF(AND(370&gt;=$C$7,370&lt;=$E$7),1,0)</f>
        <v/>
      </c>
      <c r="NK33" s="85">
        <f>IF(AND(371&gt;=$C$7,371&lt;=$E$7),1,0)</f>
        <v/>
      </c>
      <c r="NL33" s="85">
        <f>IF(AND(372&gt;=$C$7,372&lt;=$E$7),1,0)</f>
        <v/>
      </c>
    </row>
    <row r="34">
      <c r="B34" s="36" t="inlineStr">
        <is>
          <t>Flag: Initial Closing</t>
        </is>
      </c>
      <c r="D34" s="124" t="n"/>
      <c r="E34" s="85">
        <f>IF(AND(1&gt;=$C$8,1&lt;=$E$8),1,0)</f>
        <v/>
      </c>
      <c r="F34" s="85">
        <f>IF(AND(2&gt;=$C$8,2&lt;=$E$8),1,0)</f>
        <v/>
      </c>
      <c r="G34" s="85">
        <f>IF(AND(3&gt;=$C$8,3&lt;=$E$8),1,0)</f>
        <v/>
      </c>
      <c r="H34" s="85">
        <f>IF(AND(4&gt;=$C$8,4&lt;=$E$8),1,0)</f>
        <v/>
      </c>
      <c r="I34" s="85">
        <f>IF(AND(5&gt;=$C$8,5&lt;=$E$8),1,0)</f>
        <v/>
      </c>
      <c r="J34" s="85">
        <f>IF(AND(6&gt;=$C$8,6&lt;=$E$8),1,0)</f>
        <v/>
      </c>
      <c r="K34" s="85">
        <f>IF(AND(7&gt;=$C$8,7&lt;=$E$8),1,0)</f>
        <v/>
      </c>
      <c r="L34" s="85">
        <f>IF(AND(8&gt;=$C$8,8&lt;=$E$8),1,0)</f>
        <v/>
      </c>
      <c r="M34" s="85">
        <f>IF(AND(9&gt;=$C$8,9&lt;=$E$8),1,0)</f>
        <v/>
      </c>
      <c r="N34" s="85">
        <f>IF(AND(10&gt;=$C$8,10&lt;=$E$8),1,0)</f>
        <v/>
      </c>
      <c r="O34" s="85">
        <f>IF(AND(11&gt;=$C$8,11&lt;=$E$8),1,0)</f>
        <v/>
      </c>
      <c r="P34" s="85">
        <f>IF(AND(12&gt;=$C$8,12&lt;=$E$8),1,0)</f>
        <v/>
      </c>
      <c r="Q34" s="85">
        <f>IF(AND(13&gt;=$C$8,13&lt;=$E$8),1,0)</f>
        <v/>
      </c>
      <c r="R34" s="85">
        <f>IF(AND(14&gt;=$C$8,14&lt;=$E$8),1,0)</f>
        <v/>
      </c>
      <c r="S34" s="85">
        <f>IF(AND(15&gt;=$C$8,15&lt;=$E$8),1,0)</f>
        <v/>
      </c>
      <c r="T34" s="85">
        <f>IF(AND(16&gt;=$C$8,16&lt;=$E$8),1,0)</f>
        <v/>
      </c>
      <c r="U34" s="85">
        <f>IF(AND(17&gt;=$C$8,17&lt;=$E$8),1,0)</f>
        <v/>
      </c>
      <c r="V34" s="85">
        <f>IF(AND(18&gt;=$C$8,18&lt;=$E$8),1,0)</f>
        <v/>
      </c>
      <c r="W34" s="85">
        <f>IF(AND(19&gt;=$C$8,19&lt;=$E$8),1,0)</f>
        <v/>
      </c>
      <c r="X34" s="85">
        <f>IF(AND(20&gt;=$C$8,20&lt;=$E$8),1,0)</f>
        <v/>
      </c>
      <c r="Y34" s="85">
        <f>IF(AND(21&gt;=$C$8,21&lt;=$E$8),1,0)</f>
        <v/>
      </c>
      <c r="Z34" s="85">
        <f>IF(AND(22&gt;=$C$8,22&lt;=$E$8),1,0)</f>
        <v/>
      </c>
      <c r="AA34" s="85">
        <f>IF(AND(23&gt;=$C$8,23&lt;=$E$8),1,0)</f>
        <v/>
      </c>
      <c r="AB34" s="85">
        <f>IF(AND(24&gt;=$C$8,24&lt;=$E$8),1,0)</f>
        <v/>
      </c>
      <c r="AC34" s="85">
        <f>IF(AND(25&gt;=$C$8,25&lt;=$E$8),1,0)</f>
        <v/>
      </c>
      <c r="AD34" s="85">
        <f>IF(AND(26&gt;=$C$8,26&lt;=$E$8),1,0)</f>
        <v/>
      </c>
      <c r="AE34" s="85">
        <f>IF(AND(27&gt;=$C$8,27&lt;=$E$8),1,0)</f>
        <v/>
      </c>
      <c r="AF34" s="85">
        <f>IF(AND(28&gt;=$C$8,28&lt;=$E$8),1,0)</f>
        <v/>
      </c>
      <c r="AG34" s="85">
        <f>IF(AND(29&gt;=$C$8,29&lt;=$E$8),1,0)</f>
        <v/>
      </c>
      <c r="AH34" s="85">
        <f>IF(AND(30&gt;=$C$8,30&lt;=$E$8),1,0)</f>
        <v/>
      </c>
      <c r="AI34" s="85">
        <f>IF(AND(31&gt;=$C$8,31&lt;=$E$8),1,0)</f>
        <v/>
      </c>
      <c r="AJ34" s="85">
        <f>IF(AND(32&gt;=$C$8,32&lt;=$E$8),1,0)</f>
        <v/>
      </c>
      <c r="AK34" s="85">
        <f>IF(AND(33&gt;=$C$8,33&lt;=$E$8),1,0)</f>
        <v/>
      </c>
      <c r="AL34" s="85">
        <f>IF(AND(34&gt;=$C$8,34&lt;=$E$8),1,0)</f>
        <v/>
      </c>
      <c r="AM34" s="85">
        <f>IF(AND(35&gt;=$C$8,35&lt;=$E$8),1,0)</f>
        <v/>
      </c>
      <c r="AN34" s="85">
        <f>IF(AND(36&gt;=$C$8,36&lt;=$E$8),1,0)</f>
        <v/>
      </c>
      <c r="AO34" s="85">
        <f>IF(AND(37&gt;=$C$8,37&lt;=$E$8),1,0)</f>
        <v/>
      </c>
      <c r="AP34" s="85">
        <f>IF(AND(38&gt;=$C$8,38&lt;=$E$8),1,0)</f>
        <v/>
      </c>
      <c r="AQ34" s="85">
        <f>IF(AND(39&gt;=$C$8,39&lt;=$E$8),1,0)</f>
        <v/>
      </c>
      <c r="AR34" s="85">
        <f>IF(AND(40&gt;=$C$8,40&lt;=$E$8),1,0)</f>
        <v/>
      </c>
      <c r="AS34" s="85">
        <f>IF(AND(41&gt;=$C$8,41&lt;=$E$8),1,0)</f>
        <v/>
      </c>
      <c r="AT34" s="85">
        <f>IF(AND(42&gt;=$C$8,42&lt;=$E$8),1,0)</f>
        <v/>
      </c>
      <c r="AU34" s="85">
        <f>IF(AND(43&gt;=$C$8,43&lt;=$E$8),1,0)</f>
        <v/>
      </c>
      <c r="AV34" s="85">
        <f>IF(AND(44&gt;=$C$8,44&lt;=$E$8),1,0)</f>
        <v/>
      </c>
      <c r="AW34" s="85">
        <f>IF(AND(45&gt;=$C$8,45&lt;=$E$8),1,0)</f>
        <v/>
      </c>
      <c r="AX34" s="85">
        <f>IF(AND(46&gt;=$C$8,46&lt;=$E$8),1,0)</f>
        <v/>
      </c>
      <c r="AY34" s="85">
        <f>IF(AND(47&gt;=$C$8,47&lt;=$E$8),1,0)</f>
        <v/>
      </c>
      <c r="AZ34" s="85">
        <f>IF(AND(48&gt;=$C$8,48&lt;=$E$8),1,0)</f>
        <v/>
      </c>
      <c r="BA34" s="85">
        <f>IF(AND(49&gt;=$C$8,49&lt;=$E$8),1,0)</f>
        <v/>
      </c>
      <c r="BB34" s="85">
        <f>IF(AND(50&gt;=$C$8,50&lt;=$E$8),1,0)</f>
        <v/>
      </c>
      <c r="BC34" s="85">
        <f>IF(AND(51&gt;=$C$8,51&lt;=$E$8),1,0)</f>
        <v/>
      </c>
      <c r="BD34" s="85">
        <f>IF(AND(52&gt;=$C$8,52&lt;=$E$8),1,0)</f>
        <v/>
      </c>
      <c r="BE34" s="85">
        <f>IF(AND(53&gt;=$C$8,53&lt;=$E$8),1,0)</f>
        <v/>
      </c>
      <c r="BF34" s="85">
        <f>IF(AND(54&gt;=$C$8,54&lt;=$E$8),1,0)</f>
        <v/>
      </c>
      <c r="BG34" s="85">
        <f>IF(AND(55&gt;=$C$8,55&lt;=$E$8),1,0)</f>
        <v/>
      </c>
      <c r="BH34" s="85">
        <f>IF(AND(56&gt;=$C$8,56&lt;=$E$8),1,0)</f>
        <v/>
      </c>
      <c r="BI34" s="85">
        <f>IF(AND(57&gt;=$C$8,57&lt;=$E$8),1,0)</f>
        <v/>
      </c>
      <c r="BJ34" s="85">
        <f>IF(AND(58&gt;=$C$8,58&lt;=$E$8),1,0)</f>
        <v/>
      </c>
      <c r="BK34" s="85">
        <f>IF(AND(59&gt;=$C$8,59&lt;=$E$8),1,0)</f>
        <v/>
      </c>
      <c r="BL34" s="85">
        <f>IF(AND(60&gt;=$C$8,60&lt;=$E$8),1,0)</f>
        <v/>
      </c>
      <c r="BM34" s="85">
        <f>IF(AND(61&gt;=$C$8,61&lt;=$E$8),1,0)</f>
        <v/>
      </c>
      <c r="BN34" s="85">
        <f>IF(AND(62&gt;=$C$8,62&lt;=$E$8),1,0)</f>
        <v/>
      </c>
      <c r="BO34" s="85">
        <f>IF(AND(63&gt;=$C$8,63&lt;=$E$8),1,0)</f>
        <v/>
      </c>
      <c r="BP34" s="85">
        <f>IF(AND(64&gt;=$C$8,64&lt;=$E$8),1,0)</f>
        <v/>
      </c>
      <c r="BQ34" s="85">
        <f>IF(AND(65&gt;=$C$8,65&lt;=$E$8),1,0)</f>
        <v/>
      </c>
      <c r="BR34" s="85">
        <f>IF(AND(66&gt;=$C$8,66&lt;=$E$8),1,0)</f>
        <v/>
      </c>
      <c r="BS34" s="85">
        <f>IF(AND(67&gt;=$C$8,67&lt;=$E$8),1,0)</f>
        <v/>
      </c>
      <c r="BT34" s="85">
        <f>IF(AND(68&gt;=$C$8,68&lt;=$E$8),1,0)</f>
        <v/>
      </c>
      <c r="BU34" s="85">
        <f>IF(AND(69&gt;=$C$8,69&lt;=$E$8),1,0)</f>
        <v/>
      </c>
      <c r="BV34" s="85">
        <f>IF(AND(70&gt;=$C$8,70&lt;=$E$8),1,0)</f>
        <v/>
      </c>
      <c r="BW34" s="85">
        <f>IF(AND(71&gt;=$C$8,71&lt;=$E$8),1,0)</f>
        <v/>
      </c>
      <c r="BX34" s="85">
        <f>IF(AND(72&gt;=$C$8,72&lt;=$E$8),1,0)</f>
        <v/>
      </c>
      <c r="BY34" s="85">
        <f>IF(AND(73&gt;=$C$8,73&lt;=$E$8),1,0)</f>
        <v/>
      </c>
      <c r="BZ34" s="85">
        <f>IF(AND(74&gt;=$C$8,74&lt;=$E$8),1,0)</f>
        <v/>
      </c>
      <c r="CA34" s="85">
        <f>IF(AND(75&gt;=$C$8,75&lt;=$E$8),1,0)</f>
        <v/>
      </c>
      <c r="CB34" s="85">
        <f>IF(AND(76&gt;=$C$8,76&lt;=$E$8),1,0)</f>
        <v/>
      </c>
      <c r="CC34" s="85">
        <f>IF(AND(77&gt;=$C$8,77&lt;=$E$8),1,0)</f>
        <v/>
      </c>
      <c r="CD34" s="85">
        <f>IF(AND(78&gt;=$C$8,78&lt;=$E$8),1,0)</f>
        <v/>
      </c>
      <c r="CE34" s="85">
        <f>IF(AND(79&gt;=$C$8,79&lt;=$E$8),1,0)</f>
        <v/>
      </c>
      <c r="CF34" s="85">
        <f>IF(AND(80&gt;=$C$8,80&lt;=$E$8),1,0)</f>
        <v/>
      </c>
      <c r="CG34" s="85">
        <f>IF(AND(81&gt;=$C$8,81&lt;=$E$8),1,0)</f>
        <v/>
      </c>
      <c r="CH34" s="85">
        <f>IF(AND(82&gt;=$C$8,82&lt;=$E$8),1,0)</f>
        <v/>
      </c>
      <c r="CI34" s="85">
        <f>IF(AND(83&gt;=$C$8,83&lt;=$E$8),1,0)</f>
        <v/>
      </c>
      <c r="CJ34" s="85">
        <f>IF(AND(84&gt;=$C$8,84&lt;=$E$8),1,0)</f>
        <v/>
      </c>
      <c r="CK34" s="85">
        <f>IF(AND(85&gt;=$C$8,85&lt;=$E$8),1,0)</f>
        <v/>
      </c>
      <c r="CL34" s="85">
        <f>IF(AND(86&gt;=$C$8,86&lt;=$E$8),1,0)</f>
        <v/>
      </c>
      <c r="CM34" s="85">
        <f>IF(AND(87&gt;=$C$8,87&lt;=$E$8),1,0)</f>
        <v/>
      </c>
      <c r="CN34" s="85">
        <f>IF(AND(88&gt;=$C$8,88&lt;=$E$8),1,0)</f>
        <v/>
      </c>
      <c r="CO34" s="85">
        <f>IF(AND(89&gt;=$C$8,89&lt;=$E$8),1,0)</f>
        <v/>
      </c>
      <c r="CP34" s="85">
        <f>IF(AND(90&gt;=$C$8,90&lt;=$E$8),1,0)</f>
        <v/>
      </c>
      <c r="CQ34" s="85">
        <f>IF(AND(91&gt;=$C$8,91&lt;=$E$8),1,0)</f>
        <v/>
      </c>
      <c r="CR34" s="85">
        <f>IF(AND(92&gt;=$C$8,92&lt;=$E$8),1,0)</f>
        <v/>
      </c>
      <c r="CS34" s="85">
        <f>IF(AND(93&gt;=$C$8,93&lt;=$E$8),1,0)</f>
        <v/>
      </c>
      <c r="CT34" s="85">
        <f>IF(AND(94&gt;=$C$8,94&lt;=$E$8),1,0)</f>
        <v/>
      </c>
      <c r="CU34" s="85">
        <f>IF(AND(95&gt;=$C$8,95&lt;=$E$8),1,0)</f>
        <v/>
      </c>
      <c r="CV34" s="85">
        <f>IF(AND(96&gt;=$C$8,96&lt;=$E$8),1,0)</f>
        <v/>
      </c>
      <c r="CW34" s="85">
        <f>IF(AND(97&gt;=$C$8,97&lt;=$E$8),1,0)</f>
        <v/>
      </c>
      <c r="CX34" s="85">
        <f>IF(AND(98&gt;=$C$8,98&lt;=$E$8),1,0)</f>
        <v/>
      </c>
      <c r="CY34" s="85">
        <f>IF(AND(99&gt;=$C$8,99&lt;=$E$8),1,0)</f>
        <v/>
      </c>
      <c r="CZ34" s="85">
        <f>IF(AND(100&gt;=$C$8,100&lt;=$E$8),1,0)</f>
        <v/>
      </c>
      <c r="DA34" s="85">
        <f>IF(AND(101&gt;=$C$8,101&lt;=$E$8),1,0)</f>
        <v/>
      </c>
      <c r="DB34" s="85">
        <f>IF(AND(102&gt;=$C$8,102&lt;=$E$8),1,0)</f>
        <v/>
      </c>
      <c r="DC34" s="85">
        <f>IF(AND(103&gt;=$C$8,103&lt;=$E$8),1,0)</f>
        <v/>
      </c>
      <c r="DD34" s="85">
        <f>IF(AND(104&gt;=$C$8,104&lt;=$E$8),1,0)</f>
        <v/>
      </c>
      <c r="DE34" s="85">
        <f>IF(AND(105&gt;=$C$8,105&lt;=$E$8),1,0)</f>
        <v/>
      </c>
      <c r="DF34" s="85">
        <f>IF(AND(106&gt;=$C$8,106&lt;=$E$8),1,0)</f>
        <v/>
      </c>
      <c r="DG34" s="85">
        <f>IF(AND(107&gt;=$C$8,107&lt;=$E$8),1,0)</f>
        <v/>
      </c>
      <c r="DH34" s="85">
        <f>IF(AND(108&gt;=$C$8,108&lt;=$E$8),1,0)</f>
        <v/>
      </c>
      <c r="DI34" s="85">
        <f>IF(AND(109&gt;=$C$8,109&lt;=$E$8),1,0)</f>
        <v/>
      </c>
      <c r="DJ34" s="85">
        <f>IF(AND(110&gt;=$C$8,110&lt;=$E$8),1,0)</f>
        <v/>
      </c>
      <c r="DK34" s="85">
        <f>IF(AND(111&gt;=$C$8,111&lt;=$E$8),1,0)</f>
        <v/>
      </c>
      <c r="DL34" s="85">
        <f>IF(AND(112&gt;=$C$8,112&lt;=$E$8),1,0)</f>
        <v/>
      </c>
      <c r="DM34" s="85">
        <f>IF(AND(113&gt;=$C$8,113&lt;=$E$8),1,0)</f>
        <v/>
      </c>
      <c r="DN34" s="85">
        <f>IF(AND(114&gt;=$C$8,114&lt;=$E$8),1,0)</f>
        <v/>
      </c>
      <c r="DO34" s="85">
        <f>IF(AND(115&gt;=$C$8,115&lt;=$E$8),1,0)</f>
        <v/>
      </c>
      <c r="DP34" s="85">
        <f>IF(AND(116&gt;=$C$8,116&lt;=$E$8),1,0)</f>
        <v/>
      </c>
      <c r="DQ34" s="85">
        <f>IF(AND(117&gt;=$C$8,117&lt;=$E$8),1,0)</f>
        <v/>
      </c>
      <c r="DR34" s="85">
        <f>IF(AND(118&gt;=$C$8,118&lt;=$E$8),1,0)</f>
        <v/>
      </c>
      <c r="DS34" s="85">
        <f>IF(AND(119&gt;=$C$8,119&lt;=$E$8),1,0)</f>
        <v/>
      </c>
      <c r="DT34" s="85">
        <f>IF(AND(120&gt;=$C$8,120&lt;=$E$8),1,0)</f>
        <v/>
      </c>
      <c r="DU34" s="85">
        <f>IF(AND(121&gt;=$C$8,121&lt;=$E$8),1,0)</f>
        <v/>
      </c>
      <c r="DV34" s="85">
        <f>IF(AND(122&gt;=$C$8,122&lt;=$E$8),1,0)</f>
        <v/>
      </c>
      <c r="DW34" s="85">
        <f>IF(AND(123&gt;=$C$8,123&lt;=$E$8),1,0)</f>
        <v/>
      </c>
      <c r="DX34" s="85">
        <f>IF(AND(124&gt;=$C$8,124&lt;=$E$8),1,0)</f>
        <v/>
      </c>
      <c r="DY34" s="85">
        <f>IF(AND(125&gt;=$C$8,125&lt;=$E$8),1,0)</f>
        <v/>
      </c>
      <c r="DZ34" s="85">
        <f>IF(AND(126&gt;=$C$8,126&lt;=$E$8),1,0)</f>
        <v/>
      </c>
      <c r="EA34" s="85">
        <f>IF(AND(127&gt;=$C$8,127&lt;=$E$8),1,0)</f>
        <v/>
      </c>
      <c r="EB34" s="85">
        <f>IF(AND(128&gt;=$C$8,128&lt;=$E$8),1,0)</f>
        <v/>
      </c>
      <c r="EC34" s="85">
        <f>IF(AND(129&gt;=$C$8,129&lt;=$E$8),1,0)</f>
        <v/>
      </c>
      <c r="ED34" s="85">
        <f>IF(AND(130&gt;=$C$8,130&lt;=$E$8),1,0)</f>
        <v/>
      </c>
      <c r="EE34" s="85">
        <f>IF(AND(131&gt;=$C$8,131&lt;=$E$8),1,0)</f>
        <v/>
      </c>
      <c r="EF34" s="85">
        <f>IF(AND(132&gt;=$C$8,132&lt;=$E$8),1,0)</f>
        <v/>
      </c>
      <c r="EG34" s="85">
        <f>IF(AND(133&gt;=$C$8,133&lt;=$E$8),1,0)</f>
        <v/>
      </c>
      <c r="EH34" s="85">
        <f>IF(AND(134&gt;=$C$8,134&lt;=$E$8),1,0)</f>
        <v/>
      </c>
      <c r="EI34" s="85">
        <f>IF(AND(135&gt;=$C$8,135&lt;=$E$8),1,0)</f>
        <v/>
      </c>
      <c r="EJ34" s="85">
        <f>IF(AND(136&gt;=$C$8,136&lt;=$E$8),1,0)</f>
        <v/>
      </c>
      <c r="EK34" s="85">
        <f>IF(AND(137&gt;=$C$8,137&lt;=$E$8),1,0)</f>
        <v/>
      </c>
      <c r="EL34" s="85">
        <f>IF(AND(138&gt;=$C$8,138&lt;=$E$8),1,0)</f>
        <v/>
      </c>
      <c r="EM34" s="85">
        <f>IF(AND(139&gt;=$C$8,139&lt;=$E$8),1,0)</f>
        <v/>
      </c>
      <c r="EN34" s="85">
        <f>IF(AND(140&gt;=$C$8,140&lt;=$E$8),1,0)</f>
        <v/>
      </c>
      <c r="EO34" s="85">
        <f>IF(AND(141&gt;=$C$8,141&lt;=$E$8),1,0)</f>
        <v/>
      </c>
      <c r="EP34" s="85">
        <f>IF(AND(142&gt;=$C$8,142&lt;=$E$8),1,0)</f>
        <v/>
      </c>
      <c r="EQ34" s="85">
        <f>IF(AND(143&gt;=$C$8,143&lt;=$E$8),1,0)</f>
        <v/>
      </c>
      <c r="ER34" s="85">
        <f>IF(AND(144&gt;=$C$8,144&lt;=$E$8),1,0)</f>
        <v/>
      </c>
      <c r="ES34" s="85">
        <f>IF(AND(145&gt;=$C$8,145&lt;=$E$8),1,0)</f>
        <v/>
      </c>
      <c r="ET34" s="85">
        <f>IF(AND(146&gt;=$C$8,146&lt;=$E$8),1,0)</f>
        <v/>
      </c>
      <c r="EU34" s="85">
        <f>IF(AND(147&gt;=$C$8,147&lt;=$E$8),1,0)</f>
        <v/>
      </c>
      <c r="EV34" s="85">
        <f>IF(AND(148&gt;=$C$8,148&lt;=$E$8),1,0)</f>
        <v/>
      </c>
      <c r="EW34" s="85">
        <f>IF(AND(149&gt;=$C$8,149&lt;=$E$8),1,0)</f>
        <v/>
      </c>
      <c r="EX34" s="85">
        <f>IF(AND(150&gt;=$C$8,150&lt;=$E$8),1,0)</f>
        <v/>
      </c>
      <c r="EY34" s="85">
        <f>IF(AND(151&gt;=$C$8,151&lt;=$E$8),1,0)</f>
        <v/>
      </c>
      <c r="EZ34" s="85">
        <f>IF(AND(152&gt;=$C$8,152&lt;=$E$8),1,0)</f>
        <v/>
      </c>
      <c r="FA34" s="85">
        <f>IF(AND(153&gt;=$C$8,153&lt;=$E$8),1,0)</f>
        <v/>
      </c>
      <c r="FB34" s="85">
        <f>IF(AND(154&gt;=$C$8,154&lt;=$E$8),1,0)</f>
        <v/>
      </c>
      <c r="FC34" s="85">
        <f>IF(AND(155&gt;=$C$8,155&lt;=$E$8),1,0)</f>
        <v/>
      </c>
      <c r="FD34" s="85">
        <f>IF(AND(156&gt;=$C$8,156&lt;=$E$8),1,0)</f>
        <v/>
      </c>
      <c r="FE34" s="85">
        <f>IF(AND(157&gt;=$C$8,157&lt;=$E$8),1,0)</f>
        <v/>
      </c>
      <c r="FF34" s="85">
        <f>IF(AND(158&gt;=$C$8,158&lt;=$E$8),1,0)</f>
        <v/>
      </c>
      <c r="FG34" s="85">
        <f>IF(AND(159&gt;=$C$8,159&lt;=$E$8),1,0)</f>
        <v/>
      </c>
      <c r="FH34" s="85">
        <f>IF(AND(160&gt;=$C$8,160&lt;=$E$8),1,0)</f>
        <v/>
      </c>
      <c r="FI34" s="85">
        <f>IF(AND(161&gt;=$C$8,161&lt;=$E$8),1,0)</f>
        <v/>
      </c>
      <c r="FJ34" s="85">
        <f>IF(AND(162&gt;=$C$8,162&lt;=$E$8),1,0)</f>
        <v/>
      </c>
      <c r="FK34" s="85">
        <f>IF(AND(163&gt;=$C$8,163&lt;=$E$8),1,0)</f>
        <v/>
      </c>
      <c r="FL34" s="85">
        <f>IF(AND(164&gt;=$C$8,164&lt;=$E$8),1,0)</f>
        <v/>
      </c>
      <c r="FM34" s="85">
        <f>IF(AND(165&gt;=$C$8,165&lt;=$E$8),1,0)</f>
        <v/>
      </c>
      <c r="FN34" s="85">
        <f>IF(AND(166&gt;=$C$8,166&lt;=$E$8),1,0)</f>
        <v/>
      </c>
      <c r="FO34" s="85">
        <f>IF(AND(167&gt;=$C$8,167&lt;=$E$8),1,0)</f>
        <v/>
      </c>
      <c r="FP34" s="85">
        <f>IF(AND(168&gt;=$C$8,168&lt;=$E$8),1,0)</f>
        <v/>
      </c>
      <c r="FQ34" s="85">
        <f>IF(AND(169&gt;=$C$8,169&lt;=$E$8),1,0)</f>
        <v/>
      </c>
      <c r="FR34" s="85">
        <f>IF(AND(170&gt;=$C$8,170&lt;=$E$8),1,0)</f>
        <v/>
      </c>
      <c r="FS34" s="85">
        <f>IF(AND(171&gt;=$C$8,171&lt;=$E$8),1,0)</f>
        <v/>
      </c>
      <c r="FT34" s="85">
        <f>IF(AND(172&gt;=$C$8,172&lt;=$E$8),1,0)</f>
        <v/>
      </c>
      <c r="FU34" s="85">
        <f>IF(AND(173&gt;=$C$8,173&lt;=$E$8),1,0)</f>
        <v/>
      </c>
      <c r="FV34" s="85">
        <f>IF(AND(174&gt;=$C$8,174&lt;=$E$8),1,0)</f>
        <v/>
      </c>
      <c r="FW34" s="85">
        <f>IF(AND(175&gt;=$C$8,175&lt;=$E$8),1,0)</f>
        <v/>
      </c>
      <c r="FX34" s="85">
        <f>IF(AND(176&gt;=$C$8,176&lt;=$E$8),1,0)</f>
        <v/>
      </c>
      <c r="FY34" s="85">
        <f>IF(AND(177&gt;=$C$8,177&lt;=$E$8),1,0)</f>
        <v/>
      </c>
      <c r="FZ34" s="85">
        <f>IF(AND(178&gt;=$C$8,178&lt;=$E$8),1,0)</f>
        <v/>
      </c>
      <c r="GA34" s="85">
        <f>IF(AND(179&gt;=$C$8,179&lt;=$E$8),1,0)</f>
        <v/>
      </c>
      <c r="GB34" s="85">
        <f>IF(AND(180&gt;=$C$8,180&lt;=$E$8),1,0)</f>
        <v/>
      </c>
      <c r="GC34" s="85">
        <f>IF(AND(181&gt;=$C$8,181&lt;=$E$8),1,0)</f>
        <v/>
      </c>
      <c r="GD34" s="85">
        <f>IF(AND(182&gt;=$C$8,182&lt;=$E$8),1,0)</f>
        <v/>
      </c>
      <c r="GE34" s="85">
        <f>IF(AND(183&gt;=$C$8,183&lt;=$E$8),1,0)</f>
        <v/>
      </c>
      <c r="GF34" s="85">
        <f>IF(AND(184&gt;=$C$8,184&lt;=$E$8),1,0)</f>
        <v/>
      </c>
      <c r="GG34" s="85">
        <f>IF(AND(185&gt;=$C$8,185&lt;=$E$8),1,0)</f>
        <v/>
      </c>
      <c r="GH34" s="85">
        <f>IF(AND(186&gt;=$C$8,186&lt;=$E$8),1,0)</f>
        <v/>
      </c>
      <c r="GI34" s="85">
        <f>IF(AND(187&gt;=$C$8,187&lt;=$E$8),1,0)</f>
        <v/>
      </c>
      <c r="GJ34" s="85">
        <f>IF(AND(188&gt;=$C$8,188&lt;=$E$8),1,0)</f>
        <v/>
      </c>
      <c r="GK34" s="85">
        <f>IF(AND(189&gt;=$C$8,189&lt;=$E$8),1,0)</f>
        <v/>
      </c>
      <c r="GL34" s="85">
        <f>IF(AND(190&gt;=$C$8,190&lt;=$E$8),1,0)</f>
        <v/>
      </c>
      <c r="GM34" s="85">
        <f>IF(AND(191&gt;=$C$8,191&lt;=$E$8),1,0)</f>
        <v/>
      </c>
      <c r="GN34" s="85">
        <f>IF(AND(192&gt;=$C$8,192&lt;=$E$8),1,0)</f>
        <v/>
      </c>
      <c r="GO34" s="85">
        <f>IF(AND(193&gt;=$C$8,193&lt;=$E$8),1,0)</f>
        <v/>
      </c>
      <c r="GP34" s="85">
        <f>IF(AND(194&gt;=$C$8,194&lt;=$E$8),1,0)</f>
        <v/>
      </c>
      <c r="GQ34" s="85">
        <f>IF(AND(195&gt;=$C$8,195&lt;=$E$8),1,0)</f>
        <v/>
      </c>
      <c r="GR34" s="85">
        <f>IF(AND(196&gt;=$C$8,196&lt;=$E$8),1,0)</f>
        <v/>
      </c>
      <c r="GS34" s="85">
        <f>IF(AND(197&gt;=$C$8,197&lt;=$E$8),1,0)</f>
        <v/>
      </c>
      <c r="GT34" s="85">
        <f>IF(AND(198&gt;=$C$8,198&lt;=$E$8),1,0)</f>
        <v/>
      </c>
      <c r="GU34" s="85">
        <f>IF(AND(199&gt;=$C$8,199&lt;=$E$8),1,0)</f>
        <v/>
      </c>
      <c r="GV34" s="85">
        <f>IF(AND(200&gt;=$C$8,200&lt;=$E$8),1,0)</f>
        <v/>
      </c>
      <c r="GW34" s="85">
        <f>IF(AND(201&gt;=$C$8,201&lt;=$E$8),1,0)</f>
        <v/>
      </c>
      <c r="GX34" s="85">
        <f>IF(AND(202&gt;=$C$8,202&lt;=$E$8),1,0)</f>
        <v/>
      </c>
      <c r="GY34" s="85">
        <f>IF(AND(203&gt;=$C$8,203&lt;=$E$8),1,0)</f>
        <v/>
      </c>
      <c r="GZ34" s="85">
        <f>IF(AND(204&gt;=$C$8,204&lt;=$E$8),1,0)</f>
        <v/>
      </c>
      <c r="HA34" s="85">
        <f>IF(AND(205&gt;=$C$8,205&lt;=$E$8),1,0)</f>
        <v/>
      </c>
      <c r="HB34" s="85">
        <f>IF(AND(206&gt;=$C$8,206&lt;=$E$8),1,0)</f>
        <v/>
      </c>
      <c r="HC34" s="85">
        <f>IF(AND(207&gt;=$C$8,207&lt;=$E$8),1,0)</f>
        <v/>
      </c>
      <c r="HD34" s="85">
        <f>IF(AND(208&gt;=$C$8,208&lt;=$E$8),1,0)</f>
        <v/>
      </c>
      <c r="HE34" s="85">
        <f>IF(AND(209&gt;=$C$8,209&lt;=$E$8),1,0)</f>
        <v/>
      </c>
      <c r="HF34" s="85">
        <f>IF(AND(210&gt;=$C$8,210&lt;=$E$8),1,0)</f>
        <v/>
      </c>
      <c r="HG34" s="85">
        <f>IF(AND(211&gt;=$C$8,211&lt;=$E$8),1,0)</f>
        <v/>
      </c>
      <c r="HH34" s="85">
        <f>IF(AND(212&gt;=$C$8,212&lt;=$E$8),1,0)</f>
        <v/>
      </c>
      <c r="HI34" s="85">
        <f>IF(AND(213&gt;=$C$8,213&lt;=$E$8),1,0)</f>
        <v/>
      </c>
      <c r="HJ34" s="85">
        <f>IF(AND(214&gt;=$C$8,214&lt;=$E$8),1,0)</f>
        <v/>
      </c>
      <c r="HK34" s="85">
        <f>IF(AND(215&gt;=$C$8,215&lt;=$E$8),1,0)</f>
        <v/>
      </c>
      <c r="HL34" s="85">
        <f>IF(AND(216&gt;=$C$8,216&lt;=$E$8),1,0)</f>
        <v/>
      </c>
      <c r="HM34" s="85">
        <f>IF(AND(217&gt;=$C$8,217&lt;=$E$8),1,0)</f>
        <v/>
      </c>
      <c r="HN34" s="85">
        <f>IF(AND(218&gt;=$C$8,218&lt;=$E$8),1,0)</f>
        <v/>
      </c>
      <c r="HO34" s="85">
        <f>IF(AND(219&gt;=$C$8,219&lt;=$E$8),1,0)</f>
        <v/>
      </c>
      <c r="HP34" s="85">
        <f>IF(AND(220&gt;=$C$8,220&lt;=$E$8),1,0)</f>
        <v/>
      </c>
      <c r="HQ34" s="85">
        <f>IF(AND(221&gt;=$C$8,221&lt;=$E$8),1,0)</f>
        <v/>
      </c>
      <c r="HR34" s="85">
        <f>IF(AND(222&gt;=$C$8,222&lt;=$E$8),1,0)</f>
        <v/>
      </c>
      <c r="HS34" s="85">
        <f>IF(AND(223&gt;=$C$8,223&lt;=$E$8),1,0)</f>
        <v/>
      </c>
      <c r="HT34" s="85">
        <f>IF(AND(224&gt;=$C$8,224&lt;=$E$8),1,0)</f>
        <v/>
      </c>
      <c r="HU34" s="85">
        <f>IF(AND(225&gt;=$C$8,225&lt;=$E$8),1,0)</f>
        <v/>
      </c>
      <c r="HV34" s="85">
        <f>IF(AND(226&gt;=$C$8,226&lt;=$E$8),1,0)</f>
        <v/>
      </c>
      <c r="HW34" s="85">
        <f>IF(AND(227&gt;=$C$8,227&lt;=$E$8),1,0)</f>
        <v/>
      </c>
      <c r="HX34" s="85">
        <f>IF(AND(228&gt;=$C$8,228&lt;=$E$8),1,0)</f>
        <v/>
      </c>
      <c r="HY34" s="85">
        <f>IF(AND(229&gt;=$C$8,229&lt;=$E$8),1,0)</f>
        <v/>
      </c>
      <c r="HZ34" s="85">
        <f>IF(AND(230&gt;=$C$8,230&lt;=$E$8),1,0)</f>
        <v/>
      </c>
      <c r="IA34" s="85">
        <f>IF(AND(231&gt;=$C$8,231&lt;=$E$8),1,0)</f>
        <v/>
      </c>
      <c r="IB34" s="85">
        <f>IF(AND(232&gt;=$C$8,232&lt;=$E$8),1,0)</f>
        <v/>
      </c>
      <c r="IC34" s="85">
        <f>IF(AND(233&gt;=$C$8,233&lt;=$E$8),1,0)</f>
        <v/>
      </c>
      <c r="ID34" s="85">
        <f>IF(AND(234&gt;=$C$8,234&lt;=$E$8),1,0)</f>
        <v/>
      </c>
      <c r="IE34" s="85">
        <f>IF(AND(235&gt;=$C$8,235&lt;=$E$8),1,0)</f>
        <v/>
      </c>
      <c r="IF34" s="85">
        <f>IF(AND(236&gt;=$C$8,236&lt;=$E$8),1,0)</f>
        <v/>
      </c>
      <c r="IG34" s="85">
        <f>IF(AND(237&gt;=$C$8,237&lt;=$E$8),1,0)</f>
        <v/>
      </c>
      <c r="IH34" s="85">
        <f>IF(AND(238&gt;=$C$8,238&lt;=$E$8),1,0)</f>
        <v/>
      </c>
      <c r="II34" s="85">
        <f>IF(AND(239&gt;=$C$8,239&lt;=$E$8),1,0)</f>
        <v/>
      </c>
      <c r="IJ34" s="85">
        <f>IF(AND(240&gt;=$C$8,240&lt;=$E$8),1,0)</f>
        <v/>
      </c>
      <c r="IK34" s="85">
        <f>IF(AND(241&gt;=$C$8,241&lt;=$E$8),1,0)</f>
        <v/>
      </c>
      <c r="IL34" s="85">
        <f>IF(AND(242&gt;=$C$8,242&lt;=$E$8),1,0)</f>
        <v/>
      </c>
      <c r="IM34" s="85">
        <f>IF(AND(243&gt;=$C$8,243&lt;=$E$8),1,0)</f>
        <v/>
      </c>
      <c r="IN34" s="85">
        <f>IF(AND(244&gt;=$C$8,244&lt;=$E$8),1,0)</f>
        <v/>
      </c>
      <c r="IO34" s="85">
        <f>IF(AND(245&gt;=$C$8,245&lt;=$E$8),1,0)</f>
        <v/>
      </c>
      <c r="IP34" s="85">
        <f>IF(AND(246&gt;=$C$8,246&lt;=$E$8),1,0)</f>
        <v/>
      </c>
      <c r="IQ34" s="85">
        <f>IF(AND(247&gt;=$C$8,247&lt;=$E$8),1,0)</f>
        <v/>
      </c>
      <c r="IR34" s="85">
        <f>IF(AND(248&gt;=$C$8,248&lt;=$E$8),1,0)</f>
        <v/>
      </c>
      <c r="IS34" s="85">
        <f>IF(AND(249&gt;=$C$8,249&lt;=$E$8),1,0)</f>
        <v/>
      </c>
      <c r="IT34" s="85">
        <f>IF(AND(250&gt;=$C$8,250&lt;=$E$8),1,0)</f>
        <v/>
      </c>
      <c r="IU34" s="85">
        <f>IF(AND(251&gt;=$C$8,251&lt;=$E$8),1,0)</f>
        <v/>
      </c>
      <c r="IV34" s="85">
        <f>IF(AND(252&gt;=$C$8,252&lt;=$E$8),1,0)</f>
        <v/>
      </c>
      <c r="IW34" s="85">
        <f>IF(AND(253&gt;=$C$8,253&lt;=$E$8),1,0)</f>
        <v/>
      </c>
      <c r="IX34" s="85">
        <f>IF(AND(254&gt;=$C$8,254&lt;=$E$8),1,0)</f>
        <v/>
      </c>
      <c r="IY34" s="85">
        <f>IF(AND(255&gt;=$C$8,255&lt;=$E$8),1,0)</f>
        <v/>
      </c>
      <c r="IZ34" s="85">
        <f>IF(AND(256&gt;=$C$8,256&lt;=$E$8),1,0)</f>
        <v/>
      </c>
      <c r="JA34" s="85">
        <f>IF(AND(257&gt;=$C$8,257&lt;=$E$8),1,0)</f>
        <v/>
      </c>
      <c r="JB34" s="85">
        <f>IF(AND(258&gt;=$C$8,258&lt;=$E$8),1,0)</f>
        <v/>
      </c>
      <c r="JC34" s="85">
        <f>IF(AND(259&gt;=$C$8,259&lt;=$E$8),1,0)</f>
        <v/>
      </c>
      <c r="JD34" s="85">
        <f>IF(AND(260&gt;=$C$8,260&lt;=$E$8),1,0)</f>
        <v/>
      </c>
      <c r="JE34" s="85">
        <f>IF(AND(261&gt;=$C$8,261&lt;=$E$8),1,0)</f>
        <v/>
      </c>
      <c r="JF34" s="85">
        <f>IF(AND(262&gt;=$C$8,262&lt;=$E$8),1,0)</f>
        <v/>
      </c>
      <c r="JG34" s="85">
        <f>IF(AND(263&gt;=$C$8,263&lt;=$E$8),1,0)</f>
        <v/>
      </c>
      <c r="JH34" s="85">
        <f>IF(AND(264&gt;=$C$8,264&lt;=$E$8),1,0)</f>
        <v/>
      </c>
      <c r="JI34" s="85">
        <f>IF(AND(265&gt;=$C$8,265&lt;=$E$8),1,0)</f>
        <v/>
      </c>
      <c r="JJ34" s="85">
        <f>IF(AND(266&gt;=$C$8,266&lt;=$E$8),1,0)</f>
        <v/>
      </c>
      <c r="JK34" s="85">
        <f>IF(AND(267&gt;=$C$8,267&lt;=$E$8),1,0)</f>
        <v/>
      </c>
      <c r="JL34" s="85">
        <f>IF(AND(268&gt;=$C$8,268&lt;=$E$8),1,0)</f>
        <v/>
      </c>
      <c r="JM34" s="85">
        <f>IF(AND(269&gt;=$C$8,269&lt;=$E$8),1,0)</f>
        <v/>
      </c>
      <c r="JN34" s="85">
        <f>IF(AND(270&gt;=$C$8,270&lt;=$E$8),1,0)</f>
        <v/>
      </c>
      <c r="JO34" s="85">
        <f>IF(AND(271&gt;=$C$8,271&lt;=$E$8),1,0)</f>
        <v/>
      </c>
      <c r="JP34" s="85">
        <f>IF(AND(272&gt;=$C$8,272&lt;=$E$8),1,0)</f>
        <v/>
      </c>
      <c r="JQ34" s="85">
        <f>IF(AND(273&gt;=$C$8,273&lt;=$E$8),1,0)</f>
        <v/>
      </c>
      <c r="JR34" s="85">
        <f>IF(AND(274&gt;=$C$8,274&lt;=$E$8),1,0)</f>
        <v/>
      </c>
      <c r="JS34" s="85">
        <f>IF(AND(275&gt;=$C$8,275&lt;=$E$8),1,0)</f>
        <v/>
      </c>
      <c r="JT34" s="85">
        <f>IF(AND(276&gt;=$C$8,276&lt;=$E$8),1,0)</f>
        <v/>
      </c>
      <c r="JU34" s="85">
        <f>IF(AND(277&gt;=$C$8,277&lt;=$E$8),1,0)</f>
        <v/>
      </c>
      <c r="JV34" s="85">
        <f>IF(AND(278&gt;=$C$8,278&lt;=$E$8),1,0)</f>
        <v/>
      </c>
      <c r="JW34" s="85">
        <f>IF(AND(279&gt;=$C$8,279&lt;=$E$8),1,0)</f>
        <v/>
      </c>
      <c r="JX34" s="85">
        <f>IF(AND(280&gt;=$C$8,280&lt;=$E$8),1,0)</f>
        <v/>
      </c>
      <c r="JY34" s="85">
        <f>IF(AND(281&gt;=$C$8,281&lt;=$E$8),1,0)</f>
        <v/>
      </c>
      <c r="JZ34" s="85">
        <f>IF(AND(282&gt;=$C$8,282&lt;=$E$8),1,0)</f>
        <v/>
      </c>
      <c r="KA34" s="85">
        <f>IF(AND(283&gt;=$C$8,283&lt;=$E$8),1,0)</f>
        <v/>
      </c>
      <c r="KB34" s="85">
        <f>IF(AND(284&gt;=$C$8,284&lt;=$E$8),1,0)</f>
        <v/>
      </c>
      <c r="KC34" s="85">
        <f>IF(AND(285&gt;=$C$8,285&lt;=$E$8),1,0)</f>
        <v/>
      </c>
      <c r="KD34" s="85">
        <f>IF(AND(286&gt;=$C$8,286&lt;=$E$8),1,0)</f>
        <v/>
      </c>
      <c r="KE34" s="85">
        <f>IF(AND(287&gt;=$C$8,287&lt;=$E$8),1,0)</f>
        <v/>
      </c>
      <c r="KF34" s="85">
        <f>IF(AND(288&gt;=$C$8,288&lt;=$E$8),1,0)</f>
        <v/>
      </c>
      <c r="KG34" s="85">
        <f>IF(AND(289&gt;=$C$8,289&lt;=$E$8),1,0)</f>
        <v/>
      </c>
      <c r="KH34" s="85">
        <f>IF(AND(290&gt;=$C$8,290&lt;=$E$8),1,0)</f>
        <v/>
      </c>
      <c r="KI34" s="85">
        <f>IF(AND(291&gt;=$C$8,291&lt;=$E$8),1,0)</f>
        <v/>
      </c>
      <c r="KJ34" s="85">
        <f>IF(AND(292&gt;=$C$8,292&lt;=$E$8),1,0)</f>
        <v/>
      </c>
      <c r="KK34" s="85">
        <f>IF(AND(293&gt;=$C$8,293&lt;=$E$8),1,0)</f>
        <v/>
      </c>
      <c r="KL34" s="85">
        <f>IF(AND(294&gt;=$C$8,294&lt;=$E$8),1,0)</f>
        <v/>
      </c>
      <c r="KM34" s="85">
        <f>IF(AND(295&gt;=$C$8,295&lt;=$E$8),1,0)</f>
        <v/>
      </c>
      <c r="KN34" s="85">
        <f>IF(AND(296&gt;=$C$8,296&lt;=$E$8),1,0)</f>
        <v/>
      </c>
      <c r="KO34" s="85">
        <f>IF(AND(297&gt;=$C$8,297&lt;=$E$8),1,0)</f>
        <v/>
      </c>
      <c r="KP34" s="85">
        <f>IF(AND(298&gt;=$C$8,298&lt;=$E$8),1,0)</f>
        <v/>
      </c>
      <c r="KQ34" s="85">
        <f>IF(AND(299&gt;=$C$8,299&lt;=$E$8),1,0)</f>
        <v/>
      </c>
      <c r="KR34" s="85">
        <f>IF(AND(300&gt;=$C$8,300&lt;=$E$8),1,0)</f>
        <v/>
      </c>
      <c r="KS34" s="85">
        <f>IF(AND(301&gt;=$C$8,301&lt;=$E$8),1,0)</f>
        <v/>
      </c>
      <c r="KT34" s="85">
        <f>IF(AND(302&gt;=$C$8,302&lt;=$E$8),1,0)</f>
        <v/>
      </c>
      <c r="KU34" s="85">
        <f>IF(AND(303&gt;=$C$8,303&lt;=$E$8),1,0)</f>
        <v/>
      </c>
      <c r="KV34" s="85">
        <f>IF(AND(304&gt;=$C$8,304&lt;=$E$8),1,0)</f>
        <v/>
      </c>
      <c r="KW34" s="85">
        <f>IF(AND(305&gt;=$C$8,305&lt;=$E$8),1,0)</f>
        <v/>
      </c>
      <c r="KX34" s="85">
        <f>IF(AND(306&gt;=$C$8,306&lt;=$E$8),1,0)</f>
        <v/>
      </c>
      <c r="KY34" s="85">
        <f>IF(AND(307&gt;=$C$8,307&lt;=$E$8),1,0)</f>
        <v/>
      </c>
      <c r="KZ34" s="85">
        <f>IF(AND(308&gt;=$C$8,308&lt;=$E$8),1,0)</f>
        <v/>
      </c>
      <c r="LA34" s="85">
        <f>IF(AND(309&gt;=$C$8,309&lt;=$E$8),1,0)</f>
        <v/>
      </c>
      <c r="LB34" s="85">
        <f>IF(AND(310&gt;=$C$8,310&lt;=$E$8),1,0)</f>
        <v/>
      </c>
      <c r="LC34" s="85">
        <f>IF(AND(311&gt;=$C$8,311&lt;=$E$8),1,0)</f>
        <v/>
      </c>
      <c r="LD34" s="85">
        <f>IF(AND(312&gt;=$C$8,312&lt;=$E$8),1,0)</f>
        <v/>
      </c>
      <c r="LE34" s="85">
        <f>IF(AND(313&gt;=$C$8,313&lt;=$E$8),1,0)</f>
        <v/>
      </c>
      <c r="LF34" s="85">
        <f>IF(AND(314&gt;=$C$8,314&lt;=$E$8),1,0)</f>
        <v/>
      </c>
      <c r="LG34" s="85">
        <f>IF(AND(315&gt;=$C$8,315&lt;=$E$8),1,0)</f>
        <v/>
      </c>
      <c r="LH34" s="85">
        <f>IF(AND(316&gt;=$C$8,316&lt;=$E$8),1,0)</f>
        <v/>
      </c>
      <c r="LI34" s="85">
        <f>IF(AND(317&gt;=$C$8,317&lt;=$E$8),1,0)</f>
        <v/>
      </c>
      <c r="LJ34" s="85">
        <f>IF(AND(318&gt;=$C$8,318&lt;=$E$8),1,0)</f>
        <v/>
      </c>
      <c r="LK34" s="85">
        <f>IF(AND(319&gt;=$C$8,319&lt;=$E$8),1,0)</f>
        <v/>
      </c>
      <c r="LL34" s="85">
        <f>IF(AND(320&gt;=$C$8,320&lt;=$E$8),1,0)</f>
        <v/>
      </c>
      <c r="LM34" s="85">
        <f>IF(AND(321&gt;=$C$8,321&lt;=$E$8),1,0)</f>
        <v/>
      </c>
      <c r="LN34" s="85">
        <f>IF(AND(322&gt;=$C$8,322&lt;=$E$8),1,0)</f>
        <v/>
      </c>
      <c r="LO34" s="85">
        <f>IF(AND(323&gt;=$C$8,323&lt;=$E$8),1,0)</f>
        <v/>
      </c>
      <c r="LP34" s="85">
        <f>IF(AND(324&gt;=$C$8,324&lt;=$E$8),1,0)</f>
        <v/>
      </c>
      <c r="LQ34" s="85">
        <f>IF(AND(325&gt;=$C$8,325&lt;=$E$8),1,0)</f>
        <v/>
      </c>
      <c r="LR34" s="85">
        <f>IF(AND(326&gt;=$C$8,326&lt;=$E$8),1,0)</f>
        <v/>
      </c>
      <c r="LS34" s="85">
        <f>IF(AND(327&gt;=$C$8,327&lt;=$E$8),1,0)</f>
        <v/>
      </c>
      <c r="LT34" s="85">
        <f>IF(AND(328&gt;=$C$8,328&lt;=$E$8),1,0)</f>
        <v/>
      </c>
      <c r="LU34" s="85">
        <f>IF(AND(329&gt;=$C$8,329&lt;=$E$8),1,0)</f>
        <v/>
      </c>
      <c r="LV34" s="85">
        <f>IF(AND(330&gt;=$C$8,330&lt;=$E$8),1,0)</f>
        <v/>
      </c>
      <c r="LW34" s="85">
        <f>IF(AND(331&gt;=$C$8,331&lt;=$E$8),1,0)</f>
        <v/>
      </c>
      <c r="LX34" s="85">
        <f>IF(AND(332&gt;=$C$8,332&lt;=$E$8),1,0)</f>
        <v/>
      </c>
      <c r="LY34" s="85">
        <f>IF(AND(333&gt;=$C$8,333&lt;=$E$8),1,0)</f>
        <v/>
      </c>
      <c r="LZ34" s="85">
        <f>IF(AND(334&gt;=$C$8,334&lt;=$E$8),1,0)</f>
        <v/>
      </c>
      <c r="MA34" s="85">
        <f>IF(AND(335&gt;=$C$8,335&lt;=$E$8),1,0)</f>
        <v/>
      </c>
      <c r="MB34" s="85">
        <f>IF(AND(336&gt;=$C$8,336&lt;=$E$8),1,0)</f>
        <v/>
      </c>
      <c r="MC34" s="85">
        <f>IF(AND(337&gt;=$C$8,337&lt;=$E$8),1,0)</f>
        <v/>
      </c>
      <c r="MD34" s="85">
        <f>IF(AND(338&gt;=$C$8,338&lt;=$E$8),1,0)</f>
        <v/>
      </c>
      <c r="ME34" s="85">
        <f>IF(AND(339&gt;=$C$8,339&lt;=$E$8),1,0)</f>
        <v/>
      </c>
      <c r="MF34" s="85">
        <f>IF(AND(340&gt;=$C$8,340&lt;=$E$8),1,0)</f>
        <v/>
      </c>
      <c r="MG34" s="85">
        <f>IF(AND(341&gt;=$C$8,341&lt;=$E$8),1,0)</f>
        <v/>
      </c>
      <c r="MH34" s="85">
        <f>IF(AND(342&gt;=$C$8,342&lt;=$E$8),1,0)</f>
        <v/>
      </c>
      <c r="MI34" s="85">
        <f>IF(AND(343&gt;=$C$8,343&lt;=$E$8),1,0)</f>
        <v/>
      </c>
      <c r="MJ34" s="85">
        <f>IF(AND(344&gt;=$C$8,344&lt;=$E$8),1,0)</f>
        <v/>
      </c>
      <c r="MK34" s="85">
        <f>IF(AND(345&gt;=$C$8,345&lt;=$E$8),1,0)</f>
        <v/>
      </c>
      <c r="ML34" s="85">
        <f>IF(AND(346&gt;=$C$8,346&lt;=$E$8),1,0)</f>
        <v/>
      </c>
      <c r="MM34" s="85">
        <f>IF(AND(347&gt;=$C$8,347&lt;=$E$8),1,0)</f>
        <v/>
      </c>
      <c r="MN34" s="85">
        <f>IF(AND(348&gt;=$C$8,348&lt;=$E$8),1,0)</f>
        <v/>
      </c>
      <c r="MO34" s="85">
        <f>IF(AND(349&gt;=$C$8,349&lt;=$E$8),1,0)</f>
        <v/>
      </c>
      <c r="MP34" s="85">
        <f>IF(AND(350&gt;=$C$8,350&lt;=$E$8),1,0)</f>
        <v/>
      </c>
      <c r="MQ34" s="85">
        <f>IF(AND(351&gt;=$C$8,351&lt;=$E$8),1,0)</f>
        <v/>
      </c>
      <c r="MR34" s="85">
        <f>IF(AND(352&gt;=$C$8,352&lt;=$E$8),1,0)</f>
        <v/>
      </c>
      <c r="MS34" s="85">
        <f>IF(AND(353&gt;=$C$8,353&lt;=$E$8),1,0)</f>
        <v/>
      </c>
      <c r="MT34" s="85">
        <f>IF(AND(354&gt;=$C$8,354&lt;=$E$8),1,0)</f>
        <v/>
      </c>
      <c r="MU34" s="85">
        <f>IF(AND(355&gt;=$C$8,355&lt;=$E$8),1,0)</f>
        <v/>
      </c>
      <c r="MV34" s="85">
        <f>IF(AND(356&gt;=$C$8,356&lt;=$E$8),1,0)</f>
        <v/>
      </c>
      <c r="MW34" s="85">
        <f>IF(AND(357&gt;=$C$8,357&lt;=$E$8),1,0)</f>
        <v/>
      </c>
      <c r="MX34" s="85">
        <f>IF(AND(358&gt;=$C$8,358&lt;=$E$8),1,0)</f>
        <v/>
      </c>
      <c r="MY34" s="85">
        <f>IF(AND(359&gt;=$C$8,359&lt;=$E$8),1,0)</f>
        <v/>
      </c>
      <c r="MZ34" s="85">
        <f>IF(AND(360&gt;=$C$8,360&lt;=$E$8),1,0)</f>
        <v/>
      </c>
      <c r="NA34" s="85">
        <f>IF(AND(361&gt;=$C$8,361&lt;=$E$8),1,0)</f>
        <v/>
      </c>
      <c r="NB34" s="85">
        <f>IF(AND(362&gt;=$C$8,362&lt;=$E$8),1,0)</f>
        <v/>
      </c>
      <c r="NC34" s="85">
        <f>IF(AND(363&gt;=$C$8,363&lt;=$E$8),1,0)</f>
        <v/>
      </c>
      <c r="ND34" s="85">
        <f>IF(AND(364&gt;=$C$8,364&lt;=$E$8),1,0)</f>
        <v/>
      </c>
      <c r="NE34" s="85">
        <f>IF(AND(365&gt;=$C$8,365&lt;=$E$8),1,0)</f>
        <v/>
      </c>
      <c r="NF34" s="85">
        <f>IF(AND(366&gt;=$C$8,366&lt;=$E$8),1,0)</f>
        <v/>
      </c>
      <c r="NG34" s="85">
        <f>IF(AND(367&gt;=$C$8,367&lt;=$E$8),1,0)</f>
        <v/>
      </c>
      <c r="NH34" s="85">
        <f>IF(AND(368&gt;=$C$8,368&lt;=$E$8),1,0)</f>
        <v/>
      </c>
      <c r="NI34" s="85">
        <f>IF(AND(369&gt;=$C$8,369&lt;=$E$8),1,0)</f>
        <v/>
      </c>
      <c r="NJ34" s="85">
        <f>IF(AND(370&gt;=$C$8,370&lt;=$E$8),1,0)</f>
        <v/>
      </c>
      <c r="NK34" s="85">
        <f>IF(AND(371&gt;=$C$8,371&lt;=$E$8),1,0)</f>
        <v/>
      </c>
      <c r="NL34" s="85">
        <f>IF(AND(372&gt;=$C$8,372&lt;=$E$8),1,0)</f>
        <v/>
      </c>
    </row>
    <row r="35">
      <c r="B35" s="36" t="inlineStr">
        <is>
          <t>Flag: Construction</t>
        </is>
      </c>
      <c r="D35" s="124" t="n"/>
      <c r="E35" s="85">
        <f>IF(AND(1&gt;=$C$9,1&lt;=$E$9),1,0)</f>
        <v/>
      </c>
      <c r="F35" s="85">
        <f>IF(AND(2&gt;=$C$9,2&lt;=$E$9),1,0)</f>
        <v/>
      </c>
      <c r="G35" s="85">
        <f>IF(AND(3&gt;=$C$9,3&lt;=$E$9),1,0)</f>
        <v/>
      </c>
      <c r="H35" s="85">
        <f>IF(AND(4&gt;=$C$9,4&lt;=$E$9),1,0)</f>
        <v/>
      </c>
      <c r="I35" s="85">
        <f>IF(AND(5&gt;=$C$9,5&lt;=$E$9),1,0)</f>
        <v/>
      </c>
      <c r="J35" s="85">
        <f>IF(AND(6&gt;=$C$9,6&lt;=$E$9),1,0)</f>
        <v/>
      </c>
      <c r="K35" s="85">
        <f>IF(AND(7&gt;=$C$9,7&lt;=$E$9),1,0)</f>
        <v/>
      </c>
      <c r="L35" s="85">
        <f>IF(AND(8&gt;=$C$9,8&lt;=$E$9),1,0)</f>
        <v/>
      </c>
      <c r="M35" s="85">
        <f>IF(AND(9&gt;=$C$9,9&lt;=$E$9),1,0)</f>
        <v/>
      </c>
      <c r="N35" s="85">
        <f>IF(AND(10&gt;=$C$9,10&lt;=$E$9),1,0)</f>
        <v/>
      </c>
      <c r="O35" s="85">
        <f>IF(AND(11&gt;=$C$9,11&lt;=$E$9),1,0)</f>
        <v/>
      </c>
      <c r="P35" s="85">
        <f>IF(AND(12&gt;=$C$9,12&lt;=$E$9),1,0)</f>
        <v/>
      </c>
      <c r="Q35" s="85">
        <f>IF(AND(13&gt;=$C$9,13&lt;=$E$9),1,0)</f>
        <v/>
      </c>
      <c r="R35" s="85">
        <f>IF(AND(14&gt;=$C$9,14&lt;=$E$9),1,0)</f>
        <v/>
      </c>
      <c r="S35" s="85">
        <f>IF(AND(15&gt;=$C$9,15&lt;=$E$9),1,0)</f>
        <v/>
      </c>
      <c r="T35" s="85">
        <f>IF(AND(16&gt;=$C$9,16&lt;=$E$9),1,0)</f>
        <v/>
      </c>
      <c r="U35" s="85">
        <f>IF(AND(17&gt;=$C$9,17&lt;=$E$9),1,0)</f>
        <v/>
      </c>
      <c r="V35" s="85">
        <f>IF(AND(18&gt;=$C$9,18&lt;=$E$9),1,0)</f>
        <v/>
      </c>
      <c r="W35" s="85">
        <f>IF(AND(19&gt;=$C$9,19&lt;=$E$9),1,0)</f>
        <v/>
      </c>
      <c r="X35" s="85">
        <f>IF(AND(20&gt;=$C$9,20&lt;=$E$9),1,0)</f>
        <v/>
      </c>
      <c r="Y35" s="85">
        <f>IF(AND(21&gt;=$C$9,21&lt;=$E$9),1,0)</f>
        <v/>
      </c>
      <c r="Z35" s="85">
        <f>IF(AND(22&gt;=$C$9,22&lt;=$E$9),1,0)</f>
        <v/>
      </c>
      <c r="AA35" s="85">
        <f>IF(AND(23&gt;=$C$9,23&lt;=$E$9),1,0)</f>
        <v/>
      </c>
      <c r="AB35" s="85">
        <f>IF(AND(24&gt;=$C$9,24&lt;=$E$9),1,0)</f>
        <v/>
      </c>
      <c r="AC35" s="85">
        <f>IF(AND(25&gt;=$C$9,25&lt;=$E$9),1,0)</f>
        <v/>
      </c>
      <c r="AD35" s="85">
        <f>IF(AND(26&gt;=$C$9,26&lt;=$E$9),1,0)</f>
        <v/>
      </c>
      <c r="AE35" s="85">
        <f>IF(AND(27&gt;=$C$9,27&lt;=$E$9),1,0)</f>
        <v/>
      </c>
      <c r="AF35" s="85">
        <f>IF(AND(28&gt;=$C$9,28&lt;=$E$9),1,0)</f>
        <v/>
      </c>
      <c r="AG35" s="85">
        <f>IF(AND(29&gt;=$C$9,29&lt;=$E$9),1,0)</f>
        <v/>
      </c>
      <c r="AH35" s="85">
        <f>IF(AND(30&gt;=$C$9,30&lt;=$E$9),1,0)</f>
        <v/>
      </c>
      <c r="AI35" s="85">
        <f>IF(AND(31&gt;=$C$9,31&lt;=$E$9),1,0)</f>
        <v/>
      </c>
      <c r="AJ35" s="85">
        <f>IF(AND(32&gt;=$C$9,32&lt;=$E$9),1,0)</f>
        <v/>
      </c>
      <c r="AK35" s="85">
        <f>IF(AND(33&gt;=$C$9,33&lt;=$E$9),1,0)</f>
        <v/>
      </c>
      <c r="AL35" s="85">
        <f>IF(AND(34&gt;=$C$9,34&lt;=$E$9),1,0)</f>
        <v/>
      </c>
      <c r="AM35" s="85">
        <f>IF(AND(35&gt;=$C$9,35&lt;=$E$9),1,0)</f>
        <v/>
      </c>
      <c r="AN35" s="85">
        <f>IF(AND(36&gt;=$C$9,36&lt;=$E$9),1,0)</f>
        <v/>
      </c>
      <c r="AO35" s="85">
        <f>IF(AND(37&gt;=$C$9,37&lt;=$E$9),1,0)</f>
        <v/>
      </c>
      <c r="AP35" s="85">
        <f>IF(AND(38&gt;=$C$9,38&lt;=$E$9),1,0)</f>
        <v/>
      </c>
      <c r="AQ35" s="85">
        <f>IF(AND(39&gt;=$C$9,39&lt;=$E$9),1,0)</f>
        <v/>
      </c>
      <c r="AR35" s="85">
        <f>IF(AND(40&gt;=$C$9,40&lt;=$E$9),1,0)</f>
        <v/>
      </c>
      <c r="AS35" s="85">
        <f>IF(AND(41&gt;=$C$9,41&lt;=$E$9),1,0)</f>
        <v/>
      </c>
      <c r="AT35" s="85">
        <f>IF(AND(42&gt;=$C$9,42&lt;=$E$9),1,0)</f>
        <v/>
      </c>
      <c r="AU35" s="85">
        <f>IF(AND(43&gt;=$C$9,43&lt;=$E$9),1,0)</f>
        <v/>
      </c>
      <c r="AV35" s="85">
        <f>IF(AND(44&gt;=$C$9,44&lt;=$E$9),1,0)</f>
        <v/>
      </c>
      <c r="AW35" s="85">
        <f>IF(AND(45&gt;=$C$9,45&lt;=$E$9),1,0)</f>
        <v/>
      </c>
      <c r="AX35" s="85">
        <f>IF(AND(46&gt;=$C$9,46&lt;=$E$9),1,0)</f>
        <v/>
      </c>
      <c r="AY35" s="85">
        <f>IF(AND(47&gt;=$C$9,47&lt;=$E$9),1,0)</f>
        <v/>
      </c>
      <c r="AZ35" s="85">
        <f>IF(AND(48&gt;=$C$9,48&lt;=$E$9),1,0)</f>
        <v/>
      </c>
      <c r="BA35" s="85">
        <f>IF(AND(49&gt;=$C$9,49&lt;=$E$9),1,0)</f>
        <v/>
      </c>
      <c r="BB35" s="85">
        <f>IF(AND(50&gt;=$C$9,50&lt;=$E$9),1,0)</f>
        <v/>
      </c>
      <c r="BC35" s="85">
        <f>IF(AND(51&gt;=$C$9,51&lt;=$E$9),1,0)</f>
        <v/>
      </c>
      <c r="BD35" s="85">
        <f>IF(AND(52&gt;=$C$9,52&lt;=$E$9),1,0)</f>
        <v/>
      </c>
      <c r="BE35" s="85">
        <f>IF(AND(53&gt;=$C$9,53&lt;=$E$9),1,0)</f>
        <v/>
      </c>
      <c r="BF35" s="85">
        <f>IF(AND(54&gt;=$C$9,54&lt;=$E$9),1,0)</f>
        <v/>
      </c>
      <c r="BG35" s="85">
        <f>IF(AND(55&gt;=$C$9,55&lt;=$E$9),1,0)</f>
        <v/>
      </c>
      <c r="BH35" s="85">
        <f>IF(AND(56&gt;=$C$9,56&lt;=$E$9),1,0)</f>
        <v/>
      </c>
      <c r="BI35" s="85">
        <f>IF(AND(57&gt;=$C$9,57&lt;=$E$9),1,0)</f>
        <v/>
      </c>
      <c r="BJ35" s="85">
        <f>IF(AND(58&gt;=$C$9,58&lt;=$E$9),1,0)</f>
        <v/>
      </c>
      <c r="BK35" s="85">
        <f>IF(AND(59&gt;=$C$9,59&lt;=$E$9),1,0)</f>
        <v/>
      </c>
      <c r="BL35" s="85">
        <f>IF(AND(60&gt;=$C$9,60&lt;=$E$9),1,0)</f>
        <v/>
      </c>
      <c r="BM35" s="85">
        <f>IF(AND(61&gt;=$C$9,61&lt;=$E$9),1,0)</f>
        <v/>
      </c>
      <c r="BN35" s="85">
        <f>IF(AND(62&gt;=$C$9,62&lt;=$E$9),1,0)</f>
        <v/>
      </c>
      <c r="BO35" s="85">
        <f>IF(AND(63&gt;=$C$9,63&lt;=$E$9),1,0)</f>
        <v/>
      </c>
      <c r="BP35" s="85">
        <f>IF(AND(64&gt;=$C$9,64&lt;=$E$9),1,0)</f>
        <v/>
      </c>
      <c r="BQ35" s="85">
        <f>IF(AND(65&gt;=$C$9,65&lt;=$E$9),1,0)</f>
        <v/>
      </c>
      <c r="BR35" s="85">
        <f>IF(AND(66&gt;=$C$9,66&lt;=$E$9),1,0)</f>
        <v/>
      </c>
      <c r="BS35" s="85">
        <f>IF(AND(67&gt;=$C$9,67&lt;=$E$9),1,0)</f>
        <v/>
      </c>
      <c r="BT35" s="85">
        <f>IF(AND(68&gt;=$C$9,68&lt;=$E$9),1,0)</f>
        <v/>
      </c>
      <c r="BU35" s="85">
        <f>IF(AND(69&gt;=$C$9,69&lt;=$E$9),1,0)</f>
        <v/>
      </c>
      <c r="BV35" s="85">
        <f>IF(AND(70&gt;=$C$9,70&lt;=$E$9),1,0)</f>
        <v/>
      </c>
      <c r="BW35" s="85">
        <f>IF(AND(71&gt;=$C$9,71&lt;=$E$9),1,0)</f>
        <v/>
      </c>
      <c r="BX35" s="85">
        <f>IF(AND(72&gt;=$C$9,72&lt;=$E$9),1,0)</f>
        <v/>
      </c>
      <c r="BY35" s="85">
        <f>IF(AND(73&gt;=$C$9,73&lt;=$E$9),1,0)</f>
        <v/>
      </c>
      <c r="BZ35" s="85">
        <f>IF(AND(74&gt;=$C$9,74&lt;=$E$9),1,0)</f>
        <v/>
      </c>
      <c r="CA35" s="85">
        <f>IF(AND(75&gt;=$C$9,75&lt;=$E$9),1,0)</f>
        <v/>
      </c>
      <c r="CB35" s="85">
        <f>IF(AND(76&gt;=$C$9,76&lt;=$E$9),1,0)</f>
        <v/>
      </c>
      <c r="CC35" s="85">
        <f>IF(AND(77&gt;=$C$9,77&lt;=$E$9),1,0)</f>
        <v/>
      </c>
      <c r="CD35" s="85">
        <f>IF(AND(78&gt;=$C$9,78&lt;=$E$9),1,0)</f>
        <v/>
      </c>
      <c r="CE35" s="85">
        <f>IF(AND(79&gt;=$C$9,79&lt;=$E$9),1,0)</f>
        <v/>
      </c>
      <c r="CF35" s="85">
        <f>IF(AND(80&gt;=$C$9,80&lt;=$E$9),1,0)</f>
        <v/>
      </c>
      <c r="CG35" s="85">
        <f>IF(AND(81&gt;=$C$9,81&lt;=$E$9),1,0)</f>
        <v/>
      </c>
      <c r="CH35" s="85">
        <f>IF(AND(82&gt;=$C$9,82&lt;=$E$9),1,0)</f>
        <v/>
      </c>
      <c r="CI35" s="85">
        <f>IF(AND(83&gt;=$C$9,83&lt;=$E$9),1,0)</f>
        <v/>
      </c>
      <c r="CJ35" s="85">
        <f>IF(AND(84&gt;=$C$9,84&lt;=$E$9),1,0)</f>
        <v/>
      </c>
      <c r="CK35" s="85">
        <f>IF(AND(85&gt;=$C$9,85&lt;=$E$9),1,0)</f>
        <v/>
      </c>
      <c r="CL35" s="85">
        <f>IF(AND(86&gt;=$C$9,86&lt;=$E$9),1,0)</f>
        <v/>
      </c>
      <c r="CM35" s="85">
        <f>IF(AND(87&gt;=$C$9,87&lt;=$E$9),1,0)</f>
        <v/>
      </c>
      <c r="CN35" s="85">
        <f>IF(AND(88&gt;=$C$9,88&lt;=$E$9),1,0)</f>
        <v/>
      </c>
      <c r="CO35" s="85">
        <f>IF(AND(89&gt;=$C$9,89&lt;=$E$9),1,0)</f>
        <v/>
      </c>
      <c r="CP35" s="85">
        <f>IF(AND(90&gt;=$C$9,90&lt;=$E$9),1,0)</f>
        <v/>
      </c>
      <c r="CQ35" s="85">
        <f>IF(AND(91&gt;=$C$9,91&lt;=$E$9),1,0)</f>
        <v/>
      </c>
      <c r="CR35" s="85">
        <f>IF(AND(92&gt;=$C$9,92&lt;=$E$9),1,0)</f>
        <v/>
      </c>
      <c r="CS35" s="85">
        <f>IF(AND(93&gt;=$C$9,93&lt;=$E$9),1,0)</f>
        <v/>
      </c>
      <c r="CT35" s="85">
        <f>IF(AND(94&gt;=$C$9,94&lt;=$E$9),1,0)</f>
        <v/>
      </c>
      <c r="CU35" s="85">
        <f>IF(AND(95&gt;=$C$9,95&lt;=$E$9),1,0)</f>
        <v/>
      </c>
      <c r="CV35" s="85">
        <f>IF(AND(96&gt;=$C$9,96&lt;=$E$9),1,0)</f>
        <v/>
      </c>
      <c r="CW35" s="85">
        <f>IF(AND(97&gt;=$C$9,97&lt;=$E$9),1,0)</f>
        <v/>
      </c>
      <c r="CX35" s="85">
        <f>IF(AND(98&gt;=$C$9,98&lt;=$E$9),1,0)</f>
        <v/>
      </c>
      <c r="CY35" s="85">
        <f>IF(AND(99&gt;=$C$9,99&lt;=$E$9),1,0)</f>
        <v/>
      </c>
      <c r="CZ35" s="85">
        <f>IF(AND(100&gt;=$C$9,100&lt;=$E$9),1,0)</f>
        <v/>
      </c>
      <c r="DA35" s="85">
        <f>IF(AND(101&gt;=$C$9,101&lt;=$E$9),1,0)</f>
        <v/>
      </c>
      <c r="DB35" s="85">
        <f>IF(AND(102&gt;=$C$9,102&lt;=$E$9),1,0)</f>
        <v/>
      </c>
      <c r="DC35" s="85">
        <f>IF(AND(103&gt;=$C$9,103&lt;=$E$9),1,0)</f>
        <v/>
      </c>
      <c r="DD35" s="85">
        <f>IF(AND(104&gt;=$C$9,104&lt;=$E$9),1,0)</f>
        <v/>
      </c>
      <c r="DE35" s="85">
        <f>IF(AND(105&gt;=$C$9,105&lt;=$E$9),1,0)</f>
        <v/>
      </c>
      <c r="DF35" s="85">
        <f>IF(AND(106&gt;=$C$9,106&lt;=$E$9),1,0)</f>
        <v/>
      </c>
      <c r="DG35" s="85">
        <f>IF(AND(107&gt;=$C$9,107&lt;=$E$9),1,0)</f>
        <v/>
      </c>
      <c r="DH35" s="85">
        <f>IF(AND(108&gt;=$C$9,108&lt;=$E$9),1,0)</f>
        <v/>
      </c>
      <c r="DI35" s="85">
        <f>IF(AND(109&gt;=$C$9,109&lt;=$E$9),1,0)</f>
        <v/>
      </c>
      <c r="DJ35" s="85">
        <f>IF(AND(110&gt;=$C$9,110&lt;=$E$9),1,0)</f>
        <v/>
      </c>
      <c r="DK35" s="85">
        <f>IF(AND(111&gt;=$C$9,111&lt;=$E$9),1,0)</f>
        <v/>
      </c>
      <c r="DL35" s="85">
        <f>IF(AND(112&gt;=$C$9,112&lt;=$E$9),1,0)</f>
        <v/>
      </c>
      <c r="DM35" s="85">
        <f>IF(AND(113&gt;=$C$9,113&lt;=$E$9),1,0)</f>
        <v/>
      </c>
      <c r="DN35" s="85">
        <f>IF(AND(114&gt;=$C$9,114&lt;=$E$9),1,0)</f>
        <v/>
      </c>
      <c r="DO35" s="85">
        <f>IF(AND(115&gt;=$C$9,115&lt;=$E$9),1,0)</f>
        <v/>
      </c>
      <c r="DP35" s="85">
        <f>IF(AND(116&gt;=$C$9,116&lt;=$E$9),1,0)</f>
        <v/>
      </c>
      <c r="DQ35" s="85">
        <f>IF(AND(117&gt;=$C$9,117&lt;=$E$9),1,0)</f>
        <v/>
      </c>
      <c r="DR35" s="85">
        <f>IF(AND(118&gt;=$C$9,118&lt;=$E$9),1,0)</f>
        <v/>
      </c>
      <c r="DS35" s="85">
        <f>IF(AND(119&gt;=$C$9,119&lt;=$E$9),1,0)</f>
        <v/>
      </c>
      <c r="DT35" s="85">
        <f>IF(AND(120&gt;=$C$9,120&lt;=$E$9),1,0)</f>
        <v/>
      </c>
      <c r="DU35" s="85">
        <f>IF(AND(121&gt;=$C$9,121&lt;=$E$9),1,0)</f>
        <v/>
      </c>
      <c r="DV35" s="85">
        <f>IF(AND(122&gt;=$C$9,122&lt;=$E$9),1,0)</f>
        <v/>
      </c>
      <c r="DW35" s="85">
        <f>IF(AND(123&gt;=$C$9,123&lt;=$E$9),1,0)</f>
        <v/>
      </c>
      <c r="DX35" s="85">
        <f>IF(AND(124&gt;=$C$9,124&lt;=$E$9),1,0)</f>
        <v/>
      </c>
      <c r="DY35" s="85">
        <f>IF(AND(125&gt;=$C$9,125&lt;=$E$9),1,0)</f>
        <v/>
      </c>
      <c r="DZ35" s="85">
        <f>IF(AND(126&gt;=$C$9,126&lt;=$E$9),1,0)</f>
        <v/>
      </c>
      <c r="EA35" s="85">
        <f>IF(AND(127&gt;=$C$9,127&lt;=$E$9),1,0)</f>
        <v/>
      </c>
      <c r="EB35" s="85">
        <f>IF(AND(128&gt;=$C$9,128&lt;=$E$9),1,0)</f>
        <v/>
      </c>
      <c r="EC35" s="85">
        <f>IF(AND(129&gt;=$C$9,129&lt;=$E$9),1,0)</f>
        <v/>
      </c>
      <c r="ED35" s="85">
        <f>IF(AND(130&gt;=$C$9,130&lt;=$E$9),1,0)</f>
        <v/>
      </c>
      <c r="EE35" s="85">
        <f>IF(AND(131&gt;=$C$9,131&lt;=$E$9),1,0)</f>
        <v/>
      </c>
      <c r="EF35" s="85">
        <f>IF(AND(132&gt;=$C$9,132&lt;=$E$9),1,0)</f>
        <v/>
      </c>
      <c r="EG35" s="85">
        <f>IF(AND(133&gt;=$C$9,133&lt;=$E$9),1,0)</f>
        <v/>
      </c>
      <c r="EH35" s="85">
        <f>IF(AND(134&gt;=$C$9,134&lt;=$E$9),1,0)</f>
        <v/>
      </c>
      <c r="EI35" s="85">
        <f>IF(AND(135&gt;=$C$9,135&lt;=$E$9),1,0)</f>
        <v/>
      </c>
      <c r="EJ35" s="85">
        <f>IF(AND(136&gt;=$C$9,136&lt;=$E$9),1,0)</f>
        <v/>
      </c>
      <c r="EK35" s="85">
        <f>IF(AND(137&gt;=$C$9,137&lt;=$E$9),1,0)</f>
        <v/>
      </c>
      <c r="EL35" s="85">
        <f>IF(AND(138&gt;=$C$9,138&lt;=$E$9),1,0)</f>
        <v/>
      </c>
      <c r="EM35" s="85">
        <f>IF(AND(139&gt;=$C$9,139&lt;=$E$9),1,0)</f>
        <v/>
      </c>
      <c r="EN35" s="85">
        <f>IF(AND(140&gt;=$C$9,140&lt;=$E$9),1,0)</f>
        <v/>
      </c>
      <c r="EO35" s="85">
        <f>IF(AND(141&gt;=$C$9,141&lt;=$E$9),1,0)</f>
        <v/>
      </c>
      <c r="EP35" s="85">
        <f>IF(AND(142&gt;=$C$9,142&lt;=$E$9),1,0)</f>
        <v/>
      </c>
      <c r="EQ35" s="85">
        <f>IF(AND(143&gt;=$C$9,143&lt;=$E$9),1,0)</f>
        <v/>
      </c>
      <c r="ER35" s="85">
        <f>IF(AND(144&gt;=$C$9,144&lt;=$E$9),1,0)</f>
        <v/>
      </c>
      <c r="ES35" s="85">
        <f>IF(AND(145&gt;=$C$9,145&lt;=$E$9),1,0)</f>
        <v/>
      </c>
      <c r="ET35" s="85">
        <f>IF(AND(146&gt;=$C$9,146&lt;=$E$9),1,0)</f>
        <v/>
      </c>
      <c r="EU35" s="85">
        <f>IF(AND(147&gt;=$C$9,147&lt;=$E$9),1,0)</f>
        <v/>
      </c>
      <c r="EV35" s="85">
        <f>IF(AND(148&gt;=$C$9,148&lt;=$E$9),1,0)</f>
        <v/>
      </c>
      <c r="EW35" s="85">
        <f>IF(AND(149&gt;=$C$9,149&lt;=$E$9),1,0)</f>
        <v/>
      </c>
      <c r="EX35" s="85">
        <f>IF(AND(150&gt;=$C$9,150&lt;=$E$9),1,0)</f>
        <v/>
      </c>
      <c r="EY35" s="85">
        <f>IF(AND(151&gt;=$C$9,151&lt;=$E$9),1,0)</f>
        <v/>
      </c>
      <c r="EZ35" s="85">
        <f>IF(AND(152&gt;=$C$9,152&lt;=$E$9),1,0)</f>
        <v/>
      </c>
      <c r="FA35" s="85">
        <f>IF(AND(153&gt;=$C$9,153&lt;=$E$9),1,0)</f>
        <v/>
      </c>
      <c r="FB35" s="85">
        <f>IF(AND(154&gt;=$C$9,154&lt;=$E$9),1,0)</f>
        <v/>
      </c>
      <c r="FC35" s="85">
        <f>IF(AND(155&gt;=$C$9,155&lt;=$E$9),1,0)</f>
        <v/>
      </c>
      <c r="FD35" s="85">
        <f>IF(AND(156&gt;=$C$9,156&lt;=$E$9),1,0)</f>
        <v/>
      </c>
      <c r="FE35" s="85">
        <f>IF(AND(157&gt;=$C$9,157&lt;=$E$9),1,0)</f>
        <v/>
      </c>
      <c r="FF35" s="85">
        <f>IF(AND(158&gt;=$C$9,158&lt;=$E$9),1,0)</f>
        <v/>
      </c>
      <c r="FG35" s="85">
        <f>IF(AND(159&gt;=$C$9,159&lt;=$E$9),1,0)</f>
        <v/>
      </c>
      <c r="FH35" s="85">
        <f>IF(AND(160&gt;=$C$9,160&lt;=$E$9),1,0)</f>
        <v/>
      </c>
      <c r="FI35" s="85">
        <f>IF(AND(161&gt;=$C$9,161&lt;=$E$9),1,0)</f>
        <v/>
      </c>
      <c r="FJ35" s="85">
        <f>IF(AND(162&gt;=$C$9,162&lt;=$E$9),1,0)</f>
        <v/>
      </c>
      <c r="FK35" s="85">
        <f>IF(AND(163&gt;=$C$9,163&lt;=$E$9),1,0)</f>
        <v/>
      </c>
      <c r="FL35" s="85">
        <f>IF(AND(164&gt;=$C$9,164&lt;=$E$9),1,0)</f>
        <v/>
      </c>
      <c r="FM35" s="85">
        <f>IF(AND(165&gt;=$C$9,165&lt;=$E$9),1,0)</f>
        <v/>
      </c>
      <c r="FN35" s="85">
        <f>IF(AND(166&gt;=$C$9,166&lt;=$E$9),1,0)</f>
        <v/>
      </c>
      <c r="FO35" s="85">
        <f>IF(AND(167&gt;=$C$9,167&lt;=$E$9),1,0)</f>
        <v/>
      </c>
      <c r="FP35" s="85">
        <f>IF(AND(168&gt;=$C$9,168&lt;=$E$9),1,0)</f>
        <v/>
      </c>
      <c r="FQ35" s="85">
        <f>IF(AND(169&gt;=$C$9,169&lt;=$E$9),1,0)</f>
        <v/>
      </c>
      <c r="FR35" s="85">
        <f>IF(AND(170&gt;=$C$9,170&lt;=$E$9),1,0)</f>
        <v/>
      </c>
      <c r="FS35" s="85">
        <f>IF(AND(171&gt;=$C$9,171&lt;=$E$9),1,0)</f>
        <v/>
      </c>
      <c r="FT35" s="85">
        <f>IF(AND(172&gt;=$C$9,172&lt;=$E$9),1,0)</f>
        <v/>
      </c>
      <c r="FU35" s="85">
        <f>IF(AND(173&gt;=$C$9,173&lt;=$E$9),1,0)</f>
        <v/>
      </c>
      <c r="FV35" s="85">
        <f>IF(AND(174&gt;=$C$9,174&lt;=$E$9),1,0)</f>
        <v/>
      </c>
      <c r="FW35" s="85">
        <f>IF(AND(175&gt;=$C$9,175&lt;=$E$9),1,0)</f>
        <v/>
      </c>
      <c r="FX35" s="85">
        <f>IF(AND(176&gt;=$C$9,176&lt;=$E$9),1,0)</f>
        <v/>
      </c>
      <c r="FY35" s="85">
        <f>IF(AND(177&gt;=$C$9,177&lt;=$E$9),1,0)</f>
        <v/>
      </c>
      <c r="FZ35" s="85">
        <f>IF(AND(178&gt;=$C$9,178&lt;=$E$9),1,0)</f>
        <v/>
      </c>
      <c r="GA35" s="85">
        <f>IF(AND(179&gt;=$C$9,179&lt;=$E$9),1,0)</f>
        <v/>
      </c>
      <c r="GB35" s="85">
        <f>IF(AND(180&gt;=$C$9,180&lt;=$E$9),1,0)</f>
        <v/>
      </c>
      <c r="GC35" s="85">
        <f>IF(AND(181&gt;=$C$9,181&lt;=$E$9),1,0)</f>
        <v/>
      </c>
      <c r="GD35" s="85">
        <f>IF(AND(182&gt;=$C$9,182&lt;=$E$9),1,0)</f>
        <v/>
      </c>
      <c r="GE35" s="85">
        <f>IF(AND(183&gt;=$C$9,183&lt;=$E$9),1,0)</f>
        <v/>
      </c>
      <c r="GF35" s="85">
        <f>IF(AND(184&gt;=$C$9,184&lt;=$E$9),1,0)</f>
        <v/>
      </c>
      <c r="GG35" s="85">
        <f>IF(AND(185&gt;=$C$9,185&lt;=$E$9),1,0)</f>
        <v/>
      </c>
      <c r="GH35" s="85">
        <f>IF(AND(186&gt;=$C$9,186&lt;=$E$9),1,0)</f>
        <v/>
      </c>
      <c r="GI35" s="85">
        <f>IF(AND(187&gt;=$C$9,187&lt;=$E$9),1,0)</f>
        <v/>
      </c>
      <c r="GJ35" s="85">
        <f>IF(AND(188&gt;=$C$9,188&lt;=$E$9),1,0)</f>
        <v/>
      </c>
      <c r="GK35" s="85">
        <f>IF(AND(189&gt;=$C$9,189&lt;=$E$9),1,0)</f>
        <v/>
      </c>
      <c r="GL35" s="85">
        <f>IF(AND(190&gt;=$C$9,190&lt;=$E$9),1,0)</f>
        <v/>
      </c>
      <c r="GM35" s="85">
        <f>IF(AND(191&gt;=$C$9,191&lt;=$E$9),1,0)</f>
        <v/>
      </c>
      <c r="GN35" s="85">
        <f>IF(AND(192&gt;=$C$9,192&lt;=$E$9),1,0)</f>
        <v/>
      </c>
      <c r="GO35" s="85">
        <f>IF(AND(193&gt;=$C$9,193&lt;=$E$9),1,0)</f>
        <v/>
      </c>
      <c r="GP35" s="85">
        <f>IF(AND(194&gt;=$C$9,194&lt;=$E$9),1,0)</f>
        <v/>
      </c>
      <c r="GQ35" s="85">
        <f>IF(AND(195&gt;=$C$9,195&lt;=$E$9),1,0)</f>
        <v/>
      </c>
      <c r="GR35" s="85">
        <f>IF(AND(196&gt;=$C$9,196&lt;=$E$9),1,0)</f>
        <v/>
      </c>
      <c r="GS35" s="85">
        <f>IF(AND(197&gt;=$C$9,197&lt;=$E$9),1,0)</f>
        <v/>
      </c>
      <c r="GT35" s="85">
        <f>IF(AND(198&gt;=$C$9,198&lt;=$E$9),1,0)</f>
        <v/>
      </c>
      <c r="GU35" s="85">
        <f>IF(AND(199&gt;=$C$9,199&lt;=$E$9),1,0)</f>
        <v/>
      </c>
      <c r="GV35" s="85">
        <f>IF(AND(200&gt;=$C$9,200&lt;=$E$9),1,0)</f>
        <v/>
      </c>
      <c r="GW35" s="85">
        <f>IF(AND(201&gt;=$C$9,201&lt;=$E$9),1,0)</f>
        <v/>
      </c>
      <c r="GX35" s="85">
        <f>IF(AND(202&gt;=$C$9,202&lt;=$E$9),1,0)</f>
        <v/>
      </c>
      <c r="GY35" s="85">
        <f>IF(AND(203&gt;=$C$9,203&lt;=$E$9),1,0)</f>
        <v/>
      </c>
      <c r="GZ35" s="85">
        <f>IF(AND(204&gt;=$C$9,204&lt;=$E$9),1,0)</f>
        <v/>
      </c>
      <c r="HA35" s="85">
        <f>IF(AND(205&gt;=$C$9,205&lt;=$E$9),1,0)</f>
        <v/>
      </c>
      <c r="HB35" s="85">
        <f>IF(AND(206&gt;=$C$9,206&lt;=$E$9),1,0)</f>
        <v/>
      </c>
      <c r="HC35" s="85">
        <f>IF(AND(207&gt;=$C$9,207&lt;=$E$9),1,0)</f>
        <v/>
      </c>
      <c r="HD35" s="85">
        <f>IF(AND(208&gt;=$C$9,208&lt;=$E$9),1,0)</f>
        <v/>
      </c>
      <c r="HE35" s="85">
        <f>IF(AND(209&gt;=$C$9,209&lt;=$E$9),1,0)</f>
        <v/>
      </c>
      <c r="HF35" s="85">
        <f>IF(AND(210&gt;=$C$9,210&lt;=$E$9),1,0)</f>
        <v/>
      </c>
      <c r="HG35" s="85">
        <f>IF(AND(211&gt;=$C$9,211&lt;=$E$9),1,0)</f>
        <v/>
      </c>
      <c r="HH35" s="85">
        <f>IF(AND(212&gt;=$C$9,212&lt;=$E$9),1,0)</f>
        <v/>
      </c>
      <c r="HI35" s="85">
        <f>IF(AND(213&gt;=$C$9,213&lt;=$E$9),1,0)</f>
        <v/>
      </c>
      <c r="HJ35" s="85">
        <f>IF(AND(214&gt;=$C$9,214&lt;=$E$9),1,0)</f>
        <v/>
      </c>
      <c r="HK35" s="85">
        <f>IF(AND(215&gt;=$C$9,215&lt;=$E$9),1,0)</f>
        <v/>
      </c>
      <c r="HL35" s="85">
        <f>IF(AND(216&gt;=$C$9,216&lt;=$E$9),1,0)</f>
        <v/>
      </c>
      <c r="HM35" s="85">
        <f>IF(AND(217&gt;=$C$9,217&lt;=$E$9),1,0)</f>
        <v/>
      </c>
      <c r="HN35" s="85">
        <f>IF(AND(218&gt;=$C$9,218&lt;=$E$9),1,0)</f>
        <v/>
      </c>
      <c r="HO35" s="85">
        <f>IF(AND(219&gt;=$C$9,219&lt;=$E$9),1,0)</f>
        <v/>
      </c>
      <c r="HP35" s="85">
        <f>IF(AND(220&gt;=$C$9,220&lt;=$E$9),1,0)</f>
        <v/>
      </c>
      <c r="HQ35" s="85">
        <f>IF(AND(221&gt;=$C$9,221&lt;=$E$9),1,0)</f>
        <v/>
      </c>
      <c r="HR35" s="85">
        <f>IF(AND(222&gt;=$C$9,222&lt;=$E$9),1,0)</f>
        <v/>
      </c>
      <c r="HS35" s="85">
        <f>IF(AND(223&gt;=$C$9,223&lt;=$E$9),1,0)</f>
        <v/>
      </c>
      <c r="HT35" s="85">
        <f>IF(AND(224&gt;=$C$9,224&lt;=$E$9),1,0)</f>
        <v/>
      </c>
      <c r="HU35" s="85">
        <f>IF(AND(225&gt;=$C$9,225&lt;=$E$9),1,0)</f>
        <v/>
      </c>
      <c r="HV35" s="85">
        <f>IF(AND(226&gt;=$C$9,226&lt;=$E$9),1,0)</f>
        <v/>
      </c>
      <c r="HW35" s="85">
        <f>IF(AND(227&gt;=$C$9,227&lt;=$E$9),1,0)</f>
        <v/>
      </c>
      <c r="HX35" s="85">
        <f>IF(AND(228&gt;=$C$9,228&lt;=$E$9),1,0)</f>
        <v/>
      </c>
      <c r="HY35" s="85">
        <f>IF(AND(229&gt;=$C$9,229&lt;=$E$9),1,0)</f>
        <v/>
      </c>
      <c r="HZ35" s="85">
        <f>IF(AND(230&gt;=$C$9,230&lt;=$E$9),1,0)</f>
        <v/>
      </c>
      <c r="IA35" s="85">
        <f>IF(AND(231&gt;=$C$9,231&lt;=$E$9),1,0)</f>
        <v/>
      </c>
      <c r="IB35" s="85">
        <f>IF(AND(232&gt;=$C$9,232&lt;=$E$9),1,0)</f>
        <v/>
      </c>
      <c r="IC35" s="85">
        <f>IF(AND(233&gt;=$C$9,233&lt;=$E$9),1,0)</f>
        <v/>
      </c>
      <c r="ID35" s="85">
        <f>IF(AND(234&gt;=$C$9,234&lt;=$E$9),1,0)</f>
        <v/>
      </c>
      <c r="IE35" s="85">
        <f>IF(AND(235&gt;=$C$9,235&lt;=$E$9),1,0)</f>
        <v/>
      </c>
      <c r="IF35" s="85">
        <f>IF(AND(236&gt;=$C$9,236&lt;=$E$9),1,0)</f>
        <v/>
      </c>
      <c r="IG35" s="85">
        <f>IF(AND(237&gt;=$C$9,237&lt;=$E$9),1,0)</f>
        <v/>
      </c>
      <c r="IH35" s="85">
        <f>IF(AND(238&gt;=$C$9,238&lt;=$E$9),1,0)</f>
        <v/>
      </c>
      <c r="II35" s="85">
        <f>IF(AND(239&gt;=$C$9,239&lt;=$E$9),1,0)</f>
        <v/>
      </c>
      <c r="IJ35" s="85">
        <f>IF(AND(240&gt;=$C$9,240&lt;=$E$9),1,0)</f>
        <v/>
      </c>
      <c r="IK35" s="85">
        <f>IF(AND(241&gt;=$C$9,241&lt;=$E$9),1,0)</f>
        <v/>
      </c>
      <c r="IL35" s="85">
        <f>IF(AND(242&gt;=$C$9,242&lt;=$E$9),1,0)</f>
        <v/>
      </c>
      <c r="IM35" s="85">
        <f>IF(AND(243&gt;=$C$9,243&lt;=$E$9),1,0)</f>
        <v/>
      </c>
      <c r="IN35" s="85">
        <f>IF(AND(244&gt;=$C$9,244&lt;=$E$9),1,0)</f>
        <v/>
      </c>
      <c r="IO35" s="85">
        <f>IF(AND(245&gt;=$C$9,245&lt;=$E$9),1,0)</f>
        <v/>
      </c>
      <c r="IP35" s="85">
        <f>IF(AND(246&gt;=$C$9,246&lt;=$E$9),1,0)</f>
        <v/>
      </c>
      <c r="IQ35" s="85">
        <f>IF(AND(247&gt;=$C$9,247&lt;=$E$9),1,0)</f>
        <v/>
      </c>
      <c r="IR35" s="85">
        <f>IF(AND(248&gt;=$C$9,248&lt;=$E$9),1,0)</f>
        <v/>
      </c>
      <c r="IS35" s="85">
        <f>IF(AND(249&gt;=$C$9,249&lt;=$E$9),1,0)</f>
        <v/>
      </c>
      <c r="IT35" s="85">
        <f>IF(AND(250&gt;=$C$9,250&lt;=$E$9),1,0)</f>
        <v/>
      </c>
      <c r="IU35" s="85">
        <f>IF(AND(251&gt;=$C$9,251&lt;=$E$9),1,0)</f>
        <v/>
      </c>
      <c r="IV35" s="85">
        <f>IF(AND(252&gt;=$C$9,252&lt;=$E$9),1,0)</f>
        <v/>
      </c>
      <c r="IW35" s="85">
        <f>IF(AND(253&gt;=$C$9,253&lt;=$E$9),1,0)</f>
        <v/>
      </c>
      <c r="IX35" s="85">
        <f>IF(AND(254&gt;=$C$9,254&lt;=$E$9),1,0)</f>
        <v/>
      </c>
      <c r="IY35" s="85">
        <f>IF(AND(255&gt;=$C$9,255&lt;=$E$9),1,0)</f>
        <v/>
      </c>
      <c r="IZ35" s="85">
        <f>IF(AND(256&gt;=$C$9,256&lt;=$E$9),1,0)</f>
        <v/>
      </c>
      <c r="JA35" s="85">
        <f>IF(AND(257&gt;=$C$9,257&lt;=$E$9),1,0)</f>
        <v/>
      </c>
      <c r="JB35" s="85">
        <f>IF(AND(258&gt;=$C$9,258&lt;=$E$9),1,0)</f>
        <v/>
      </c>
      <c r="JC35" s="85">
        <f>IF(AND(259&gt;=$C$9,259&lt;=$E$9),1,0)</f>
        <v/>
      </c>
      <c r="JD35" s="85">
        <f>IF(AND(260&gt;=$C$9,260&lt;=$E$9),1,0)</f>
        <v/>
      </c>
      <c r="JE35" s="85">
        <f>IF(AND(261&gt;=$C$9,261&lt;=$E$9),1,0)</f>
        <v/>
      </c>
      <c r="JF35" s="85">
        <f>IF(AND(262&gt;=$C$9,262&lt;=$E$9),1,0)</f>
        <v/>
      </c>
      <c r="JG35" s="85">
        <f>IF(AND(263&gt;=$C$9,263&lt;=$E$9),1,0)</f>
        <v/>
      </c>
      <c r="JH35" s="85">
        <f>IF(AND(264&gt;=$C$9,264&lt;=$E$9),1,0)</f>
        <v/>
      </c>
      <c r="JI35" s="85">
        <f>IF(AND(265&gt;=$C$9,265&lt;=$E$9),1,0)</f>
        <v/>
      </c>
      <c r="JJ35" s="85">
        <f>IF(AND(266&gt;=$C$9,266&lt;=$E$9),1,0)</f>
        <v/>
      </c>
      <c r="JK35" s="85">
        <f>IF(AND(267&gt;=$C$9,267&lt;=$E$9),1,0)</f>
        <v/>
      </c>
      <c r="JL35" s="85">
        <f>IF(AND(268&gt;=$C$9,268&lt;=$E$9),1,0)</f>
        <v/>
      </c>
      <c r="JM35" s="85">
        <f>IF(AND(269&gt;=$C$9,269&lt;=$E$9),1,0)</f>
        <v/>
      </c>
      <c r="JN35" s="85">
        <f>IF(AND(270&gt;=$C$9,270&lt;=$E$9),1,0)</f>
        <v/>
      </c>
      <c r="JO35" s="85">
        <f>IF(AND(271&gt;=$C$9,271&lt;=$E$9),1,0)</f>
        <v/>
      </c>
      <c r="JP35" s="85">
        <f>IF(AND(272&gt;=$C$9,272&lt;=$E$9),1,0)</f>
        <v/>
      </c>
      <c r="JQ35" s="85">
        <f>IF(AND(273&gt;=$C$9,273&lt;=$E$9),1,0)</f>
        <v/>
      </c>
      <c r="JR35" s="85">
        <f>IF(AND(274&gt;=$C$9,274&lt;=$E$9),1,0)</f>
        <v/>
      </c>
      <c r="JS35" s="85">
        <f>IF(AND(275&gt;=$C$9,275&lt;=$E$9),1,0)</f>
        <v/>
      </c>
      <c r="JT35" s="85">
        <f>IF(AND(276&gt;=$C$9,276&lt;=$E$9),1,0)</f>
        <v/>
      </c>
      <c r="JU35" s="85">
        <f>IF(AND(277&gt;=$C$9,277&lt;=$E$9),1,0)</f>
        <v/>
      </c>
      <c r="JV35" s="85">
        <f>IF(AND(278&gt;=$C$9,278&lt;=$E$9),1,0)</f>
        <v/>
      </c>
      <c r="JW35" s="85">
        <f>IF(AND(279&gt;=$C$9,279&lt;=$E$9),1,0)</f>
        <v/>
      </c>
      <c r="JX35" s="85">
        <f>IF(AND(280&gt;=$C$9,280&lt;=$E$9),1,0)</f>
        <v/>
      </c>
      <c r="JY35" s="85">
        <f>IF(AND(281&gt;=$C$9,281&lt;=$E$9),1,0)</f>
        <v/>
      </c>
      <c r="JZ35" s="85">
        <f>IF(AND(282&gt;=$C$9,282&lt;=$E$9),1,0)</f>
        <v/>
      </c>
      <c r="KA35" s="85">
        <f>IF(AND(283&gt;=$C$9,283&lt;=$E$9),1,0)</f>
        <v/>
      </c>
      <c r="KB35" s="85">
        <f>IF(AND(284&gt;=$C$9,284&lt;=$E$9),1,0)</f>
        <v/>
      </c>
      <c r="KC35" s="85">
        <f>IF(AND(285&gt;=$C$9,285&lt;=$E$9),1,0)</f>
        <v/>
      </c>
      <c r="KD35" s="85">
        <f>IF(AND(286&gt;=$C$9,286&lt;=$E$9),1,0)</f>
        <v/>
      </c>
      <c r="KE35" s="85">
        <f>IF(AND(287&gt;=$C$9,287&lt;=$E$9),1,0)</f>
        <v/>
      </c>
      <c r="KF35" s="85">
        <f>IF(AND(288&gt;=$C$9,288&lt;=$E$9),1,0)</f>
        <v/>
      </c>
      <c r="KG35" s="85">
        <f>IF(AND(289&gt;=$C$9,289&lt;=$E$9),1,0)</f>
        <v/>
      </c>
      <c r="KH35" s="85">
        <f>IF(AND(290&gt;=$C$9,290&lt;=$E$9),1,0)</f>
        <v/>
      </c>
      <c r="KI35" s="85">
        <f>IF(AND(291&gt;=$C$9,291&lt;=$E$9),1,0)</f>
        <v/>
      </c>
      <c r="KJ35" s="85">
        <f>IF(AND(292&gt;=$C$9,292&lt;=$E$9),1,0)</f>
        <v/>
      </c>
      <c r="KK35" s="85">
        <f>IF(AND(293&gt;=$C$9,293&lt;=$E$9),1,0)</f>
        <v/>
      </c>
      <c r="KL35" s="85">
        <f>IF(AND(294&gt;=$C$9,294&lt;=$E$9),1,0)</f>
        <v/>
      </c>
      <c r="KM35" s="85">
        <f>IF(AND(295&gt;=$C$9,295&lt;=$E$9),1,0)</f>
        <v/>
      </c>
      <c r="KN35" s="85">
        <f>IF(AND(296&gt;=$C$9,296&lt;=$E$9),1,0)</f>
        <v/>
      </c>
      <c r="KO35" s="85">
        <f>IF(AND(297&gt;=$C$9,297&lt;=$E$9),1,0)</f>
        <v/>
      </c>
      <c r="KP35" s="85">
        <f>IF(AND(298&gt;=$C$9,298&lt;=$E$9),1,0)</f>
        <v/>
      </c>
      <c r="KQ35" s="85">
        <f>IF(AND(299&gt;=$C$9,299&lt;=$E$9),1,0)</f>
        <v/>
      </c>
      <c r="KR35" s="85">
        <f>IF(AND(300&gt;=$C$9,300&lt;=$E$9),1,0)</f>
        <v/>
      </c>
      <c r="KS35" s="85">
        <f>IF(AND(301&gt;=$C$9,301&lt;=$E$9),1,0)</f>
        <v/>
      </c>
      <c r="KT35" s="85">
        <f>IF(AND(302&gt;=$C$9,302&lt;=$E$9),1,0)</f>
        <v/>
      </c>
      <c r="KU35" s="85">
        <f>IF(AND(303&gt;=$C$9,303&lt;=$E$9),1,0)</f>
        <v/>
      </c>
      <c r="KV35" s="85">
        <f>IF(AND(304&gt;=$C$9,304&lt;=$E$9),1,0)</f>
        <v/>
      </c>
      <c r="KW35" s="85">
        <f>IF(AND(305&gt;=$C$9,305&lt;=$E$9),1,0)</f>
        <v/>
      </c>
      <c r="KX35" s="85">
        <f>IF(AND(306&gt;=$C$9,306&lt;=$E$9),1,0)</f>
        <v/>
      </c>
      <c r="KY35" s="85">
        <f>IF(AND(307&gt;=$C$9,307&lt;=$E$9),1,0)</f>
        <v/>
      </c>
      <c r="KZ35" s="85">
        <f>IF(AND(308&gt;=$C$9,308&lt;=$E$9),1,0)</f>
        <v/>
      </c>
      <c r="LA35" s="85">
        <f>IF(AND(309&gt;=$C$9,309&lt;=$E$9),1,0)</f>
        <v/>
      </c>
      <c r="LB35" s="85">
        <f>IF(AND(310&gt;=$C$9,310&lt;=$E$9),1,0)</f>
        <v/>
      </c>
      <c r="LC35" s="85">
        <f>IF(AND(311&gt;=$C$9,311&lt;=$E$9),1,0)</f>
        <v/>
      </c>
      <c r="LD35" s="85">
        <f>IF(AND(312&gt;=$C$9,312&lt;=$E$9),1,0)</f>
        <v/>
      </c>
      <c r="LE35" s="85">
        <f>IF(AND(313&gt;=$C$9,313&lt;=$E$9),1,0)</f>
        <v/>
      </c>
      <c r="LF35" s="85">
        <f>IF(AND(314&gt;=$C$9,314&lt;=$E$9),1,0)</f>
        <v/>
      </c>
      <c r="LG35" s="85">
        <f>IF(AND(315&gt;=$C$9,315&lt;=$E$9),1,0)</f>
        <v/>
      </c>
      <c r="LH35" s="85">
        <f>IF(AND(316&gt;=$C$9,316&lt;=$E$9),1,0)</f>
        <v/>
      </c>
      <c r="LI35" s="85">
        <f>IF(AND(317&gt;=$C$9,317&lt;=$E$9),1,0)</f>
        <v/>
      </c>
      <c r="LJ35" s="85">
        <f>IF(AND(318&gt;=$C$9,318&lt;=$E$9),1,0)</f>
        <v/>
      </c>
      <c r="LK35" s="85">
        <f>IF(AND(319&gt;=$C$9,319&lt;=$E$9),1,0)</f>
        <v/>
      </c>
      <c r="LL35" s="85">
        <f>IF(AND(320&gt;=$C$9,320&lt;=$E$9),1,0)</f>
        <v/>
      </c>
      <c r="LM35" s="85">
        <f>IF(AND(321&gt;=$C$9,321&lt;=$E$9),1,0)</f>
        <v/>
      </c>
      <c r="LN35" s="85">
        <f>IF(AND(322&gt;=$C$9,322&lt;=$E$9),1,0)</f>
        <v/>
      </c>
      <c r="LO35" s="85">
        <f>IF(AND(323&gt;=$C$9,323&lt;=$E$9),1,0)</f>
        <v/>
      </c>
      <c r="LP35" s="85">
        <f>IF(AND(324&gt;=$C$9,324&lt;=$E$9),1,0)</f>
        <v/>
      </c>
      <c r="LQ35" s="85">
        <f>IF(AND(325&gt;=$C$9,325&lt;=$E$9),1,0)</f>
        <v/>
      </c>
      <c r="LR35" s="85">
        <f>IF(AND(326&gt;=$C$9,326&lt;=$E$9),1,0)</f>
        <v/>
      </c>
      <c r="LS35" s="85">
        <f>IF(AND(327&gt;=$C$9,327&lt;=$E$9),1,0)</f>
        <v/>
      </c>
      <c r="LT35" s="85">
        <f>IF(AND(328&gt;=$C$9,328&lt;=$E$9),1,0)</f>
        <v/>
      </c>
      <c r="LU35" s="85">
        <f>IF(AND(329&gt;=$C$9,329&lt;=$E$9),1,0)</f>
        <v/>
      </c>
      <c r="LV35" s="85">
        <f>IF(AND(330&gt;=$C$9,330&lt;=$E$9),1,0)</f>
        <v/>
      </c>
      <c r="LW35" s="85">
        <f>IF(AND(331&gt;=$C$9,331&lt;=$E$9),1,0)</f>
        <v/>
      </c>
      <c r="LX35" s="85">
        <f>IF(AND(332&gt;=$C$9,332&lt;=$E$9),1,0)</f>
        <v/>
      </c>
      <c r="LY35" s="85">
        <f>IF(AND(333&gt;=$C$9,333&lt;=$E$9),1,0)</f>
        <v/>
      </c>
      <c r="LZ35" s="85">
        <f>IF(AND(334&gt;=$C$9,334&lt;=$E$9),1,0)</f>
        <v/>
      </c>
      <c r="MA35" s="85">
        <f>IF(AND(335&gt;=$C$9,335&lt;=$E$9),1,0)</f>
        <v/>
      </c>
      <c r="MB35" s="85">
        <f>IF(AND(336&gt;=$C$9,336&lt;=$E$9),1,0)</f>
        <v/>
      </c>
      <c r="MC35" s="85">
        <f>IF(AND(337&gt;=$C$9,337&lt;=$E$9),1,0)</f>
        <v/>
      </c>
      <c r="MD35" s="85">
        <f>IF(AND(338&gt;=$C$9,338&lt;=$E$9),1,0)</f>
        <v/>
      </c>
      <c r="ME35" s="85">
        <f>IF(AND(339&gt;=$C$9,339&lt;=$E$9),1,0)</f>
        <v/>
      </c>
      <c r="MF35" s="85">
        <f>IF(AND(340&gt;=$C$9,340&lt;=$E$9),1,0)</f>
        <v/>
      </c>
      <c r="MG35" s="85">
        <f>IF(AND(341&gt;=$C$9,341&lt;=$E$9),1,0)</f>
        <v/>
      </c>
      <c r="MH35" s="85">
        <f>IF(AND(342&gt;=$C$9,342&lt;=$E$9),1,0)</f>
        <v/>
      </c>
      <c r="MI35" s="85">
        <f>IF(AND(343&gt;=$C$9,343&lt;=$E$9),1,0)</f>
        <v/>
      </c>
      <c r="MJ35" s="85">
        <f>IF(AND(344&gt;=$C$9,344&lt;=$E$9),1,0)</f>
        <v/>
      </c>
      <c r="MK35" s="85">
        <f>IF(AND(345&gt;=$C$9,345&lt;=$E$9),1,0)</f>
        <v/>
      </c>
      <c r="ML35" s="85">
        <f>IF(AND(346&gt;=$C$9,346&lt;=$E$9),1,0)</f>
        <v/>
      </c>
      <c r="MM35" s="85">
        <f>IF(AND(347&gt;=$C$9,347&lt;=$E$9),1,0)</f>
        <v/>
      </c>
      <c r="MN35" s="85">
        <f>IF(AND(348&gt;=$C$9,348&lt;=$E$9),1,0)</f>
        <v/>
      </c>
      <c r="MO35" s="85">
        <f>IF(AND(349&gt;=$C$9,349&lt;=$E$9),1,0)</f>
        <v/>
      </c>
      <c r="MP35" s="85">
        <f>IF(AND(350&gt;=$C$9,350&lt;=$E$9),1,0)</f>
        <v/>
      </c>
      <c r="MQ35" s="85">
        <f>IF(AND(351&gt;=$C$9,351&lt;=$E$9),1,0)</f>
        <v/>
      </c>
      <c r="MR35" s="85">
        <f>IF(AND(352&gt;=$C$9,352&lt;=$E$9),1,0)</f>
        <v/>
      </c>
      <c r="MS35" s="85">
        <f>IF(AND(353&gt;=$C$9,353&lt;=$E$9),1,0)</f>
        <v/>
      </c>
      <c r="MT35" s="85">
        <f>IF(AND(354&gt;=$C$9,354&lt;=$E$9),1,0)</f>
        <v/>
      </c>
      <c r="MU35" s="85">
        <f>IF(AND(355&gt;=$C$9,355&lt;=$E$9),1,0)</f>
        <v/>
      </c>
      <c r="MV35" s="85">
        <f>IF(AND(356&gt;=$C$9,356&lt;=$E$9),1,0)</f>
        <v/>
      </c>
      <c r="MW35" s="85">
        <f>IF(AND(357&gt;=$C$9,357&lt;=$E$9),1,0)</f>
        <v/>
      </c>
      <c r="MX35" s="85">
        <f>IF(AND(358&gt;=$C$9,358&lt;=$E$9),1,0)</f>
        <v/>
      </c>
      <c r="MY35" s="85">
        <f>IF(AND(359&gt;=$C$9,359&lt;=$E$9),1,0)</f>
        <v/>
      </c>
      <c r="MZ35" s="85">
        <f>IF(AND(360&gt;=$C$9,360&lt;=$E$9),1,0)</f>
        <v/>
      </c>
      <c r="NA35" s="85">
        <f>IF(AND(361&gt;=$C$9,361&lt;=$E$9),1,0)</f>
        <v/>
      </c>
      <c r="NB35" s="85">
        <f>IF(AND(362&gt;=$C$9,362&lt;=$E$9),1,0)</f>
        <v/>
      </c>
      <c r="NC35" s="85">
        <f>IF(AND(363&gt;=$C$9,363&lt;=$E$9),1,0)</f>
        <v/>
      </c>
      <c r="ND35" s="85">
        <f>IF(AND(364&gt;=$C$9,364&lt;=$E$9),1,0)</f>
        <v/>
      </c>
      <c r="NE35" s="85">
        <f>IF(AND(365&gt;=$C$9,365&lt;=$E$9),1,0)</f>
        <v/>
      </c>
      <c r="NF35" s="85">
        <f>IF(AND(366&gt;=$C$9,366&lt;=$E$9),1,0)</f>
        <v/>
      </c>
      <c r="NG35" s="85">
        <f>IF(AND(367&gt;=$C$9,367&lt;=$E$9),1,0)</f>
        <v/>
      </c>
      <c r="NH35" s="85">
        <f>IF(AND(368&gt;=$C$9,368&lt;=$E$9),1,0)</f>
        <v/>
      </c>
      <c r="NI35" s="85">
        <f>IF(AND(369&gt;=$C$9,369&lt;=$E$9),1,0)</f>
        <v/>
      </c>
      <c r="NJ35" s="85">
        <f>IF(AND(370&gt;=$C$9,370&lt;=$E$9),1,0)</f>
        <v/>
      </c>
      <c r="NK35" s="85">
        <f>IF(AND(371&gt;=$C$9,371&lt;=$E$9),1,0)</f>
        <v/>
      </c>
      <c r="NL35" s="85">
        <f>IF(AND(372&gt;=$C$9,372&lt;=$E$9),1,0)</f>
        <v/>
      </c>
    </row>
    <row r="36">
      <c r="B36" s="36" t="inlineStr">
        <is>
          <t>Flag: 1st Unit Delivery</t>
        </is>
      </c>
      <c r="D36" s="124" t="n"/>
      <c r="E36" s="85">
        <f>IF(AND(1&gt;=$C$10,1&lt;=$E$10),1,0)</f>
        <v/>
      </c>
      <c r="F36" s="85">
        <f>IF(AND(2&gt;=$C$10,2&lt;=$E$10),1,0)</f>
        <v/>
      </c>
      <c r="G36" s="85">
        <f>IF(AND(3&gt;=$C$10,3&lt;=$E$10),1,0)</f>
        <v/>
      </c>
      <c r="H36" s="85">
        <f>IF(AND(4&gt;=$C$10,4&lt;=$E$10),1,0)</f>
        <v/>
      </c>
      <c r="I36" s="85">
        <f>IF(AND(5&gt;=$C$10,5&lt;=$E$10),1,0)</f>
        <v/>
      </c>
      <c r="J36" s="85">
        <f>IF(AND(6&gt;=$C$10,6&lt;=$E$10),1,0)</f>
        <v/>
      </c>
      <c r="K36" s="85">
        <f>IF(AND(7&gt;=$C$10,7&lt;=$E$10),1,0)</f>
        <v/>
      </c>
      <c r="L36" s="85">
        <f>IF(AND(8&gt;=$C$10,8&lt;=$E$10),1,0)</f>
        <v/>
      </c>
      <c r="M36" s="85">
        <f>IF(AND(9&gt;=$C$10,9&lt;=$E$10),1,0)</f>
        <v/>
      </c>
      <c r="N36" s="85">
        <f>IF(AND(10&gt;=$C$10,10&lt;=$E$10),1,0)</f>
        <v/>
      </c>
      <c r="O36" s="85">
        <f>IF(AND(11&gt;=$C$10,11&lt;=$E$10),1,0)</f>
        <v/>
      </c>
      <c r="P36" s="85">
        <f>IF(AND(12&gt;=$C$10,12&lt;=$E$10),1,0)</f>
        <v/>
      </c>
      <c r="Q36" s="85">
        <f>IF(AND(13&gt;=$C$10,13&lt;=$E$10),1,0)</f>
        <v/>
      </c>
      <c r="R36" s="85">
        <f>IF(AND(14&gt;=$C$10,14&lt;=$E$10),1,0)</f>
        <v/>
      </c>
      <c r="S36" s="85">
        <f>IF(AND(15&gt;=$C$10,15&lt;=$E$10),1,0)</f>
        <v/>
      </c>
      <c r="T36" s="85">
        <f>IF(AND(16&gt;=$C$10,16&lt;=$E$10),1,0)</f>
        <v/>
      </c>
      <c r="U36" s="85">
        <f>IF(AND(17&gt;=$C$10,17&lt;=$E$10),1,0)</f>
        <v/>
      </c>
      <c r="V36" s="85">
        <f>IF(AND(18&gt;=$C$10,18&lt;=$E$10),1,0)</f>
        <v/>
      </c>
      <c r="W36" s="85">
        <f>IF(AND(19&gt;=$C$10,19&lt;=$E$10),1,0)</f>
        <v/>
      </c>
      <c r="X36" s="85">
        <f>IF(AND(20&gt;=$C$10,20&lt;=$E$10),1,0)</f>
        <v/>
      </c>
      <c r="Y36" s="85">
        <f>IF(AND(21&gt;=$C$10,21&lt;=$E$10),1,0)</f>
        <v/>
      </c>
      <c r="Z36" s="85">
        <f>IF(AND(22&gt;=$C$10,22&lt;=$E$10),1,0)</f>
        <v/>
      </c>
      <c r="AA36" s="85">
        <f>IF(AND(23&gt;=$C$10,23&lt;=$E$10),1,0)</f>
        <v/>
      </c>
      <c r="AB36" s="85">
        <f>IF(AND(24&gt;=$C$10,24&lt;=$E$10),1,0)</f>
        <v/>
      </c>
      <c r="AC36" s="85">
        <f>IF(AND(25&gt;=$C$10,25&lt;=$E$10),1,0)</f>
        <v/>
      </c>
      <c r="AD36" s="85">
        <f>IF(AND(26&gt;=$C$10,26&lt;=$E$10),1,0)</f>
        <v/>
      </c>
      <c r="AE36" s="85">
        <f>IF(AND(27&gt;=$C$10,27&lt;=$E$10),1,0)</f>
        <v/>
      </c>
      <c r="AF36" s="85">
        <f>IF(AND(28&gt;=$C$10,28&lt;=$E$10),1,0)</f>
        <v/>
      </c>
      <c r="AG36" s="85">
        <f>IF(AND(29&gt;=$C$10,29&lt;=$E$10),1,0)</f>
        <v/>
      </c>
      <c r="AH36" s="85">
        <f>IF(AND(30&gt;=$C$10,30&lt;=$E$10),1,0)</f>
        <v/>
      </c>
      <c r="AI36" s="85">
        <f>IF(AND(31&gt;=$C$10,31&lt;=$E$10),1,0)</f>
        <v/>
      </c>
      <c r="AJ36" s="85">
        <f>IF(AND(32&gt;=$C$10,32&lt;=$E$10),1,0)</f>
        <v/>
      </c>
      <c r="AK36" s="85">
        <f>IF(AND(33&gt;=$C$10,33&lt;=$E$10),1,0)</f>
        <v/>
      </c>
      <c r="AL36" s="85">
        <f>IF(AND(34&gt;=$C$10,34&lt;=$E$10),1,0)</f>
        <v/>
      </c>
      <c r="AM36" s="85">
        <f>IF(AND(35&gt;=$C$10,35&lt;=$E$10),1,0)</f>
        <v/>
      </c>
      <c r="AN36" s="85">
        <f>IF(AND(36&gt;=$C$10,36&lt;=$E$10),1,0)</f>
        <v/>
      </c>
      <c r="AO36" s="85">
        <f>IF(AND(37&gt;=$C$10,37&lt;=$E$10),1,0)</f>
        <v/>
      </c>
      <c r="AP36" s="85">
        <f>IF(AND(38&gt;=$C$10,38&lt;=$E$10),1,0)</f>
        <v/>
      </c>
      <c r="AQ36" s="85">
        <f>IF(AND(39&gt;=$C$10,39&lt;=$E$10),1,0)</f>
        <v/>
      </c>
      <c r="AR36" s="85">
        <f>IF(AND(40&gt;=$C$10,40&lt;=$E$10),1,0)</f>
        <v/>
      </c>
      <c r="AS36" s="85">
        <f>IF(AND(41&gt;=$C$10,41&lt;=$E$10),1,0)</f>
        <v/>
      </c>
      <c r="AT36" s="85">
        <f>IF(AND(42&gt;=$C$10,42&lt;=$E$10),1,0)</f>
        <v/>
      </c>
      <c r="AU36" s="85">
        <f>IF(AND(43&gt;=$C$10,43&lt;=$E$10),1,0)</f>
        <v/>
      </c>
      <c r="AV36" s="85">
        <f>IF(AND(44&gt;=$C$10,44&lt;=$E$10),1,0)</f>
        <v/>
      </c>
      <c r="AW36" s="85">
        <f>IF(AND(45&gt;=$C$10,45&lt;=$E$10),1,0)</f>
        <v/>
      </c>
      <c r="AX36" s="85">
        <f>IF(AND(46&gt;=$C$10,46&lt;=$E$10),1,0)</f>
        <v/>
      </c>
      <c r="AY36" s="85">
        <f>IF(AND(47&gt;=$C$10,47&lt;=$E$10),1,0)</f>
        <v/>
      </c>
      <c r="AZ36" s="85">
        <f>IF(AND(48&gt;=$C$10,48&lt;=$E$10),1,0)</f>
        <v/>
      </c>
      <c r="BA36" s="85">
        <f>IF(AND(49&gt;=$C$10,49&lt;=$E$10),1,0)</f>
        <v/>
      </c>
      <c r="BB36" s="85">
        <f>IF(AND(50&gt;=$C$10,50&lt;=$E$10),1,0)</f>
        <v/>
      </c>
      <c r="BC36" s="85">
        <f>IF(AND(51&gt;=$C$10,51&lt;=$E$10),1,0)</f>
        <v/>
      </c>
      <c r="BD36" s="85">
        <f>IF(AND(52&gt;=$C$10,52&lt;=$E$10),1,0)</f>
        <v/>
      </c>
      <c r="BE36" s="85">
        <f>IF(AND(53&gt;=$C$10,53&lt;=$E$10),1,0)</f>
        <v/>
      </c>
      <c r="BF36" s="85">
        <f>IF(AND(54&gt;=$C$10,54&lt;=$E$10),1,0)</f>
        <v/>
      </c>
      <c r="BG36" s="85">
        <f>IF(AND(55&gt;=$C$10,55&lt;=$E$10),1,0)</f>
        <v/>
      </c>
      <c r="BH36" s="85">
        <f>IF(AND(56&gt;=$C$10,56&lt;=$E$10),1,0)</f>
        <v/>
      </c>
      <c r="BI36" s="85">
        <f>IF(AND(57&gt;=$C$10,57&lt;=$E$10),1,0)</f>
        <v/>
      </c>
      <c r="BJ36" s="85">
        <f>IF(AND(58&gt;=$C$10,58&lt;=$E$10),1,0)</f>
        <v/>
      </c>
      <c r="BK36" s="85">
        <f>IF(AND(59&gt;=$C$10,59&lt;=$E$10),1,0)</f>
        <v/>
      </c>
      <c r="BL36" s="85">
        <f>IF(AND(60&gt;=$C$10,60&lt;=$E$10),1,0)</f>
        <v/>
      </c>
      <c r="BM36" s="85">
        <f>IF(AND(61&gt;=$C$10,61&lt;=$E$10),1,0)</f>
        <v/>
      </c>
      <c r="BN36" s="85">
        <f>IF(AND(62&gt;=$C$10,62&lt;=$E$10),1,0)</f>
        <v/>
      </c>
      <c r="BO36" s="85">
        <f>IF(AND(63&gt;=$C$10,63&lt;=$E$10),1,0)</f>
        <v/>
      </c>
      <c r="BP36" s="85">
        <f>IF(AND(64&gt;=$C$10,64&lt;=$E$10),1,0)</f>
        <v/>
      </c>
      <c r="BQ36" s="85">
        <f>IF(AND(65&gt;=$C$10,65&lt;=$E$10),1,0)</f>
        <v/>
      </c>
      <c r="BR36" s="85">
        <f>IF(AND(66&gt;=$C$10,66&lt;=$E$10),1,0)</f>
        <v/>
      </c>
      <c r="BS36" s="85">
        <f>IF(AND(67&gt;=$C$10,67&lt;=$E$10),1,0)</f>
        <v/>
      </c>
      <c r="BT36" s="85">
        <f>IF(AND(68&gt;=$C$10,68&lt;=$E$10),1,0)</f>
        <v/>
      </c>
      <c r="BU36" s="85">
        <f>IF(AND(69&gt;=$C$10,69&lt;=$E$10),1,0)</f>
        <v/>
      </c>
      <c r="BV36" s="85">
        <f>IF(AND(70&gt;=$C$10,70&lt;=$E$10),1,0)</f>
        <v/>
      </c>
      <c r="BW36" s="85">
        <f>IF(AND(71&gt;=$C$10,71&lt;=$E$10),1,0)</f>
        <v/>
      </c>
      <c r="BX36" s="85">
        <f>IF(AND(72&gt;=$C$10,72&lt;=$E$10),1,0)</f>
        <v/>
      </c>
      <c r="BY36" s="85">
        <f>IF(AND(73&gt;=$C$10,73&lt;=$E$10),1,0)</f>
        <v/>
      </c>
      <c r="BZ36" s="85">
        <f>IF(AND(74&gt;=$C$10,74&lt;=$E$10),1,0)</f>
        <v/>
      </c>
      <c r="CA36" s="85">
        <f>IF(AND(75&gt;=$C$10,75&lt;=$E$10),1,0)</f>
        <v/>
      </c>
      <c r="CB36" s="85">
        <f>IF(AND(76&gt;=$C$10,76&lt;=$E$10),1,0)</f>
        <v/>
      </c>
      <c r="CC36" s="85">
        <f>IF(AND(77&gt;=$C$10,77&lt;=$E$10),1,0)</f>
        <v/>
      </c>
      <c r="CD36" s="85">
        <f>IF(AND(78&gt;=$C$10,78&lt;=$E$10),1,0)</f>
        <v/>
      </c>
      <c r="CE36" s="85">
        <f>IF(AND(79&gt;=$C$10,79&lt;=$E$10),1,0)</f>
        <v/>
      </c>
      <c r="CF36" s="85">
        <f>IF(AND(80&gt;=$C$10,80&lt;=$E$10),1,0)</f>
        <v/>
      </c>
      <c r="CG36" s="85">
        <f>IF(AND(81&gt;=$C$10,81&lt;=$E$10),1,0)</f>
        <v/>
      </c>
      <c r="CH36" s="85">
        <f>IF(AND(82&gt;=$C$10,82&lt;=$E$10),1,0)</f>
        <v/>
      </c>
      <c r="CI36" s="85">
        <f>IF(AND(83&gt;=$C$10,83&lt;=$E$10),1,0)</f>
        <v/>
      </c>
      <c r="CJ36" s="85">
        <f>IF(AND(84&gt;=$C$10,84&lt;=$E$10),1,0)</f>
        <v/>
      </c>
      <c r="CK36" s="85">
        <f>IF(AND(85&gt;=$C$10,85&lt;=$E$10),1,0)</f>
        <v/>
      </c>
      <c r="CL36" s="85">
        <f>IF(AND(86&gt;=$C$10,86&lt;=$E$10),1,0)</f>
        <v/>
      </c>
      <c r="CM36" s="85">
        <f>IF(AND(87&gt;=$C$10,87&lt;=$E$10),1,0)</f>
        <v/>
      </c>
      <c r="CN36" s="85">
        <f>IF(AND(88&gt;=$C$10,88&lt;=$E$10),1,0)</f>
        <v/>
      </c>
      <c r="CO36" s="85">
        <f>IF(AND(89&gt;=$C$10,89&lt;=$E$10),1,0)</f>
        <v/>
      </c>
      <c r="CP36" s="85">
        <f>IF(AND(90&gt;=$C$10,90&lt;=$E$10),1,0)</f>
        <v/>
      </c>
      <c r="CQ36" s="85">
        <f>IF(AND(91&gt;=$C$10,91&lt;=$E$10),1,0)</f>
        <v/>
      </c>
      <c r="CR36" s="85">
        <f>IF(AND(92&gt;=$C$10,92&lt;=$E$10),1,0)</f>
        <v/>
      </c>
      <c r="CS36" s="85">
        <f>IF(AND(93&gt;=$C$10,93&lt;=$E$10),1,0)</f>
        <v/>
      </c>
      <c r="CT36" s="85">
        <f>IF(AND(94&gt;=$C$10,94&lt;=$E$10),1,0)</f>
        <v/>
      </c>
      <c r="CU36" s="85">
        <f>IF(AND(95&gt;=$C$10,95&lt;=$E$10),1,0)</f>
        <v/>
      </c>
      <c r="CV36" s="85">
        <f>IF(AND(96&gt;=$C$10,96&lt;=$E$10),1,0)</f>
        <v/>
      </c>
      <c r="CW36" s="85">
        <f>IF(AND(97&gt;=$C$10,97&lt;=$E$10),1,0)</f>
        <v/>
      </c>
      <c r="CX36" s="85">
        <f>IF(AND(98&gt;=$C$10,98&lt;=$E$10),1,0)</f>
        <v/>
      </c>
      <c r="CY36" s="85">
        <f>IF(AND(99&gt;=$C$10,99&lt;=$E$10),1,0)</f>
        <v/>
      </c>
      <c r="CZ36" s="85">
        <f>IF(AND(100&gt;=$C$10,100&lt;=$E$10),1,0)</f>
        <v/>
      </c>
      <c r="DA36" s="85">
        <f>IF(AND(101&gt;=$C$10,101&lt;=$E$10),1,0)</f>
        <v/>
      </c>
      <c r="DB36" s="85">
        <f>IF(AND(102&gt;=$C$10,102&lt;=$E$10),1,0)</f>
        <v/>
      </c>
      <c r="DC36" s="85">
        <f>IF(AND(103&gt;=$C$10,103&lt;=$E$10),1,0)</f>
        <v/>
      </c>
      <c r="DD36" s="85">
        <f>IF(AND(104&gt;=$C$10,104&lt;=$E$10),1,0)</f>
        <v/>
      </c>
      <c r="DE36" s="85">
        <f>IF(AND(105&gt;=$C$10,105&lt;=$E$10),1,0)</f>
        <v/>
      </c>
      <c r="DF36" s="85">
        <f>IF(AND(106&gt;=$C$10,106&lt;=$E$10),1,0)</f>
        <v/>
      </c>
      <c r="DG36" s="85">
        <f>IF(AND(107&gt;=$C$10,107&lt;=$E$10),1,0)</f>
        <v/>
      </c>
      <c r="DH36" s="85">
        <f>IF(AND(108&gt;=$C$10,108&lt;=$E$10),1,0)</f>
        <v/>
      </c>
      <c r="DI36" s="85">
        <f>IF(AND(109&gt;=$C$10,109&lt;=$E$10),1,0)</f>
        <v/>
      </c>
      <c r="DJ36" s="85">
        <f>IF(AND(110&gt;=$C$10,110&lt;=$E$10),1,0)</f>
        <v/>
      </c>
      <c r="DK36" s="85">
        <f>IF(AND(111&gt;=$C$10,111&lt;=$E$10),1,0)</f>
        <v/>
      </c>
      <c r="DL36" s="85">
        <f>IF(AND(112&gt;=$C$10,112&lt;=$E$10),1,0)</f>
        <v/>
      </c>
      <c r="DM36" s="85">
        <f>IF(AND(113&gt;=$C$10,113&lt;=$E$10),1,0)</f>
        <v/>
      </c>
      <c r="DN36" s="85">
        <f>IF(AND(114&gt;=$C$10,114&lt;=$E$10),1,0)</f>
        <v/>
      </c>
      <c r="DO36" s="85">
        <f>IF(AND(115&gt;=$C$10,115&lt;=$E$10),1,0)</f>
        <v/>
      </c>
      <c r="DP36" s="85">
        <f>IF(AND(116&gt;=$C$10,116&lt;=$E$10),1,0)</f>
        <v/>
      </c>
      <c r="DQ36" s="85">
        <f>IF(AND(117&gt;=$C$10,117&lt;=$E$10),1,0)</f>
        <v/>
      </c>
      <c r="DR36" s="85">
        <f>IF(AND(118&gt;=$C$10,118&lt;=$E$10),1,0)</f>
        <v/>
      </c>
      <c r="DS36" s="85">
        <f>IF(AND(119&gt;=$C$10,119&lt;=$E$10),1,0)</f>
        <v/>
      </c>
      <c r="DT36" s="85">
        <f>IF(AND(120&gt;=$C$10,120&lt;=$E$10),1,0)</f>
        <v/>
      </c>
      <c r="DU36" s="85">
        <f>IF(AND(121&gt;=$C$10,121&lt;=$E$10),1,0)</f>
        <v/>
      </c>
      <c r="DV36" s="85">
        <f>IF(AND(122&gt;=$C$10,122&lt;=$E$10),1,0)</f>
        <v/>
      </c>
      <c r="DW36" s="85">
        <f>IF(AND(123&gt;=$C$10,123&lt;=$E$10),1,0)</f>
        <v/>
      </c>
      <c r="DX36" s="85">
        <f>IF(AND(124&gt;=$C$10,124&lt;=$E$10),1,0)</f>
        <v/>
      </c>
      <c r="DY36" s="85">
        <f>IF(AND(125&gt;=$C$10,125&lt;=$E$10),1,0)</f>
        <v/>
      </c>
      <c r="DZ36" s="85">
        <f>IF(AND(126&gt;=$C$10,126&lt;=$E$10),1,0)</f>
        <v/>
      </c>
      <c r="EA36" s="85">
        <f>IF(AND(127&gt;=$C$10,127&lt;=$E$10),1,0)</f>
        <v/>
      </c>
      <c r="EB36" s="85">
        <f>IF(AND(128&gt;=$C$10,128&lt;=$E$10),1,0)</f>
        <v/>
      </c>
      <c r="EC36" s="85">
        <f>IF(AND(129&gt;=$C$10,129&lt;=$E$10),1,0)</f>
        <v/>
      </c>
      <c r="ED36" s="85">
        <f>IF(AND(130&gt;=$C$10,130&lt;=$E$10),1,0)</f>
        <v/>
      </c>
      <c r="EE36" s="85">
        <f>IF(AND(131&gt;=$C$10,131&lt;=$E$10),1,0)</f>
        <v/>
      </c>
      <c r="EF36" s="85">
        <f>IF(AND(132&gt;=$C$10,132&lt;=$E$10),1,0)</f>
        <v/>
      </c>
      <c r="EG36" s="85">
        <f>IF(AND(133&gt;=$C$10,133&lt;=$E$10),1,0)</f>
        <v/>
      </c>
      <c r="EH36" s="85">
        <f>IF(AND(134&gt;=$C$10,134&lt;=$E$10),1,0)</f>
        <v/>
      </c>
      <c r="EI36" s="85">
        <f>IF(AND(135&gt;=$C$10,135&lt;=$E$10),1,0)</f>
        <v/>
      </c>
      <c r="EJ36" s="85">
        <f>IF(AND(136&gt;=$C$10,136&lt;=$E$10),1,0)</f>
        <v/>
      </c>
      <c r="EK36" s="85">
        <f>IF(AND(137&gt;=$C$10,137&lt;=$E$10),1,0)</f>
        <v/>
      </c>
      <c r="EL36" s="85">
        <f>IF(AND(138&gt;=$C$10,138&lt;=$E$10),1,0)</f>
        <v/>
      </c>
      <c r="EM36" s="85">
        <f>IF(AND(139&gt;=$C$10,139&lt;=$E$10),1,0)</f>
        <v/>
      </c>
      <c r="EN36" s="85">
        <f>IF(AND(140&gt;=$C$10,140&lt;=$E$10),1,0)</f>
        <v/>
      </c>
      <c r="EO36" s="85">
        <f>IF(AND(141&gt;=$C$10,141&lt;=$E$10),1,0)</f>
        <v/>
      </c>
      <c r="EP36" s="85">
        <f>IF(AND(142&gt;=$C$10,142&lt;=$E$10),1,0)</f>
        <v/>
      </c>
      <c r="EQ36" s="85">
        <f>IF(AND(143&gt;=$C$10,143&lt;=$E$10),1,0)</f>
        <v/>
      </c>
      <c r="ER36" s="85">
        <f>IF(AND(144&gt;=$C$10,144&lt;=$E$10),1,0)</f>
        <v/>
      </c>
      <c r="ES36" s="85">
        <f>IF(AND(145&gt;=$C$10,145&lt;=$E$10),1,0)</f>
        <v/>
      </c>
      <c r="ET36" s="85">
        <f>IF(AND(146&gt;=$C$10,146&lt;=$E$10),1,0)</f>
        <v/>
      </c>
      <c r="EU36" s="85">
        <f>IF(AND(147&gt;=$C$10,147&lt;=$E$10),1,0)</f>
        <v/>
      </c>
      <c r="EV36" s="85">
        <f>IF(AND(148&gt;=$C$10,148&lt;=$E$10),1,0)</f>
        <v/>
      </c>
      <c r="EW36" s="85">
        <f>IF(AND(149&gt;=$C$10,149&lt;=$E$10),1,0)</f>
        <v/>
      </c>
      <c r="EX36" s="85">
        <f>IF(AND(150&gt;=$C$10,150&lt;=$E$10),1,0)</f>
        <v/>
      </c>
      <c r="EY36" s="85">
        <f>IF(AND(151&gt;=$C$10,151&lt;=$E$10),1,0)</f>
        <v/>
      </c>
      <c r="EZ36" s="85">
        <f>IF(AND(152&gt;=$C$10,152&lt;=$E$10),1,0)</f>
        <v/>
      </c>
      <c r="FA36" s="85">
        <f>IF(AND(153&gt;=$C$10,153&lt;=$E$10),1,0)</f>
        <v/>
      </c>
      <c r="FB36" s="85">
        <f>IF(AND(154&gt;=$C$10,154&lt;=$E$10),1,0)</f>
        <v/>
      </c>
      <c r="FC36" s="85">
        <f>IF(AND(155&gt;=$C$10,155&lt;=$E$10),1,0)</f>
        <v/>
      </c>
      <c r="FD36" s="85">
        <f>IF(AND(156&gt;=$C$10,156&lt;=$E$10),1,0)</f>
        <v/>
      </c>
      <c r="FE36" s="85">
        <f>IF(AND(157&gt;=$C$10,157&lt;=$E$10),1,0)</f>
        <v/>
      </c>
      <c r="FF36" s="85">
        <f>IF(AND(158&gt;=$C$10,158&lt;=$E$10),1,0)</f>
        <v/>
      </c>
      <c r="FG36" s="85">
        <f>IF(AND(159&gt;=$C$10,159&lt;=$E$10),1,0)</f>
        <v/>
      </c>
      <c r="FH36" s="85">
        <f>IF(AND(160&gt;=$C$10,160&lt;=$E$10),1,0)</f>
        <v/>
      </c>
      <c r="FI36" s="85">
        <f>IF(AND(161&gt;=$C$10,161&lt;=$E$10),1,0)</f>
        <v/>
      </c>
      <c r="FJ36" s="85">
        <f>IF(AND(162&gt;=$C$10,162&lt;=$E$10),1,0)</f>
        <v/>
      </c>
      <c r="FK36" s="85">
        <f>IF(AND(163&gt;=$C$10,163&lt;=$E$10),1,0)</f>
        <v/>
      </c>
      <c r="FL36" s="85">
        <f>IF(AND(164&gt;=$C$10,164&lt;=$E$10),1,0)</f>
        <v/>
      </c>
      <c r="FM36" s="85">
        <f>IF(AND(165&gt;=$C$10,165&lt;=$E$10),1,0)</f>
        <v/>
      </c>
      <c r="FN36" s="85">
        <f>IF(AND(166&gt;=$C$10,166&lt;=$E$10),1,0)</f>
        <v/>
      </c>
      <c r="FO36" s="85">
        <f>IF(AND(167&gt;=$C$10,167&lt;=$E$10),1,0)</f>
        <v/>
      </c>
      <c r="FP36" s="85">
        <f>IF(AND(168&gt;=$C$10,168&lt;=$E$10),1,0)</f>
        <v/>
      </c>
      <c r="FQ36" s="85">
        <f>IF(AND(169&gt;=$C$10,169&lt;=$E$10),1,0)</f>
        <v/>
      </c>
      <c r="FR36" s="85">
        <f>IF(AND(170&gt;=$C$10,170&lt;=$E$10),1,0)</f>
        <v/>
      </c>
      <c r="FS36" s="85">
        <f>IF(AND(171&gt;=$C$10,171&lt;=$E$10),1,0)</f>
        <v/>
      </c>
      <c r="FT36" s="85">
        <f>IF(AND(172&gt;=$C$10,172&lt;=$E$10),1,0)</f>
        <v/>
      </c>
      <c r="FU36" s="85">
        <f>IF(AND(173&gt;=$C$10,173&lt;=$E$10),1,0)</f>
        <v/>
      </c>
      <c r="FV36" s="85">
        <f>IF(AND(174&gt;=$C$10,174&lt;=$E$10),1,0)</f>
        <v/>
      </c>
      <c r="FW36" s="85">
        <f>IF(AND(175&gt;=$C$10,175&lt;=$E$10),1,0)</f>
        <v/>
      </c>
      <c r="FX36" s="85">
        <f>IF(AND(176&gt;=$C$10,176&lt;=$E$10),1,0)</f>
        <v/>
      </c>
      <c r="FY36" s="85">
        <f>IF(AND(177&gt;=$C$10,177&lt;=$E$10),1,0)</f>
        <v/>
      </c>
      <c r="FZ36" s="85">
        <f>IF(AND(178&gt;=$C$10,178&lt;=$E$10),1,0)</f>
        <v/>
      </c>
      <c r="GA36" s="85">
        <f>IF(AND(179&gt;=$C$10,179&lt;=$E$10),1,0)</f>
        <v/>
      </c>
      <c r="GB36" s="85">
        <f>IF(AND(180&gt;=$C$10,180&lt;=$E$10),1,0)</f>
        <v/>
      </c>
      <c r="GC36" s="85">
        <f>IF(AND(181&gt;=$C$10,181&lt;=$E$10),1,0)</f>
        <v/>
      </c>
      <c r="GD36" s="85">
        <f>IF(AND(182&gt;=$C$10,182&lt;=$E$10),1,0)</f>
        <v/>
      </c>
      <c r="GE36" s="85">
        <f>IF(AND(183&gt;=$C$10,183&lt;=$E$10),1,0)</f>
        <v/>
      </c>
      <c r="GF36" s="85">
        <f>IF(AND(184&gt;=$C$10,184&lt;=$E$10),1,0)</f>
        <v/>
      </c>
      <c r="GG36" s="85">
        <f>IF(AND(185&gt;=$C$10,185&lt;=$E$10),1,0)</f>
        <v/>
      </c>
      <c r="GH36" s="85">
        <f>IF(AND(186&gt;=$C$10,186&lt;=$E$10),1,0)</f>
        <v/>
      </c>
      <c r="GI36" s="85">
        <f>IF(AND(187&gt;=$C$10,187&lt;=$E$10),1,0)</f>
        <v/>
      </c>
      <c r="GJ36" s="85">
        <f>IF(AND(188&gt;=$C$10,188&lt;=$E$10),1,0)</f>
        <v/>
      </c>
      <c r="GK36" s="85">
        <f>IF(AND(189&gt;=$C$10,189&lt;=$E$10),1,0)</f>
        <v/>
      </c>
      <c r="GL36" s="85">
        <f>IF(AND(190&gt;=$C$10,190&lt;=$E$10),1,0)</f>
        <v/>
      </c>
      <c r="GM36" s="85">
        <f>IF(AND(191&gt;=$C$10,191&lt;=$E$10),1,0)</f>
        <v/>
      </c>
      <c r="GN36" s="85">
        <f>IF(AND(192&gt;=$C$10,192&lt;=$E$10),1,0)</f>
        <v/>
      </c>
      <c r="GO36" s="85">
        <f>IF(AND(193&gt;=$C$10,193&lt;=$E$10),1,0)</f>
        <v/>
      </c>
      <c r="GP36" s="85">
        <f>IF(AND(194&gt;=$C$10,194&lt;=$E$10),1,0)</f>
        <v/>
      </c>
      <c r="GQ36" s="85">
        <f>IF(AND(195&gt;=$C$10,195&lt;=$E$10),1,0)</f>
        <v/>
      </c>
      <c r="GR36" s="85">
        <f>IF(AND(196&gt;=$C$10,196&lt;=$E$10),1,0)</f>
        <v/>
      </c>
      <c r="GS36" s="85">
        <f>IF(AND(197&gt;=$C$10,197&lt;=$E$10),1,0)</f>
        <v/>
      </c>
      <c r="GT36" s="85">
        <f>IF(AND(198&gt;=$C$10,198&lt;=$E$10),1,0)</f>
        <v/>
      </c>
      <c r="GU36" s="85">
        <f>IF(AND(199&gt;=$C$10,199&lt;=$E$10),1,0)</f>
        <v/>
      </c>
      <c r="GV36" s="85">
        <f>IF(AND(200&gt;=$C$10,200&lt;=$E$10),1,0)</f>
        <v/>
      </c>
      <c r="GW36" s="85">
        <f>IF(AND(201&gt;=$C$10,201&lt;=$E$10),1,0)</f>
        <v/>
      </c>
      <c r="GX36" s="85">
        <f>IF(AND(202&gt;=$C$10,202&lt;=$E$10),1,0)</f>
        <v/>
      </c>
      <c r="GY36" s="85">
        <f>IF(AND(203&gt;=$C$10,203&lt;=$E$10),1,0)</f>
        <v/>
      </c>
      <c r="GZ36" s="85">
        <f>IF(AND(204&gt;=$C$10,204&lt;=$E$10),1,0)</f>
        <v/>
      </c>
      <c r="HA36" s="85">
        <f>IF(AND(205&gt;=$C$10,205&lt;=$E$10),1,0)</f>
        <v/>
      </c>
      <c r="HB36" s="85">
        <f>IF(AND(206&gt;=$C$10,206&lt;=$E$10),1,0)</f>
        <v/>
      </c>
      <c r="HC36" s="85">
        <f>IF(AND(207&gt;=$C$10,207&lt;=$E$10),1,0)</f>
        <v/>
      </c>
      <c r="HD36" s="85">
        <f>IF(AND(208&gt;=$C$10,208&lt;=$E$10),1,0)</f>
        <v/>
      </c>
      <c r="HE36" s="85">
        <f>IF(AND(209&gt;=$C$10,209&lt;=$E$10),1,0)</f>
        <v/>
      </c>
      <c r="HF36" s="85">
        <f>IF(AND(210&gt;=$C$10,210&lt;=$E$10),1,0)</f>
        <v/>
      </c>
      <c r="HG36" s="85">
        <f>IF(AND(211&gt;=$C$10,211&lt;=$E$10),1,0)</f>
        <v/>
      </c>
      <c r="HH36" s="85">
        <f>IF(AND(212&gt;=$C$10,212&lt;=$E$10),1,0)</f>
        <v/>
      </c>
      <c r="HI36" s="85">
        <f>IF(AND(213&gt;=$C$10,213&lt;=$E$10),1,0)</f>
        <v/>
      </c>
      <c r="HJ36" s="85">
        <f>IF(AND(214&gt;=$C$10,214&lt;=$E$10),1,0)</f>
        <v/>
      </c>
      <c r="HK36" s="85">
        <f>IF(AND(215&gt;=$C$10,215&lt;=$E$10),1,0)</f>
        <v/>
      </c>
      <c r="HL36" s="85">
        <f>IF(AND(216&gt;=$C$10,216&lt;=$E$10),1,0)</f>
        <v/>
      </c>
      <c r="HM36" s="85">
        <f>IF(AND(217&gt;=$C$10,217&lt;=$E$10),1,0)</f>
        <v/>
      </c>
      <c r="HN36" s="85">
        <f>IF(AND(218&gt;=$C$10,218&lt;=$E$10),1,0)</f>
        <v/>
      </c>
      <c r="HO36" s="85">
        <f>IF(AND(219&gt;=$C$10,219&lt;=$E$10),1,0)</f>
        <v/>
      </c>
      <c r="HP36" s="85">
        <f>IF(AND(220&gt;=$C$10,220&lt;=$E$10),1,0)</f>
        <v/>
      </c>
      <c r="HQ36" s="85">
        <f>IF(AND(221&gt;=$C$10,221&lt;=$E$10),1,0)</f>
        <v/>
      </c>
      <c r="HR36" s="85">
        <f>IF(AND(222&gt;=$C$10,222&lt;=$E$10),1,0)</f>
        <v/>
      </c>
      <c r="HS36" s="85">
        <f>IF(AND(223&gt;=$C$10,223&lt;=$E$10),1,0)</f>
        <v/>
      </c>
      <c r="HT36" s="85">
        <f>IF(AND(224&gt;=$C$10,224&lt;=$E$10),1,0)</f>
        <v/>
      </c>
      <c r="HU36" s="85">
        <f>IF(AND(225&gt;=$C$10,225&lt;=$E$10),1,0)</f>
        <v/>
      </c>
      <c r="HV36" s="85">
        <f>IF(AND(226&gt;=$C$10,226&lt;=$E$10),1,0)</f>
        <v/>
      </c>
      <c r="HW36" s="85">
        <f>IF(AND(227&gt;=$C$10,227&lt;=$E$10),1,0)</f>
        <v/>
      </c>
      <c r="HX36" s="85">
        <f>IF(AND(228&gt;=$C$10,228&lt;=$E$10),1,0)</f>
        <v/>
      </c>
      <c r="HY36" s="85">
        <f>IF(AND(229&gt;=$C$10,229&lt;=$E$10),1,0)</f>
        <v/>
      </c>
      <c r="HZ36" s="85">
        <f>IF(AND(230&gt;=$C$10,230&lt;=$E$10),1,0)</f>
        <v/>
      </c>
      <c r="IA36" s="85">
        <f>IF(AND(231&gt;=$C$10,231&lt;=$E$10),1,0)</f>
        <v/>
      </c>
      <c r="IB36" s="85">
        <f>IF(AND(232&gt;=$C$10,232&lt;=$E$10),1,0)</f>
        <v/>
      </c>
      <c r="IC36" s="85">
        <f>IF(AND(233&gt;=$C$10,233&lt;=$E$10),1,0)</f>
        <v/>
      </c>
      <c r="ID36" s="85">
        <f>IF(AND(234&gt;=$C$10,234&lt;=$E$10),1,0)</f>
        <v/>
      </c>
      <c r="IE36" s="85">
        <f>IF(AND(235&gt;=$C$10,235&lt;=$E$10),1,0)</f>
        <v/>
      </c>
      <c r="IF36" s="85">
        <f>IF(AND(236&gt;=$C$10,236&lt;=$E$10),1,0)</f>
        <v/>
      </c>
      <c r="IG36" s="85">
        <f>IF(AND(237&gt;=$C$10,237&lt;=$E$10),1,0)</f>
        <v/>
      </c>
      <c r="IH36" s="85">
        <f>IF(AND(238&gt;=$C$10,238&lt;=$E$10),1,0)</f>
        <v/>
      </c>
      <c r="II36" s="85">
        <f>IF(AND(239&gt;=$C$10,239&lt;=$E$10),1,0)</f>
        <v/>
      </c>
      <c r="IJ36" s="85">
        <f>IF(AND(240&gt;=$C$10,240&lt;=$E$10),1,0)</f>
        <v/>
      </c>
      <c r="IK36" s="85">
        <f>IF(AND(241&gt;=$C$10,241&lt;=$E$10),1,0)</f>
        <v/>
      </c>
      <c r="IL36" s="85">
        <f>IF(AND(242&gt;=$C$10,242&lt;=$E$10),1,0)</f>
        <v/>
      </c>
      <c r="IM36" s="85">
        <f>IF(AND(243&gt;=$C$10,243&lt;=$E$10),1,0)</f>
        <v/>
      </c>
      <c r="IN36" s="85">
        <f>IF(AND(244&gt;=$C$10,244&lt;=$E$10),1,0)</f>
        <v/>
      </c>
      <c r="IO36" s="85">
        <f>IF(AND(245&gt;=$C$10,245&lt;=$E$10),1,0)</f>
        <v/>
      </c>
      <c r="IP36" s="85">
        <f>IF(AND(246&gt;=$C$10,246&lt;=$E$10),1,0)</f>
        <v/>
      </c>
      <c r="IQ36" s="85">
        <f>IF(AND(247&gt;=$C$10,247&lt;=$E$10),1,0)</f>
        <v/>
      </c>
      <c r="IR36" s="85">
        <f>IF(AND(248&gt;=$C$10,248&lt;=$E$10),1,0)</f>
        <v/>
      </c>
      <c r="IS36" s="85">
        <f>IF(AND(249&gt;=$C$10,249&lt;=$E$10),1,0)</f>
        <v/>
      </c>
      <c r="IT36" s="85">
        <f>IF(AND(250&gt;=$C$10,250&lt;=$E$10),1,0)</f>
        <v/>
      </c>
      <c r="IU36" s="85">
        <f>IF(AND(251&gt;=$C$10,251&lt;=$E$10),1,0)</f>
        <v/>
      </c>
      <c r="IV36" s="85">
        <f>IF(AND(252&gt;=$C$10,252&lt;=$E$10),1,0)</f>
        <v/>
      </c>
      <c r="IW36" s="85">
        <f>IF(AND(253&gt;=$C$10,253&lt;=$E$10),1,0)</f>
        <v/>
      </c>
      <c r="IX36" s="85">
        <f>IF(AND(254&gt;=$C$10,254&lt;=$E$10),1,0)</f>
        <v/>
      </c>
      <c r="IY36" s="85">
        <f>IF(AND(255&gt;=$C$10,255&lt;=$E$10),1,0)</f>
        <v/>
      </c>
      <c r="IZ36" s="85">
        <f>IF(AND(256&gt;=$C$10,256&lt;=$E$10),1,0)</f>
        <v/>
      </c>
      <c r="JA36" s="85">
        <f>IF(AND(257&gt;=$C$10,257&lt;=$E$10),1,0)</f>
        <v/>
      </c>
      <c r="JB36" s="85">
        <f>IF(AND(258&gt;=$C$10,258&lt;=$E$10),1,0)</f>
        <v/>
      </c>
      <c r="JC36" s="85">
        <f>IF(AND(259&gt;=$C$10,259&lt;=$E$10),1,0)</f>
        <v/>
      </c>
      <c r="JD36" s="85">
        <f>IF(AND(260&gt;=$C$10,260&lt;=$E$10),1,0)</f>
        <v/>
      </c>
      <c r="JE36" s="85">
        <f>IF(AND(261&gt;=$C$10,261&lt;=$E$10),1,0)</f>
        <v/>
      </c>
      <c r="JF36" s="85">
        <f>IF(AND(262&gt;=$C$10,262&lt;=$E$10),1,0)</f>
        <v/>
      </c>
      <c r="JG36" s="85">
        <f>IF(AND(263&gt;=$C$10,263&lt;=$E$10),1,0)</f>
        <v/>
      </c>
      <c r="JH36" s="85">
        <f>IF(AND(264&gt;=$C$10,264&lt;=$E$10),1,0)</f>
        <v/>
      </c>
      <c r="JI36" s="85">
        <f>IF(AND(265&gt;=$C$10,265&lt;=$E$10),1,0)</f>
        <v/>
      </c>
      <c r="JJ36" s="85">
        <f>IF(AND(266&gt;=$C$10,266&lt;=$E$10),1,0)</f>
        <v/>
      </c>
      <c r="JK36" s="85">
        <f>IF(AND(267&gt;=$C$10,267&lt;=$E$10),1,0)</f>
        <v/>
      </c>
      <c r="JL36" s="85">
        <f>IF(AND(268&gt;=$C$10,268&lt;=$E$10),1,0)</f>
        <v/>
      </c>
      <c r="JM36" s="85">
        <f>IF(AND(269&gt;=$C$10,269&lt;=$E$10),1,0)</f>
        <v/>
      </c>
      <c r="JN36" s="85">
        <f>IF(AND(270&gt;=$C$10,270&lt;=$E$10),1,0)</f>
        <v/>
      </c>
      <c r="JO36" s="85">
        <f>IF(AND(271&gt;=$C$10,271&lt;=$E$10),1,0)</f>
        <v/>
      </c>
      <c r="JP36" s="85">
        <f>IF(AND(272&gt;=$C$10,272&lt;=$E$10),1,0)</f>
        <v/>
      </c>
      <c r="JQ36" s="85">
        <f>IF(AND(273&gt;=$C$10,273&lt;=$E$10),1,0)</f>
        <v/>
      </c>
      <c r="JR36" s="85">
        <f>IF(AND(274&gt;=$C$10,274&lt;=$E$10),1,0)</f>
        <v/>
      </c>
      <c r="JS36" s="85">
        <f>IF(AND(275&gt;=$C$10,275&lt;=$E$10),1,0)</f>
        <v/>
      </c>
      <c r="JT36" s="85">
        <f>IF(AND(276&gt;=$C$10,276&lt;=$E$10),1,0)</f>
        <v/>
      </c>
      <c r="JU36" s="85">
        <f>IF(AND(277&gt;=$C$10,277&lt;=$E$10),1,0)</f>
        <v/>
      </c>
      <c r="JV36" s="85">
        <f>IF(AND(278&gt;=$C$10,278&lt;=$E$10),1,0)</f>
        <v/>
      </c>
      <c r="JW36" s="85">
        <f>IF(AND(279&gt;=$C$10,279&lt;=$E$10),1,0)</f>
        <v/>
      </c>
      <c r="JX36" s="85">
        <f>IF(AND(280&gt;=$C$10,280&lt;=$E$10),1,0)</f>
        <v/>
      </c>
      <c r="JY36" s="85">
        <f>IF(AND(281&gt;=$C$10,281&lt;=$E$10),1,0)</f>
        <v/>
      </c>
      <c r="JZ36" s="85">
        <f>IF(AND(282&gt;=$C$10,282&lt;=$E$10),1,0)</f>
        <v/>
      </c>
      <c r="KA36" s="85">
        <f>IF(AND(283&gt;=$C$10,283&lt;=$E$10),1,0)</f>
        <v/>
      </c>
      <c r="KB36" s="85">
        <f>IF(AND(284&gt;=$C$10,284&lt;=$E$10),1,0)</f>
        <v/>
      </c>
      <c r="KC36" s="85">
        <f>IF(AND(285&gt;=$C$10,285&lt;=$E$10),1,0)</f>
        <v/>
      </c>
      <c r="KD36" s="85">
        <f>IF(AND(286&gt;=$C$10,286&lt;=$E$10),1,0)</f>
        <v/>
      </c>
      <c r="KE36" s="85">
        <f>IF(AND(287&gt;=$C$10,287&lt;=$E$10),1,0)</f>
        <v/>
      </c>
      <c r="KF36" s="85">
        <f>IF(AND(288&gt;=$C$10,288&lt;=$E$10),1,0)</f>
        <v/>
      </c>
      <c r="KG36" s="85">
        <f>IF(AND(289&gt;=$C$10,289&lt;=$E$10),1,0)</f>
        <v/>
      </c>
      <c r="KH36" s="85">
        <f>IF(AND(290&gt;=$C$10,290&lt;=$E$10),1,0)</f>
        <v/>
      </c>
      <c r="KI36" s="85">
        <f>IF(AND(291&gt;=$C$10,291&lt;=$E$10),1,0)</f>
        <v/>
      </c>
      <c r="KJ36" s="85">
        <f>IF(AND(292&gt;=$C$10,292&lt;=$E$10),1,0)</f>
        <v/>
      </c>
      <c r="KK36" s="85">
        <f>IF(AND(293&gt;=$C$10,293&lt;=$E$10),1,0)</f>
        <v/>
      </c>
      <c r="KL36" s="85">
        <f>IF(AND(294&gt;=$C$10,294&lt;=$E$10),1,0)</f>
        <v/>
      </c>
      <c r="KM36" s="85">
        <f>IF(AND(295&gt;=$C$10,295&lt;=$E$10),1,0)</f>
        <v/>
      </c>
      <c r="KN36" s="85">
        <f>IF(AND(296&gt;=$C$10,296&lt;=$E$10),1,0)</f>
        <v/>
      </c>
      <c r="KO36" s="85">
        <f>IF(AND(297&gt;=$C$10,297&lt;=$E$10),1,0)</f>
        <v/>
      </c>
      <c r="KP36" s="85">
        <f>IF(AND(298&gt;=$C$10,298&lt;=$E$10),1,0)</f>
        <v/>
      </c>
      <c r="KQ36" s="85">
        <f>IF(AND(299&gt;=$C$10,299&lt;=$E$10),1,0)</f>
        <v/>
      </c>
      <c r="KR36" s="85">
        <f>IF(AND(300&gt;=$C$10,300&lt;=$E$10),1,0)</f>
        <v/>
      </c>
      <c r="KS36" s="85">
        <f>IF(AND(301&gt;=$C$10,301&lt;=$E$10),1,0)</f>
        <v/>
      </c>
      <c r="KT36" s="85">
        <f>IF(AND(302&gt;=$C$10,302&lt;=$E$10),1,0)</f>
        <v/>
      </c>
      <c r="KU36" s="85">
        <f>IF(AND(303&gt;=$C$10,303&lt;=$E$10),1,0)</f>
        <v/>
      </c>
      <c r="KV36" s="85">
        <f>IF(AND(304&gt;=$C$10,304&lt;=$E$10),1,0)</f>
        <v/>
      </c>
      <c r="KW36" s="85">
        <f>IF(AND(305&gt;=$C$10,305&lt;=$E$10),1,0)</f>
        <v/>
      </c>
      <c r="KX36" s="85">
        <f>IF(AND(306&gt;=$C$10,306&lt;=$E$10),1,0)</f>
        <v/>
      </c>
      <c r="KY36" s="85">
        <f>IF(AND(307&gt;=$C$10,307&lt;=$E$10),1,0)</f>
        <v/>
      </c>
      <c r="KZ36" s="85">
        <f>IF(AND(308&gt;=$C$10,308&lt;=$E$10),1,0)</f>
        <v/>
      </c>
      <c r="LA36" s="85">
        <f>IF(AND(309&gt;=$C$10,309&lt;=$E$10),1,0)</f>
        <v/>
      </c>
      <c r="LB36" s="85">
        <f>IF(AND(310&gt;=$C$10,310&lt;=$E$10),1,0)</f>
        <v/>
      </c>
      <c r="LC36" s="85">
        <f>IF(AND(311&gt;=$C$10,311&lt;=$E$10),1,0)</f>
        <v/>
      </c>
      <c r="LD36" s="85">
        <f>IF(AND(312&gt;=$C$10,312&lt;=$E$10),1,0)</f>
        <v/>
      </c>
      <c r="LE36" s="85">
        <f>IF(AND(313&gt;=$C$10,313&lt;=$E$10),1,0)</f>
        <v/>
      </c>
      <c r="LF36" s="85">
        <f>IF(AND(314&gt;=$C$10,314&lt;=$E$10),1,0)</f>
        <v/>
      </c>
      <c r="LG36" s="85">
        <f>IF(AND(315&gt;=$C$10,315&lt;=$E$10),1,0)</f>
        <v/>
      </c>
      <c r="LH36" s="85">
        <f>IF(AND(316&gt;=$C$10,316&lt;=$E$10),1,0)</f>
        <v/>
      </c>
      <c r="LI36" s="85">
        <f>IF(AND(317&gt;=$C$10,317&lt;=$E$10),1,0)</f>
        <v/>
      </c>
      <c r="LJ36" s="85">
        <f>IF(AND(318&gt;=$C$10,318&lt;=$E$10),1,0)</f>
        <v/>
      </c>
      <c r="LK36" s="85">
        <f>IF(AND(319&gt;=$C$10,319&lt;=$E$10),1,0)</f>
        <v/>
      </c>
      <c r="LL36" s="85">
        <f>IF(AND(320&gt;=$C$10,320&lt;=$E$10),1,0)</f>
        <v/>
      </c>
      <c r="LM36" s="85">
        <f>IF(AND(321&gt;=$C$10,321&lt;=$E$10),1,0)</f>
        <v/>
      </c>
      <c r="LN36" s="85">
        <f>IF(AND(322&gt;=$C$10,322&lt;=$E$10),1,0)</f>
        <v/>
      </c>
      <c r="LO36" s="85">
        <f>IF(AND(323&gt;=$C$10,323&lt;=$E$10),1,0)</f>
        <v/>
      </c>
      <c r="LP36" s="85">
        <f>IF(AND(324&gt;=$C$10,324&lt;=$E$10),1,0)</f>
        <v/>
      </c>
      <c r="LQ36" s="85">
        <f>IF(AND(325&gt;=$C$10,325&lt;=$E$10),1,0)</f>
        <v/>
      </c>
      <c r="LR36" s="85">
        <f>IF(AND(326&gt;=$C$10,326&lt;=$E$10),1,0)</f>
        <v/>
      </c>
      <c r="LS36" s="85">
        <f>IF(AND(327&gt;=$C$10,327&lt;=$E$10),1,0)</f>
        <v/>
      </c>
      <c r="LT36" s="85">
        <f>IF(AND(328&gt;=$C$10,328&lt;=$E$10),1,0)</f>
        <v/>
      </c>
      <c r="LU36" s="85">
        <f>IF(AND(329&gt;=$C$10,329&lt;=$E$10),1,0)</f>
        <v/>
      </c>
      <c r="LV36" s="85">
        <f>IF(AND(330&gt;=$C$10,330&lt;=$E$10),1,0)</f>
        <v/>
      </c>
      <c r="LW36" s="85">
        <f>IF(AND(331&gt;=$C$10,331&lt;=$E$10),1,0)</f>
        <v/>
      </c>
      <c r="LX36" s="85">
        <f>IF(AND(332&gt;=$C$10,332&lt;=$E$10),1,0)</f>
        <v/>
      </c>
      <c r="LY36" s="85">
        <f>IF(AND(333&gt;=$C$10,333&lt;=$E$10),1,0)</f>
        <v/>
      </c>
      <c r="LZ36" s="85">
        <f>IF(AND(334&gt;=$C$10,334&lt;=$E$10),1,0)</f>
        <v/>
      </c>
      <c r="MA36" s="85">
        <f>IF(AND(335&gt;=$C$10,335&lt;=$E$10),1,0)</f>
        <v/>
      </c>
      <c r="MB36" s="85">
        <f>IF(AND(336&gt;=$C$10,336&lt;=$E$10),1,0)</f>
        <v/>
      </c>
      <c r="MC36" s="85">
        <f>IF(AND(337&gt;=$C$10,337&lt;=$E$10),1,0)</f>
        <v/>
      </c>
      <c r="MD36" s="85">
        <f>IF(AND(338&gt;=$C$10,338&lt;=$E$10),1,0)</f>
        <v/>
      </c>
      <c r="ME36" s="85">
        <f>IF(AND(339&gt;=$C$10,339&lt;=$E$10),1,0)</f>
        <v/>
      </c>
      <c r="MF36" s="85">
        <f>IF(AND(340&gt;=$C$10,340&lt;=$E$10),1,0)</f>
        <v/>
      </c>
      <c r="MG36" s="85">
        <f>IF(AND(341&gt;=$C$10,341&lt;=$E$10),1,0)</f>
        <v/>
      </c>
      <c r="MH36" s="85">
        <f>IF(AND(342&gt;=$C$10,342&lt;=$E$10),1,0)</f>
        <v/>
      </c>
      <c r="MI36" s="85">
        <f>IF(AND(343&gt;=$C$10,343&lt;=$E$10),1,0)</f>
        <v/>
      </c>
      <c r="MJ36" s="85">
        <f>IF(AND(344&gt;=$C$10,344&lt;=$E$10),1,0)</f>
        <v/>
      </c>
      <c r="MK36" s="85">
        <f>IF(AND(345&gt;=$C$10,345&lt;=$E$10),1,0)</f>
        <v/>
      </c>
      <c r="ML36" s="85">
        <f>IF(AND(346&gt;=$C$10,346&lt;=$E$10),1,0)</f>
        <v/>
      </c>
      <c r="MM36" s="85">
        <f>IF(AND(347&gt;=$C$10,347&lt;=$E$10),1,0)</f>
        <v/>
      </c>
      <c r="MN36" s="85">
        <f>IF(AND(348&gt;=$C$10,348&lt;=$E$10),1,0)</f>
        <v/>
      </c>
      <c r="MO36" s="85">
        <f>IF(AND(349&gt;=$C$10,349&lt;=$E$10),1,0)</f>
        <v/>
      </c>
      <c r="MP36" s="85">
        <f>IF(AND(350&gt;=$C$10,350&lt;=$E$10),1,0)</f>
        <v/>
      </c>
      <c r="MQ36" s="85">
        <f>IF(AND(351&gt;=$C$10,351&lt;=$E$10),1,0)</f>
        <v/>
      </c>
      <c r="MR36" s="85">
        <f>IF(AND(352&gt;=$C$10,352&lt;=$E$10),1,0)</f>
        <v/>
      </c>
      <c r="MS36" s="85">
        <f>IF(AND(353&gt;=$C$10,353&lt;=$E$10),1,0)</f>
        <v/>
      </c>
      <c r="MT36" s="85">
        <f>IF(AND(354&gt;=$C$10,354&lt;=$E$10),1,0)</f>
        <v/>
      </c>
      <c r="MU36" s="85">
        <f>IF(AND(355&gt;=$C$10,355&lt;=$E$10),1,0)</f>
        <v/>
      </c>
      <c r="MV36" s="85">
        <f>IF(AND(356&gt;=$C$10,356&lt;=$E$10),1,0)</f>
        <v/>
      </c>
      <c r="MW36" s="85">
        <f>IF(AND(357&gt;=$C$10,357&lt;=$E$10),1,0)</f>
        <v/>
      </c>
      <c r="MX36" s="85">
        <f>IF(AND(358&gt;=$C$10,358&lt;=$E$10),1,0)</f>
        <v/>
      </c>
      <c r="MY36" s="85">
        <f>IF(AND(359&gt;=$C$10,359&lt;=$E$10),1,0)</f>
        <v/>
      </c>
      <c r="MZ36" s="85">
        <f>IF(AND(360&gt;=$C$10,360&lt;=$E$10),1,0)</f>
        <v/>
      </c>
      <c r="NA36" s="85">
        <f>IF(AND(361&gt;=$C$10,361&lt;=$E$10),1,0)</f>
        <v/>
      </c>
      <c r="NB36" s="85">
        <f>IF(AND(362&gt;=$C$10,362&lt;=$E$10),1,0)</f>
        <v/>
      </c>
      <c r="NC36" s="85">
        <f>IF(AND(363&gt;=$C$10,363&lt;=$E$10),1,0)</f>
        <v/>
      </c>
      <c r="ND36" s="85">
        <f>IF(AND(364&gt;=$C$10,364&lt;=$E$10),1,0)</f>
        <v/>
      </c>
      <c r="NE36" s="85">
        <f>IF(AND(365&gt;=$C$10,365&lt;=$E$10),1,0)</f>
        <v/>
      </c>
      <c r="NF36" s="85">
        <f>IF(AND(366&gt;=$C$10,366&lt;=$E$10),1,0)</f>
        <v/>
      </c>
      <c r="NG36" s="85">
        <f>IF(AND(367&gt;=$C$10,367&lt;=$E$10),1,0)</f>
        <v/>
      </c>
      <c r="NH36" s="85">
        <f>IF(AND(368&gt;=$C$10,368&lt;=$E$10),1,0)</f>
        <v/>
      </c>
      <c r="NI36" s="85">
        <f>IF(AND(369&gt;=$C$10,369&lt;=$E$10),1,0)</f>
        <v/>
      </c>
      <c r="NJ36" s="85">
        <f>IF(AND(370&gt;=$C$10,370&lt;=$E$10),1,0)</f>
        <v/>
      </c>
      <c r="NK36" s="85">
        <f>IF(AND(371&gt;=$C$10,371&lt;=$E$10),1,0)</f>
        <v/>
      </c>
      <c r="NL36" s="85">
        <f>IF(AND(372&gt;=$C$10,372&lt;=$E$10),1,0)</f>
        <v/>
      </c>
    </row>
    <row r="37">
      <c r="B37" s="36" t="inlineStr">
        <is>
          <t>Flag: Lease-Up</t>
        </is>
      </c>
      <c r="D37" s="124" t="n"/>
      <c r="E37" s="85">
        <f>IF(AND(1&gt;=$C$11,1&lt;=$E$11),1,0)</f>
        <v/>
      </c>
      <c r="F37" s="85">
        <f>IF(AND(2&gt;=$C$11,2&lt;=$E$11),1,0)</f>
        <v/>
      </c>
      <c r="G37" s="85">
        <f>IF(AND(3&gt;=$C$11,3&lt;=$E$11),1,0)</f>
        <v/>
      </c>
      <c r="H37" s="85">
        <f>IF(AND(4&gt;=$C$11,4&lt;=$E$11),1,0)</f>
        <v/>
      </c>
      <c r="I37" s="85">
        <f>IF(AND(5&gt;=$C$11,5&lt;=$E$11),1,0)</f>
        <v/>
      </c>
      <c r="J37" s="85">
        <f>IF(AND(6&gt;=$C$11,6&lt;=$E$11),1,0)</f>
        <v/>
      </c>
      <c r="K37" s="85">
        <f>IF(AND(7&gt;=$C$11,7&lt;=$E$11),1,0)</f>
        <v/>
      </c>
      <c r="L37" s="85">
        <f>IF(AND(8&gt;=$C$11,8&lt;=$E$11),1,0)</f>
        <v/>
      </c>
      <c r="M37" s="85">
        <f>IF(AND(9&gt;=$C$11,9&lt;=$E$11),1,0)</f>
        <v/>
      </c>
      <c r="N37" s="85">
        <f>IF(AND(10&gt;=$C$11,10&lt;=$E$11),1,0)</f>
        <v/>
      </c>
      <c r="O37" s="85">
        <f>IF(AND(11&gt;=$C$11,11&lt;=$E$11),1,0)</f>
        <v/>
      </c>
      <c r="P37" s="85">
        <f>IF(AND(12&gt;=$C$11,12&lt;=$E$11),1,0)</f>
        <v/>
      </c>
      <c r="Q37" s="85">
        <f>IF(AND(13&gt;=$C$11,13&lt;=$E$11),1,0)</f>
        <v/>
      </c>
      <c r="R37" s="85">
        <f>IF(AND(14&gt;=$C$11,14&lt;=$E$11),1,0)</f>
        <v/>
      </c>
      <c r="S37" s="85">
        <f>IF(AND(15&gt;=$C$11,15&lt;=$E$11),1,0)</f>
        <v/>
      </c>
      <c r="T37" s="85">
        <f>IF(AND(16&gt;=$C$11,16&lt;=$E$11),1,0)</f>
        <v/>
      </c>
      <c r="U37" s="85">
        <f>IF(AND(17&gt;=$C$11,17&lt;=$E$11),1,0)</f>
        <v/>
      </c>
      <c r="V37" s="85">
        <f>IF(AND(18&gt;=$C$11,18&lt;=$E$11),1,0)</f>
        <v/>
      </c>
      <c r="W37" s="85">
        <f>IF(AND(19&gt;=$C$11,19&lt;=$E$11),1,0)</f>
        <v/>
      </c>
      <c r="X37" s="85">
        <f>IF(AND(20&gt;=$C$11,20&lt;=$E$11),1,0)</f>
        <v/>
      </c>
      <c r="Y37" s="85">
        <f>IF(AND(21&gt;=$C$11,21&lt;=$E$11),1,0)</f>
        <v/>
      </c>
      <c r="Z37" s="85">
        <f>IF(AND(22&gt;=$C$11,22&lt;=$E$11),1,0)</f>
        <v/>
      </c>
      <c r="AA37" s="85">
        <f>IF(AND(23&gt;=$C$11,23&lt;=$E$11),1,0)</f>
        <v/>
      </c>
      <c r="AB37" s="85">
        <f>IF(AND(24&gt;=$C$11,24&lt;=$E$11),1,0)</f>
        <v/>
      </c>
      <c r="AC37" s="85">
        <f>IF(AND(25&gt;=$C$11,25&lt;=$E$11),1,0)</f>
        <v/>
      </c>
      <c r="AD37" s="85">
        <f>IF(AND(26&gt;=$C$11,26&lt;=$E$11),1,0)</f>
        <v/>
      </c>
      <c r="AE37" s="85">
        <f>IF(AND(27&gt;=$C$11,27&lt;=$E$11),1,0)</f>
        <v/>
      </c>
      <c r="AF37" s="85">
        <f>IF(AND(28&gt;=$C$11,28&lt;=$E$11),1,0)</f>
        <v/>
      </c>
      <c r="AG37" s="85">
        <f>IF(AND(29&gt;=$C$11,29&lt;=$E$11),1,0)</f>
        <v/>
      </c>
      <c r="AH37" s="85">
        <f>IF(AND(30&gt;=$C$11,30&lt;=$E$11),1,0)</f>
        <v/>
      </c>
      <c r="AI37" s="85">
        <f>IF(AND(31&gt;=$C$11,31&lt;=$E$11),1,0)</f>
        <v/>
      </c>
      <c r="AJ37" s="85">
        <f>IF(AND(32&gt;=$C$11,32&lt;=$E$11),1,0)</f>
        <v/>
      </c>
      <c r="AK37" s="85">
        <f>IF(AND(33&gt;=$C$11,33&lt;=$E$11),1,0)</f>
        <v/>
      </c>
      <c r="AL37" s="85">
        <f>IF(AND(34&gt;=$C$11,34&lt;=$E$11),1,0)</f>
        <v/>
      </c>
      <c r="AM37" s="85">
        <f>IF(AND(35&gt;=$C$11,35&lt;=$E$11),1,0)</f>
        <v/>
      </c>
      <c r="AN37" s="85">
        <f>IF(AND(36&gt;=$C$11,36&lt;=$E$11),1,0)</f>
        <v/>
      </c>
      <c r="AO37" s="85">
        <f>IF(AND(37&gt;=$C$11,37&lt;=$E$11),1,0)</f>
        <v/>
      </c>
      <c r="AP37" s="85">
        <f>IF(AND(38&gt;=$C$11,38&lt;=$E$11),1,0)</f>
        <v/>
      </c>
      <c r="AQ37" s="85">
        <f>IF(AND(39&gt;=$C$11,39&lt;=$E$11),1,0)</f>
        <v/>
      </c>
      <c r="AR37" s="85">
        <f>IF(AND(40&gt;=$C$11,40&lt;=$E$11),1,0)</f>
        <v/>
      </c>
      <c r="AS37" s="85">
        <f>IF(AND(41&gt;=$C$11,41&lt;=$E$11),1,0)</f>
        <v/>
      </c>
      <c r="AT37" s="85">
        <f>IF(AND(42&gt;=$C$11,42&lt;=$E$11),1,0)</f>
        <v/>
      </c>
      <c r="AU37" s="85">
        <f>IF(AND(43&gt;=$C$11,43&lt;=$E$11),1,0)</f>
        <v/>
      </c>
      <c r="AV37" s="85">
        <f>IF(AND(44&gt;=$C$11,44&lt;=$E$11),1,0)</f>
        <v/>
      </c>
      <c r="AW37" s="85">
        <f>IF(AND(45&gt;=$C$11,45&lt;=$E$11),1,0)</f>
        <v/>
      </c>
      <c r="AX37" s="85">
        <f>IF(AND(46&gt;=$C$11,46&lt;=$E$11),1,0)</f>
        <v/>
      </c>
      <c r="AY37" s="85">
        <f>IF(AND(47&gt;=$C$11,47&lt;=$E$11),1,0)</f>
        <v/>
      </c>
      <c r="AZ37" s="85">
        <f>IF(AND(48&gt;=$C$11,48&lt;=$E$11),1,0)</f>
        <v/>
      </c>
      <c r="BA37" s="85">
        <f>IF(AND(49&gt;=$C$11,49&lt;=$E$11),1,0)</f>
        <v/>
      </c>
      <c r="BB37" s="85">
        <f>IF(AND(50&gt;=$C$11,50&lt;=$E$11),1,0)</f>
        <v/>
      </c>
      <c r="BC37" s="85">
        <f>IF(AND(51&gt;=$C$11,51&lt;=$E$11),1,0)</f>
        <v/>
      </c>
      <c r="BD37" s="85">
        <f>IF(AND(52&gt;=$C$11,52&lt;=$E$11),1,0)</f>
        <v/>
      </c>
      <c r="BE37" s="85">
        <f>IF(AND(53&gt;=$C$11,53&lt;=$E$11),1,0)</f>
        <v/>
      </c>
      <c r="BF37" s="85">
        <f>IF(AND(54&gt;=$C$11,54&lt;=$E$11),1,0)</f>
        <v/>
      </c>
      <c r="BG37" s="85">
        <f>IF(AND(55&gt;=$C$11,55&lt;=$E$11),1,0)</f>
        <v/>
      </c>
      <c r="BH37" s="85">
        <f>IF(AND(56&gt;=$C$11,56&lt;=$E$11),1,0)</f>
        <v/>
      </c>
      <c r="BI37" s="85">
        <f>IF(AND(57&gt;=$C$11,57&lt;=$E$11),1,0)</f>
        <v/>
      </c>
      <c r="BJ37" s="85">
        <f>IF(AND(58&gt;=$C$11,58&lt;=$E$11),1,0)</f>
        <v/>
      </c>
      <c r="BK37" s="85">
        <f>IF(AND(59&gt;=$C$11,59&lt;=$E$11),1,0)</f>
        <v/>
      </c>
      <c r="BL37" s="85">
        <f>IF(AND(60&gt;=$C$11,60&lt;=$E$11),1,0)</f>
        <v/>
      </c>
      <c r="BM37" s="85">
        <f>IF(AND(61&gt;=$C$11,61&lt;=$E$11),1,0)</f>
        <v/>
      </c>
      <c r="BN37" s="85">
        <f>IF(AND(62&gt;=$C$11,62&lt;=$E$11),1,0)</f>
        <v/>
      </c>
      <c r="BO37" s="85">
        <f>IF(AND(63&gt;=$C$11,63&lt;=$E$11),1,0)</f>
        <v/>
      </c>
      <c r="BP37" s="85">
        <f>IF(AND(64&gt;=$C$11,64&lt;=$E$11),1,0)</f>
        <v/>
      </c>
      <c r="BQ37" s="85">
        <f>IF(AND(65&gt;=$C$11,65&lt;=$E$11),1,0)</f>
        <v/>
      </c>
      <c r="BR37" s="85">
        <f>IF(AND(66&gt;=$C$11,66&lt;=$E$11),1,0)</f>
        <v/>
      </c>
      <c r="BS37" s="85">
        <f>IF(AND(67&gt;=$C$11,67&lt;=$E$11),1,0)</f>
        <v/>
      </c>
      <c r="BT37" s="85">
        <f>IF(AND(68&gt;=$C$11,68&lt;=$E$11),1,0)</f>
        <v/>
      </c>
      <c r="BU37" s="85">
        <f>IF(AND(69&gt;=$C$11,69&lt;=$E$11),1,0)</f>
        <v/>
      </c>
      <c r="BV37" s="85">
        <f>IF(AND(70&gt;=$C$11,70&lt;=$E$11),1,0)</f>
        <v/>
      </c>
      <c r="BW37" s="85">
        <f>IF(AND(71&gt;=$C$11,71&lt;=$E$11),1,0)</f>
        <v/>
      </c>
      <c r="BX37" s="85">
        <f>IF(AND(72&gt;=$C$11,72&lt;=$E$11),1,0)</f>
        <v/>
      </c>
      <c r="BY37" s="85">
        <f>IF(AND(73&gt;=$C$11,73&lt;=$E$11),1,0)</f>
        <v/>
      </c>
      <c r="BZ37" s="85">
        <f>IF(AND(74&gt;=$C$11,74&lt;=$E$11),1,0)</f>
        <v/>
      </c>
      <c r="CA37" s="85">
        <f>IF(AND(75&gt;=$C$11,75&lt;=$E$11),1,0)</f>
        <v/>
      </c>
      <c r="CB37" s="85">
        <f>IF(AND(76&gt;=$C$11,76&lt;=$E$11),1,0)</f>
        <v/>
      </c>
      <c r="CC37" s="85">
        <f>IF(AND(77&gt;=$C$11,77&lt;=$E$11),1,0)</f>
        <v/>
      </c>
      <c r="CD37" s="85">
        <f>IF(AND(78&gt;=$C$11,78&lt;=$E$11),1,0)</f>
        <v/>
      </c>
      <c r="CE37" s="85">
        <f>IF(AND(79&gt;=$C$11,79&lt;=$E$11),1,0)</f>
        <v/>
      </c>
      <c r="CF37" s="85">
        <f>IF(AND(80&gt;=$C$11,80&lt;=$E$11),1,0)</f>
        <v/>
      </c>
      <c r="CG37" s="85">
        <f>IF(AND(81&gt;=$C$11,81&lt;=$E$11),1,0)</f>
        <v/>
      </c>
      <c r="CH37" s="85">
        <f>IF(AND(82&gt;=$C$11,82&lt;=$E$11),1,0)</f>
        <v/>
      </c>
      <c r="CI37" s="85">
        <f>IF(AND(83&gt;=$C$11,83&lt;=$E$11),1,0)</f>
        <v/>
      </c>
      <c r="CJ37" s="85">
        <f>IF(AND(84&gt;=$C$11,84&lt;=$E$11),1,0)</f>
        <v/>
      </c>
      <c r="CK37" s="85">
        <f>IF(AND(85&gt;=$C$11,85&lt;=$E$11),1,0)</f>
        <v/>
      </c>
      <c r="CL37" s="85">
        <f>IF(AND(86&gt;=$C$11,86&lt;=$E$11),1,0)</f>
        <v/>
      </c>
      <c r="CM37" s="85">
        <f>IF(AND(87&gt;=$C$11,87&lt;=$E$11),1,0)</f>
        <v/>
      </c>
      <c r="CN37" s="85">
        <f>IF(AND(88&gt;=$C$11,88&lt;=$E$11),1,0)</f>
        <v/>
      </c>
      <c r="CO37" s="85">
        <f>IF(AND(89&gt;=$C$11,89&lt;=$E$11),1,0)</f>
        <v/>
      </c>
      <c r="CP37" s="85">
        <f>IF(AND(90&gt;=$C$11,90&lt;=$E$11),1,0)</f>
        <v/>
      </c>
      <c r="CQ37" s="85">
        <f>IF(AND(91&gt;=$C$11,91&lt;=$E$11),1,0)</f>
        <v/>
      </c>
      <c r="CR37" s="85">
        <f>IF(AND(92&gt;=$C$11,92&lt;=$E$11),1,0)</f>
        <v/>
      </c>
      <c r="CS37" s="85">
        <f>IF(AND(93&gt;=$C$11,93&lt;=$E$11),1,0)</f>
        <v/>
      </c>
      <c r="CT37" s="85">
        <f>IF(AND(94&gt;=$C$11,94&lt;=$E$11),1,0)</f>
        <v/>
      </c>
      <c r="CU37" s="85">
        <f>IF(AND(95&gt;=$C$11,95&lt;=$E$11),1,0)</f>
        <v/>
      </c>
      <c r="CV37" s="85">
        <f>IF(AND(96&gt;=$C$11,96&lt;=$E$11),1,0)</f>
        <v/>
      </c>
      <c r="CW37" s="85">
        <f>IF(AND(97&gt;=$C$11,97&lt;=$E$11),1,0)</f>
        <v/>
      </c>
      <c r="CX37" s="85">
        <f>IF(AND(98&gt;=$C$11,98&lt;=$E$11),1,0)</f>
        <v/>
      </c>
      <c r="CY37" s="85">
        <f>IF(AND(99&gt;=$C$11,99&lt;=$E$11),1,0)</f>
        <v/>
      </c>
      <c r="CZ37" s="85">
        <f>IF(AND(100&gt;=$C$11,100&lt;=$E$11),1,0)</f>
        <v/>
      </c>
      <c r="DA37" s="85">
        <f>IF(AND(101&gt;=$C$11,101&lt;=$E$11),1,0)</f>
        <v/>
      </c>
      <c r="DB37" s="85">
        <f>IF(AND(102&gt;=$C$11,102&lt;=$E$11),1,0)</f>
        <v/>
      </c>
      <c r="DC37" s="85">
        <f>IF(AND(103&gt;=$C$11,103&lt;=$E$11),1,0)</f>
        <v/>
      </c>
      <c r="DD37" s="85">
        <f>IF(AND(104&gt;=$C$11,104&lt;=$E$11),1,0)</f>
        <v/>
      </c>
      <c r="DE37" s="85">
        <f>IF(AND(105&gt;=$C$11,105&lt;=$E$11),1,0)</f>
        <v/>
      </c>
      <c r="DF37" s="85">
        <f>IF(AND(106&gt;=$C$11,106&lt;=$E$11),1,0)</f>
        <v/>
      </c>
      <c r="DG37" s="85">
        <f>IF(AND(107&gt;=$C$11,107&lt;=$E$11),1,0)</f>
        <v/>
      </c>
      <c r="DH37" s="85">
        <f>IF(AND(108&gt;=$C$11,108&lt;=$E$11),1,0)</f>
        <v/>
      </c>
      <c r="DI37" s="85">
        <f>IF(AND(109&gt;=$C$11,109&lt;=$E$11),1,0)</f>
        <v/>
      </c>
      <c r="DJ37" s="85">
        <f>IF(AND(110&gt;=$C$11,110&lt;=$E$11),1,0)</f>
        <v/>
      </c>
      <c r="DK37" s="85">
        <f>IF(AND(111&gt;=$C$11,111&lt;=$E$11),1,0)</f>
        <v/>
      </c>
      <c r="DL37" s="85">
        <f>IF(AND(112&gt;=$C$11,112&lt;=$E$11),1,0)</f>
        <v/>
      </c>
      <c r="DM37" s="85">
        <f>IF(AND(113&gt;=$C$11,113&lt;=$E$11),1,0)</f>
        <v/>
      </c>
      <c r="DN37" s="85">
        <f>IF(AND(114&gt;=$C$11,114&lt;=$E$11),1,0)</f>
        <v/>
      </c>
      <c r="DO37" s="85">
        <f>IF(AND(115&gt;=$C$11,115&lt;=$E$11),1,0)</f>
        <v/>
      </c>
      <c r="DP37" s="85">
        <f>IF(AND(116&gt;=$C$11,116&lt;=$E$11),1,0)</f>
        <v/>
      </c>
      <c r="DQ37" s="85">
        <f>IF(AND(117&gt;=$C$11,117&lt;=$E$11),1,0)</f>
        <v/>
      </c>
      <c r="DR37" s="85">
        <f>IF(AND(118&gt;=$C$11,118&lt;=$E$11),1,0)</f>
        <v/>
      </c>
      <c r="DS37" s="85">
        <f>IF(AND(119&gt;=$C$11,119&lt;=$E$11),1,0)</f>
        <v/>
      </c>
      <c r="DT37" s="85">
        <f>IF(AND(120&gt;=$C$11,120&lt;=$E$11),1,0)</f>
        <v/>
      </c>
      <c r="DU37" s="85">
        <f>IF(AND(121&gt;=$C$11,121&lt;=$E$11),1,0)</f>
        <v/>
      </c>
      <c r="DV37" s="85">
        <f>IF(AND(122&gt;=$C$11,122&lt;=$E$11),1,0)</f>
        <v/>
      </c>
      <c r="DW37" s="85">
        <f>IF(AND(123&gt;=$C$11,123&lt;=$E$11),1,0)</f>
        <v/>
      </c>
      <c r="DX37" s="85">
        <f>IF(AND(124&gt;=$C$11,124&lt;=$E$11),1,0)</f>
        <v/>
      </c>
      <c r="DY37" s="85">
        <f>IF(AND(125&gt;=$C$11,125&lt;=$E$11),1,0)</f>
        <v/>
      </c>
      <c r="DZ37" s="85">
        <f>IF(AND(126&gt;=$C$11,126&lt;=$E$11),1,0)</f>
        <v/>
      </c>
      <c r="EA37" s="85">
        <f>IF(AND(127&gt;=$C$11,127&lt;=$E$11),1,0)</f>
        <v/>
      </c>
      <c r="EB37" s="85">
        <f>IF(AND(128&gt;=$C$11,128&lt;=$E$11),1,0)</f>
        <v/>
      </c>
      <c r="EC37" s="85">
        <f>IF(AND(129&gt;=$C$11,129&lt;=$E$11),1,0)</f>
        <v/>
      </c>
      <c r="ED37" s="85">
        <f>IF(AND(130&gt;=$C$11,130&lt;=$E$11),1,0)</f>
        <v/>
      </c>
      <c r="EE37" s="85">
        <f>IF(AND(131&gt;=$C$11,131&lt;=$E$11),1,0)</f>
        <v/>
      </c>
      <c r="EF37" s="85">
        <f>IF(AND(132&gt;=$C$11,132&lt;=$E$11),1,0)</f>
        <v/>
      </c>
      <c r="EG37" s="85">
        <f>IF(AND(133&gt;=$C$11,133&lt;=$E$11),1,0)</f>
        <v/>
      </c>
      <c r="EH37" s="85">
        <f>IF(AND(134&gt;=$C$11,134&lt;=$E$11),1,0)</f>
        <v/>
      </c>
      <c r="EI37" s="85">
        <f>IF(AND(135&gt;=$C$11,135&lt;=$E$11),1,0)</f>
        <v/>
      </c>
      <c r="EJ37" s="85">
        <f>IF(AND(136&gt;=$C$11,136&lt;=$E$11),1,0)</f>
        <v/>
      </c>
      <c r="EK37" s="85">
        <f>IF(AND(137&gt;=$C$11,137&lt;=$E$11),1,0)</f>
        <v/>
      </c>
      <c r="EL37" s="85">
        <f>IF(AND(138&gt;=$C$11,138&lt;=$E$11),1,0)</f>
        <v/>
      </c>
      <c r="EM37" s="85">
        <f>IF(AND(139&gt;=$C$11,139&lt;=$E$11),1,0)</f>
        <v/>
      </c>
      <c r="EN37" s="85">
        <f>IF(AND(140&gt;=$C$11,140&lt;=$E$11),1,0)</f>
        <v/>
      </c>
      <c r="EO37" s="85">
        <f>IF(AND(141&gt;=$C$11,141&lt;=$E$11),1,0)</f>
        <v/>
      </c>
      <c r="EP37" s="85">
        <f>IF(AND(142&gt;=$C$11,142&lt;=$E$11),1,0)</f>
        <v/>
      </c>
      <c r="EQ37" s="85">
        <f>IF(AND(143&gt;=$C$11,143&lt;=$E$11),1,0)</f>
        <v/>
      </c>
      <c r="ER37" s="85">
        <f>IF(AND(144&gt;=$C$11,144&lt;=$E$11),1,0)</f>
        <v/>
      </c>
      <c r="ES37" s="85">
        <f>IF(AND(145&gt;=$C$11,145&lt;=$E$11),1,0)</f>
        <v/>
      </c>
      <c r="ET37" s="85">
        <f>IF(AND(146&gt;=$C$11,146&lt;=$E$11),1,0)</f>
        <v/>
      </c>
      <c r="EU37" s="85">
        <f>IF(AND(147&gt;=$C$11,147&lt;=$E$11),1,0)</f>
        <v/>
      </c>
      <c r="EV37" s="85">
        <f>IF(AND(148&gt;=$C$11,148&lt;=$E$11),1,0)</f>
        <v/>
      </c>
      <c r="EW37" s="85">
        <f>IF(AND(149&gt;=$C$11,149&lt;=$E$11),1,0)</f>
        <v/>
      </c>
      <c r="EX37" s="85">
        <f>IF(AND(150&gt;=$C$11,150&lt;=$E$11),1,0)</f>
        <v/>
      </c>
      <c r="EY37" s="85">
        <f>IF(AND(151&gt;=$C$11,151&lt;=$E$11),1,0)</f>
        <v/>
      </c>
      <c r="EZ37" s="85">
        <f>IF(AND(152&gt;=$C$11,152&lt;=$E$11),1,0)</f>
        <v/>
      </c>
      <c r="FA37" s="85">
        <f>IF(AND(153&gt;=$C$11,153&lt;=$E$11),1,0)</f>
        <v/>
      </c>
      <c r="FB37" s="85">
        <f>IF(AND(154&gt;=$C$11,154&lt;=$E$11),1,0)</f>
        <v/>
      </c>
      <c r="FC37" s="85">
        <f>IF(AND(155&gt;=$C$11,155&lt;=$E$11),1,0)</f>
        <v/>
      </c>
      <c r="FD37" s="85">
        <f>IF(AND(156&gt;=$C$11,156&lt;=$E$11),1,0)</f>
        <v/>
      </c>
      <c r="FE37" s="85">
        <f>IF(AND(157&gt;=$C$11,157&lt;=$E$11),1,0)</f>
        <v/>
      </c>
      <c r="FF37" s="85">
        <f>IF(AND(158&gt;=$C$11,158&lt;=$E$11),1,0)</f>
        <v/>
      </c>
      <c r="FG37" s="85">
        <f>IF(AND(159&gt;=$C$11,159&lt;=$E$11),1,0)</f>
        <v/>
      </c>
      <c r="FH37" s="85">
        <f>IF(AND(160&gt;=$C$11,160&lt;=$E$11),1,0)</f>
        <v/>
      </c>
      <c r="FI37" s="85">
        <f>IF(AND(161&gt;=$C$11,161&lt;=$E$11),1,0)</f>
        <v/>
      </c>
      <c r="FJ37" s="85">
        <f>IF(AND(162&gt;=$C$11,162&lt;=$E$11),1,0)</f>
        <v/>
      </c>
      <c r="FK37" s="85">
        <f>IF(AND(163&gt;=$C$11,163&lt;=$E$11),1,0)</f>
        <v/>
      </c>
      <c r="FL37" s="85">
        <f>IF(AND(164&gt;=$C$11,164&lt;=$E$11),1,0)</f>
        <v/>
      </c>
      <c r="FM37" s="85">
        <f>IF(AND(165&gt;=$C$11,165&lt;=$E$11),1,0)</f>
        <v/>
      </c>
      <c r="FN37" s="85">
        <f>IF(AND(166&gt;=$C$11,166&lt;=$E$11),1,0)</f>
        <v/>
      </c>
      <c r="FO37" s="85">
        <f>IF(AND(167&gt;=$C$11,167&lt;=$E$11),1,0)</f>
        <v/>
      </c>
      <c r="FP37" s="85">
        <f>IF(AND(168&gt;=$C$11,168&lt;=$E$11),1,0)</f>
        <v/>
      </c>
      <c r="FQ37" s="85">
        <f>IF(AND(169&gt;=$C$11,169&lt;=$E$11),1,0)</f>
        <v/>
      </c>
      <c r="FR37" s="85">
        <f>IF(AND(170&gt;=$C$11,170&lt;=$E$11),1,0)</f>
        <v/>
      </c>
      <c r="FS37" s="85">
        <f>IF(AND(171&gt;=$C$11,171&lt;=$E$11),1,0)</f>
        <v/>
      </c>
      <c r="FT37" s="85">
        <f>IF(AND(172&gt;=$C$11,172&lt;=$E$11),1,0)</f>
        <v/>
      </c>
      <c r="FU37" s="85">
        <f>IF(AND(173&gt;=$C$11,173&lt;=$E$11),1,0)</f>
        <v/>
      </c>
      <c r="FV37" s="85">
        <f>IF(AND(174&gt;=$C$11,174&lt;=$E$11),1,0)</f>
        <v/>
      </c>
      <c r="FW37" s="85">
        <f>IF(AND(175&gt;=$C$11,175&lt;=$E$11),1,0)</f>
        <v/>
      </c>
      <c r="FX37" s="85">
        <f>IF(AND(176&gt;=$C$11,176&lt;=$E$11),1,0)</f>
        <v/>
      </c>
      <c r="FY37" s="85">
        <f>IF(AND(177&gt;=$C$11,177&lt;=$E$11),1,0)</f>
        <v/>
      </c>
      <c r="FZ37" s="85">
        <f>IF(AND(178&gt;=$C$11,178&lt;=$E$11),1,0)</f>
        <v/>
      </c>
      <c r="GA37" s="85">
        <f>IF(AND(179&gt;=$C$11,179&lt;=$E$11),1,0)</f>
        <v/>
      </c>
      <c r="GB37" s="85">
        <f>IF(AND(180&gt;=$C$11,180&lt;=$E$11),1,0)</f>
        <v/>
      </c>
      <c r="GC37" s="85">
        <f>IF(AND(181&gt;=$C$11,181&lt;=$E$11),1,0)</f>
        <v/>
      </c>
      <c r="GD37" s="85">
        <f>IF(AND(182&gt;=$C$11,182&lt;=$E$11),1,0)</f>
        <v/>
      </c>
      <c r="GE37" s="85">
        <f>IF(AND(183&gt;=$C$11,183&lt;=$E$11),1,0)</f>
        <v/>
      </c>
      <c r="GF37" s="85">
        <f>IF(AND(184&gt;=$C$11,184&lt;=$E$11),1,0)</f>
        <v/>
      </c>
      <c r="GG37" s="85">
        <f>IF(AND(185&gt;=$C$11,185&lt;=$E$11),1,0)</f>
        <v/>
      </c>
      <c r="GH37" s="85">
        <f>IF(AND(186&gt;=$C$11,186&lt;=$E$11),1,0)</f>
        <v/>
      </c>
      <c r="GI37" s="85">
        <f>IF(AND(187&gt;=$C$11,187&lt;=$E$11),1,0)</f>
        <v/>
      </c>
      <c r="GJ37" s="85">
        <f>IF(AND(188&gt;=$C$11,188&lt;=$E$11),1,0)</f>
        <v/>
      </c>
      <c r="GK37" s="85">
        <f>IF(AND(189&gt;=$C$11,189&lt;=$E$11),1,0)</f>
        <v/>
      </c>
      <c r="GL37" s="85">
        <f>IF(AND(190&gt;=$C$11,190&lt;=$E$11),1,0)</f>
        <v/>
      </c>
      <c r="GM37" s="85">
        <f>IF(AND(191&gt;=$C$11,191&lt;=$E$11),1,0)</f>
        <v/>
      </c>
      <c r="GN37" s="85">
        <f>IF(AND(192&gt;=$C$11,192&lt;=$E$11),1,0)</f>
        <v/>
      </c>
      <c r="GO37" s="85">
        <f>IF(AND(193&gt;=$C$11,193&lt;=$E$11),1,0)</f>
        <v/>
      </c>
      <c r="GP37" s="85">
        <f>IF(AND(194&gt;=$C$11,194&lt;=$E$11),1,0)</f>
        <v/>
      </c>
      <c r="GQ37" s="85">
        <f>IF(AND(195&gt;=$C$11,195&lt;=$E$11),1,0)</f>
        <v/>
      </c>
      <c r="GR37" s="85">
        <f>IF(AND(196&gt;=$C$11,196&lt;=$E$11),1,0)</f>
        <v/>
      </c>
      <c r="GS37" s="85">
        <f>IF(AND(197&gt;=$C$11,197&lt;=$E$11),1,0)</f>
        <v/>
      </c>
      <c r="GT37" s="85">
        <f>IF(AND(198&gt;=$C$11,198&lt;=$E$11),1,0)</f>
        <v/>
      </c>
      <c r="GU37" s="85">
        <f>IF(AND(199&gt;=$C$11,199&lt;=$E$11),1,0)</f>
        <v/>
      </c>
      <c r="GV37" s="85">
        <f>IF(AND(200&gt;=$C$11,200&lt;=$E$11),1,0)</f>
        <v/>
      </c>
      <c r="GW37" s="85">
        <f>IF(AND(201&gt;=$C$11,201&lt;=$E$11),1,0)</f>
        <v/>
      </c>
      <c r="GX37" s="85">
        <f>IF(AND(202&gt;=$C$11,202&lt;=$E$11),1,0)</f>
        <v/>
      </c>
      <c r="GY37" s="85">
        <f>IF(AND(203&gt;=$C$11,203&lt;=$E$11),1,0)</f>
        <v/>
      </c>
      <c r="GZ37" s="85">
        <f>IF(AND(204&gt;=$C$11,204&lt;=$E$11),1,0)</f>
        <v/>
      </c>
      <c r="HA37" s="85">
        <f>IF(AND(205&gt;=$C$11,205&lt;=$E$11),1,0)</f>
        <v/>
      </c>
      <c r="HB37" s="85">
        <f>IF(AND(206&gt;=$C$11,206&lt;=$E$11),1,0)</f>
        <v/>
      </c>
      <c r="HC37" s="85">
        <f>IF(AND(207&gt;=$C$11,207&lt;=$E$11),1,0)</f>
        <v/>
      </c>
      <c r="HD37" s="85">
        <f>IF(AND(208&gt;=$C$11,208&lt;=$E$11),1,0)</f>
        <v/>
      </c>
      <c r="HE37" s="85">
        <f>IF(AND(209&gt;=$C$11,209&lt;=$E$11),1,0)</f>
        <v/>
      </c>
      <c r="HF37" s="85">
        <f>IF(AND(210&gt;=$C$11,210&lt;=$E$11),1,0)</f>
        <v/>
      </c>
      <c r="HG37" s="85">
        <f>IF(AND(211&gt;=$C$11,211&lt;=$E$11),1,0)</f>
        <v/>
      </c>
      <c r="HH37" s="85">
        <f>IF(AND(212&gt;=$C$11,212&lt;=$E$11),1,0)</f>
        <v/>
      </c>
      <c r="HI37" s="85">
        <f>IF(AND(213&gt;=$C$11,213&lt;=$E$11),1,0)</f>
        <v/>
      </c>
      <c r="HJ37" s="85">
        <f>IF(AND(214&gt;=$C$11,214&lt;=$E$11),1,0)</f>
        <v/>
      </c>
      <c r="HK37" s="85">
        <f>IF(AND(215&gt;=$C$11,215&lt;=$E$11),1,0)</f>
        <v/>
      </c>
      <c r="HL37" s="85">
        <f>IF(AND(216&gt;=$C$11,216&lt;=$E$11),1,0)</f>
        <v/>
      </c>
      <c r="HM37" s="85">
        <f>IF(AND(217&gt;=$C$11,217&lt;=$E$11),1,0)</f>
        <v/>
      </c>
      <c r="HN37" s="85">
        <f>IF(AND(218&gt;=$C$11,218&lt;=$E$11),1,0)</f>
        <v/>
      </c>
      <c r="HO37" s="85">
        <f>IF(AND(219&gt;=$C$11,219&lt;=$E$11),1,0)</f>
        <v/>
      </c>
      <c r="HP37" s="85">
        <f>IF(AND(220&gt;=$C$11,220&lt;=$E$11),1,0)</f>
        <v/>
      </c>
      <c r="HQ37" s="85">
        <f>IF(AND(221&gt;=$C$11,221&lt;=$E$11),1,0)</f>
        <v/>
      </c>
      <c r="HR37" s="85">
        <f>IF(AND(222&gt;=$C$11,222&lt;=$E$11),1,0)</f>
        <v/>
      </c>
      <c r="HS37" s="85">
        <f>IF(AND(223&gt;=$C$11,223&lt;=$E$11),1,0)</f>
        <v/>
      </c>
      <c r="HT37" s="85">
        <f>IF(AND(224&gt;=$C$11,224&lt;=$E$11),1,0)</f>
        <v/>
      </c>
      <c r="HU37" s="85">
        <f>IF(AND(225&gt;=$C$11,225&lt;=$E$11),1,0)</f>
        <v/>
      </c>
      <c r="HV37" s="85">
        <f>IF(AND(226&gt;=$C$11,226&lt;=$E$11),1,0)</f>
        <v/>
      </c>
      <c r="HW37" s="85">
        <f>IF(AND(227&gt;=$C$11,227&lt;=$E$11),1,0)</f>
        <v/>
      </c>
      <c r="HX37" s="85">
        <f>IF(AND(228&gt;=$C$11,228&lt;=$E$11),1,0)</f>
        <v/>
      </c>
      <c r="HY37" s="85">
        <f>IF(AND(229&gt;=$C$11,229&lt;=$E$11),1,0)</f>
        <v/>
      </c>
      <c r="HZ37" s="85">
        <f>IF(AND(230&gt;=$C$11,230&lt;=$E$11),1,0)</f>
        <v/>
      </c>
      <c r="IA37" s="85">
        <f>IF(AND(231&gt;=$C$11,231&lt;=$E$11),1,0)</f>
        <v/>
      </c>
      <c r="IB37" s="85">
        <f>IF(AND(232&gt;=$C$11,232&lt;=$E$11),1,0)</f>
        <v/>
      </c>
      <c r="IC37" s="85">
        <f>IF(AND(233&gt;=$C$11,233&lt;=$E$11),1,0)</f>
        <v/>
      </c>
      <c r="ID37" s="85">
        <f>IF(AND(234&gt;=$C$11,234&lt;=$E$11),1,0)</f>
        <v/>
      </c>
      <c r="IE37" s="85">
        <f>IF(AND(235&gt;=$C$11,235&lt;=$E$11),1,0)</f>
        <v/>
      </c>
      <c r="IF37" s="85">
        <f>IF(AND(236&gt;=$C$11,236&lt;=$E$11),1,0)</f>
        <v/>
      </c>
      <c r="IG37" s="85">
        <f>IF(AND(237&gt;=$C$11,237&lt;=$E$11),1,0)</f>
        <v/>
      </c>
      <c r="IH37" s="85">
        <f>IF(AND(238&gt;=$C$11,238&lt;=$E$11),1,0)</f>
        <v/>
      </c>
      <c r="II37" s="85">
        <f>IF(AND(239&gt;=$C$11,239&lt;=$E$11),1,0)</f>
        <v/>
      </c>
      <c r="IJ37" s="85">
        <f>IF(AND(240&gt;=$C$11,240&lt;=$E$11),1,0)</f>
        <v/>
      </c>
      <c r="IK37" s="85">
        <f>IF(AND(241&gt;=$C$11,241&lt;=$E$11),1,0)</f>
        <v/>
      </c>
      <c r="IL37" s="85">
        <f>IF(AND(242&gt;=$C$11,242&lt;=$E$11),1,0)</f>
        <v/>
      </c>
      <c r="IM37" s="85">
        <f>IF(AND(243&gt;=$C$11,243&lt;=$E$11),1,0)</f>
        <v/>
      </c>
      <c r="IN37" s="85">
        <f>IF(AND(244&gt;=$C$11,244&lt;=$E$11),1,0)</f>
        <v/>
      </c>
      <c r="IO37" s="85">
        <f>IF(AND(245&gt;=$C$11,245&lt;=$E$11),1,0)</f>
        <v/>
      </c>
      <c r="IP37" s="85">
        <f>IF(AND(246&gt;=$C$11,246&lt;=$E$11),1,0)</f>
        <v/>
      </c>
      <c r="IQ37" s="85">
        <f>IF(AND(247&gt;=$C$11,247&lt;=$E$11),1,0)</f>
        <v/>
      </c>
      <c r="IR37" s="85">
        <f>IF(AND(248&gt;=$C$11,248&lt;=$E$11),1,0)</f>
        <v/>
      </c>
      <c r="IS37" s="85">
        <f>IF(AND(249&gt;=$C$11,249&lt;=$E$11),1,0)</f>
        <v/>
      </c>
      <c r="IT37" s="85">
        <f>IF(AND(250&gt;=$C$11,250&lt;=$E$11),1,0)</f>
        <v/>
      </c>
      <c r="IU37" s="85">
        <f>IF(AND(251&gt;=$C$11,251&lt;=$E$11),1,0)</f>
        <v/>
      </c>
      <c r="IV37" s="85">
        <f>IF(AND(252&gt;=$C$11,252&lt;=$E$11),1,0)</f>
        <v/>
      </c>
      <c r="IW37" s="85">
        <f>IF(AND(253&gt;=$C$11,253&lt;=$E$11),1,0)</f>
        <v/>
      </c>
      <c r="IX37" s="85">
        <f>IF(AND(254&gt;=$C$11,254&lt;=$E$11),1,0)</f>
        <v/>
      </c>
      <c r="IY37" s="85">
        <f>IF(AND(255&gt;=$C$11,255&lt;=$E$11),1,0)</f>
        <v/>
      </c>
      <c r="IZ37" s="85">
        <f>IF(AND(256&gt;=$C$11,256&lt;=$E$11),1,0)</f>
        <v/>
      </c>
      <c r="JA37" s="85">
        <f>IF(AND(257&gt;=$C$11,257&lt;=$E$11),1,0)</f>
        <v/>
      </c>
      <c r="JB37" s="85">
        <f>IF(AND(258&gt;=$C$11,258&lt;=$E$11),1,0)</f>
        <v/>
      </c>
      <c r="JC37" s="85">
        <f>IF(AND(259&gt;=$C$11,259&lt;=$E$11),1,0)</f>
        <v/>
      </c>
      <c r="JD37" s="85">
        <f>IF(AND(260&gt;=$C$11,260&lt;=$E$11),1,0)</f>
        <v/>
      </c>
      <c r="JE37" s="85">
        <f>IF(AND(261&gt;=$C$11,261&lt;=$E$11),1,0)</f>
        <v/>
      </c>
      <c r="JF37" s="85">
        <f>IF(AND(262&gt;=$C$11,262&lt;=$E$11),1,0)</f>
        <v/>
      </c>
      <c r="JG37" s="85">
        <f>IF(AND(263&gt;=$C$11,263&lt;=$E$11),1,0)</f>
        <v/>
      </c>
      <c r="JH37" s="85">
        <f>IF(AND(264&gt;=$C$11,264&lt;=$E$11),1,0)</f>
        <v/>
      </c>
      <c r="JI37" s="85">
        <f>IF(AND(265&gt;=$C$11,265&lt;=$E$11),1,0)</f>
        <v/>
      </c>
      <c r="JJ37" s="85">
        <f>IF(AND(266&gt;=$C$11,266&lt;=$E$11),1,0)</f>
        <v/>
      </c>
      <c r="JK37" s="85">
        <f>IF(AND(267&gt;=$C$11,267&lt;=$E$11),1,0)</f>
        <v/>
      </c>
      <c r="JL37" s="85">
        <f>IF(AND(268&gt;=$C$11,268&lt;=$E$11),1,0)</f>
        <v/>
      </c>
      <c r="JM37" s="85">
        <f>IF(AND(269&gt;=$C$11,269&lt;=$E$11),1,0)</f>
        <v/>
      </c>
      <c r="JN37" s="85">
        <f>IF(AND(270&gt;=$C$11,270&lt;=$E$11),1,0)</f>
        <v/>
      </c>
      <c r="JO37" s="85">
        <f>IF(AND(271&gt;=$C$11,271&lt;=$E$11),1,0)</f>
        <v/>
      </c>
      <c r="JP37" s="85">
        <f>IF(AND(272&gt;=$C$11,272&lt;=$E$11),1,0)</f>
        <v/>
      </c>
      <c r="JQ37" s="85">
        <f>IF(AND(273&gt;=$C$11,273&lt;=$E$11),1,0)</f>
        <v/>
      </c>
      <c r="JR37" s="85">
        <f>IF(AND(274&gt;=$C$11,274&lt;=$E$11),1,0)</f>
        <v/>
      </c>
      <c r="JS37" s="85">
        <f>IF(AND(275&gt;=$C$11,275&lt;=$E$11),1,0)</f>
        <v/>
      </c>
      <c r="JT37" s="85">
        <f>IF(AND(276&gt;=$C$11,276&lt;=$E$11),1,0)</f>
        <v/>
      </c>
      <c r="JU37" s="85">
        <f>IF(AND(277&gt;=$C$11,277&lt;=$E$11),1,0)</f>
        <v/>
      </c>
      <c r="JV37" s="85">
        <f>IF(AND(278&gt;=$C$11,278&lt;=$E$11),1,0)</f>
        <v/>
      </c>
      <c r="JW37" s="85">
        <f>IF(AND(279&gt;=$C$11,279&lt;=$E$11),1,0)</f>
        <v/>
      </c>
      <c r="JX37" s="85">
        <f>IF(AND(280&gt;=$C$11,280&lt;=$E$11),1,0)</f>
        <v/>
      </c>
      <c r="JY37" s="85">
        <f>IF(AND(281&gt;=$C$11,281&lt;=$E$11),1,0)</f>
        <v/>
      </c>
      <c r="JZ37" s="85">
        <f>IF(AND(282&gt;=$C$11,282&lt;=$E$11),1,0)</f>
        <v/>
      </c>
      <c r="KA37" s="85">
        <f>IF(AND(283&gt;=$C$11,283&lt;=$E$11),1,0)</f>
        <v/>
      </c>
      <c r="KB37" s="85">
        <f>IF(AND(284&gt;=$C$11,284&lt;=$E$11),1,0)</f>
        <v/>
      </c>
      <c r="KC37" s="85">
        <f>IF(AND(285&gt;=$C$11,285&lt;=$E$11),1,0)</f>
        <v/>
      </c>
      <c r="KD37" s="85">
        <f>IF(AND(286&gt;=$C$11,286&lt;=$E$11),1,0)</f>
        <v/>
      </c>
      <c r="KE37" s="85">
        <f>IF(AND(287&gt;=$C$11,287&lt;=$E$11),1,0)</f>
        <v/>
      </c>
      <c r="KF37" s="85">
        <f>IF(AND(288&gt;=$C$11,288&lt;=$E$11),1,0)</f>
        <v/>
      </c>
      <c r="KG37" s="85">
        <f>IF(AND(289&gt;=$C$11,289&lt;=$E$11),1,0)</f>
        <v/>
      </c>
      <c r="KH37" s="85">
        <f>IF(AND(290&gt;=$C$11,290&lt;=$E$11),1,0)</f>
        <v/>
      </c>
      <c r="KI37" s="85">
        <f>IF(AND(291&gt;=$C$11,291&lt;=$E$11),1,0)</f>
        <v/>
      </c>
      <c r="KJ37" s="85">
        <f>IF(AND(292&gt;=$C$11,292&lt;=$E$11),1,0)</f>
        <v/>
      </c>
      <c r="KK37" s="85">
        <f>IF(AND(293&gt;=$C$11,293&lt;=$E$11),1,0)</f>
        <v/>
      </c>
      <c r="KL37" s="85">
        <f>IF(AND(294&gt;=$C$11,294&lt;=$E$11),1,0)</f>
        <v/>
      </c>
      <c r="KM37" s="85">
        <f>IF(AND(295&gt;=$C$11,295&lt;=$E$11),1,0)</f>
        <v/>
      </c>
      <c r="KN37" s="85">
        <f>IF(AND(296&gt;=$C$11,296&lt;=$E$11),1,0)</f>
        <v/>
      </c>
      <c r="KO37" s="85">
        <f>IF(AND(297&gt;=$C$11,297&lt;=$E$11),1,0)</f>
        <v/>
      </c>
      <c r="KP37" s="85">
        <f>IF(AND(298&gt;=$C$11,298&lt;=$E$11),1,0)</f>
        <v/>
      </c>
      <c r="KQ37" s="85">
        <f>IF(AND(299&gt;=$C$11,299&lt;=$E$11),1,0)</f>
        <v/>
      </c>
      <c r="KR37" s="85">
        <f>IF(AND(300&gt;=$C$11,300&lt;=$E$11),1,0)</f>
        <v/>
      </c>
      <c r="KS37" s="85">
        <f>IF(AND(301&gt;=$C$11,301&lt;=$E$11),1,0)</f>
        <v/>
      </c>
      <c r="KT37" s="85">
        <f>IF(AND(302&gt;=$C$11,302&lt;=$E$11),1,0)</f>
        <v/>
      </c>
      <c r="KU37" s="85">
        <f>IF(AND(303&gt;=$C$11,303&lt;=$E$11),1,0)</f>
        <v/>
      </c>
      <c r="KV37" s="85">
        <f>IF(AND(304&gt;=$C$11,304&lt;=$E$11),1,0)</f>
        <v/>
      </c>
      <c r="KW37" s="85">
        <f>IF(AND(305&gt;=$C$11,305&lt;=$E$11),1,0)</f>
        <v/>
      </c>
      <c r="KX37" s="85">
        <f>IF(AND(306&gt;=$C$11,306&lt;=$E$11),1,0)</f>
        <v/>
      </c>
      <c r="KY37" s="85">
        <f>IF(AND(307&gt;=$C$11,307&lt;=$E$11),1,0)</f>
        <v/>
      </c>
      <c r="KZ37" s="85">
        <f>IF(AND(308&gt;=$C$11,308&lt;=$E$11),1,0)</f>
        <v/>
      </c>
      <c r="LA37" s="85">
        <f>IF(AND(309&gt;=$C$11,309&lt;=$E$11),1,0)</f>
        <v/>
      </c>
      <c r="LB37" s="85">
        <f>IF(AND(310&gt;=$C$11,310&lt;=$E$11),1,0)</f>
        <v/>
      </c>
      <c r="LC37" s="85">
        <f>IF(AND(311&gt;=$C$11,311&lt;=$E$11),1,0)</f>
        <v/>
      </c>
      <c r="LD37" s="85">
        <f>IF(AND(312&gt;=$C$11,312&lt;=$E$11),1,0)</f>
        <v/>
      </c>
      <c r="LE37" s="85">
        <f>IF(AND(313&gt;=$C$11,313&lt;=$E$11),1,0)</f>
        <v/>
      </c>
      <c r="LF37" s="85">
        <f>IF(AND(314&gt;=$C$11,314&lt;=$E$11),1,0)</f>
        <v/>
      </c>
      <c r="LG37" s="85">
        <f>IF(AND(315&gt;=$C$11,315&lt;=$E$11),1,0)</f>
        <v/>
      </c>
      <c r="LH37" s="85">
        <f>IF(AND(316&gt;=$C$11,316&lt;=$E$11),1,0)</f>
        <v/>
      </c>
      <c r="LI37" s="85">
        <f>IF(AND(317&gt;=$C$11,317&lt;=$E$11),1,0)</f>
        <v/>
      </c>
      <c r="LJ37" s="85">
        <f>IF(AND(318&gt;=$C$11,318&lt;=$E$11),1,0)</f>
        <v/>
      </c>
      <c r="LK37" s="85">
        <f>IF(AND(319&gt;=$C$11,319&lt;=$E$11),1,0)</f>
        <v/>
      </c>
      <c r="LL37" s="85">
        <f>IF(AND(320&gt;=$C$11,320&lt;=$E$11),1,0)</f>
        <v/>
      </c>
      <c r="LM37" s="85">
        <f>IF(AND(321&gt;=$C$11,321&lt;=$E$11),1,0)</f>
        <v/>
      </c>
      <c r="LN37" s="85">
        <f>IF(AND(322&gt;=$C$11,322&lt;=$E$11),1,0)</f>
        <v/>
      </c>
      <c r="LO37" s="85">
        <f>IF(AND(323&gt;=$C$11,323&lt;=$E$11),1,0)</f>
        <v/>
      </c>
      <c r="LP37" s="85">
        <f>IF(AND(324&gt;=$C$11,324&lt;=$E$11),1,0)</f>
        <v/>
      </c>
      <c r="LQ37" s="85">
        <f>IF(AND(325&gt;=$C$11,325&lt;=$E$11),1,0)</f>
        <v/>
      </c>
      <c r="LR37" s="85">
        <f>IF(AND(326&gt;=$C$11,326&lt;=$E$11),1,0)</f>
        <v/>
      </c>
      <c r="LS37" s="85">
        <f>IF(AND(327&gt;=$C$11,327&lt;=$E$11),1,0)</f>
        <v/>
      </c>
      <c r="LT37" s="85">
        <f>IF(AND(328&gt;=$C$11,328&lt;=$E$11),1,0)</f>
        <v/>
      </c>
      <c r="LU37" s="85">
        <f>IF(AND(329&gt;=$C$11,329&lt;=$E$11),1,0)</f>
        <v/>
      </c>
      <c r="LV37" s="85">
        <f>IF(AND(330&gt;=$C$11,330&lt;=$E$11),1,0)</f>
        <v/>
      </c>
      <c r="LW37" s="85">
        <f>IF(AND(331&gt;=$C$11,331&lt;=$E$11),1,0)</f>
        <v/>
      </c>
      <c r="LX37" s="85">
        <f>IF(AND(332&gt;=$C$11,332&lt;=$E$11),1,0)</f>
        <v/>
      </c>
      <c r="LY37" s="85">
        <f>IF(AND(333&gt;=$C$11,333&lt;=$E$11),1,0)</f>
        <v/>
      </c>
      <c r="LZ37" s="85">
        <f>IF(AND(334&gt;=$C$11,334&lt;=$E$11),1,0)</f>
        <v/>
      </c>
      <c r="MA37" s="85">
        <f>IF(AND(335&gt;=$C$11,335&lt;=$E$11),1,0)</f>
        <v/>
      </c>
      <c r="MB37" s="85">
        <f>IF(AND(336&gt;=$C$11,336&lt;=$E$11),1,0)</f>
        <v/>
      </c>
      <c r="MC37" s="85">
        <f>IF(AND(337&gt;=$C$11,337&lt;=$E$11),1,0)</f>
        <v/>
      </c>
      <c r="MD37" s="85">
        <f>IF(AND(338&gt;=$C$11,338&lt;=$E$11),1,0)</f>
        <v/>
      </c>
      <c r="ME37" s="85">
        <f>IF(AND(339&gt;=$C$11,339&lt;=$E$11),1,0)</f>
        <v/>
      </c>
      <c r="MF37" s="85">
        <f>IF(AND(340&gt;=$C$11,340&lt;=$E$11),1,0)</f>
        <v/>
      </c>
      <c r="MG37" s="85">
        <f>IF(AND(341&gt;=$C$11,341&lt;=$E$11),1,0)</f>
        <v/>
      </c>
      <c r="MH37" s="85">
        <f>IF(AND(342&gt;=$C$11,342&lt;=$E$11),1,0)</f>
        <v/>
      </c>
      <c r="MI37" s="85">
        <f>IF(AND(343&gt;=$C$11,343&lt;=$E$11),1,0)</f>
        <v/>
      </c>
      <c r="MJ37" s="85">
        <f>IF(AND(344&gt;=$C$11,344&lt;=$E$11),1,0)</f>
        <v/>
      </c>
      <c r="MK37" s="85">
        <f>IF(AND(345&gt;=$C$11,345&lt;=$E$11),1,0)</f>
        <v/>
      </c>
      <c r="ML37" s="85">
        <f>IF(AND(346&gt;=$C$11,346&lt;=$E$11),1,0)</f>
        <v/>
      </c>
      <c r="MM37" s="85">
        <f>IF(AND(347&gt;=$C$11,347&lt;=$E$11),1,0)</f>
        <v/>
      </c>
      <c r="MN37" s="85">
        <f>IF(AND(348&gt;=$C$11,348&lt;=$E$11),1,0)</f>
        <v/>
      </c>
      <c r="MO37" s="85">
        <f>IF(AND(349&gt;=$C$11,349&lt;=$E$11),1,0)</f>
        <v/>
      </c>
      <c r="MP37" s="85">
        <f>IF(AND(350&gt;=$C$11,350&lt;=$E$11),1,0)</f>
        <v/>
      </c>
      <c r="MQ37" s="85">
        <f>IF(AND(351&gt;=$C$11,351&lt;=$E$11),1,0)</f>
        <v/>
      </c>
      <c r="MR37" s="85">
        <f>IF(AND(352&gt;=$C$11,352&lt;=$E$11),1,0)</f>
        <v/>
      </c>
      <c r="MS37" s="85">
        <f>IF(AND(353&gt;=$C$11,353&lt;=$E$11),1,0)</f>
        <v/>
      </c>
      <c r="MT37" s="85">
        <f>IF(AND(354&gt;=$C$11,354&lt;=$E$11),1,0)</f>
        <v/>
      </c>
      <c r="MU37" s="85">
        <f>IF(AND(355&gt;=$C$11,355&lt;=$E$11),1,0)</f>
        <v/>
      </c>
      <c r="MV37" s="85">
        <f>IF(AND(356&gt;=$C$11,356&lt;=$E$11),1,0)</f>
        <v/>
      </c>
      <c r="MW37" s="85">
        <f>IF(AND(357&gt;=$C$11,357&lt;=$E$11),1,0)</f>
        <v/>
      </c>
      <c r="MX37" s="85">
        <f>IF(AND(358&gt;=$C$11,358&lt;=$E$11),1,0)</f>
        <v/>
      </c>
      <c r="MY37" s="85">
        <f>IF(AND(359&gt;=$C$11,359&lt;=$E$11),1,0)</f>
        <v/>
      </c>
      <c r="MZ37" s="85">
        <f>IF(AND(360&gt;=$C$11,360&lt;=$E$11),1,0)</f>
        <v/>
      </c>
      <c r="NA37" s="85">
        <f>IF(AND(361&gt;=$C$11,361&lt;=$E$11),1,0)</f>
        <v/>
      </c>
      <c r="NB37" s="85">
        <f>IF(AND(362&gt;=$C$11,362&lt;=$E$11),1,0)</f>
        <v/>
      </c>
      <c r="NC37" s="85">
        <f>IF(AND(363&gt;=$C$11,363&lt;=$E$11),1,0)</f>
        <v/>
      </c>
      <c r="ND37" s="85">
        <f>IF(AND(364&gt;=$C$11,364&lt;=$E$11),1,0)</f>
        <v/>
      </c>
      <c r="NE37" s="85">
        <f>IF(AND(365&gt;=$C$11,365&lt;=$E$11),1,0)</f>
        <v/>
      </c>
      <c r="NF37" s="85">
        <f>IF(AND(366&gt;=$C$11,366&lt;=$E$11),1,0)</f>
        <v/>
      </c>
      <c r="NG37" s="85">
        <f>IF(AND(367&gt;=$C$11,367&lt;=$E$11),1,0)</f>
        <v/>
      </c>
      <c r="NH37" s="85">
        <f>IF(AND(368&gt;=$C$11,368&lt;=$E$11),1,0)</f>
        <v/>
      </c>
      <c r="NI37" s="85">
        <f>IF(AND(369&gt;=$C$11,369&lt;=$E$11),1,0)</f>
        <v/>
      </c>
      <c r="NJ37" s="85">
        <f>IF(AND(370&gt;=$C$11,370&lt;=$E$11),1,0)</f>
        <v/>
      </c>
      <c r="NK37" s="85">
        <f>IF(AND(371&gt;=$C$11,371&lt;=$E$11),1,0)</f>
        <v/>
      </c>
      <c r="NL37" s="85">
        <f>IF(AND(372&gt;=$C$11,372&lt;=$E$11),1,0)</f>
        <v/>
      </c>
    </row>
    <row r="38">
      <c r="B38" s="36" t="inlineStr">
        <is>
          <t>Flag: Stabilization</t>
        </is>
      </c>
      <c r="D38" s="124" t="n"/>
      <c r="E38" s="85">
        <f>IF(AND(1&gt;=$C$12,1&lt;=$E$12),1,0)</f>
        <v/>
      </c>
      <c r="F38" s="85">
        <f>IF(AND(2&gt;=$C$12,2&lt;=$E$12),1,0)</f>
        <v/>
      </c>
      <c r="G38" s="85">
        <f>IF(AND(3&gt;=$C$12,3&lt;=$E$12),1,0)</f>
        <v/>
      </c>
      <c r="H38" s="85">
        <f>IF(AND(4&gt;=$C$12,4&lt;=$E$12),1,0)</f>
        <v/>
      </c>
      <c r="I38" s="85">
        <f>IF(AND(5&gt;=$C$12,5&lt;=$E$12),1,0)</f>
        <v/>
      </c>
      <c r="J38" s="85">
        <f>IF(AND(6&gt;=$C$12,6&lt;=$E$12),1,0)</f>
        <v/>
      </c>
      <c r="K38" s="85">
        <f>IF(AND(7&gt;=$C$12,7&lt;=$E$12),1,0)</f>
        <v/>
      </c>
      <c r="L38" s="85">
        <f>IF(AND(8&gt;=$C$12,8&lt;=$E$12),1,0)</f>
        <v/>
      </c>
      <c r="M38" s="85">
        <f>IF(AND(9&gt;=$C$12,9&lt;=$E$12),1,0)</f>
        <v/>
      </c>
      <c r="N38" s="85">
        <f>IF(AND(10&gt;=$C$12,10&lt;=$E$12),1,0)</f>
        <v/>
      </c>
      <c r="O38" s="85">
        <f>IF(AND(11&gt;=$C$12,11&lt;=$E$12),1,0)</f>
        <v/>
      </c>
      <c r="P38" s="85">
        <f>IF(AND(12&gt;=$C$12,12&lt;=$E$12),1,0)</f>
        <v/>
      </c>
      <c r="Q38" s="85">
        <f>IF(AND(13&gt;=$C$12,13&lt;=$E$12),1,0)</f>
        <v/>
      </c>
      <c r="R38" s="85">
        <f>IF(AND(14&gt;=$C$12,14&lt;=$E$12),1,0)</f>
        <v/>
      </c>
      <c r="S38" s="85">
        <f>IF(AND(15&gt;=$C$12,15&lt;=$E$12),1,0)</f>
        <v/>
      </c>
      <c r="T38" s="85">
        <f>IF(AND(16&gt;=$C$12,16&lt;=$E$12),1,0)</f>
        <v/>
      </c>
      <c r="U38" s="85">
        <f>IF(AND(17&gt;=$C$12,17&lt;=$E$12),1,0)</f>
        <v/>
      </c>
      <c r="V38" s="85">
        <f>IF(AND(18&gt;=$C$12,18&lt;=$E$12),1,0)</f>
        <v/>
      </c>
      <c r="W38" s="85">
        <f>IF(AND(19&gt;=$C$12,19&lt;=$E$12),1,0)</f>
        <v/>
      </c>
      <c r="X38" s="85">
        <f>IF(AND(20&gt;=$C$12,20&lt;=$E$12),1,0)</f>
        <v/>
      </c>
      <c r="Y38" s="85">
        <f>IF(AND(21&gt;=$C$12,21&lt;=$E$12),1,0)</f>
        <v/>
      </c>
      <c r="Z38" s="85">
        <f>IF(AND(22&gt;=$C$12,22&lt;=$E$12),1,0)</f>
        <v/>
      </c>
      <c r="AA38" s="85">
        <f>IF(AND(23&gt;=$C$12,23&lt;=$E$12),1,0)</f>
        <v/>
      </c>
      <c r="AB38" s="85">
        <f>IF(AND(24&gt;=$C$12,24&lt;=$E$12),1,0)</f>
        <v/>
      </c>
      <c r="AC38" s="85">
        <f>IF(AND(25&gt;=$C$12,25&lt;=$E$12),1,0)</f>
        <v/>
      </c>
      <c r="AD38" s="85">
        <f>IF(AND(26&gt;=$C$12,26&lt;=$E$12),1,0)</f>
        <v/>
      </c>
      <c r="AE38" s="85">
        <f>IF(AND(27&gt;=$C$12,27&lt;=$E$12),1,0)</f>
        <v/>
      </c>
      <c r="AF38" s="85">
        <f>IF(AND(28&gt;=$C$12,28&lt;=$E$12),1,0)</f>
        <v/>
      </c>
      <c r="AG38" s="85">
        <f>IF(AND(29&gt;=$C$12,29&lt;=$E$12),1,0)</f>
        <v/>
      </c>
      <c r="AH38" s="85">
        <f>IF(AND(30&gt;=$C$12,30&lt;=$E$12),1,0)</f>
        <v/>
      </c>
      <c r="AI38" s="85">
        <f>IF(AND(31&gt;=$C$12,31&lt;=$E$12),1,0)</f>
        <v/>
      </c>
      <c r="AJ38" s="85">
        <f>IF(AND(32&gt;=$C$12,32&lt;=$E$12),1,0)</f>
        <v/>
      </c>
      <c r="AK38" s="85">
        <f>IF(AND(33&gt;=$C$12,33&lt;=$E$12),1,0)</f>
        <v/>
      </c>
      <c r="AL38" s="85">
        <f>IF(AND(34&gt;=$C$12,34&lt;=$E$12),1,0)</f>
        <v/>
      </c>
      <c r="AM38" s="85">
        <f>IF(AND(35&gt;=$C$12,35&lt;=$E$12),1,0)</f>
        <v/>
      </c>
      <c r="AN38" s="85">
        <f>IF(AND(36&gt;=$C$12,36&lt;=$E$12),1,0)</f>
        <v/>
      </c>
      <c r="AO38" s="85">
        <f>IF(AND(37&gt;=$C$12,37&lt;=$E$12),1,0)</f>
        <v/>
      </c>
      <c r="AP38" s="85">
        <f>IF(AND(38&gt;=$C$12,38&lt;=$E$12),1,0)</f>
        <v/>
      </c>
      <c r="AQ38" s="85">
        <f>IF(AND(39&gt;=$C$12,39&lt;=$E$12),1,0)</f>
        <v/>
      </c>
      <c r="AR38" s="85">
        <f>IF(AND(40&gt;=$C$12,40&lt;=$E$12),1,0)</f>
        <v/>
      </c>
      <c r="AS38" s="85">
        <f>IF(AND(41&gt;=$C$12,41&lt;=$E$12),1,0)</f>
        <v/>
      </c>
      <c r="AT38" s="85">
        <f>IF(AND(42&gt;=$C$12,42&lt;=$E$12),1,0)</f>
        <v/>
      </c>
      <c r="AU38" s="85">
        <f>IF(AND(43&gt;=$C$12,43&lt;=$E$12),1,0)</f>
        <v/>
      </c>
      <c r="AV38" s="85">
        <f>IF(AND(44&gt;=$C$12,44&lt;=$E$12),1,0)</f>
        <v/>
      </c>
      <c r="AW38" s="85">
        <f>IF(AND(45&gt;=$C$12,45&lt;=$E$12),1,0)</f>
        <v/>
      </c>
      <c r="AX38" s="85">
        <f>IF(AND(46&gt;=$C$12,46&lt;=$E$12),1,0)</f>
        <v/>
      </c>
      <c r="AY38" s="85">
        <f>IF(AND(47&gt;=$C$12,47&lt;=$E$12),1,0)</f>
        <v/>
      </c>
      <c r="AZ38" s="85">
        <f>IF(AND(48&gt;=$C$12,48&lt;=$E$12),1,0)</f>
        <v/>
      </c>
      <c r="BA38" s="85">
        <f>IF(AND(49&gt;=$C$12,49&lt;=$E$12),1,0)</f>
        <v/>
      </c>
      <c r="BB38" s="85">
        <f>IF(AND(50&gt;=$C$12,50&lt;=$E$12),1,0)</f>
        <v/>
      </c>
      <c r="BC38" s="85">
        <f>IF(AND(51&gt;=$C$12,51&lt;=$E$12),1,0)</f>
        <v/>
      </c>
      <c r="BD38" s="85">
        <f>IF(AND(52&gt;=$C$12,52&lt;=$E$12),1,0)</f>
        <v/>
      </c>
      <c r="BE38" s="85">
        <f>IF(AND(53&gt;=$C$12,53&lt;=$E$12),1,0)</f>
        <v/>
      </c>
      <c r="BF38" s="85">
        <f>IF(AND(54&gt;=$C$12,54&lt;=$E$12),1,0)</f>
        <v/>
      </c>
      <c r="BG38" s="85">
        <f>IF(AND(55&gt;=$C$12,55&lt;=$E$12),1,0)</f>
        <v/>
      </c>
      <c r="BH38" s="85">
        <f>IF(AND(56&gt;=$C$12,56&lt;=$E$12),1,0)</f>
        <v/>
      </c>
      <c r="BI38" s="85">
        <f>IF(AND(57&gt;=$C$12,57&lt;=$E$12),1,0)</f>
        <v/>
      </c>
      <c r="BJ38" s="85">
        <f>IF(AND(58&gt;=$C$12,58&lt;=$E$12),1,0)</f>
        <v/>
      </c>
      <c r="BK38" s="85">
        <f>IF(AND(59&gt;=$C$12,59&lt;=$E$12),1,0)</f>
        <v/>
      </c>
      <c r="BL38" s="85">
        <f>IF(AND(60&gt;=$C$12,60&lt;=$E$12),1,0)</f>
        <v/>
      </c>
      <c r="BM38" s="85">
        <f>IF(AND(61&gt;=$C$12,61&lt;=$E$12),1,0)</f>
        <v/>
      </c>
      <c r="BN38" s="85">
        <f>IF(AND(62&gt;=$C$12,62&lt;=$E$12),1,0)</f>
        <v/>
      </c>
      <c r="BO38" s="85">
        <f>IF(AND(63&gt;=$C$12,63&lt;=$E$12),1,0)</f>
        <v/>
      </c>
      <c r="BP38" s="85">
        <f>IF(AND(64&gt;=$C$12,64&lt;=$E$12),1,0)</f>
        <v/>
      </c>
      <c r="BQ38" s="85">
        <f>IF(AND(65&gt;=$C$12,65&lt;=$E$12),1,0)</f>
        <v/>
      </c>
      <c r="BR38" s="85">
        <f>IF(AND(66&gt;=$C$12,66&lt;=$E$12),1,0)</f>
        <v/>
      </c>
      <c r="BS38" s="85">
        <f>IF(AND(67&gt;=$C$12,67&lt;=$E$12),1,0)</f>
        <v/>
      </c>
      <c r="BT38" s="85">
        <f>IF(AND(68&gt;=$C$12,68&lt;=$E$12),1,0)</f>
        <v/>
      </c>
      <c r="BU38" s="85">
        <f>IF(AND(69&gt;=$C$12,69&lt;=$E$12),1,0)</f>
        <v/>
      </c>
      <c r="BV38" s="85">
        <f>IF(AND(70&gt;=$C$12,70&lt;=$E$12),1,0)</f>
        <v/>
      </c>
      <c r="BW38" s="85">
        <f>IF(AND(71&gt;=$C$12,71&lt;=$E$12),1,0)</f>
        <v/>
      </c>
      <c r="BX38" s="85">
        <f>IF(AND(72&gt;=$C$12,72&lt;=$E$12),1,0)</f>
        <v/>
      </c>
      <c r="BY38" s="85">
        <f>IF(AND(73&gt;=$C$12,73&lt;=$E$12),1,0)</f>
        <v/>
      </c>
      <c r="BZ38" s="85">
        <f>IF(AND(74&gt;=$C$12,74&lt;=$E$12),1,0)</f>
        <v/>
      </c>
      <c r="CA38" s="85">
        <f>IF(AND(75&gt;=$C$12,75&lt;=$E$12),1,0)</f>
        <v/>
      </c>
      <c r="CB38" s="85">
        <f>IF(AND(76&gt;=$C$12,76&lt;=$E$12),1,0)</f>
        <v/>
      </c>
      <c r="CC38" s="85">
        <f>IF(AND(77&gt;=$C$12,77&lt;=$E$12),1,0)</f>
        <v/>
      </c>
      <c r="CD38" s="85">
        <f>IF(AND(78&gt;=$C$12,78&lt;=$E$12),1,0)</f>
        <v/>
      </c>
      <c r="CE38" s="85">
        <f>IF(AND(79&gt;=$C$12,79&lt;=$E$12),1,0)</f>
        <v/>
      </c>
      <c r="CF38" s="85">
        <f>IF(AND(80&gt;=$C$12,80&lt;=$E$12),1,0)</f>
        <v/>
      </c>
      <c r="CG38" s="85">
        <f>IF(AND(81&gt;=$C$12,81&lt;=$E$12),1,0)</f>
        <v/>
      </c>
      <c r="CH38" s="85">
        <f>IF(AND(82&gt;=$C$12,82&lt;=$E$12),1,0)</f>
        <v/>
      </c>
      <c r="CI38" s="85">
        <f>IF(AND(83&gt;=$C$12,83&lt;=$E$12),1,0)</f>
        <v/>
      </c>
      <c r="CJ38" s="85">
        <f>IF(AND(84&gt;=$C$12,84&lt;=$E$12),1,0)</f>
        <v/>
      </c>
      <c r="CK38" s="85">
        <f>IF(AND(85&gt;=$C$12,85&lt;=$E$12),1,0)</f>
        <v/>
      </c>
      <c r="CL38" s="85">
        <f>IF(AND(86&gt;=$C$12,86&lt;=$E$12),1,0)</f>
        <v/>
      </c>
      <c r="CM38" s="85">
        <f>IF(AND(87&gt;=$C$12,87&lt;=$E$12),1,0)</f>
        <v/>
      </c>
      <c r="CN38" s="85">
        <f>IF(AND(88&gt;=$C$12,88&lt;=$E$12),1,0)</f>
        <v/>
      </c>
      <c r="CO38" s="85">
        <f>IF(AND(89&gt;=$C$12,89&lt;=$E$12),1,0)</f>
        <v/>
      </c>
      <c r="CP38" s="85">
        <f>IF(AND(90&gt;=$C$12,90&lt;=$E$12),1,0)</f>
        <v/>
      </c>
      <c r="CQ38" s="85">
        <f>IF(AND(91&gt;=$C$12,91&lt;=$E$12),1,0)</f>
        <v/>
      </c>
      <c r="CR38" s="85">
        <f>IF(AND(92&gt;=$C$12,92&lt;=$E$12),1,0)</f>
        <v/>
      </c>
      <c r="CS38" s="85">
        <f>IF(AND(93&gt;=$C$12,93&lt;=$E$12),1,0)</f>
        <v/>
      </c>
      <c r="CT38" s="85">
        <f>IF(AND(94&gt;=$C$12,94&lt;=$E$12),1,0)</f>
        <v/>
      </c>
      <c r="CU38" s="85">
        <f>IF(AND(95&gt;=$C$12,95&lt;=$E$12),1,0)</f>
        <v/>
      </c>
      <c r="CV38" s="85">
        <f>IF(AND(96&gt;=$C$12,96&lt;=$E$12),1,0)</f>
        <v/>
      </c>
      <c r="CW38" s="85">
        <f>IF(AND(97&gt;=$C$12,97&lt;=$E$12),1,0)</f>
        <v/>
      </c>
      <c r="CX38" s="85">
        <f>IF(AND(98&gt;=$C$12,98&lt;=$E$12),1,0)</f>
        <v/>
      </c>
      <c r="CY38" s="85">
        <f>IF(AND(99&gt;=$C$12,99&lt;=$E$12),1,0)</f>
        <v/>
      </c>
      <c r="CZ38" s="85">
        <f>IF(AND(100&gt;=$C$12,100&lt;=$E$12),1,0)</f>
        <v/>
      </c>
      <c r="DA38" s="85">
        <f>IF(AND(101&gt;=$C$12,101&lt;=$E$12),1,0)</f>
        <v/>
      </c>
      <c r="DB38" s="85">
        <f>IF(AND(102&gt;=$C$12,102&lt;=$E$12),1,0)</f>
        <v/>
      </c>
      <c r="DC38" s="85">
        <f>IF(AND(103&gt;=$C$12,103&lt;=$E$12),1,0)</f>
        <v/>
      </c>
      <c r="DD38" s="85">
        <f>IF(AND(104&gt;=$C$12,104&lt;=$E$12),1,0)</f>
        <v/>
      </c>
      <c r="DE38" s="85">
        <f>IF(AND(105&gt;=$C$12,105&lt;=$E$12),1,0)</f>
        <v/>
      </c>
      <c r="DF38" s="85">
        <f>IF(AND(106&gt;=$C$12,106&lt;=$E$12),1,0)</f>
        <v/>
      </c>
      <c r="DG38" s="85">
        <f>IF(AND(107&gt;=$C$12,107&lt;=$E$12),1,0)</f>
        <v/>
      </c>
      <c r="DH38" s="85">
        <f>IF(AND(108&gt;=$C$12,108&lt;=$E$12),1,0)</f>
        <v/>
      </c>
      <c r="DI38" s="85">
        <f>IF(AND(109&gt;=$C$12,109&lt;=$E$12),1,0)</f>
        <v/>
      </c>
      <c r="DJ38" s="85">
        <f>IF(AND(110&gt;=$C$12,110&lt;=$E$12),1,0)</f>
        <v/>
      </c>
      <c r="DK38" s="85">
        <f>IF(AND(111&gt;=$C$12,111&lt;=$E$12),1,0)</f>
        <v/>
      </c>
      <c r="DL38" s="85">
        <f>IF(AND(112&gt;=$C$12,112&lt;=$E$12),1,0)</f>
        <v/>
      </c>
      <c r="DM38" s="85">
        <f>IF(AND(113&gt;=$C$12,113&lt;=$E$12),1,0)</f>
        <v/>
      </c>
      <c r="DN38" s="85">
        <f>IF(AND(114&gt;=$C$12,114&lt;=$E$12),1,0)</f>
        <v/>
      </c>
      <c r="DO38" s="85">
        <f>IF(AND(115&gt;=$C$12,115&lt;=$E$12),1,0)</f>
        <v/>
      </c>
      <c r="DP38" s="85">
        <f>IF(AND(116&gt;=$C$12,116&lt;=$E$12),1,0)</f>
        <v/>
      </c>
      <c r="DQ38" s="85">
        <f>IF(AND(117&gt;=$C$12,117&lt;=$E$12),1,0)</f>
        <v/>
      </c>
      <c r="DR38" s="85">
        <f>IF(AND(118&gt;=$C$12,118&lt;=$E$12),1,0)</f>
        <v/>
      </c>
      <c r="DS38" s="85">
        <f>IF(AND(119&gt;=$C$12,119&lt;=$E$12),1,0)</f>
        <v/>
      </c>
      <c r="DT38" s="85">
        <f>IF(AND(120&gt;=$C$12,120&lt;=$E$12),1,0)</f>
        <v/>
      </c>
      <c r="DU38" s="85">
        <f>IF(AND(121&gt;=$C$12,121&lt;=$E$12),1,0)</f>
        <v/>
      </c>
      <c r="DV38" s="85">
        <f>IF(AND(122&gt;=$C$12,122&lt;=$E$12),1,0)</f>
        <v/>
      </c>
      <c r="DW38" s="85">
        <f>IF(AND(123&gt;=$C$12,123&lt;=$E$12),1,0)</f>
        <v/>
      </c>
      <c r="DX38" s="85">
        <f>IF(AND(124&gt;=$C$12,124&lt;=$E$12),1,0)</f>
        <v/>
      </c>
      <c r="DY38" s="85">
        <f>IF(AND(125&gt;=$C$12,125&lt;=$E$12),1,0)</f>
        <v/>
      </c>
      <c r="DZ38" s="85">
        <f>IF(AND(126&gt;=$C$12,126&lt;=$E$12),1,0)</f>
        <v/>
      </c>
      <c r="EA38" s="85">
        <f>IF(AND(127&gt;=$C$12,127&lt;=$E$12),1,0)</f>
        <v/>
      </c>
      <c r="EB38" s="85">
        <f>IF(AND(128&gt;=$C$12,128&lt;=$E$12),1,0)</f>
        <v/>
      </c>
      <c r="EC38" s="85">
        <f>IF(AND(129&gt;=$C$12,129&lt;=$E$12),1,0)</f>
        <v/>
      </c>
      <c r="ED38" s="85">
        <f>IF(AND(130&gt;=$C$12,130&lt;=$E$12),1,0)</f>
        <v/>
      </c>
      <c r="EE38" s="85">
        <f>IF(AND(131&gt;=$C$12,131&lt;=$E$12),1,0)</f>
        <v/>
      </c>
      <c r="EF38" s="85">
        <f>IF(AND(132&gt;=$C$12,132&lt;=$E$12),1,0)</f>
        <v/>
      </c>
      <c r="EG38" s="85">
        <f>IF(AND(133&gt;=$C$12,133&lt;=$E$12),1,0)</f>
        <v/>
      </c>
      <c r="EH38" s="85">
        <f>IF(AND(134&gt;=$C$12,134&lt;=$E$12),1,0)</f>
        <v/>
      </c>
      <c r="EI38" s="85">
        <f>IF(AND(135&gt;=$C$12,135&lt;=$E$12),1,0)</f>
        <v/>
      </c>
      <c r="EJ38" s="85">
        <f>IF(AND(136&gt;=$C$12,136&lt;=$E$12),1,0)</f>
        <v/>
      </c>
      <c r="EK38" s="85">
        <f>IF(AND(137&gt;=$C$12,137&lt;=$E$12),1,0)</f>
        <v/>
      </c>
      <c r="EL38" s="85">
        <f>IF(AND(138&gt;=$C$12,138&lt;=$E$12),1,0)</f>
        <v/>
      </c>
      <c r="EM38" s="85">
        <f>IF(AND(139&gt;=$C$12,139&lt;=$E$12),1,0)</f>
        <v/>
      </c>
      <c r="EN38" s="85">
        <f>IF(AND(140&gt;=$C$12,140&lt;=$E$12),1,0)</f>
        <v/>
      </c>
      <c r="EO38" s="85">
        <f>IF(AND(141&gt;=$C$12,141&lt;=$E$12),1,0)</f>
        <v/>
      </c>
      <c r="EP38" s="85">
        <f>IF(AND(142&gt;=$C$12,142&lt;=$E$12),1,0)</f>
        <v/>
      </c>
      <c r="EQ38" s="85">
        <f>IF(AND(143&gt;=$C$12,143&lt;=$E$12),1,0)</f>
        <v/>
      </c>
      <c r="ER38" s="85">
        <f>IF(AND(144&gt;=$C$12,144&lt;=$E$12),1,0)</f>
        <v/>
      </c>
      <c r="ES38" s="85">
        <f>IF(AND(145&gt;=$C$12,145&lt;=$E$12),1,0)</f>
        <v/>
      </c>
      <c r="ET38" s="85">
        <f>IF(AND(146&gt;=$C$12,146&lt;=$E$12),1,0)</f>
        <v/>
      </c>
      <c r="EU38" s="85">
        <f>IF(AND(147&gt;=$C$12,147&lt;=$E$12),1,0)</f>
        <v/>
      </c>
      <c r="EV38" s="85">
        <f>IF(AND(148&gt;=$C$12,148&lt;=$E$12),1,0)</f>
        <v/>
      </c>
      <c r="EW38" s="85">
        <f>IF(AND(149&gt;=$C$12,149&lt;=$E$12),1,0)</f>
        <v/>
      </c>
      <c r="EX38" s="85">
        <f>IF(AND(150&gt;=$C$12,150&lt;=$E$12),1,0)</f>
        <v/>
      </c>
      <c r="EY38" s="85">
        <f>IF(AND(151&gt;=$C$12,151&lt;=$E$12),1,0)</f>
        <v/>
      </c>
      <c r="EZ38" s="85">
        <f>IF(AND(152&gt;=$C$12,152&lt;=$E$12),1,0)</f>
        <v/>
      </c>
      <c r="FA38" s="85">
        <f>IF(AND(153&gt;=$C$12,153&lt;=$E$12),1,0)</f>
        <v/>
      </c>
      <c r="FB38" s="85">
        <f>IF(AND(154&gt;=$C$12,154&lt;=$E$12),1,0)</f>
        <v/>
      </c>
      <c r="FC38" s="85">
        <f>IF(AND(155&gt;=$C$12,155&lt;=$E$12),1,0)</f>
        <v/>
      </c>
      <c r="FD38" s="85">
        <f>IF(AND(156&gt;=$C$12,156&lt;=$E$12),1,0)</f>
        <v/>
      </c>
      <c r="FE38" s="85">
        <f>IF(AND(157&gt;=$C$12,157&lt;=$E$12),1,0)</f>
        <v/>
      </c>
      <c r="FF38" s="85">
        <f>IF(AND(158&gt;=$C$12,158&lt;=$E$12),1,0)</f>
        <v/>
      </c>
      <c r="FG38" s="85">
        <f>IF(AND(159&gt;=$C$12,159&lt;=$E$12),1,0)</f>
        <v/>
      </c>
      <c r="FH38" s="85">
        <f>IF(AND(160&gt;=$C$12,160&lt;=$E$12),1,0)</f>
        <v/>
      </c>
      <c r="FI38" s="85">
        <f>IF(AND(161&gt;=$C$12,161&lt;=$E$12),1,0)</f>
        <v/>
      </c>
      <c r="FJ38" s="85">
        <f>IF(AND(162&gt;=$C$12,162&lt;=$E$12),1,0)</f>
        <v/>
      </c>
      <c r="FK38" s="85">
        <f>IF(AND(163&gt;=$C$12,163&lt;=$E$12),1,0)</f>
        <v/>
      </c>
      <c r="FL38" s="85">
        <f>IF(AND(164&gt;=$C$12,164&lt;=$E$12),1,0)</f>
        <v/>
      </c>
      <c r="FM38" s="85">
        <f>IF(AND(165&gt;=$C$12,165&lt;=$E$12),1,0)</f>
        <v/>
      </c>
      <c r="FN38" s="85">
        <f>IF(AND(166&gt;=$C$12,166&lt;=$E$12),1,0)</f>
        <v/>
      </c>
      <c r="FO38" s="85">
        <f>IF(AND(167&gt;=$C$12,167&lt;=$E$12),1,0)</f>
        <v/>
      </c>
      <c r="FP38" s="85">
        <f>IF(AND(168&gt;=$C$12,168&lt;=$E$12),1,0)</f>
        <v/>
      </c>
      <c r="FQ38" s="85">
        <f>IF(AND(169&gt;=$C$12,169&lt;=$E$12),1,0)</f>
        <v/>
      </c>
      <c r="FR38" s="85">
        <f>IF(AND(170&gt;=$C$12,170&lt;=$E$12),1,0)</f>
        <v/>
      </c>
      <c r="FS38" s="85">
        <f>IF(AND(171&gt;=$C$12,171&lt;=$E$12),1,0)</f>
        <v/>
      </c>
      <c r="FT38" s="85">
        <f>IF(AND(172&gt;=$C$12,172&lt;=$E$12),1,0)</f>
        <v/>
      </c>
      <c r="FU38" s="85">
        <f>IF(AND(173&gt;=$C$12,173&lt;=$E$12),1,0)</f>
        <v/>
      </c>
      <c r="FV38" s="85">
        <f>IF(AND(174&gt;=$C$12,174&lt;=$E$12),1,0)</f>
        <v/>
      </c>
      <c r="FW38" s="85">
        <f>IF(AND(175&gt;=$C$12,175&lt;=$E$12),1,0)</f>
        <v/>
      </c>
      <c r="FX38" s="85">
        <f>IF(AND(176&gt;=$C$12,176&lt;=$E$12),1,0)</f>
        <v/>
      </c>
      <c r="FY38" s="85">
        <f>IF(AND(177&gt;=$C$12,177&lt;=$E$12),1,0)</f>
        <v/>
      </c>
      <c r="FZ38" s="85">
        <f>IF(AND(178&gt;=$C$12,178&lt;=$E$12),1,0)</f>
        <v/>
      </c>
      <c r="GA38" s="85">
        <f>IF(AND(179&gt;=$C$12,179&lt;=$E$12),1,0)</f>
        <v/>
      </c>
      <c r="GB38" s="85">
        <f>IF(AND(180&gt;=$C$12,180&lt;=$E$12),1,0)</f>
        <v/>
      </c>
      <c r="GC38" s="85">
        <f>IF(AND(181&gt;=$C$12,181&lt;=$E$12),1,0)</f>
        <v/>
      </c>
      <c r="GD38" s="85">
        <f>IF(AND(182&gt;=$C$12,182&lt;=$E$12),1,0)</f>
        <v/>
      </c>
      <c r="GE38" s="85">
        <f>IF(AND(183&gt;=$C$12,183&lt;=$E$12),1,0)</f>
        <v/>
      </c>
      <c r="GF38" s="85">
        <f>IF(AND(184&gt;=$C$12,184&lt;=$E$12),1,0)</f>
        <v/>
      </c>
      <c r="GG38" s="85">
        <f>IF(AND(185&gt;=$C$12,185&lt;=$E$12),1,0)</f>
        <v/>
      </c>
      <c r="GH38" s="85">
        <f>IF(AND(186&gt;=$C$12,186&lt;=$E$12),1,0)</f>
        <v/>
      </c>
      <c r="GI38" s="85">
        <f>IF(AND(187&gt;=$C$12,187&lt;=$E$12),1,0)</f>
        <v/>
      </c>
      <c r="GJ38" s="85">
        <f>IF(AND(188&gt;=$C$12,188&lt;=$E$12),1,0)</f>
        <v/>
      </c>
      <c r="GK38" s="85">
        <f>IF(AND(189&gt;=$C$12,189&lt;=$E$12),1,0)</f>
        <v/>
      </c>
      <c r="GL38" s="85">
        <f>IF(AND(190&gt;=$C$12,190&lt;=$E$12),1,0)</f>
        <v/>
      </c>
      <c r="GM38" s="85">
        <f>IF(AND(191&gt;=$C$12,191&lt;=$E$12),1,0)</f>
        <v/>
      </c>
      <c r="GN38" s="85">
        <f>IF(AND(192&gt;=$C$12,192&lt;=$E$12),1,0)</f>
        <v/>
      </c>
      <c r="GO38" s="85">
        <f>IF(AND(193&gt;=$C$12,193&lt;=$E$12),1,0)</f>
        <v/>
      </c>
      <c r="GP38" s="85">
        <f>IF(AND(194&gt;=$C$12,194&lt;=$E$12),1,0)</f>
        <v/>
      </c>
      <c r="GQ38" s="85">
        <f>IF(AND(195&gt;=$C$12,195&lt;=$E$12),1,0)</f>
        <v/>
      </c>
      <c r="GR38" s="85">
        <f>IF(AND(196&gt;=$C$12,196&lt;=$E$12),1,0)</f>
        <v/>
      </c>
      <c r="GS38" s="85">
        <f>IF(AND(197&gt;=$C$12,197&lt;=$E$12),1,0)</f>
        <v/>
      </c>
      <c r="GT38" s="85">
        <f>IF(AND(198&gt;=$C$12,198&lt;=$E$12),1,0)</f>
        <v/>
      </c>
      <c r="GU38" s="85">
        <f>IF(AND(199&gt;=$C$12,199&lt;=$E$12),1,0)</f>
        <v/>
      </c>
      <c r="GV38" s="85">
        <f>IF(AND(200&gt;=$C$12,200&lt;=$E$12),1,0)</f>
        <v/>
      </c>
      <c r="GW38" s="85">
        <f>IF(AND(201&gt;=$C$12,201&lt;=$E$12),1,0)</f>
        <v/>
      </c>
      <c r="GX38" s="85">
        <f>IF(AND(202&gt;=$C$12,202&lt;=$E$12),1,0)</f>
        <v/>
      </c>
      <c r="GY38" s="85">
        <f>IF(AND(203&gt;=$C$12,203&lt;=$E$12),1,0)</f>
        <v/>
      </c>
      <c r="GZ38" s="85">
        <f>IF(AND(204&gt;=$C$12,204&lt;=$E$12),1,0)</f>
        <v/>
      </c>
      <c r="HA38" s="85">
        <f>IF(AND(205&gt;=$C$12,205&lt;=$E$12),1,0)</f>
        <v/>
      </c>
      <c r="HB38" s="85">
        <f>IF(AND(206&gt;=$C$12,206&lt;=$E$12),1,0)</f>
        <v/>
      </c>
      <c r="HC38" s="85">
        <f>IF(AND(207&gt;=$C$12,207&lt;=$E$12),1,0)</f>
        <v/>
      </c>
      <c r="HD38" s="85">
        <f>IF(AND(208&gt;=$C$12,208&lt;=$E$12),1,0)</f>
        <v/>
      </c>
      <c r="HE38" s="85">
        <f>IF(AND(209&gt;=$C$12,209&lt;=$E$12),1,0)</f>
        <v/>
      </c>
      <c r="HF38" s="85">
        <f>IF(AND(210&gt;=$C$12,210&lt;=$E$12),1,0)</f>
        <v/>
      </c>
      <c r="HG38" s="85">
        <f>IF(AND(211&gt;=$C$12,211&lt;=$E$12),1,0)</f>
        <v/>
      </c>
      <c r="HH38" s="85">
        <f>IF(AND(212&gt;=$C$12,212&lt;=$E$12),1,0)</f>
        <v/>
      </c>
      <c r="HI38" s="85">
        <f>IF(AND(213&gt;=$C$12,213&lt;=$E$12),1,0)</f>
        <v/>
      </c>
      <c r="HJ38" s="85">
        <f>IF(AND(214&gt;=$C$12,214&lt;=$E$12),1,0)</f>
        <v/>
      </c>
      <c r="HK38" s="85">
        <f>IF(AND(215&gt;=$C$12,215&lt;=$E$12),1,0)</f>
        <v/>
      </c>
      <c r="HL38" s="85">
        <f>IF(AND(216&gt;=$C$12,216&lt;=$E$12),1,0)</f>
        <v/>
      </c>
      <c r="HM38" s="85">
        <f>IF(AND(217&gt;=$C$12,217&lt;=$E$12),1,0)</f>
        <v/>
      </c>
      <c r="HN38" s="85">
        <f>IF(AND(218&gt;=$C$12,218&lt;=$E$12),1,0)</f>
        <v/>
      </c>
      <c r="HO38" s="85">
        <f>IF(AND(219&gt;=$C$12,219&lt;=$E$12),1,0)</f>
        <v/>
      </c>
      <c r="HP38" s="85">
        <f>IF(AND(220&gt;=$C$12,220&lt;=$E$12),1,0)</f>
        <v/>
      </c>
      <c r="HQ38" s="85">
        <f>IF(AND(221&gt;=$C$12,221&lt;=$E$12),1,0)</f>
        <v/>
      </c>
      <c r="HR38" s="85">
        <f>IF(AND(222&gt;=$C$12,222&lt;=$E$12),1,0)</f>
        <v/>
      </c>
      <c r="HS38" s="85">
        <f>IF(AND(223&gt;=$C$12,223&lt;=$E$12),1,0)</f>
        <v/>
      </c>
      <c r="HT38" s="85">
        <f>IF(AND(224&gt;=$C$12,224&lt;=$E$12),1,0)</f>
        <v/>
      </c>
      <c r="HU38" s="85">
        <f>IF(AND(225&gt;=$C$12,225&lt;=$E$12),1,0)</f>
        <v/>
      </c>
      <c r="HV38" s="85">
        <f>IF(AND(226&gt;=$C$12,226&lt;=$E$12),1,0)</f>
        <v/>
      </c>
      <c r="HW38" s="85">
        <f>IF(AND(227&gt;=$C$12,227&lt;=$E$12),1,0)</f>
        <v/>
      </c>
      <c r="HX38" s="85">
        <f>IF(AND(228&gt;=$C$12,228&lt;=$E$12),1,0)</f>
        <v/>
      </c>
      <c r="HY38" s="85">
        <f>IF(AND(229&gt;=$C$12,229&lt;=$E$12),1,0)</f>
        <v/>
      </c>
      <c r="HZ38" s="85">
        <f>IF(AND(230&gt;=$C$12,230&lt;=$E$12),1,0)</f>
        <v/>
      </c>
      <c r="IA38" s="85">
        <f>IF(AND(231&gt;=$C$12,231&lt;=$E$12),1,0)</f>
        <v/>
      </c>
      <c r="IB38" s="85">
        <f>IF(AND(232&gt;=$C$12,232&lt;=$E$12),1,0)</f>
        <v/>
      </c>
      <c r="IC38" s="85">
        <f>IF(AND(233&gt;=$C$12,233&lt;=$E$12),1,0)</f>
        <v/>
      </c>
      <c r="ID38" s="85">
        <f>IF(AND(234&gt;=$C$12,234&lt;=$E$12),1,0)</f>
        <v/>
      </c>
      <c r="IE38" s="85">
        <f>IF(AND(235&gt;=$C$12,235&lt;=$E$12),1,0)</f>
        <v/>
      </c>
      <c r="IF38" s="85">
        <f>IF(AND(236&gt;=$C$12,236&lt;=$E$12),1,0)</f>
        <v/>
      </c>
      <c r="IG38" s="85">
        <f>IF(AND(237&gt;=$C$12,237&lt;=$E$12),1,0)</f>
        <v/>
      </c>
      <c r="IH38" s="85">
        <f>IF(AND(238&gt;=$C$12,238&lt;=$E$12),1,0)</f>
        <v/>
      </c>
      <c r="II38" s="85">
        <f>IF(AND(239&gt;=$C$12,239&lt;=$E$12),1,0)</f>
        <v/>
      </c>
      <c r="IJ38" s="85">
        <f>IF(AND(240&gt;=$C$12,240&lt;=$E$12),1,0)</f>
        <v/>
      </c>
      <c r="IK38" s="85">
        <f>IF(AND(241&gt;=$C$12,241&lt;=$E$12),1,0)</f>
        <v/>
      </c>
      <c r="IL38" s="85">
        <f>IF(AND(242&gt;=$C$12,242&lt;=$E$12),1,0)</f>
        <v/>
      </c>
      <c r="IM38" s="85">
        <f>IF(AND(243&gt;=$C$12,243&lt;=$E$12),1,0)</f>
        <v/>
      </c>
      <c r="IN38" s="85">
        <f>IF(AND(244&gt;=$C$12,244&lt;=$E$12),1,0)</f>
        <v/>
      </c>
      <c r="IO38" s="85">
        <f>IF(AND(245&gt;=$C$12,245&lt;=$E$12),1,0)</f>
        <v/>
      </c>
      <c r="IP38" s="85">
        <f>IF(AND(246&gt;=$C$12,246&lt;=$E$12),1,0)</f>
        <v/>
      </c>
      <c r="IQ38" s="85">
        <f>IF(AND(247&gt;=$C$12,247&lt;=$E$12),1,0)</f>
        <v/>
      </c>
      <c r="IR38" s="85">
        <f>IF(AND(248&gt;=$C$12,248&lt;=$E$12),1,0)</f>
        <v/>
      </c>
      <c r="IS38" s="85">
        <f>IF(AND(249&gt;=$C$12,249&lt;=$E$12),1,0)</f>
        <v/>
      </c>
      <c r="IT38" s="85">
        <f>IF(AND(250&gt;=$C$12,250&lt;=$E$12),1,0)</f>
        <v/>
      </c>
      <c r="IU38" s="85">
        <f>IF(AND(251&gt;=$C$12,251&lt;=$E$12),1,0)</f>
        <v/>
      </c>
      <c r="IV38" s="85">
        <f>IF(AND(252&gt;=$C$12,252&lt;=$E$12),1,0)</f>
        <v/>
      </c>
      <c r="IW38" s="85">
        <f>IF(AND(253&gt;=$C$12,253&lt;=$E$12),1,0)</f>
        <v/>
      </c>
      <c r="IX38" s="85">
        <f>IF(AND(254&gt;=$C$12,254&lt;=$E$12),1,0)</f>
        <v/>
      </c>
      <c r="IY38" s="85">
        <f>IF(AND(255&gt;=$C$12,255&lt;=$E$12),1,0)</f>
        <v/>
      </c>
      <c r="IZ38" s="85">
        <f>IF(AND(256&gt;=$C$12,256&lt;=$E$12),1,0)</f>
        <v/>
      </c>
      <c r="JA38" s="85">
        <f>IF(AND(257&gt;=$C$12,257&lt;=$E$12),1,0)</f>
        <v/>
      </c>
      <c r="JB38" s="85">
        <f>IF(AND(258&gt;=$C$12,258&lt;=$E$12),1,0)</f>
        <v/>
      </c>
      <c r="JC38" s="85">
        <f>IF(AND(259&gt;=$C$12,259&lt;=$E$12),1,0)</f>
        <v/>
      </c>
      <c r="JD38" s="85">
        <f>IF(AND(260&gt;=$C$12,260&lt;=$E$12),1,0)</f>
        <v/>
      </c>
      <c r="JE38" s="85">
        <f>IF(AND(261&gt;=$C$12,261&lt;=$E$12),1,0)</f>
        <v/>
      </c>
      <c r="JF38" s="85">
        <f>IF(AND(262&gt;=$C$12,262&lt;=$E$12),1,0)</f>
        <v/>
      </c>
      <c r="JG38" s="85">
        <f>IF(AND(263&gt;=$C$12,263&lt;=$E$12),1,0)</f>
        <v/>
      </c>
      <c r="JH38" s="85">
        <f>IF(AND(264&gt;=$C$12,264&lt;=$E$12),1,0)</f>
        <v/>
      </c>
      <c r="JI38" s="85">
        <f>IF(AND(265&gt;=$C$12,265&lt;=$E$12),1,0)</f>
        <v/>
      </c>
      <c r="JJ38" s="85">
        <f>IF(AND(266&gt;=$C$12,266&lt;=$E$12),1,0)</f>
        <v/>
      </c>
      <c r="JK38" s="85">
        <f>IF(AND(267&gt;=$C$12,267&lt;=$E$12),1,0)</f>
        <v/>
      </c>
      <c r="JL38" s="85">
        <f>IF(AND(268&gt;=$C$12,268&lt;=$E$12),1,0)</f>
        <v/>
      </c>
      <c r="JM38" s="85">
        <f>IF(AND(269&gt;=$C$12,269&lt;=$E$12),1,0)</f>
        <v/>
      </c>
      <c r="JN38" s="85">
        <f>IF(AND(270&gt;=$C$12,270&lt;=$E$12),1,0)</f>
        <v/>
      </c>
      <c r="JO38" s="85">
        <f>IF(AND(271&gt;=$C$12,271&lt;=$E$12),1,0)</f>
        <v/>
      </c>
      <c r="JP38" s="85">
        <f>IF(AND(272&gt;=$C$12,272&lt;=$E$12),1,0)</f>
        <v/>
      </c>
      <c r="JQ38" s="85">
        <f>IF(AND(273&gt;=$C$12,273&lt;=$E$12),1,0)</f>
        <v/>
      </c>
      <c r="JR38" s="85">
        <f>IF(AND(274&gt;=$C$12,274&lt;=$E$12),1,0)</f>
        <v/>
      </c>
      <c r="JS38" s="85">
        <f>IF(AND(275&gt;=$C$12,275&lt;=$E$12),1,0)</f>
        <v/>
      </c>
      <c r="JT38" s="85">
        <f>IF(AND(276&gt;=$C$12,276&lt;=$E$12),1,0)</f>
        <v/>
      </c>
      <c r="JU38" s="85">
        <f>IF(AND(277&gt;=$C$12,277&lt;=$E$12),1,0)</f>
        <v/>
      </c>
      <c r="JV38" s="85">
        <f>IF(AND(278&gt;=$C$12,278&lt;=$E$12),1,0)</f>
        <v/>
      </c>
      <c r="JW38" s="85">
        <f>IF(AND(279&gt;=$C$12,279&lt;=$E$12),1,0)</f>
        <v/>
      </c>
      <c r="JX38" s="85">
        <f>IF(AND(280&gt;=$C$12,280&lt;=$E$12),1,0)</f>
        <v/>
      </c>
      <c r="JY38" s="85">
        <f>IF(AND(281&gt;=$C$12,281&lt;=$E$12),1,0)</f>
        <v/>
      </c>
      <c r="JZ38" s="85">
        <f>IF(AND(282&gt;=$C$12,282&lt;=$E$12),1,0)</f>
        <v/>
      </c>
      <c r="KA38" s="85">
        <f>IF(AND(283&gt;=$C$12,283&lt;=$E$12),1,0)</f>
        <v/>
      </c>
      <c r="KB38" s="85">
        <f>IF(AND(284&gt;=$C$12,284&lt;=$E$12),1,0)</f>
        <v/>
      </c>
      <c r="KC38" s="85">
        <f>IF(AND(285&gt;=$C$12,285&lt;=$E$12),1,0)</f>
        <v/>
      </c>
      <c r="KD38" s="85">
        <f>IF(AND(286&gt;=$C$12,286&lt;=$E$12),1,0)</f>
        <v/>
      </c>
      <c r="KE38" s="85">
        <f>IF(AND(287&gt;=$C$12,287&lt;=$E$12),1,0)</f>
        <v/>
      </c>
      <c r="KF38" s="85">
        <f>IF(AND(288&gt;=$C$12,288&lt;=$E$12),1,0)</f>
        <v/>
      </c>
      <c r="KG38" s="85">
        <f>IF(AND(289&gt;=$C$12,289&lt;=$E$12),1,0)</f>
        <v/>
      </c>
      <c r="KH38" s="85">
        <f>IF(AND(290&gt;=$C$12,290&lt;=$E$12),1,0)</f>
        <v/>
      </c>
      <c r="KI38" s="85">
        <f>IF(AND(291&gt;=$C$12,291&lt;=$E$12),1,0)</f>
        <v/>
      </c>
      <c r="KJ38" s="85">
        <f>IF(AND(292&gt;=$C$12,292&lt;=$E$12),1,0)</f>
        <v/>
      </c>
      <c r="KK38" s="85">
        <f>IF(AND(293&gt;=$C$12,293&lt;=$E$12),1,0)</f>
        <v/>
      </c>
      <c r="KL38" s="85">
        <f>IF(AND(294&gt;=$C$12,294&lt;=$E$12),1,0)</f>
        <v/>
      </c>
      <c r="KM38" s="85">
        <f>IF(AND(295&gt;=$C$12,295&lt;=$E$12),1,0)</f>
        <v/>
      </c>
      <c r="KN38" s="85">
        <f>IF(AND(296&gt;=$C$12,296&lt;=$E$12),1,0)</f>
        <v/>
      </c>
      <c r="KO38" s="85">
        <f>IF(AND(297&gt;=$C$12,297&lt;=$E$12),1,0)</f>
        <v/>
      </c>
      <c r="KP38" s="85">
        <f>IF(AND(298&gt;=$C$12,298&lt;=$E$12),1,0)</f>
        <v/>
      </c>
      <c r="KQ38" s="85">
        <f>IF(AND(299&gt;=$C$12,299&lt;=$E$12),1,0)</f>
        <v/>
      </c>
      <c r="KR38" s="85">
        <f>IF(AND(300&gt;=$C$12,300&lt;=$E$12),1,0)</f>
        <v/>
      </c>
      <c r="KS38" s="85">
        <f>IF(AND(301&gt;=$C$12,301&lt;=$E$12),1,0)</f>
        <v/>
      </c>
      <c r="KT38" s="85">
        <f>IF(AND(302&gt;=$C$12,302&lt;=$E$12),1,0)</f>
        <v/>
      </c>
      <c r="KU38" s="85">
        <f>IF(AND(303&gt;=$C$12,303&lt;=$E$12),1,0)</f>
        <v/>
      </c>
      <c r="KV38" s="85">
        <f>IF(AND(304&gt;=$C$12,304&lt;=$E$12),1,0)</f>
        <v/>
      </c>
      <c r="KW38" s="85">
        <f>IF(AND(305&gt;=$C$12,305&lt;=$E$12),1,0)</f>
        <v/>
      </c>
      <c r="KX38" s="85">
        <f>IF(AND(306&gt;=$C$12,306&lt;=$E$12),1,0)</f>
        <v/>
      </c>
      <c r="KY38" s="85">
        <f>IF(AND(307&gt;=$C$12,307&lt;=$E$12),1,0)</f>
        <v/>
      </c>
      <c r="KZ38" s="85">
        <f>IF(AND(308&gt;=$C$12,308&lt;=$E$12),1,0)</f>
        <v/>
      </c>
      <c r="LA38" s="85">
        <f>IF(AND(309&gt;=$C$12,309&lt;=$E$12),1,0)</f>
        <v/>
      </c>
      <c r="LB38" s="85">
        <f>IF(AND(310&gt;=$C$12,310&lt;=$E$12),1,0)</f>
        <v/>
      </c>
      <c r="LC38" s="85">
        <f>IF(AND(311&gt;=$C$12,311&lt;=$E$12),1,0)</f>
        <v/>
      </c>
      <c r="LD38" s="85">
        <f>IF(AND(312&gt;=$C$12,312&lt;=$E$12),1,0)</f>
        <v/>
      </c>
      <c r="LE38" s="85">
        <f>IF(AND(313&gt;=$C$12,313&lt;=$E$12),1,0)</f>
        <v/>
      </c>
      <c r="LF38" s="85">
        <f>IF(AND(314&gt;=$C$12,314&lt;=$E$12),1,0)</f>
        <v/>
      </c>
      <c r="LG38" s="85">
        <f>IF(AND(315&gt;=$C$12,315&lt;=$E$12),1,0)</f>
        <v/>
      </c>
      <c r="LH38" s="85">
        <f>IF(AND(316&gt;=$C$12,316&lt;=$E$12),1,0)</f>
        <v/>
      </c>
      <c r="LI38" s="85">
        <f>IF(AND(317&gt;=$C$12,317&lt;=$E$12),1,0)</f>
        <v/>
      </c>
      <c r="LJ38" s="85">
        <f>IF(AND(318&gt;=$C$12,318&lt;=$E$12),1,0)</f>
        <v/>
      </c>
      <c r="LK38" s="85">
        <f>IF(AND(319&gt;=$C$12,319&lt;=$E$12),1,0)</f>
        <v/>
      </c>
      <c r="LL38" s="85">
        <f>IF(AND(320&gt;=$C$12,320&lt;=$E$12),1,0)</f>
        <v/>
      </c>
      <c r="LM38" s="85">
        <f>IF(AND(321&gt;=$C$12,321&lt;=$E$12),1,0)</f>
        <v/>
      </c>
      <c r="LN38" s="85">
        <f>IF(AND(322&gt;=$C$12,322&lt;=$E$12),1,0)</f>
        <v/>
      </c>
      <c r="LO38" s="85">
        <f>IF(AND(323&gt;=$C$12,323&lt;=$E$12),1,0)</f>
        <v/>
      </c>
      <c r="LP38" s="85">
        <f>IF(AND(324&gt;=$C$12,324&lt;=$E$12),1,0)</f>
        <v/>
      </c>
      <c r="LQ38" s="85">
        <f>IF(AND(325&gt;=$C$12,325&lt;=$E$12),1,0)</f>
        <v/>
      </c>
      <c r="LR38" s="85">
        <f>IF(AND(326&gt;=$C$12,326&lt;=$E$12),1,0)</f>
        <v/>
      </c>
      <c r="LS38" s="85">
        <f>IF(AND(327&gt;=$C$12,327&lt;=$E$12),1,0)</f>
        <v/>
      </c>
      <c r="LT38" s="85">
        <f>IF(AND(328&gt;=$C$12,328&lt;=$E$12),1,0)</f>
        <v/>
      </c>
      <c r="LU38" s="85">
        <f>IF(AND(329&gt;=$C$12,329&lt;=$E$12),1,0)</f>
        <v/>
      </c>
      <c r="LV38" s="85">
        <f>IF(AND(330&gt;=$C$12,330&lt;=$E$12),1,0)</f>
        <v/>
      </c>
      <c r="LW38" s="85">
        <f>IF(AND(331&gt;=$C$12,331&lt;=$E$12),1,0)</f>
        <v/>
      </c>
      <c r="LX38" s="85">
        <f>IF(AND(332&gt;=$C$12,332&lt;=$E$12),1,0)</f>
        <v/>
      </c>
      <c r="LY38" s="85">
        <f>IF(AND(333&gt;=$C$12,333&lt;=$E$12),1,0)</f>
        <v/>
      </c>
      <c r="LZ38" s="85">
        <f>IF(AND(334&gt;=$C$12,334&lt;=$E$12),1,0)</f>
        <v/>
      </c>
      <c r="MA38" s="85">
        <f>IF(AND(335&gt;=$C$12,335&lt;=$E$12),1,0)</f>
        <v/>
      </c>
      <c r="MB38" s="85">
        <f>IF(AND(336&gt;=$C$12,336&lt;=$E$12),1,0)</f>
        <v/>
      </c>
      <c r="MC38" s="85">
        <f>IF(AND(337&gt;=$C$12,337&lt;=$E$12),1,0)</f>
        <v/>
      </c>
      <c r="MD38" s="85">
        <f>IF(AND(338&gt;=$C$12,338&lt;=$E$12),1,0)</f>
        <v/>
      </c>
      <c r="ME38" s="85">
        <f>IF(AND(339&gt;=$C$12,339&lt;=$E$12),1,0)</f>
        <v/>
      </c>
      <c r="MF38" s="85">
        <f>IF(AND(340&gt;=$C$12,340&lt;=$E$12),1,0)</f>
        <v/>
      </c>
      <c r="MG38" s="85">
        <f>IF(AND(341&gt;=$C$12,341&lt;=$E$12),1,0)</f>
        <v/>
      </c>
      <c r="MH38" s="85">
        <f>IF(AND(342&gt;=$C$12,342&lt;=$E$12),1,0)</f>
        <v/>
      </c>
      <c r="MI38" s="85">
        <f>IF(AND(343&gt;=$C$12,343&lt;=$E$12),1,0)</f>
        <v/>
      </c>
      <c r="MJ38" s="85">
        <f>IF(AND(344&gt;=$C$12,344&lt;=$E$12),1,0)</f>
        <v/>
      </c>
      <c r="MK38" s="85">
        <f>IF(AND(345&gt;=$C$12,345&lt;=$E$12),1,0)</f>
        <v/>
      </c>
      <c r="ML38" s="85">
        <f>IF(AND(346&gt;=$C$12,346&lt;=$E$12),1,0)</f>
        <v/>
      </c>
      <c r="MM38" s="85">
        <f>IF(AND(347&gt;=$C$12,347&lt;=$E$12),1,0)</f>
        <v/>
      </c>
      <c r="MN38" s="85">
        <f>IF(AND(348&gt;=$C$12,348&lt;=$E$12),1,0)</f>
        <v/>
      </c>
      <c r="MO38" s="85">
        <f>IF(AND(349&gt;=$C$12,349&lt;=$E$12),1,0)</f>
        <v/>
      </c>
      <c r="MP38" s="85">
        <f>IF(AND(350&gt;=$C$12,350&lt;=$E$12),1,0)</f>
        <v/>
      </c>
      <c r="MQ38" s="85">
        <f>IF(AND(351&gt;=$C$12,351&lt;=$E$12),1,0)</f>
        <v/>
      </c>
      <c r="MR38" s="85">
        <f>IF(AND(352&gt;=$C$12,352&lt;=$E$12),1,0)</f>
        <v/>
      </c>
      <c r="MS38" s="85">
        <f>IF(AND(353&gt;=$C$12,353&lt;=$E$12),1,0)</f>
        <v/>
      </c>
      <c r="MT38" s="85">
        <f>IF(AND(354&gt;=$C$12,354&lt;=$E$12),1,0)</f>
        <v/>
      </c>
      <c r="MU38" s="85">
        <f>IF(AND(355&gt;=$C$12,355&lt;=$E$12),1,0)</f>
        <v/>
      </c>
      <c r="MV38" s="85">
        <f>IF(AND(356&gt;=$C$12,356&lt;=$E$12),1,0)</f>
        <v/>
      </c>
      <c r="MW38" s="85">
        <f>IF(AND(357&gt;=$C$12,357&lt;=$E$12),1,0)</f>
        <v/>
      </c>
      <c r="MX38" s="85">
        <f>IF(AND(358&gt;=$C$12,358&lt;=$E$12),1,0)</f>
        <v/>
      </c>
      <c r="MY38" s="85">
        <f>IF(AND(359&gt;=$C$12,359&lt;=$E$12),1,0)</f>
        <v/>
      </c>
      <c r="MZ38" s="85">
        <f>IF(AND(360&gt;=$C$12,360&lt;=$E$12),1,0)</f>
        <v/>
      </c>
      <c r="NA38" s="85">
        <f>IF(AND(361&gt;=$C$12,361&lt;=$E$12),1,0)</f>
        <v/>
      </c>
      <c r="NB38" s="85">
        <f>IF(AND(362&gt;=$C$12,362&lt;=$E$12),1,0)</f>
        <v/>
      </c>
      <c r="NC38" s="85">
        <f>IF(AND(363&gt;=$C$12,363&lt;=$E$12),1,0)</f>
        <v/>
      </c>
      <c r="ND38" s="85">
        <f>IF(AND(364&gt;=$C$12,364&lt;=$E$12),1,0)</f>
        <v/>
      </c>
      <c r="NE38" s="85">
        <f>IF(AND(365&gt;=$C$12,365&lt;=$E$12),1,0)</f>
        <v/>
      </c>
      <c r="NF38" s="85">
        <f>IF(AND(366&gt;=$C$12,366&lt;=$E$12),1,0)</f>
        <v/>
      </c>
      <c r="NG38" s="85">
        <f>IF(AND(367&gt;=$C$12,367&lt;=$E$12),1,0)</f>
        <v/>
      </c>
      <c r="NH38" s="85">
        <f>IF(AND(368&gt;=$C$12,368&lt;=$E$12),1,0)</f>
        <v/>
      </c>
      <c r="NI38" s="85">
        <f>IF(AND(369&gt;=$C$12,369&lt;=$E$12),1,0)</f>
        <v/>
      </c>
      <c r="NJ38" s="85">
        <f>IF(AND(370&gt;=$C$12,370&lt;=$E$12),1,0)</f>
        <v/>
      </c>
      <c r="NK38" s="85">
        <f>IF(AND(371&gt;=$C$12,371&lt;=$E$12),1,0)</f>
        <v/>
      </c>
      <c r="NL38" s="85">
        <f>IF(AND(372&gt;=$C$12,372&lt;=$E$12),1,0)</f>
        <v/>
      </c>
    </row>
    <row r="39">
      <c r="B39" s="36" t="inlineStr">
        <is>
          <t>Flag: Recapitalization/Refinance</t>
        </is>
      </c>
      <c r="D39" s="124" t="n"/>
      <c r="E39" s="85">
        <f>IF(AND(1&gt;=$C$13,1&lt;=$E$13),1,0)</f>
        <v/>
      </c>
      <c r="F39" s="85">
        <f>IF(AND(2&gt;=$C$13,2&lt;=$E$13),1,0)</f>
        <v/>
      </c>
      <c r="G39" s="85">
        <f>IF(AND(3&gt;=$C$13,3&lt;=$E$13),1,0)</f>
        <v/>
      </c>
      <c r="H39" s="85">
        <f>IF(AND(4&gt;=$C$13,4&lt;=$E$13),1,0)</f>
        <v/>
      </c>
      <c r="I39" s="85">
        <f>IF(AND(5&gt;=$C$13,5&lt;=$E$13),1,0)</f>
        <v/>
      </c>
      <c r="J39" s="85">
        <f>IF(AND(6&gt;=$C$13,6&lt;=$E$13),1,0)</f>
        <v/>
      </c>
      <c r="K39" s="85">
        <f>IF(AND(7&gt;=$C$13,7&lt;=$E$13),1,0)</f>
        <v/>
      </c>
      <c r="L39" s="85">
        <f>IF(AND(8&gt;=$C$13,8&lt;=$E$13),1,0)</f>
        <v/>
      </c>
      <c r="M39" s="85">
        <f>IF(AND(9&gt;=$C$13,9&lt;=$E$13),1,0)</f>
        <v/>
      </c>
      <c r="N39" s="85">
        <f>IF(AND(10&gt;=$C$13,10&lt;=$E$13),1,0)</f>
        <v/>
      </c>
      <c r="O39" s="85">
        <f>IF(AND(11&gt;=$C$13,11&lt;=$E$13),1,0)</f>
        <v/>
      </c>
      <c r="P39" s="85">
        <f>IF(AND(12&gt;=$C$13,12&lt;=$E$13),1,0)</f>
        <v/>
      </c>
      <c r="Q39" s="85">
        <f>IF(AND(13&gt;=$C$13,13&lt;=$E$13),1,0)</f>
        <v/>
      </c>
      <c r="R39" s="85">
        <f>IF(AND(14&gt;=$C$13,14&lt;=$E$13),1,0)</f>
        <v/>
      </c>
      <c r="S39" s="85">
        <f>IF(AND(15&gt;=$C$13,15&lt;=$E$13),1,0)</f>
        <v/>
      </c>
      <c r="T39" s="85">
        <f>IF(AND(16&gt;=$C$13,16&lt;=$E$13),1,0)</f>
        <v/>
      </c>
      <c r="U39" s="85">
        <f>IF(AND(17&gt;=$C$13,17&lt;=$E$13),1,0)</f>
        <v/>
      </c>
      <c r="V39" s="85">
        <f>IF(AND(18&gt;=$C$13,18&lt;=$E$13),1,0)</f>
        <v/>
      </c>
      <c r="W39" s="85">
        <f>IF(AND(19&gt;=$C$13,19&lt;=$E$13),1,0)</f>
        <v/>
      </c>
      <c r="X39" s="85">
        <f>IF(AND(20&gt;=$C$13,20&lt;=$E$13),1,0)</f>
        <v/>
      </c>
      <c r="Y39" s="85">
        <f>IF(AND(21&gt;=$C$13,21&lt;=$E$13),1,0)</f>
        <v/>
      </c>
      <c r="Z39" s="85">
        <f>IF(AND(22&gt;=$C$13,22&lt;=$E$13),1,0)</f>
        <v/>
      </c>
      <c r="AA39" s="85">
        <f>IF(AND(23&gt;=$C$13,23&lt;=$E$13),1,0)</f>
        <v/>
      </c>
      <c r="AB39" s="85">
        <f>IF(AND(24&gt;=$C$13,24&lt;=$E$13),1,0)</f>
        <v/>
      </c>
      <c r="AC39" s="85">
        <f>IF(AND(25&gt;=$C$13,25&lt;=$E$13),1,0)</f>
        <v/>
      </c>
      <c r="AD39" s="85">
        <f>IF(AND(26&gt;=$C$13,26&lt;=$E$13),1,0)</f>
        <v/>
      </c>
      <c r="AE39" s="85">
        <f>IF(AND(27&gt;=$C$13,27&lt;=$E$13),1,0)</f>
        <v/>
      </c>
      <c r="AF39" s="85">
        <f>IF(AND(28&gt;=$C$13,28&lt;=$E$13),1,0)</f>
        <v/>
      </c>
      <c r="AG39" s="85">
        <f>IF(AND(29&gt;=$C$13,29&lt;=$E$13),1,0)</f>
        <v/>
      </c>
      <c r="AH39" s="85">
        <f>IF(AND(30&gt;=$C$13,30&lt;=$E$13),1,0)</f>
        <v/>
      </c>
      <c r="AI39" s="85">
        <f>IF(AND(31&gt;=$C$13,31&lt;=$E$13),1,0)</f>
        <v/>
      </c>
      <c r="AJ39" s="85">
        <f>IF(AND(32&gt;=$C$13,32&lt;=$E$13),1,0)</f>
        <v/>
      </c>
      <c r="AK39" s="85">
        <f>IF(AND(33&gt;=$C$13,33&lt;=$E$13),1,0)</f>
        <v/>
      </c>
      <c r="AL39" s="85">
        <f>IF(AND(34&gt;=$C$13,34&lt;=$E$13),1,0)</f>
        <v/>
      </c>
      <c r="AM39" s="85">
        <f>IF(AND(35&gt;=$C$13,35&lt;=$E$13),1,0)</f>
        <v/>
      </c>
      <c r="AN39" s="85">
        <f>IF(AND(36&gt;=$C$13,36&lt;=$E$13),1,0)</f>
        <v/>
      </c>
      <c r="AO39" s="85">
        <f>IF(AND(37&gt;=$C$13,37&lt;=$E$13),1,0)</f>
        <v/>
      </c>
      <c r="AP39" s="85">
        <f>IF(AND(38&gt;=$C$13,38&lt;=$E$13),1,0)</f>
        <v/>
      </c>
      <c r="AQ39" s="85">
        <f>IF(AND(39&gt;=$C$13,39&lt;=$E$13),1,0)</f>
        <v/>
      </c>
      <c r="AR39" s="85">
        <f>IF(AND(40&gt;=$C$13,40&lt;=$E$13),1,0)</f>
        <v/>
      </c>
      <c r="AS39" s="85">
        <f>IF(AND(41&gt;=$C$13,41&lt;=$E$13),1,0)</f>
        <v/>
      </c>
      <c r="AT39" s="85">
        <f>IF(AND(42&gt;=$C$13,42&lt;=$E$13),1,0)</f>
        <v/>
      </c>
      <c r="AU39" s="85">
        <f>IF(AND(43&gt;=$C$13,43&lt;=$E$13),1,0)</f>
        <v/>
      </c>
      <c r="AV39" s="85">
        <f>IF(AND(44&gt;=$C$13,44&lt;=$E$13),1,0)</f>
        <v/>
      </c>
      <c r="AW39" s="85">
        <f>IF(AND(45&gt;=$C$13,45&lt;=$E$13),1,0)</f>
        <v/>
      </c>
      <c r="AX39" s="85">
        <f>IF(AND(46&gt;=$C$13,46&lt;=$E$13),1,0)</f>
        <v/>
      </c>
      <c r="AY39" s="85">
        <f>IF(AND(47&gt;=$C$13,47&lt;=$E$13),1,0)</f>
        <v/>
      </c>
      <c r="AZ39" s="85">
        <f>IF(AND(48&gt;=$C$13,48&lt;=$E$13),1,0)</f>
        <v/>
      </c>
      <c r="BA39" s="85">
        <f>IF(AND(49&gt;=$C$13,49&lt;=$E$13),1,0)</f>
        <v/>
      </c>
      <c r="BB39" s="85">
        <f>IF(AND(50&gt;=$C$13,50&lt;=$E$13),1,0)</f>
        <v/>
      </c>
      <c r="BC39" s="85">
        <f>IF(AND(51&gt;=$C$13,51&lt;=$E$13),1,0)</f>
        <v/>
      </c>
      <c r="BD39" s="85">
        <f>IF(AND(52&gt;=$C$13,52&lt;=$E$13),1,0)</f>
        <v/>
      </c>
      <c r="BE39" s="85">
        <f>IF(AND(53&gt;=$C$13,53&lt;=$E$13),1,0)</f>
        <v/>
      </c>
      <c r="BF39" s="85">
        <f>IF(AND(54&gt;=$C$13,54&lt;=$E$13),1,0)</f>
        <v/>
      </c>
      <c r="BG39" s="85">
        <f>IF(AND(55&gt;=$C$13,55&lt;=$E$13),1,0)</f>
        <v/>
      </c>
      <c r="BH39" s="85">
        <f>IF(AND(56&gt;=$C$13,56&lt;=$E$13),1,0)</f>
        <v/>
      </c>
      <c r="BI39" s="85">
        <f>IF(AND(57&gt;=$C$13,57&lt;=$E$13),1,0)</f>
        <v/>
      </c>
      <c r="BJ39" s="85">
        <f>IF(AND(58&gt;=$C$13,58&lt;=$E$13),1,0)</f>
        <v/>
      </c>
      <c r="BK39" s="85">
        <f>IF(AND(59&gt;=$C$13,59&lt;=$E$13),1,0)</f>
        <v/>
      </c>
      <c r="BL39" s="85">
        <f>IF(AND(60&gt;=$C$13,60&lt;=$E$13),1,0)</f>
        <v/>
      </c>
      <c r="BM39" s="85">
        <f>IF(AND(61&gt;=$C$13,61&lt;=$E$13),1,0)</f>
        <v/>
      </c>
      <c r="BN39" s="85">
        <f>IF(AND(62&gt;=$C$13,62&lt;=$E$13),1,0)</f>
        <v/>
      </c>
      <c r="BO39" s="85">
        <f>IF(AND(63&gt;=$C$13,63&lt;=$E$13),1,0)</f>
        <v/>
      </c>
      <c r="BP39" s="85">
        <f>IF(AND(64&gt;=$C$13,64&lt;=$E$13),1,0)</f>
        <v/>
      </c>
      <c r="BQ39" s="85">
        <f>IF(AND(65&gt;=$C$13,65&lt;=$E$13),1,0)</f>
        <v/>
      </c>
      <c r="BR39" s="85">
        <f>IF(AND(66&gt;=$C$13,66&lt;=$E$13),1,0)</f>
        <v/>
      </c>
      <c r="BS39" s="85">
        <f>IF(AND(67&gt;=$C$13,67&lt;=$E$13),1,0)</f>
        <v/>
      </c>
      <c r="BT39" s="85">
        <f>IF(AND(68&gt;=$C$13,68&lt;=$E$13),1,0)</f>
        <v/>
      </c>
      <c r="BU39" s="85">
        <f>IF(AND(69&gt;=$C$13,69&lt;=$E$13),1,0)</f>
        <v/>
      </c>
      <c r="BV39" s="85">
        <f>IF(AND(70&gt;=$C$13,70&lt;=$E$13),1,0)</f>
        <v/>
      </c>
      <c r="BW39" s="85">
        <f>IF(AND(71&gt;=$C$13,71&lt;=$E$13),1,0)</f>
        <v/>
      </c>
      <c r="BX39" s="85">
        <f>IF(AND(72&gt;=$C$13,72&lt;=$E$13),1,0)</f>
        <v/>
      </c>
      <c r="BY39" s="85">
        <f>IF(AND(73&gt;=$C$13,73&lt;=$E$13),1,0)</f>
        <v/>
      </c>
      <c r="BZ39" s="85">
        <f>IF(AND(74&gt;=$C$13,74&lt;=$E$13),1,0)</f>
        <v/>
      </c>
      <c r="CA39" s="85">
        <f>IF(AND(75&gt;=$C$13,75&lt;=$E$13),1,0)</f>
        <v/>
      </c>
      <c r="CB39" s="85">
        <f>IF(AND(76&gt;=$C$13,76&lt;=$E$13),1,0)</f>
        <v/>
      </c>
      <c r="CC39" s="85">
        <f>IF(AND(77&gt;=$C$13,77&lt;=$E$13),1,0)</f>
        <v/>
      </c>
      <c r="CD39" s="85">
        <f>IF(AND(78&gt;=$C$13,78&lt;=$E$13),1,0)</f>
        <v/>
      </c>
      <c r="CE39" s="85">
        <f>IF(AND(79&gt;=$C$13,79&lt;=$E$13),1,0)</f>
        <v/>
      </c>
      <c r="CF39" s="85">
        <f>IF(AND(80&gt;=$C$13,80&lt;=$E$13),1,0)</f>
        <v/>
      </c>
      <c r="CG39" s="85">
        <f>IF(AND(81&gt;=$C$13,81&lt;=$E$13),1,0)</f>
        <v/>
      </c>
      <c r="CH39" s="85">
        <f>IF(AND(82&gt;=$C$13,82&lt;=$E$13),1,0)</f>
        <v/>
      </c>
      <c r="CI39" s="85">
        <f>IF(AND(83&gt;=$C$13,83&lt;=$E$13),1,0)</f>
        <v/>
      </c>
      <c r="CJ39" s="85">
        <f>IF(AND(84&gt;=$C$13,84&lt;=$E$13),1,0)</f>
        <v/>
      </c>
      <c r="CK39" s="85">
        <f>IF(AND(85&gt;=$C$13,85&lt;=$E$13),1,0)</f>
        <v/>
      </c>
      <c r="CL39" s="85">
        <f>IF(AND(86&gt;=$C$13,86&lt;=$E$13),1,0)</f>
        <v/>
      </c>
      <c r="CM39" s="85">
        <f>IF(AND(87&gt;=$C$13,87&lt;=$E$13),1,0)</f>
        <v/>
      </c>
      <c r="CN39" s="85">
        <f>IF(AND(88&gt;=$C$13,88&lt;=$E$13),1,0)</f>
        <v/>
      </c>
      <c r="CO39" s="85">
        <f>IF(AND(89&gt;=$C$13,89&lt;=$E$13),1,0)</f>
        <v/>
      </c>
      <c r="CP39" s="85">
        <f>IF(AND(90&gt;=$C$13,90&lt;=$E$13),1,0)</f>
        <v/>
      </c>
      <c r="CQ39" s="85">
        <f>IF(AND(91&gt;=$C$13,91&lt;=$E$13),1,0)</f>
        <v/>
      </c>
      <c r="CR39" s="85">
        <f>IF(AND(92&gt;=$C$13,92&lt;=$E$13),1,0)</f>
        <v/>
      </c>
      <c r="CS39" s="85">
        <f>IF(AND(93&gt;=$C$13,93&lt;=$E$13),1,0)</f>
        <v/>
      </c>
      <c r="CT39" s="85">
        <f>IF(AND(94&gt;=$C$13,94&lt;=$E$13),1,0)</f>
        <v/>
      </c>
      <c r="CU39" s="85">
        <f>IF(AND(95&gt;=$C$13,95&lt;=$E$13),1,0)</f>
        <v/>
      </c>
      <c r="CV39" s="85">
        <f>IF(AND(96&gt;=$C$13,96&lt;=$E$13),1,0)</f>
        <v/>
      </c>
      <c r="CW39" s="85">
        <f>IF(AND(97&gt;=$C$13,97&lt;=$E$13),1,0)</f>
        <v/>
      </c>
      <c r="CX39" s="85">
        <f>IF(AND(98&gt;=$C$13,98&lt;=$E$13),1,0)</f>
        <v/>
      </c>
      <c r="CY39" s="85">
        <f>IF(AND(99&gt;=$C$13,99&lt;=$E$13),1,0)</f>
        <v/>
      </c>
      <c r="CZ39" s="85">
        <f>IF(AND(100&gt;=$C$13,100&lt;=$E$13),1,0)</f>
        <v/>
      </c>
      <c r="DA39" s="85">
        <f>IF(AND(101&gt;=$C$13,101&lt;=$E$13),1,0)</f>
        <v/>
      </c>
      <c r="DB39" s="85">
        <f>IF(AND(102&gt;=$C$13,102&lt;=$E$13),1,0)</f>
        <v/>
      </c>
      <c r="DC39" s="85">
        <f>IF(AND(103&gt;=$C$13,103&lt;=$E$13),1,0)</f>
        <v/>
      </c>
      <c r="DD39" s="85">
        <f>IF(AND(104&gt;=$C$13,104&lt;=$E$13),1,0)</f>
        <v/>
      </c>
      <c r="DE39" s="85">
        <f>IF(AND(105&gt;=$C$13,105&lt;=$E$13),1,0)</f>
        <v/>
      </c>
      <c r="DF39" s="85">
        <f>IF(AND(106&gt;=$C$13,106&lt;=$E$13),1,0)</f>
        <v/>
      </c>
      <c r="DG39" s="85">
        <f>IF(AND(107&gt;=$C$13,107&lt;=$E$13),1,0)</f>
        <v/>
      </c>
      <c r="DH39" s="85">
        <f>IF(AND(108&gt;=$C$13,108&lt;=$E$13),1,0)</f>
        <v/>
      </c>
      <c r="DI39" s="85">
        <f>IF(AND(109&gt;=$C$13,109&lt;=$E$13),1,0)</f>
        <v/>
      </c>
      <c r="DJ39" s="85">
        <f>IF(AND(110&gt;=$C$13,110&lt;=$E$13),1,0)</f>
        <v/>
      </c>
      <c r="DK39" s="85">
        <f>IF(AND(111&gt;=$C$13,111&lt;=$E$13),1,0)</f>
        <v/>
      </c>
      <c r="DL39" s="85">
        <f>IF(AND(112&gt;=$C$13,112&lt;=$E$13),1,0)</f>
        <v/>
      </c>
      <c r="DM39" s="85">
        <f>IF(AND(113&gt;=$C$13,113&lt;=$E$13),1,0)</f>
        <v/>
      </c>
      <c r="DN39" s="85">
        <f>IF(AND(114&gt;=$C$13,114&lt;=$E$13),1,0)</f>
        <v/>
      </c>
      <c r="DO39" s="85">
        <f>IF(AND(115&gt;=$C$13,115&lt;=$E$13),1,0)</f>
        <v/>
      </c>
      <c r="DP39" s="85">
        <f>IF(AND(116&gt;=$C$13,116&lt;=$E$13),1,0)</f>
        <v/>
      </c>
      <c r="DQ39" s="85">
        <f>IF(AND(117&gt;=$C$13,117&lt;=$E$13),1,0)</f>
        <v/>
      </c>
      <c r="DR39" s="85">
        <f>IF(AND(118&gt;=$C$13,118&lt;=$E$13),1,0)</f>
        <v/>
      </c>
      <c r="DS39" s="85">
        <f>IF(AND(119&gt;=$C$13,119&lt;=$E$13),1,0)</f>
        <v/>
      </c>
      <c r="DT39" s="85">
        <f>IF(AND(120&gt;=$C$13,120&lt;=$E$13),1,0)</f>
        <v/>
      </c>
      <c r="DU39" s="85">
        <f>IF(AND(121&gt;=$C$13,121&lt;=$E$13),1,0)</f>
        <v/>
      </c>
      <c r="DV39" s="85">
        <f>IF(AND(122&gt;=$C$13,122&lt;=$E$13),1,0)</f>
        <v/>
      </c>
      <c r="DW39" s="85">
        <f>IF(AND(123&gt;=$C$13,123&lt;=$E$13),1,0)</f>
        <v/>
      </c>
      <c r="DX39" s="85">
        <f>IF(AND(124&gt;=$C$13,124&lt;=$E$13),1,0)</f>
        <v/>
      </c>
      <c r="DY39" s="85">
        <f>IF(AND(125&gt;=$C$13,125&lt;=$E$13),1,0)</f>
        <v/>
      </c>
      <c r="DZ39" s="85">
        <f>IF(AND(126&gt;=$C$13,126&lt;=$E$13),1,0)</f>
        <v/>
      </c>
      <c r="EA39" s="85">
        <f>IF(AND(127&gt;=$C$13,127&lt;=$E$13),1,0)</f>
        <v/>
      </c>
      <c r="EB39" s="85">
        <f>IF(AND(128&gt;=$C$13,128&lt;=$E$13),1,0)</f>
        <v/>
      </c>
      <c r="EC39" s="85">
        <f>IF(AND(129&gt;=$C$13,129&lt;=$E$13),1,0)</f>
        <v/>
      </c>
      <c r="ED39" s="85">
        <f>IF(AND(130&gt;=$C$13,130&lt;=$E$13),1,0)</f>
        <v/>
      </c>
      <c r="EE39" s="85">
        <f>IF(AND(131&gt;=$C$13,131&lt;=$E$13),1,0)</f>
        <v/>
      </c>
      <c r="EF39" s="85">
        <f>IF(AND(132&gt;=$C$13,132&lt;=$E$13),1,0)</f>
        <v/>
      </c>
      <c r="EG39" s="85">
        <f>IF(AND(133&gt;=$C$13,133&lt;=$E$13),1,0)</f>
        <v/>
      </c>
      <c r="EH39" s="85">
        <f>IF(AND(134&gt;=$C$13,134&lt;=$E$13),1,0)</f>
        <v/>
      </c>
      <c r="EI39" s="85">
        <f>IF(AND(135&gt;=$C$13,135&lt;=$E$13),1,0)</f>
        <v/>
      </c>
      <c r="EJ39" s="85">
        <f>IF(AND(136&gt;=$C$13,136&lt;=$E$13),1,0)</f>
        <v/>
      </c>
      <c r="EK39" s="85">
        <f>IF(AND(137&gt;=$C$13,137&lt;=$E$13),1,0)</f>
        <v/>
      </c>
      <c r="EL39" s="85">
        <f>IF(AND(138&gt;=$C$13,138&lt;=$E$13),1,0)</f>
        <v/>
      </c>
      <c r="EM39" s="85">
        <f>IF(AND(139&gt;=$C$13,139&lt;=$E$13),1,0)</f>
        <v/>
      </c>
      <c r="EN39" s="85">
        <f>IF(AND(140&gt;=$C$13,140&lt;=$E$13),1,0)</f>
        <v/>
      </c>
      <c r="EO39" s="85">
        <f>IF(AND(141&gt;=$C$13,141&lt;=$E$13),1,0)</f>
        <v/>
      </c>
      <c r="EP39" s="85">
        <f>IF(AND(142&gt;=$C$13,142&lt;=$E$13),1,0)</f>
        <v/>
      </c>
      <c r="EQ39" s="85">
        <f>IF(AND(143&gt;=$C$13,143&lt;=$E$13),1,0)</f>
        <v/>
      </c>
      <c r="ER39" s="85">
        <f>IF(AND(144&gt;=$C$13,144&lt;=$E$13),1,0)</f>
        <v/>
      </c>
      <c r="ES39" s="85">
        <f>IF(AND(145&gt;=$C$13,145&lt;=$E$13),1,0)</f>
        <v/>
      </c>
      <c r="ET39" s="85">
        <f>IF(AND(146&gt;=$C$13,146&lt;=$E$13),1,0)</f>
        <v/>
      </c>
      <c r="EU39" s="85">
        <f>IF(AND(147&gt;=$C$13,147&lt;=$E$13),1,0)</f>
        <v/>
      </c>
      <c r="EV39" s="85">
        <f>IF(AND(148&gt;=$C$13,148&lt;=$E$13),1,0)</f>
        <v/>
      </c>
      <c r="EW39" s="85">
        <f>IF(AND(149&gt;=$C$13,149&lt;=$E$13),1,0)</f>
        <v/>
      </c>
      <c r="EX39" s="85">
        <f>IF(AND(150&gt;=$C$13,150&lt;=$E$13),1,0)</f>
        <v/>
      </c>
      <c r="EY39" s="85">
        <f>IF(AND(151&gt;=$C$13,151&lt;=$E$13),1,0)</f>
        <v/>
      </c>
      <c r="EZ39" s="85">
        <f>IF(AND(152&gt;=$C$13,152&lt;=$E$13),1,0)</f>
        <v/>
      </c>
      <c r="FA39" s="85">
        <f>IF(AND(153&gt;=$C$13,153&lt;=$E$13),1,0)</f>
        <v/>
      </c>
      <c r="FB39" s="85">
        <f>IF(AND(154&gt;=$C$13,154&lt;=$E$13),1,0)</f>
        <v/>
      </c>
      <c r="FC39" s="85">
        <f>IF(AND(155&gt;=$C$13,155&lt;=$E$13),1,0)</f>
        <v/>
      </c>
      <c r="FD39" s="85">
        <f>IF(AND(156&gt;=$C$13,156&lt;=$E$13),1,0)</f>
        <v/>
      </c>
      <c r="FE39" s="85">
        <f>IF(AND(157&gt;=$C$13,157&lt;=$E$13),1,0)</f>
        <v/>
      </c>
      <c r="FF39" s="85">
        <f>IF(AND(158&gt;=$C$13,158&lt;=$E$13),1,0)</f>
        <v/>
      </c>
      <c r="FG39" s="85">
        <f>IF(AND(159&gt;=$C$13,159&lt;=$E$13),1,0)</f>
        <v/>
      </c>
      <c r="FH39" s="85">
        <f>IF(AND(160&gt;=$C$13,160&lt;=$E$13),1,0)</f>
        <v/>
      </c>
      <c r="FI39" s="85">
        <f>IF(AND(161&gt;=$C$13,161&lt;=$E$13),1,0)</f>
        <v/>
      </c>
      <c r="FJ39" s="85">
        <f>IF(AND(162&gt;=$C$13,162&lt;=$E$13),1,0)</f>
        <v/>
      </c>
      <c r="FK39" s="85">
        <f>IF(AND(163&gt;=$C$13,163&lt;=$E$13),1,0)</f>
        <v/>
      </c>
      <c r="FL39" s="85">
        <f>IF(AND(164&gt;=$C$13,164&lt;=$E$13),1,0)</f>
        <v/>
      </c>
      <c r="FM39" s="85">
        <f>IF(AND(165&gt;=$C$13,165&lt;=$E$13),1,0)</f>
        <v/>
      </c>
      <c r="FN39" s="85">
        <f>IF(AND(166&gt;=$C$13,166&lt;=$E$13),1,0)</f>
        <v/>
      </c>
      <c r="FO39" s="85">
        <f>IF(AND(167&gt;=$C$13,167&lt;=$E$13),1,0)</f>
        <v/>
      </c>
      <c r="FP39" s="85">
        <f>IF(AND(168&gt;=$C$13,168&lt;=$E$13),1,0)</f>
        <v/>
      </c>
      <c r="FQ39" s="85">
        <f>IF(AND(169&gt;=$C$13,169&lt;=$E$13),1,0)</f>
        <v/>
      </c>
      <c r="FR39" s="85">
        <f>IF(AND(170&gt;=$C$13,170&lt;=$E$13),1,0)</f>
        <v/>
      </c>
      <c r="FS39" s="85">
        <f>IF(AND(171&gt;=$C$13,171&lt;=$E$13),1,0)</f>
        <v/>
      </c>
      <c r="FT39" s="85">
        <f>IF(AND(172&gt;=$C$13,172&lt;=$E$13),1,0)</f>
        <v/>
      </c>
      <c r="FU39" s="85">
        <f>IF(AND(173&gt;=$C$13,173&lt;=$E$13),1,0)</f>
        <v/>
      </c>
      <c r="FV39" s="85">
        <f>IF(AND(174&gt;=$C$13,174&lt;=$E$13),1,0)</f>
        <v/>
      </c>
      <c r="FW39" s="85">
        <f>IF(AND(175&gt;=$C$13,175&lt;=$E$13),1,0)</f>
        <v/>
      </c>
      <c r="FX39" s="85">
        <f>IF(AND(176&gt;=$C$13,176&lt;=$E$13),1,0)</f>
        <v/>
      </c>
      <c r="FY39" s="85">
        <f>IF(AND(177&gt;=$C$13,177&lt;=$E$13),1,0)</f>
        <v/>
      </c>
      <c r="FZ39" s="85">
        <f>IF(AND(178&gt;=$C$13,178&lt;=$E$13),1,0)</f>
        <v/>
      </c>
      <c r="GA39" s="85">
        <f>IF(AND(179&gt;=$C$13,179&lt;=$E$13),1,0)</f>
        <v/>
      </c>
      <c r="GB39" s="85">
        <f>IF(AND(180&gt;=$C$13,180&lt;=$E$13),1,0)</f>
        <v/>
      </c>
      <c r="GC39" s="85">
        <f>IF(AND(181&gt;=$C$13,181&lt;=$E$13),1,0)</f>
        <v/>
      </c>
      <c r="GD39" s="85">
        <f>IF(AND(182&gt;=$C$13,182&lt;=$E$13),1,0)</f>
        <v/>
      </c>
      <c r="GE39" s="85">
        <f>IF(AND(183&gt;=$C$13,183&lt;=$E$13),1,0)</f>
        <v/>
      </c>
      <c r="GF39" s="85">
        <f>IF(AND(184&gt;=$C$13,184&lt;=$E$13),1,0)</f>
        <v/>
      </c>
      <c r="GG39" s="85">
        <f>IF(AND(185&gt;=$C$13,185&lt;=$E$13),1,0)</f>
        <v/>
      </c>
      <c r="GH39" s="85">
        <f>IF(AND(186&gt;=$C$13,186&lt;=$E$13),1,0)</f>
        <v/>
      </c>
      <c r="GI39" s="85">
        <f>IF(AND(187&gt;=$C$13,187&lt;=$E$13),1,0)</f>
        <v/>
      </c>
      <c r="GJ39" s="85">
        <f>IF(AND(188&gt;=$C$13,188&lt;=$E$13),1,0)</f>
        <v/>
      </c>
      <c r="GK39" s="85">
        <f>IF(AND(189&gt;=$C$13,189&lt;=$E$13),1,0)</f>
        <v/>
      </c>
      <c r="GL39" s="85">
        <f>IF(AND(190&gt;=$C$13,190&lt;=$E$13),1,0)</f>
        <v/>
      </c>
      <c r="GM39" s="85">
        <f>IF(AND(191&gt;=$C$13,191&lt;=$E$13),1,0)</f>
        <v/>
      </c>
      <c r="GN39" s="85">
        <f>IF(AND(192&gt;=$C$13,192&lt;=$E$13),1,0)</f>
        <v/>
      </c>
      <c r="GO39" s="85">
        <f>IF(AND(193&gt;=$C$13,193&lt;=$E$13),1,0)</f>
        <v/>
      </c>
      <c r="GP39" s="85">
        <f>IF(AND(194&gt;=$C$13,194&lt;=$E$13),1,0)</f>
        <v/>
      </c>
      <c r="GQ39" s="85">
        <f>IF(AND(195&gt;=$C$13,195&lt;=$E$13),1,0)</f>
        <v/>
      </c>
      <c r="GR39" s="85">
        <f>IF(AND(196&gt;=$C$13,196&lt;=$E$13),1,0)</f>
        <v/>
      </c>
      <c r="GS39" s="85">
        <f>IF(AND(197&gt;=$C$13,197&lt;=$E$13),1,0)</f>
        <v/>
      </c>
      <c r="GT39" s="85">
        <f>IF(AND(198&gt;=$C$13,198&lt;=$E$13),1,0)</f>
        <v/>
      </c>
      <c r="GU39" s="85">
        <f>IF(AND(199&gt;=$C$13,199&lt;=$E$13),1,0)</f>
        <v/>
      </c>
      <c r="GV39" s="85">
        <f>IF(AND(200&gt;=$C$13,200&lt;=$E$13),1,0)</f>
        <v/>
      </c>
      <c r="GW39" s="85">
        <f>IF(AND(201&gt;=$C$13,201&lt;=$E$13),1,0)</f>
        <v/>
      </c>
      <c r="GX39" s="85">
        <f>IF(AND(202&gt;=$C$13,202&lt;=$E$13),1,0)</f>
        <v/>
      </c>
      <c r="GY39" s="85">
        <f>IF(AND(203&gt;=$C$13,203&lt;=$E$13),1,0)</f>
        <v/>
      </c>
      <c r="GZ39" s="85">
        <f>IF(AND(204&gt;=$C$13,204&lt;=$E$13),1,0)</f>
        <v/>
      </c>
      <c r="HA39" s="85">
        <f>IF(AND(205&gt;=$C$13,205&lt;=$E$13),1,0)</f>
        <v/>
      </c>
      <c r="HB39" s="85">
        <f>IF(AND(206&gt;=$C$13,206&lt;=$E$13),1,0)</f>
        <v/>
      </c>
      <c r="HC39" s="85">
        <f>IF(AND(207&gt;=$C$13,207&lt;=$E$13),1,0)</f>
        <v/>
      </c>
      <c r="HD39" s="85">
        <f>IF(AND(208&gt;=$C$13,208&lt;=$E$13),1,0)</f>
        <v/>
      </c>
      <c r="HE39" s="85">
        <f>IF(AND(209&gt;=$C$13,209&lt;=$E$13),1,0)</f>
        <v/>
      </c>
      <c r="HF39" s="85">
        <f>IF(AND(210&gt;=$C$13,210&lt;=$E$13),1,0)</f>
        <v/>
      </c>
      <c r="HG39" s="85">
        <f>IF(AND(211&gt;=$C$13,211&lt;=$E$13),1,0)</f>
        <v/>
      </c>
      <c r="HH39" s="85">
        <f>IF(AND(212&gt;=$C$13,212&lt;=$E$13),1,0)</f>
        <v/>
      </c>
      <c r="HI39" s="85">
        <f>IF(AND(213&gt;=$C$13,213&lt;=$E$13),1,0)</f>
        <v/>
      </c>
      <c r="HJ39" s="85">
        <f>IF(AND(214&gt;=$C$13,214&lt;=$E$13),1,0)</f>
        <v/>
      </c>
      <c r="HK39" s="85">
        <f>IF(AND(215&gt;=$C$13,215&lt;=$E$13),1,0)</f>
        <v/>
      </c>
      <c r="HL39" s="85">
        <f>IF(AND(216&gt;=$C$13,216&lt;=$E$13),1,0)</f>
        <v/>
      </c>
      <c r="HM39" s="85">
        <f>IF(AND(217&gt;=$C$13,217&lt;=$E$13),1,0)</f>
        <v/>
      </c>
      <c r="HN39" s="85">
        <f>IF(AND(218&gt;=$C$13,218&lt;=$E$13),1,0)</f>
        <v/>
      </c>
      <c r="HO39" s="85">
        <f>IF(AND(219&gt;=$C$13,219&lt;=$E$13),1,0)</f>
        <v/>
      </c>
      <c r="HP39" s="85">
        <f>IF(AND(220&gt;=$C$13,220&lt;=$E$13),1,0)</f>
        <v/>
      </c>
      <c r="HQ39" s="85">
        <f>IF(AND(221&gt;=$C$13,221&lt;=$E$13),1,0)</f>
        <v/>
      </c>
      <c r="HR39" s="85">
        <f>IF(AND(222&gt;=$C$13,222&lt;=$E$13),1,0)</f>
        <v/>
      </c>
      <c r="HS39" s="85">
        <f>IF(AND(223&gt;=$C$13,223&lt;=$E$13),1,0)</f>
        <v/>
      </c>
      <c r="HT39" s="85">
        <f>IF(AND(224&gt;=$C$13,224&lt;=$E$13),1,0)</f>
        <v/>
      </c>
      <c r="HU39" s="85">
        <f>IF(AND(225&gt;=$C$13,225&lt;=$E$13),1,0)</f>
        <v/>
      </c>
      <c r="HV39" s="85">
        <f>IF(AND(226&gt;=$C$13,226&lt;=$E$13),1,0)</f>
        <v/>
      </c>
      <c r="HW39" s="85">
        <f>IF(AND(227&gt;=$C$13,227&lt;=$E$13),1,0)</f>
        <v/>
      </c>
      <c r="HX39" s="85">
        <f>IF(AND(228&gt;=$C$13,228&lt;=$E$13),1,0)</f>
        <v/>
      </c>
      <c r="HY39" s="85">
        <f>IF(AND(229&gt;=$C$13,229&lt;=$E$13),1,0)</f>
        <v/>
      </c>
      <c r="HZ39" s="85">
        <f>IF(AND(230&gt;=$C$13,230&lt;=$E$13),1,0)</f>
        <v/>
      </c>
      <c r="IA39" s="85">
        <f>IF(AND(231&gt;=$C$13,231&lt;=$E$13),1,0)</f>
        <v/>
      </c>
      <c r="IB39" s="85">
        <f>IF(AND(232&gt;=$C$13,232&lt;=$E$13),1,0)</f>
        <v/>
      </c>
      <c r="IC39" s="85">
        <f>IF(AND(233&gt;=$C$13,233&lt;=$E$13),1,0)</f>
        <v/>
      </c>
      <c r="ID39" s="85">
        <f>IF(AND(234&gt;=$C$13,234&lt;=$E$13),1,0)</f>
        <v/>
      </c>
      <c r="IE39" s="85">
        <f>IF(AND(235&gt;=$C$13,235&lt;=$E$13),1,0)</f>
        <v/>
      </c>
      <c r="IF39" s="85">
        <f>IF(AND(236&gt;=$C$13,236&lt;=$E$13),1,0)</f>
        <v/>
      </c>
      <c r="IG39" s="85">
        <f>IF(AND(237&gt;=$C$13,237&lt;=$E$13),1,0)</f>
        <v/>
      </c>
      <c r="IH39" s="85">
        <f>IF(AND(238&gt;=$C$13,238&lt;=$E$13),1,0)</f>
        <v/>
      </c>
      <c r="II39" s="85">
        <f>IF(AND(239&gt;=$C$13,239&lt;=$E$13),1,0)</f>
        <v/>
      </c>
      <c r="IJ39" s="85">
        <f>IF(AND(240&gt;=$C$13,240&lt;=$E$13),1,0)</f>
        <v/>
      </c>
      <c r="IK39" s="85">
        <f>IF(AND(241&gt;=$C$13,241&lt;=$E$13),1,0)</f>
        <v/>
      </c>
      <c r="IL39" s="85">
        <f>IF(AND(242&gt;=$C$13,242&lt;=$E$13),1,0)</f>
        <v/>
      </c>
      <c r="IM39" s="85">
        <f>IF(AND(243&gt;=$C$13,243&lt;=$E$13),1,0)</f>
        <v/>
      </c>
      <c r="IN39" s="85">
        <f>IF(AND(244&gt;=$C$13,244&lt;=$E$13),1,0)</f>
        <v/>
      </c>
      <c r="IO39" s="85">
        <f>IF(AND(245&gt;=$C$13,245&lt;=$E$13),1,0)</f>
        <v/>
      </c>
      <c r="IP39" s="85">
        <f>IF(AND(246&gt;=$C$13,246&lt;=$E$13),1,0)</f>
        <v/>
      </c>
      <c r="IQ39" s="85">
        <f>IF(AND(247&gt;=$C$13,247&lt;=$E$13),1,0)</f>
        <v/>
      </c>
      <c r="IR39" s="85">
        <f>IF(AND(248&gt;=$C$13,248&lt;=$E$13),1,0)</f>
        <v/>
      </c>
      <c r="IS39" s="85">
        <f>IF(AND(249&gt;=$C$13,249&lt;=$E$13),1,0)</f>
        <v/>
      </c>
      <c r="IT39" s="85">
        <f>IF(AND(250&gt;=$C$13,250&lt;=$E$13),1,0)</f>
        <v/>
      </c>
      <c r="IU39" s="85">
        <f>IF(AND(251&gt;=$C$13,251&lt;=$E$13),1,0)</f>
        <v/>
      </c>
      <c r="IV39" s="85">
        <f>IF(AND(252&gt;=$C$13,252&lt;=$E$13),1,0)</f>
        <v/>
      </c>
      <c r="IW39" s="85">
        <f>IF(AND(253&gt;=$C$13,253&lt;=$E$13),1,0)</f>
        <v/>
      </c>
      <c r="IX39" s="85">
        <f>IF(AND(254&gt;=$C$13,254&lt;=$E$13),1,0)</f>
        <v/>
      </c>
      <c r="IY39" s="85">
        <f>IF(AND(255&gt;=$C$13,255&lt;=$E$13),1,0)</f>
        <v/>
      </c>
      <c r="IZ39" s="85">
        <f>IF(AND(256&gt;=$C$13,256&lt;=$E$13),1,0)</f>
        <v/>
      </c>
      <c r="JA39" s="85">
        <f>IF(AND(257&gt;=$C$13,257&lt;=$E$13),1,0)</f>
        <v/>
      </c>
      <c r="JB39" s="85">
        <f>IF(AND(258&gt;=$C$13,258&lt;=$E$13),1,0)</f>
        <v/>
      </c>
      <c r="JC39" s="85">
        <f>IF(AND(259&gt;=$C$13,259&lt;=$E$13),1,0)</f>
        <v/>
      </c>
      <c r="JD39" s="85">
        <f>IF(AND(260&gt;=$C$13,260&lt;=$E$13),1,0)</f>
        <v/>
      </c>
      <c r="JE39" s="85">
        <f>IF(AND(261&gt;=$C$13,261&lt;=$E$13),1,0)</f>
        <v/>
      </c>
      <c r="JF39" s="85">
        <f>IF(AND(262&gt;=$C$13,262&lt;=$E$13),1,0)</f>
        <v/>
      </c>
      <c r="JG39" s="85">
        <f>IF(AND(263&gt;=$C$13,263&lt;=$E$13),1,0)</f>
        <v/>
      </c>
      <c r="JH39" s="85">
        <f>IF(AND(264&gt;=$C$13,264&lt;=$E$13),1,0)</f>
        <v/>
      </c>
      <c r="JI39" s="85">
        <f>IF(AND(265&gt;=$C$13,265&lt;=$E$13),1,0)</f>
        <v/>
      </c>
      <c r="JJ39" s="85">
        <f>IF(AND(266&gt;=$C$13,266&lt;=$E$13),1,0)</f>
        <v/>
      </c>
      <c r="JK39" s="85">
        <f>IF(AND(267&gt;=$C$13,267&lt;=$E$13),1,0)</f>
        <v/>
      </c>
      <c r="JL39" s="85">
        <f>IF(AND(268&gt;=$C$13,268&lt;=$E$13),1,0)</f>
        <v/>
      </c>
      <c r="JM39" s="85">
        <f>IF(AND(269&gt;=$C$13,269&lt;=$E$13),1,0)</f>
        <v/>
      </c>
      <c r="JN39" s="85">
        <f>IF(AND(270&gt;=$C$13,270&lt;=$E$13),1,0)</f>
        <v/>
      </c>
      <c r="JO39" s="85">
        <f>IF(AND(271&gt;=$C$13,271&lt;=$E$13),1,0)</f>
        <v/>
      </c>
      <c r="JP39" s="85">
        <f>IF(AND(272&gt;=$C$13,272&lt;=$E$13),1,0)</f>
        <v/>
      </c>
      <c r="JQ39" s="85">
        <f>IF(AND(273&gt;=$C$13,273&lt;=$E$13),1,0)</f>
        <v/>
      </c>
      <c r="JR39" s="85">
        <f>IF(AND(274&gt;=$C$13,274&lt;=$E$13),1,0)</f>
        <v/>
      </c>
      <c r="JS39" s="85">
        <f>IF(AND(275&gt;=$C$13,275&lt;=$E$13),1,0)</f>
        <v/>
      </c>
      <c r="JT39" s="85">
        <f>IF(AND(276&gt;=$C$13,276&lt;=$E$13),1,0)</f>
        <v/>
      </c>
      <c r="JU39" s="85">
        <f>IF(AND(277&gt;=$C$13,277&lt;=$E$13),1,0)</f>
        <v/>
      </c>
      <c r="JV39" s="85">
        <f>IF(AND(278&gt;=$C$13,278&lt;=$E$13),1,0)</f>
        <v/>
      </c>
      <c r="JW39" s="85">
        <f>IF(AND(279&gt;=$C$13,279&lt;=$E$13),1,0)</f>
        <v/>
      </c>
      <c r="JX39" s="85">
        <f>IF(AND(280&gt;=$C$13,280&lt;=$E$13),1,0)</f>
        <v/>
      </c>
      <c r="JY39" s="85">
        <f>IF(AND(281&gt;=$C$13,281&lt;=$E$13),1,0)</f>
        <v/>
      </c>
      <c r="JZ39" s="85">
        <f>IF(AND(282&gt;=$C$13,282&lt;=$E$13),1,0)</f>
        <v/>
      </c>
      <c r="KA39" s="85">
        <f>IF(AND(283&gt;=$C$13,283&lt;=$E$13),1,0)</f>
        <v/>
      </c>
      <c r="KB39" s="85">
        <f>IF(AND(284&gt;=$C$13,284&lt;=$E$13),1,0)</f>
        <v/>
      </c>
      <c r="KC39" s="85">
        <f>IF(AND(285&gt;=$C$13,285&lt;=$E$13),1,0)</f>
        <v/>
      </c>
      <c r="KD39" s="85">
        <f>IF(AND(286&gt;=$C$13,286&lt;=$E$13),1,0)</f>
        <v/>
      </c>
      <c r="KE39" s="85">
        <f>IF(AND(287&gt;=$C$13,287&lt;=$E$13),1,0)</f>
        <v/>
      </c>
      <c r="KF39" s="85">
        <f>IF(AND(288&gt;=$C$13,288&lt;=$E$13),1,0)</f>
        <v/>
      </c>
      <c r="KG39" s="85">
        <f>IF(AND(289&gt;=$C$13,289&lt;=$E$13),1,0)</f>
        <v/>
      </c>
      <c r="KH39" s="85">
        <f>IF(AND(290&gt;=$C$13,290&lt;=$E$13),1,0)</f>
        <v/>
      </c>
      <c r="KI39" s="85">
        <f>IF(AND(291&gt;=$C$13,291&lt;=$E$13),1,0)</f>
        <v/>
      </c>
      <c r="KJ39" s="85">
        <f>IF(AND(292&gt;=$C$13,292&lt;=$E$13),1,0)</f>
        <v/>
      </c>
      <c r="KK39" s="85">
        <f>IF(AND(293&gt;=$C$13,293&lt;=$E$13),1,0)</f>
        <v/>
      </c>
      <c r="KL39" s="85">
        <f>IF(AND(294&gt;=$C$13,294&lt;=$E$13),1,0)</f>
        <v/>
      </c>
      <c r="KM39" s="85">
        <f>IF(AND(295&gt;=$C$13,295&lt;=$E$13),1,0)</f>
        <v/>
      </c>
      <c r="KN39" s="85">
        <f>IF(AND(296&gt;=$C$13,296&lt;=$E$13),1,0)</f>
        <v/>
      </c>
      <c r="KO39" s="85">
        <f>IF(AND(297&gt;=$C$13,297&lt;=$E$13),1,0)</f>
        <v/>
      </c>
      <c r="KP39" s="85">
        <f>IF(AND(298&gt;=$C$13,298&lt;=$E$13),1,0)</f>
        <v/>
      </c>
      <c r="KQ39" s="85">
        <f>IF(AND(299&gt;=$C$13,299&lt;=$E$13),1,0)</f>
        <v/>
      </c>
      <c r="KR39" s="85">
        <f>IF(AND(300&gt;=$C$13,300&lt;=$E$13),1,0)</f>
        <v/>
      </c>
      <c r="KS39" s="85">
        <f>IF(AND(301&gt;=$C$13,301&lt;=$E$13),1,0)</f>
        <v/>
      </c>
      <c r="KT39" s="85">
        <f>IF(AND(302&gt;=$C$13,302&lt;=$E$13),1,0)</f>
        <v/>
      </c>
      <c r="KU39" s="85">
        <f>IF(AND(303&gt;=$C$13,303&lt;=$E$13),1,0)</f>
        <v/>
      </c>
      <c r="KV39" s="85">
        <f>IF(AND(304&gt;=$C$13,304&lt;=$E$13),1,0)</f>
        <v/>
      </c>
      <c r="KW39" s="85">
        <f>IF(AND(305&gt;=$C$13,305&lt;=$E$13),1,0)</f>
        <v/>
      </c>
      <c r="KX39" s="85">
        <f>IF(AND(306&gt;=$C$13,306&lt;=$E$13),1,0)</f>
        <v/>
      </c>
      <c r="KY39" s="85">
        <f>IF(AND(307&gt;=$C$13,307&lt;=$E$13),1,0)</f>
        <v/>
      </c>
      <c r="KZ39" s="85">
        <f>IF(AND(308&gt;=$C$13,308&lt;=$E$13),1,0)</f>
        <v/>
      </c>
      <c r="LA39" s="85">
        <f>IF(AND(309&gt;=$C$13,309&lt;=$E$13),1,0)</f>
        <v/>
      </c>
      <c r="LB39" s="85">
        <f>IF(AND(310&gt;=$C$13,310&lt;=$E$13),1,0)</f>
        <v/>
      </c>
      <c r="LC39" s="85">
        <f>IF(AND(311&gt;=$C$13,311&lt;=$E$13),1,0)</f>
        <v/>
      </c>
      <c r="LD39" s="85">
        <f>IF(AND(312&gt;=$C$13,312&lt;=$E$13),1,0)</f>
        <v/>
      </c>
      <c r="LE39" s="85">
        <f>IF(AND(313&gt;=$C$13,313&lt;=$E$13),1,0)</f>
        <v/>
      </c>
      <c r="LF39" s="85">
        <f>IF(AND(314&gt;=$C$13,314&lt;=$E$13),1,0)</f>
        <v/>
      </c>
      <c r="LG39" s="85">
        <f>IF(AND(315&gt;=$C$13,315&lt;=$E$13),1,0)</f>
        <v/>
      </c>
      <c r="LH39" s="85">
        <f>IF(AND(316&gt;=$C$13,316&lt;=$E$13),1,0)</f>
        <v/>
      </c>
      <c r="LI39" s="85">
        <f>IF(AND(317&gt;=$C$13,317&lt;=$E$13),1,0)</f>
        <v/>
      </c>
      <c r="LJ39" s="85">
        <f>IF(AND(318&gt;=$C$13,318&lt;=$E$13),1,0)</f>
        <v/>
      </c>
      <c r="LK39" s="85">
        <f>IF(AND(319&gt;=$C$13,319&lt;=$E$13),1,0)</f>
        <v/>
      </c>
      <c r="LL39" s="85">
        <f>IF(AND(320&gt;=$C$13,320&lt;=$E$13),1,0)</f>
        <v/>
      </c>
      <c r="LM39" s="85">
        <f>IF(AND(321&gt;=$C$13,321&lt;=$E$13),1,0)</f>
        <v/>
      </c>
      <c r="LN39" s="85">
        <f>IF(AND(322&gt;=$C$13,322&lt;=$E$13),1,0)</f>
        <v/>
      </c>
      <c r="LO39" s="85">
        <f>IF(AND(323&gt;=$C$13,323&lt;=$E$13),1,0)</f>
        <v/>
      </c>
      <c r="LP39" s="85">
        <f>IF(AND(324&gt;=$C$13,324&lt;=$E$13),1,0)</f>
        <v/>
      </c>
      <c r="LQ39" s="85">
        <f>IF(AND(325&gt;=$C$13,325&lt;=$E$13),1,0)</f>
        <v/>
      </c>
      <c r="LR39" s="85">
        <f>IF(AND(326&gt;=$C$13,326&lt;=$E$13),1,0)</f>
        <v/>
      </c>
      <c r="LS39" s="85">
        <f>IF(AND(327&gt;=$C$13,327&lt;=$E$13),1,0)</f>
        <v/>
      </c>
      <c r="LT39" s="85">
        <f>IF(AND(328&gt;=$C$13,328&lt;=$E$13),1,0)</f>
        <v/>
      </c>
      <c r="LU39" s="85">
        <f>IF(AND(329&gt;=$C$13,329&lt;=$E$13),1,0)</f>
        <v/>
      </c>
      <c r="LV39" s="85">
        <f>IF(AND(330&gt;=$C$13,330&lt;=$E$13),1,0)</f>
        <v/>
      </c>
      <c r="LW39" s="85">
        <f>IF(AND(331&gt;=$C$13,331&lt;=$E$13),1,0)</f>
        <v/>
      </c>
      <c r="LX39" s="85">
        <f>IF(AND(332&gt;=$C$13,332&lt;=$E$13),1,0)</f>
        <v/>
      </c>
      <c r="LY39" s="85">
        <f>IF(AND(333&gt;=$C$13,333&lt;=$E$13),1,0)</f>
        <v/>
      </c>
      <c r="LZ39" s="85">
        <f>IF(AND(334&gt;=$C$13,334&lt;=$E$13),1,0)</f>
        <v/>
      </c>
      <c r="MA39" s="85">
        <f>IF(AND(335&gt;=$C$13,335&lt;=$E$13),1,0)</f>
        <v/>
      </c>
      <c r="MB39" s="85">
        <f>IF(AND(336&gt;=$C$13,336&lt;=$E$13),1,0)</f>
        <v/>
      </c>
      <c r="MC39" s="85">
        <f>IF(AND(337&gt;=$C$13,337&lt;=$E$13),1,0)</f>
        <v/>
      </c>
      <c r="MD39" s="85">
        <f>IF(AND(338&gt;=$C$13,338&lt;=$E$13),1,0)</f>
        <v/>
      </c>
      <c r="ME39" s="85">
        <f>IF(AND(339&gt;=$C$13,339&lt;=$E$13),1,0)</f>
        <v/>
      </c>
      <c r="MF39" s="85">
        <f>IF(AND(340&gt;=$C$13,340&lt;=$E$13),1,0)</f>
        <v/>
      </c>
      <c r="MG39" s="85">
        <f>IF(AND(341&gt;=$C$13,341&lt;=$E$13),1,0)</f>
        <v/>
      </c>
      <c r="MH39" s="85">
        <f>IF(AND(342&gt;=$C$13,342&lt;=$E$13),1,0)</f>
        <v/>
      </c>
      <c r="MI39" s="85">
        <f>IF(AND(343&gt;=$C$13,343&lt;=$E$13),1,0)</f>
        <v/>
      </c>
      <c r="MJ39" s="85">
        <f>IF(AND(344&gt;=$C$13,344&lt;=$E$13),1,0)</f>
        <v/>
      </c>
      <c r="MK39" s="85">
        <f>IF(AND(345&gt;=$C$13,345&lt;=$E$13),1,0)</f>
        <v/>
      </c>
      <c r="ML39" s="85">
        <f>IF(AND(346&gt;=$C$13,346&lt;=$E$13),1,0)</f>
        <v/>
      </c>
      <c r="MM39" s="85">
        <f>IF(AND(347&gt;=$C$13,347&lt;=$E$13),1,0)</f>
        <v/>
      </c>
      <c r="MN39" s="85">
        <f>IF(AND(348&gt;=$C$13,348&lt;=$E$13),1,0)</f>
        <v/>
      </c>
      <c r="MO39" s="85">
        <f>IF(AND(349&gt;=$C$13,349&lt;=$E$13),1,0)</f>
        <v/>
      </c>
      <c r="MP39" s="85">
        <f>IF(AND(350&gt;=$C$13,350&lt;=$E$13),1,0)</f>
        <v/>
      </c>
      <c r="MQ39" s="85">
        <f>IF(AND(351&gt;=$C$13,351&lt;=$E$13),1,0)</f>
        <v/>
      </c>
      <c r="MR39" s="85">
        <f>IF(AND(352&gt;=$C$13,352&lt;=$E$13),1,0)</f>
        <v/>
      </c>
      <c r="MS39" s="85">
        <f>IF(AND(353&gt;=$C$13,353&lt;=$E$13),1,0)</f>
        <v/>
      </c>
      <c r="MT39" s="85">
        <f>IF(AND(354&gt;=$C$13,354&lt;=$E$13),1,0)</f>
        <v/>
      </c>
      <c r="MU39" s="85">
        <f>IF(AND(355&gt;=$C$13,355&lt;=$E$13),1,0)</f>
        <v/>
      </c>
      <c r="MV39" s="85">
        <f>IF(AND(356&gt;=$C$13,356&lt;=$E$13),1,0)</f>
        <v/>
      </c>
      <c r="MW39" s="85">
        <f>IF(AND(357&gt;=$C$13,357&lt;=$E$13),1,0)</f>
        <v/>
      </c>
      <c r="MX39" s="85">
        <f>IF(AND(358&gt;=$C$13,358&lt;=$E$13),1,0)</f>
        <v/>
      </c>
      <c r="MY39" s="85">
        <f>IF(AND(359&gt;=$C$13,359&lt;=$E$13),1,0)</f>
        <v/>
      </c>
      <c r="MZ39" s="85">
        <f>IF(AND(360&gt;=$C$13,360&lt;=$E$13),1,0)</f>
        <v/>
      </c>
      <c r="NA39" s="85">
        <f>IF(AND(361&gt;=$C$13,361&lt;=$E$13),1,0)</f>
        <v/>
      </c>
      <c r="NB39" s="85">
        <f>IF(AND(362&gt;=$C$13,362&lt;=$E$13),1,0)</f>
        <v/>
      </c>
      <c r="NC39" s="85">
        <f>IF(AND(363&gt;=$C$13,363&lt;=$E$13),1,0)</f>
        <v/>
      </c>
      <c r="ND39" s="85">
        <f>IF(AND(364&gt;=$C$13,364&lt;=$E$13),1,0)</f>
        <v/>
      </c>
      <c r="NE39" s="85">
        <f>IF(AND(365&gt;=$C$13,365&lt;=$E$13),1,0)</f>
        <v/>
      </c>
      <c r="NF39" s="85">
        <f>IF(AND(366&gt;=$C$13,366&lt;=$E$13),1,0)</f>
        <v/>
      </c>
      <c r="NG39" s="85">
        <f>IF(AND(367&gt;=$C$13,367&lt;=$E$13),1,0)</f>
        <v/>
      </c>
      <c r="NH39" s="85">
        <f>IF(AND(368&gt;=$C$13,368&lt;=$E$13),1,0)</f>
        <v/>
      </c>
      <c r="NI39" s="85">
        <f>IF(AND(369&gt;=$C$13,369&lt;=$E$13),1,0)</f>
        <v/>
      </c>
      <c r="NJ39" s="85">
        <f>IF(AND(370&gt;=$C$13,370&lt;=$E$13),1,0)</f>
        <v/>
      </c>
      <c r="NK39" s="85">
        <f>IF(AND(371&gt;=$C$13,371&lt;=$E$13),1,0)</f>
        <v/>
      </c>
      <c r="NL39" s="85">
        <f>IF(AND(372&gt;=$C$13,372&lt;=$E$13),1,0)</f>
        <v/>
      </c>
    </row>
    <row r="40">
      <c r="B40" s="36" t="inlineStr">
        <is>
          <t>Flag: Disposition</t>
        </is>
      </c>
      <c r="D40" s="124" t="n"/>
      <c r="E40" s="85">
        <f>IF(AND(1&gt;=$C$14,1&lt;=$E$14),1,0)</f>
        <v/>
      </c>
      <c r="F40" s="85">
        <f>IF(AND(2&gt;=$C$14,2&lt;=$E$14),1,0)</f>
        <v/>
      </c>
      <c r="G40" s="85">
        <f>IF(AND(3&gt;=$C$14,3&lt;=$E$14),1,0)</f>
        <v/>
      </c>
      <c r="H40" s="85">
        <f>IF(AND(4&gt;=$C$14,4&lt;=$E$14),1,0)</f>
        <v/>
      </c>
      <c r="I40" s="85">
        <f>IF(AND(5&gt;=$C$14,5&lt;=$E$14),1,0)</f>
        <v/>
      </c>
      <c r="J40" s="85">
        <f>IF(AND(6&gt;=$C$14,6&lt;=$E$14),1,0)</f>
        <v/>
      </c>
      <c r="K40" s="85">
        <f>IF(AND(7&gt;=$C$14,7&lt;=$E$14),1,0)</f>
        <v/>
      </c>
      <c r="L40" s="85">
        <f>IF(AND(8&gt;=$C$14,8&lt;=$E$14),1,0)</f>
        <v/>
      </c>
      <c r="M40" s="85">
        <f>IF(AND(9&gt;=$C$14,9&lt;=$E$14),1,0)</f>
        <v/>
      </c>
      <c r="N40" s="85">
        <f>IF(AND(10&gt;=$C$14,10&lt;=$E$14),1,0)</f>
        <v/>
      </c>
      <c r="O40" s="85">
        <f>IF(AND(11&gt;=$C$14,11&lt;=$E$14),1,0)</f>
        <v/>
      </c>
      <c r="P40" s="85">
        <f>IF(AND(12&gt;=$C$14,12&lt;=$E$14),1,0)</f>
        <v/>
      </c>
      <c r="Q40" s="85">
        <f>IF(AND(13&gt;=$C$14,13&lt;=$E$14),1,0)</f>
        <v/>
      </c>
      <c r="R40" s="85">
        <f>IF(AND(14&gt;=$C$14,14&lt;=$E$14),1,0)</f>
        <v/>
      </c>
      <c r="S40" s="85">
        <f>IF(AND(15&gt;=$C$14,15&lt;=$E$14),1,0)</f>
        <v/>
      </c>
      <c r="T40" s="85">
        <f>IF(AND(16&gt;=$C$14,16&lt;=$E$14),1,0)</f>
        <v/>
      </c>
      <c r="U40" s="85">
        <f>IF(AND(17&gt;=$C$14,17&lt;=$E$14),1,0)</f>
        <v/>
      </c>
      <c r="V40" s="85">
        <f>IF(AND(18&gt;=$C$14,18&lt;=$E$14),1,0)</f>
        <v/>
      </c>
      <c r="W40" s="85">
        <f>IF(AND(19&gt;=$C$14,19&lt;=$E$14),1,0)</f>
        <v/>
      </c>
      <c r="X40" s="85">
        <f>IF(AND(20&gt;=$C$14,20&lt;=$E$14),1,0)</f>
        <v/>
      </c>
      <c r="Y40" s="85">
        <f>IF(AND(21&gt;=$C$14,21&lt;=$E$14),1,0)</f>
        <v/>
      </c>
      <c r="Z40" s="85">
        <f>IF(AND(22&gt;=$C$14,22&lt;=$E$14),1,0)</f>
        <v/>
      </c>
      <c r="AA40" s="85">
        <f>IF(AND(23&gt;=$C$14,23&lt;=$E$14),1,0)</f>
        <v/>
      </c>
      <c r="AB40" s="85">
        <f>IF(AND(24&gt;=$C$14,24&lt;=$E$14),1,0)</f>
        <v/>
      </c>
      <c r="AC40" s="85">
        <f>IF(AND(25&gt;=$C$14,25&lt;=$E$14),1,0)</f>
        <v/>
      </c>
      <c r="AD40" s="85">
        <f>IF(AND(26&gt;=$C$14,26&lt;=$E$14),1,0)</f>
        <v/>
      </c>
      <c r="AE40" s="85">
        <f>IF(AND(27&gt;=$C$14,27&lt;=$E$14),1,0)</f>
        <v/>
      </c>
      <c r="AF40" s="85">
        <f>IF(AND(28&gt;=$C$14,28&lt;=$E$14),1,0)</f>
        <v/>
      </c>
      <c r="AG40" s="85">
        <f>IF(AND(29&gt;=$C$14,29&lt;=$E$14),1,0)</f>
        <v/>
      </c>
      <c r="AH40" s="85">
        <f>IF(AND(30&gt;=$C$14,30&lt;=$E$14),1,0)</f>
        <v/>
      </c>
      <c r="AI40" s="85">
        <f>IF(AND(31&gt;=$C$14,31&lt;=$E$14),1,0)</f>
        <v/>
      </c>
      <c r="AJ40" s="85">
        <f>IF(AND(32&gt;=$C$14,32&lt;=$E$14),1,0)</f>
        <v/>
      </c>
      <c r="AK40" s="85">
        <f>IF(AND(33&gt;=$C$14,33&lt;=$E$14),1,0)</f>
        <v/>
      </c>
      <c r="AL40" s="85">
        <f>IF(AND(34&gt;=$C$14,34&lt;=$E$14),1,0)</f>
        <v/>
      </c>
      <c r="AM40" s="85">
        <f>IF(AND(35&gt;=$C$14,35&lt;=$E$14),1,0)</f>
        <v/>
      </c>
      <c r="AN40" s="85">
        <f>IF(AND(36&gt;=$C$14,36&lt;=$E$14),1,0)</f>
        <v/>
      </c>
      <c r="AO40" s="85">
        <f>IF(AND(37&gt;=$C$14,37&lt;=$E$14),1,0)</f>
        <v/>
      </c>
      <c r="AP40" s="85">
        <f>IF(AND(38&gt;=$C$14,38&lt;=$E$14),1,0)</f>
        <v/>
      </c>
      <c r="AQ40" s="85">
        <f>IF(AND(39&gt;=$C$14,39&lt;=$E$14),1,0)</f>
        <v/>
      </c>
      <c r="AR40" s="85">
        <f>IF(AND(40&gt;=$C$14,40&lt;=$E$14),1,0)</f>
        <v/>
      </c>
      <c r="AS40" s="85">
        <f>IF(AND(41&gt;=$C$14,41&lt;=$E$14),1,0)</f>
        <v/>
      </c>
      <c r="AT40" s="85">
        <f>IF(AND(42&gt;=$C$14,42&lt;=$E$14),1,0)</f>
        <v/>
      </c>
      <c r="AU40" s="85">
        <f>IF(AND(43&gt;=$C$14,43&lt;=$E$14),1,0)</f>
        <v/>
      </c>
      <c r="AV40" s="85">
        <f>IF(AND(44&gt;=$C$14,44&lt;=$E$14),1,0)</f>
        <v/>
      </c>
      <c r="AW40" s="85">
        <f>IF(AND(45&gt;=$C$14,45&lt;=$E$14),1,0)</f>
        <v/>
      </c>
      <c r="AX40" s="85">
        <f>IF(AND(46&gt;=$C$14,46&lt;=$E$14),1,0)</f>
        <v/>
      </c>
      <c r="AY40" s="85">
        <f>IF(AND(47&gt;=$C$14,47&lt;=$E$14),1,0)</f>
        <v/>
      </c>
      <c r="AZ40" s="85">
        <f>IF(AND(48&gt;=$C$14,48&lt;=$E$14),1,0)</f>
        <v/>
      </c>
      <c r="BA40" s="85">
        <f>IF(AND(49&gt;=$C$14,49&lt;=$E$14),1,0)</f>
        <v/>
      </c>
      <c r="BB40" s="85">
        <f>IF(AND(50&gt;=$C$14,50&lt;=$E$14),1,0)</f>
        <v/>
      </c>
      <c r="BC40" s="85">
        <f>IF(AND(51&gt;=$C$14,51&lt;=$E$14),1,0)</f>
        <v/>
      </c>
      <c r="BD40" s="85">
        <f>IF(AND(52&gt;=$C$14,52&lt;=$E$14),1,0)</f>
        <v/>
      </c>
      <c r="BE40" s="85">
        <f>IF(AND(53&gt;=$C$14,53&lt;=$E$14),1,0)</f>
        <v/>
      </c>
      <c r="BF40" s="85">
        <f>IF(AND(54&gt;=$C$14,54&lt;=$E$14),1,0)</f>
        <v/>
      </c>
      <c r="BG40" s="85">
        <f>IF(AND(55&gt;=$C$14,55&lt;=$E$14),1,0)</f>
        <v/>
      </c>
      <c r="BH40" s="85">
        <f>IF(AND(56&gt;=$C$14,56&lt;=$E$14),1,0)</f>
        <v/>
      </c>
      <c r="BI40" s="85">
        <f>IF(AND(57&gt;=$C$14,57&lt;=$E$14),1,0)</f>
        <v/>
      </c>
      <c r="BJ40" s="85">
        <f>IF(AND(58&gt;=$C$14,58&lt;=$E$14),1,0)</f>
        <v/>
      </c>
      <c r="BK40" s="85">
        <f>IF(AND(59&gt;=$C$14,59&lt;=$E$14),1,0)</f>
        <v/>
      </c>
      <c r="BL40" s="85">
        <f>IF(AND(60&gt;=$C$14,60&lt;=$E$14),1,0)</f>
        <v/>
      </c>
      <c r="BM40" s="85">
        <f>IF(AND(61&gt;=$C$14,61&lt;=$E$14),1,0)</f>
        <v/>
      </c>
      <c r="BN40" s="85">
        <f>IF(AND(62&gt;=$C$14,62&lt;=$E$14),1,0)</f>
        <v/>
      </c>
      <c r="BO40" s="85">
        <f>IF(AND(63&gt;=$C$14,63&lt;=$E$14),1,0)</f>
        <v/>
      </c>
      <c r="BP40" s="85">
        <f>IF(AND(64&gt;=$C$14,64&lt;=$E$14),1,0)</f>
        <v/>
      </c>
      <c r="BQ40" s="85">
        <f>IF(AND(65&gt;=$C$14,65&lt;=$E$14),1,0)</f>
        <v/>
      </c>
      <c r="BR40" s="85">
        <f>IF(AND(66&gt;=$C$14,66&lt;=$E$14),1,0)</f>
        <v/>
      </c>
      <c r="BS40" s="85">
        <f>IF(AND(67&gt;=$C$14,67&lt;=$E$14),1,0)</f>
        <v/>
      </c>
      <c r="BT40" s="85">
        <f>IF(AND(68&gt;=$C$14,68&lt;=$E$14),1,0)</f>
        <v/>
      </c>
      <c r="BU40" s="85">
        <f>IF(AND(69&gt;=$C$14,69&lt;=$E$14),1,0)</f>
        <v/>
      </c>
      <c r="BV40" s="85">
        <f>IF(AND(70&gt;=$C$14,70&lt;=$E$14),1,0)</f>
        <v/>
      </c>
      <c r="BW40" s="85">
        <f>IF(AND(71&gt;=$C$14,71&lt;=$E$14),1,0)</f>
        <v/>
      </c>
      <c r="BX40" s="85">
        <f>IF(AND(72&gt;=$C$14,72&lt;=$E$14),1,0)</f>
        <v/>
      </c>
      <c r="BY40" s="85">
        <f>IF(AND(73&gt;=$C$14,73&lt;=$E$14),1,0)</f>
        <v/>
      </c>
      <c r="BZ40" s="85">
        <f>IF(AND(74&gt;=$C$14,74&lt;=$E$14),1,0)</f>
        <v/>
      </c>
      <c r="CA40" s="85">
        <f>IF(AND(75&gt;=$C$14,75&lt;=$E$14),1,0)</f>
        <v/>
      </c>
      <c r="CB40" s="85">
        <f>IF(AND(76&gt;=$C$14,76&lt;=$E$14),1,0)</f>
        <v/>
      </c>
      <c r="CC40" s="85">
        <f>IF(AND(77&gt;=$C$14,77&lt;=$E$14),1,0)</f>
        <v/>
      </c>
      <c r="CD40" s="85">
        <f>IF(AND(78&gt;=$C$14,78&lt;=$E$14),1,0)</f>
        <v/>
      </c>
      <c r="CE40" s="85">
        <f>IF(AND(79&gt;=$C$14,79&lt;=$E$14),1,0)</f>
        <v/>
      </c>
      <c r="CF40" s="85">
        <f>IF(AND(80&gt;=$C$14,80&lt;=$E$14),1,0)</f>
        <v/>
      </c>
      <c r="CG40" s="85">
        <f>IF(AND(81&gt;=$C$14,81&lt;=$E$14),1,0)</f>
        <v/>
      </c>
      <c r="CH40" s="85">
        <f>IF(AND(82&gt;=$C$14,82&lt;=$E$14),1,0)</f>
        <v/>
      </c>
      <c r="CI40" s="85">
        <f>IF(AND(83&gt;=$C$14,83&lt;=$E$14),1,0)</f>
        <v/>
      </c>
      <c r="CJ40" s="85">
        <f>IF(AND(84&gt;=$C$14,84&lt;=$E$14),1,0)</f>
        <v/>
      </c>
      <c r="CK40" s="85">
        <f>IF(AND(85&gt;=$C$14,85&lt;=$E$14),1,0)</f>
        <v/>
      </c>
      <c r="CL40" s="85">
        <f>IF(AND(86&gt;=$C$14,86&lt;=$E$14),1,0)</f>
        <v/>
      </c>
      <c r="CM40" s="85">
        <f>IF(AND(87&gt;=$C$14,87&lt;=$E$14),1,0)</f>
        <v/>
      </c>
      <c r="CN40" s="85">
        <f>IF(AND(88&gt;=$C$14,88&lt;=$E$14),1,0)</f>
        <v/>
      </c>
      <c r="CO40" s="85">
        <f>IF(AND(89&gt;=$C$14,89&lt;=$E$14),1,0)</f>
        <v/>
      </c>
      <c r="CP40" s="85">
        <f>IF(AND(90&gt;=$C$14,90&lt;=$E$14),1,0)</f>
        <v/>
      </c>
      <c r="CQ40" s="85">
        <f>IF(AND(91&gt;=$C$14,91&lt;=$E$14),1,0)</f>
        <v/>
      </c>
      <c r="CR40" s="85">
        <f>IF(AND(92&gt;=$C$14,92&lt;=$E$14),1,0)</f>
        <v/>
      </c>
      <c r="CS40" s="85">
        <f>IF(AND(93&gt;=$C$14,93&lt;=$E$14),1,0)</f>
        <v/>
      </c>
      <c r="CT40" s="85">
        <f>IF(AND(94&gt;=$C$14,94&lt;=$E$14),1,0)</f>
        <v/>
      </c>
      <c r="CU40" s="85">
        <f>IF(AND(95&gt;=$C$14,95&lt;=$E$14),1,0)</f>
        <v/>
      </c>
      <c r="CV40" s="85">
        <f>IF(AND(96&gt;=$C$14,96&lt;=$E$14),1,0)</f>
        <v/>
      </c>
      <c r="CW40" s="85">
        <f>IF(AND(97&gt;=$C$14,97&lt;=$E$14),1,0)</f>
        <v/>
      </c>
      <c r="CX40" s="85">
        <f>IF(AND(98&gt;=$C$14,98&lt;=$E$14),1,0)</f>
        <v/>
      </c>
      <c r="CY40" s="85">
        <f>IF(AND(99&gt;=$C$14,99&lt;=$E$14),1,0)</f>
        <v/>
      </c>
      <c r="CZ40" s="85">
        <f>IF(AND(100&gt;=$C$14,100&lt;=$E$14),1,0)</f>
        <v/>
      </c>
      <c r="DA40" s="85">
        <f>IF(AND(101&gt;=$C$14,101&lt;=$E$14),1,0)</f>
        <v/>
      </c>
      <c r="DB40" s="85">
        <f>IF(AND(102&gt;=$C$14,102&lt;=$E$14),1,0)</f>
        <v/>
      </c>
      <c r="DC40" s="85">
        <f>IF(AND(103&gt;=$C$14,103&lt;=$E$14),1,0)</f>
        <v/>
      </c>
      <c r="DD40" s="85">
        <f>IF(AND(104&gt;=$C$14,104&lt;=$E$14),1,0)</f>
        <v/>
      </c>
      <c r="DE40" s="85">
        <f>IF(AND(105&gt;=$C$14,105&lt;=$E$14),1,0)</f>
        <v/>
      </c>
      <c r="DF40" s="85">
        <f>IF(AND(106&gt;=$C$14,106&lt;=$E$14),1,0)</f>
        <v/>
      </c>
      <c r="DG40" s="85">
        <f>IF(AND(107&gt;=$C$14,107&lt;=$E$14),1,0)</f>
        <v/>
      </c>
      <c r="DH40" s="85">
        <f>IF(AND(108&gt;=$C$14,108&lt;=$E$14),1,0)</f>
        <v/>
      </c>
      <c r="DI40" s="85">
        <f>IF(AND(109&gt;=$C$14,109&lt;=$E$14),1,0)</f>
        <v/>
      </c>
      <c r="DJ40" s="85">
        <f>IF(AND(110&gt;=$C$14,110&lt;=$E$14),1,0)</f>
        <v/>
      </c>
      <c r="DK40" s="85">
        <f>IF(AND(111&gt;=$C$14,111&lt;=$E$14),1,0)</f>
        <v/>
      </c>
      <c r="DL40" s="85">
        <f>IF(AND(112&gt;=$C$14,112&lt;=$E$14),1,0)</f>
        <v/>
      </c>
      <c r="DM40" s="85">
        <f>IF(AND(113&gt;=$C$14,113&lt;=$E$14),1,0)</f>
        <v/>
      </c>
      <c r="DN40" s="85">
        <f>IF(AND(114&gt;=$C$14,114&lt;=$E$14),1,0)</f>
        <v/>
      </c>
      <c r="DO40" s="85">
        <f>IF(AND(115&gt;=$C$14,115&lt;=$E$14),1,0)</f>
        <v/>
      </c>
      <c r="DP40" s="85">
        <f>IF(AND(116&gt;=$C$14,116&lt;=$E$14),1,0)</f>
        <v/>
      </c>
      <c r="DQ40" s="85">
        <f>IF(AND(117&gt;=$C$14,117&lt;=$E$14),1,0)</f>
        <v/>
      </c>
      <c r="DR40" s="85">
        <f>IF(AND(118&gt;=$C$14,118&lt;=$E$14),1,0)</f>
        <v/>
      </c>
      <c r="DS40" s="85">
        <f>IF(AND(119&gt;=$C$14,119&lt;=$E$14),1,0)</f>
        <v/>
      </c>
      <c r="DT40" s="85">
        <f>IF(AND(120&gt;=$C$14,120&lt;=$E$14),1,0)</f>
        <v/>
      </c>
      <c r="DU40" s="85">
        <f>IF(AND(121&gt;=$C$14,121&lt;=$E$14),1,0)</f>
        <v/>
      </c>
      <c r="DV40" s="85">
        <f>IF(AND(122&gt;=$C$14,122&lt;=$E$14),1,0)</f>
        <v/>
      </c>
      <c r="DW40" s="85">
        <f>IF(AND(123&gt;=$C$14,123&lt;=$E$14),1,0)</f>
        <v/>
      </c>
      <c r="DX40" s="85">
        <f>IF(AND(124&gt;=$C$14,124&lt;=$E$14),1,0)</f>
        <v/>
      </c>
      <c r="DY40" s="85">
        <f>IF(AND(125&gt;=$C$14,125&lt;=$E$14),1,0)</f>
        <v/>
      </c>
      <c r="DZ40" s="85">
        <f>IF(AND(126&gt;=$C$14,126&lt;=$E$14),1,0)</f>
        <v/>
      </c>
      <c r="EA40" s="85">
        <f>IF(AND(127&gt;=$C$14,127&lt;=$E$14),1,0)</f>
        <v/>
      </c>
      <c r="EB40" s="85">
        <f>IF(AND(128&gt;=$C$14,128&lt;=$E$14),1,0)</f>
        <v/>
      </c>
      <c r="EC40" s="85">
        <f>IF(AND(129&gt;=$C$14,129&lt;=$E$14),1,0)</f>
        <v/>
      </c>
      <c r="ED40" s="85">
        <f>IF(AND(130&gt;=$C$14,130&lt;=$E$14),1,0)</f>
        <v/>
      </c>
      <c r="EE40" s="85">
        <f>IF(AND(131&gt;=$C$14,131&lt;=$E$14),1,0)</f>
        <v/>
      </c>
      <c r="EF40" s="85">
        <f>IF(AND(132&gt;=$C$14,132&lt;=$E$14),1,0)</f>
        <v/>
      </c>
      <c r="EG40" s="85">
        <f>IF(AND(133&gt;=$C$14,133&lt;=$E$14),1,0)</f>
        <v/>
      </c>
      <c r="EH40" s="85">
        <f>IF(AND(134&gt;=$C$14,134&lt;=$E$14),1,0)</f>
        <v/>
      </c>
      <c r="EI40" s="85">
        <f>IF(AND(135&gt;=$C$14,135&lt;=$E$14),1,0)</f>
        <v/>
      </c>
      <c r="EJ40" s="85">
        <f>IF(AND(136&gt;=$C$14,136&lt;=$E$14),1,0)</f>
        <v/>
      </c>
      <c r="EK40" s="85">
        <f>IF(AND(137&gt;=$C$14,137&lt;=$E$14),1,0)</f>
        <v/>
      </c>
      <c r="EL40" s="85">
        <f>IF(AND(138&gt;=$C$14,138&lt;=$E$14),1,0)</f>
        <v/>
      </c>
      <c r="EM40" s="85">
        <f>IF(AND(139&gt;=$C$14,139&lt;=$E$14),1,0)</f>
        <v/>
      </c>
      <c r="EN40" s="85">
        <f>IF(AND(140&gt;=$C$14,140&lt;=$E$14),1,0)</f>
        <v/>
      </c>
      <c r="EO40" s="85">
        <f>IF(AND(141&gt;=$C$14,141&lt;=$E$14),1,0)</f>
        <v/>
      </c>
      <c r="EP40" s="85">
        <f>IF(AND(142&gt;=$C$14,142&lt;=$E$14),1,0)</f>
        <v/>
      </c>
      <c r="EQ40" s="85">
        <f>IF(AND(143&gt;=$C$14,143&lt;=$E$14),1,0)</f>
        <v/>
      </c>
      <c r="ER40" s="85">
        <f>IF(AND(144&gt;=$C$14,144&lt;=$E$14),1,0)</f>
        <v/>
      </c>
      <c r="ES40" s="85">
        <f>IF(AND(145&gt;=$C$14,145&lt;=$E$14),1,0)</f>
        <v/>
      </c>
      <c r="ET40" s="85">
        <f>IF(AND(146&gt;=$C$14,146&lt;=$E$14),1,0)</f>
        <v/>
      </c>
      <c r="EU40" s="85">
        <f>IF(AND(147&gt;=$C$14,147&lt;=$E$14),1,0)</f>
        <v/>
      </c>
      <c r="EV40" s="85">
        <f>IF(AND(148&gt;=$C$14,148&lt;=$E$14),1,0)</f>
        <v/>
      </c>
      <c r="EW40" s="85">
        <f>IF(AND(149&gt;=$C$14,149&lt;=$E$14),1,0)</f>
        <v/>
      </c>
      <c r="EX40" s="85">
        <f>IF(AND(150&gt;=$C$14,150&lt;=$E$14),1,0)</f>
        <v/>
      </c>
      <c r="EY40" s="85">
        <f>IF(AND(151&gt;=$C$14,151&lt;=$E$14),1,0)</f>
        <v/>
      </c>
      <c r="EZ40" s="85">
        <f>IF(AND(152&gt;=$C$14,152&lt;=$E$14),1,0)</f>
        <v/>
      </c>
      <c r="FA40" s="85">
        <f>IF(AND(153&gt;=$C$14,153&lt;=$E$14),1,0)</f>
        <v/>
      </c>
      <c r="FB40" s="85">
        <f>IF(AND(154&gt;=$C$14,154&lt;=$E$14),1,0)</f>
        <v/>
      </c>
      <c r="FC40" s="85">
        <f>IF(AND(155&gt;=$C$14,155&lt;=$E$14),1,0)</f>
        <v/>
      </c>
      <c r="FD40" s="85">
        <f>IF(AND(156&gt;=$C$14,156&lt;=$E$14),1,0)</f>
        <v/>
      </c>
      <c r="FE40" s="85">
        <f>IF(AND(157&gt;=$C$14,157&lt;=$E$14),1,0)</f>
        <v/>
      </c>
      <c r="FF40" s="85">
        <f>IF(AND(158&gt;=$C$14,158&lt;=$E$14),1,0)</f>
        <v/>
      </c>
      <c r="FG40" s="85">
        <f>IF(AND(159&gt;=$C$14,159&lt;=$E$14),1,0)</f>
        <v/>
      </c>
      <c r="FH40" s="85">
        <f>IF(AND(160&gt;=$C$14,160&lt;=$E$14),1,0)</f>
        <v/>
      </c>
      <c r="FI40" s="85">
        <f>IF(AND(161&gt;=$C$14,161&lt;=$E$14),1,0)</f>
        <v/>
      </c>
      <c r="FJ40" s="85">
        <f>IF(AND(162&gt;=$C$14,162&lt;=$E$14),1,0)</f>
        <v/>
      </c>
      <c r="FK40" s="85">
        <f>IF(AND(163&gt;=$C$14,163&lt;=$E$14),1,0)</f>
        <v/>
      </c>
      <c r="FL40" s="85">
        <f>IF(AND(164&gt;=$C$14,164&lt;=$E$14),1,0)</f>
        <v/>
      </c>
      <c r="FM40" s="85">
        <f>IF(AND(165&gt;=$C$14,165&lt;=$E$14),1,0)</f>
        <v/>
      </c>
      <c r="FN40" s="85">
        <f>IF(AND(166&gt;=$C$14,166&lt;=$E$14),1,0)</f>
        <v/>
      </c>
      <c r="FO40" s="85">
        <f>IF(AND(167&gt;=$C$14,167&lt;=$E$14),1,0)</f>
        <v/>
      </c>
      <c r="FP40" s="85">
        <f>IF(AND(168&gt;=$C$14,168&lt;=$E$14),1,0)</f>
        <v/>
      </c>
      <c r="FQ40" s="85">
        <f>IF(AND(169&gt;=$C$14,169&lt;=$E$14),1,0)</f>
        <v/>
      </c>
      <c r="FR40" s="85">
        <f>IF(AND(170&gt;=$C$14,170&lt;=$E$14),1,0)</f>
        <v/>
      </c>
      <c r="FS40" s="85">
        <f>IF(AND(171&gt;=$C$14,171&lt;=$E$14),1,0)</f>
        <v/>
      </c>
      <c r="FT40" s="85">
        <f>IF(AND(172&gt;=$C$14,172&lt;=$E$14),1,0)</f>
        <v/>
      </c>
      <c r="FU40" s="85">
        <f>IF(AND(173&gt;=$C$14,173&lt;=$E$14),1,0)</f>
        <v/>
      </c>
      <c r="FV40" s="85">
        <f>IF(AND(174&gt;=$C$14,174&lt;=$E$14),1,0)</f>
        <v/>
      </c>
      <c r="FW40" s="85">
        <f>IF(AND(175&gt;=$C$14,175&lt;=$E$14),1,0)</f>
        <v/>
      </c>
      <c r="FX40" s="85">
        <f>IF(AND(176&gt;=$C$14,176&lt;=$E$14),1,0)</f>
        <v/>
      </c>
      <c r="FY40" s="85">
        <f>IF(AND(177&gt;=$C$14,177&lt;=$E$14),1,0)</f>
        <v/>
      </c>
      <c r="FZ40" s="85">
        <f>IF(AND(178&gt;=$C$14,178&lt;=$E$14),1,0)</f>
        <v/>
      </c>
      <c r="GA40" s="85">
        <f>IF(AND(179&gt;=$C$14,179&lt;=$E$14),1,0)</f>
        <v/>
      </c>
      <c r="GB40" s="85">
        <f>IF(AND(180&gt;=$C$14,180&lt;=$E$14),1,0)</f>
        <v/>
      </c>
      <c r="GC40" s="85">
        <f>IF(AND(181&gt;=$C$14,181&lt;=$E$14),1,0)</f>
        <v/>
      </c>
      <c r="GD40" s="85">
        <f>IF(AND(182&gt;=$C$14,182&lt;=$E$14),1,0)</f>
        <v/>
      </c>
      <c r="GE40" s="85">
        <f>IF(AND(183&gt;=$C$14,183&lt;=$E$14),1,0)</f>
        <v/>
      </c>
      <c r="GF40" s="85">
        <f>IF(AND(184&gt;=$C$14,184&lt;=$E$14),1,0)</f>
        <v/>
      </c>
      <c r="GG40" s="85">
        <f>IF(AND(185&gt;=$C$14,185&lt;=$E$14),1,0)</f>
        <v/>
      </c>
      <c r="GH40" s="85">
        <f>IF(AND(186&gt;=$C$14,186&lt;=$E$14),1,0)</f>
        <v/>
      </c>
      <c r="GI40" s="85">
        <f>IF(AND(187&gt;=$C$14,187&lt;=$E$14),1,0)</f>
        <v/>
      </c>
      <c r="GJ40" s="85">
        <f>IF(AND(188&gt;=$C$14,188&lt;=$E$14),1,0)</f>
        <v/>
      </c>
      <c r="GK40" s="85">
        <f>IF(AND(189&gt;=$C$14,189&lt;=$E$14),1,0)</f>
        <v/>
      </c>
      <c r="GL40" s="85">
        <f>IF(AND(190&gt;=$C$14,190&lt;=$E$14),1,0)</f>
        <v/>
      </c>
      <c r="GM40" s="85">
        <f>IF(AND(191&gt;=$C$14,191&lt;=$E$14),1,0)</f>
        <v/>
      </c>
      <c r="GN40" s="85">
        <f>IF(AND(192&gt;=$C$14,192&lt;=$E$14),1,0)</f>
        <v/>
      </c>
      <c r="GO40" s="85">
        <f>IF(AND(193&gt;=$C$14,193&lt;=$E$14),1,0)</f>
        <v/>
      </c>
      <c r="GP40" s="85">
        <f>IF(AND(194&gt;=$C$14,194&lt;=$E$14),1,0)</f>
        <v/>
      </c>
      <c r="GQ40" s="85">
        <f>IF(AND(195&gt;=$C$14,195&lt;=$E$14),1,0)</f>
        <v/>
      </c>
      <c r="GR40" s="85">
        <f>IF(AND(196&gt;=$C$14,196&lt;=$E$14),1,0)</f>
        <v/>
      </c>
      <c r="GS40" s="85">
        <f>IF(AND(197&gt;=$C$14,197&lt;=$E$14),1,0)</f>
        <v/>
      </c>
      <c r="GT40" s="85">
        <f>IF(AND(198&gt;=$C$14,198&lt;=$E$14),1,0)</f>
        <v/>
      </c>
      <c r="GU40" s="85">
        <f>IF(AND(199&gt;=$C$14,199&lt;=$E$14),1,0)</f>
        <v/>
      </c>
      <c r="GV40" s="85">
        <f>IF(AND(200&gt;=$C$14,200&lt;=$E$14),1,0)</f>
        <v/>
      </c>
      <c r="GW40" s="85">
        <f>IF(AND(201&gt;=$C$14,201&lt;=$E$14),1,0)</f>
        <v/>
      </c>
      <c r="GX40" s="85">
        <f>IF(AND(202&gt;=$C$14,202&lt;=$E$14),1,0)</f>
        <v/>
      </c>
      <c r="GY40" s="85">
        <f>IF(AND(203&gt;=$C$14,203&lt;=$E$14),1,0)</f>
        <v/>
      </c>
      <c r="GZ40" s="85">
        <f>IF(AND(204&gt;=$C$14,204&lt;=$E$14),1,0)</f>
        <v/>
      </c>
      <c r="HA40" s="85">
        <f>IF(AND(205&gt;=$C$14,205&lt;=$E$14),1,0)</f>
        <v/>
      </c>
      <c r="HB40" s="85">
        <f>IF(AND(206&gt;=$C$14,206&lt;=$E$14),1,0)</f>
        <v/>
      </c>
      <c r="HC40" s="85">
        <f>IF(AND(207&gt;=$C$14,207&lt;=$E$14),1,0)</f>
        <v/>
      </c>
      <c r="HD40" s="85">
        <f>IF(AND(208&gt;=$C$14,208&lt;=$E$14),1,0)</f>
        <v/>
      </c>
      <c r="HE40" s="85">
        <f>IF(AND(209&gt;=$C$14,209&lt;=$E$14),1,0)</f>
        <v/>
      </c>
      <c r="HF40" s="85">
        <f>IF(AND(210&gt;=$C$14,210&lt;=$E$14),1,0)</f>
        <v/>
      </c>
      <c r="HG40" s="85">
        <f>IF(AND(211&gt;=$C$14,211&lt;=$E$14),1,0)</f>
        <v/>
      </c>
      <c r="HH40" s="85">
        <f>IF(AND(212&gt;=$C$14,212&lt;=$E$14),1,0)</f>
        <v/>
      </c>
      <c r="HI40" s="85">
        <f>IF(AND(213&gt;=$C$14,213&lt;=$E$14),1,0)</f>
        <v/>
      </c>
      <c r="HJ40" s="85">
        <f>IF(AND(214&gt;=$C$14,214&lt;=$E$14),1,0)</f>
        <v/>
      </c>
      <c r="HK40" s="85">
        <f>IF(AND(215&gt;=$C$14,215&lt;=$E$14),1,0)</f>
        <v/>
      </c>
      <c r="HL40" s="85">
        <f>IF(AND(216&gt;=$C$14,216&lt;=$E$14),1,0)</f>
        <v/>
      </c>
      <c r="HM40" s="85">
        <f>IF(AND(217&gt;=$C$14,217&lt;=$E$14),1,0)</f>
        <v/>
      </c>
      <c r="HN40" s="85">
        <f>IF(AND(218&gt;=$C$14,218&lt;=$E$14),1,0)</f>
        <v/>
      </c>
      <c r="HO40" s="85">
        <f>IF(AND(219&gt;=$C$14,219&lt;=$E$14),1,0)</f>
        <v/>
      </c>
      <c r="HP40" s="85">
        <f>IF(AND(220&gt;=$C$14,220&lt;=$E$14),1,0)</f>
        <v/>
      </c>
      <c r="HQ40" s="85">
        <f>IF(AND(221&gt;=$C$14,221&lt;=$E$14),1,0)</f>
        <v/>
      </c>
      <c r="HR40" s="85">
        <f>IF(AND(222&gt;=$C$14,222&lt;=$E$14),1,0)</f>
        <v/>
      </c>
      <c r="HS40" s="85">
        <f>IF(AND(223&gt;=$C$14,223&lt;=$E$14),1,0)</f>
        <v/>
      </c>
      <c r="HT40" s="85">
        <f>IF(AND(224&gt;=$C$14,224&lt;=$E$14),1,0)</f>
        <v/>
      </c>
      <c r="HU40" s="85">
        <f>IF(AND(225&gt;=$C$14,225&lt;=$E$14),1,0)</f>
        <v/>
      </c>
      <c r="HV40" s="85">
        <f>IF(AND(226&gt;=$C$14,226&lt;=$E$14),1,0)</f>
        <v/>
      </c>
      <c r="HW40" s="85">
        <f>IF(AND(227&gt;=$C$14,227&lt;=$E$14),1,0)</f>
        <v/>
      </c>
      <c r="HX40" s="85">
        <f>IF(AND(228&gt;=$C$14,228&lt;=$E$14),1,0)</f>
        <v/>
      </c>
      <c r="HY40" s="85">
        <f>IF(AND(229&gt;=$C$14,229&lt;=$E$14),1,0)</f>
        <v/>
      </c>
      <c r="HZ40" s="85">
        <f>IF(AND(230&gt;=$C$14,230&lt;=$E$14),1,0)</f>
        <v/>
      </c>
      <c r="IA40" s="85">
        <f>IF(AND(231&gt;=$C$14,231&lt;=$E$14),1,0)</f>
        <v/>
      </c>
      <c r="IB40" s="85">
        <f>IF(AND(232&gt;=$C$14,232&lt;=$E$14),1,0)</f>
        <v/>
      </c>
      <c r="IC40" s="85">
        <f>IF(AND(233&gt;=$C$14,233&lt;=$E$14),1,0)</f>
        <v/>
      </c>
      <c r="ID40" s="85">
        <f>IF(AND(234&gt;=$C$14,234&lt;=$E$14),1,0)</f>
        <v/>
      </c>
      <c r="IE40" s="85">
        <f>IF(AND(235&gt;=$C$14,235&lt;=$E$14),1,0)</f>
        <v/>
      </c>
      <c r="IF40" s="85">
        <f>IF(AND(236&gt;=$C$14,236&lt;=$E$14),1,0)</f>
        <v/>
      </c>
      <c r="IG40" s="85">
        <f>IF(AND(237&gt;=$C$14,237&lt;=$E$14),1,0)</f>
        <v/>
      </c>
      <c r="IH40" s="85">
        <f>IF(AND(238&gt;=$C$14,238&lt;=$E$14),1,0)</f>
        <v/>
      </c>
      <c r="II40" s="85">
        <f>IF(AND(239&gt;=$C$14,239&lt;=$E$14),1,0)</f>
        <v/>
      </c>
      <c r="IJ40" s="85">
        <f>IF(AND(240&gt;=$C$14,240&lt;=$E$14),1,0)</f>
        <v/>
      </c>
      <c r="IK40" s="85">
        <f>IF(AND(241&gt;=$C$14,241&lt;=$E$14),1,0)</f>
        <v/>
      </c>
      <c r="IL40" s="85">
        <f>IF(AND(242&gt;=$C$14,242&lt;=$E$14),1,0)</f>
        <v/>
      </c>
      <c r="IM40" s="85">
        <f>IF(AND(243&gt;=$C$14,243&lt;=$E$14),1,0)</f>
        <v/>
      </c>
      <c r="IN40" s="85">
        <f>IF(AND(244&gt;=$C$14,244&lt;=$E$14),1,0)</f>
        <v/>
      </c>
      <c r="IO40" s="85">
        <f>IF(AND(245&gt;=$C$14,245&lt;=$E$14),1,0)</f>
        <v/>
      </c>
      <c r="IP40" s="85">
        <f>IF(AND(246&gt;=$C$14,246&lt;=$E$14),1,0)</f>
        <v/>
      </c>
      <c r="IQ40" s="85">
        <f>IF(AND(247&gt;=$C$14,247&lt;=$E$14),1,0)</f>
        <v/>
      </c>
      <c r="IR40" s="85">
        <f>IF(AND(248&gt;=$C$14,248&lt;=$E$14),1,0)</f>
        <v/>
      </c>
      <c r="IS40" s="85">
        <f>IF(AND(249&gt;=$C$14,249&lt;=$E$14),1,0)</f>
        <v/>
      </c>
      <c r="IT40" s="85">
        <f>IF(AND(250&gt;=$C$14,250&lt;=$E$14),1,0)</f>
        <v/>
      </c>
      <c r="IU40" s="85">
        <f>IF(AND(251&gt;=$C$14,251&lt;=$E$14),1,0)</f>
        <v/>
      </c>
      <c r="IV40" s="85">
        <f>IF(AND(252&gt;=$C$14,252&lt;=$E$14),1,0)</f>
        <v/>
      </c>
      <c r="IW40" s="85">
        <f>IF(AND(253&gt;=$C$14,253&lt;=$E$14),1,0)</f>
        <v/>
      </c>
      <c r="IX40" s="85">
        <f>IF(AND(254&gt;=$C$14,254&lt;=$E$14),1,0)</f>
        <v/>
      </c>
      <c r="IY40" s="85">
        <f>IF(AND(255&gt;=$C$14,255&lt;=$E$14),1,0)</f>
        <v/>
      </c>
      <c r="IZ40" s="85">
        <f>IF(AND(256&gt;=$C$14,256&lt;=$E$14),1,0)</f>
        <v/>
      </c>
      <c r="JA40" s="85">
        <f>IF(AND(257&gt;=$C$14,257&lt;=$E$14),1,0)</f>
        <v/>
      </c>
      <c r="JB40" s="85">
        <f>IF(AND(258&gt;=$C$14,258&lt;=$E$14),1,0)</f>
        <v/>
      </c>
      <c r="JC40" s="85">
        <f>IF(AND(259&gt;=$C$14,259&lt;=$E$14),1,0)</f>
        <v/>
      </c>
      <c r="JD40" s="85">
        <f>IF(AND(260&gt;=$C$14,260&lt;=$E$14),1,0)</f>
        <v/>
      </c>
      <c r="JE40" s="85">
        <f>IF(AND(261&gt;=$C$14,261&lt;=$E$14),1,0)</f>
        <v/>
      </c>
      <c r="JF40" s="85">
        <f>IF(AND(262&gt;=$C$14,262&lt;=$E$14),1,0)</f>
        <v/>
      </c>
      <c r="JG40" s="85">
        <f>IF(AND(263&gt;=$C$14,263&lt;=$E$14),1,0)</f>
        <v/>
      </c>
      <c r="JH40" s="85">
        <f>IF(AND(264&gt;=$C$14,264&lt;=$E$14),1,0)</f>
        <v/>
      </c>
      <c r="JI40" s="85">
        <f>IF(AND(265&gt;=$C$14,265&lt;=$E$14),1,0)</f>
        <v/>
      </c>
      <c r="JJ40" s="85">
        <f>IF(AND(266&gt;=$C$14,266&lt;=$E$14),1,0)</f>
        <v/>
      </c>
      <c r="JK40" s="85">
        <f>IF(AND(267&gt;=$C$14,267&lt;=$E$14),1,0)</f>
        <v/>
      </c>
      <c r="JL40" s="85">
        <f>IF(AND(268&gt;=$C$14,268&lt;=$E$14),1,0)</f>
        <v/>
      </c>
      <c r="JM40" s="85">
        <f>IF(AND(269&gt;=$C$14,269&lt;=$E$14),1,0)</f>
        <v/>
      </c>
      <c r="JN40" s="85">
        <f>IF(AND(270&gt;=$C$14,270&lt;=$E$14),1,0)</f>
        <v/>
      </c>
      <c r="JO40" s="85">
        <f>IF(AND(271&gt;=$C$14,271&lt;=$E$14),1,0)</f>
        <v/>
      </c>
      <c r="JP40" s="85">
        <f>IF(AND(272&gt;=$C$14,272&lt;=$E$14),1,0)</f>
        <v/>
      </c>
      <c r="JQ40" s="85">
        <f>IF(AND(273&gt;=$C$14,273&lt;=$E$14),1,0)</f>
        <v/>
      </c>
      <c r="JR40" s="85">
        <f>IF(AND(274&gt;=$C$14,274&lt;=$E$14),1,0)</f>
        <v/>
      </c>
      <c r="JS40" s="85">
        <f>IF(AND(275&gt;=$C$14,275&lt;=$E$14),1,0)</f>
        <v/>
      </c>
      <c r="JT40" s="85">
        <f>IF(AND(276&gt;=$C$14,276&lt;=$E$14),1,0)</f>
        <v/>
      </c>
      <c r="JU40" s="85">
        <f>IF(AND(277&gt;=$C$14,277&lt;=$E$14),1,0)</f>
        <v/>
      </c>
      <c r="JV40" s="85">
        <f>IF(AND(278&gt;=$C$14,278&lt;=$E$14),1,0)</f>
        <v/>
      </c>
      <c r="JW40" s="85">
        <f>IF(AND(279&gt;=$C$14,279&lt;=$E$14),1,0)</f>
        <v/>
      </c>
      <c r="JX40" s="85">
        <f>IF(AND(280&gt;=$C$14,280&lt;=$E$14),1,0)</f>
        <v/>
      </c>
      <c r="JY40" s="85">
        <f>IF(AND(281&gt;=$C$14,281&lt;=$E$14),1,0)</f>
        <v/>
      </c>
      <c r="JZ40" s="85">
        <f>IF(AND(282&gt;=$C$14,282&lt;=$E$14),1,0)</f>
        <v/>
      </c>
      <c r="KA40" s="85">
        <f>IF(AND(283&gt;=$C$14,283&lt;=$E$14),1,0)</f>
        <v/>
      </c>
      <c r="KB40" s="85">
        <f>IF(AND(284&gt;=$C$14,284&lt;=$E$14),1,0)</f>
        <v/>
      </c>
      <c r="KC40" s="85">
        <f>IF(AND(285&gt;=$C$14,285&lt;=$E$14),1,0)</f>
        <v/>
      </c>
      <c r="KD40" s="85">
        <f>IF(AND(286&gt;=$C$14,286&lt;=$E$14),1,0)</f>
        <v/>
      </c>
      <c r="KE40" s="85">
        <f>IF(AND(287&gt;=$C$14,287&lt;=$E$14),1,0)</f>
        <v/>
      </c>
      <c r="KF40" s="85">
        <f>IF(AND(288&gt;=$C$14,288&lt;=$E$14),1,0)</f>
        <v/>
      </c>
      <c r="KG40" s="85">
        <f>IF(AND(289&gt;=$C$14,289&lt;=$E$14),1,0)</f>
        <v/>
      </c>
      <c r="KH40" s="85">
        <f>IF(AND(290&gt;=$C$14,290&lt;=$E$14),1,0)</f>
        <v/>
      </c>
      <c r="KI40" s="85">
        <f>IF(AND(291&gt;=$C$14,291&lt;=$E$14),1,0)</f>
        <v/>
      </c>
      <c r="KJ40" s="85">
        <f>IF(AND(292&gt;=$C$14,292&lt;=$E$14),1,0)</f>
        <v/>
      </c>
      <c r="KK40" s="85">
        <f>IF(AND(293&gt;=$C$14,293&lt;=$E$14),1,0)</f>
        <v/>
      </c>
      <c r="KL40" s="85">
        <f>IF(AND(294&gt;=$C$14,294&lt;=$E$14),1,0)</f>
        <v/>
      </c>
      <c r="KM40" s="85">
        <f>IF(AND(295&gt;=$C$14,295&lt;=$E$14),1,0)</f>
        <v/>
      </c>
      <c r="KN40" s="85">
        <f>IF(AND(296&gt;=$C$14,296&lt;=$E$14),1,0)</f>
        <v/>
      </c>
      <c r="KO40" s="85">
        <f>IF(AND(297&gt;=$C$14,297&lt;=$E$14),1,0)</f>
        <v/>
      </c>
      <c r="KP40" s="85">
        <f>IF(AND(298&gt;=$C$14,298&lt;=$E$14),1,0)</f>
        <v/>
      </c>
      <c r="KQ40" s="85">
        <f>IF(AND(299&gt;=$C$14,299&lt;=$E$14),1,0)</f>
        <v/>
      </c>
      <c r="KR40" s="85">
        <f>IF(AND(300&gt;=$C$14,300&lt;=$E$14),1,0)</f>
        <v/>
      </c>
      <c r="KS40" s="85">
        <f>IF(AND(301&gt;=$C$14,301&lt;=$E$14),1,0)</f>
        <v/>
      </c>
      <c r="KT40" s="85">
        <f>IF(AND(302&gt;=$C$14,302&lt;=$E$14),1,0)</f>
        <v/>
      </c>
      <c r="KU40" s="85">
        <f>IF(AND(303&gt;=$C$14,303&lt;=$E$14),1,0)</f>
        <v/>
      </c>
      <c r="KV40" s="85">
        <f>IF(AND(304&gt;=$C$14,304&lt;=$E$14),1,0)</f>
        <v/>
      </c>
      <c r="KW40" s="85">
        <f>IF(AND(305&gt;=$C$14,305&lt;=$E$14),1,0)</f>
        <v/>
      </c>
      <c r="KX40" s="85">
        <f>IF(AND(306&gt;=$C$14,306&lt;=$E$14),1,0)</f>
        <v/>
      </c>
      <c r="KY40" s="85">
        <f>IF(AND(307&gt;=$C$14,307&lt;=$E$14),1,0)</f>
        <v/>
      </c>
      <c r="KZ40" s="85">
        <f>IF(AND(308&gt;=$C$14,308&lt;=$E$14),1,0)</f>
        <v/>
      </c>
      <c r="LA40" s="85">
        <f>IF(AND(309&gt;=$C$14,309&lt;=$E$14),1,0)</f>
        <v/>
      </c>
      <c r="LB40" s="85">
        <f>IF(AND(310&gt;=$C$14,310&lt;=$E$14),1,0)</f>
        <v/>
      </c>
      <c r="LC40" s="85">
        <f>IF(AND(311&gt;=$C$14,311&lt;=$E$14),1,0)</f>
        <v/>
      </c>
      <c r="LD40" s="85">
        <f>IF(AND(312&gt;=$C$14,312&lt;=$E$14),1,0)</f>
        <v/>
      </c>
      <c r="LE40" s="85">
        <f>IF(AND(313&gt;=$C$14,313&lt;=$E$14),1,0)</f>
        <v/>
      </c>
      <c r="LF40" s="85">
        <f>IF(AND(314&gt;=$C$14,314&lt;=$E$14),1,0)</f>
        <v/>
      </c>
      <c r="LG40" s="85">
        <f>IF(AND(315&gt;=$C$14,315&lt;=$E$14),1,0)</f>
        <v/>
      </c>
      <c r="LH40" s="85">
        <f>IF(AND(316&gt;=$C$14,316&lt;=$E$14),1,0)</f>
        <v/>
      </c>
      <c r="LI40" s="85">
        <f>IF(AND(317&gt;=$C$14,317&lt;=$E$14),1,0)</f>
        <v/>
      </c>
      <c r="LJ40" s="85">
        <f>IF(AND(318&gt;=$C$14,318&lt;=$E$14),1,0)</f>
        <v/>
      </c>
      <c r="LK40" s="85">
        <f>IF(AND(319&gt;=$C$14,319&lt;=$E$14),1,0)</f>
        <v/>
      </c>
      <c r="LL40" s="85">
        <f>IF(AND(320&gt;=$C$14,320&lt;=$E$14),1,0)</f>
        <v/>
      </c>
      <c r="LM40" s="85">
        <f>IF(AND(321&gt;=$C$14,321&lt;=$E$14),1,0)</f>
        <v/>
      </c>
      <c r="LN40" s="85">
        <f>IF(AND(322&gt;=$C$14,322&lt;=$E$14),1,0)</f>
        <v/>
      </c>
      <c r="LO40" s="85">
        <f>IF(AND(323&gt;=$C$14,323&lt;=$E$14),1,0)</f>
        <v/>
      </c>
      <c r="LP40" s="85">
        <f>IF(AND(324&gt;=$C$14,324&lt;=$E$14),1,0)</f>
        <v/>
      </c>
      <c r="LQ40" s="85">
        <f>IF(AND(325&gt;=$C$14,325&lt;=$E$14),1,0)</f>
        <v/>
      </c>
      <c r="LR40" s="85">
        <f>IF(AND(326&gt;=$C$14,326&lt;=$E$14),1,0)</f>
        <v/>
      </c>
      <c r="LS40" s="85">
        <f>IF(AND(327&gt;=$C$14,327&lt;=$E$14),1,0)</f>
        <v/>
      </c>
      <c r="LT40" s="85">
        <f>IF(AND(328&gt;=$C$14,328&lt;=$E$14),1,0)</f>
        <v/>
      </c>
      <c r="LU40" s="85">
        <f>IF(AND(329&gt;=$C$14,329&lt;=$E$14),1,0)</f>
        <v/>
      </c>
      <c r="LV40" s="85">
        <f>IF(AND(330&gt;=$C$14,330&lt;=$E$14),1,0)</f>
        <v/>
      </c>
      <c r="LW40" s="85">
        <f>IF(AND(331&gt;=$C$14,331&lt;=$E$14),1,0)</f>
        <v/>
      </c>
      <c r="LX40" s="85">
        <f>IF(AND(332&gt;=$C$14,332&lt;=$E$14),1,0)</f>
        <v/>
      </c>
      <c r="LY40" s="85">
        <f>IF(AND(333&gt;=$C$14,333&lt;=$E$14),1,0)</f>
        <v/>
      </c>
      <c r="LZ40" s="85">
        <f>IF(AND(334&gt;=$C$14,334&lt;=$E$14),1,0)</f>
        <v/>
      </c>
      <c r="MA40" s="85">
        <f>IF(AND(335&gt;=$C$14,335&lt;=$E$14),1,0)</f>
        <v/>
      </c>
      <c r="MB40" s="85">
        <f>IF(AND(336&gt;=$C$14,336&lt;=$E$14),1,0)</f>
        <v/>
      </c>
      <c r="MC40" s="85">
        <f>IF(AND(337&gt;=$C$14,337&lt;=$E$14),1,0)</f>
        <v/>
      </c>
      <c r="MD40" s="85">
        <f>IF(AND(338&gt;=$C$14,338&lt;=$E$14),1,0)</f>
        <v/>
      </c>
      <c r="ME40" s="85">
        <f>IF(AND(339&gt;=$C$14,339&lt;=$E$14),1,0)</f>
        <v/>
      </c>
      <c r="MF40" s="85">
        <f>IF(AND(340&gt;=$C$14,340&lt;=$E$14),1,0)</f>
        <v/>
      </c>
      <c r="MG40" s="85">
        <f>IF(AND(341&gt;=$C$14,341&lt;=$E$14),1,0)</f>
        <v/>
      </c>
      <c r="MH40" s="85">
        <f>IF(AND(342&gt;=$C$14,342&lt;=$E$14),1,0)</f>
        <v/>
      </c>
      <c r="MI40" s="85">
        <f>IF(AND(343&gt;=$C$14,343&lt;=$E$14),1,0)</f>
        <v/>
      </c>
      <c r="MJ40" s="85">
        <f>IF(AND(344&gt;=$C$14,344&lt;=$E$14),1,0)</f>
        <v/>
      </c>
      <c r="MK40" s="85">
        <f>IF(AND(345&gt;=$C$14,345&lt;=$E$14),1,0)</f>
        <v/>
      </c>
      <c r="ML40" s="85">
        <f>IF(AND(346&gt;=$C$14,346&lt;=$E$14),1,0)</f>
        <v/>
      </c>
      <c r="MM40" s="85">
        <f>IF(AND(347&gt;=$C$14,347&lt;=$E$14),1,0)</f>
        <v/>
      </c>
      <c r="MN40" s="85">
        <f>IF(AND(348&gt;=$C$14,348&lt;=$E$14),1,0)</f>
        <v/>
      </c>
      <c r="MO40" s="85">
        <f>IF(AND(349&gt;=$C$14,349&lt;=$E$14),1,0)</f>
        <v/>
      </c>
      <c r="MP40" s="85">
        <f>IF(AND(350&gt;=$C$14,350&lt;=$E$14),1,0)</f>
        <v/>
      </c>
      <c r="MQ40" s="85">
        <f>IF(AND(351&gt;=$C$14,351&lt;=$E$14),1,0)</f>
        <v/>
      </c>
      <c r="MR40" s="85">
        <f>IF(AND(352&gt;=$C$14,352&lt;=$E$14),1,0)</f>
        <v/>
      </c>
      <c r="MS40" s="85">
        <f>IF(AND(353&gt;=$C$14,353&lt;=$E$14),1,0)</f>
        <v/>
      </c>
      <c r="MT40" s="85">
        <f>IF(AND(354&gt;=$C$14,354&lt;=$E$14),1,0)</f>
        <v/>
      </c>
      <c r="MU40" s="85">
        <f>IF(AND(355&gt;=$C$14,355&lt;=$E$14),1,0)</f>
        <v/>
      </c>
      <c r="MV40" s="85">
        <f>IF(AND(356&gt;=$C$14,356&lt;=$E$14),1,0)</f>
        <v/>
      </c>
      <c r="MW40" s="85">
        <f>IF(AND(357&gt;=$C$14,357&lt;=$E$14),1,0)</f>
        <v/>
      </c>
      <c r="MX40" s="85">
        <f>IF(AND(358&gt;=$C$14,358&lt;=$E$14),1,0)</f>
        <v/>
      </c>
      <c r="MY40" s="85">
        <f>IF(AND(359&gt;=$C$14,359&lt;=$E$14),1,0)</f>
        <v/>
      </c>
      <c r="MZ40" s="85">
        <f>IF(AND(360&gt;=$C$14,360&lt;=$E$14),1,0)</f>
        <v/>
      </c>
      <c r="NA40" s="85">
        <f>IF(AND(361&gt;=$C$14,361&lt;=$E$14),1,0)</f>
        <v/>
      </c>
      <c r="NB40" s="85">
        <f>IF(AND(362&gt;=$C$14,362&lt;=$E$14),1,0)</f>
        <v/>
      </c>
      <c r="NC40" s="85">
        <f>IF(AND(363&gt;=$C$14,363&lt;=$E$14),1,0)</f>
        <v/>
      </c>
      <c r="ND40" s="85">
        <f>IF(AND(364&gt;=$C$14,364&lt;=$E$14),1,0)</f>
        <v/>
      </c>
      <c r="NE40" s="85">
        <f>IF(AND(365&gt;=$C$14,365&lt;=$E$14),1,0)</f>
        <v/>
      </c>
      <c r="NF40" s="85">
        <f>IF(AND(366&gt;=$C$14,366&lt;=$E$14),1,0)</f>
        <v/>
      </c>
      <c r="NG40" s="85">
        <f>IF(AND(367&gt;=$C$14,367&lt;=$E$14),1,0)</f>
        <v/>
      </c>
      <c r="NH40" s="85">
        <f>IF(AND(368&gt;=$C$14,368&lt;=$E$14),1,0)</f>
        <v/>
      </c>
      <c r="NI40" s="85">
        <f>IF(AND(369&gt;=$C$14,369&lt;=$E$14),1,0)</f>
        <v/>
      </c>
      <c r="NJ40" s="85">
        <f>IF(AND(370&gt;=$C$14,370&lt;=$E$14),1,0)</f>
        <v/>
      </c>
      <c r="NK40" s="85">
        <f>IF(AND(371&gt;=$C$14,371&lt;=$E$14),1,0)</f>
        <v/>
      </c>
      <c r="NL40" s="85">
        <f>IF(AND(372&gt;=$C$14,372&lt;=$E$14),1,0)</f>
        <v/>
      </c>
    </row>
    <row r="41">
      <c r="B41" s="36" t="inlineStr">
        <is>
          <t>Flag: Operations Active</t>
        </is>
      </c>
      <c r="D41" s="124" t="n"/>
      <c r="E41" s="85">
        <f>IF(AND(1&gt;=DeliverStart,1&lt;=DispoMonth),1,0)</f>
        <v/>
      </c>
      <c r="F41" s="85">
        <f>IF(AND(2&gt;=DeliverStart,2&lt;=DispoMonth),1,0)</f>
        <v/>
      </c>
      <c r="G41" s="85">
        <f>IF(AND(3&gt;=DeliverStart,3&lt;=DispoMonth),1,0)</f>
        <v/>
      </c>
      <c r="H41" s="85">
        <f>IF(AND(4&gt;=DeliverStart,4&lt;=DispoMonth),1,0)</f>
        <v/>
      </c>
      <c r="I41" s="85">
        <f>IF(AND(5&gt;=DeliverStart,5&lt;=DispoMonth),1,0)</f>
        <v/>
      </c>
      <c r="J41" s="85">
        <f>IF(AND(6&gt;=DeliverStart,6&lt;=DispoMonth),1,0)</f>
        <v/>
      </c>
      <c r="K41" s="85">
        <f>IF(AND(7&gt;=DeliverStart,7&lt;=DispoMonth),1,0)</f>
        <v/>
      </c>
      <c r="L41" s="85">
        <f>IF(AND(8&gt;=DeliverStart,8&lt;=DispoMonth),1,0)</f>
        <v/>
      </c>
      <c r="M41" s="85">
        <f>IF(AND(9&gt;=DeliverStart,9&lt;=DispoMonth),1,0)</f>
        <v/>
      </c>
      <c r="N41" s="85">
        <f>IF(AND(10&gt;=DeliverStart,10&lt;=DispoMonth),1,0)</f>
        <v/>
      </c>
      <c r="O41" s="85">
        <f>IF(AND(11&gt;=DeliverStart,11&lt;=DispoMonth),1,0)</f>
        <v/>
      </c>
      <c r="P41" s="85">
        <f>IF(AND(12&gt;=DeliverStart,12&lt;=DispoMonth),1,0)</f>
        <v/>
      </c>
      <c r="Q41" s="85">
        <f>IF(AND(13&gt;=DeliverStart,13&lt;=DispoMonth),1,0)</f>
        <v/>
      </c>
      <c r="R41" s="85">
        <f>IF(AND(14&gt;=DeliverStart,14&lt;=DispoMonth),1,0)</f>
        <v/>
      </c>
      <c r="S41" s="85">
        <f>IF(AND(15&gt;=DeliverStart,15&lt;=DispoMonth),1,0)</f>
        <v/>
      </c>
      <c r="T41" s="85">
        <f>IF(AND(16&gt;=DeliverStart,16&lt;=DispoMonth),1,0)</f>
        <v/>
      </c>
      <c r="U41" s="85">
        <f>IF(AND(17&gt;=DeliverStart,17&lt;=DispoMonth),1,0)</f>
        <v/>
      </c>
      <c r="V41" s="85">
        <f>IF(AND(18&gt;=DeliverStart,18&lt;=DispoMonth),1,0)</f>
        <v/>
      </c>
      <c r="W41" s="85">
        <f>IF(AND(19&gt;=DeliverStart,19&lt;=DispoMonth),1,0)</f>
        <v/>
      </c>
      <c r="X41" s="85">
        <f>IF(AND(20&gt;=DeliverStart,20&lt;=DispoMonth),1,0)</f>
        <v/>
      </c>
      <c r="Y41" s="85">
        <f>IF(AND(21&gt;=DeliverStart,21&lt;=DispoMonth),1,0)</f>
        <v/>
      </c>
      <c r="Z41" s="85">
        <f>IF(AND(22&gt;=DeliverStart,22&lt;=DispoMonth),1,0)</f>
        <v/>
      </c>
      <c r="AA41" s="85">
        <f>IF(AND(23&gt;=DeliverStart,23&lt;=DispoMonth),1,0)</f>
        <v/>
      </c>
      <c r="AB41" s="85">
        <f>IF(AND(24&gt;=DeliverStart,24&lt;=DispoMonth),1,0)</f>
        <v/>
      </c>
      <c r="AC41" s="85">
        <f>IF(AND(25&gt;=DeliverStart,25&lt;=DispoMonth),1,0)</f>
        <v/>
      </c>
      <c r="AD41" s="85">
        <f>IF(AND(26&gt;=DeliverStart,26&lt;=DispoMonth),1,0)</f>
        <v/>
      </c>
      <c r="AE41" s="85">
        <f>IF(AND(27&gt;=DeliverStart,27&lt;=DispoMonth),1,0)</f>
        <v/>
      </c>
      <c r="AF41" s="85">
        <f>IF(AND(28&gt;=DeliverStart,28&lt;=DispoMonth),1,0)</f>
        <v/>
      </c>
      <c r="AG41" s="85">
        <f>IF(AND(29&gt;=DeliverStart,29&lt;=DispoMonth),1,0)</f>
        <v/>
      </c>
      <c r="AH41" s="85">
        <f>IF(AND(30&gt;=DeliverStart,30&lt;=DispoMonth),1,0)</f>
        <v/>
      </c>
      <c r="AI41" s="85">
        <f>IF(AND(31&gt;=DeliverStart,31&lt;=DispoMonth),1,0)</f>
        <v/>
      </c>
      <c r="AJ41" s="85">
        <f>IF(AND(32&gt;=DeliverStart,32&lt;=DispoMonth),1,0)</f>
        <v/>
      </c>
      <c r="AK41" s="85">
        <f>IF(AND(33&gt;=DeliverStart,33&lt;=DispoMonth),1,0)</f>
        <v/>
      </c>
      <c r="AL41" s="85">
        <f>IF(AND(34&gt;=DeliverStart,34&lt;=DispoMonth),1,0)</f>
        <v/>
      </c>
      <c r="AM41" s="85">
        <f>IF(AND(35&gt;=DeliverStart,35&lt;=DispoMonth),1,0)</f>
        <v/>
      </c>
      <c r="AN41" s="85">
        <f>IF(AND(36&gt;=DeliverStart,36&lt;=DispoMonth),1,0)</f>
        <v/>
      </c>
      <c r="AO41" s="85">
        <f>IF(AND(37&gt;=DeliverStart,37&lt;=DispoMonth),1,0)</f>
        <v/>
      </c>
      <c r="AP41" s="85">
        <f>IF(AND(38&gt;=DeliverStart,38&lt;=DispoMonth),1,0)</f>
        <v/>
      </c>
      <c r="AQ41" s="85">
        <f>IF(AND(39&gt;=DeliverStart,39&lt;=DispoMonth),1,0)</f>
        <v/>
      </c>
      <c r="AR41" s="85">
        <f>IF(AND(40&gt;=DeliverStart,40&lt;=DispoMonth),1,0)</f>
        <v/>
      </c>
      <c r="AS41" s="85">
        <f>IF(AND(41&gt;=DeliverStart,41&lt;=DispoMonth),1,0)</f>
        <v/>
      </c>
      <c r="AT41" s="85">
        <f>IF(AND(42&gt;=DeliverStart,42&lt;=DispoMonth),1,0)</f>
        <v/>
      </c>
      <c r="AU41" s="85">
        <f>IF(AND(43&gt;=DeliverStart,43&lt;=DispoMonth),1,0)</f>
        <v/>
      </c>
      <c r="AV41" s="85">
        <f>IF(AND(44&gt;=DeliverStart,44&lt;=DispoMonth),1,0)</f>
        <v/>
      </c>
      <c r="AW41" s="85">
        <f>IF(AND(45&gt;=DeliverStart,45&lt;=DispoMonth),1,0)</f>
        <v/>
      </c>
      <c r="AX41" s="85">
        <f>IF(AND(46&gt;=DeliverStart,46&lt;=DispoMonth),1,0)</f>
        <v/>
      </c>
      <c r="AY41" s="85">
        <f>IF(AND(47&gt;=DeliverStart,47&lt;=DispoMonth),1,0)</f>
        <v/>
      </c>
      <c r="AZ41" s="85">
        <f>IF(AND(48&gt;=DeliverStart,48&lt;=DispoMonth),1,0)</f>
        <v/>
      </c>
      <c r="BA41" s="85">
        <f>IF(AND(49&gt;=DeliverStart,49&lt;=DispoMonth),1,0)</f>
        <v/>
      </c>
      <c r="BB41" s="85">
        <f>IF(AND(50&gt;=DeliverStart,50&lt;=DispoMonth),1,0)</f>
        <v/>
      </c>
      <c r="BC41" s="85">
        <f>IF(AND(51&gt;=DeliverStart,51&lt;=DispoMonth),1,0)</f>
        <v/>
      </c>
      <c r="BD41" s="85">
        <f>IF(AND(52&gt;=DeliverStart,52&lt;=DispoMonth),1,0)</f>
        <v/>
      </c>
      <c r="BE41" s="85">
        <f>IF(AND(53&gt;=DeliverStart,53&lt;=DispoMonth),1,0)</f>
        <v/>
      </c>
      <c r="BF41" s="85">
        <f>IF(AND(54&gt;=DeliverStart,54&lt;=DispoMonth),1,0)</f>
        <v/>
      </c>
      <c r="BG41" s="85">
        <f>IF(AND(55&gt;=DeliverStart,55&lt;=DispoMonth),1,0)</f>
        <v/>
      </c>
      <c r="BH41" s="85">
        <f>IF(AND(56&gt;=DeliverStart,56&lt;=DispoMonth),1,0)</f>
        <v/>
      </c>
      <c r="BI41" s="85">
        <f>IF(AND(57&gt;=DeliverStart,57&lt;=DispoMonth),1,0)</f>
        <v/>
      </c>
      <c r="BJ41" s="85">
        <f>IF(AND(58&gt;=DeliverStart,58&lt;=DispoMonth),1,0)</f>
        <v/>
      </c>
      <c r="BK41" s="85">
        <f>IF(AND(59&gt;=DeliverStart,59&lt;=DispoMonth),1,0)</f>
        <v/>
      </c>
      <c r="BL41" s="85">
        <f>IF(AND(60&gt;=DeliverStart,60&lt;=DispoMonth),1,0)</f>
        <v/>
      </c>
      <c r="BM41" s="85">
        <f>IF(AND(61&gt;=DeliverStart,61&lt;=DispoMonth),1,0)</f>
        <v/>
      </c>
      <c r="BN41" s="85">
        <f>IF(AND(62&gt;=DeliverStart,62&lt;=DispoMonth),1,0)</f>
        <v/>
      </c>
      <c r="BO41" s="85">
        <f>IF(AND(63&gt;=DeliverStart,63&lt;=DispoMonth),1,0)</f>
        <v/>
      </c>
      <c r="BP41" s="85">
        <f>IF(AND(64&gt;=DeliverStart,64&lt;=DispoMonth),1,0)</f>
        <v/>
      </c>
      <c r="BQ41" s="85">
        <f>IF(AND(65&gt;=DeliverStart,65&lt;=DispoMonth),1,0)</f>
        <v/>
      </c>
      <c r="BR41" s="85">
        <f>IF(AND(66&gt;=DeliverStart,66&lt;=DispoMonth),1,0)</f>
        <v/>
      </c>
      <c r="BS41" s="85">
        <f>IF(AND(67&gt;=DeliverStart,67&lt;=DispoMonth),1,0)</f>
        <v/>
      </c>
      <c r="BT41" s="85">
        <f>IF(AND(68&gt;=DeliverStart,68&lt;=DispoMonth),1,0)</f>
        <v/>
      </c>
      <c r="BU41" s="85">
        <f>IF(AND(69&gt;=DeliverStart,69&lt;=DispoMonth),1,0)</f>
        <v/>
      </c>
      <c r="BV41" s="85">
        <f>IF(AND(70&gt;=DeliverStart,70&lt;=DispoMonth),1,0)</f>
        <v/>
      </c>
      <c r="BW41" s="85">
        <f>IF(AND(71&gt;=DeliverStart,71&lt;=DispoMonth),1,0)</f>
        <v/>
      </c>
      <c r="BX41" s="85">
        <f>IF(AND(72&gt;=DeliverStart,72&lt;=DispoMonth),1,0)</f>
        <v/>
      </c>
      <c r="BY41" s="85">
        <f>IF(AND(73&gt;=DeliverStart,73&lt;=DispoMonth),1,0)</f>
        <v/>
      </c>
      <c r="BZ41" s="85">
        <f>IF(AND(74&gt;=DeliverStart,74&lt;=DispoMonth),1,0)</f>
        <v/>
      </c>
      <c r="CA41" s="85">
        <f>IF(AND(75&gt;=DeliverStart,75&lt;=DispoMonth),1,0)</f>
        <v/>
      </c>
      <c r="CB41" s="85">
        <f>IF(AND(76&gt;=DeliverStart,76&lt;=DispoMonth),1,0)</f>
        <v/>
      </c>
      <c r="CC41" s="85">
        <f>IF(AND(77&gt;=DeliverStart,77&lt;=DispoMonth),1,0)</f>
        <v/>
      </c>
      <c r="CD41" s="85">
        <f>IF(AND(78&gt;=DeliverStart,78&lt;=DispoMonth),1,0)</f>
        <v/>
      </c>
      <c r="CE41" s="85">
        <f>IF(AND(79&gt;=DeliverStart,79&lt;=DispoMonth),1,0)</f>
        <v/>
      </c>
      <c r="CF41" s="85">
        <f>IF(AND(80&gt;=DeliverStart,80&lt;=DispoMonth),1,0)</f>
        <v/>
      </c>
      <c r="CG41" s="85">
        <f>IF(AND(81&gt;=DeliverStart,81&lt;=DispoMonth),1,0)</f>
        <v/>
      </c>
      <c r="CH41" s="85">
        <f>IF(AND(82&gt;=DeliverStart,82&lt;=DispoMonth),1,0)</f>
        <v/>
      </c>
      <c r="CI41" s="85">
        <f>IF(AND(83&gt;=DeliverStart,83&lt;=DispoMonth),1,0)</f>
        <v/>
      </c>
      <c r="CJ41" s="85">
        <f>IF(AND(84&gt;=DeliverStart,84&lt;=DispoMonth),1,0)</f>
        <v/>
      </c>
      <c r="CK41" s="85">
        <f>IF(AND(85&gt;=DeliverStart,85&lt;=DispoMonth),1,0)</f>
        <v/>
      </c>
      <c r="CL41" s="85">
        <f>IF(AND(86&gt;=DeliverStart,86&lt;=DispoMonth),1,0)</f>
        <v/>
      </c>
      <c r="CM41" s="85">
        <f>IF(AND(87&gt;=DeliverStart,87&lt;=DispoMonth),1,0)</f>
        <v/>
      </c>
      <c r="CN41" s="85">
        <f>IF(AND(88&gt;=DeliverStart,88&lt;=DispoMonth),1,0)</f>
        <v/>
      </c>
      <c r="CO41" s="85">
        <f>IF(AND(89&gt;=DeliverStart,89&lt;=DispoMonth),1,0)</f>
        <v/>
      </c>
      <c r="CP41" s="85">
        <f>IF(AND(90&gt;=DeliverStart,90&lt;=DispoMonth),1,0)</f>
        <v/>
      </c>
      <c r="CQ41" s="85">
        <f>IF(AND(91&gt;=DeliverStart,91&lt;=DispoMonth),1,0)</f>
        <v/>
      </c>
      <c r="CR41" s="85">
        <f>IF(AND(92&gt;=DeliverStart,92&lt;=DispoMonth),1,0)</f>
        <v/>
      </c>
      <c r="CS41" s="85">
        <f>IF(AND(93&gt;=DeliverStart,93&lt;=DispoMonth),1,0)</f>
        <v/>
      </c>
      <c r="CT41" s="85">
        <f>IF(AND(94&gt;=DeliverStart,94&lt;=DispoMonth),1,0)</f>
        <v/>
      </c>
      <c r="CU41" s="85">
        <f>IF(AND(95&gt;=DeliverStart,95&lt;=DispoMonth),1,0)</f>
        <v/>
      </c>
      <c r="CV41" s="85">
        <f>IF(AND(96&gt;=DeliverStart,96&lt;=DispoMonth),1,0)</f>
        <v/>
      </c>
      <c r="CW41" s="85">
        <f>IF(AND(97&gt;=DeliverStart,97&lt;=DispoMonth),1,0)</f>
        <v/>
      </c>
      <c r="CX41" s="85">
        <f>IF(AND(98&gt;=DeliverStart,98&lt;=DispoMonth),1,0)</f>
        <v/>
      </c>
      <c r="CY41" s="85">
        <f>IF(AND(99&gt;=DeliverStart,99&lt;=DispoMonth),1,0)</f>
        <v/>
      </c>
      <c r="CZ41" s="85">
        <f>IF(AND(100&gt;=DeliverStart,100&lt;=DispoMonth),1,0)</f>
        <v/>
      </c>
      <c r="DA41" s="85">
        <f>IF(AND(101&gt;=DeliverStart,101&lt;=DispoMonth),1,0)</f>
        <v/>
      </c>
      <c r="DB41" s="85">
        <f>IF(AND(102&gt;=DeliverStart,102&lt;=DispoMonth),1,0)</f>
        <v/>
      </c>
      <c r="DC41" s="85">
        <f>IF(AND(103&gt;=DeliverStart,103&lt;=DispoMonth),1,0)</f>
        <v/>
      </c>
      <c r="DD41" s="85">
        <f>IF(AND(104&gt;=DeliverStart,104&lt;=DispoMonth),1,0)</f>
        <v/>
      </c>
      <c r="DE41" s="85">
        <f>IF(AND(105&gt;=DeliverStart,105&lt;=DispoMonth),1,0)</f>
        <v/>
      </c>
      <c r="DF41" s="85">
        <f>IF(AND(106&gt;=DeliverStart,106&lt;=DispoMonth),1,0)</f>
        <v/>
      </c>
      <c r="DG41" s="85">
        <f>IF(AND(107&gt;=DeliverStart,107&lt;=DispoMonth),1,0)</f>
        <v/>
      </c>
      <c r="DH41" s="85">
        <f>IF(AND(108&gt;=DeliverStart,108&lt;=DispoMonth),1,0)</f>
        <v/>
      </c>
      <c r="DI41" s="85">
        <f>IF(AND(109&gt;=DeliverStart,109&lt;=DispoMonth),1,0)</f>
        <v/>
      </c>
      <c r="DJ41" s="85">
        <f>IF(AND(110&gt;=DeliverStart,110&lt;=DispoMonth),1,0)</f>
        <v/>
      </c>
      <c r="DK41" s="85">
        <f>IF(AND(111&gt;=DeliverStart,111&lt;=DispoMonth),1,0)</f>
        <v/>
      </c>
      <c r="DL41" s="85">
        <f>IF(AND(112&gt;=DeliverStart,112&lt;=DispoMonth),1,0)</f>
        <v/>
      </c>
      <c r="DM41" s="85">
        <f>IF(AND(113&gt;=DeliverStart,113&lt;=DispoMonth),1,0)</f>
        <v/>
      </c>
      <c r="DN41" s="85">
        <f>IF(AND(114&gt;=DeliverStart,114&lt;=DispoMonth),1,0)</f>
        <v/>
      </c>
      <c r="DO41" s="85">
        <f>IF(AND(115&gt;=DeliverStart,115&lt;=DispoMonth),1,0)</f>
        <v/>
      </c>
      <c r="DP41" s="85">
        <f>IF(AND(116&gt;=DeliverStart,116&lt;=DispoMonth),1,0)</f>
        <v/>
      </c>
      <c r="DQ41" s="85">
        <f>IF(AND(117&gt;=DeliverStart,117&lt;=DispoMonth),1,0)</f>
        <v/>
      </c>
      <c r="DR41" s="85">
        <f>IF(AND(118&gt;=DeliverStart,118&lt;=DispoMonth),1,0)</f>
        <v/>
      </c>
      <c r="DS41" s="85">
        <f>IF(AND(119&gt;=DeliverStart,119&lt;=DispoMonth),1,0)</f>
        <v/>
      </c>
      <c r="DT41" s="85">
        <f>IF(AND(120&gt;=DeliverStart,120&lt;=DispoMonth),1,0)</f>
        <v/>
      </c>
      <c r="DU41" s="85">
        <f>IF(AND(121&gt;=DeliverStart,121&lt;=DispoMonth),1,0)</f>
        <v/>
      </c>
      <c r="DV41" s="85">
        <f>IF(AND(122&gt;=DeliverStart,122&lt;=DispoMonth),1,0)</f>
        <v/>
      </c>
      <c r="DW41" s="85">
        <f>IF(AND(123&gt;=DeliverStart,123&lt;=DispoMonth),1,0)</f>
        <v/>
      </c>
      <c r="DX41" s="85">
        <f>IF(AND(124&gt;=DeliverStart,124&lt;=DispoMonth),1,0)</f>
        <v/>
      </c>
      <c r="DY41" s="85">
        <f>IF(AND(125&gt;=DeliverStart,125&lt;=DispoMonth),1,0)</f>
        <v/>
      </c>
      <c r="DZ41" s="85">
        <f>IF(AND(126&gt;=DeliverStart,126&lt;=DispoMonth),1,0)</f>
        <v/>
      </c>
      <c r="EA41" s="85">
        <f>IF(AND(127&gt;=DeliverStart,127&lt;=DispoMonth),1,0)</f>
        <v/>
      </c>
      <c r="EB41" s="85">
        <f>IF(AND(128&gt;=DeliverStart,128&lt;=DispoMonth),1,0)</f>
        <v/>
      </c>
      <c r="EC41" s="85">
        <f>IF(AND(129&gt;=DeliverStart,129&lt;=DispoMonth),1,0)</f>
        <v/>
      </c>
      <c r="ED41" s="85">
        <f>IF(AND(130&gt;=DeliverStart,130&lt;=DispoMonth),1,0)</f>
        <v/>
      </c>
      <c r="EE41" s="85">
        <f>IF(AND(131&gt;=DeliverStart,131&lt;=DispoMonth),1,0)</f>
        <v/>
      </c>
      <c r="EF41" s="85">
        <f>IF(AND(132&gt;=DeliverStart,132&lt;=DispoMonth),1,0)</f>
        <v/>
      </c>
      <c r="EG41" s="85">
        <f>IF(AND(133&gt;=DeliverStart,133&lt;=DispoMonth),1,0)</f>
        <v/>
      </c>
      <c r="EH41" s="85">
        <f>IF(AND(134&gt;=DeliverStart,134&lt;=DispoMonth),1,0)</f>
        <v/>
      </c>
      <c r="EI41" s="85">
        <f>IF(AND(135&gt;=DeliverStart,135&lt;=DispoMonth),1,0)</f>
        <v/>
      </c>
      <c r="EJ41" s="85">
        <f>IF(AND(136&gt;=DeliverStart,136&lt;=DispoMonth),1,0)</f>
        <v/>
      </c>
      <c r="EK41" s="85">
        <f>IF(AND(137&gt;=DeliverStart,137&lt;=DispoMonth),1,0)</f>
        <v/>
      </c>
      <c r="EL41" s="85">
        <f>IF(AND(138&gt;=DeliverStart,138&lt;=DispoMonth),1,0)</f>
        <v/>
      </c>
      <c r="EM41" s="85">
        <f>IF(AND(139&gt;=DeliverStart,139&lt;=DispoMonth),1,0)</f>
        <v/>
      </c>
      <c r="EN41" s="85">
        <f>IF(AND(140&gt;=DeliverStart,140&lt;=DispoMonth),1,0)</f>
        <v/>
      </c>
      <c r="EO41" s="85">
        <f>IF(AND(141&gt;=DeliverStart,141&lt;=DispoMonth),1,0)</f>
        <v/>
      </c>
      <c r="EP41" s="85">
        <f>IF(AND(142&gt;=DeliverStart,142&lt;=DispoMonth),1,0)</f>
        <v/>
      </c>
      <c r="EQ41" s="85">
        <f>IF(AND(143&gt;=DeliverStart,143&lt;=DispoMonth),1,0)</f>
        <v/>
      </c>
      <c r="ER41" s="85">
        <f>IF(AND(144&gt;=DeliverStart,144&lt;=DispoMonth),1,0)</f>
        <v/>
      </c>
      <c r="ES41" s="85">
        <f>IF(AND(145&gt;=DeliverStart,145&lt;=DispoMonth),1,0)</f>
        <v/>
      </c>
      <c r="ET41" s="85">
        <f>IF(AND(146&gt;=DeliverStart,146&lt;=DispoMonth),1,0)</f>
        <v/>
      </c>
      <c r="EU41" s="85">
        <f>IF(AND(147&gt;=DeliverStart,147&lt;=DispoMonth),1,0)</f>
        <v/>
      </c>
      <c r="EV41" s="85">
        <f>IF(AND(148&gt;=DeliverStart,148&lt;=DispoMonth),1,0)</f>
        <v/>
      </c>
      <c r="EW41" s="85">
        <f>IF(AND(149&gt;=DeliverStart,149&lt;=DispoMonth),1,0)</f>
        <v/>
      </c>
      <c r="EX41" s="85">
        <f>IF(AND(150&gt;=DeliverStart,150&lt;=DispoMonth),1,0)</f>
        <v/>
      </c>
      <c r="EY41" s="85">
        <f>IF(AND(151&gt;=DeliverStart,151&lt;=DispoMonth),1,0)</f>
        <v/>
      </c>
      <c r="EZ41" s="85">
        <f>IF(AND(152&gt;=DeliverStart,152&lt;=DispoMonth),1,0)</f>
        <v/>
      </c>
      <c r="FA41" s="85">
        <f>IF(AND(153&gt;=DeliverStart,153&lt;=DispoMonth),1,0)</f>
        <v/>
      </c>
      <c r="FB41" s="85">
        <f>IF(AND(154&gt;=DeliverStart,154&lt;=DispoMonth),1,0)</f>
        <v/>
      </c>
      <c r="FC41" s="85">
        <f>IF(AND(155&gt;=DeliverStart,155&lt;=DispoMonth),1,0)</f>
        <v/>
      </c>
      <c r="FD41" s="85">
        <f>IF(AND(156&gt;=DeliverStart,156&lt;=DispoMonth),1,0)</f>
        <v/>
      </c>
      <c r="FE41" s="85">
        <f>IF(AND(157&gt;=DeliverStart,157&lt;=DispoMonth),1,0)</f>
        <v/>
      </c>
      <c r="FF41" s="85">
        <f>IF(AND(158&gt;=DeliverStart,158&lt;=DispoMonth),1,0)</f>
        <v/>
      </c>
      <c r="FG41" s="85">
        <f>IF(AND(159&gt;=DeliverStart,159&lt;=DispoMonth),1,0)</f>
        <v/>
      </c>
      <c r="FH41" s="85">
        <f>IF(AND(160&gt;=DeliverStart,160&lt;=DispoMonth),1,0)</f>
        <v/>
      </c>
      <c r="FI41" s="85">
        <f>IF(AND(161&gt;=DeliverStart,161&lt;=DispoMonth),1,0)</f>
        <v/>
      </c>
      <c r="FJ41" s="85">
        <f>IF(AND(162&gt;=DeliverStart,162&lt;=DispoMonth),1,0)</f>
        <v/>
      </c>
      <c r="FK41" s="85">
        <f>IF(AND(163&gt;=DeliverStart,163&lt;=DispoMonth),1,0)</f>
        <v/>
      </c>
      <c r="FL41" s="85">
        <f>IF(AND(164&gt;=DeliverStart,164&lt;=DispoMonth),1,0)</f>
        <v/>
      </c>
      <c r="FM41" s="85">
        <f>IF(AND(165&gt;=DeliverStart,165&lt;=DispoMonth),1,0)</f>
        <v/>
      </c>
      <c r="FN41" s="85">
        <f>IF(AND(166&gt;=DeliverStart,166&lt;=DispoMonth),1,0)</f>
        <v/>
      </c>
      <c r="FO41" s="85">
        <f>IF(AND(167&gt;=DeliverStart,167&lt;=DispoMonth),1,0)</f>
        <v/>
      </c>
      <c r="FP41" s="85">
        <f>IF(AND(168&gt;=DeliverStart,168&lt;=DispoMonth),1,0)</f>
        <v/>
      </c>
      <c r="FQ41" s="85">
        <f>IF(AND(169&gt;=DeliverStart,169&lt;=DispoMonth),1,0)</f>
        <v/>
      </c>
      <c r="FR41" s="85">
        <f>IF(AND(170&gt;=DeliverStart,170&lt;=DispoMonth),1,0)</f>
        <v/>
      </c>
      <c r="FS41" s="85">
        <f>IF(AND(171&gt;=DeliverStart,171&lt;=DispoMonth),1,0)</f>
        <v/>
      </c>
      <c r="FT41" s="85">
        <f>IF(AND(172&gt;=DeliverStart,172&lt;=DispoMonth),1,0)</f>
        <v/>
      </c>
      <c r="FU41" s="85">
        <f>IF(AND(173&gt;=DeliverStart,173&lt;=DispoMonth),1,0)</f>
        <v/>
      </c>
      <c r="FV41" s="85">
        <f>IF(AND(174&gt;=DeliverStart,174&lt;=DispoMonth),1,0)</f>
        <v/>
      </c>
      <c r="FW41" s="85">
        <f>IF(AND(175&gt;=DeliverStart,175&lt;=DispoMonth),1,0)</f>
        <v/>
      </c>
      <c r="FX41" s="85">
        <f>IF(AND(176&gt;=DeliverStart,176&lt;=DispoMonth),1,0)</f>
        <v/>
      </c>
      <c r="FY41" s="85">
        <f>IF(AND(177&gt;=DeliverStart,177&lt;=DispoMonth),1,0)</f>
        <v/>
      </c>
      <c r="FZ41" s="85">
        <f>IF(AND(178&gt;=DeliverStart,178&lt;=DispoMonth),1,0)</f>
        <v/>
      </c>
      <c r="GA41" s="85">
        <f>IF(AND(179&gt;=DeliverStart,179&lt;=DispoMonth),1,0)</f>
        <v/>
      </c>
      <c r="GB41" s="85">
        <f>IF(AND(180&gt;=DeliverStart,180&lt;=DispoMonth),1,0)</f>
        <v/>
      </c>
      <c r="GC41" s="85">
        <f>IF(AND(181&gt;=DeliverStart,181&lt;=DispoMonth),1,0)</f>
        <v/>
      </c>
      <c r="GD41" s="85">
        <f>IF(AND(182&gt;=DeliverStart,182&lt;=DispoMonth),1,0)</f>
        <v/>
      </c>
      <c r="GE41" s="85">
        <f>IF(AND(183&gt;=DeliverStart,183&lt;=DispoMonth),1,0)</f>
        <v/>
      </c>
      <c r="GF41" s="85">
        <f>IF(AND(184&gt;=DeliverStart,184&lt;=DispoMonth),1,0)</f>
        <v/>
      </c>
      <c r="GG41" s="85">
        <f>IF(AND(185&gt;=DeliverStart,185&lt;=DispoMonth),1,0)</f>
        <v/>
      </c>
      <c r="GH41" s="85">
        <f>IF(AND(186&gt;=DeliverStart,186&lt;=DispoMonth),1,0)</f>
        <v/>
      </c>
      <c r="GI41" s="85">
        <f>IF(AND(187&gt;=DeliverStart,187&lt;=DispoMonth),1,0)</f>
        <v/>
      </c>
      <c r="GJ41" s="85">
        <f>IF(AND(188&gt;=DeliverStart,188&lt;=DispoMonth),1,0)</f>
        <v/>
      </c>
      <c r="GK41" s="85">
        <f>IF(AND(189&gt;=DeliverStart,189&lt;=DispoMonth),1,0)</f>
        <v/>
      </c>
      <c r="GL41" s="85">
        <f>IF(AND(190&gt;=DeliverStart,190&lt;=DispoMonth),1,0)</f>
        <v/>
      </c>
      <c r="GM41" s="85">
        <f>IF(AND(191&gt;=DeliverStart,191&lt;=DispoMonth),1,0)</f>
        <v/>
      </c>
      <c r="GN41" s="85">
        <f>IF(AND(192&gt;=DeliverStart,192&lt;=DispoMonth),1,0)</f>
        <v/>
      </c>
      <c r="GO41" s="85">
        <f>IF(AND(193&gt;=DeliverStart,193&lt;=DispoMonth),1,0)</f>
        <v/>
      </c>
      <c r="GP41" s="85">
        <f>IF(AND(194&gt;=DeliverStart,194&lt;=DispoMonth),1,0)</f>
        <v/>
      </c>
      <c r="GQ41" s="85">
        <f>IF(AND(195&gt;=DeliverStart,195&lt;=DispoMonth),1,0)</f>
        <v/>
      </c>
      <c r="GR41" s="85">
        <f>IF(AND(196&gt;=DeliverStart,196&lt;=DispoMonth),1,0)</f>
        <v/>
      </c>
      <c r="GS41" s="85">
        <f>IF(AND(197&gt;=DeliverStart,197&lt;=DispoMonth),1,0)</f>
        <v/>
      </c>
      <c r="GT41" s="85">
        <f>IF(AND(198&gt;=DeliverStart,198&lt;=DispoMonth),1,0)</f>
        <v/>
      </c>
      <c r="GU41" s="85">
        <f>IF(AND(199&gt;=DeliverStart,199&lt;=DispoMonth),1,0)</f>
        <v/>
      </c>
      <c r="GV41" s="85">
        <f>IF(AND(200&gt;=DeliverStart,200&lt;=DispoMonth),1,0)</f>
        <v/>
      </c>
      <c r="GW41" s="85">
        <f>IF(AND(201&gt;=DeliverStart,201&lt;=DispoMonth),1,0)</f>
        <v/>
      </c>
      <c r="GX41" s="85">
        <f>IF(AND(202&gt;=DeliverStart,202&lt;=DispoMonth),1,0)</f>
        <v/>
      </c>
      <c r="GY41" s="85">
        <f>IF(AND(203&gt;=DeliverStart,203&lt;=DispoMonth),1,0)</f>
        <v/>
      </c>
      <c r="GZ41" s="85">
        <f>IF(AND(204&gt;=DeliverStart,204&lt;=DispoMonth),1,0)</f>
        <v/>
      </c>
      <c r="HA41" s="85">
        <f>IF(AND(205&gt;=DeliverStart,205&lt;=DispoMonth),1,0)</f>
        <v/>
      </c>
      <c r="HB41" s="85">
        <f>IF(AND(206&gt;=DeliverStart,206&lt;=DispoMonth),1,0)</f>
        <v/>
      </c>
      <c r="HC41" s="85">
        <f>IF(AND(207&gt;=DeliverStart,207&lt;=DispoMonth),1,0)</f>
        <v/>
      </c>
      <c r="HD41" s="85">
        <f>IF(AND(208&gt;=DeliverStart,208&lt;=DispoMonth),1,0)</f>
        <v/>
      </c>
      <c r="HE41" s="85">
        <f>IF(AND(209&gt;=DeliverStart,209&lt;=DispoMonth),1,0)</f>
        <v/>
      </c>
      <c r="HF41" s="85">
        <f>IF(AND(210&gt;=DeliverStart,210&lt;=DispoMonth),1,0)</f>
        <v/>
      </c>
      <c r="HG41" s="85">
        <f>IF(AND(211&gt;=DeliverStart,211&lt;=DispoMonth),1,0)</f>
        <v/>
      </c>
      <c r="HH41" s="85">
        <f>IF(AND(212&gt;=DeliverStart,212&lt;=DispoMonth),1,0)</f>
        <v/>
      </c>
      <c r="HI41" s="85">
        <f>IF(AND(213&gt;=DeliverStart,213&lt;=DispoMonth),1,0)</f>
        <v/>
      </c>
      <c r="HJ41" s="85">
        <f>IF(AND(214&gt;=DeliverStart,214&lt;=DispoMonth),1,0)</f>
        <v/>
      </c>
      <c r="HK41" s="85">
        <f>IF(AND(215&gt;=DeliverStart,215&lt;=DispoMonth),1,0)</f>
        <v/>
      </c>
      <c r="HL41" s="85">
        <f>IF(AND(216&gt;=DeliverStart,216&lt;=DispoMonth),1,0)</f>
        <v/>
      </c>
      <c r="HM41" s="85">
        <f>IF(AND(217&gt;=DeliverStart,217&lt;=DispoMonth),1,0)</f>
        <v/>
      </c>
      <c r="HN41" s="85">
        <f>IF(AND(218&gt;=DeliverStart,218&lt;=DispoMonth),1,0)</f>
        <v/>
      </c>
      <c r="HO41" s="85">
        <f>IF(AND(219&gt;=DeliverStart,219&lt;=DispoMonth),1,0)</f>
        <v/>
      </c>
      <c r="HP41" s="85">
        <f>IF(AND(220&gt;=DeliverStart,220&lt;=DispoMonth),1,0)</f>
        <v/>
      </c>
      <c r="HQ41" s="85">
        <f>IF(AND(221&gt;=DeliverStart,221&lt;=DispoMonth),1,0)</f>
        <v/>
      </c>
      <c r="HR41" s="85">
        <f>IF(AND(222&gt;=DeliverStart,222&lt;=DispoMonth),1,0)</f>
        <v/>
      </c>
      <c r="HS41" s="85">
        <f>IF(AND(223&gt;=DeliverStart,223&lt;=DispoMonth),1,0)</f>
        <v/>
      </c>
      <c r="HT41" s="85">
        <f>IF(AND(224&gt;=DeliverStart,224&lt;=DispoMonth),1,0)</f>
        <v/>
      </c>
      <c r="HU41" s="85">
        <f>IF(AND(225&gt;=DeliverStart,225&lt;=DispoMonth),1,0)</f>
        <v/>
      </c>
      <c r="HV41" s="85">
        <f>IF(AND(226&gt;=DeliverStart,226&lt;=DispoMonth),1,0)</f>
        <v/>
      </c>
      <c r="HW41" s="85">
        <f>IF(AND(227&gt;=DeliverStart,227&lt;=DispoMonth),1,0)</f>
        <v/>
      </c>
      <c r="HX41" s="85">
        <f>IF(AND(228&gt;=DeliverStart,228&lt;=DispoMonth),1,0)</f>
        <v/>
      </c>
      <c r="HY41" s="85">
        <f>IF(AND(229&gt;=DeliverStart,229&lt;=DispoMonth),1,0)</f>
        <v/>
      </c>
      <c r="HZ41" s="85">
        <f>IF(AND(230&gt;=DeliverStart,230&lt;=DispoMonth),1,0)</f>
        <v/>
      </c>
      <c r="IA41" s="85">
        <f>IF(AND(231&gt;=DeliverStart,231&lt;=DispoMonth),1,0)</f>
        <v/>
      </c>
      <c r="IB41" s="85">
        <f>IF(AND(232&gt;=DeliverStart,232&lt;=DispoMonth),1,0)</f>
        <v/>
      </c>
      <c r="IC41" s="85">
        <f>IF(AND(233&gt;=DeliverStart,233&lt;=DispoMonth),1,0)</f>
        <v/>
      </c>
      <c r="ID41" s="85">
        <f>IF(AND(234&gt;=DeliverStart,234&lt;=DispoMonth),1,0)</f>
        <v/>
      </c>
      <c r="IE41" s="85">
        <f>IF(AND(235&gt;=DeliverStart,235&lt;=DispoMonth),1,0)</f>
        <v/>
      </c>
      <c r="IF41" s="85">
        <f>IF(AND(236&gt;=DeliverStart,236&lt;=DispoMonth),1,0)</f>
        <v/>
      </c>
      <c r="IG41" s="85">
        <f>IF(AND(237&gt;=DeliverStart,237&lt;=DispoMonth),1,0)</f>
        <v/>
      </c>
      <c r="IH41" s="85">
        <f>IF(AND(238&gt;=DeliverStart,238&lt;=DispoMonth),1,0)</f>
        <v/>
      </c>
      <c r="II41" s="85">
        <f>IF(AND(239&gt;=DeliverStart,239&lt;=DispoMonth),1,0)</f>
        <v/>
      </c>
      <c r="IJ41" s="85">
        <f>IF(AND(240&gt;=DeliverStart,240&lt;=DispoMonth),1,0)</f>
        <v/>
      </c>
      <c r="IK41" s="85">
        <f>IF(AND(241&gt;=DeliverStart,241&lt;=DispoMonth),1,0)</f>
        <v/>
      </c>
      <c r="IL41" s="85">
        <f>IF(AND(242&gt;=DeliverStart,242&lt;=DispoMonth),1,0)</f>
        <v/>
      </c>
      <c r="IM41" s="85">
        <f>IF(AND(243&gt;=DeliverStart,243&lt;=DispoMonth),1,0)</f>
        <v/>
      </c>
      <c r="IN41" s="85">
        <f>IF(AND(244&gt;=DeliverStart,244&lt;=DispoMonth),1,0)</f>
        <v/>
      </c>
      <c r="IO41" s="85">
        <f>IF(AND(245&gt;=DeliverStart,245&lt;=DispoMonth),1,0)</f>
        <v/>
      </c>
      <c r="IP41" s="85">
        <f>IF(AND(246&gt;=DeliverStart,246&lt;=DispoMonth),1,0)</f>
        <v/>
      </c>
      <c r="IQ41" s="85">
        <f>IF(AND(247&gt;=DeliverStart,247&lt;=DispoMonth),1,0)</f>
        <v/>
      </c>
      <c r="IR41" s="85">
        <f>IF(AND(248&gt;=DeliverStart,248&lt;=DispoMonth),1,0)</f>
        <v/>
      </c>
      <c r="IS41" s="85">
        <f>IF(AND(249&gt;=DeliverStart,249&lt;=DispoMonth),1,0)</f>
        <v/>
      </c>
      <c r="IT41" s="85">
        <f>IF(AND(250&gt;=DeliverStart,250&lt;=DispoMonth),1,0)</f>
        <v/>
      </c>
      <c r="IU41" s="85">
        <f>IF(AND(251&gt;=DeliverStart,251&lt;=DispoMonth),1,0)</f>
        <v/>
      </c>
      <c r="IV41" s="85">
        <f>IF(AND(252&gt;=DeliverStart,252&lt;=DispoMonth),1,0)</f>
        <v/>
      </c>
      <c r="IW41" s="85">
        <f>IF(AND(253&gt;=DeliverStart,253&lt;=DispoMonth),1,0)</f>
        <v/>
      </c>
      <c r="IX41" s="85">
        <f>IF(AND(254&gt;=DeliverStart,254&lt;=DispoMonth),1,0)</f>
        <v/>
      </c>
      <c r="IY41" s="85">
        <f>IF(AND(255&gt;=DeliverStart,255&lt;=DispoMonth),1,0)</f>
        <v/>
      </c>
      <c r="IZ41" s="85">
        <f>IF(AND(256&gt;=DeliverStart,256&lt;=DispoMonth),1,0)</f>
        <v/>
      </c>
      <c r="JA41" s="85">
        <f>IF(AND(257&gt;=DeliverStart,257&lt;=DispoMonth),1,0)</f>
        <v/>
      </c>
      <c r="JB41" s="85">
        <f>IF(AND(258&gt;=DeliverStart,258&lt;=DispoMonth),1,0)</f>
        <v/>
      </c>
      <c r="JC41" s="85">
        <f>IF(AND(259&gt;=DeliverStart,259&lt;=DispoMonth),1,0)</f>
        <v/>
      </c>
      <c r="JD41" s="85">
        <f>IF(AND(260&gt;=DeliverStart,260&lt;=DispoMonth),1,0)</f>
        <v/>
      </c>
      <c r="JE41" s="85">
        <f>IF(AND(261&gt;=DeliverStart,261&lt;=DispoMonth),1,0)</f>
        <v/>
      </c>
      <c r="JF41" s="85">
        <f>IF(AND(262&gt;=DeliverStart,262&lt;=DispoMonth),1,0)</f>
        <v/>
      </c>
      <c r="JG41" s="85">
        <f>IF(AND(263&gt;=DeliverStart,263&lt;=DispoMonth),1,0)</f>
        <v/>
      </c>
      <c r="JH41" s="85">
        <f>IF(AND(264&gt;=DeliverStart,264&lt;=DispoMonth),1,0)</f>
        <v/>
      </c>
      <c r="JI41" s="85">
        <f>IF(AND(265&gt;=DeliverStart,265&lt;=DispoMonth),1,0)</f>
        <v/>
      </c>
      <c r="JJ41" s="85">
        <f>IF(AND(266&gt;=DeliverStart,266&lt;=DispoMonth),1,0)</f>
        <v/>
      </c>
      <c r="JK41" s="85">
        <f>IF(AND(267&gt;=DeliverStart,267&lt;=DispoMonth),1,0)</f>
        <v/>
      </c>
      <c r="JL41" s="85">
        <f>IF(AND(268&gt;=DeliverStart,268&lt;=DispoMonth),1,0)</f>
        <v/>
      </c>
      <c r="JM41" s="85">
        <f>IF(AND(269&gt;=DeliverStart,269&lt;=DispoMonth),1,0)</f>
        <v/>
      </c>
      <c r="JN41" s="85">
        <f>IF(AND(270&gt;=DeliverStart,270&lt;=DispoMonth),1,0)</f>
        <v/>
      </c>
      <c r="JO41" s="85">
        <f>IF(AND(271&gt;=DeliverStart,271&lt;=DispoMonth),1,0)</f>
        <v/>
      </c>
      <c r="JP41" s="85">
        <f>IF(AND(272&gt;=DeliverStart,272&lt;=DispoMonth),1,0)</f>
        <v/>
      </c>
      <c r="JQ41" s="85">
        <f>IF(AND(273&gt;=DeliverStart,273&lt;=DispoMonth),1,0)</f>
        <v/>
      </c>
      <c r="JR41" s="85">
        <f>IF(AND(274&gt;=DeliverStart,274&lt;=DispoMonth),1,0)</f>
        <v/>
      </c>
      <c r="JS41" s="85">
        <f>IF(AND(275&gt;=DeliverStart,275&lt;=DispoMonth),1,0)</f>
        <v/>
      </c>
      <c r="JT41" s="85">
        <f>IF(AND(276&gt;=DeliverStart,276&lt;=DispoMonth),1,0)</f>
        <v/>
      </c>
      <c r="JU41" s="85">
        <f>IF(AND(277&gt;=DeliverStart,277&lt;=DispoMonth),1,0)</f>
        <v/>
      </c>
      <c r="JV41" s="85">
        <f>IF(AND(278&gt;=DeliverStart,278&lt;=DispoMonth),1,0)</f>
        <v/>
      </c>
      <c r="JW41" s="85">
        <f>IF(AND(279&gt;=DeliverStart,279&lt;=DispoMonth),1,0)</f>
        <v/>
      </c>
      <c r="JX41" s="85">
        <f>IF(AND(280&gt;=DeliverStart,280&lt;=DispoMonth),1,0)</f>
        <v/>
      </c>
      <c r="JY41" s="85">
        <f>IF(AND(281&gt;=DeliverStart,281&lt;=DispoMonth),1,0)</f>
        <v/>
      </c>
      <c r="JZ41" s="85">
        <f>IF(AND(282&gt;=DeliverStart,282&lt;=DispoMonth),1,0)</f>
        <v/>
      </c>
      <c r="KA41" s="85">
        <f>IF(AND(283&gt;=DeliverStart,283&lt;=DispoMonth),1,0)</f>
        <v/>
      </c>
      <c r="KB41" s="85">
        <f>IF(AND(284&gt;=DeliverStart,284&lt;=DispoMonth),1,0)</f>
        <v/>
      </c>
      <c r="KC41" s="85">
        <f>IF(AND(285&gt;=DeliverStart,285&lt;=DispoMonth),1,0)</f>
        <v/>
      </c>
      <c r="KD41" s="85">
        <f>IF(AND(286&gt;=DeliverStart,286&lt;=DispoMonth),1,0)</f>
        <v/>
      </c>
      <c r="KE41" s="85">
        <f>IF(AND(287&gt;=DeliverStart,287&lt;=DispoMonth),1,0)</f>
        <v/>
      </c>
      <c r="KF41" s="85">
        <f>IF(AND(288&gt;=DeliverStart,288&lt;=DispoMonth),1,0)</f>
        <v/>
      </c>
      <c r="KG41" s="85">
        <f>IF(AND(289&gt;=DeliverStart,289&lt;=DispoMonth),1,0)</f>
        <v/>
      </c>
      <c r="KH41" s="85">
        <f>IF(AND(290&gt;=DeliverStart,290&lt;=DispoMonth),1,0)</f>
        <v/>
      </c>
      <c r="KI41" s="85">
        <f>IF(AND(291&gt;=DeliverStart,291&lt;=DispoMonth),1,0)</f>
        <v/>
      </c>
      <c r="KJ41" s="85">
        <f>IF(AND(292&gt;=DeliverStart,292&lt;=DispoMonth),1,0)</f>
        <v/>
      </c>
      <c r="KK41" s="85">
        <f>IF(AND(293&gt;=DeliverStart,293&lt;=DispoMonth),1,0)</f>
        <v/>
      </c>
      <c r="KL41" s="85">
        <f>IF(AND(294&gt;=DeliverStart,294&lt;=DispoMonth),1,0)</f>
        <v/>
      </c>
      <c r="KM41" s="85">
        <f>IF(AND(295&gt;=DeliverStart,295&lt;=DispoMonth),1,0)</f>
        <v/>
      </c>
      <c r="KN41" s="85">
        <f>IF(AND(296&gt;=DeliverStart,296&lt;=DispoMonth),1,0)</f>
        <v/>
      </c>
      <c r="KO41" s="85">
        <f>IF(AND(297&gt;=DeliverStart,297&lt;=DispoMonth),1,0)</f>
        <v/>
      </c>
      <c r="KP41" s="85">
        <f>IF(AND(298&gt;=DeliverStart,298&lt;=DispoMonth),1,0)</f>
        <v/>
      </c>
      <c r="KQ41" s="85">
        <f>IF(AND(299&gt;=DeliverStart,299&lt;=DispoMonth),1,0)</f>
        <v/>
      </c>
      <c r="KR41" s="85">
        <f>IF(AND(300&gt;=DeliverStart,300&lt;=DispoMonth),1,0)</f>
        <v/>
      </c>
      <c r="KS41" s="85">
        <f>IF(AND(301&gt;=DeliverStart,301&lt;=DispoMonth),1,0)</f>
        <v/>
      </c>
      <c r="KT41" s="85">
        <f>IF(AND(302&gt;=DeliverStart,302&lt;=DispoMonth),1,0)</f>
        <v/>
      </c>
      <c r="KU41" s="85">
        <f>IF(AND(303&gt;=DeliverStart,303&lt;=DispoMonth),1,0)</f>
        <v/>
      </c>
      <c r="KV41" s="85">
        <f>IF(AND(304&gt;=DeliverStart,304&lt;=DispoMonth),1,0)</f>
        <v/>
      </c>
      <c r="KW41" s="85">
        <f>IF(AND(305&gt;=DeliverStart,305&lt;=DispoMonth),1,0)</f>
        <v/>
      </c>
      <c r="KX41" s="85">
        <f>IF(AND(306&gt;=DeliverStart,306&lt;=DispoMonth),1,0)</f>
        <v/>
      </c>
      <c r="KY41" s="85">
        <f>IF(AND(307&gt;=DeliverStart,307&lt;=DispoMonth),1,0)</f>
        <v/>
      </c>
      <c r="KZ41" s="85">
        <f>IF(AND(308&gt;=DeliverStart,308&lt;=DispoMonth),1,0)</f>
        <v/>
      </c>
      <c r="LA41" s="85">
        <f>IF(AND(309&gt;=DeliverStart,309&lt;=DispoMonth),1,0)</f>
        <v/>
      </c>
      <c r="LB41" s="85">
        <f>IF(AND(310&gt;=DeliverStart,310&lt;=DispoMonth),1,0)</f>
        <v/>
      </c>
      <c r="LC41" s="85">
        <f>IF(AND(311&gt;=DeliverStart,311&lt;=DispoMonth),1,0)</f>
        <v/>
      </c>
      <c r="LD41" s="85">
        <f>IF(AND(312&gt;=DeliverStart,312&lt;=DispoMonth),1,0)</f>
        <v/>
      </c>
      <c r="LE41" s="85">
        <f>IF(AND(313&gt;=DeliverStart,313&lt;=DispoMonth),1,0)</f>
        <v/>
      </c>
      <c r="LF41" s="85">
        <f>IF(AND(314&gt;=DeliverStart,314&lt;=DispoMonth),1,0)</f>
        <v/>
      </c>
      <c r="LG41" s="85">
        <f>IF(AND(315&gt;=DeliverStart,315&lt;=DispoMonth),1,0)</f>
        <v/>
      </c>
      <c r="LH41" s="85">
        <f>IF(AND(316&gt;=DeliverStart,316&lt;=DispoMonth),1,0)</f>
        <v/>
      </c>
      <c r="LI41" s="85">
        <f>IF(AND(317&gt;=DeliverStart,317&lt;=DispoMonth),1,0)</f>
        <v/>
      </c>
      <c r="LJ41" s="85">
        <f>IF(AND(318&gt;=DeliverStart,318&lt;=DispoMonth),1,0)</f>
        <v/>
      </c>
      <c r="LK41" s="85">
        <f>IF(AND(319&gt;=DeliverStart,319&lt;=DispoMonth),1,0)</f>
        <v/>
      </c>
      <c r="LL41" s="85">
        <f>IF(AND(320&gt;=DeliverStart,320&lt;=DispoMonth),1,0)</f>
        <v/>
      </c>
      <c r="LM41" s="85">
        <f>IF(AND(321&gt;=DeliverStart,321&lt;=DispoMonth),1,0)</f>
        <v/>
      </c>
      <c r="LN41" s="85">
        <f>IF(AND(322&gt;=DeliverStart,322&lt;=DispoMonth),1,0)</f>
        <v/>
      </c>
      <c r="LO41" s="85">
        <f>IF(AND(323&gt;=DeliverStart,323&lt;=DispoMonth),1,0)</f>
        <v/>
      </c>
      <c r="LP41" s="85">
        <f>IF(AND(324&gt;=DeliverStart,324&lt;=DispoMonth),1,0)</f>
        <v/>
      </c>
      <c r="LQ41" s="85">
        <f>IF(AND(325&gt;=DeliverStart,325&lt;=DispoMonth),1,0)</f>
        <v/>
      </c>
      <c r="LR41" s="85">
        <f>IF(AND(326&gt;=DeliverStart,326&lt;=DispoMonth),1,0)</f>
        <v/>
      </c>
      <c r="LS41" s="85">
        <f>IF(AND(327&gt;=DeliverStart,327&lt;=DispoMonth),1,0)</f>
        <v/>
      </c>
      <c r="LT41" s="85">
        <f>IF(AND(328&gt;=DeliverStart,328&lt;=DispoMonth),1,0)</f>
        <v/>
      </c>
      <c r="LU41" s="85">
        <f>IF(AND(329&gt;=DeliverStart,329&lt;=DispoMonth),1,0)</f>
        <v/>
      </c>
      <c r="LV41" s="85">
        <f>IF(AND(330&gt;=DeliverStart,330&lt;=DispoMonth),1,0)</f>
        <v/>
      </c>
      <c r="LW41" s="85">
        <f>IF(AND(331&gt;=DeliverStart,331&lt;=DispoMonth),1,0)</f>
        <v/>
      </c>
      <c r="LX41" s="85">
        <f>IF(AND(332&gt;=DeliverStart,332&lt;=DispoMonth),1,0)</f>
        <v/>
      </c>
      <c r="LY41" s="85">
        <f>IF(AND(333&gt;=DeliverStart,333&lt;=DispoMonth),1,0)</f>
        <v/>
      </c>
      <c r="LZ41" s="85">
        <f>IF(AND(334&gt;=DeliverStart,334&lt;=DispoMonth),1,0)</f>
        <v/>
      </c>
      <c r="MA41" s="85">
        <f>IF(AND(335&gt;=DeliverStart,335&lt;=DispoMonth),1,0)</f>
        <v/>
      </c>
      <c r="MB41" s="85">
        <f>IF(AND(336&gt;=DeliverStart,336&lt;=DispoMonth),1,0)</f>
        <v/>
      </c>
      <c r="MC41" s="85">
        <f>IF(AND(337&gt;=DeliverStart,337&lt;=DispoMonth),1,0)</f>
        <v/>
      </c>
      <c r="MD41" s="85">
        <f>IF(AND(338&gt;=DeliverStart,338&lt;=DispoMonth),1,0)</f>
        <v/>
      </c>
      <c r="ME41" s="85">
        <f>IF(AND(339&gt;=DeliverStart,339&lt;=DispoMonth),1,0)</f>
        <v/>
      </c>
      <c r="MF41" s="85">
        <f>IF(AND(340&gt;=DeliverStart,340&lt;=DispoMonth),1,0)</f>
        <v/>
      </c>
      <c r="MG41" s="85">
        <f>IF(AND(341&gt;=DeliverStart,341&lt;=DispoMonth),1,0)</f>
        <v/>
      </c>
      <c r="MH41" s="85">
        <f>IF(AND(342&gt;=DeliverStart,342&lt;=DispoMonth),1,0)</f>
        <v/>
      </c>
      <c r="MI41" s="85">
        <f>IF(AND(343&gt;=DeliverStart,343&lt;=DispoMonth),1,0)</f>
        <v/>
      </c>
      <c r="MJ41" s="85">
        <f>IF(AND(344&gt;=DeliverStart,344&lt;=DispoMonth),1,0)</f>
        <v/>
      </c>
      <c r="MK41" s="85">
        <f>IF(AND(345&gt;=DeliverStart,345&lt;=DispoMonth),1,0)</f>
        <v/>
      </c>
      <c r="ML41" s="85">
        <f>IF(AND(346&gt;=DeliverStart,346&lt;=DispoMonth),1,0)</f>
        <v/>
      </c>
      <c r="MM41" s="85">
        <f>IF(AND(347&gt;=DeliverStart,347&lt;=DispoMonth),1,0)</f>
        <v/>
      </c>
      <c r="MN41" s="85">
        <f>IF(AND(348&gt;=DeliverStart,348&lt;=DispoMonth),1,0)</f>
        <v/>
      </c>
      <c r="MO41" s="85">
        <f>IF(AND(349&gt;=DeliverStart,349&lt;=DispoMonth),1,0)</f>
        <v/>
      </c>
      <c r="MP41" s="85">
        <f>IF(AND(350&gt;=DeliverStart,350&lt;=DispoMonth),1,0)</f>
        <v/>
      </c>
      <c r="MQ41" s="85">
        <f>IF(AND(351&gt;=DeliverStart,351&lt;=DispoMonth),1,0)</f>
        <v/>
      </c>
      <c r="MR41" s="85">
        <f>IF(AND(352&gt;=DeliverStart,352&lt;=DispoMonth),1,0)</f>
        <v/>
      </c>
      <c r="MS41" s="85">
        <f>IF(AND(353&gt;=DeliverStart,353&lt;=DispoMonth),1,0)</f>
        <v/>
      </c>
      <c r="MT41" s="85">
        <f>IF(AND(354&gt;=DeliverStart,354&lt;=DispoMonth),1,0)</f>
        <v/>
      </c>
      <c r="MU41" s="85">
        <f>IF(AND(355&gt;=DeliverStart,355&lt;=DispoMonth),1,0)</f>
        <v/>
      </c>
      <c r="MV41" s="85">
        <f>IF(AND(356&gt;=DeliverStart,356&lt;=DispoMonth),1,0)</f>
        <v/>
      </c>
      <c r="MW41" s="85">
        <f>IF(AND(357&gt;=DeliverStart,357&lt;=DispoMonth),1,0)</f>
        <v/>
      </c>
      <c r="MX41" s="85">
        <f>IF(AND(358&gt;=DeliverStart,358&lt;=DispoMonth),1,0)</f>
        <v/>
      </c>
      <c r="MY41" s="85">
        <f>IF(AND(359&gt;=DeliverStart,359&lt;=DispoMonth),1,0)</f>
        <v/>
      </c>
      <c r="MZ41" s="85">
        <f>IF(AND(360&gt;=DeliverStart,360&lt;=DispoMonth),1,0)</f>
        <v/>
      </c>
      <c r="NA41" s="85">
        <f>IF(AND(361&gt;=DeliverStart,361&lt;=DispoMonth),1,0)</f>
        <v/>
      </c>
      <c r="NB41" s="85">
        <f>IF(AND(362&gt;=DeliverStart,362&lt;=DispoMonth),1,0)</f>
        <v/>
      </c>
      <c r="NC41" s="85">
        <f>IF(AND(363&gt;=DeliverStart,363&lt;=DispoMonth),1,0)</f>
        <v/>
      </c>
      <c r="ND41" s="85">
        <f>IF(AND(364&gt;=DeliverStart,364&lt;=DispoMonth),1,0)</f>
        <v/>
      </c>
      <c r="NE41" s="85">
        <f>IF(AND(365&gt;=DeliverStart,365&lt;=DispoMonth),1,0)</f>
        <v/>
      </c>
      <c r="NF41" s="85">
        <f>IF(AND(366&gt;=DeliverStart,366&lt;=DispoMonth),1,0)</f>
        <v/>
      </c>
      <c r="NG41" s="85">
        <f>IF(AND(367&gt;=DeliverStart,367&lt;=DispoMonth),1,0)</f>
        <v/>
      </c>
      <c r="NH41" s="85">
        <f>IF(AND(368&gt;=DeliverStart,368&lt;=DispoMonth),1,0)</f>
        <v/>
      </c>
      <c r="NI41" s="85">
        <f>IF(AND(369&gt;=DeliverStart,369&lt;=DispoMonth),1,0)</f>
        <v/>
      </c>
      <c r="NJ41" s="85">
        <f>IF(AND(370&gt;=DeliverStart,370&lt;=DispoMonth),1,0)</f>
        <v/>
      </c>
      <c r="NK41" s="85">
        <f>IF(AND(371&gt;=DeliverStart,371&lt;=DispoMonth),1,0)</f>
        <v/>
      </c>
      <c r="NL41" s="85">
        <f>IF(AND(372&gt;=DeliverStart,372&lt;=DispoMonth),1,0)</f>
        <v/>
      </c>
    </row>
    <row r="42">
      <c r="B42" s="36" t="inlineStr">
        <is>
          <t>Flag: Con Loan Active</t>
        </is>
      </c>
      <c r="D42" s="124" t="n"/>
      <c r="E42" s="85">
        <f>IF(AND(1&gt;=ConStart,1&lt;=ConPayoffMonth),1,0)</f>
        <v/>
      </c>
      <c r="F42" s="85">
        <f>IF(AND(2&gt;=ConStart,2&lt;=ConPayoffMonth),1,0)</f>
        <v/>
      </c>
      <c r="G42" s="85">
        <f>IF(AND(3&gt;=ConStart,3&lt;=ConPayoffMonth),1,0)</f>
        <v/>
      </c>
      <c r="H42" s="85">
        <f>IF(AND(4&gt;=ConStart,4&lt;=ConPayoffMonth),1,0)</f>
        <v/>
      </c>
      <c r="I42" s="85">
        <f>IF(AND(5&gt;=ConStart,5&lt;=ConPayoffMonth),1,0)</f>
        <v/>
      </c>
      <c r="J42" s="85">
        <f>IF(AND(6&gt;=ConStart,6&lt;=ConPayoffMonth),1,0)</f>
        <v/>
      </c>
      <c r="K42" s="85">
        <f>IF(AND(7&gt;=ConStart,7&lt;=ConPayoffMonth),1,0)</f>
        <v/>
      </c>
      <c r="L42" s="85">
        <f>IF(AND(8&gt;=ConStart,8&lt;=ConPayoffMonth),1,0)</f>
        <v/>
      </c>
      <c r="M42" s="85">
        <f>IF(AND(9&gt;=ConStart,9&lt;=ConPayoffMonth),1,0)</f>
        <v/>
      </c>
      <c r="N42" s="85">
        <f>IF(AND(10&gt;=ConStart,10&lt;=ConPayoffMonth),1,0)</f>
        <v/>
      </c>
      <c r="O42" s="85">
        <f>IF(AND(11&gt;=ConStart,11&lt;=ConPayoffMonth),1,0)</f>
        <v/>
      </c>
      <c r="P42" s="85">
        <f>IF(AND(12&gt;=ConStart,12&lt;=ConPayoffMonth),1,0)</f>
        <v/>
      </c>
      <c r="Q42" s="85">
        <f>IF(AND(13&gt;=ConStart,13&lt;=ConPayoffMonth),1,0)</f>
        <v/>
      </c>
      <c r="R42" s="85">
        <f>IF(AND(14&gt;=ConStart,14&lt;=ConPayoffMonth),1,0)</f>
        <v/>
      </c>
      <c r="S42" s="85">
        <f>IF(AND(15&gt;=ConStart,15&lt;=ConPayoffMonth),1,0)</f>
        <v/>
      </c>
      <c r="T42" s="85">
        <f>IF(AND(16&gt;=ConStart,16&lt;=ConPayoffMonth),1,0)</f>
        <v/>
      </c>
      <c r="U42" s="85">
        <f>IF(AND(17&gt;=ConStart,17&lt;=ConPayoffMonth),1,0)</f>
        <v/>
      </c>
      <c r="V42" s="85">
        <f>IF(AND(18&gt;=ConStart,18&lt;=ConPayoffMonth),1,0)</f>
        <v/>
      </c>
      <c r="W42" s="85">
        <f>IF(AND(19&gt;=ConStart,19&lt;=ConPayoffMonth),1,0)</f>
        <v/>
      </c>
      <c r="X42" s="85">
        <f>IF(AND(20&gt;=ConStart,20&lt;=ConPayoffMonth),1,0)</f>
        <v/>
      </c>
      <c r="Y42" s="85">
        <f>IF(AND(21&gt;=ConStart,21&lt;=ConPayoffMonth),1,0)</f>
        <v/>
      </c>
      <c r="Z42" s="85">
        <f>IF(AND(22&gt;=ConStart,22&lt;=ConPayoffMonth),1,0)</f>
        <v/>
      </c>
      <c r="AA42" s="85">
        <f>IF(AND(23&gt;=ConStart,23&lt;=ConPayoffMonth),1,0)</f>
        <v/>
      </c>
      <c r="AB42" s="85">
        <f>IF(AND(24&gt;=ConStart,24&lt;=ConPayoffMonth),1,0)</f>
        <v/>
      </c>
      <c r="AC42" s="85">
        <f>IF(AND(25&gt;=ConStart,25&lt;=ConPayoffMonth),1,0)</f>
        <v/>
      </c>
      <c r="AD42" s="85">
        <f>IF(AND(26&gt;=ConStart,26&lt;=ConPayoffMonth),1,0)</f>
        <v/>
      </c>
      <c r="AE42" s="85">
        <f>IF(AND(27&gt;=ConStart,27&lt;=ConPayoffMonth),1,0)</f>
        <v/>
      </c>
      <c r="AF42" s="85">
        <f>IF(AND(28&gt;=ConStart,28&lt;=ConPayoffMonth),1,0)</f>
        <v/>
      </c>
      <c r="AG42" s="85">
        <f>IF(AND(29&gt;=ConStart,29&lt;=ConPayoffMonth),1,0)</f>
        <v/>
      </c>
      <c r="AH42" s="85">
        <f>IF(AND(30&gt;=ConStart,30&lt;=ConPayoffMonth),1,0)</f>
        <v/>
      </c>
      <c r="AI42" s="85">
        <f>IF(AND(31&gt;=ConStart,31&lt;=ConPayoffMonth),1,0)</f>
        <v/>
      </c>
      <c r="AJ42" s="85">
        <f>IF(AND(32&gt;=ConStart,32&lt;=ConPayoffMonth),1,0)</f>
        <v/>
      </c>
      <c r="AK42" s="85">
        <f>IF(AND(33&gt;=ConStart,33&lt;=ConPayoffMonth),1,0)</f>
        <v/>
      </c>
      <c r="AL42" s="85">
        <f>IF(AND(34&gt;=ConStart,34&lt;=ConPayoffMonth),1,0)</f>
        <v/>
      </c>
      <c r="AM42" s="85">
        <f>IF(AND(35&gt;=ConStart,35&lt;=ConPayoffMonth),1,0)</f>
        <v/>
      </c>
      <c r="AN42" s="85">
        <f>IF(AND(36&gt;=ConStart,36&lt;=ConPayoffMonth),1,0)</f>
        <v/>
      </c>
      <c r="AO42" s="85">
        <f>IF(AND(37&gt;=ConStart,37&lt;=ConPayoffMonth),1,0)</f>
        <v/>
      </c>
      <c r="AP42" s="85">
        <f>IF(AND(38&gt;=ConStart,38&lt;=ConPayoffMonth),1,0)</f>
        <v/>
      </c>
      <c r="AQ42" s="85">
        <f>IF(AND(39&gt;=ConStart,39&lt;=ConPayoffMonth),1,0)</f>
        <v/>
      </c>
      <c r="AR42" s="85">
        <f>IF(AND(40&gt;=ConStart,40&lt;=ConPayoffMonth),1,0)</f>
        <v/>
      </c>
      <c r="AS42" s="85">
        <f>IF(AND(41&gt;=ConStart,41&lt;=ConPayoffMonth),1,0)</f>
        <v/>
      </c>
      <c r="AT42" s="85">
        <f>IF(AND(42&gt;=ConStart,42&lt;=ConPayoffMonth),1,0)</f>
        <v/>
      </c>
      <c r="AU42" s="85">
        <f>IF(AND(43&gt;=ConStart,43&lt;=ConPayoffMonth),1,0)</f>
        <v/>
      </c>
      <c r="AV42" s="85">
        <f>IF(AND(44&gt;=ConStart,44&lt;=ConPayoffMonth),1,0)</f>
        <v/>
      </c>
      <c r="AW42" s="85">
        <f>IF(AND(45&gt;=ConStart,45&lt;=ConPayoffMonth),1,0)</f>
        <v/>
      </c>
      <c r="AX42" s="85">
        <f>IF(AND(46&gt;=ConStart,46&lt;=ConPayoffMonth),1,0)</f>
        <v/>
      </c>
      <c r="AY42" s="85">
        <f>IF(AND(47&gt;=ConStart,47&lt;=ConPayoffMonth),1,0)</f>
        <v/>
      </c>
      <c r="AZ42" s="85">
        <f>IF(AND(48&gt;=ConStart,48&lt;=ConPayoffMonth),1,0)</f>
        <v/>
      </c>
      <c r="BA42" s="85">
        <f>IF(AND(49&gt;=ConStart,49&lt;=ConPayoffMonth),1,0)</f>
        <v/>
      </c>
      <c r="BB42" s="85">
        <f>IF(AND(50&gt;=ConStart,50&lt;=ConPayoffMonth),1,0)</f>
        <v/>
      </c>
      <c r="BC42" s="85">
        <f>IF(AND(51&gt;=ConStart,51&lt;=ConPayoffMonth),1,0)</f>
        <v/>
      </c>
      <c r="BD42" s="85">
        <f>IF(AND(52&gt;=ConStart,52&lt;=ConPayoffMonth),1,0)</f>
        <v/>
      </c>
      <c r="BE42" s="85">
        <f>IF(AND(53&gt;=ConStart,53&lt;=ConPayoffMonth),1,0)</f>
        <v/>
      </c>
      <c r="BF42" s="85">
        <f>IF(AND(54&gt;=ConStart,54&lt;=ConPayoffMonth),1,0)</f>
        <v/>
      </c>
      <c r="BG42" s="85">
        <f>IF(AND(55&gt;=ConStart,55&lt;=ConPayoffMonth),1,0)</f>
        <v/>
      </c>
      <c r="BH42" s="85">
        <f>IF(AND(56&gt;=ConStart,56&lt;=ConPayoffMonth),1,0)</f>
        <v/>
      </c>
      <c r="BI42" s="85">
        <f>IF(AND(57&gt;=ConStart,57&lt;=ConPayoffMonth),1,0)</f>
        <v/>
      </c>
      <c r="BJ42" s="85">
        <f>IF(AND(58&gt;=ConStart,58&lt;=ConPayoffMonth),1,0)</f>
        <v/>
      </c>
      <c r="BK42" s="85">
        <f>IF(AND(59&gt;=ConStart,59&lt;=ConPayoffMonth),1,0)</f>
        <v/>
      </c>
      <c r="BL42" s="85">
        <f>IF(AND(60&gt;=ConStart,60&lt;=ConPayoffMonth),1,0)</f>
        <v/>
      </c>
      <c r="BM42" s="85">
        <f>IF(AND(61&gt;=ConStart,61&lt;=ConPayoffMonth),1,0)</f>
        <v/>
      </c>
      <c r="BN42" s="85">
        <f>IF(AND(62&gt;=ConStart,62&lt;=ConPayoffMonth),1,0)</f>
        <v/>
      </c>
      <c r="BO42" s="85">
        <f>IF(AND(63&gt;=ConStart,63&lt;=ConPayoffMonth),1,0)</f>
        <v/>
      </c>
      <c r="BP42" s="85">
        <f>IF(AND(64&gt;=ConStart,64&lt;=ConPayoffMonth),1,0)</f>
        <v/>
      </c>
      <c r="BQ42" s="85">
        <f>IF(AND(65&gt;=ConStart,65&lt;=ConPayoffMonth),1,0)</f>
        <v/>
      </c>
      <c r="BR42" s="85">
        <f>IF(AND(66&gt;=ConStart,66&lt;=ConPayoffMonth),1,0)</f>
        <v/>
      </c>
      <c r="BS42" s="85">
        <f>IF(AND(67&gt;=ConStart,67&lt;=ConPayoffMonth),1,0)</f>
        <v/>
      </c>
      <c r="BT42" s="85">
        <f>IF(AND(68&gt;=ConStart,68&lt;=ConPayoffMonth),1,0)</f>
        <v/>
      </c>
      <c r="BU42" s="85">
        <f>IF(AND(69&gt;=ConStart,69&lt;=ConPayoffMonth),1,0)</f>
        <v/>
      </c>
      <c r="BV42" s="85">
        <f>IF(AND(70&gt;=ConStart,70&lt;=ConPayoffMonth),1,0)</f>
        <v/>
      </c>
      <c r="BW42" s="85">
        <f>IF(AND(71&gt;=ConStart,71&lt;=ConPayoffMonth),1,0)</f>
        <v/>
      </c>
      <c r="BX42" s="85">
        <f>IF(AND(72&gt;=ConStart,72&lt;=ConPayoffMonth),1,0)</f>
        <v/>
      </c>
      <c r="BY42" s="85">
        <f>IF(AND(73&gt;=ConStart,73&lt;=ConPayoffMonth),1,0)</f>
        <v/>
      </c>
      <c r="BZ42" s="85">
        <f>IF(AND(74&gt;=ConStart,74&lt;=ConPayoffMonth),1,0)</f>
        <v/>
      </c>
      <c r="CA42" s="85">
        <f>IF(AND(75&gt;=ConStart,75&lt;=ConPayoffMonth),1,0)</f>
        <v/>
      </c>
      <c r="CB42" s="85">
        <f>IF(AND(76&gt;=ConStart,76&lt;=ConPayoffMonth),1,0)</f>
        <v/>
      </c>
      <c r="CC42" s="85">
        <f>IF(AND(77&gt;=ConStart,77&lt;=ConPayoffMonth),1,0)</f>
        <v/>
      </c>
      <c r="CD42" s="85">
        <f>IF(AND(78&gt;=ConStart,78&lt;=ConPayoffMonth),1,0)</f>
        <v/>
      </c>
      <c r="CE42" s="85">
        <f>IF(AND(79&gt;=ConStart,79&lt;=ConPayoffMonth),1,0)</f>
        <v/>
      </c>
      <c r="CF42" s="85">
        <f>IF(AND(80&gt;=ConStart,80&lt;=ConPayoffMonth),1,0)</f>
        <v/>
      </c>
      <c r="CG42" s="85">
        <f>IF(AND(81&gt;=ConStart,81&lt;=ConPayoffMonth),1,0)</f>
        <v/>
      </c>
      <c r="CH42" s="85">
        <f>IF(AND(82&gt;=ConStart,82&lt;=ConPayoffMonth),1,0)</f>
        <v/>
      </c>
      <c r="CI42" s="85">
        <f>IF(AND(83&gt;=ConStart,83&lt;=ConPayoffMonth),1,0)</f>
        <v/>
      </c>
      <c r="CJ42" s="85">
        <f>IF(AND(84&gt;=ConStart,84&lt;=ConPayoffMonth),1,0)</f>
        <v/>
      </c>
      <c r="CK42" s="85">
        <f>IF(AND(85&gt;=ConStart,85&lt;=ConPayoffMonth),1,0)</f>
        <v/>
      </c>
      <c r="CL42" s="85">
        <f>IF(AND(86&gt;=ConStart,86&lt;=ConPayoffMonth),1,0)</f>
        <v/>
      </c>
      <c r="CM42" s="85">
        <f>IF(AND(87&gt;=ConStart,87&lt;=ConPayoffMonth),1,0)</f>
        <v/>
      </c>
      <c r="CN42" s="85">
        <f>IF(AND(88&gt;=ConStart,88&lt;=ConPayoffMonth),1,0)</f>
        <v/>
      </c>
      <c r="CO42" s="85">
        <f>IF(AND(89&gt;=ConStart,89&lt;=ConPayoffMonth),1,0)</f>
        <v/>
      </c>
      <c r="CP42" s="85">
        <f>IF(AND(90&gt;=ConStart,90&lt;=ConPayoffMonth),1,0)</f>
        <v/>
      </c>
      <c r="CQ42" s="85">
        <f>IF(AND(91&gt;=ConStart,91&lt;=ConPayoffMonth),1,0)</f>
        <v/>
      </c>
      <c r="CR42" s="85">
        <f>IF(AND(92&gt;=ConStart,92&lt;=ConPayoffMonth),1,0)</f>
        <v/>
      </c>
      <c r="CS42" s="85">
        <f>IF(AND(93&gt;=ConStart,93&lt;=ConPayoffMonth),1,0)</f>
        <v/>
      </c>
      <c r="CT42" s="85">
        <f>IF(AND(94&gt;=ConStart,94&lt;=ConPayoffMonth),1,0)</f>
        <v/>
      </c>
      <c r="CU42" s="85">
        <f>IF(AND(95&gt;=ConStart,95&lt;=ConPayoffMonth),1,0)</f>
        <v/>
      </c>
      <c r="CV42" s="85">
        <f>IF(AND(96&gt;=ConStart,96&lt;=ConPayoffMonth),1,0)</f>
        <v/>
      </c>
      <c r="CW42" s="85">
        <f>IF(AND(97&gt;=ConStart,97&lt;=ConPayoffMonth),1,0)</f>
        <v/>
      </c>
      <c r="CX42" s="85">
        <f>IF(AND(98&gt;=ConStart,98&lt;=ConPayoffMonth),1,0)</f>
        <v/>
      </c>
      <c r="CY42" s="85">
        <f>IF(AND(99&gt;=ConStart,99&lt;=ConPayoffMonth),1,0)</f>
        <v/>
      </c>
      <c r="CZ42" s="85">
        <f>IF(AND(100&gt;=ConStart,100&lt;=ConPayoffMonth),1,0)</f>
        <v/>
      </c>
      <c r="DA42" s="85">
        <f>IF(AND(101&gt;=ConStart,101&lt;=ConPayoffMonth),1,0)</f>
        <v/>
      </c>
      <c r="DB42" s="85">
        <f>IF(AND(102&gt;=ConStart,102&lt;=ConPayoffMonth),1,0)</f>
        <v/>
      </c>
      <c r="DC42" s="85">
        <f>IF(AND(103&gt;=ConStart,103&lt;=ConPayoffMonth),1,0)</f>
        <v/>
      </c>
      <c r="DD42" s="85">
        <f>IF(AND(104&gt;=ConStart,104&lt;=ConPayoffMonth),1,0)</f>
        <v/>
      </c>
      <c r="DE42" s="85">
        <f>IF(AND(105&gt;=ConStart,105&lt;=ConPayoffMonth),1,0)</f>
        <v/>
      </c>
      <c r="DF42" s="85">
        <f>IF(AND(106&gt;=ConStart,106&lt;=ConPayoffMonth),1,0)</f>
        <v/>
      </c>
      <c r="DG42" s="85">
        <f>IF(AND(107&gt;=ConStart,107&lt;=ConPayoffMonth),1,0)</f>
        <v/>
      </c>
      <c r="DH42" s="85">
        <f>IF(AND(108&gt;=ConStart,108&lt;=ConPayoffMonth),1,0)</f>
        <v/>
      </c>
      <c r="DI42" s="85">
        <f>IF(AND(109&gt;=ConStart,109&lt;=ConPayoffMonth),1,0)</f>
        <v/>
      </c>
      <c r="DJ42" s="85">
        <f>IF(AND(110&gt;=ConStart,110&lt;=ConPayoffMonth),1,0)</f>
        <v/>
      </c>
      <c r="DK42" s="85">
        <f>IF(AND(111&gt;=ConStart,111&lt;=ConPayoffMonth),1,0)</f>
        <v/>
      </c>
      <c r="DL42" s="85">
        <f>IF(AND(112&gt;=ConStart,112&lt;=ConPayoffMonth),1,0)</f>
        <v/>
      </c>
      <c r="DM42" s="85">
        <f>IF(AND(113&gt;=ConStart,113&lt;=ConPayoffMonth),1,0)</f>
        <v/>
      </c>
      <c r="DN42" s="85">
        <f>IF(AND(114&gt;=ConStart,114&lt;=ConPayoffMonth),1,0)</f>
        <v/>
      </c>
      <c r="DO42" s="85">
        <f>IF(AND(115&gt;=ConStart,115&lt;=ConPayoffMonth),1,0)</f>
        <v/>
      </c>
      <c r="DP42" s="85">
        <f>IF(AND(116&gt;=ConStart,116&lt;=ConPayoffMonth),1,0)</f>
        <v/>
      </c>
      <c r="DQ42" s="85">
        <f>IF(AND(117&gt;=ConStart,117&lt;=ConPayoffMonth),1,0)</f>
        <v/>
      </c>
      <c r="DR42" s="85">
        <f>IF(AND(118&gt;=ConStart,118&lt;=ConPayoffMonth),1,0)</f>
        <v/>
      </c>
      <c r="DS42" s="85">
        <f>IF(AND(119&gt;=ConStart,119&lt;=ConPayoffMonth),1,0)</f>
        <v/>
      </c>
      <c r="DT42" s="85">
        <f>IF(AND(120&gt;=ConStart,120&lt;=ConPayoffMonth),1,0)</f>
        <v/>
      </c>
      <c r="DU42" s="85">
        <f>IF(AND(121&gt;=ConStart,121&lt;=ConPayoffMonth),1,0)</f>
        <v/>
      </c>
      <c r="DV42" s="85">
        <f>IF(AND(122&gt;=ConStart,122&lt;=ConPayoffMonth),1,0)</f>
        <v/>
      </c>
      <c r="DW42" s="85">
        <f>IF(AND(123&gt;=ConStart,123&lt;=ConPayoffMonth),1,0)</f>
        <v/>
      </c>
      <c r="DX42" s="85">
        <f>IF(AND(124&gt;=ConStart,124&lt;=ConPayoffMonth),1,0)</f>
        <v/>
      </c>
      <c r="DY42" s="85">
        <f>IF(AND(125&gt;=ConStart,125&lt;=ConPayoffMonth),1,0)</f>
        <v/>
      </c>
      <c r="DZ42" s="85">
        <f>IF(AND(126&gt;=ConStart,126&lt;=ConPayoffMonth),1,0)</f>
        <v/>
      </c>
      <c r="EA42" s="85">
        <f>IF(AND(127&gt;=ConStart,127&lt;=ConPayoffMonth),1,0)</f>
        <v/>
      </c>
      <c r="EB42" s="85">
        <f>IF(AND(128&gt;=ConStart,128&lt;=ConPayoffMonth),1,0)</f>
        <v/>
      </c>
      <c r="EC42" s="85">
        <f>IF(AND(129&gt;=ConStart,129&lt;=ConPayoffMonth),1,0)</f>
        <v/>
      </c>
      <c r="ED42" s="85">
        <f>IF(AND(130&gt;=ConStart,130&lt;=ConPayoffMonth),1,0)</f>
        <v/>
      </c>
      <c r="EE42" s="85">
        <f>IF(AND(131&gt;=ConStart,131&lt;=ConPayoffMonth),1,0)</f>
        <v/>
      </c>
      <c r="EF42" s="85">
        <f>IF(AND(132&gt;=ConStart,132&lt;=ConPayoffMonth),1,0)</f>
        <v/>
      </c>
      <c r="EG42" s="85">
        <f>IF(AND(133&gt;=ConStart,133&lt;=ConPayoffMonth),1,0)</f>
        <v/>
      </c>
      <c r="EH42" s="85">
        <f>IF(AND(134&gt;=ConStart,134&lt;=ConPayoffMonth),1,0)</f>
        <v/>
      </c>
      <c r="EI42" s="85">
        <f>IF(AND(135&gt;=ConStart,135&lt;=ConPayoffMonth),1,0)</f>
        <v/>
      </c>
      <c r="EJ42" s="85">
        <f>IF(AND(136&gt;=ConStart,136&lt;=ConPayoffMonth),1,0)</f>
        <v/>
      </c>
      <c r="EK42" s="85">
        <f>IF(AND(137&gt;=ConStart,137&lt;=ConPayoffMonth),1,0)</f>
        <v/>
      </c>
      <c r="EL42" s="85">
        <f>IF(AND(138&gt;=ConStart,138&lt;=ConPayoffMonth),1,0)</f>
        <v/>
      </c>
      <c r="EM42" s="85">
        <f>IF(AND(139&gt;=ConStart,139&lt;=ConPayoffMonth),1,0)</f>
        <v/>
      </c>
      <c r="EN42" s="85">
        <f>IF(AND(140&gt;=ConStart,140&lt;=ConPayoffMonth),1,0)</f>
        <v/>
      </c>
      <c r="EO42" s="85">
        <f>IF(AND(141&gt;=ConStart,141&lt;=ConPayoffMonth),1,0)</f>
        <v/>
      </c>
      <c r="EP42" s="85">
        <f>IF(AND(142&gt;=ConStart,142&lt;=ConPayoffMonth),1,0)</f>
        <v/>
      </c>
      <c r="EQ42" s="85">
        <f>IF(AND(143&gt;=ConStart,143&lt;=ConPayoffMonth),1,0)</f>
        <v/>
      </c>
      <c r="ER42" s="85">
        <f>IF(AND(144&gt;=ConStart,144&lt;=ConPayoffMonth),1,0)</f>
        <v/>
      </c>
      <c r="ES42" s="85">
        <f>IF(AND(145&gt;=ConStart,145&lt;=ConPayoffMonth),1,0)</f>
        <v/>
      </c>
      <c r="ET42" s="85">
        <f>IF(AND(146&gt;=ConStart,146&lt;=ConPayoffMonth),1,0)</f>
        <v/>
      </c>
      <c r="EU42" s="85">
        <f>IF(AND(147&gt;=ConStart,147&lt;=ConPayoffMonth),1,0)</f>
        <v/>
      </c>
      <c r="EV42" s="85">
        <f>IF(AND(148&gt;=ConStart,148&lt;=ConPayoffMonth),1,0)</f>
        <v/>
      </c>
      <c r="EW42" s="85">
        <f>IF(AND(149&gt;=ConStart,149&lt;=ConPayoffMonth),1,0)</f>
        <v/>
      </c>
      <c r="EX42" s="85">
        <f>IF(AND(150&gt;=ConStart,150&lt;=ConPayoffMonth),1,0)</f>
        <v/>
      </c>
      <c r="EY42" s="85">
        <f>IF(AND(151&gt;=ConStart,151&lt;=ConPayoffMonth),1,0)</f>
        <v/>
      </c>
      <c r="EZ42" s="85">
        <f>IF(AND(152&gt;=ConStart,152&lt;=ConPayoffMonth),1,0)</f>
        <v/>
      </c>
      <c r="FA42" s="85">
        <f>IF(AND(153&gt;=ConStart,153&lt;=ConPayoffMonth),1,0)</f>
        <v/>
      </c>
      <c r="FB42" s="85">
        <f>IF(AND(154&gt;=ConStart,154&lt;=ConPayoffMonth),1,0)</f>
        <v/>
      </c>
      <c r="FC42" s="85">
        <f>IF(AND(155&gt;=ConStart,155&lt;=ConPayoffMonth),1,0)</f>
        <v/>
      </c>
      <c r="FD42" s="85">
        <f>IF(AND(156&gt;=ConStart,156&lt;=ConPayoffMonth),1,0)</f>
        <v/>
      </c>
      <c r="FE42" s="85">
        <f>IF(AND(157&gt;=ConStart,157&lt;=ConPayoffMonth),1,0)</f>
        <v/>
      </c>
      <c r="FF42" s="85">
        <f>IF(AND(158&gt;=ConStart,158&lt;=ConPayoffMonth),1,0)</f>
        <v/>
      </c>
      <c r="FG42" s="85">
        <f>IF(AND(159&gt;=ConStart,159&lt;=ConPayoffMonth),1,0)</f>
        <v/>
      </c>
      <c r="FH42" s="85">
        <f>IF(AND(160&gt;=ConStart,160&lt;=ConPayoffMonth),1,0)</f>
        <v/>
      </c>
      <c r="FI42" s="85">
        <f>IF(AND(161&gt;=ConStart,161&lt;=ConPayoffMonth),1,0)</f>
        <v/>
      </c>
      <c r="FJ42" s="85">
        <f>IF(AND(162&gt;=ConStart,162&lt;=ConPayoffMonth),1,0)</f>
        <v/>
      </c>
      <c r="FK42" s="85">
        <f>IF(AND(163&gt;=ConStart,163&lt;=ConPayoffMonth),1,0)</f>
        <v/>
      </c>
      <c r="FL42" s="85">
        <f>IF(AND(164&gt;=ConStart,164&lt;=ConPayoffMonth),1,0)</f>
        <v/>
      </c>
      <c r="FM42" s="85">
        <f>IF(AND(165&gt;=ConStart,165&lt;=ConPayoffMonth),1,0)</f>
        <v/>
      </c>
      <c r="FN42" s="85">
        <f>IF(AND(166&gt;=ConStart,166&lt;=ConPayoffMonth),1,0)</f>
        <v/>
      </c>
      <c r="FO42" s="85">
        <f>IF(AND(167&gt;=ConStart,167&lt;=ConPayoffMonth),1,0)</f>
        <v/>
      </c>
      <c r="FP42" s="85">
        <f>IF(AND(168&gt;=ConStart,168&lt;=ConPayoffMonth),1,0)</f>
        <v/>
      </c>
      <c r="FQ42" s="85">
        <f>IF(AND(169&gt;=ConStart,169&lt;=ConPayoffMonth),1,0)</f>
        <v/>
      </c>
      <c r="FR42" s="85">
        <f>IF(AND(170&gt;=ConStart,170&lt;=ConPayoffMonth),1,0)</f>
        <v/>
      </c>
      <c r="FS42" s="85">
        <f>IF(AND(171&gt;=ConStart,171&lt;=ConPayoffMonth),1,0)</f>
        <v/>
      </c>
      <c r="FT42" s="85">
        <f>IF(AND(172&gt;=ConStart,172&lt;=ConPayoffMonth),1,0)</f>
        <v/>
      </c>
      <c r="FU42" s="85">
        <f>IF(AND(173&gt;=ConStart,173&lt;=ConPayoffMonth),1,0)</f>
        <v/>
      </c>
      <c r="FV42" s="85">
        <f>IF(AND(174&gt;=ConStart,174&lt;=ConPayoffMonth),1,0)</f>
        <v/>
      </c>
      <c r="FW42" s="85">
        <f>IF(AND(175&gt;=ConStart,175&lt;=ConPayoffMonth),1,0)</f>
        <v/>
      </c>
      <c r="FX42" s="85">
        <f>IF(AND(176&gt;=ConStart,176&lt;=ConPayoffMonth),1,0)</f>
        <v/>
      </c>
      <c r="FY42" s="85">
        <f>IF(AND(177&gt;=ConStart,177&lt;=ConPayoffMonth),1,0)</f>
        <v/>
      </c>
      <c r="FZ42" s="85">
        <f>IF(AND(178&gt;=ConStart,178&lt;=ConPayoffMonth),1,0)</f>
        <v/>
      </c>
      <c r="GA42" s="85">
        <f>IF(AND(179&gt;=ConStart,179&lt;=ConPayoffMonth),1,0)</f>
        <v/>
      </c>
      <c r="GB42" s="85">
        <f>IF(AND(180&gt;=ConStart,180&lt;=ConPayoffMonth),1,0)</f>
        <v/>
      </c>
      <c r="GC42" s="85">
        <f>IF(AND(181&gt;=ConStart,181&lt;=ConPayoffMonth),1,0)</f>
        <v/>
      </c>
      <c r="GD42" s="85">
        <f>IF(AND(182&gt;=ConStart,182&lt;=ConPayoffMonth),1,0)</f>
        <v/>
      </c>
      <c r="GE42" s="85">
        <f>IF(AND(183&gt;=ConStart,183&lt;=ConPayoffMonth),1,0)</f>
        <v/>
      </c>
      <c r="GF42" s="85">
        <f>IF(AND(184&gt;=ConStart,184&lt;=ConPayoffMonth),1,0)</f>
        <v/>
      </c>
      <c r="GG42" s="85">
        <f>IF(AND(185&gt;=ConStart,185&lt;=ConPayoffMonth),1,0)</f>
        <v/>
      </c>
      <c r="GH42" s="85">
        <f>IF(AND(186&gt;=ConStart,186&lt;=ConPayoffMonth),1,0)</f>
        <v/>
      </c>
      <c r="GI42" s="85">
        <f>IF(AND(187&gt;=ConStart,187&lt;=ConPayoffMonth),1,0)</f>
        <v/>
      </c>
      <c r="GJ42" s="85">
        <f>IF(AND(188&gt;=ConStart,188&lt;=ConPayoffMonth),1,0)</f>
        <v/>
      </c>
      <c r="GK42" s="85">
        <f>IF(AND(189&gt;=ConStart,189&lt;=ConPayoffMonth),1,0)</f>
        <v/>
      </c>
      <c r="GL42" s="85">
        <f>IF(AND(190&gt;=ConStart,190&lt;=ConPayoffMonth),1,0)</f>
        <v/>
      </c>
      <c r="GM42" s="85">
        <f>IF(AND(191&gt;=ConStart,191&lt;=ConPayoffMonth),1,0)</f>
        <v/>
      </c>
      <c r="GN42" s="85">
        <f>IF(AND(192&gt;=ConStart,192&lt;=ConPayoffMonth),1,0)</f>
        <v/>
      </c>
      <c r="GO42" s="85">
        <f>IF(AND(193&gt;=ConStart,193&lt;=ConPayoffMonth),1,0)</f>
        <v/>
      </c>
      <c r="GP42" s="85">
        <f>IF(AND(194&gt;=ConStart,194&lt;=ConPayoffMonth),1,0)</f>
        <v/>
      </c>
      <c r="GQ42" s="85">
        <f>IF(AND(195&gt;=ConStart,195&lt;=ConPayoffMonth),1,0)</f>
        <v/>
      </c>
      <c r="GR42" s="85">
        <f>IF(AND(196&gt;=ConStart,196&lt;=ConPayoffMonth),1,0)</f>
        <v/>
      </c>
      <c r="GS42" s="85">
        <f>IF(AND(197&gt;=ConStart,197&lt;=ConPayoffMonth),1,0)</f>
        <v/>
      </c>
      <c r="GT42" s="85">
        <f>IF(AND(198&gt;=ConStart,198&lt;=ConPayoffMonth),1,0)</f>
        <v/>
      </c>
      <c r="GU42" s="85">
        <f>IF(AND(199&gt;=ConStart,199&lt;=ConPayoffMonth),1,0)</f>
        <v/>
      </c>
      <c r="GV42" s="85">
        <f>IF(AND(200&gt;=ConStart,200&lt;=ConPayoffMonth),1,0)</f>
        <v/>
      </c>
      <c r="GW42" s="85">
        <f>IF(AND(201&gt;=ConStart,201&lt;=ConPayoffMonth),1,0)</f>
        <v/>
      </c>
      <c r="GX42" s="85">
        <f>IF(AND(202&gt;=ConStart,202&lt;=ConPayoffMonth),1,0)</f>
        <v/>
      </c>
      <c r="GY42" s="85">
        <f>IF(AND(203&gt;=ConStart,203&lt;=ConPayoffMonth),1,0)</f>
        <v/>
      </c>
      <c r="GZ42" s="85">
        <f>IF(AND(204&gt;=ConStart,204&lt;=ConPayoffMonth),1,0)</f>
        <v/>
      </c>
      <c r="HA42" s="85">
        <f>IF(AND(205&gt;=ConStart,205&lt;=ConPayoffMonth),1,0)</f>
        <v/>
      </c>
      <c r="HB42" s="85">
        <f>IF(AND(206&gt;=ConStart,206&lt;=ConPayoffMonth),1,0)</f>
        <v/>
      </c>
      <c r="HC42" s="85">
        <f>IF(AND(207&gt;=ConStart,207&lt;=ConPayoffMonth),1,0)</f>
        <v/>
      </c>
      <c r="HD42" s="85">
        <f>IF(AND(208&gt;=ConStart,208&lt;=ConPayoffMonth),1,0)</f>
        <v/>
      </c>
      <c r="HE42" s="85">
        <f>IF(AND(209&gt;=ConStart,209&lt;=ConPayoffMonth),1,0)</f>
        <v/>
      </c>
      <c r="HF42" s="85">
        <f>IF(AND(210&gt;=ConStart,210&lt;=ConPayoffMonth),1,0)</f>
        <v/>
      </c>
      <c r="HG42" s="85">
        <f>IF(AND(211&gt;=ConStart,211&lt;=ConPayoffMonth),1,0)</f>
        <v/>
      </c>
      <c r="HH42" s="85">
        <f>IF(AND(212&gt;=ConStart,212&lt;=ConPayoffMonth),1,0)</f>
        <v/>
      </c>
      <c r="HI42" s="85">
        <f>IF(AND(213&gt;=ConStart,213&lt;=ConPayoffMonth),1,0)</f>
        <v/>
      </c>
      <c r="HJ42" s="85">
        <f>IF(AND(214&gt;=ConStart,214&lt;=ConPayoffMonth),1,0)</f>
        <v/>
      </c>
      <c r="HK42" s="85">
        <f>IF(AND(215&gt;=ConStart,215&lt;=ConPayoffMonth),1,0)</f>
        <v/>
      </c>
      <c r="HL42" s="85">
        <f>IF(AND(216&gt;=ConStart,216&lt;=ConPayoffMonth),1,0)</f>
        <v/>
      </c>
      <c r="HM42" s="85">
        <f>IF(AND(217&gt;=ConStart,217&lt;=ConPayoffMonth),1,0)</f>
        <v/>
      </c>
      <c r="HN42" s="85">
        <f>IF(AND(218&gt;=ConStart,218&lt;=ConPayoffMonth),1,0)</f>
        <v/>
      </c>
      <c r="HO42" s="85">
        <f>IF(AND(219&gt;=ConStart,219&lt;=ConPayoffMonth),1,0)</f>
        <v/>
      </c>
      <c r="HP42" s="85">
        <f>IF(AND(220&gt;=ConStart,220&lt;=ConPayoffMonth),1,0)</f>
        <v/>
      </c>
      <c r="HQ42" s="85">
        <f>IF(AND(221&gt;=ConStart,221&lt;=ConPayoffMonth),1,0)</f>
        <v/>
      </c>
      <c r="HR42" s="85">
        <f>IF(AND(222&gt;=ConStart,222&lt;=ConPayoffMonth),1,0)</f>
        <v/>
      </c>
      <c r="HS42" s="85">
        <f>IF(AND(223&gt;=ConStart,223&lt;=ConPayoffMonth),1,0)</f>
        <v/>
      </c>
      <c r="HT42" s="85">
        <f>IF(AND(224&gt;=ConStart,224&lt;=ConPayoffMonth),1,0)</f>
        <v/>
      </c>
      <c r="HU42" s="85">
        <f>IF(AND(225&gt;=ConStart,225&lt;=ConPayoffMonth),1,0)</f>
        <v/>
      </c>
      <c r="HV42" s="85">
        <f>IF(AND(226&gt;=ConStart,226&lt;=ConPayoffMonth),1,0)</f>
        <v/>
      </c>
      <c r="HW42" s="85">
        <f>IF(AND(227&gt;=ConStart,227&lt;=ConPayoffMonth),1,0)</f>
        <v/>
      </c>
      <c r="HX42" s="85">
        <f>IF(AND(228&gt;=ConStart,228&lt;=ConPayoffMonth),1,0)</f>
        <v/>
      </c>
      <c r="HY42" s="85">
        <f>IF(AND(229&gt;=ConStart,229&lt;=ConPayoffMonth),1,0)</f>
        <v/>
      </c>
      <c r="HZ42" s="85">
        <f>IF(AND(230&gt;=ConStart,230&lt;=ConPayoffMonth),1,0)</f>
        <v/>
      </c>
      <c r="IA42" s="85">
        <f>IF(AND(231&gt;=ConStart,231&lt;=ConPayoffMonth),1,0)</f>
        <v/>
      </c>
      <c r="IB42" s="85">
        <f>IF(AND(232&gt;=ConStart,232&lt;=ConPayoffMonth),1,0)</f>
        <v/>
      </c>
      <c r="IC42" s="85">
        <f>IF(AND(233&gt;=ConStart,233&lt;=ConPayoffMonth),1,0)</f>
        <v/>
      </c>
      <c r="ID42" s="85">
        <f>IF(AND(234&gt;=ConStart,234&lt;=ConPayoffMonth),1,0)</f>
        <v/>
      </c>
      <c r="IE42" s="85">
        <f>IF(AND(235&gt;=ConStart,235&lt;=ConPayoffMonth),1,0)</f>
        <v/>
      </c>
      <c r="IF42" s="85">
        <f>IF(AND(236&gt;=ConStart,236&lt;=ConPayoffMonth),1,0)</f>
        <v/>
      </c>
      <c r="IG42" s="85">
        <f>IF(AND(237&gt;=ConStart,237&lt;=ConPayoffMonth),1,0)</f>
        <v/>
      </c>
      <c r="IH42" s="85">
        <f>IF(AND(238&gt;=ConStart,238&lt;=ConPayoffMonth),1,0)</f>
        <v/>
      </c>
      <c r="II42" s="85">
        <f>IF(AND(239&gt;=ConStart,239&lt;=ConPayoffMonth),1,0)</f>
        <v/>
      </c>
      <c r="IJ42" s="85">
        <f>IF(AND(240&gt;=ConStart,240&lt;=ConPayoffMonth),1,0)</f>
        <v/>
      </c>
      <c r="IK42" s="85">
        <f>IF(AND(241&gt;=ConStart,241&lt;=ConPayoffMonth),1,0)</f>
        <v/>
      </c>
      <c r="IL42" s="85">
        <f>IF(AND(242&gt;=ConStart,242&lt;=ConPayoffMonth),1,0)</f>
        <v/>
      </c>
      <c r="IM42" s="85">
        <f>IF(AND(243&gt;=ConStart,243&lt;=ConPayoffMonth),1,0)</f>
        <v/>
      </c>
      <c r="IN42" s="85">
        <f>IF(AND(244&gt;=ConStart,244&lt;=ConPayoffMonth),1,0)</f>
        <v/>
      </c>
      <c r="IO42" s="85">
        <f>IF(AND(245&gt;=ConStart,245&lt;=ConPayoffMonth),1,0)</f>
        <v/>
      </c>
      <c r="IP42" s="85">
        <f>IF(AND(246&gt;=ConStart,246&lt;=ConPayoffMonth),1,0)</f>
        <v/>
      </c>
      <c r="IQ42" s="85">
        <f>IF(AND(247&gt;=ConStart,247&lt;=ConPayoffMonth),1,0)</f>
        <v/>
      </c>
      <c r="IR42" s="85">
        <f>IF(AND(248&gt;=ConStart,248&lt;=ConPayoffMonth),1,0)</f>
        <v/>
      </c>
      <c r="IS42" s="85">
        <f>IF(AND(249&gt;=ConStart,249&lt;=ConPayoffMonth),1,0)</f>
        <v/>
      </c>
      <c r="IT42" s="85">
        <f>IF(AND(250&gt;=ConStart,250&lt;=ConPayoffMonth),1,0)</f>
        <v/>
      </c>
      <c r="IU42" s="85">
        <f>IF(AND(251&gt;=ConStart,251&lt;=ConPayoffMonth),1,0)</f>
        <v/>
      </c>
      <c r="IV42" s="85">
        <f>IF(AND(252&gt;=ConStart,252&lt;=ConPayoffMonth),1,0)</f>
        <v/>
      </c>
      <c r="IW42" s="85">
        <f>IF(AND(253&gt;=ConStart,253&lt;=ConPayoffMonth),1,0)</f>
        <v/>
      </c>
      <c r="IX42" s="85">
        <f>IF(AND(254&gt;=ConStart,254&lt;=ConPayoffMonth),1,0)</f>
        <v/>
      </c>
      <c r="IY42" s="85">
        <f>IF(AND(255&gt;=ConStart,255&lt;=ConPayoffMonth),1,0)</f>
        <v/>
      </c>
      <c r="IZ42" s="85">
        <f>IF(AND(256&gt;=ConStart,256&lt;=ConPayoffMonth),1,0)</f>
        <v/>
      </c>
      <c r="JA42" s="85">
        <f>IF(AND(257&gt;=ConStart,257&lt;=ConPayoffMonth),1,0)</f>
        <v/>
      </c>
      <c r="JB42" s="85">
        <f>IF(AND(258&gt;=ConStart,258&lt;=ConPayoffMonth),1,0)</f>
        <v/>
      </c>
      <c r="JC42" s="85">
        <f>IF(AND(259&gt;=ConStart,259&lt;=ConPayoffMonth),1,0)</f>
        <v/>
      </c>
      <c r="JD42" s="85">
        <f>IF(AND(260&gt;=ConStart,260&lt;=ConPayoffMonth),1,0)</f>
        <v/>
      </c>
      <c r="JE42" s="85">
        <f>IF(AND(261&gt;=ConStart,261&lt;=ConPayoffMonth),1,0)</f>
        <v/>
      </c>
      <c r="JF42" s="85">
        <f>IF(AND(262&gt;=ConStart,262&lt;=ConPayoffMonth),1,0)</f>
        <v/>
      </c>
      <c r="JG42" s="85">
        <f>IF(AND(263&gt;=ConStart,263&lt;=ConPayoffMonth),1,0)</f>
        <v/>
      </c>
      <c r="JH42" s="85">
        <f>IF(AND(264&gt;=ConStart,264&lt;=ConPayoffMonth),1,0)</f>
        <v/>
      </c>
      <c r="JI42" s="85">
        <f>IF(AND(265&gt;=ConStart,265&lt;=ConPayoffMonth),1,0)</f>
        <v/>
      </c>
      <c r="JJ42" s="85">
        <f>IF(AND(266&gt;=ConStart,266&lt;=ConPayoffMonth),1,0)</f>
        <v/>
      </c>
      <c r="JK42" s="85">
        <f>IF(AND(267&gt;=ConStart,267&lt;=ConPayoffMonth),1,0)</f>
        <v/>
      </c>
      <c r="JL42" s="85">
        <f>IF(AND(268&gt;=ConStart,268&lt;=ConPayoffMonth),1,0)</f>
        <v/>
      </c>
      <c r="JM42" s="85">
        <f>IF(AND(269&gt;=ConStart,269&lt;=ConPayoffMonth),1,0)</f>
        <v/>
      </c>
      <c r="JN42" s="85">
        <f>IF(AND(270&gt;=ConStart,270&lt;=ConPayoffMonth),1,0)</f>
        <v/>
      </c>
      <c r="JO42" s="85">
        <f>IF(AND(271&gt;=ConStart,271&lt;=ConPayoffMonth),1,0)</f>
        <v/>
      </c>
      <c r="JP42" s="85">
        <f>IF(AND(272&gt;=ConStart,272&lt;=ConPayoffMonth),1,0)</f>
        <v/>
      </c>
      <c r="JQ42" s="85">
        <f>IF(AND(273&gt;=ConStart,273&lt;=ConPayoffMonth),1,0)</f>
        <v/>
      </c>
      <c r="JR42" s="85">
        <f>IF(AND(274&gt;=ConStart,274&lt;=ConPayoffMonth),1,0)</f>
        <v/>
      </c>
      <c r="JS42" s="85">
        <f>IF(AND(275&gt;=ConStart,275&lt;=ConPayoffMonth),1,0)</f>
        <v/>
      </c>
      <c r="JT42" s="85">
        <f>IF(AND(276&gt;=ConStart,276&lt;=ConPayoffMonth),1,0)</f>
        <v/>
      </c>
      <c r="JU42" s="85">
        <f>IF(AND(277&gt;=ConStart,277&lt;=ConPayoffMonth),1,0)</f>
        <v/>
      </c>
      <c r="JV42" s="85">
        <f>IF(AND(278&gt;=ConStart,278&lt;=ConPayoffMonth),1,0)</f>
        <v/>
      </c>
      <c r="JW42" s="85">
        <f>IF(AND(279&gt;=ConStart,279&lt;=ConPayoffMonth),1,0)</f>
        <v/>
      </c>
      <c r="JX42" s="85">
        <f>IF(AND(280&gt;=ConStart,280&lt;=ConPayoffMonth),1,0)</f>
        <v/>
      </c>
      <c r="JY42" s="85">
        <f>IF(AND(281&gt;=ConStart,281&lt;=ConPayoffMonth),1,0)</f>
        <v/>
      </c>
      <c r="JZ42" s="85">
        <f>IF(AND(282&gt;=ConStart,282&lt;=ConPayoffMonth),1,0)</f>
        <v/>
      </c>
      <c r="KA42" s="85">
        <f>IF(AND(283&gt;=ConStart,283&lt;=ConPayoffMonth),1,0)</f>
        <v/>
      </c>
      <c r="KB42" s="85">
        <f>IF(AND(284&gt;=ConStart,284&lt;=ConPayoffMonth),1,0)</f>
        <v/>
      </c>
      <c r="KC42" s="85">
        <f>IF(AND(285&gt;=ConStart,285&lt;=ConPayoffMonth),1,0)</f>
        <v/>
      </c>
      <c r="KD42" s="85">
        <f>IF(AND(286&gt;=ConStart,286&lt;=ConPayoffMonth),1,0)</f>
        <v/>
      </c>
      <c r="KE42" s="85">
        <f>IF(AND(287&gt;=ConStart,287&lt;=ConPayoffMonth),1,0)</f>
        <v/>
      </c>
      <c r="KF42" s="85">
        <f>IF(AND(288&gt;=ConStart,288&lt;=ConPayoffMonth),1,0)</f>
        <v/>
      </c>
      <c r="KG42" s="85">
        <f>IF(AND(289&gt;=ConStart,289&lt;=ConPayoffMonth),1,0)</f>
        <v/>
      </c>
      <c r="KH42" s="85">
        <f>IF(AND(290&gt;=ConStart,290&lt;=ConPayoffMonth),1,0)</f>
        <v/>
      </c>
      <c r="KI42" s="85">
        <f>IF(AND(291&gt;=ConStart,291&lt;=ConPayoffMonth),1,0)</f>
        <v/>
      </c>
      <c r="KJ42" s="85">
        <f>IF(AND(292&gt;=ConStart,292&lt;=ConPayoffMonth),1,0)</f>
        <v/>
      </c>
      <c r="KK42" s="85">
        <f>IF(AND(293&gt;=ConStart,293&lt;=ConPayoffMonth),1,0)</f>
        <v/>
      </c>
      <c r="KL42" s="85">
        <f>IF(AND(294&gt;=ConStart,294&lt;=ConPayoffMonth),1,0)</f>
        <v/>
      </c>
      <c r="KM42" s="85">
        <f>IF(AND(295&gt;=ConStart,295&lt;=ConPayoffMonth),1,0)</f>
        <v/>
      </c>
      <c r="KN42" s="85">
        <f>IF(AND(296&gt;=ConStart,296&lt;=ConPayoffMonth),1,0)</f>
        <v/>
      </c>
      <c r="KO42" s="85">
        <f>IF(AND(297&gt;=ConStart,297&lt;=ConPayoffMonth),1,0)</f>
        <v/>
      </c>
      <c r="KP42" s="85">
        <f>IF(AND(298&gt;=ConStart,298&lt;=ConPayoffMonth),1,0)</f>
        <v/>
      </c>
      <c r="KQ42" s="85">
        <f>IF(AND(299&gt;=ConStart,299&lt;=ConPayoffMonth),1,0)</f>
        <v/>
      </c>
      <c r="KR42" s="85">
        <f>IF(AND(300&gt;=ConStart,300&lt;=ConPayoffMonth),1,0)</f>
        <v/>
      </c>
      <c r="KS42" s="85">
        <f>IF(AND(301&gt;=ConStart,301&lt;=ConPayoffMonth),1,0)</f>
        <v/>
      </c>
      <c r="KT42" s="85">
        <f>IF(AND(302&gt;=ConStart,302&lt;=ConPayoffMonth),1,0)</f>
        <v/>
      </c>
      <c r="KU42" s="85">
        <f>IF(AND(303&gt;=ConStart,303&lt;=ConPayoffMonth),1,0)</f>
        <v/>
      </c>
      <c r="KV42" s="85">
        <f>IF(AND(304&gt;=ConStart,304&lt;=ConPayoffMonth),1,0)</f>
        <v/>
      </c>
      <c r="KW42" s="85">
        <f>IF(AND(305&gt;=ConStart,305&lt;=ConPayoffMonth),1,0)</f>
        <v/>
      </c>
      <c r="KX42" s="85">
        <f>IF(AND(306&gt;=ConStart,306&lt;=ConPayoffMonth),1,0)</f>
        <v/>
      </c>
      <c r="KY42" s="85">
        <f>IF(AND(307&gt;=ConStart,307&lt;=ConPayoffMonth),1,0)</f>
        <v/>
      </c>
      <c r="KZ42" s="85">
        <f>IF(AND(308&gt;=ConStart,308&lt;=ConPayoffMonth),1,0)</f>
        <v/>
      </c>
      <c r="LA42" s="85">
        <f>IF(AND(309&gt;=ConStart,309&lt;=ConPayoffMonth),1,0)</f>
        <v/>
      </c>
      <c r="LB42" s="85">
        <f>IF(AND(310&gt;=ConStart,310&lt;=ConPayoffMonth),1,0)</f>
        <v/>
      </c>
      <c r="LC42" s="85">
        <f>IF(AND(311&gt;=ConStart,311&lt;=ConPayoffMonth),1,0)</f>
        <v/>
      </c>
      <c r="LD42" s="85">
        <f>IF(AND(312&gt;=ConStart,312&lt;=ConPayoffMonth),1,0)</f>
        <v/>
      </c>
      <c r="LE42" s="85">
        <f>IF(AND(313&gt;=ConStart,313&lt;=ConPayoffMonth),1,0)</f>
        <v/>
      </c>
      <c r="LF42" s="85">
        <f>IF(AND(314&gt;=ConStart,314&lt;=ConPayoffMonth),1,0)</f>
        <v/>
      </c>
      <c r="LG42" s="85">
        <f>IF(AND(315&gt;=ConStart,315&lt;=ConPayoffMonth),1,0)</f>
        <v/>
      </c>
      <c r="LH42" s="85">
        <f>IF(AND(316&gt;=ConStart,316&lt;=ConPayoffMonth),1,0)</f>
        <v/>
      </c>
      <c r="LI42" s="85">
        <f>IF(AND(317&gt;=ConStart,317&lt;=ConPayoffMonth),1,0)</f>
        <v/>
      </c>
      <c r="LJ42" s="85">
        <f>IF(AND(318&gt;=ConStart,318&lt;=ConPayoffMonth),1,0)</f>
        <v/>
      </c>
      <c r="LK42" s="85">
        <f>IF(AND(319&gt;=ConStart,319&lt;=ConPayoffMonth),1,0)</f>
        <v/>
      </c>
      <c r="LL42" s="85">
        <f>IF(AND(320&gt;=ConStart,320&lt;=ConPayoffMonth),1,0)</f>
        <v/>
      </c>
      <c r="LM42" s="85">
        <f>IF(AND(321&gt;=ConStart,321&lt;=ConPayoffMonth),1,0)</f>
        <v/>
      </c>
      <c r="LN42" s="85">
        <f>IF(AND(322&gt;=ConStart,322&lt;=ConPayoffMonth),1,0)</f>
        <v/>
      </c>
      <c r="LO42" s="85">
        <f>IF(AND(323&gt;=ConStart,323&lt;=ConPayoffMonth),1,0)</f>
        <v/>
      </c>
      <c r="LP42" s="85">
        <f>IF(AND(324&gt;=ConStart,324&lt;=ConPayoffMonth),1,0)</f>
        <v/>
      </c>
      <c r="LQ42" s="85">
        <f>IF(AND(325&gt;=ConStart,325&lt;=ConPayoffMonth),1,0)</f>
        <v/>
      </c>
      <c r="LR42" s="85">
        <f>IF(AND(326&gt;=ConStart,326&lt;=ConPayoffMonth),1,0)</f>
        <v/>
      </c>
      <c r="LS42" s="85">
        <f>IF(AND(327&gt;=ConStart,327&lt;=ConPayoffMonth),1,0)</f>
        <v/>
      </c>
      <c r="LT42" s="85">
        <f>IF(AND(328&gt;=ConStart,328&lt;=ConPayoffMonth),1,0)</f>
        <v/>
      </c>
      <c r="LU42" s="85">
        <f>IF(AND(329&gt;=ConStart,329&lt;=ConPayoffMonth),1,0)</f>
        <v/>
      </c>
      <c r="LV42" s="85">
        <f>IF(AND(330&gt;=ConStart,330&lt;=ConPayoffMonth),1,0)</f>
        <v/>
      </c>
      <c r="LW42" s="85">
        <f>IF(AND(331&gt;=ConStart,331&lt;=ConPayoffMonth),1,0)</f>
        <v/>
      </c>
      <c r="LX42" s="85">
        <f>IF(AND(332&gt;=ConStart,332&lt;=ConPayoffMonth),1,0)</f>
        <v/>
      </c>
      <c r="LY42" s="85">
        <f>IF(AND(333&gt;=ConStart,333&lt;=ConPayoffMonth),1,0)</f>
        <v/>
      </c>
      <c r="LZ42" s="85">
        <f>IF(AND(334&gt;=ConStart,334&lt;=ConPayoffMonth),1,0)</f>
        <v/>
      </c>
      <c r="MA42" s="85">
        <f>IF(AND(335&gt;=ConStart,335&lt;=ConPayoffMonth),1,0)</f>
        <v/>
      </c>
      <c r="MB42" s="85">
        <f>IF(AND(336&gt;=ConStart,336&lt;=ConPayoffMonth),1,0)</f>
        <v/>
      </c>
      <c r="MC42" s="85">
        <f>IF(AND(337&gt;=ConStart,337&lt;=ConPayoffMonth),1,0)</f>
        <v/>
      </c>
      <c r="MD42" s="85">
        <f>IF(AND(338&gt;=ConStart,338&lt;=ConPayoffMonth),1,0)</f>
        <v/>
      </c>
      <c r="ME42" s="85">
        <f>IF(AND(339&gt;=ConStart,339&lt;=ConPayoffMonth),1,0)</f>
        <v/>
      </c>
      <c r="MF42" s="85">
        <f>IF(AND(340&gt;=ConStart,340&lt;=ConPayoffMonth),1,0)</f>
        <v/>
      </c>
      <c r="MG42" s="85">
        <f>IF(AND(341&gt;=ConStart,341&lt;=ConPayoffMonth),1,0)</f>
        <v/>
      </c>
      <c r="MH42" s="85">
        <f>IF(AND(342&gt;=ConStart,342&lt;=ConPayoffMonth),1,0)</f>
        <v/>
      </c>
      <c r="MI42" s="85">
        <f>IF(AND(343&gt;=ConStart,343&lt;=ConPayoffMonth),1,0)</f>
        <v/>
      </c>
      <c r="MJ42" s="85">
        <f>IF(AND(344&gt;=ConStart,344&lt;=ConPayoffMonth),1,0)</f>
        <v/>
      </c>
      <c r="MK42" s="85">
        <f>IF(AND(345&gt;=ConStart,345&lt;=ConPayoffMonth),1,0)</f>
        <v/>
      </c>
      <c r="ML42" s="85">
        <f>IF(AND(346&gt;=ConStart,346&lt;=ConPayoffMonth),1,0)</f>
        <v/>
      </c>
      <c r="MM42" s="85">
        <f>IF(AND(347&gt;=ConStart,347&lt;=ConPayoffMonth),1,0)</f>
        <v/>
      </c>
      <c r="MN42" s="85">
        <f>IF(AND(348&gt;=ConStart,348&lt;=ConPayoffMonth),1,0)</f>
        <v/>
      </c>
      <c r="MO42" s="85">
        <f>IF(AND(349&gt;=ConStart,349&lt;=ConPayoffMonth),1,0)</f>
        <v/>
      </c>
      <c r="MP42" s="85">
        <f>IF(AND(350&gt;=ConStart,350&lt;=ConPayoffMonth),1,0)</f>
        <v/>
      </c>
      <c r="MQ42" s="85">
        <f>IF(AND(351&gt;=ConStart,351&lt;=ConPayoffMonth),1,0)</f>
        <v/>
      </c>
      <c r="MR42" s="85">
        <f>IF(AND(352&gt;=ConStart,352&lt;=ConPayoffMonth),1,0)</f>
        <v/>
      </c>
      <c r="MS42" s="85">
        <f>IF(AND(353&gt;=ConStart,353&lt;=ConPayoffMonth),1,0)</f>
        <v/>
      </c>
      <c r="MT42" s="85">
        <f>IF(AND(354&gt;=ConStart,354&lt;=ConPayoffMonth),1,0)</f>
        <v/>
      </c>
      <c r="MU42" s="85">
        <f>IF(AND(355&gt;=ConStart,355&lt;=ConPayoffMonth),1,0)</f>
        <v/>
      </c>
      <c r="MV42" s="85">
        <f>IF(AND(356&gt;=ConStart,356&lt;=ConPayoffMonth),1,0)</f>
        <v/>
      </c>
      <c r="MW42" s="85">
        <f>IF(AND(357&gt;=ConStart,357&lt;=ConPayoffMonth),1,0)</f>
        <v/>
      </c>
      <c r="MX42" s="85">
        <f>IF(AND(358&gt;=ConStart,358&lt;=ConPayoffMonth),1,0)</f>
        <v/>
      </c>
      <c r="MY42" s="85">
        <f>IF(AND(359&gt;=ConStart,359&lt;=ConPayoffMonth),1,0)</f>
        <v/>
      </c>
      <c r="MZ42" s="85">
        <f>IF(AND(360&gt;=ConStart,360&lt;=ConPayoffMonth),1,0)</f>
        <v/>
      </c>
      <c r="NA42" s="85">
        <f>IF(AND(361&gt;=ConStart,361&lt;=ConPayoffMonth),1,0)</f>
        <v/>
      </c>
      <c r="NB42" s="85">
        <f>IF(AND(362&gt;=ConStart,362&lt;=ConPayoffMonth),1,0)</f>
        <v/>
      </c>
      <c r="NC42" s="85">
        <f>IF(AND(363&gt;=ConStart,363&lt;=ConPayoffMonth),1,0)</f>
        <v/>
      </c>
      <c r="ND42" s="85">
        <f>IF(AND(364&gt;=ConStart,364&lt;=ConPayoffMonth),1,0)</f>
        <v/>
      </c>
      <c r="NE42" s="85">
        <f>IF(AND(365&gt;=ConStart,365&lt;=ConPayoffMonth),1,0)</f>
        <v/>
      </c>
      <c r="NF42" s="85">
        <f>IF(AND(366&gt;=ConStart,366&lt;=ConPayoffMonth),1,0)</f>
        <v/>
      </c>
      <c r="NG42" s="85">
        <f>IF(AND(367&gt;=ConStart,367&lt;=ConPayoffMonth),1,0)</f>
        <v/>
      </c>
      <c r="NH42" s="85">
        <f>IF(AND(368&gt;=ConStart,368&lt;=ConPayoffMonth),1,0)</f>
        <v/>
      </c>
      <c r="NI42" s="85">
        <f>IF(AND(369&gt;=ConStart,369&lt;=ConPayoffMonth),1,0)</f>
        <v/>
      </c>
      <c r="NJ42" s="85">
        <f>IF(AND(370&gt;=ConStart,370&lt;=ConPayoffMonth),1,0)</f>
        <v/>
      </c>
      <c r="NK42" s="85">
        <f>IF(AND(371&gt;=ConStart,371&lt;=ConPayoffMonth),1,0)</f>
        <v/>
      </c>
      <c r="NL42" s="85">
        <f>IF(AND(372&gt;=ConStart,372&lt;=ConPayoffMonth),1,0)</f>
        <v/>
      </c>
    </row>
    <row r="43">
      <c r="B43" s="40" t="inlineStr">
        <is>
          <t>Flag: Perm Loan Active</t>
        </is>
      </c>
      <c r="C43" s="79" t="n"/>
      <c r="D43" s="125" t="n"/>
      <c r="E43" s="85">
        <f>IF(AND(RefiFlag=1,1&gt;RefiMonth,1&lt;=DispoMonth),1,0)</f>
        <v/>
      </c>
      <c r="F43" s="85">
        <f>IF(AND(RefiFlag=1,2&gt;RefiMonth,2&lt;=DispoMonth),1,0)</f>
        <v/>
      </c>
      <c r="G43" s="85">
        <f>IF(AND(RefiFlag=1,3&gt;RefiMonth,3&lt;=DispoMonth),1,0)</f>
        <v/>
      </c>
      <c r="H43" s="85">
        <f>IF(AND(RefiFlag=1,4&gt;RefiMonth,4&lt;=DispoMonth),1,0)</f>
        <v/>
      </c>
      <c r="I43" s="85">
        <f>IF(AND(RefiFlag=1,5&gt;RefiMonth,5&lt;=DispoMonth),1,0)</f>
        <v/>
      </c>
      <c r="J43" s="85">
        <f>IF(AND(RefiFlag=1,6&gt;RefiMonth,6&lt;=DispoMonth),1,0)</f>
        <v/>
      </c>
      <c r="K43" s="85">
        <f>IF(AND(RefiFlag=1,7&gt;RefiMonth,7&lt;=DispoMonth),1,0)</f>
        <v/>
      </c>
      <c r="L43" s="85">
        <f>IF(AND(RefiFlag=1,8&gt;RefiMonth,8&lt;=DispoMonth),1,0)</f>
        <v/>
      </c>
      <c r="M43" s="85">
        <f>IF(AND(RefiFlag=1,9&gt;RefiMonth,9&lt;=DispoMonth),1,0)</f>
        <v/>
      </c>
      <c r="N43" s="85">
        <f>IF(AND(RefiFlag=1,10&gt;RefiMonth,10&lt;=DispoMonth),1,0)</f>
        <v/>
      </c>
      <c r="O43" s="85">
        <f>IF(AND(RefiFlag=1,11&gt;RefiMonth,11&lt;=DispoMonth),1,0)</f>
        <v/>
      </c>
      <c r="P43" s="85">
        <f>IF(AND(RefiFlag=1,12&gt;RefiMonth,12&lt;=DispoMonth),1,0)</f>
        <v/>
      </c>
      <c r="Q43" s="85">
        <f>IF(AND(RefiFlag=1,13&gt;RefiMonth,13&lt;=DispoMonth),1,0)</f>
        <v/>
      </c>
      <c r="R43" s="85">
        <f>IF(AND(RefiFlag=1,14&gt;RefiMonth,14&lt;=DispoMonth),1,0)</f>
        <v/>
      </c>
      <c r="S43" s="85">
        <f>IF(AND(RefiFlag=1,15&gt;RefiMonth,15&lt;=DispoMonth),1,0)</f>
        <v/>
      </c>
      <c r="T43" s="85">
        <f>IF(AND(RefiFlag=1,16&gt;RefiMonth,16&lt;=DispoMonth),1,0)</f>
        <v/>
      </c>
      <c r="U43" s="85">
        <f>IF(AND(RefiFlag=1,17&gt;RefiMonth,17&lt;=DispoMonth),1,0)</f>
        <v/>
      </c>
      <c r="V43" s="85">
        <f>IF(AND(RefiFlag=1,18&gt;RefiMonth,18&lt;=DispoMonth),1,0)</f>
        <v/>
      </c>
      <c r="W43" s="85">
        <f>IF(AND(RefiFlag=1,19&gt;RefiMonth,19&lt;=DispoMonth),1,0)</f>
        <v/>
      </c>
      <c r="X43" s="85">
        <f>IF(AND(RefiFlag=1,20&gt;RefiMonth,20&lt;=DispoMonth),1,0)</f>
        <v/>
      </c>
      <c r="Y43" s="85">
        <f>IF(AND(RefiFlag=1,21&gt;RefiMonth,21&lt;=DispoMonth),1,0)</f>
        <v/>
      </c>
      <c r="Z43" s="85">
        <f>IF(AND(RefiFlag=1,22&gt;RefiMonth,22&lt;=DispoMonth),1,0)</f>
        <v/>
      </c>
      <c r="AA43" s="85">
        <f>IF(AND(RefiFlag=1,23&gt;RefiMonth,23&lt;=DispoMonth),1,0)</f>
        <v/>
      </c>
      <c r="AB43" s="85">
        <f>IF(AND(RefiFlag=1,24&gt;RefiMonth,24&lt;=DispoMonth),1,0)</f>
        <v/>
      </c>
      <c r="AC43" s="85">
        <f>IF(AND(RefiFlag=1,25&gt;RefiMonth,25&lt;=DispoMonth),1,0)</f>
        <v/>
      </c>
      <c r="AD43" s="85">
        <f>IF(AND(RefiFlag=1,26&gt;RefiMonth,26&lt;=DispoMonth),1,0)</f>
        <v/>
      </c>
      <c r="AE43" s="85">
        <f>IF(AND(RefiFlag=1,27&gt;RefiMonth,27&lt;=DispoMonth),1,0)</f>
        <v/>
      </c>
      <c r="AF43" s="85">
        <f>IF(AND(RefiFlag=1,28&gt;RefiMonth,28&lt;=DispoMonth),1,0)</f>
        <v/>
      </c>
      <c r="AG43" s="85">
        <f>IF(AND(RefiFlag=1,29&gt;RefiMonth,29&lt;=DispoMonth),1,0)</f>
        <v/>
      </c>
      <c r="AH43" s="85">
        <f>IF(AND(RefiFlag=1,30&gt;RefiMonth,30&lt;=DispoMonth),1,0)</f>
        <v/>
      </c>
      <c r="AI43" s="85">
        <f>IF(AND(RefiFlag=1,31&gt;RefiMonth,31&lt;=DispoMonth),1,0)</f>
        <v/>
      </c>
      <c r="AJ43" s="85">
        <f>IF(AND(RefiFlag=1,32&gt;RefiMonth,32&lt;=DispoMonth),1,0)</f>
        <v/>
      </c>
      <c r="AK43" s="85">
        <f>IF(AND(RefiFlag=1,33&gt;RefiMonth,33&lt;=DispoMonth),1,0)</f>
        <v/>
      </c>
      <c r="AL43" s="85">
        <f>IF(AND(RefiFlag=1,34&gt;RefiMonth,34&lt;=DispoMonth),1,0)</f>
        <v/>
      </c>
      <c r="AM43" s="85">
        <f>IF(AND(RefiFlag=1,35&gt;RefiMonth,35&lt;=DispoMonth),1,0)</f>
        <v/>
      </c>
      <c r="AN43" s="85">
        <f>IF(AND(RefiFlag=1,36&gt;RefiMonth,36&lt;=DispoMonth),1,0)</f>
        <v/>
      </c>
      <c r="AO43" s="85">
        <f>IF(AND(RefiFlag=1,37&gt;RefiMonth,37&lt;=DispoMonth),1,0)</f>
        <v/>
      </c>
      <c r="AP43" s="85">
        <f>IF(AND(RefiFlag=1,38&gt;RefiMonth,38&lt;=DispoMonth),1,0)</f>
        <v/>
      </c>
      <c r="AQ43" s="85">
        <f>IF(AND(RefiFlag=1,39&gt;RefiMonth,39&lt;=DispoMonth),1,0)</f>
        <v/>
      </c>
      <c r="AR43" s="85">
        <f>IF(AND(RefiFlag=1,40&gt;RefiMonth,40&lt;=DispoMonth),1,0)</f>
        <v/>
      </c>
      <c r="AS43" s="85">
        <f>IF(AND(RefiFlag=1,41&gt;RefiMonth,41&lt;=DispoMonth),1,0)</f>
        <v/>
      </c>
      <c r="AT43" s="85">
        <f>IF(AND(RefiFlag=1,42&gt;RefiMonth,42&lt;=DispoMonth),1,0)</f>
        <v/>
      </c>
      <c r="AU43" s="85">
        <f>IF(AND(RefiFlag=1,43&gt;RefiMonth,43&lt;=DispoMonth),1,0)</f>
        <v/>
      </c>
      <c r="AV43" s="85">
        <f>IF(AND(RefiFlag=1,44&gt;RefiMonth,44&lt;=DispoMonth),1,0)</f>
        <v/>
      </c>
      <c r="AW43" s="85">
        <f>IF(AND(RefiFlag=1,45&gt;RefiMonth,45&lt;=DispoMonth),1,0)</f>
        <v/>
      </c>
      <c r="AX43" s="85">
        <f>IF(AND(RefiFlag=1,46&gt;RefiMonth,46&lt;=DispoMonth),1,0)</f>
        <v/>
      </c>
      <c r="AY43" s="85">
        <f>IF(AND(RefiFlag=1,47&gt;RefiMonth,47&lt;=DispoMonth),1,0)</f>
        <v/>
      </c>
      <c r="AZ43" s="85">
        <f>IF(AND(RefiFlag=1,48&gt;RefiMonth,48&lt;=DispoMonth),1,0)</f>
        <v/>
      </c>
      <c r="BA43" s="85">
        <f>IF(AND(RefiFlag=1,49&gt;RefiMonth,49&lt;=DispoMonth),1,0)</f>
        <v/>
      </c>
      <c r="BB43" s="85">
        <f>IF(AND(RefiFlag=1,50&gt;RefiMonth,50&lt;=DispoMonth),1,0)</f>
        <v/>
      </c>
      <c r="BC43" s="85">
        <f>IF(AND(RefiFlag=1,51&gt;RefiMonth,51&lt;=DispoMonth),1,0)</f>
        <v/>
      </c>
      <c r="BD43" s="85">
        <f>IF(AND(RefiFlag=1,52&gt;RefiMonth,52&lt;=DispoMonth),1,0)</f>
        <v/>
      </c>
      <c r="BE43" s="85">
        <f>IF(AND(RefiFlag=1,53&gt;RefiMonth,53&lt;=DispoMonth),1,0)</f>
        <v/>
      </c>
      <c r="BF43" s="85">
        <f>IF(AND(RefiFlag=1,54&gt;RefiMonth,54&lt;=DispoMonth),1,0)</f>
        <v/>
      </c>
      <c r="BG43" s="85">
        <f>IF(AND(RefiFlag=1,55&gt;RefiMonth,55&lt;=DispoMonth),1,0)</f>
        <v/>
      </c>
      <c r="BH43" s="85">
        <f>IF(AND(RefiFlag=1,56&gt;RefiMonth,56&lt;=DispoMonth),1,0)</f>
        <v/>
      </c>
      <c r="BI43" s="85">
        <f>IF(AND(RefiFlag=1,57&gt;RefiMonth,57&lt;=DispoMonth),1,0)</f>
        <v/>
      </c>
      <c r="BJ43" s="85">
        <f>IF(AND(RefiFlag=1,58&gt;RefiMonth,58&lt;=DispoMonth),1,0)</f>
        <v/>
      </c>
      <c r="BK43" s="85">
        <f>IF(AND(RefiFlag=1,59&gt;RefiMonth,59&lt;=DispoMonth),1,0)</f>
        <v/>
      </c>
      <c r="BL43" s="85">
        <f>IF(AND(RefiFlag=1,60&gt;RefiMonth,60&lt;=DispoMonth),1,0)</f>
        <v/>
      </c>
      <c r="BM43" s="85">
        <f>IF(AND(RefiFlag=1,61&gt;RefiMonth,61&lt;=DispoMonth),1,0)</f>
        <v/>
      </c>
      <c r="BN43" s="85">
        <f>IF(AND(RefiFlag=1,62&gt;RefiMonth,62&lt;=DispoMonth),1,0)</f>
        <v/>
      </c>
      <c r="BO43" s="85">
        <f>IF(AND(RefiFlag=1,63&gt;RefiMonth,63&lt;=DispoMonth),1,0)</f>
        <v/>
      </c>
      <c r="BP43" s="85">
        <f>IF(AND(RefiFlag=1,64&gt;RefiMonth,64&lt;=DispoMonth),1,0)</f>
        <v/>
      </c>
      <c r="BQ43" s="85">
        <f>IF(AND(RefiFlag=1,65&gt;RefiMonth,65&lt;=DispoMonth),1,0)</f>
        <v/>
      </c>
      <c r="BR43" s="85">
        <f>IF(AND(RefiFlag=1,66&gt;RefiMonth,66&lt;=DispoMonth),1,0)</f>
        <v/>
      </c>
      <c r="BS43" s="85">
        <f>IF(AND(RefiFlag=1,67&gt;RefiMonth,67&lt;=DispoMonth),1,0)</f>
        <v/>
      </c>
      <c r="BT43" s="85">
        <f>IF(AND(RefiFlag=1,68&gt;RefiMonth,68&lt;=DispoMonth),1,0)</f>
        <v/>
      </c>
      <c r="BU43" s="85">
        <f>IF(AND(RefiFlag=1,69&gt;RefiMonth,69&lt;=DispoMonth),1,0)</f>
        <v/>
      </c>
      <c r="BV43" s="85">
        <f>IF(AND(RefiFlag=1,70&gt;RefiMonth,70&lt;=DispoMonth),1,0)</f>
        <v/>
      </c>
      <c r="BW43" s="85">
        <f>IF(AND(RefiFlag=1,71&gt;RefiMonth,71&lt;=DispoMonth),1,0)</f>
        <v/>
      </c>
      <c r="BX43" s="85">
        <f>IF(AND(RefiFlag=1,72&gt;RefiMonth,72&lt;=DispoMonth),1,0)</f>
        <v/>
      </c>
      <c r="BY43" s="85">
        <f>IF(AND(RefiFlag=1,73&gt;RefiMonth,73&lt;=DispoMonth),1,0)</f>
        <v/>
      </c>
      <c r="BZ43" s="85">
        <f>IF(AND(RefiFlag=1,74&gt;RefiMonth,74&lt;=DispoMonth),1,0)</f>
        <v/>
      </c>
      <c r="CA43" s="85">
        <f>IF(AND(RefiFlag=1,75&gt;RefiMonth,75&lt;=DispoMonth),1,0)</f>
        <v/>
      </c>
      <c r="CB43" s="85">
        <f>IF(AND(RefiFlag=1,76&gt;RefiMonth,76&lt;=DispoMonth),1,0)</f>
        <v/>
      </c>
      <c r="CC43" s="85">
        <f>IF(AND(RefiFlag=1,77&gt;RefiMonth,77&lt;=DispoMonth),1,0)</f>
        <v/>
      </c>
      <c r="CD43" s="85">
        <f>IF(AND(RefiFlag=1,78&gt;RefiMonth,78&lt;=DispoMonth),1,0)</f>
        <v/>
      </c>
      <c r="CE43" s="85">
        <f>IF(AND(RefiFlag=1,79&gt;RefiMonth,79&lt;=DispoMonth),1,0)</f>
        <v/>
      </c>
      <c r="CF43" s="85">
        <f>IF(AND(RefiFlag=1,80&gt;RefiMonth,80&lt;=DispoMonth),1,0)</f>
        <v/>
      </c>
      <c r="CG43" s="85">
        <f>IF(AND(RefiFlag=1,81&gt;RefiMonth,81&lt;=DispoMonth),1,0)</f>
        <v/>
      </c>
      <c r="CH43" s="85">
        <f>IF(AND(RefiFlag=1,82&gt;RefiMonth,82&lt;=DispoMonth),1,0)</f>
        <v/>
      </c>
      <c r="CI43" s="85">
        <f>IF(AND(RefiFlag=1,83&gt;RefiMonth,83&lt;=DispoMonth),1,0)</f>
        <v/>
      </c>
      <c r="CJ43" s="85">
        <f>IF(AND(RefiFlag=1,84&gt;RefiMonth,84&lt;=DispoMonth),1,0)</f>
        <v/>
      </c>
      <c r="CK43" s="85">
        <f>IF(AND(RefiFlag=1,85&gt;RefiMonth,85&lt;=DispoMonth),1,0)</f>
        <v/>
      </c>
      <c r="CL43" s="85">
        <f>IF(AND(RefiFlag=1,86&gt;RefiMonth,86&lt;=DispoMonth),1,0)</f>
        <v/>
      </c>
      <c r="CM43" s="85">
        <f>IF(AND(RefiFlag=1,87&gt;RefiMonth,87&lt;=DispoMonth),1,0)</f>
        <v/>
      </c>
      <c r="CN43" s="85">
        <f>IF(AND(RefiFlag=1,88&gt;RefiMonth,88&lt;=DispoMonth),1,0)</f>
        <v/>
      </c>
      <c r="CO43" s="85">
        <f>IF(AND(RefiFlag=1,89&gt;RefiMonth,89&lt;=DispoMonth),1,0)</f>
        <v/>
      </c>
      <c r="CP43" s="85">
        <f>IF(AND(RefiFlag=1,90&gt;RefiMonth,90&lt;=DispoMonth),1,0)</f>
        <v/>
      </c>
      <c r="CQ43" s="85">
        <f>IF(AND(RefiFlag=1,91&gt;RefiMonth,91&lt;=DispoMonth),1,0)</f>
        <v/>
      </c>
      <c r="CR43" s="85">
        <f>IF(AND(RefiFlag=1,92&gt;RefiMonth,92&lt;=DispoMonth),1,0)</f>
        <v/>
      </c>
      <c r="CS43" s="85">
        <f>IF(AND(RefiFlag=1,93&gt;RefiMonth,93&lt;=DispoMonth),1,0)</f>
        <v/>
      </c>
      <c r="CT43" s="85">
        <f>IF(AND(RefiFlag=1,94&gt;RefiMonth,94&lt;=DispoMonth),1,0)</f>
        <v/>
      </c>
      <c r="CU43" s="85">
        <f>IF(AND(RefiFlag=1,95&gt;RefiMonth,95&lt;=DispoMonth),1,0)</f>
        <v/>
      </c>
      <c r="CV43" s="85">
        <f>IF(AND(RefiFlag=1,96&gt;RefiMonth,96&lt;=DispoMonth),1,0)</f>
        <v/>
      </c>
      <c r="CW43" s="85">
        <f>IF(AND(RefiFlag=1,97&gt;RefiMonth,97&lt;=DispoMonth),1,0)</f>
        <v/>
      </c>
      <c r="CX43" s="85">
        <f>IF(AND(RefiFlag=1,98&gt;RefiMonth,98&lt;=DispoMonth),1,0)</f>
        <v/>
      </c>
      <c r="CY43" s="85">
        <f>IF(AND(RefiFlag=1,99&gt;RefiMonth,99&lt;=DispoMonth),1,0)</f>
        <v/>
      </c>
      <c r="CZ43" s="85">
        <f>IF(AND(RefiFlag=1,100&gt;RefiMonth,100&lt;=DispoMonth),1,0)</f>
        <v/>
      </c>
      <c r="DA43" s="85">
        <f>IF(AND(RefiFlag=1,101&gt;RefiMonth,101&lt;=DispoMonth),1,0)</f>
        <v/>
      </c>
      <c r="DB43" s="85">
        <f>IF(AND(RefiFlag=1,102&gt;RefiMonth,102&lt;=DispoMonth),1,0)</f>
        <v/>
      </c>
      <c r="DC43" s="85">
        <f>IF(AND(RefiFlag=1,103&gt;RefiMonth,103&lt;=DispoMonth),1,0)</f>
        <v/>
      </c>
      <c r="DD43" s="85">
        <f>IF(AND(RefiFlag=1,104&gt;RefiMonth,104&lt;=DispoMonth),1,0)</f>
        <v/>
      </c>
      <c r="DE43" s="85">
        <f>IF(AND(RefiFlag=1,105&gt;RefiMonth,105&lt;=DispoMonth),1,0)</f>
        <v/>
      </c>
      <c r="DF43" s="85">
        <f>IF(AND(RefiFlag=1,106&gt;RefiMonth,106&lt;=DispoMonth),1,0)</f>
        <v/>
      </c>
      <c r="DG43" s="85">
        <f>IF(AND(RefiFlag=1,107&gt;RefiMonth,107&lt;=DispoMonth),1,0)</f>
        <v/>
      </c>
      <c r="DH43" s="85">
        <f>IF(AND(RefiFlag=1,108&gt;RefiMonth,108&lt;=DispoMonth),1,0)</f>
        <v/>
      </c>
      <c r="DI43" s="85">
        <f>IF(AND(RefiFlag=1,109&gt;RefiMonth,109&lt;=DispoMonth),1,0)</f>
        <v/>
      </c>
      <c r="DJ43" s="85">
        <f>IF(AND(RefiFlag=1,110&gt;RefiMonth,110&lt;=DispoMonth),1,0)</f>
        <v/>
      </c>
      <c r="DK43" s="85">
        <f>IF(AND(RefiFlag=1,111&gt;RefiMonth,111&lt;=DispoMonth),1,0)</f>
        <v/>
      </c>
      <c r="DL43" s="85">
        <f>IF(AND(RefiFlag=1,112&gt;RefiMonth,112&lt;=DispoMonth),1,0)</f>
        <v/>
      </c>
      <c r="DM43" s="85">
        <f>IF(AND(RefiFlag=1,113&gt;RefiMonth,113&lt;=DispoMonth),1,0)</f>
        <v/>
      </c>
      <c r="DN43" s="85">
        <f>IF(AND(RefiFlag=1,114&gt;RefiMonth,114&lt;=DispoMonth),1,0)</f>
        <v/>
      </c>
      <c r="DO43" s="85">
        <f>IF(AND(RefiFlag=1,115&gt;RefiMonth,115&lt;=DispoMonth),1,0)</f>
        <v/>
      </c>
      <c r="DP43" s="85">
        <f>IF(AND(RefiFlag=1,116&gt;RefiMonth,116&lt;=DispoMonth),1,0)</f>
        <v/>
      </c>
      <c r="DQ43" s="85">
        <f>IF(AND(RefiFlag=1,117&gt;RefiMonth,117&lt;=DispoMonth),1,0)</f>
        <v/>
      </c>
      <c r="DR43" s="85">
        <f>IF(AND(RefiFlag=1,118&gt;RefiMonth,118&lt;=DispoMonth),1,0)</f>
        <v/>
      </c>
      <c r="DS43" s="85">
        <f>IF(AND(RefiFlag=1,119&gt;RefiMonth,119&lt;=DispoMonth),1,0)</f>
        <v/>
      </c>
      <c r="DT43" s="85">
        <f>IF(AND(RefiFlag=1,120&gt;RefiMonth,120&lt;=DispoMonth),1,0)</f>
        <v/>
      </c>
      <c r="DU43" s="85">
        <f>IF(AND(RefiFlag=1,121&gt;RefiMonth,121&lt;=DispoMonth),1,0)</f>
        <v/>
      </c>
      <c r="DV43" s="85">
        <f>IF(AND(RefiFlag=1,122&gt;RefiMonth,122&lt;=DispoMonth),1,0)</f>
        <v/>
      </c>
      <c r="DW43" s="85">
        <f>IF(AND(RefiFlag=1,123&gt;RefiMonth,123&lt;=DispoMonth),1,0)</f>
        <v/>
      </c>
      <c r="DX43" s="85">
        <f>IF(AND(RefiFlag=1,124&gt;RefiMonth,124&lt;=DispoMonth),1,0)</f>
        <v/>
      </c>
      <c r="DY43" s="85">
        <f>IF(AND(RefiFlag=1,125&gt;RefiMonth,125&lt;=DispoMonth),1,0)</f>
        <v/>
      </c>
      <c r="DZ43" s="85">
        <f>IF(AND(RefiFlag=1,126&gt;RefiMonth,126&lt;=DispoMonth),1,0)</f>
        <v/>
      </c>
      <c r="EA43" s="85">
        <f>IF(AND(RefiFlag=1,127&gt;RefiMonth,127&lt;=DispoMonth),1,0)</f>
        <v/>
      </c>
      <c r="EB43" s="85">
        <f>IF(AND(RefiFlag=1,128&gt;RefiMonth,128&lt;=DispoMonth),1,0)</f>
        <v/>
      </c>
      <c r="EC43" s="85">
        <f>IF(AND(RefiFlag=1,129&gt;RefiMonth,129&lt;=DispoMonth),1,0)</f>
        <v/>
      </c>
      <c r="ED43" s="85">
        <f>IF(AND(RefiFlag=1,130&gt;RefiMonth,130&lt;=DispoMonth),1,0)</f>
        <v/>
      </c>
      <c r="EE43" s="85">
        <f>IF(AND(RefiFlag=1,131&gt;RefiMonth,131&lt;=DispoMonth),1,0)</f>
        <v/>
      </c>
      <c r="EF43" s="85">
        <f>IF(AND(RefiFlag=1,132&gt;RefiMonth,132&lt;=DispoMonth),1,0)</f>
        <v/>
      </c>
      <c r="EG43" s="85">
        <f>IF(AND(RefiFlag=1,133&gt;RefiMonth,133&lt;=DispoMonth),1,0)</f>
        <v/>
      </c>
      <c r="EH43" s="85">
        <f>IF(AND(RefiFlag=1,134&gt;RefiMonth,134&lt;=DispoMonth),1,0)</f>
        <v/>
      </c>
      <c r="EI43" s="85">
        <f>IF(AND(RefiFlag=1,135&gt;RefiMonth,135&lt;=DispoMonth),1,0)</f>
        <v/>
      </c>
      <c r="EJ43" s="85">
        <f>IF(AND(RefiFlag=1,136&gt;RefiMonth,136&lt;=DispoMonth),1,0)</f>
        <v/>
      </c>
      <c r="EK43" s="85">
        <f>IF(AND(RefiFlag=1,137&gt;RefiMonth,137&lt;=DispoMonth),1,0)</f>
        <v/>
      </c>
      <c r="EL43" s="85">
        <f>IF(AND(RefiFlag=1,138&gt;RefiMonth,138&lt;=DispoMonth),1,0)</f>
        <v/>
      </c>
      <c r="EM43" s="85">
        <f>IF(AND(RefiFlag=1,139&gt;RefiMonth,139&lt;=DispoMonth),1,0)</f>
        <v/>
      </c>
      <c r="EN43" s="85">
        <f>IF(AND(RefiFlag=1,140&gt;RefiMonth,140&lt;=DispoMonth),1,0)</f>
        <v/>
      </c>
      <c r="EO43" s="85">
        <f>IF(AND(RefiFlag=1,141&gt;RefiMonth,141&lt;=DispoMonth),1,0)</f>
        <v/>
      </c>
      <c r="EP43" s="85">
        <f>IF(AND(RefiFlag=1,142&gt;RefiMonth,142&lt;=DispoMonth),1,0)</f>
        <v/>
      </c>
      <c r="EQ43" s="85">
        <f>IF(AND(RefiFlag=1,143&gt;RefiMonth,143&lt;=DispoMonth),1,0)</f>
        <v/>
      </c>
      <c r="ER43" s="85">
        <f>IF(AND(RefiFlag=1,144&gt;RefiMonth,144&lt;=DispoMonth),1,0)</f>
        <v/>
      </c>
      <c r="ES43" s="85">
        <f>IF(AND(RefiFlag=1,145&gt;RefiMonth,145&lt;=DispoMonth),1,0)</f>
        <v/>
      </c>
      <c r="ET43" s="85">
        <f>IF(AND(RefiFlag=1,146&gt;RefiMonth,146&lt;=DispoMonth),1,0)</f>
        <v/>
      </c>
      <c r="EU43" s="85">
        <f>IF(AND(RefiFlag=1,147&gt;RefiMonth,147&lt;=DispoMonth),1,0)</f>
        <v/>
      </c>
      <c r="EV43" s="85">
        <f>IF(AND(RefiFlag=1,148&gt;RefiMonth,148&lt;=DispoMonth),1,0)</f>
        <v/>
      </c>
      <c r="EW43" s="85">
        <f>IF(AND(RefiFlag=1,149&gt;RefiMonth,149&lt;=DispoMonth),1,0)</f>
        <v/>
      </c>
      <c r="EX43" s="85">
        <f>IF(AND(RefiFlag=1,150&gt;RefiMonth,150&lt;=DispoMonth),1,0)</f>
        <v/>
      </c>
      <c r="EY43" s="85">
        <f>IF(AND(RefiFlag=1,151&gt;RefiMonth,151&lt;=DispoMonth),1,0)</f>
        <v/>
      </c>
      <c r="EZ43" s="85">
        <f>IF(AND(RefiFlag=1,152&gt;RefiMonth,152&lt;=DispoMonth),1,0)</f>
        <v/>
      </c>
      <c r="FA43" s="85">
        <f>IF(AND(RefiFlag=1,153&gt;RefiMonth,153&lt;=DispoMonth),1,0)</f>
        <v/>
      </c>
      <c r="FB43" s="85">
        <f>IF(AND(RefiFlag=1,154&gt;RefiMonth,154&lt;=DispoMonth),1,0)</f>
        <v/>
      </c>
      <c r="FC43" s="85">
        <f>IF(AND(RefiFlag=1,155&gt;RefiMonth,155&lt;=DispoMonth),1,0)</f>
        <v/>
      </c>
      <c r="FD43" s="85">
        <f>IF(AND(RefiFlag=1,156&gt;RefiMonth,156&lt;=DispoMonth),1,0)</f>
        <v/>
      </c>
      <c r="FE43" s="85">
        <f>IF(AND(RefiFlag=1,157&gt;RefiMonth,157&lt;=DispoMonth),1,0)</f>
        <v/>
      </c>
      <c r="FF43" s="85">
        <f>IF(AND(RefiFlag=1,158&gt;RefiMonth,158&lt;=DispoMonth),1,0)</f>
        <v/>
      </c>
      <c r="FG43" s="85">
        <f>IF(AND(RefiFlag=1,159&gt;RefiMonth,159&lt;=DispoMonth),1,0)</f>
        <v/>
      </c>
      <c r="FH43" s="85">
        <f>IF(AND(RefiFlag=1,160&gt;RefiMonth,160&lt;=DispoMonth),1,0)</f>
        <v/>
      </c>
      <c r="FI43" s="85">
        <f>IF(AND(RefiFlag=1,161&gt;RefiMonth,161&lt;=DispoMonth),1,0)</f>
        <v/>
      </c>
      <c r="FJ43" s="85">
        <f>IF(AND(RefiFlag=1,162&gt;RefiMonth,162&lt;=DispoMonth),1,0)</f>
        <v/>
      </c>
      <c r="FK43" s="85">
        <f>IF(AND(RefiFlag=1,163&gt;RefiMonth,163&lt;=DispoMonth),1,0)</f>
        <v/>
      </c>
      <c r="FL43" s="85">
        <f>IF(AND(RefiFlag=1,164&gt;RefiMonth,164&lt;=DispoMonth),1,0)</f>
        <v/>
      </c>
      <c r="FM43" s="85">
        <f>IF(AND(RefiFlag=1,165&gt;RefiMonth,165&lt;=DispoMonth),1,0)</f>
        <v/>
      </c>
      <c r="FN43" s="85">
        <f>IF(AND(RefiFlag=1,166&gt;RefiMonth,166&lt;=DispoMonth),1,0)</f>
        <v/>
      </c>
      <c r="FO43" s="85">
        <f>IF(AND(RefiFlag=1,167&gt;RefiMonth,167&lt;=DispoMonth),1,0)</f>
        <v/>
      </c>
      <c r="FP43" s="85">
        <f>IF(AND(RefiFlag=1,168&gt;RefiMonth,168&lt;=DispoMonth),1,0)</f>
        <v/>
      </c>
      <c r="FQ43" s="85">
        <f>IF(AND(RefiFlag=1,169&gt;RefiMonth,169&lt;=DispoMonth),1,0)</f>
        <v/>
      </c>
      <c r="FR43" s="85">
        <f>IF(AND(RefiFlag=1,170&gt;RefiMonth,170&lt;=DispoMonth),1,0)</f>
        <v/>
      </c>
      <c r="FS43" s="85">
        <f>IF(AND(RefiFlag=1,171&gt;RefiMonth,171&lt;=DispoMonth),1,0)</f>
        <v/>
      </c>
      <c r="FT43" s="85">
        <f>IF(AND(RefiFlag=1,172&gt;RefiMonth,172&lt;=DispoMonth),1,0)</f>
        <v/>
      </c>
      <c r="FU43" s="85">
        <f>IF(AND(RefiFlag=1,173&gt;RefiMonth,173&lt;=DispoMonth),1,0)</f>
        <v/>
      </c>
      <c r="FV43" s="85">
        <f>IF(AND(RefiFlag=1,174&gt;RefiMonth,174&lt;=DispoMonth),1,0)</f>
        <v/>
      </c>
      <c r="FW43" s="85">
        <f>IF(AND(RefiFlag=1,175&gt;RefiMonth,175&lt;=DispoMonth),1,0)</f>
        <v/>
      </c>
      <c r="FX43" s="85">
        <f>IF(AND(RefiFlag=1,176&gt;RefiMonth,176&lt;=DispoMonth),1,0)</f>
        <v/>
      </c>
      <c r="FY43" s="85">
        <f>IF(AND(RefiFlag=1,177&gt;RefiMonth,177&lt;=DispoMonth),1,0)</f>
        <v/>
      </c>
      <c r="FZ43" s="85">
        <f>IF(AND(RefiFlag=1,178&gt;RefiMonth,178&lt;=DispoMonth),1,0)</f>
        <v/>
      </c>
      <c r="GA43" s="85">
        <f>IF(AND(RefiFlag=1,179&gt;RefiMonth,179&lt;=DispoMonth),1,0)</f>
        <v/>
      </c>
      <c r="GB43" s="85">
        <f>IF(AND(RefiFlag=1,180&gt;RefiMonth,180&lt;=DispoMonth),1,0)</f>
        <v/>
      </c>
      <c r="GC43" s="85">
        <f>IF(AND(RefiFlag=1,181&gt;RefiMonth,181&lt;=DispoMonth),1,0)</f>
        <v/>
      </c>
      <c r="GD43" s="85">
        <f>IF(AND(RefiFlag=1,182&gt;RefiMonth,182&lt;=DispoMonth),1,0)</f>
        <v/>
      </c>
      <c r="GE43" s="85">
        <f>IF(AND(RefiFlag=1,183&gt;RefiMonth,183&lt;=DispoMonth),1,0)</f>
        <v/>
      </c>
      <c r="GF43" s="85">
        <f>IF(AND(RefiFlag=1,184&gt;RefiMonth,184&lt;=DispoMonth),1,0)</f>
        <v/>
      </c>
      <c r="GG43" s="85">
        <f>IF(AND(RefiFlag=1,185&gt;RefiMonth,185&lt;=DispoMonth),1,0)</f>
        <v/>
      </c>
      <c r="GH43" s="85">
        <f>IF(AND(RefiFlag=1,186&gt;RefiMonth,186&lt;=DispoMonth),1,0)</f>
        <v/>
      </c>
      <c r="GI43" s="85">
        <f>IF(AND(RefiFlag=1,187&gt;RefiMonth,187&lt;=DispoMonth),1,0)</f>
        <v/>
      </c>
      <c r="GJ43" s="85">
        <f>IF(AND(RefiFlag=1,188&gt;RefiMonth,188&lt;=DispoMonth),1,0)</f>
        <v/>
      </c>
      <c r="GK43" s="85">
        <f>IF(AND(RefiFlag=1,189&gt;RefiMonth,189&lt;=DispoMonth),1,0)</f>
        <v/>
      </c>
      <c r="GL43" s="85">
        <f>IF(AND(RefiFlag=1,190&gt;RefiMonth,190&lt;=DispoMonth),1,0)</f>
        <v/>
      </c>
      <c r="GM43" s="85">
        <f>IF(AND(RefiFlag=1,191&gt;RefiMonth,191&lt;=DispoMonth),1,0)</f>
        <v/>
      </c>
      <c r="GN43" s="85">
        <f>IF(AND(RefiFlag=1,192&gt;RefiMonth,192&lt;=DispoMonth),1,0)</f>
        <v/>
      </c>
      <c r="GO43" s="85">
        <f>IF(AND(RefiFlag=1,193&gt;RefiMonth,193&lt;=DispoMonth),1,0)</f>
        <v/>
      </c>
      <c r="GP43" s="85">
        <f>IF(AND(RefiFlag=1,194&gt;RefiMonth,194&lt;=DispoMonth),1,0)</f>
        <v/>
      </c>
      <c r="GQ43" s="85">
        <f>IF(AND(RefiFlag=1,195&gt;RefiMonth,195&lt;=DispoMonth),1,0)</f>
        <v/>
      </c>
      <c r="GR43" s="85">
        <f>IF(AND(RefiFlag=1,196&gt;RefiMonth,196&lt;=DispoMonth),1,0)</f>
        <v/>
      </c>
      <c r="GS43" s="85">
        <f>IF(AND(RefiFlag=1,197&gt;RefiMonth,197&lt;=DispoMonth),1,0)</f>
        <v/>
      </c>
      <c r="GT43" s="85">
        <f>IF(AND(RefiFlag=1,198&gt;RefiMonth,198&lt;=DispoMonth),1,0)</f>
        <v/>
      </c>
      <c r="GU43" s="85">
        <f>IF(AND(RefiFlag=1,199&gt;RefiMonth,199&lt;=DispoMonth),1,0)</f>
        <v/>
      </c>
      <c r="GV43" s="85">
        <f>IF(AND(RefiFlag=1,200&gt;RefiMonth,200&lt;=DispoMonth),1,0)</f>
        <v/>
      </c>
      <c r="GW43" s="85">
        <f>IF(AND(RefiFlag=1,201&gt;RefiMonth,201&lt;=DispoMonth),1,0)</f>
        <v/>
      </c>
      <c r="GX43" s="85">
        <f>IF(AND(RefiFlag=1,202&gt;RefiMonth,202&lt;=DispoMonth),1,0)</f>
        <v/>
      </c>
      <c r="GY43" s="85">
        <f>IF(AND(RefiFlag=1,203&gt;RefiMonth,203&lt;=DispoMonth),1,0)</f>
        <v/>
      </c>
      <c r="GZ43" s="85">
        <f>IF(AND(RefiFlag=1,204&gt;RefiMonth,204&lt;=DispoMonth),1,0)</f>
        <v/>
      </c>
      <c r="HA43" s="85">
        <f>IF(AND(RefiFlag=1,205&gt;RefiMonth,205&lt;=DispoMonth),1,0)</f>
        <v/>
      </c>
      <c r="HB43" s="85">
        <f>IF(AND(RefiFlag=1,206&gt;RefiMonth,206&lt;=DispoMonth),1,0)</f>
        <v/>
      </c>
      <c r="HC43" s="85">
        <f>IF(AND(RefiFlag=1,207&gt;RefiMonth,207&lt;=DispoMonth),1,0)</f>
        <v/>
      </c>
      <c r="HD43" s="85">
        <f>IF(AND(RefiFlag=1,208&gt;RefiMonth,208&lt;=DispoMonth),1,0)</f>
        <v/>
      </c>
      <c r="HE43" s="85">
        <f>IF(AND(RefiFlag=1,209&gt;RefiMonth,209&lt;=DispoMonth),1,0)</f>
        <v/>
      </c>
      <c r="HF43" s="85">
        <f>IF(AND(RefiFlag=1,210&gt;RefiMonth,210&lt;=DispoMonth),1,0)</f>
        <v/>
      </c>
      <c r="HG43" s="85">
        <f>IF(AND(RefiFlag=1,211&gt;RefiMonth,211&lt;=DispoMonth),1,0)</f>
        <v/>
      </c>
      <c r="HH43" s="85">
        <f>IF(AND(RefiFlag=1,212&gt;RefiMonth,212&lt;=DispoMonth),1,0)</f>
        <v/>
      </c>
      <c r="HI43" s="85">
        <f>IF(AND(RefiFlag=1,213&gt;RefiMonth,213&lt;=DispoMonth),1,0)</f>
        <v/>
      </c>
      <c r="HJ43" s="85">
        <f>IF(AND(RefiFlag=1,214&gt;RefiMonth,214&lt;=DispoMonth),1,0)</f>
        <v/>
      </c>
      <c r="HK43" s="85">
        <f>IF(AND(RefiFlag=1,215&gt;RefiMonth,215&lt;=DispoMonth),1,0)</f>
        <v/>
      </c>
      <c r="HL43" s="85">
        <f>IF(AND(RefiFlag=1,216&gt;RefiMonth,216&lt;=DispoMonth),1,0)</f>
        <v/>
      </c>
      <c r="HM43" s="85">
        <f>IF(AND(RefiFlag=1,217&gt;RefiMonth,217&lt;=DispoMonth),1,0)</f>
        <v/>
      </c>
      <c r="HN43" s="85">
        <f>IF(AND(RefiFlag=1,218&gt;RefiMonth,218&lt;=DispoMonth),1,0)</f>
        <v/>
      </c>
      <c r="HO43" s="85">
        <f>IF(AND(RefiFlag=1,219&gt;RefiMonth,219&lt;=DispoMonth),1,0)</f>
        <v/>
      </c>
      <c r="HP43" s="85">
        <f>IF(AND(RefiFlag=1,220&gt;RefiMonth,220&lt;=DispoMonth),1,0)</f>
        <v/>
      </c>
      <c r="HQ43" s="85">
        <f>IF(AND(RefiFlag=1,221&gt;RefiMonth,221&lt;=DispoMonth),1,0)</f>
        <v/>
      </c>
      <c r="HR43" s="85">
        <f>IF(AND(RefiFlag=1,222&gt;RefiMonth,222&lt;=DispoMonth),1,0)</f>
        <v/>
      </c>
      <c r="HS43" s="85">
        <f>IF(AND(RefiFlag=1,223&gt;RefiMonth,223&lt;=DispoMonth),1,0)</f>
        <v/>
      </c>
      <c r="HT43" s="85">
        <f>IF(AND(RefiFlag=1,224&gt;RefiMonth,224&lt;=DispoMonth),1,0)</f>
        <v/>
      </c>
      <c r="HU43" s="85">
        <f>IF(AND(RefiFlag=1,225&gt;RefiMonth,225&lt;=DispoMonth),1,0)</f>
        <v/>
      </c>
      <c r="HV43" s="85">
        <f>IF(AND(RefiFlag=1,226&gt;RefiMonth,226&lt;=DispoMonth),1,0)</f>
        <v/>
      </c>
      <c r="HW43" s="85">
        <f>IF(AND(RefiFlag=1,227&gt;RefiMonth,227&lt;=DispoMonth),1,0)</f>
        <v/>
      </c>
      <c r="HX43" s="85">
        <f>IF(AND(RefiFlag=1,228&gt;RefiMonth,228&lt;=DispoMonth),1,0)</f>
        <v/>
      </c>
      <c r="HY43" s="85">
        <f>IF(AND(RefiFlag=1,229&gt;RefiMonth,229&lt;=DispoMonth),1,0)</f>
        <v/>
      </c>
      <c r="HZ43" s="85">
        <f>IF(AND(RefiFlag=1,230&gt;RefiMonth,230&lt;=DispoMonth),1,0)</f>
        <v/>
      </c>
      <c r="IA43" s="85">
        <f>IF(AND(RefiFlag=1,231&gt;RefiMonth,231&lt;=DispoMonth),1,0)</f>
        <v/>
      </c>
      <c r="IB43" s="85">
        <f>IF(AND(RefiFlag=1,232&gt;RefiMonth,232&lt;=DispoMonth),1,0)</f>
        <v/>
      </c>
      <c r="IC43" s="85">
        <f>IF(AND(RefiFlag=1,233&gt;RefiMonth,233&lt;=DispoMonth),1,0)</f>
        <v/>
      </c>
      <c r="ID43" s="85">
        <f>IF(AND(RefiFlag=1,234&gt;RefiMonth,234&lt;=DispoMonth),1,0)</f>
        <v/>
      </c>
      <c r="IE43" s="85">
        <f>IF(AND(RefiFlag=1,235&gt;RefiMonth,235&lt;=DispoMonth),1,0)</f>
        <v/>
      </c>
      <c r="IF43" s="85">
        <f>IF(AND(RefiFlag=1,236&gt;RefiMonth,236&lt;=DispoMonth),1,0)</f>
        <v/>
      </c>
      <c r="IG43" s="85">
        <f>IF(AND(RefiFlag=1,237&gt;RefiMonth,237&lt;=DispoMonth),1,0)</f>
        <v/>
      </c>
      <c r="IH43" s="85">
        <f>IF(AND(RefiFlag=1,238&gt;RefiMonth,238&lt;=DispoMonth),1,0)</f>
        <v/>
      </c>
      <c r="II43" s="85">
        <f>IF(AND(RefiFlag=1,239&gt;RefiMonth,239&lt;=DispoMonth),1,0)</f>
        <v/>
      </c>
      <c r="IJ43" s="85">
        <f>IF(AND(RefiFlag=1,240&gt;RefiMonth,240&lt;=DispoMonth),1,0)</f>
        <v/>
      </c>
      <c r="IK43" s="85">
        <f>IF(AND(RefiFlag=1,241&gt;RefiMonth,241&lt;=DispoMonth),1,0)</f>
        <v/>
      </c>
      <c r="IL43" s="85">
        <f>IF(AND(RefiFlag=1,242&gt;RefiMonth,242&lt;=DispoMonth),1,0)</f>
        <v/>
      </c>
      <c r="IM43" s="85">
        <f>IF(AND(RefiFlag=1,243&gt;RefiMonth,243&lt;=DispoMonth),1,0)</f>
        <v/>
      </c>
      <c r="IN43" s="85">
        <f>IF(AND(RefiFlag=1,244&gt;RefiMonth,244&lt;=DispoMonth),1,0)</f>
        <v/>
      </c>
      <c r="IO43" s="85">
        <f>IF(AND(RefiFlag=1,245&gt;RefiMonth,245&lt;=DispoMonth),1,0)</f>
        <v/>
      </c>
      <c r="IP43" s="85">
        <f>IF(AND(RefiFlag=1,246&gt;RefiMonth,246&lt;=DispoMonth),1,0)</f>
        <v/>
      </c>
      <c r="IQ43" s="85">
        <f>IF(AND(RefiFlag=1,247&gt;RefiMonth,247&lt;=DispoMonth),1,0)</f>
        <v/>
      </c>
      <c r="IR43" s="85">
        <f>IF(AND(RefiFlag=1,248&gt;RefiMonth,248&lt;=DispoMonth),1,0)</f>
        <v/>
      </c>
      <c r="IS43" s="85">
        <f>IF(AND(RefiFlag=1,249&gt;RefiMonth,249&lt;=DispoMonth),1,0)</f>
        <v/>
      </c>
      <c r="IT43" s="85">
        <f>IF(AND(RefiFlag=1,250&gt;RefiMonth,250&lt;=DispoMonth),1,0)</f>
        <v/>
      </c>
      <c r="IU43" s="85">
        <f>IF(AND(RefiFlag=1,251&gt;RefiMonth,251&lt;=DispoMonth),1,0)</f>
        <v/>
      </c>
      <c r="IV43" s="85">
        <f>IF(AND(RefiFlag=1,252&gt;RefiMonth,252&lt;=DispoMonth),1,0)</f>
        <v/>
      </c>
      <c r="IW43" s="85">
        <f>IF(AND(RefiFlag=1,253&gt;RefiMonth,253&lt;=DispoMonth),1,0)</f>
        <v/>
      </c>
      <c r="IX43" s="85">
        <f>IF(AND(RefiFlag=1,254&gt;RefiMonth,254&lt;=DispoMonth),1,0)</f>
        <v/>
      </c>
      <c r="IY43" s="85">
        <f>IF(AND(RefiFlag=1,255&gt;RefiMonth,255&lt;=DispoMonth),1,0)</f>
        <v/>
      </c>
      <c r="IZ43" s="85">
        <f>IF(AND(RefiFlag=1,256&gt;RefiMonth,256&lt;=DispoMonth),1,0)</f>
        <v/>
      </c>
      <c r="JA43" s="85">
        <f>IF(AND(RefiFlag=1,257&gt;RefiMonth,257&lt;=DispoMonth),1,0)</f>
        <v/>
      </c>
      <c r="JB43" s="85">
        <f>IF(AND(RefiFlag=1,258&gt;RefiMonth,258&lt;=DispoMonth),1,0)</f>
        <v/>
      </c>
      <c r="JC43" s="85">
        <f>IF(AND(RefiFlag=1,259&gt;RefiMonth,259&lt;=DispoMonth),1,0)</f>
        <v/>
      </c>
      <c r="JD43" s="85">
        <f>IF(AND(RefiFlag=1,260&gt;RefiMonth,260&lt;=DispoMonth),1,0)</f>
        <v/>
      </c>
      <c r="JE43" s="85">
        <f>IF(AND(RefiFlag=1,261&gt;RefiMonth,261&lt;=DispoMonth),1,0)</f>
        <v/>
      </c>
      <c r="JF43" s="85">
        <f>IF(AND(RefiFlag=1,262&gt;RefiMonth,262&lt;=DispoMonth),1,0)</f>
        <v/>
      </c>
      <c r="JG43" s="85">
        <f>IF(AND(RefiFlag=1,263&gt;RefiMonth,263&lt;=DispoMonth),1,0)</f>
        <v/>
      </c>
      <c r="JH43" s="85">
        <f>IF(AND(RefiFlag=1,264&gt;RefiMonth,264&lt;=DispoMonth),1,0)</f>
        <v/>
      </c>
      <c r="JI43" s="85">
        <f>IF(AND(RefiFlag=1,265&gt;RefiMonth,265&lt;=DispoMonth),1,0)</f>
        <v/>
      </c>
      <c r="JJ43" s="85">
        <f>IF(AND(RefiFlag=1,266&gt;RefiMonth,266&lt;=DispoMonth),1,0)</f>
        <v/>
      </c>
      <c r="JK43" s="85">
        <f>IF(AND(RefiFlag=1,267&gt;RefiMonth,267&lt;=DispoMonth),1,0)</f>
        <v/>
      </c>
      <c r="JL43" s="85">
        <f>IF(AND(RefiFlag=1,268&gt;RefiMonth,268&lt;=DispoMonth),1,0)</f>
        <v/>
      </c>
      <c r="JM43" s="85">
        <f>IF(AND(RefiFlag=1,269&gt;RefiMonth,269&lt;=DispoMonth),1,0)</f>
        <v/>
      </c>
      <c r="JN43" s="85">
        <f>IF(AND(RefiFlag=1,270&gt;RefiMonth,270&lt;=DispoMonth),1,0)</f>
        <v/>
      </c>
      <c r="JO43" s="85">
        <f>IF(AND(RefiFlag=1,271&gt;RefiMonth,271&lt;=DispoMonth),1,0)</f>
        <v/>
      </c>
      <c r="JP43" s="85">
        <f>IF(AND(RefiFlag=1,272&gt;RefiMonth,272&lt;=DispoMonth),1,0)</f>
        <v/>
      </c>
      <c r="JQ43" s="85">
        <f>IF(AND(RefiFlag=1,273&gt;RefiMonth,273&lt;=DispoMonth),1,0)</f>
        <v/>
      </c>
      <c r="JR43" s="85">
        <f>IF(AND(RefiFlag=1,274&gt;RefiMonth,274&lt;=DispoMonth),1,0)</f>
        <v/>
      </c>
      <c r="JS43" s="85">
        <f>IF(AND(RefiFlag=1,275&gt;RefiMonth,275&lt;=DispoMonth),1,0)</f>
        <v/>
      </c>
      <c r="JT43" s="85">
        <f>IF(AND(RefiFlag=1,276&gt;RefiMonth,276&lt;=DispoMonth),1,0)</f>
        <v/>
      </c>
      <c r="JU43" s="85">
        <f>IF(AND(RefiFlag=1,277&gt;RefiMonth,277&lt;=DispoMonth),1,0)</f>
        <v/>
      </c>
      <c r="JV43" s="85">
        <f>IF(AND(RefiFlag=1,278&gt;RefiMonth,278&lt;=DispoMonth),1,0)</f>
        <v/>
      </c>
      <c r="JW43" s="85">
        <f>IF(AND(RefiFlag=1,279&gt;RefiMonth,279&lt;=DispoMonth),1,0)</f>
        <v/>
      </c>
      <c r="JX43" s="85">
        <f>IF(AND(RefiFlag=1,280&gt;RefiMonth,280&lt;=DispoMonth),1,0)</f>
        <v/>
      </c>
      <c r="JY43" s="85">
        <f>IF(AND(RefiFlag=1,281&gt;RefiMonth,281&lt;=DispoMonth),1,0)</f>
        <v/>
      </c>
      <c r="JZ43" s="85">
        <f>IF(AND(RefiFlag=1,282&gt;RefiMonth,282&lt;=DispoMonth),1,0)</f>
        <v/>
      </c>
      <c r="KA43" s="85">
        <f>IF(AND(RefiFlag=1,283&gt;RefiMonth,283&lt;=DispoMonth),1,0)</f>
        <v/>
      </c>
      <c r="KB43" s="85">
        <f>IF(AND(RefiFlag=1,284&gt;RefiMonth,284&lt;=DispoMonth),1,0)</f>
        <v/>
      </c>
      <c r="KC43" s="85">
        <f>IF(AND(RefiFlag=1,285&gt;RefiMonth,285&lt;=DispoMonth),1,0)</f>
        <v/>
      </c>
      <c r="KD43" s="85">
        <f>IF(AND(RefiFlag=1,286&gt;RefiMonth,286&lt;=DispoMonth),1,0)</f>
        <v/>
      </c>
      <c r="KE43" s="85">
        <f>IF(AND(RefiFlag=1,287&gt;RefiMonth,287&lt;=DispoMonth),1,0)</f>
        <v/>
      </c>
      <c r="KF43" s="85">
        <f>IF(AND(RefiFlag=1,288&gt;RefiMonth,288&lt;=DispoMonth),1,0)</f>
        <v/>
      </c>
      <c r="KG43" s="85">
        <f>IF(AND(RefiFlag=1,289&gt;RefiMonth,289&lt;=DispoMonth),1,0)</f>
        <v/>
      </c>
      <c r="KH43" s="85">
        <f>IF(AND(RefiFlag=1,290&gt;RefiMonth,290&lt;=DispoMonth),1,0)</f>
        <v/>
      </c>
      <c r="KI43" s="85">
        <f>IF(AND(RefiFlag=1,291&gt;RefiMonth,291&lt;=DispoMonth),1,0)</f>
        <v/>
      </c>
      <c r="KJ43" s="85">
        <f>IF(AND(RefiFlag=1,292&gt;RefiMonth,292&lt;=DispoMonth),1,0)</f>
        <v/>
      </c>
      <c r="KK43" s="85">
        <f>IF(AND(RefiFlag=1,293&gt;RefiMonth,293&lt;=DispoMonth),1,0)</f>
        <v/>
      </c>
      <c r="KL43" s="85">
        <f>IF(AND(RefiFlag=1,294&gt;RefiMonth,294&lt;=DispoMonth),1,0)</f>
        <v/>
      </c>
      <c r="KM43" s="85">
        <f>IF(AND(RefiFlag=1,295&gt;RefiMonth,295&lt;=DispoMonth),1,0)</f>
        <v/>
      </c>
      <c r="KN43" s="85">
        <f>IF(AND(RefiFlag=1,296&gt;RefiMonth,296&lt;=DispoMonth),1,0)</f>
        <v/>
      </c>
      <c r="KO43" s="85">
        <f>IF(AND(RefiFlag=1,297&gt;RefiMonth,297&lt;=DispoMonth),1,0)</f>
        <v/>
      </c>
      <c r="KP43" s="85">
        <f>IF(AND(RefiFlag=1,298&gt;RefiMonth,298&lt;=DispoMonth),1,0)</f>
        <v/>
      </c>
      <c r="KQ43" s="85">
        <f>IF(AND(RefiFlag=1,299&gt;RefiMonth,299&lt;=DispoMonth),1,0)</f>
        <v/>
      </c>
      <c r="KR43" s="85">
        <f>IF(AND(RefiFlag=1,300&gt;RefiMonth,300&lt;=DispoMonth),1,0)</f>
        <v/>
      </c>
      <c r="KS43" s="85">
        <f>IF(AND(RefiFlag=1,301&gt;RefiMonth,301&lt;=DispoMonth),1,0)</f>
        <v/>
      </c>
      <c r="KT43" s="85">
        <f>IF(AND(RefiFlag=1,302&gt;RefiMonth,302&lt;=DispoMonth),1,0)</f>
        <v/>
      </c>
      <c r="KU43" s="85">
        <f>IF(AND(RefiFlag=1,303&gt;RefiMonth,303&lt;=DispoMonth),1,0)</f>
        <v/>
      </c>
      <c r="KV43" s="85">
        <f>IF(AND(RefiFlag=1,304&gt;RefiMonth,304&lt;=DispoMonth),1,0)</f>
        <v/>
      </c>
      <c r="KW43" s="85">
        <f>IF(AND(RefiFlag=1,305&gt;RefiMonth,305&lt;=DispoMonth),1,0)</f>
        <v/>
      </c>
      <c r="KX43" s="85">
        <f>IF(AND(RefiFlag=1,306&gt;RefiMonth,306&lt;=DispoMonth),1,0)</f>
        <v/>
      </c>
      <c r="KY43" s="85">
        <f>IF(AND(RefiFlag=1,307&gt;RefiMonth,307&lt;=DispoMonth),1,0)</f>
        <v/>
      </c>
      <c r="KZ43" s="85">
        <f>IF(AND(RefiFlag=1,308&gt;RefiMonth,308&lt;=DispoMonth),1,0)</f>
        <v/>
      </c>
      <c r="LA43" s="85">
        <f>IF(AND(RefiFlag=1,309&gt;RefiMonth,309&lt;=DispoMonth),1,0)</f>
        <v/>
      </c>
      <c r="LB43" s="85">
        <f>IF(AND(RefiFlag=1,310&gt;RefiMonth,310&lt;=DispoMonth),1,0)</f>
        <v/>
      </c>
      <c r="LC43" s="85">
        <f>IF(AND(RefiFlag=1,311&gt;RefiMonth,311&lt;=DispoMonth),1,0)</f>
        <v/>
      </c>
      <c r="LD43" s="85">
        <f>IF(AND(RefiFlag=1,312&gt;RefiMonth,312&lt;=DispoMonth),1,0)</f>
        <v/>
      </c>
      <c r="LE43" s="85">
        <f>IF(AND(RefiFlag=1,313&gt;RefiMonth,313&lt;=DispoMonth),1,0)</f>
        <v/>
      </c>
      <c r="LF43" s="85">
        <f>IF(AND(RefiFlag=1,314&gt;RefiMonth,314&lt;=DispoMonth),1,0)</f>
        <v/>
      </c>
      <c r="LG43" s="85">
        <f>IF(AND(RefiFlag=1,315&gt;RefiMonth,315&lt;=DispoMonth),1,0)</f>
        <v/>
      </c>
      <c r="LH43" s="85">
        <f>IF(AND(RefiFlag=1,316&gt;RefiMonth,316&lt;=DispoMonth),1,0)</f>
        <v/>
      </c>
      <c r="LI43" s="85">
        <f>IF(AND(RefiFlag=1,317&gt;RefiMonth,317&lt;=DispoMonth),1,0)</f>
        <v/>
      </c>
      <c r="LJ43" s="85">
        <f>IF(AND(RefiFlag=1,318&gt;RefiMonth,318&lt;=DispoMonth),1,0)</f>
        <v/>
      </c>
      <c r="LK43" s="85">
        <f>IF(AND(RefiFlag=1,319&gt;RefiMonth,319&lt;=DispoMonth),1,0)</f>
        <v/>
      </c>
      <c r="LL43" s="85">
        <f>IF(AND(RefiFlag=1,320&gt;RefiMonth,320&lt;=DispoMonth),1,0)</f>
        <v/>
      </c>
      <c r="LM43" s="85">
        <f>IF(AND(RefiFlag=1,321&gt;RefiMonth,321&lt;=DispoMonth),1,0)</f>
        <v/>
      </c>
      <c r="LN43" s="85">
        <f>IF(AND(RefiFlag=1,322&gt;RefiMonth,322&lt;=DispoMonth),1,0)</f>
        <v/>
      </c>
      <c r="LO43" s="85">
        <f>IF(AND(RefiFlag=1,323&gt;RefiMonth,323&lt;=DispoMonth),1,0)</f>
        <v/>
      </c>
      <c r="LP43" s="85">
        <f>IF(AND(RefiFlag=1,324&gt;RefiMonth,324&lt;=DispoMonth),1,0)</f>
        <v/>
      </c>
      <c r="LQ43" s="85">
        <f>IF(AND(RefiFlag=1,325&gt;RefiMonth,325&lt;=DispoMonth),1,0)</f>
        <v/>
      </c>
      <c r="LR43" s="85">
        <f>IF(AND(RefiFlag=1,326&gt;RefiMonth,326&lt;=DispoMonth),1,0)</f>
        <v/>
      </c>
      <c r="LS43" s="85">
        <f>IF(AND(RefiFlag=1,327&gt;RefiMonth,327&lt;=DispoMonth),1,0)</f>
        <v/>
      </c>
      <c r="LT43" s="85">
        <f>IF(AND(RefiFlag=1,328&gt;RefiMonth,328&lt;=DispoMonth),1,0)</f>
        <v/>
      </c>
      <c r="LU43" s="85">
        <f>IF(AND(RefiFlag=1,329&gt;RefiMonth,329&lt;=DispoMonth),1,0)</f>
        <v/>
      </c>
      <c r="LV43" s="85">
        <f>IF(AND(RefiFlag=1,330&gt;RefiMonth,330&lt;=DispoMonth),1,0)</f>
        <v/>
      </c>
      <c r="LW43" s="85">
        <f>IF(AND(RefiFlag=1,331&gt;RefiMonth,331&lt;=DispoMonth),1,0)</f>
        <v/>
      </c>
      <c r="LX43" s="85">
        <f>IF(AND(RefiFlag=1,332&gt;RefiMonth,332&lt;=DispoMonth),1,0)</f>
        <v/>
      </c>
      <c r="LY43" s="85">
        <f>IF(AND(RefiFlag=1,333&gt;RefiMonth,333&lt;=DispoMonth),1,0)</f>
        <v/>
      </c>
      <c r="LZ43" s="85">
        <f>IF(AND(RefiFlag=1,334&gt;RefiMonth,334&lt;=DispoMonth),1,0)</f>
        <v/>
      </c>
      <c r="MA43" s="85">
        <f>IF(AND(RefiFlag=1,335&gt;RefiMonth,335&lt;=DispoMonth),1,0)</f>
        <v/>
      </c>
      <c r="MB43" s="85">
        <f>IF(AND(RefiFlag=1,336&gt;RefiMonth,336&lt;=DispoMonth),1,0)</f>
        <v/>
      </c>
      <c r="MC43" s="85">
        <f>IF(AND(RefiFlag=1,337&gt;RefiMonth,337&lt;=DispoMonth),1,0)</f>
        <v/>
      </c>
      <c r="MD43" s="85">
        <f>IF(AND(RefiFlag=1,338&gt;RefiMonth,338&lt;=DispoMonth),1,0)</f>
        <v/>
      </c>
      <c r="ME43" s="85">
        <f>IF(AND(RefiFlag=1,339&gt;RefiMonth,339&lt;=DispoMonth),1,0)</f>
        <v/>
      </c>
      <c r="MF43" s="85">
        <f>IF(AND(RefiFlag=1,340&gt;RefiMonth,340&lt;=DispoMonth),1,0)</f>
        <v/>
      </c>
      <c r="MG43" s="85">
        <f>IF(AND(RefiFlag=1,341&gt;RefiMonth,341&lt;=DispoMonth),1,0)</f>
        <v/>
      </c>
      <c r="MH43" s="85">
        <f>IF(AND(RefiFlag=1,342&gt;RefiMonth,342&lt;=DispoMonth),1,0)</f>
        <v/>
      </c>
      <c r="MI43" s="85">
        <f>IF(AND(RefiFlag=1,343&gt;RefiMonth,343&lt;=DispoMonth),1,0)</f>
        <v/>
      </c>
      <c r="MJ43" s="85">
        <f>IF(AND(RefiFlag=1,344&gt;RefiMonth,344&lt;=DispoMonth),1,0)</f>
        <v/>
      </c>
      <c r="MK43" s="85">
        <f>IF(AND(RefiFlag=1,345&gt;RefiMonth,345&lt;=DispoMonth),1,0)</f>
        <v/>
      </c>
      <c r="ML43" s="85">
        <f>IF(AND(RefiFlag=1,346&gt;RefiMonth,346&lt;=DispoMonth),1,0)</f>
        <v/>
      </c>
      <c r="MM43" s="85">
        <f>IF(AND(RefiFlag=1,347&gt;RefiMonth,347&lt;=DispoMonth),1,0)</f>
        <v/>
      </c>
      <c r="MN43" s="85">
        <f>IF(AND(RefiFlag=1,348&gt;RefiMonth,348&lt;=DispoMonth),1,0)</f>
        <v/>
      </c>
      <c r="MO43" s="85">
        <f>IF(AND(RefiFlag=1,349&gt;RefiMonth,349&lt;=DispoMonth),1,0)</f>
        <v/>
      </c>
      <c r="MP43" s="85">
        <f>IF(AND(RefiFlag=1,350&gt;RefiMonth,350&lt;=DispoMonth),1,0)</f>
        <v/>
      </c>
      <c r="MQ43" s="85">
        <f>IF(AND(RefiFlag=1,351&gt;RefiMonth,351&lt;=DispoMonth),1,0)</f>
        <v/>
      </c>
      <c r="MR43" s="85">
        <f>IF(AND(RefiFlag=1,352&gt;RefiMonth,352&lt;=DispoMonth),1,0)</f>
        <v/>
      </c>
      <c r="MS43" s="85">
        <f>IF(AND(RefiFlag=1,353&gt;RefiMonth,353&lt;=DispoMonth),1,0)</f>
        <v/>
      </c>
      <c r="MT43" s="85">
        <f>IF(AND(RefiFlag=1,354&gt;RefiMonth,354&lt;=DispoMonth),1,0)</f>
        <v/>
      </c>
      <c r="MU43" s="85">
        <f>IF(AND(RefiFlag=1,355&gt;RefiMonth,355&lt;=DispoMonth),1,0)</f>
        <v/>
      </c>
      <c r="MV43" s="85">
        <f>IF(AND(RefiFlag=1,356&gt;RefiMonth,356&lt;=DispoMonth),1,0)</f>
        <v/>
      </c>
      <c r="MW43" s="85">
        <f>IF(AND(RefiFlag=1,357&gt;RefiMonth,357&lt;=DispoMonth),1,0)</f>
        <v/>
      </c>
      <c r="MX43" s="85">
        <f>IF(AND(RefiFlag=1,358&gt;RefiMonth,358&lt;=DispoMonth),1,0)</f>
        <v/>
      </c>
      <c r="MY43" s="85">
        <f>IF(AND(RefiFlag=1,359&gt;RefiMonth,359&lt;=DispoMonth),1,0)</f>
        <v/>
      </c>
      <c r="MZ43" s="85">
        <f>IF(AND(RefiFlag=1,360&gt;RefiMonth,360&lt;=DispoMonth),1,0)</f>
        <v/>
      </c>
      <c r="NA43" s="85">
        <f>IF(AND(RefiFlag=1,361&gt;RefiMonth,361&lt;=DispoMonth),1,0)</f>
        <v/>
      </c>
      <c r="NB43" s="85">
        <f>IF(AND(RefiFlag=1,362&gt;RefiMonth,362&lt;=DispoMonth),1,0)</f>
        <v/>
      </c>
      <c r="NC43" s="85">
        <f>IF(AND(RefiFlag=1,363&gt;RefiMonth,363&lt;=DispoMonth),1,0)</f>
        <v/>
      </c>
      <c r="ND43" s="85">
        <f>IF(AND(RefiFlag=1,364&gt;RefiMonth,364&lt;=DispoMonth),1,0)</f>
        <v/>
      </c>
      <c r="NE43" s="85">
        <f>IF(AND(RefiFlag=1,365&gt;RefiMonth,365&lt;=DispoMonth),1,0)</f>
        <v/>
      </c>
      <c r="NF43" s="85">
        <f>IF(AND(RefiFlag=1,366&gt;RefiMonth,366&lt;=DispoMonth),1,0)</f>
        <v/>
      </c>
      <c r="NG43" s="85">
        <f>IF(AND(RefiFlag=1,367&gt;RefiMonth,367&lt;=DispoMonth),1,0)</f>
        <v/>
      </c>
      <c r="NH43" s="85">
        <f>IF(AND(RefiFlag=1,368&gt;RefiMonth,368&lt;=DispoMonth),1,0)</f>
        <v/>
      </c>
      <c r="NI43" s="85">
        <f>IF(AND(RefiFlag=1,369&gt;RefiMonth,369&lt;=DispoMonth),1,0)</f>
        <v/>
      </c>
      <c r="NJ43" s="85">
        <f>IF(AND(RefiFlag=1,370&gt;RefiMonth,370&lt;=DispoMonth),1,0)</f>
        <v/>
      </c>
      <c r="NK43" s="85">
        <f>IF(AND(RefiFlag=1,371&gt;RefiMonth,371&lt;=DispoMonth),1,0)</f>
        <v/>
      </c>
      <c r="NL43" s="85">
        <f>IF(AND(RefiFlag=1,372&gt;RefiMonth,372&lt;=DispoMonth),1,0)</f>
        <v/>
      </c>
    </row>
    <row r="45">
      <c r="B45" s="316" t="inlineStr">
        <is>
          <t>Operating Tax Start Month (capitalization boundary)</t>
        </is>
      </c>
      <c r="C45" s="294">
        <f>IF(TaxCapitalizeLeaseUp&gt;=1,StabMonth,DeliverStart)</f>
        <v/>
      </c>
    </row>
    <row r="47">
      <c r="B47" s="316" t="inlineStr">
        <is>
          <t>Interest Conversion Month</t>
        </is>
      </c>
      <c r="C47" s="294">
        <f>IF(IntConvMonthOverride&gt;0,IntConvMonthOverride,StabMonth)</f>
        <v/>
      </c>
    </row>
    <row r="48">
      <c r="B48" s="316" t="inlineStr">
        <is>
          <t>Construction End Month</t>
        </is>
      </c>
      <c r="C48" s="294">
        <f>MS_Construction_End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B1:NU108"/>
  <sheetViews>
    <sheetView showGridLines="0" workbookViewId="0">
      <pane xSplit="4" ySplit="5" topLeftCell="E6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5" sqref="E5"/>
    </sheetView>
  </sheetViews>
  <sheetFormatPr baseColWidth="8" defaultRowHeight="15"/>
  <cols>
    <col width="3.7109375" customWidth="1" style="97" min="1" max="1"/>
    <col width="32" customWidth="1" style="97" min="2" max="2"/>
    <col width="2" customWidth="1" style="97" min="3" max="3"/>
    <col width="15" customWidth="1" style="97" min="4" max="4"/>
    <col width="11" customWidth="1" style="97" min="5" max="376"/>
    <col outlineLevel="1" width="11" customWidth="1" style="97" min="6" max="16"/>
    <col width="11" customWidth="1" style="97" min="17" max="17"/>
    <col outlineLevel="1" width="11" customWidth="1" style="97" min="18" max="28"/>
    <col width="11" customWidth="1" style="97" min="29" max="29"/>
    <col outlineLevel="1" width="11" customWidth="1" style="97" min="30" max="40"/>
    <col width="11" customWidth="1" style="97" min="41" max="41"/>
    <col outlineLevel="1" width="11" customWidth="1" style="97" min="42" max="52"/>
    <col width="11" customWidth="1" style="97" min="53" max="53"/>
    <col outlineLevel="1" width="11" customWidth="1" style="97" min="54" max="64"/>
    <col width="11" customWidth="1" style="97" min="65" max="65"/>
    <col outlineLevel="1" width="11" customWidth="1" style="97" min="66" max="76"/>
    <col width="11" customWidth="1" style="97" min="77" max="77"/>
    <col outlineLevel="1" width="11" customWidth="1" style="97" min="78" max="88"/>
    <col width="11" customWidth="1" style="97" min="89" max="89"/>
    <col outlineLevel="1" width="11" customWidth="1" style="97" min="90" max="100"/>
    <col width="11" customWidth="1" style="97" min="101" max="101"/>
    <col outlineLevel="1" width="11" customWidth="1" style="97" min="102" max="112"/>
    <col width="11" customWidth="1" style="97" min="113" max="113"/>
    <col outlineLevel="1" width="11" customWidth="1" style="97" min="114" max="124"/>
    <col width="11" customWidth="1" style="97" min="125" max="125"/>
    <col outlineLevel="1" width="11" customWidth="1" style="97" min="126" max="136"/>
    <col width="11" customWidth="1" style="97" min="137" max="137"/>
    <col outlineLevel="1" width="11" customWidth="1" style="97" min="138" max="148"/>
    <col width="11" customWidth="1" style="97" min="149" max="149"/>
    <col outlineLevel="1" width="11" customWidth="1" style="97" min="150" max="160"/>
    <col width="11" customWidth="1" style="97" min="161" max="161"/>
    <col outlineLevel="1" width="11" customWidth="1" style="97" min="162" max="172"/>
    <col width="11" customWidth="1" style="97" min="173" max="173"/>
    <col outlineLevel="1" width="11" customWidth="1" style="97" min="174" max="184"/>
    <col width="11" customWidth="1" style="97" min="185" max="185"/>
    <col outlineLevel="1" width="11" customWidth="1" style="97" min="186" max="196"/>
    <col width="11" customWidth="1" style="97" min="197" max="197"/>
    <col outlineLevel="1" width="11" customWidth="1" style="97" min="198" max="208"/>
    <col width="11" customWidth="1" style="97" min="209" max="209"/>
    <col outlineLevel="1" width="11" customWidth="1" style="97" min="210" max="220"/>
    <col width="11" customWidth="1" style="97" min="221" max="221"/>
    <col outlineLevel="1" width="11" customWidth="1" style="97" min="222" max="232"/>
    <col width="11" customWidth="1" style="97" min="233" max="233"/>
    <col outlineLevel="1" width="11" customWidth="1" style="97" min="234" max="244"/>
    <col width="11" customWidth="1" style="97" min="245" max="245"/>
    <col outlineLevel="1" width="11" customWidth="1" style="97" min="246" max="256"/>
    <col width="11" customWidth="1" style="97" min="257" max="257"/>
    <col outlineLevel="1" width="11" customWidth="1" style="97" min="258" max="268"/>
    <col width="11" customWidth="1" style="97" min="269" max="269"/>
    <col outlineLevel="1" width="11" customWidth="1" style="97" min="270" max="280"/>
    <col width="11" customWidth="1" style="97" min="281" max="281"/>
    <col outlineLevel="1" width="11" customWidth="1" style="97" min="282" max="292"/>
    <col width="11" customWidth="1" style="97" min="293" max="293"/>
    <col outlineLevel="1" width="11" customWidth="1" style="97" min="294" max="304"/>
    <col width="11" customWidth="1" style="97" min="305" max="305"/>
    <col outlineLevel="1" width="11" customWidth="1" style="97" min="306" max="316"/>
    <col width="11" customWidth="1" style="97" min="317" max="317"/>
    <col outlineLevel="1" width="11" customWidth="1" style="97" min="318" max="328"/>
    <col width="11" customWidth="1" style="97" min="329" max="329"/>
    <col outlineLevel="1" width="11" customWidth="1" style="97" min="330" max="340"/>
    <col width="11" customWidth="1" style="97" min="341" max="341"/>
    <col outlineLevel="1" width="11" customWidth="1" style="97" min="342" max="352"/>
    <col width="11" customWidth="1" style="97" min="353" max="353"/>
    <col outlineLevel="1" width="11" customWidth="1" style="97" min="354" max="364"/>
    <col width="11" customWidth="1" style="97" min="365" max="365"/>
    <col outlineLevel="1" width="11" customWidth="1" style="97" min="366" max="376"/>
    <col hidden="1" width="13" customWidth="1" style="97" min="377" max="377"/>
    <col hidden="1" width="13" customWidth="1" style="97" min="378" max="378"/>
    <col hidden="1" width="13" customWidth="1" style="97" min="379" max="379"/>
    <col hidden="1" width="13" customWidth="1" style="97" min="380" max="380"/>
    <col hidden="1" width="13" customWidth="1" style="97" min="381" max="381"/>
    <col hidden="1" width="13" customWidth="1" style="97" min="382" max="382"/>
    <col hidden="1" width="13" customWidth="1" style="97" min="383" max="383"/>
    <col hidden="1" width="13" customWidth="1" style="97" min="384" max="384"/>
    <col hidden="1" width="13" customWidth="1" style="97" min="385" max="385"/>
  </cols>
  <sheetData>
    <row r="1" ht="21" customHeight="1" s="97">
      <c r="B1" s="1" t="inlineStr">
        <is>
          <t>Development Cost-Curve Engine — Monthly Spend by Line</t>
        </is>
      </c>
    </row>
    <row r="3">
      <c r="NN3" s="25" t="inlineStr">
        <is>
          <t>total</t>
        </is>
      </c>
      <c r="NO3" s="25" t="inlineStr">
        <is>
          <t>phase</t>
        </is>
      </c>
      <c r="NP3" s="25" t="inlineStr">
        <is>
          <t>curve</t>
        </is>
      </c>
      <c r="NQ3" s="25" t="inlineStr">
        <is>
          <t>mod</t>
        </is>
      </c>
      <c r="NR3" s="25" t="inlineStr">
        <is>
          <t>start</t>
        </is>
      </c>
      <c r="NS3" s="25" t="inlineStr">
        <is>
          <t>end</t>
        </is>
      </c>
      <c r="NT3" s="25" t="inlineStr">
        <is>
          <t>n</t>
        </is>
      </c>
      <c r="NU3" s="25" t="inlineStr">
        <is>
          <t>denom</t>
        </is>
      </c>
    </row>
    <row r="4">
      <c r="B4" s="434" t="inlineStr">
        <is>
          <t>Period →</t>
        </is>
      </c>
      <c r="C4" s="107" t="n"/>
      <c r="D4" s="435" t="inlineStr">
        <is>
          <t>Total</t>
        </is>
      </c>
      <c r="E4" s="436" t="n">
        <v>1</v>
      </c>
      <c r="F4" s="436" t="n">
        <v>2</v>
      </c>
      <c r="G4" s="436" t="n">
        <v>3</v>
      </c>
      <c r="H4" s="436" t="n">
        <v>4</v>
      </c>
      <c r="I4" s="436" t="n">
        <v>5</v>
      </c>
      <c r="J4" s="436" t="n">
        <v>6</v>
      </c>
      <c r="K4" s="436" t="n">
        <v>7</v>
      </c>
      <c r="L4" s="436" t="n">
        <v>8</v>
      </c>
      <c r="M4" s="436" t="n">
        <v>9</v>
      </c>
      <c r="N4" s="436" t="n">
        <v>10</v>
      </c>
      <c r="O4" s="436" t="n">
        <v>11</v>
      </c>
      <c r="P4" s="436" t="n">
        <v>12</v>
      </c>
      <c r="Q4" s="436" t="n">
        <v>13</v>
      </c>
      <c r="R4" s="436" t="n">
        <v>14</v>
      </c>
      <c r="S4" s="436" t="n">
        <v>15</v>
      </c>
      <c r="T4" s="436" t="n">
        <v>16</v>
      </c>
      <c r="U4" s="436" t="n">
        <v>17</v>
      </c>
      <c r="V4" s="436" t="n">
        <v>18</v>
      </c>
      <c r="W4" s="436" t="n">
        <v>19</v>
      </c>
      <c r="X4" s="436" t="n">
        <v>20</v>
      </c>
      <c r="Y4" s="436" t="n">
        <v>21</v>
      </c>
      <c r="Z4" s="436" t="n">
        <v>22</v>
      </c>
      <c r="AA4" s="436" t="n">
        <v>23</v>
      </c>
      <c r="AB4" s="436" t="n">
        <v>24</v>
      </c>
      <c r="AC4" s="436" t="n">
        <v>25</v>
      </c>
      <c r="AD4" s="436" t="n">
        <v>26</v>
      </c>
      <c r="AE4" s="436" t="n">
        <v>27</v>
      </c>
      <c r="AF4" s="436" t="n">
        <v>28</v>
      </c>
      <c r="AG4" s="436" t="n">
        <v>29</v>
      </c>
      <c r="AH4" s="436" t="n">
        <v>30</v>
      </c>
      <c r="AI4" s="436" t="n">
        <v>31</v>
      </c>
      <c r="AJ4" s="436" t="n">
        <v>32</v>
      </c>
      <c r="AK4" s="436" t="n">
        <v>33</v>
      </c>
      <c r="AL4" s="436" t="n">
        <v>34</v>
      </c>
      <c r="AM4" s="436" t="n">
        <v>35</v>
      </c>
      <c r="AN4" s="436" t="n">
        <v>36</v>
      </c>
      <c r="AO4" s="436" t="n">
        <v>37</v>
      </c>
      <c r="AP4" s="436" t="n">
        <v>38</v>
      </c>
      <c r="AQ4" s="436" t="n">
        <v>39</v>
      </c>
      <c r="AR4" s="436" t="n">
        <v>40</v>
      </c>
      <c r="AS4" s="436" t="n">
        <v>41</v>
      </c>
      <c r="AT4" s="436" t="n">
        <v>42</v>
      </c>
      <c r="AU4" s="436" t="n">
        <v>43</v>
      </c>
      <c r="AV4" s="436" t="n">
        <v>44</v>
      </c>
      <c r="AW4" s="436" t="n">
        <v>45</v>
      </c>
      <c r="AX4" s="436" t="n">
        <v>46</v>
      </c>
      <c r="AY4" s="436" t="n">
        <v>47</v>
      </c>
      <c r="AZ4" s="436" t="n">
        <v>48</v>
      </c>
      <c r="BA4" s="436" t="n">
        <v>49</v>
      </c>
      <c r="BB4" s="436" t="n">
        <v>50</v>
      </c>
      <c r="BC4" s="436" t="n">
        <v>51</v>
      </c>
      <c r="BD4" s="436" t="n">
        <v>52</v>
      </c>
      <c r="BE4" s="436" t="n">
        <v>53</v>
      </c>
      <c r="BF4" s="436" t="n">
        <v>54</v>
      </c>
      <c r="BG4" s="436" t="n">
        <v>55</v>
      </c>
      <c r="BH4" s="436" t="n">
        <v>56</v>
      </c>
      <c r="BI4" s="436" t="n">
        <v>57</v>
      </c>
      <c r="BJ4" s="436" t="n">
        <v>58</v>
      </c>
      <c r="BK4" s="436" t="n">
        <v>59</v>
      </c>
      <c r="BL4" s="436" t="n">
        <v>60</v>
      </c>
      <c r="BM4" s="436" t="n">
        <v>61</v>
      </c>
      <c r="BN4" s="436" t="n">
        <v>62</v>
      </c>
      <c r="BO4" s="436" t="n">
        <v>63</v>
      </c>
      <c r="BP4" s="436" t="n">
        <v>64</v>
      </c>
      <c r="BQ4" s="436" t="n">
        <v>65</v>
      </c>
      <c r="BR4" s="436" t="n">
        <v>66</v>
      </c>
      <c r="BS4" s="436" t="n">
        <v>67</v>
      </c>
      <c r="BT4" s="436" t="n">
        <v>68</v>
      </c>
      <c r="BU4" s="436" t="n">
        <v>69</v>
      </c>
      <c r="BV4" s="436" t="n">
        <v>70</v>
      </c>
      <c r="BW4" s="436" t="n">
        <v>71</v>
      </c>
      <c r="BX4" s="436" t="n">
        <v>72</v>
      </c>
      <c r="BY4" s="436" t="n">
        <v>73</v>
      </c>
      <c r="BZ4" s="436" t="n">
        <v>74</v>
      </c>
      <c r="CA4" s="436" t="n">
        <v>75</v>
      </c>
      <c r="CB4" s="436" t="n">
        <v>76</v>
      </c>
      <c r="CC4" s="436" t="n">
        <v>77</v>
      </c>
      <c r="CD4" s="436" t="n">
        <v>78</v>
      </c>
      <c r="CE4" s="436" t="n">
        <v>79</v>
      </c>
      <c r="CF4" s="436" t="n">
        <v>80</v>
      </c>
      <c r="CG4" s="436" t="n">
        <v>81</v>
      </c>
      <c r="CH4" s="436" t="n">
        <v>82</v>
      </c>
      <c r="CI4" s="436" t="n">
        <v>83</v>
      </c>
      <c r="CJ4" s="436" t="n">
        <v>84</v>
      </c>
      <c r="CK4" s="436" t="n">
        <v>85</v>
      </c>
      <c r="CL4" s="436" t="n">
        <v>86</v>
      </c>
      <c r="CM4" s="436" t="n">
        <v>87</v>
      </c>
      <c r="CN4" s="436" t="n">
        <v>88</v>
      </c>
      <c r="CO4" s="436" t="n">
        <v>89</v>
      </c>
      <c r="CP4" s="436" t="n">
        <v>90</v>
      </c>
      <c r="CQ4" s="436" t="n">
        <v>91</v>
      </c>
      <c r="CR4" s="436" t="n">
        <v>92</v>
      </c>
      <c r="CS4" s="436" t="n">
        <v>93</v>
      </c>
      <c r="CT4" s="436" t="n">
        <v>94</v>
      </c>
      <c r="CU4" s="436" t="n">
        <v>95</v>
      </c>
      <c r="CV4" s="436" t="n">
        <v>96</v>
      </c>
      <c r="CW4" s="436" t="n">
        <v>97</v>
      </c>
      <c r="CX4" s="436" t="n">
        <v>98</v>
      </c>
      <c r="CY4" s="436" t="n">
        <v>99</v>
      </c>
      <c r="CZ4" s="436" t="n">
        <v>100</v>
      </c>
      <c r="DA4" s="436" t="n">
        <v>101</v>
      </c>
      <c r="DB4" s="436" t="n">
        <v>102</v>
      </c>
      <c r="DC4" s="436" t="n">
        <v>103</v>
      </c>
      <c r="DD4" s="436" t="n">
        <v>104</v>
      </c>
      <c r="DE4" s="436" t="n">
        <v>105</v>
      </c>
      <c r="DF4" s="436" t="n">
        <v>106</v>
      </c>
      <c r="DG4" s="436" t="n">
        <v>107</v>
      </c>
      <c r="DH4" s="436" t="n">
        <v>108</v>
      </c>
      <c r="DI4" s="436" t="n">
        <v>109</v>
      </c>
      <c r="DJ4" s="436" t="n">
        <v>110</v>
      </c>
      <c r="DK4" s="436" t="n">
        <v>111</v>
      </c>
      <c r="DL4" s="436" t="n">
        <v>112</v>
      </c>
      <c r="DM4" s="436" t="n">
        <v>113</v>
      </c>
      <c r="DN4" s="436" t="n">
        <v>114</v>
      </c>
      <c r="DO4" s="436" t="n">
        <v>115</v>
      </c>
      <c r="DP4" s="436" t="n">
        <v>116</v>
      </c>
      <c r="DQ4" s="436" t="n">
        <v>117</v>
      </c>
      <c r="DR4" s="436" t="n">
        <v>118</v>
      </c>
      <c r="DS4" s="436" t="n">
        <v>119</v>
      </c>
      <c r="DT4" s="436" t="n">
        <v>120</v>
      </c>
      <c r="DU4" s="436" t="n">
        <v>121</v>
      </c>
      <c r="DV4" s="436" t="n">
        <v>122</v>
      </c>
      <c r="DW4" s="436" t="n">
        <v>123</v>
      </c>
      <c r="DX4" s="436" t="n">
        <v>124</v>
      </c>
      <c r="DY4" s="436" t="n">
        <v>125</v>
      </c>
      <c r="DZ4" s="436" t="n">
        <v>126</v>
      </c>
      <c r="EA4" s="436" t="n">
        <v>127</v>
      </c>
      <c r="EB4" s="436" t="n">
        <v>128</v>
      </c>
      <c r="EC4" s="436" t="n">
        <v>129</v>
      </c>
      <c r="ED4" s="436" t="n">
        <v>130</v>
      </c>
      <c r="EE4" s="436" t="n">
        <v>131</v>
      </c>
      <c r="EF4" s="436" t="n">
        <v>132</v>
      </c>
      <c r="EG4" s="436" t="n">
        <v>133</v>
      </c>
      <c r="EH4" s="436" t="n">
        <v>134</v>
      </c>
      <c r="EI4" s="436" t="n">
        <v>135</v>
      </c>
      <c r="EJ4" s="436" t="n">
        <v>136</v>
      </c>
      <c r="EK4" s="436" t="n">
        <v>137</v>
      </c>
      <c r="EL4" s="436" t="n">
        <v>138</v>
      </c>
      <c r="EM4" s="436" t="n">
        <v>139</v>
      </c>
      <c r="EN4" s="436" t="n">
        <v>140</v>
      </c>
      <c r="EO4" s="436" t="n">
        <v>141</v>
      </c>
      <c r="EP4" s="436" t="n">
        <v>142</v>
      </c>
      <c r="EQ4" s="436" t="n">
        <v>143</v>
      </c>
      <c r="ER4" s="436" t="n">
        <v>144</v>
      </c>
      <c r="ES4" s="436" t="n">
        <v>145</v>
      </c>
      <c r="ET4" s="436" t="n">
        <v>146</v>
      </c>
      <c r="EU4" s="436" t="n">
        <v>147</v>
      </c>
      <c r="EV4" s="436" t="n">
        <v>148</v>
      </c>
      <c r="EW4" s="436" t="n">
        <v>149</v>
      </c>
      <c r="EX4" s="436" t="n">
        <v>150</v>
      </c>
      <c r="EY4" s="436" t="n">
        <v>151</v>
      </c>
      <c r="EZ4" s="436" t="n">
        <v>152</v>
      </c>
      <c r="FA4" s="436" t="n">
        <v>153</v>
      </c>
      <c r="FB4" s="436" t="n">
        <v>154</v>
      </c>
      <c r="FC4" s="436" t="n">
        <v>155</v>
      </c>
      <c r="FD4" s="436" t="n">
        <v>156</v>
      </c>
      <c r="FE4" s="436" t="n">
        <v>157</v>
      </c>
      <c r="FF4" s="436" t="n">
        <v>158</v>
      </c>
      <c r="FG4" s="436" t="n">
        <v>159</v>
      </c>
      <c r="FH4" s="436" t="n">
        <v>160</v>
      </c>
      <c r="FI4" s="436" t="n">
        <v>161</v>
      </c>
      <c r="FJ4" s="436" t="n">
        <v>162</v>
      </c>
      <c r="FK4" s="436" t="n">
        <v>163</v>
      </c>
      <c r="FL4" s="436" t="n">
        <v>164</v>
      </c>
      <c r="FM4" s="436" t="n">
        <v>165</v>
      </c>
      <c r="FN4" s="436" t="n">
        <v>166</v>
      </c>
      <c r="FO4" s="436" t="n">
        <v>167</v>
      </c>
      <c r="FP4" s="436" t="n">
        <v>168</v>
      </c>
      <c r="FQ4" s="436" t="n">
        <v>169</v>
      </c>
      <c r="FR4" s="436" t="n">
        <v>170</v>
      </c>
      <c r="FS4" s="436" t="n">
        <v>171</v>
      </c>
      <c r="FT4" s="436" t="n">
        <v>172</v>
      </c>
      <c r="FU4" s="436" t="n">
        <v>173</v>
      </c>
      <c r="FV4" s="436" t="n">
        <v>174</v>
      </c>
      <c r="FW4" s="436" t="n">
        <v>175</v>
      </c>
      <c r="FX4" s="436" t="n">
        <v>176</v>
      </c>
      <c r="FY4" s="436" t="n">
        <v>177</v>
      </c>
      <c r="FZ4" s="436" t="n">
        <v>178</v>
      </c>
      <c r="GA4" s="436" t="n">
        <v>179</v>
      </c>
      <c r="GB4" s="436" t="n">
        <v>180</v>
      </c>
      <c r="GC4" s="436" t="n">
        <v>181</v>
      </c>
      <c r="GD4" s="436" t="n">
        <v>182</v>
      </c>
      <c r="GE4" s="436" t="n">
        <v>183</v>
      </c>
      <c r="GF4" s="436" t="n">
        <v>184</v>
      </c>
      <c r="GG4" s="436" t="n">
        <v>185</v>
      </c>
      <c r="GH4" s="436" t="n">
        <v>186</v>
      </c>
      <c r="GI4" s="436" t="n">
        <v>187</v>
      </c>
      <c r="GJ4" s="436" t="n">
        <v>188</v>
      </c>
      <c r="GK4" s="436" t="n">
        <v>189</v>
      </c>
      <c r="GL4" s="436" t="n">
        <v>190</v>
      </c>
      <c r="GM4" s="436" t="n">
        <v>191</v>
      </c>
      <c r="GN4" s="436" t="n">
        <v>192</v>
      </c>
      <c r="GO4" s="436" t="n">
        <v>193</v>
      </c>
      <c r="GP4" s="436" t="n">
        <v>194</v>
      </c>
      <c r="GQ4" s="436" t="n">
        <v>195</v>
      </c>
      <c r="GR4" s="436" t="n">
        <v>196</v>
      </c>
      <c r="GS4" s="436" t="n">
        <v>197</v>
      </c>
      <c r="GT4" s="436" t="n">
        <v>198</v>
      </c>
      <c r="GU4" s="436" t="n">
        <v>199</v>
      </c>
      <c r="GV4" s="436" t="n">
        <v>200</v>
      </c>
      <c r="GW4" s="436" t="n">
        <v>201</v>
      </c>
      <c r="GX4" s="436" t="n">
        <v>202</v>
      </c>
      <c r="GY4" s="436" t="n">
        <v>203</v>
      </c>
      <c r="GZ4" s="436" t="n">
        <v>204</v>
      </c>
      <c r="HA4" s="436" t="n">
        <v>205</v>
      </c>
      <c r="HB4" s="436" t="n">
        <v>206</v>
      </c>
      <c r="HC4" s="436" t="n">
        <v>207</v>
      </c>
      <c r="HD4" s="436" t="n">
        <v>208</v>
      </c>
      <c r="HE4" s="436" t="n">
        <v>209</v>
      </c>
      <c r="HF4" s="436" t="n">
        <v>210</v>
      </c>
      <c r="HG4" s="436" t="n">
        <v>211</v>
      </c>
      <c r="HH4" s="436" t="n">
        <v>212</v>
      </c>
      <c r="HI4" s="436" t="n">
        <v>213</v>
      </c>
      <c r="HJ4" s="436" t="n">
        <v>214</v>
      </c>
      <c r="HK4" s="436" t="n">
        <v>215</v>
      </c>
      <c r="HL4" s="436" t="n">
        <v>216</v>
      </c>
      <c r="HM4" s="436" t="n">
        <v>217</v>
      </c>
      <c r="HN4" s="436" t="n">
        <v>218</v>
      </c>
      <c r="HO4" s="436" t="n">
        <v>219</v>
      </c>
      <c r="HP4" s="436" t="n">
        <v>220</v>
      </c>
      <c r="HQ4" s="436" t="n">
        <v>221</v>
      </c>
      <c r="HR4" s="436" t="n">
        <v>222</v>
      </c>
      <c r="HS4" s="436" t="n">
        <v>223</v>
      </c>
      <c r="HT4" s="436" t="n">
        <v>224</v>
      </c>
      <c r="HU4" s="436" t="n">
        <v>225</v>
      </c>
      <c r="HV4" s="436" t="n">
        <v>226</v>
      </c>
      <c r="HW4" s="436" t="n">
        <v>227</v>
      </c>
      <c r="HX4" s="436" t="n">
        <v>228</v>
      </c>
      <c r="HY4" s="436" t="n">
        <v>229</v>
      </c>
      <c r="HZ4" s="436" t="n">
        <v>230</v>
      </c>
      <c r="IA4" s="436" t="n">
        <v>231</v>
      </c>
      <c r="IB4" s="436" t="n">
        <v>232</v>
      </c>
      <c r="IC4" s="436" t="n">
        <v>233</v>
      </c>
      <c r="ID4" s="436" t="n">
        <v>234</v>
      </c>
      <c r="IE4" s="436" t="n">
        <v>235</v>
      </c>
      <c r="IF4" s="436" t="n">
        <v>236</v>
      </c>
      <c r="IG4" s="436" t="n">
        <v>237</v>
      </c>
      <c r="IH4" s="436" t="n">
        <v>238</v>
      </c>
      <c r="II4" s="436" t="n">
        <v>239</v>
      </c>
      <c r="IJ4" s="436" t="n">
        <v>240</v>
      </c>
      <c r="IK4" s="436" t="n">
        <v>241</v>
      </c>
      <c r="IL4" s="436" t="n">
        <v>242</v>
      </c>
      <c r="IM4" s="436" t="n">
        <v>243</v>
      </c>
      <c r="IN4" s="436" t="n">
        <v>244</v>
      </c>
      <c r="IO4" s="436" t="n">
        <v>245</v>
      </c>
      <c r="IP4" s="436" t="n">
        <v>246</v>
      </c>
      <c r="IQ4" s="436" t="n">
        <v>247</v>
      </c>
      <c r="IR4" s="436" t="n">
        <v>248</v>
      </c>
      <c r="IS4" s="436" t="n">
        <v>249</v>
      </c>
      <c r="IT4" s="436" t="n">
        <v>250</v>
      </c>
      <c r="IU4" s="436" t="n">
        <v>251</v>
      </c>
      <c r="IV4" s="436" t="n">
        <v>252</v>
      </c>
      <c r="IW4" s="436" t="n">
        <v>253</v>
      </c>
      <c r="IX4" s="436" t="n">
        <v>254</v>
      </c>
      <c r="IY4" s="436" t="n">
        <v>255</v>
      </c>
      <c r="IZ4" s="436" t="n">
        <v>256</v>
      </c>
      <c r="JA4" s="436" t="n">
        <v>257</v>
      </c>
      <c r="JB4" s="436" t="n">
        <v>258</v>
      </c>
      <c r="JC4" s="436" t="n">
        <v>259</v>
      </c>
      <c r="JD4" s="436" t="n">
        <v>260</v>
      </c>
      <c r="JE4" s="436" t="n">
        <v>261</v>
      </c>
      <c r="JF4" s="436" t="n">
        <v>262</v>
      </c>
      <c r="JG4" s="436" t="n">
        <v>263</v>
      </c>
      <c r="JH4" s="436" t="n">
        <v>264</v>
      </c>
      <c r="JI4" s="436" t="n">
        <v>265</v>
      </c>
      <c r="JJ4" s="436" t="n">
        <v>266</v>
      </c>
      <c r="JK4" s="436" t="n">
        <v>267</v>
      </c>
      <c r="JL4" s="436" t="n">
        <v>268</v>
      </c>
      <c r="JM4" s="436" t="n">
        <v>269</v>
      </c>
      <c r="JN4" s="436" t="n">
        <v>270</v>
      </c>
      <c r="JO4" s="436" t="n">
        <v>271</v>
      </c>
      <c r="JP4" s="436" t="n">
        <v>272</v>
      </c>
      <c r="JQ4" s="436" t="n">
        <v>273</v>
      </c>
      <c r="JR4" s="436" t="n">
        <v>274</v>
      </c>
      <c r="JS4" s="436" t="n">
        <v>275</v>
      </c>
      <c r="JT4" s="436" t="n">
        <v>276</v>
      </c>
      <c r="JU4" s="436" t="n">
        <v>277</v>
      </c>
      <c r="JV4" s="436" t="n">
        <v>278</v>
      </c>
      <c r="JW4" s="436" t="n">
        <v>279</v>
      </c>
      <c r="JX4" s="436" t="n">
        <v>280</v>
      </c>
      <c r="JY4" s="436" t="n">
        <v>281</v>
      </c>
      <c r="JZ4" s="436" t="n">
        <v>282</v>
      </c>
      <c r="KA4" s="436" t="n">
        <v>283</v>
      </c>
      <c r="KB4" s="436" t="n">
        <v>284</v>
      </c>
      <c r="KC4" s="436" t="n">
        <v>285</v>
      </c>
      <c r="KD4" s="436" t="n">
        <v>286</v>
      </c>
      <c r="KE4" s="436" t="n">
        <v>287</v>
      </c>
      <c r="KF4" s="436" t="n">
        <v>288</v>
      </c>
      <c r="KG4" s="436" t="n">
        <v>289</v>
      </c>
      <c r="KH4" s="436" t="n">
        <v>290</v>
      </c>
      <c r="KI4" s="436" t="n">
        <v>291</v>
      </c>
      <c r="KJ4" s="436" t="n">
        <v>292</v>
      </c>
      <c r="KK4" s="436" t="n">
        <v>293</v>
      </c>
      <c r="KL4" s="436" t="n">
        <v>294</v>
      </c>
      <c r="KM4" s="436" t="n">
        <v>295</v>
      </c>
      <c r="KN4" s="436" t="n">
        <v>296</v>
      </c>
      <c r="KO4" s="436" t="n">
        <v>297</v>
      </c>
      <c r="KP4" s="436" t="n">
        <v>298</v>
      </c>
      <c r="KQ4" s="436" t="n">
        <v>299</v>
      </c>
      <c r="KR4" s="436" t="n">
        <v>300</v>
      </c>
      <c r="KS4" s="436" t="n">
        <v>301</v>
      </c>
      <c r="KT4" s="436" t="n">
        <v>302</v>
      </c>
      <c r="KU4" s="436" t="n">
        <v>303</v>
      </c>
      <c r="KV4" s="436" t="n">
        <v>304</v>
      </c>
      <c r="KW4" s="436" t="n">
        <v>305</v>
      </c>
      <c r="KX4" s="436" t="n">
        <v>306</v>
      </c>
      <c r="KY4" s="436" t="n">
        <v>307</v>
      </c>
      <c r="KZ4" s="436" t="n">
        <v>308</v>
      </c>
      <c r="LA4" s="436" t="n">
        <v>309</v>
      </c>
      <c r="LB4" s="436" t="n">
        <v>310</v>
      </c>
      <c r="LC4" s="436" t="n">
        <v>311</v>
      </c>
      <c r="LD4" s="436" t="n">
        <v>312</v>
      </c>
      <c r="LE4" s="436" t="n">
        <v>313</v>
      </c>
      <c r="LF4" s="436" t="n">
        <v>314</v>
      </c>
      <c r="LG4" s="436" t="n">
        <v>315</v>
      </c>
      <c r="LH4" s="436" t="n">
        <v>316</v>
      </c>
      <c r="LI4" s="436" t="n">
        <v>317</v>
      </c>
      <c r="LJ4" s="436" t="n">
        <v>318</v>
      </c>
      <c r="LK4" s="436" t="n">
        <v>319</v>
      </c>
      <c r="LL4" s="436" t="n">
        <v>320</v>
      </c>
      <c r="LM4" s="436" t="n">
        <v>321</v>
      </c>
      <c r="LN4" s="436" t="n">
        <v>322</v>
      </c>
      <c r="LO4" s="436" t="n">
        <v>323</v>
      </c>
      <c r="LP4" s="436" t="n">
        <v>324</v>
      </c>
      <c r="LQ4" s="436" t="n">
        <v>325</v>
      </c>
      <c r="LR4" s="436" t="n">
        <v>326</v>
      </c>
      <c r="LS4" s="436" t="n">
        <v>327</v>
      </c>
      <c r="LT4" s="436" t="n">
        <v>328</v>
      </c>
      <c r="LU4" s="436" t="n">
        <v>329</v>
      </c>
      <c r="LV4" s="436" t="n">
        <v>330</v>
      </c>
      <c r="LW4" s="436" t="n">
        <v>331</v>
      </c>
      <c r="LX4" s="436" t="n">
        <v>332</v>
      </c>
      <c r="LY4" s="436" t="n">
        <v>333</v>
      </c>
      <c r="LZ4" s="436" t="n">
        <v>334</v>
      </c>
      <c r="MA4" s="436" t="n">
        <v>335</v>
      </c>
      <c r="MB4" s="436" t="n">
        <v>336</v>
      </c>
      <c r="MC4" s="436" t="n">
        <v>337</v>
      </c>
      <c r="MD4" s="436" t="n">
        <v>338</v>
      </c>
      <c r="ME4" s="436" t="n">
        <v>339</v>
      </c>
      <c r="MF4" s="436" t="n">
        <v>340</v>
      </c>
      <c r="MG4" s="436" t="n">
        <v>341</v>
      </c>
      <c r="MH4" s="436" t="n">
        <v>342</v>
      </c>
      <c r="MI4" s="436" t="n">
        <v>343</v>
      </c>
      <c r="MJ4" s="436" t="n">
        <v>344</v>
      </c>
      <c r="MK4" s="436" t="n">
        <v>345</v>
      </c>
      <c r="ML4" s="436" t="n">
        <v>346</v>
      </c>
      <c r="MM4" s="436" t="n">
        <v>347</v>
      </c>
      <c r="MN4" s="436" t="n">
        <v>348</v>
      </c>
      <c r="MO4" s="436" t="n">
        <v>349</v>
      </c>
      <c r="MP4" s="436" t="n">
        <v>350</v>
      </c>
      <c r="MQ4" s="436" t="n">
        <v>351</v>
      </c>
      <c r="MR4" s="436" t="n">
        <v>352</v>
      </c>
      <c r="MS4" s="436" t="n">
        <v>353</v>
      </c>
      <c r="MT4" s="436" t="n">
        <v>354</v>
      </c>
      <c r="MU4" s="436" t="n">
        <v>355</v>
      </c>
      <c r="MV4" s="436" t="n">
        <v>356</v>
      </c>
      <c r="MW4" s="436" t="n">
        <v>357</v>
      </c>
      <c r="MX4" s="436" t="n">
        <v>358</v>
      </c>
      <c r="MY4" s="436" t="n">
        <v>359</v>
      </c>
      <c r="MZ4" s="436" t="n">
        <v>360</v>
      </c>
      <c r="NA4" s="436" t="n">
        <v>361</v>
      </c>
      <c r="NB4" s="436" t="n">
        <v>362</v>
      </c>
      <c r="NC4" s="436" t="n">
        <v>363</v>
      </c>
      <c r="ND4" s="436" t="n">
        <v>364</v>
      </c>
      <c r="NE4" s="436" t="n">
        <v>365</v>
      </c>
      <c r="NF4" s="436" t="n">
        <v>366</v>
      </c>
      <c r="NG4" s="436" t="n">
        <v>367</v>
      </c>
      <c r="NH4" s="436" t="n">
        <v>368</v>
      </c>
      <c r="NI4" s="436" t="n">
        <v>369</v>
      </c>
      <c r="NJ4" s="436" t="n">
        <v>370</v>
      </c>
      <c r="NK4" s="436" t="n">
        <v>371</v>
      </c>
      <c r="NL4" s="437" t="n">
        <v>372</v>
      </c>
      <c r="NM4" s="438" t="inlineStr">
        <is>
          <t>engine helpers →</t>
        </is>
      </c>
    </row>
    <row r="5">
      <c r="B5" s="439" t="inlineStr">
        <is>
          <t>Month Start</t>
        </is>
      </c>
      <c r="E5" s="128">
        <f>EDATE(InceptionDate,0)</f>
        <v/>
      </c>
      <c r="F5" s="128">
        <f>EDATE(InceptionDate,1)</f>
        <v/>
      </c>
      <c r="G5" s="128">
        <f>EDATE(InceptionDate,2)</f>
        <v/>
      </c>
      <c r="H5" s="128">
        <f>EDATE(InceptionDate,3)</f>
        <v/>
      </c>
      <c r="I5" s="128">
        <f>EDATE(InceptionDate,4)</f>
        <v/>
      </c>
      <c r="J5" s="128">
        <f>EDATE(InceptionDate,5)</f>
        <v/>
      </c>
      <c r="K5" s="128">
        <f>EDATE(InceptionDate,6)</f>
        <v/>
      </c>
      <c r="L5" s="128">
        <f>EDATE(InceptionDate,7)</f>
        <v/>
      </c>
      <c r="M5" s="128">
        <f>EDATE(InceptionDate,8)</f>
        <v/>
      </c>
      <c r="N5" s="128">
        <f>EDATE(InceptionDate,9)</f>
        <v/>
      </c>
      <c r="O5" s="128">
        <f>EDATE(InceptionDate,10)</f>
        <v/>
      </c>
      <c r="P5" s="128">
        <f>EDATE(InceptionDate,11)</f>
        <v/>
      </c>
      <c r="Q5" s="128">
        <f>EDATE(InceptionDate,12)</f>
        <v/>
      </c>
      <c r="R5" s="128">
        <f>EDATE(InceptionDate,13)</f>
        <v/>
      </c>
      <c r="S5" s="128">
        <f>EDATE(InceptionDate,14)</f>
        <v/>
      </c>
      <c r="T5" s="128">
        <f>EDATE(InceptionDate,15)</f>
        <v/>
      </c>
      <c r="U5" s="128">
        <f>EDATE(InceptionDate,16)</f>
        <v/>
      </c>
      <c r="V5" s="128">
        <f>EDATE(InceptionDate,17)</f>
        <v/>
      </c>
      <c r="W5" s="128">
        <f>EDATE(InceptionDate,18)</f>
        <v/>
      </c>
      <c r="X5" s="128">
        <f>EDATE(InceptionDate,19)</f>
        <v/>
      </c>
      <c r="Y5" s="128">
        <f>EDATE(InceptionDate,20)</f>
        <v/>
      </c>
      <c r="Z5" s="128">
        <f>EDATE(InceptionDate,21)</f>
        <v/>
      </c>
      <c r="AA5" s="128">
        <f>EDATE(InceptionDate,22)</f>
        <v/>
      </c>
      <c r="AB5" s="128">
        <f>EDATE(InceptionDate,23)</f>
        <v/>
      </c>
      <c r="AC5" s="128">
        <f>EDATE(InceptionDate,24)</f>
        <v/>
      </c>
      <c r="AD5" s="128">
        <f>EDATE(InceptionDate,25)</f>
        <v/>
      </c>
      <c r="AE5" s="128">
        <f>EDATE(InceptionDate,26)</f>
        <v/>
      </c>
      <c r="AF5" s="128">
        <f>EDATE(InceptionDate,27)</f>
        <v/>
      </c>
      <c r="AG5" s="128">
        <f>EDATE(InceptionDate,28)</f>
        <v/>
      </c>
      <c r="AH5" s="128">
        <f>EDATE(InceptionDate,29)</f>
        <v/>
      </c>
      <c r="AI5" s="128">
        <f>EDATE(InceptionDate,30)</f>
        <v/>
      </c>
      <c r="AJ5" s="128">
        <f>EDATE(InceptionDate,31)</f>
        <v/>
      </c>
      <c r="AK5" s="128">
        <f>EDATE(InceptionDate,32)</f>
        <v/>
      </c>
      <c r="AL5" s="128">
        <f>EDATE(InceptionDate,33)</f>
        <v/>
      </c>
      <c r="AM5" s="128">
        <f>EDATE(InceptionDate,34)</f>
        <v/>
      </c>
      <c r="AN5" s="128">
        <f>EDATE(InceptionDate,35)</f>
        <v/>
      </c>
      <c r="AO5" s="128">
        <f>EDATE(InceptionDate,36)</f>
        <v/>
      </c>
      <c r="AP5" s="128">
        <f>EDATE(InceptionDate,37)</f>
        <v/>
      </c>
      <c r="AQ5" s="128">
        <f>EDATE(InceptionDate,38)</f>
        <v/>
      </c>
      <c r="AR5" s="128">
        <f>EDATE(InceptionDate,39)</f>
        <v/>
      </c>
      <c r="AS5" s="128">
        <f>EDATE(InceptionDate,40)</f>
        <v/>
      </c>
      <c r="AT5" s="128">
        <f>EDATE(InceptionDate,41)</f>
        <v/>
      </c>
      <c r="AU5" s="128">
        <f>EDATE(InceptionDate,42)</f>
        <v/>
      </c>
      <c r="AV5" s="128">
        <f>EDATE(InceptionDate,43)</f>
        <v/>
      </c>
      <c r="AW5" s="128">
        <f>EDATE(InceptionDate,44)</f>
        <v/>
      </c>
      <c r="AX5" s="128">
        <f>EDATE(InceptionDate,45)</f>
        <v/>
      </c>
      <c r="AY5" s="128">
        <f>EDATE(InceptionDate,46)</f>
        <v/>
      </c>
      <c r="AZ5" s="128">
        <f>EDATE(InceptionDate,47)</f>
        <v/>
      </c>
      <c r="BA5" s="128">
        <f>EDATE(InceptionDate,48)</f>
        <v/>
      </c>
      <c r="BB5" s="128">
        <f>EDATE(InceptionDate,49)</f>
        <v/>
      </c>
      <c r="BC5" s="128">
        <f>EDATE(InceptionDate,50)</f>
        <v/>
      </c>
      <c r="BD5" s="128">
        <f>EDATE(InceptionDate,51)</f>
        <v/>
      </c>
      <c r="BE5" s="128">
        <f>EDATE(InceptionDate,52)</f>
        <v/>
      </c>
      <c r="BF5" s="128">
        <f>EDATE(InceptionDate,53)</f>
        <v/>
      </c>
      <c r="BG5" s="128">
        <f>EDATE(InceptionDate,54)</f>
        <v/>
      </c>
      <c r="BH5" s="128">
        <f>EDATE(InceptionDate,55)</f>
        <v/>
      </c>
      <c r="BI5" s="128">
        <f>EDATE(InceptionDate,56)</f>
        <v/>
      </c>
      <c r="BJ5" s="128">
        <f>EDATE(InceptionDate,57)</f>
        <v/>
      </c>
      <c r="BK5" s="128">
        <f>EDATE(InceptionDate,58)</f>
        <v/>
      </c>
      <c r="BL5" s="128">
        <f>EDATE(InceptionDate,59)</f>
        <v/>
      </c>
      <c r="BM5" s="128">
        <f>EDATE(InceptionDate,60)</f>
        <v/>
      </c>
      <c r="BN5" s="128">
        <f>EDATE(InceptionDate,61)</f>
        <v/>
      </c>
      <c r="BO5" s="128">
        <f>EDATE(InceptionDate,62)</f>
        <v/>
      </c>
      <c r="BP5" s="128">
        <f>EDATE(InceptionDate,63)</f>
        <v/>
      </c>
      <c r="BQ5" s="128">
        <f>EDATE(InceptionDate,64)</f>
        <v/>
      </c>
      <c r="BR5" s="128">
        <f>EDATE(InceptionDate,65)</f>
        <v/>
      </c>
      <c r="BS5" s="128">
        <f>EDATE(InceptionDate,66)</f>
        <v/>
      </c>
      <c r="BT5" s="128">
        <f>EDATE(InceptionDate,67)</f>
        <v/>
      </c>
      <c r="BU5" s="128">
        <f>EDATE(InceptionDate,68)</f>
        <v/>
      </c>
      <c r="BV5" s="128">
        <f>EDATE(InceptionDate,69)</f>
        <v/>
      </c>
      <c r="BW5" s="128">
        <f>EDATE(InceptionDate,70)</f>
        <v/>
      </c>
      <c r="BX5" s="128">
        <f>EDATE(InceptionDate,71)</f>
        <v/>
      </c>
      <c r="BY5" s="128">
        <f>EDATE(InceptionDate,72)</f>
        <v/>
      </c>
      <c r="BZ5" s="128">
        <f>EDATE(InceptionDate,73)</f>
        <v/>
      </c>
      <c r="CA5" s="128">
        <f>EDATE(InceptionDate,74)</f>
        <v/>
      </c>
      <c r="CB5" s="128">
        <f>EDATE(InceptionDate,75)</f>
        <v/>
      </c>
      <c r="CC5" s="128">
        <f>EDATE(InceptionDate,76)</f>
        <v/>
      </c>
      <c r="CD5" s="128">
        <f>EDATE(InceptionDate,77)</f>
        <v/>
      </c>
      <c r="CE5" s="128">
        <f>EDATE(InceptionDate,78)</f>
        <v/>
      </c>
      <c r="CF5" s="128">
        <f>EDATE(InceptionDate,79)</f>
        <v/>
      </c>
      <c r="CG5" s="128">
        <f>EDATE(InceptionDate,80)</f>
        <v/>
      </c>
      <c r="CH5" s="128">
        <f>EDATE(InceptionDate,81)</f>
        <v/>
      </c>
      <c r="CI5" s="128">
        <f>EDATE(InceptionDate,82)</f>
        <v/>
      </c>
      <c r="CJ5" s="128">
        <f>EDATE(InceptionDate,83)</f>
        <v/>
      </c>
      <c r="CK5" s="128">
        <f>EDATE(InceptionDate,84)</f>
        <v/>
      </c>
      <c r="CL5" s="128">
        <f>EDATE(InceptionDate,85)</f>
        <v/>
      </c>
      <c r="CM5" s="128">
        <f>EDATE(InceptionDate,86)</f>
        <v/>
      </c>
      <c r="CN5" s="128">
        <f>EDATE(InceptionDate,87)</f>
        <v/>
      </c>
      <c r="CO5" s="128">
        <f>EDATE(InceptionDate,88)</f>
        <v/>
      </c>
      <c r="CP5" s="128">
        <f>EDATE(InceptionDate,89)</f>
        <v/>
      </c>
      <c r="CQ5" s="128">
        <f>EDATE(InceptionDate,90)</f>
        <v/>
      </c>
      <c r="CR5" s="128">
        <f>EDATE(InceptionDate,91)</f>
        <v/>
      </c>
      <c r="CS5" s="128">
        <f>EDATE(InceptionDate,92)</f>
        <v/>
      </c>
      <c r="CT5" s="128">
        <f>EDATE(InceptionDate,93)</f>
        <v/>
      </c>
      <c r="CU5" s="128">
        <f>EDATE(InceptionDate,94)</f>
        <v/>
      </c>
      <c r="CV5" s="128">
        <f>EDATE(InceptionDate,95)</f>
        <v/>
      </c>
      <c r="CW5" s="128">
        <f>EDATE(InceptionDate,96)</f>
        <v/>
      </c>
      <c r="CX5" s="128">
        <f>EDATE(InceptionDate,97)</f>
        <v/>
      </c>
      <c r="CY5" s="128">
        <f>EDATE(InceptionDate,98)</f>
        <v/>
      </c>
      <c r="CZ5" s="128">
        <f>EDATE(InceptionDate,99)</f>
        <v/>
      </c>
      <c r="DA5" s="128">
        <f>EDATE(InceptionDate,100)</f>
        <v/>
      </c>
      <c r="DB5" s="128">
        <f>EDATE(InceptionDate,101)</f>
        <v/>
      </c>
      <c r="DC5" s="128">
        <f>EDATE(InceptionDate,102)</f>
        <v/>
      </c>
      <c r="DD5" s="128">
        <f>EDATE(InceptionDate,103)</f>
        <v/>
      </c>
      <c r="DE5" s="128">
        <f>EDATE(InceptionDate,104)</f>
        <v/>
      </c>
      <c r="DF5" s="128">
        <f>EDATE(InceptionDate,105)</f>
        <v/>
      </c>
      <c r="DG5" s="128">
        <f>EDATE(InceptionDate,106)</f>
        <v/>
      </c>
      <c r="DH5" s="128">
        <f>EDATE(InceptionDate,107)</f>
        <v/>
      </c>
      <c r="DI5" s="128">
        <f>EDATE(InceptionDate,108)</f>
        <v/>
      </c>
      <c r="DJ5" s="128">
        <f>EDATE(InceptionDate,109)</f>
        <v/>
      </c>
      <c r="DK5" s="128">
        <f>EDATE(InceptionDate,110)</f>
        <v/>
      </c>
      <c r="DL5" s="128">
        <f>EDATE(InceptionDate,111)</f>
        <v/>
      </c>
      <c r="DM5" s="128">
        <f>EDATE(InceptionDate,112)</f>
        <v/>
      </c>
      <c r="DN5" s="128">
        <f>EDATE(InceptionDate,113)</f>
        <v/>
      </c>
      <c r="DO5" s="128">
        <f>EDATE(InceptionDate,114)</f>
        <v/>
      </c>
      <c r="DP5" s="128">
        <f>EDATE(InceptionDate,115)</f>
        <v/>
      </c>
      <c r="DQ5" s="128">
        <f>EDATE(InceptionDate,116)</f>
        <v/>
      </c>
      <c r="DR5" s="128">
        <f>EDATE(InceptionDate,117)</f>
        <v/>
      </c>
      <c r="DS5" s="128">
        <f>EDATE(InceptionDate,118)</f>
        <v/>
      </c>
      <c r="DT5" s="128">
        <f>EDATE(InceptionDate,119)</f>
        <v/>
      </c>
      <c r="DU5" s="128">
        <f>EDATE(InceptionDate,120)</f>
        <v/>
      </c>
      <c r="DV5" s="128">
        <f>EDATE(InceptionDate,121)</f>
        <v/>
      </c>
      <c r="DW5" s="128">
        <f>EDATE(InceptionDate,122)</f>
        <v/>
      </c>
      <c r="DX5" s="128">
        <f>EDATE(InceptionDate,123)</f>
        <v/>
      </c>
      <c r="DY5" s="128">
        <f>EDATE(InceptionDate,124)</f>
        <v/>
      </c>
      <c r="DZ5" s="128">
        <f>EDATE(InceptionDate,125)</f>
        <v/>
      </c>
      <c r="EA5" s="128">
        <f>EDATE(InceptionDate,126)</f>
        <v/>
      </c>
      <c r="EB5" s="128">
        <f>EDATE(InceptionDate,127)</f>
        <v/>
      </c>
      <c r="EC5" s="128">
        <f>EDATE(InceptionDate,128)</f>
        <v/>
      </c>
      <c r="ED5" s="128">
        <f>EDATE(InceptionDate,129)</f>
        <v/>
      </c>
      <c r="EE5" s="128">
        <f>EDATE(InceptionDate,130)</f>
        <v/>
      </c>
      <c r="EF5" s="128">
        <f>EDATE(InceptionDate,131)</f>
        <v/>
      </c>
      <c r="EG5" s="128">
        <f>EDATE(InceptionDate,132)</f>
        <v/>
      </c>
      <c r="EH5" s="128">
        <f>EDATE(InceptionDate,133)</f>
        <v/>
      </c>
      <c r="EI5" s="128">
        <f>EDATE(InceptionDate,134)</f>
        <v/>
      </c>
      <c r="EJ5" s="128">
        <f>EDATE(InceptionDate,135)</f>
        <v/>
      </c>
      <c r="EK5" s="128">
        <f>EDATE(InceptionDate,136)</f>
        <v/>
      </c>
      <c r="EL5" s="128">
        <f>EDATE(InceptionDate,137)</f>
        <v/>
      </c>
      <c r="EM5" s="128">
        <f>EDATE(InceptionDate,138)</f>
        <v/>
      </c>
      <c r="EN5" s="128">
        <f>EDATE(InceptionDate,139)</f>
        <v/>
      </c>
      <c r="EO5" s="128">
        <f>EDATE(InceptionDate,140)</f>
        <v/>
      </c>
      <c r="EP5" s="128">
        <f>EDATE(InceptionDate,141)</f>
        <v/>
      </c>
      <c r="EQ5" s="128">
        <f>EDATE(InceptionDate,142)</f>
        <v/>
      </c>
      <c r="ER5" s="128">
        <f>EDATE(InceptionDate,143)</f>
        <v/>
      </c>
      <c r="ES5" s="128">
        <f>EDATE(InceptionDate,144)</f>
        <v/>
      </c>
      <c r="ET5" s="128">
        <f>EDATE(InceptionDate,145)</f>
        <v/>
      </c>
      <c r="EU5" s="128">
        <f>EDATE(InceptionDate,146)</f>
        <v/>
      </c>
      <c r="EV5" s="128">
        <f>EDATE(InceptionDate,147)</f>
        <v/>
      </c>
      <c r="EW5" s="128">
        <f>EDATE(InceptionDate,148)</f>
        <v/>
      </c>
      <c r="EX5" s="128">
        <f>EDATE(InceptionDate,149)</f>
        <v/>
      </c>
      <c r="EY5" s="128">
        <f>EDATE(InceptionDate,150)</f>
        <v/>
      </c>
      <c r="EZ5" s="128">
        <f>EDATE(InceptionDate,151)</f>
        <v/>
      </c>
      <c r="FA5" s="128">
        <f>EDATE(InceptionDate,152)</f>
        <v/>
      </c>
      <c r="FB5" s="128">
        <f>EDATE(InceptionDate,153)</f>
        <v/>
      </c>
      <c r="FC5" s="128">
        <f>EDATE(InceptionDate,154)</f>
        <v/>
      </c>
      <c r="FD5" s="128">
        <f>EDATE(InceptionDate,155)</f>
        <v/>
      </c>
      <c r="FE5" s="128">
        <f>EDATE(InceptionDate,156)</f>
        <v/>
      </c>
      <c r="FF5" s="128">
        <f>EDATE(InceptionDate,157)</f>
        <v/>
      </c>
      <c r="FG5" s="128">
        <f>EDATE(InceptionDate,158)</f>
        <v/>
      </c>
      <c r="FH5" s="128">
        <f>EDATE(InceptionDate,159)</f>
        <v/>
      </c>
      <c r="FI5" s="128">
        <f>EDATE(InceptionDate,160)</f>
        <v/>
      </c>
      <c r="FJ5" s="128">
        <f>EDATE(InceptionDate,161)</f>
        <v/>
      </c>
      <c r="FK5" s="128">
        <f>EDATE(InceptionDate,162)</f>
        <v/>
      </c>
      <c r="FL5" s="128">
        <f>EDATE(InceptionDate,163)</f>
        <v/>
      </c>
      <c r="FM5" s="128">
        <f>EDATE(InceptionDate,164)</f>
        <v/>
      </c>
      <c r="FN5" s="128">
        <f>EDATE(InceptionDate,165)</f>
        <v/>
      </c>
      <c r="FO5" s="128">
        <f>EDATE(InceptionDate,166)</f>
        <v/>
      </c>
      <c r="FP5" s="128">
        <f>EDATE(InceptionDate,167)</f>
        <v/>
      </c>
      <c r="FQ5" s="128">
        <f>EDATE(InceptionDate,168)</f>
        <v/>
      </c>
      <c r="FR5" s="128">
        <f>EDATE(InceptionDate,169)</f>
        <v/>
      </c>
      <c r="FS5" s="128">
        <f>EDATE(InceptionDate,170)</f>
        <v/>
      </c>
      <c r="FT5" s="128">
        <f>EDATE(InceptionDate,171)</f>
        <v/>
      </c>
      <c r="FU5" s="128">
        <f>EDATE(InceptionDate,172)</f>
        <v/>
      </c>
      <c r="FV5" s="128">
        <f>EDATE(InceptionDate,173)</f>
        <v/>
      </c>
      <c r="FW5" s="128">
        <f>EDATE(InceptionDate,174)</f>
        <v/>
      </c>
      <c r="FX5" s="128">
        <f>EDATE(InceptionDate,175)</f>
        <v/>
      </c>
      <c r="FY5" s="128">
        <f>EDATE(InceptionDate,176)</f>
        <v/>
      </c>
      <c r="FZ5" s="128">
        <f>EDATE(InceptionDate,177)</f>
        <v/>
      </c>
      <c r="GA5" s="128">
        <f>EDATE(InceptionDate,178)</f>
        <v/>
      </c>
      <c r="GB5" s="128">
        <f>EDATE(InceptionDate,179)</f>
        <v/>
      </c>
      <c r="GC5" s="128">
        <f>EDATE(InceptionDate,180)</f>
        <v/>
      </c>
      <c r="GD5" s="128">
        <f>EDATE(InceptionDate,181)</f>
        <v/>
      </c>
      <c r="GE5" s="128">
        <f>EDATE(InceptionDate,182)</f>
        <v/>
      </c>
      <c r="GF5" s="128">
        <f>EDATE(InceptionDate,183)</f>
        <v/>
      </c>
      <c r="GG5" s="128">
        <f>EDATE(InceptionDate,184)</f>
        <v/>
      </c>
      <c r="GH5" s="128">
        <f>EDATE(InceptionDate,185)</f>
        <v/>
      </c>
      <c r="GI5" s="128">
        <f>EDATE(InceptionDate,186)</f>
        <v/>
      </c>
      <c r="GJ5" s="128">
        <f>EDATE(InceptionDate,187)</f>
        <v/>
      </c>
      <c r="GK5" s="128">
        <f>EDATE(InceptionDate,188)</f>
        <v/>
      </c>
      <c r="GL5" s="128">
        <f>EDATE(InceptionDate,189)</f>
        <v/>
      </c>
      <c r="GM5" s="128">
        <f>EDATE(InceptionDate,190)</f>
        <v/>
      </c>
      <c r="GN5" s="128">
        <f>EDATE(InceptionDate,191)</f>
        <v/>
      </c>
      <c r="GO5" s="128">
        <f>EDATE(InceptionDate,192)</f>
        <v/>
      </c>
      <c r="GP5" s="128">
        <f>EDATE(InceptionDate,193)</f>
        <v/>
      </c>
      <c r="GQ5" s="128">
        <f>EDATE(InceptionDate,194)</f>
        <v/>
      </c>
      <c r="GR5" s="128">
        <f>EDATE(InceptionDate,195)</f>
        <v/>
      </c>
      <c r="GS5" s="128">
        <f>EDATE(InceptionDate,196)</f>
        <v/>
      </c>
      <c r="GT5" s="128">
        <f>EDATE(InceptionDate,197)</f>
        <v/>
      </c>
      <c r="GU5" s="128">
        <f>EDATE(InceptionDate,198)</f>
        <v/>
      </c>
      <c r="GV5" s="128">
        <f>EDATE(InceptionDate,199)</f>
        <v/>
      </c>
      <c r="GW5" s="128">
        <f>EDATE(InceptionDate,200)</f>
        <v/>
      </c>
      <c r="GX5" s="128">
        <f>EDATE(InceptionDate,201)</f>
        <v/>
      </c>
      <c r="GY5" s="128">
        <f>EDATE(InceptionDate,202)</f>
        <v/>
      </c>
      <c r="GZ5" s="128">
        <f>EDATE(InceptionDate,203)</f>
        <v/>
      </c>
      <c r="HA5" s="128">
        <f>EDATE(InceptionDate,204)</f>
        <v/>
      </c>
      <c r="HB5" s="128">
        <f>EDATE(InceptionDate,205)</f>
        <v/>
      </c>
      <c r="HC5" s="128">
        <f>EDATE(InceptionDate,206)</f>
        <v/>
      </c>
      <c r="HD5" s="128">
        <f>EDATE(InceptionDate,207)</f>
        <v/>
      </c>
      <c r="HE5" s="128">
        <f>EDATE(InceptionDate,208)</f>
        <v/>
      </c>
      <c r="HF5" s="128">
        <f>EDATE(InceptionDate,209)</f>
        <v/>
      </c>
      <c r="HG5" s="128">
        <f>EDATE(InceptionDate,210)</f>
        <v/>
      </c>
      <c r="HH5" s="128">
        <f>EDATE(InceptionDate,211)</f>
        <v/>
      </c>
      <c r="HI5" s="128">
        <f>EDATE(InceptionDate,212)</f>
        <v/>
      </c>
      <c r="HJ5" s="128">
        <f>EDATE(InceptionDate,213)</f>
        <v/>
      </c>
      <c r="HK5" s="128">
        <f>EDATE(InceptionDate,214)</f>
        <v/>
      </c>
      <c r="HL5" s="128">
        <f>EDATE(InceptionDate,215)</f>
        <v/>
      </c>
      <c r="HM5" s="128">
        <f>EDATE(InceptionDate,216)</f>
        <v/>
      </c>
      <c r="HN5" s="128">
        <f>EDATE(InceptionDate,217)</f>
        <v/>
      </c>
      <c r="HO5" s="128">
        <f>EDATE(InceptionDate,218)</f>
        <v/>
      </c>
      <c r="HP5" s="128">
        <f>EDATE(InceptionDate,219)</f>
        <v/>
      </c>
      <c r="HQ5" s="128">
        <f>EDATE(InceptionDate,220)</f>
        <v/>
      </c>
      <c r="HR5" s="128">
        <f>EDATE(InceptionDate,221)</f>
        <v/>
      </c>
      <c r="HS5" s="128">
        <f>EDATE(InceptionDate,222)</f>
        <v/>
      </c>
      <c r="HT5" s="128">
        <f>EDATE(InceptionDate,223)</f>
        <v/>
      </c>
      <c r="HU5" s="128">
        <f>EDATE(InceptionDate,224)</f>
        <v/>
      </c>
      <c r="HV5" s="128">
        <f>EDATE(InceptionDate,225)</f>
        <v/>
      </c>
      <c r="HW5" s="128">
        <f>EDATE(InceptionDate,226)</f>
        <v/>
      </c>
      <c r="HX5" s="128">
        <f>EDATE(InceptionDate,227)</f>
        <v/>
      </c>
      <c r="HY5" s="128">
        <f>EDATE(InceptionDate,228)</f>
        <v/>
      </c>
      <c r="HZ5" s="128">
        <f>EDATE(InceptionDate,229)</f>
        <v/>
      </c>
      <c r="IA5" s="128">
        <f>EDATE(InceptionDate,230)</f>
        <v/>
      </c>
      <c r="IB5" s="128">
        <f>EDATE(InceptionDate,231)</f>
        <v/>
      </c>
      <c r="IC5" s="128">
        <f>EDATE(InceptionDate,232)</f>
        <v/>
      </c>
      <c r="ID5" s="128">
        <f>EDATE(InceptionDate,233)</f>
        <v/>
      </c>
      <c r="IE5" s="128">
        <f>EDATE(InceptionDate,234)</f>
        <v/>
      </c>
      <c r="IF5" s="128">
        <f>EDATE(InceptionDate,235)</f>
        <v/>
      </c>
      <c r="IG5" s="128">
        <f>EDATE(InceptionDate,236)</f>
        <v/>
      </c>
      <c r="IH5" s="128">
        <f>EDATE(InceptionDate,237)</f>
        <v/>
      </c>
      <c r="II5" s="128">
        <f>EDATE(InceptionDate,238)</f>
        <v/>
      </c>
      <c r="IJ5" s="128">
        <f>EDATE(InceptionDate,239)</f>
        <v/>
      </c>
      <c r="IK5" s="128">
        <f>EDATE(InceptionDate,240)</f>
        <v/>
      </c>
      <c r="IL5" s="128">
        <f>EDATE(InceptionDate,241)</f>
        <v/>
      </c>
      <c r="IM5" s="128">
        <f>EDATE(InceptionDate,242)</f>
        <v/>
      </c>
      <c r="IN5" s="128">
        <f>EDATE(InceptionDate,243)</f>
        <v/>
      </c>
      <c r="IO5" s="128">
        <f>EDATE(InceptionDate,244)</f>
        <v/>
      </c>
      <c r="IP5" s="128">
        <f>EDATE(InceptionDate,245)</f>
        <v/>
      </c>
      <c r="IQ5" s="128">
        <f>EDATE(InceptionDate,246)</f>
        <v/>
      </c>
      <c r="IR5" s="128">
        <f>EDATE(InceptionDate,247)</f>
        <v/>
      </c>
      <c r="IS5" s="128">
        <f>EDATE(InceptionDate,248)</f>
        <v/>
      </c>
      <c r="IT5" s="128">
        <f>EDATE(InceptionDate,249)</f>
        <v/>
      </c>
      <c r="IU5" s="128">
        <f>EDATE(InceptionDate,250)</f>
        <v/>
      </c>
      <c r="IV5" s="128">
        <f>EDATE(InceptionDate,251)</f>
        <v/>
      </c>
      <c r="IW5" s="128">
        <f>EDATE(InceptionDate,252)</f>
        <v/>
      </c>
      <c r="IX5" s="128">
        <f>EDATE(InceptionDate,253)</f>
        <v/>
      </c>
      <c r="IY5" s="128">
        <f>EDATE(InceptionDate,254)</f>
        <v/>
      </c>
      <c r="IZ5" s="128">
        <f>EDATE(InceptionDate,255)</f>
        <v/>
      </c>
      <c r="JA5" s="128">
        <f>EDATE(InceptionDate,256)</f>
        <v/>
      </c>
      <c r="JB5" s="128">
        <f>EDATE(InceptionDate,257)</f>
        <v/>
      </c>
      <c r="JC5" s="128">
        <f>EDATE(InceptionDate,258)</f>
        <v/>
      </c>
      <c r="JD5" s="128">
        <f>EDATE(InceptionDate,259)</f>
        <v/>
      </c>
      <c r="JE5" s="128">
        <f>EDATE(InceptionDate,260)</f>
        <v/>
      </c>
      <c r="JF5" s="128">
        <f>EDATE(InceptionDate,261)</f>
        <v/>
      </c>
      <c r="JG5" s="128">
        <f>EDATE(InceptionDate,262)</f>
        <v/>
      </c>
      <c r="JH5" s="128">
        <f>EDATE(InceptionDate,263)</f>
        <v/>
      </c>
      <c r="JI5" s="128">
        <f>EDATE(InceptionDate,264)</f>
        <v/>
      </c>
      <c r="JJ5" s="128">
        <f>EDATE(InceptionDate,265)</f>
        <v/>
      </c>
      <c r="JK5" s="128">
        <f>EDATE(InceptionDate,266)</f>
        <v/>
      </c>
      <c r="JL5" s="128">
        <f>EDATE(InceptionDate,267)</f>
        <v/>
      </c>
      <c r="JM5" s="128">
        <f>EDATE(InceptionDate,268)</f>
        <v/>
      </c>
      <c r="JN5" s="128">
        <f>EDATE(InceptionDate,269)</f>
        <v/>
      </c>
      <c r="JO5" s="128">
        <f>EDATE(InceptionDate,270)</f>
        <v/>
      </c>
      <c r="JP5" s="128">
        <f>EDATE(InceptionDate,271)</f>
        <v/>
      </c>
      <c r="JQ5" s="128">
        <f>EDATE(InceptionDate,272)</f>
        <v/>
      </c>
      <c r="JR5" s="128">
        <f>EDATE(InceptionDate,273)</f>
        <v/>
      </c>
      <c r="JS5" s="128">
        <f>EDATE(InceptionDate,274)</f>
        <v/>
      </c>
      <c r="JT5" s="128">
        <f>EDATE(InceptionDate,275)</f>
        <v/>
      </c>
      <c r="JU5" s="128">
        <f>EDATE(InceptionDate,276)</f>
        <v/>
      </c>
      <c r="JV5" s="128">
        <f>EDATE(InceptionDate,277)</f>
        <v/>
      </c>
      <c r="JW5" s="128">
        <f>EDATE(InceptionDate,278)</f>
        <v/>
      </c>
      <c r="JX5" s="128">
        <f>EDATE(InceptionDate,279)</f>
        <v/>
      </c>
      <c r="JY5" s="128">
        <f>EDATE(InceptionDate,280)</f>
        <v/>
      </c>
      <c r="JZ5" s="128">
        <f>EDATE(InceptionDate,281)</f>
        <v/>
      </c>
      <c r="KA5" s="128">
        <f>EDATE(InceptionDate,282)</f>
        <v/>
      </c>
      <c r="KB5" s="128">
        <f>EDATE(InceptionDate,283)</f>
        <v/>
      </c>
      <c r="KC5" s="128">
        <f>EDATE(InceptionDate,284)</f>
        <v/>
      </c>
      <c r="KD5" s="128">
        <f>EDATE(InceptionDate,285)</f>
        <v/>
      </c>
      <c r="KE5" s="128">
        <f>EDATE(InceptionDate,286)</f>
        <v/>
      </c>
      <c r="KF5" s="128">
        <f>EDATE(InceptionDate,287)</f>
        <v/>
      </c>
      <c r="KG5" s="128">
        <f>EDATE(InceptionDate,288)</f>
        <v/>
      </c>
      <c r="KH5" s="128">
        <f>EDATE(InceptionDate,289)</f>
        <v/>
      </c>
      <c r="KI5" s="128">
        <f>EDATE(InceptionDate,290)</f>
        <v/>
      </c>
      <c r="KJ5" s="128">
        <f>EDATE(InceptionDate,291)</f>
        <v/>
      </c>
      <c r="KK5" s="128">
        <f>EDATE(InceptionDate,292)</f>
        <v/>
      </c>
      <c r="KL5" s="128">
        <f>EDATE(InceptionDate,293)</f>
        <v/>
      </c>
      <c r="KM5" s="128">
        <f>EDATE(InceptionDate,294)</f>
        <v/>
      </c>
      <c r="KN5" s="128">
        <f>EDATE(InceptionDate,295)</f>
        <v/>
      </c>
      <c r="KO5" s="128">
        <f>EDATE(InceptionDate,296)</f>
        <v/>
      </c>
      <c r="KP5" s="128">
        <f>EDATE(InceptionDate,297)</f>
        <v/>
      </c>
      <c r="KQ5" s="128">
        <f>EDATE(InceptionDate,298)</f>
        <v/>
      </c>
      <c r="KR5" s="128">
        <f>EDATE(InceptionDate,299)</f>
        <v/>
      </c>
      <c r="KS5" s="128">
        <f>EDATE(InceptionDate,300)</f>
        <v/>
      </c>
      <c r="KT5" s="128">
        <f>EDATE(InceptionDate,301)</f>
        <v/>
      </c>
      <c r="KU5" s="128">
        <f>EDATE(InceptionDate,302)</f>
        <v/>
      </c>
      <c r="KV5" s="128">
        <f>EDATE(InceptionDate,303)</f>
        <v/>
      </c>
      <c r="KW5" s="128">
        <f>EDATE(InceptionDate,304)</f>
        <v/>
      </c>
      <c r="KX5" s="128">
        <f>EDATE(InceptionDate,305)</f>
        <v/>
      </c>
      <c r="KY5" s="128">
        <f>EDATE(InceptionDate,306)</f>
        <v/>
      </c>
      <c r="KZ5" s="128">
        <f>EDATE(InceptionDate,307)</f>
        <v/>
      </c>
      <c r="LA5" s="128">
        <f>EDATE(InceptionDate,308)</f>
        <v/>
      </c>
      <c r="LB5" s="128">
        <f>EDATE(InceptionDate,309)</f>
        <v/>
      </c>
      <c r="LC5" s="128">
        <f>EDATE(InceptionDate,310)</f>
        <v/>
      </c>
      <c r="LD5" s="128">
        <f>EDATE(InceptionDate,311)</f>
        <v/>
      </c>
      <c r="LE5" s="128">
        <f>EDATE(InceptionDate,312)</f>
        <v/>
      </c>
      <c r="LF5" s="128">
        <f>EDATE(InceptionDate,313)</f>
        <v/>
      </c>
      <c r="LG5" s="128">
        <f>EDATE(InceptionDate,314)</f>
        <v/>
      </c>
      <c r="LH5" s="128">
        <f>EDATE(InceptionDate,315)</f>
        <v/>
      </c>
      <c r="LI5" s="128">
        <f>EDATE(InceptionDate,316)</f>
        <v/>
      </c>
      <c r="LJ5" s="128">
        <f>EDATE(InceptionDate,317)</f>
        <v/>
      </c>
      <c r="LK5" s="128">
        <f>EDATE(InceptionDate,318)</f>
        <v/>
      </c>
      <c r="LL5" s="128">
        <f>EDATE(InceptionDate,319)</f>
        <v/>
      </c>
      <c r="LM5" s="128">
        <f>EDATE(InceptionDate,320)</f>
        <v/>
      </c>
      <c r="LN5" s="128">
        <f>EDATE(InceptionDate,321)</f>
        <v/>
      </c>
      <c r="LO5" s="128">
        <f>EDATE(InceptionDate,322)</f>
        <v/>
      </c>
      <c r="LP5" s="128">
        <f>EDATE(InceptionDate,323)</f>
        <v/>
      </c>
      <c r="LQ5" s="128">
        <f>EDATE(InceptionDate,324)</f>
        <v/>
      </c>
      <c r="LR5" s="128">
        <f>EDATE(InceptionDate,325)</f>
        <v/>
      </c>
      <c r="LS5" s="128">
        <f>EDATE(InceptionDate,326)</f>
        <v/>
      </c>
      <c r="LT5" s="128">
        <f>EDATE(InceptionDate,327)</f>
        <v/>
      </c>
      <c r="LU5" s="128">
        <f>EDATE(InceptionDate,328)</f>
        <v/>
      </c>
      <c r="LV5" s="128">
        <f>EDATE(InceptionDate,329)</f>
        <v/>
      </c>
      <c r="LW5" s="128">
        <f>EDATE(InceptionDate,330)</f>
        <v/>
      </c>
      <c r="LX5" s="128">
        <f>EDATE(InceptionDate,331)</f>
        <v/>
      </c>
      <c r="LY5" s="128">
        <f>EDATE(InceptionDate,332)</f>
        <v/>
      </c>
      <c r="LZ5" s="128">
        <f>EDATE(InceptionDate,333)</f>
        <v/>
      </c>
      <c r="MA5" s="128">
        <f>EDATE(InceptionDate,334)</f>
        <v/>
      </c>
      <c r="MB5" s="128">
        <f>EDATE(InceptionDate,335)</f>
        <v/>
      </c>
      <c r="MC5" s="128">
        <f>EDATE(InceptionDate,336)</f>
        <v/>
      </c>
      <c r="MD5" s="128">
        <f>EDATE(InceptionDate,337)</f>
        <v/>
      </c>
      <c r="ME5" s="128">
        <f>EDATE(InceptionDate,338)</f>
        <v/>
      </c>
      <c r="MF5" s="128">
        <f>EDATE(InceptionDate,339)</f>
        <v/>
      </c>
      <c r="MG5" s="128">
        <f>EDATE(InceptionDate,340)</f>
        <v/>
      </c>
      <c r="MH5" s="128">
        <f>EDATE(InceptionDate,341)</f>
        <v/>
      </c>
      <c r="MI5" s="128">
        <f>EDATE(InceptionDate,342)</f>
        <v/>
      </c>
      <c r="MJ5" s="128">
        <f>EDATE(InceptionDate,343)</f>
        <v/>
      </c>
      <c r="MK5" s="128">
        <f>EDATE(InceptionDate,344)</f>
        <v/>
      </c>
      <c r="ML5" s="128">
        <f>EDATE(InceptionDate,345)</f>
        <v/>
      </c>
      <c r="MM5" s="128">
        <f>EDATE(InceptionDate,346)</f>
        <v/>
      </c>
      <c r="MN5" s="128">
        <f>EDATE(InceptionDate,347)</f>
        <v/>
      </c>
      <c r="MO5" s="128">
        <f>EDATE(InceptionDate,348)</f>
        <v/>
      </c>
      <c r="MP5" s="128">
        <f>EDATE(InceptionDate,349)</f>
        <v/>
      </c>
      <c r="MQ5" s="128">
        <f>EDATE(InceptionDate,350)</f>
        <v/>
      </c>
      <c r="MR5" s="128">
        <f>EDATE(InceptionDate,351)</f>
        <v/>
      </c>
      <c r="MS5" s="128">
        <f>EDATE(InceptionDate,352)</f>
        <v/>
      </c>
      <c r="MT5" s="128">
        <f>EDATE(InceptionDate,353)</f>
        <v/>
      </c>
      <c r="MU5" s="128">
        <f>EDATE(InceptionDate,354)</f>
        <v/>
      </c>
      <c r="MV5" s="128">
        <f>EDATE(InceptionDate,355)</f>
        <v/>
      </c>
      <c r="MW5" s="128">
        <f>EDATE(InceptionDate,356)</f>
        <v/>
      </c>
      <c r="MX5" s="128">
        <f>EDATE(InceptionDate,357)</f>
        <v/>
      </c>
      <c r="MY5" s="128">
        <f>EDATE(InceptionDate,358)</f>
        <v/>
      </c>
      <c r="MZ5" s="128">
        <f>EDATE(InceptionDate,359)</f>
        <v/>
      </c>
      <c r="NA5" s="128">
        <f>EDATE(InceptionDate,360)</f>
        <v/>
      </c>
      <c r="NB5" s="128">
        <f>EDATE(InceptionDate,361)</f>
        <v/>
      </c>
      <c r="NC5" s="128">
        <f>EDATE(InceptionDate,362)</f>
        <v/>
      </c>
      <c r="ND5" s="128">
        <f>EDATE(InceptionDate,363)</f>
        <v/>
      </c>
      <c r="NE5" s="128">
        <f>EDATE(InceptionDate,364)</f>
        <v/>
      </c>
      <c r="NF5" s="128">
        <f>EDATE(InceptionDate,365)</f>
        <v/>
      </c>
      <c r="NG5" s="128">
        <f>EDATE(InceptionDate,366)</f>
        <v/>
      </c>
      <c r="NH5" s="128">
        <f>EDATE(InceptionDate,367)</f>
        <v/>
      </c>
      <c r="NI5" s="128">
        <f>EDATE(InceptionDate,368)</f>
        <v/>
      </c>
      <c r="NJ5" s="128">
        <f>EDATE(InceptionDate,369)</f>
        <v/>
      </c>
      <c r="NK5" s="128">
        <f>EDATE(InceptionDate,370)</f>
        <v/>
      </c>
      <c r="NL5" s="129">
        <f>EDATE(InceptionDate,371)</f>
        <v/>
      </c>
    </row>
    <row r="6">
      <c r="B6" s="296">
        <f>Budget!B5</f>
        <v/>
      </c>
      <c r="D6" s="425">
        <f>SUM(E6:NL6)</f>
        <v/>
      </c>
      <c r="E6" s="402">
        <f>IF(AND(1&gt;=$NR$6,1&lt;=$NS$6),IF($NP$6="Single_Point",IF(1=$NR$6,$NN$6,0),IF($NP$6="Bell_Curve",$NN$6*(1-$NR$6+1)*($NS$6-1+1)/$NU$6,$NN$6/$NT$6)),0)</f>
        <v/>
      </c>
      <c r="F6" s="402">
        <f>IF(AND(2&gt;=$NR$6,2&lt;=$NS$6),IF($NP$6="Single_Point",IF(2=$NR$6,$NN$6,0),IF($NP$6="Bell_Curve",$NN$6*(2-$NR$6+1)*($NS$6-2+1)/$NU$6,$NN$6/$NT$6)),0)</f>
        <v/>
      </c>
      <c r="G6" s="402">
        <f>IF(AND(3&gt;=$NR$6,3&lt;=$NS$6),IF($NP$6="Single_Point",IF(3=$NR$6,$NN$6,0),IF($NP$6="Bell_Curve",$NN$6*(3-$NR$6+1)*($NS$6-3+1)/$NU$6,$NN$6/$NT$6)),0)</f>
        <v/>
      </c>
      <c r="H6" s="402">
        <f>IF(AND(4&gt;=$NR$6,4&lt;=$NS$6),IF($NP$6="Single_Point",IF(4=$NR$6,$NN$6,0),IF($NP$6="Bell_Curve",$NN$6*(4-$NR$6+1)*($NS$6-4+1)/$NU$6,$NN$6/$NT$6)),0)</f>
        <v/>
      </c>
      <c r="I6" s="402">
        <f>IF(AND(5&gt;=$NR$6,5&lt;=$NS$6),IF($NP$6="Single_Point",IF(5=$NR$6,$NN$6,0),IF($NP$6="Bell_Curve",$NN$6*(5-$NR$6+1)*($NS$6-5+1)/$NU$6,$NN$6/$NT$6)),0)</f>
        <v/>
      </c>
      <c r="J6" s="402">
        <f>IF(AND(6&gt;=$NR$6,6&lt;=$NS$6),IF($NP$6="Single_Point",IF(6=$NR$6,$NN$6,0),IF($NP$6="Bell_Curve",$NN$6*(6-$NR$6+1)*($NS$6-6+1)/$NU$6,$NN$6/$NT$6)),0)</f>
        <v/>
      </c>
      <c r="K6" s="402">
        <f>IF(AND(7&gt;=$NR$6,7&lt;=$NS$6),IF($NP$6="Single_Point",IF(7=$NR$6,$NN$6,0),IF($NP$6="Bell_Curve",$NN$6*(7-$NR$6+1)*($NS$6-7+1)/$NU$6,$NN$6/$NT$6)),0)</f>
        <v/>
      </c>
      <c r="L6" s="402">
        <f>IF(AND(8&gt;=$NR$6,8&lt;=$NS$6),IF($NP$6="Single_Point",IF(8=$NR$6,$NN$6,0),IF($NP$6="Bell_Curve",$NN$6*(8-$NR$6+1)*($NS$6-8+1)/$NU$6,$NN$6/$NT$6)),0)</f>
        <v/>
      </c>
      <c r="M6" s="402">
        <f>IF(AND(9&gt;=$NR$6,9&lt;=$NS$6),IF($NP$6="Single_Point",IF(9=$NR$6,$NN$6,0),IF($NP$6="Bell_Curve",$NN$6*(9-$NR$6+1)*($NS$6-9+1)/$NU$6,$NN$6/$NT$6)),0)</f>
        <v/>
      </c>
      <c r="N6" s="402">
        <f>IF(AND(10&gt;=$NR$6,10&lt;=$NS$6),IF($NP$6="Single_Point",IF(10=$NR$6,$NN$6,0),IF($NP$6="Bell_Curve",$NN$6*(10-$NR$6+1)*($NS$6-10+1)/$NU$6,$NN$6/$NT$6)),0)</f>
        <v/>
      </c>
      <c r="O6" s="402">
        <f>IF(AND(11&gt;=$NR$6,11&lt;=$NS$6),IF($NP$6="Single_Point",IF(11=$NR$6,$NN$6,0),IF($NP$6="Bell_Curve",$NN$6*(11-$NR$6+1)*($NS$6-11+1)/$NU$6,$NN$6/$NT$6)),0)</f>
        <v/>
      </c>
      <c r="P6" s="402">
        <f>IF(AND(12&gt;=$NR$6,12&lt;=$NS$6),IF($NP$6="Single_Point",IF(12=$NR$6,$NN$6,0),IF($NP$6="Bell_Curve",$NN$6*(12-$NR$6+1)*($NS$6-12+1)/$NU$6,$NN$6/$NT$6)),0)</f>
        <v/>
      </c>
      <c r="Q6" s="402">
        <f>IF(AND(13&gt;=$NR$6,13&lt;=$NS$6),IF($NP$6="Single_Point",IF(13=$NR$6,$NN$6,0),IF($NP$6="Bell_Curve",$NN$6*(13-$NR$6+1)*($NS$6-13+1)/$NU$6,$NN$6/$NT$6)),0)</f>
        <v/>
      </c>
      <c r="R6" s="402">
        <f>IF(AND(14&gt;=$NR$6,14&lt;=$NS$6),IF($NP$6="Single_Point",IF(14=$NR$6,$NN$6,0),IF($NP$6="Bell_Curve",$NN$6*(14-$NR$6+1)*($NS$6-14+1)/$NU$6,$NN$6/$NT$6)),0)</f>
        <v/>
      </c>
      <c r="S6" s="402">
        <f>IF(AND(15&gt;=$NR$6,15&lt;=$NS$6),IF($NP$6="Single_Point",IF(15=$NR$6,$NN$6,0),IF($NP$6="Bell_Curve",$NN$6*(15-$NR$6+1)*($NS$6-15+1)/$NU$6,$NN$6/$NT$6)),0)</f>
        <v/>
      </c>
      <c r="T6" s="402">
        <f>IF(AND(16&gt;=$NR$6,16&lt;=$NS$6),IF($NP$6="Single_Point",IF(16=$NR$6,$NN$6,0),IF($NP$6="Bell_Curve",$NN$6*(16-$NR$6+1)*($NS$6-16+1)/$NU$6,$NN$6/$NT$6)),0)</f>
        <v/>
      </c>
      <c r="U6" s="402">
        <f>IF(AND(17&gt;=$NR$6,17&lt;=$NS$6),IF($NP$6="Single_Point",IF(17=$NR$6,$NN$6,0),IF($NP$6="Bell_Curve",$NN$6*(17-$NR$6+1)*($NS$6-17+1)/$NU$6,$NN$6/$NT$6)),0)</f>
        <v/>
      </c>
      <c r="V6" s="402">
        <f>IF(AND(18&gt;=$NR$6,18&lt;=$NS$6),IF($NP$6="Single_Point",IF(18=$NR$6,$NN$6,0),IF($NP$6="Bell_Curve",$NN$6*(18-$NR$6+1)*($NS$6-18+1)/$NU$6,$NN$6/$NT$6)),0)</f>
        <v/>
      </c>
      <c r="W6" s="402">
        <f>IF(AND(19&gt;=$NR$6,19&lt;=$NS$6),IF($NP$6="Single_Point",IF(19=$NR$6,$NN$6,0),IF($NP$6="Bell_Curve",$NN$6*(19-$NR$6+1)*($NS$6-19+1)/$NU$6,$NN$6/$NT$6)),0)</f>
        <v/>
      </c>
      <c r="X6" s="402">
        <f>IF(AND(20&gt;=$NR$6,20&lt;=$NS$6),IF($NP$6="Single_Point",IF(20=$NR$6,$NN$6,0),IF($NP$6="Bell_Curve",$NN$6*(20-$NR$6+1)*($NS$6-20+1)/$NU$6,$NN$6/$NT$6)),0)</f>
        <v/>
      </c>
      <c r="Y6" s="402">
        <f>IF(AND(21&gt;=$NR$6,21&lt;=$NS$6),IF($NP$6="Single_Point",IF(21=$NR$6,$NN$6,0),IF($NP$6="Bell_Curve",$NN$6*(21-$NR$6+1)*($NS$6-21+1)/$NU$6,$NN$6/$NT$6)),0)</f>
        <v/>
      </c>
      <c r="Z6" s="402">
        <f>IF(AND(22&gt;=$NR$6,22&lt;=$NS$6),IF($NP$6="Single_Point",IF(22=$NR$6,$NN$6,0),IF($NP$6="Bell_Curve",$NN$6*(22-$NR$6+1)*($NS$6-22+1)/$NU$6,$NN$6/$NT$6)),0)</f>
        <v/>
      </c>
      <c r="AA6" s="402">
        <f>IF(AND(23&gt;=$NR$6,23&lt;=$NS$6),IF($NP$6="Single_Point",IF(23=$NR$6,$NN$6,0),IF($NP$6="Bell_Curve",$NN$6*(23-$NR$6+1)*($NS$6-23+1)/$NU$6,$NN$6/$NT$6)),0)</f>
        <v/>
      </c>
      <c r="AB6" s="402">
        <f>IF(AND(24&gt;=$NR$6,24&lt;=$NS$6),IF($NP$6="Single_Point",IF(24=$NR$6,$NN$6,0),IF($NP$6="Bell_Curve",$NN$6*(24-$NR$6+1)*($NS$6-24+1)/$NU$6,$NN$6/$NT$6)),0)</f>
        <v/>
      </c>
      <c r="AC6" s="402">
        <f>IF(AND(25&gt;=$NR$6,25&lt;=$NS$6),IF($NP$6="Single_Point",IF(25=$NR$6,$NN$6,0),IF($NP$6="Bell_Curve",$NN$6*(25-$NR$6+1)*($NS$6-25+1)/$NU$6,$NN$6/$NT$6)),0)</f>
        <v/>
      </c>
      <c r="AD6" s="402">
        <f>IF(AND(26&gt;=$NR$6,26&lt;=$NS$6),IF($NP$6="Single_Point",IF(26=$NR$6,$NN$6,0),IF($NP$6="Bell_Curve",$NN$6*(26-$NR$6+1)*($NS$6-26+1)/$NU$6,$NN$6/$NT$6)),0)</f>
        <v/>
      </c>
      <c r="AE6" s="402">
        <f>IF(AND(27&gt;=$NR$6,27&lt;=$NS$6),IF($NP$6="Single_Point",IF(27=$NR$6,$NN$6,0),IF($NP$6="Bell_Curve",$NN$6*(27-$NR$6+1)*($NS$6-27+1)/$NU$6,$NN$6/$NT$6)),0)</f>
        <v/>
      </c>
      <c r="AF6" s="402">
        <f>IF(AND(28&gt;=$NR$6,28&lt;=$NS$6),IF($NP$6="Single_Point",IF(28=$NR$6,$NN$6,0),IF($NP$6="Bell_Curve",$NN$6*(28-$NR$6+1)*($NS$6-28+1)/$NU$6,$NN$6/$NT$6)),0)</f>
        <v/>
      </c>
      <c r="AG6" s="402">
        <f>IF(AND(29&gt;=$NR$6,29&lt;=$NS$6),IF($NP$6="Single_Point",IF(29=$NR$6,$NN$6,0),IF($NP$6="Bell_Curve",$NN$6*(29-$NR$6+1)*($NS$6-29+1)/$NU$6,$NN$6/$NT$6)),0)</f>
        <v/>
      </c>
      <c r="AH6" s="402">
        <f>IF(AND(30&gt;=$NR$6,30&lt;=$NS$6),IF($NP$6="Single_Point",IF(30=$NR$6,$NN$6,0),IF($NP$6="Bell_Curve",$NN$6*(30-$NR$6+1)*($NS$6-30+1)/$NU$6,$NN$6/$NT$6)),0)</f>
        <v/>
      </c>
      <c r="AI6" s="402">
        <f>IF(AND(31&gt;=$NR$6,31&lt;=$NS$6),IF($NP$6="Single_Point",IF(31=$NR$6,$NN$6,0),IF($NP$6="Bell_Curve",$NN$6*(31-$NR$6+1)*($NS$6-31+1)/$NU$6,$NN$6/$NT$6)),0)</f>
        <v/>
      </c>
      <c r="AJ6" s="402">
        <f>IF(AND(32&gt;=$NR$6,32&lt;=$NS$6),IF($NP$6="Single_Point",IF(32=$NR$6,$NN$6,0),IF($NP$6="Bell_Curve",$NN$6*(32-$NR$6+1)*($NS$6-32+1)/$NU$6,$NN$6/$NT$6)),0)</f>
        <v/>
      </c>
      <c r="AK6" s="402">
        <f>IF(AND(33&gt;=$NR$6,33&lt;=$NS$6),IF($NP$6="Single_Point",IF(33=$NR$6,$NN$6,0),IF($NP$6="Bell_Curve",$NN$6*(33-$NR$6+1)*($NS$6-33+1)/$NU$6,$NN$6/$NT$6)),0)</f>
        <v/>
      </c>
      <c r="AL6" s="402">
        <f>IF(AND(34&gt;=$NR$6,34&lt;=$NS$6),IF($NP$6="Single_Point",IF(34=$NR$6,$NN$6,0),IF($NP$6="Bell_Curve",$NN$6*(34-$NR$6+1)*($NS$6-34+1)/$NU$6,$NN$6/$NT$6)),0)</f>
        <v/>
      </c>
      <c r="AM6" s="402">
        <f>IF(AND(35&gt;=$NR$6,35&lt;=$NS$6),IF($NP$6="Single_Point",IF(35=$NR$6,$NN$6,0),IF($NP$6="Bell_Curve",$NN$6*(35-$NR$6+1)*($NS$6-35+1)/$NU$6,$NN$6/$NT$6)),0)</f>
        <v/>
      </c>
      <c r="AN6" s="402">
        <f>IF(AND(36&gt;=$NR$6,36&lt;=$NS$6),IF($NP$6="Single_Point",IF(36=$NR$6,$NN$6,0),IF($NP$6="Bell_Curve",$NN$6*(36-$NR$6+1)*($NS$6-36+1)/$NU$6,$NN$6/$NT$6)),0)</f>
        <v/>
      </c>
      <c r="AO6" s="402">
        <f>IF(AND(37&gt;=$NR$6,37&lt;=$NS$6),IF($NP$6="Single_Point",IF(37=$NR$6,$NN$6,0),IF($NP$6="Bell_Curve",$NN$6*(37-$NR$6+1)*($NS$6-37+1)/$NU$6,$NN$6/$NT$6)),0)</f>
        <v/>
      </c>
      <c r="AP6" s="402">
        <f>IF(AND(38&gt;=$NR$6,38&lt;=$NS$6),IF($NP$6="Single_Point",IF(38=$NR$6,$NN$6,0),IF($NP$6="Bell_Curve",$NN$6*(38-$NR$6+1)*($NS$6-38+1)/$NU$6,$NN$6/$NT$6)),0)</f>
        <v/>
      </c>
      <c r="AQ6" s="402">
        <f>IF(AND(39&gt;=$NR$6,39&lt;=$NS$6),IF($NP$6="Single_Point",IF(39=$NR$6,$NN$6,0),IF($NP$6="Bell_Curve",$NN$6*(39-$NR$6+1)*($NS$6-39+1)/$NU$6,$NN$6/$NT$6)),0)</f>
        <v/>
      </c>
      <c r="AR6" s="402">
        <f>IF(AND(40&gt;=$NR$6,40&lt;=$NS$6),IF($NP$6="Single_Point",IF(40=$NR$6,$NN$6,0),IF($NP$6="Bell_Curve",$NN$6*(40-$NR$6+1)*($NS$6-40+1)/$NU$6,$NN$6/$NT$6)),0)</f>
        <v/>
      </c>
      <c r="AS6" s="402">
        <f>IF(AND(41&gt;=$NR$6,41&lt;=$NS$6),IF($NP$6="Single_Point",IF(41=$NR$6,$NN$6,0),IF($NP$6="Bell_Curve",$NN$6*(41-$NR$6+1)*($NS$6-41+1)/$NU$6,$NN$6/$NT$6)),0)</f>
        <v/>
      </c>
      <c r="AT6" s="402">
        <f>IF(AND(42&gt;=$NR$6,42&lt;=$NS$6),IF($NP$6="Single_Point",IF(42=$NR$6,$NN$6,0),IF($NP$6="Bell_Curve",$NN$6*(42-$NR$6+1)*($NS$6-42+1)/$NU$6,$NN$6/$NT$6)),0)</f>
        <v/>
      </c>
      <c r="AU6" s="402">
        <f>IF(AND(43&gt;=$NR$6,43&lt;=$NS$6),IF($NP$6="Single_Point",IF(43=$NR$6,$NN$6,0),IF($NP$6="Bell_Curve",$NN$6*(43-$NR$6+1)*($NS$6-43+1)/$NU$6,$NN$6/$NT$6)),0)</f>
        <v/>
      </c>
      <c r="AV6" s="402">
        <f>IF(AND(44&gt;=$NR$6,44&lt;=$NS$6),IF($NP$6="Single_Point",IF(44=$NR$6,$NN$6,0),IF($NP$6="Bell_Curve",$NN$6*(44-$NR$6+1)*($NS$6-44+1)/$NU$6,$NN$6/$NT$6)),0)</f>
        <v/>
      </c>
      <c r="AW6" s="402">
        <f>IF(AND(45&gt;=$NR$6,45&lt;=$NS$6),IF($NP$6="Single_Point",IF(45=$NR$6,$NN$6,0),IF($NP$6="Bell_Curve",$NN$6*(45-$NR$6+1)*($NS$6-45+1)/$NU$6,$NN$6/$NT$6)),0)</f>
        <v/>
      </c>
      <c r="AX6" s="402">
        <f>IF(AND(46&gt;=$NR$6,46&lt;=$NS$6),IF($NP$6="Single_Point",IF(46=$NR$6,$NN$6,0),IF($NP$6="Bell_Curve",$NN$6*(46-$NR$6+1)*($NS$6-46+1)/$NU$6,$NN$6/$NT$6)),0)</f>
        <v/>
      </c>
      <c r="AY6" s="402">
        <f>IF(AND(47&gt;=$NR$6,47&lt;=$NS$6),IF($NP$6="Single_Point",IF(47=$NR$6,$NN$6,0),IF($NP$6="Bell_Curve",$NN$6*(47-$NR$6+1)*($NS$6-47+1)/$NU$6,$NN$6/$NT$6)),0)</f>
        <v/>
      </c>
      <c r="AZ6" s="402">
        <f>IF(AND(48&gt;=$NR$6,48&lt;=$NS$6),IF($NP$6="Single_Point",IF(48=$NR$6,$NN$6,0),IF($NP$6="Bell_Curve",$NN$6*(48-$NR$6+1)*($NS$6-48+1)/$NU$6,$NN$6/$NT$6)),0)</f>
        <v/>
      </c>
      <c r="BA6" s="402">
        <f>IF(AND(49&gt;=$NR$6,49&lt;=$NS$6),IF($NP$6="Single_Point",IF(49=$NR$6,$NN$6,0),IF($NP$6="Bell_Curve",$NN$6*(49-$NR$6+1)*($NS$6-49+1)/$NU$6,$NN$6/$NT$6)),0)</f>
        <v/>
      </c>
      <c r="BB6" s="402">
        <f>IF(AND(50&gt;=$NR$6,50&lt;=$NS$6),IF($NP$6="Single_Point",IF(50=$NR$6,$NN$6,0),IF($NP$6="Bell_Curve",$NN$6*(50-$NR$6+1)*($NS$6-50+1)/$NU$6,$NN$6/$NT$6)),0)</f>
        <v/>
      </c>
      <c r="BC6" s="402">
        <f>IF(AND(51&gt;=$NR$6,51&lt;=$NS$6),IF($NP$6="Single_Point",IF(51=$NR$6,$NN$6,0),IF($NP$6="Bell_Curve",$NN$6*(51-$NR$6+1)*($NS$6-51+1)/$NU$6,$NN$6/$NT$6)),0)</f>
        <v/>
      </c>
      <c r="BD6" s="402">
        <f>IF(AND(52&gt;=$NR$6,52&lt;=$NS$6),IF($NP$6="Single_Point",IF(52=$NR$6,$NN$6,0),IF($NP$6="Bell_Curve",$NN$6*(52-$NR$6+1)*($NS$6-52+1)/$NU$6,$NN$6/$NT$6)),0)</f>
        <v/>
      </c>
      <c r="BE6" s="402">
        <f>IF(AND(53&gt;=$NR$6,53&lt;=$NS$6),IF($NP$6="Single_Point",IF(53=$NR$6,$NN$6,0),IF($NP$6="Bell_Curve",$NN$6*(53-$NR$6+1)*($NS$6-53+1)/$NU$6,$NN$6/$NT$6)),0)</f>
        <v/>
      </c>
      <c r="BF6" s="402">
        <f>IF(AND(54&gt;=$NR$6,54&lt;=$NS$6),IF($NP$6="Single_Point",IF(54=$NR$6,$NN$6,0),IF($NP$6="Bell_Curve",$NN$6*(54-$NR$6+1)*($NS$6-54+1)/$NU$6,$NN$6/$NT$6)),0)</f>
        <v/>
      </c>
      <c r="BG6" s="402">
        <f>IF(AND(55&gt;=$NR$6,55&lt;=$NS$6),IF($NP$6="Single_Point",IF(55=$NR$6,$NN$6,0),IF($NP$6="Bell_Curve",$NN$6*(55-$NR$6+1)*($NS$6-55+1)/$NU$6,$NN$6/$NT$6)),0)</f>
        <v/>
      </c>
      <c r="BH6" s="402">
        <f>IF(AND(56&gt;=$NR$6,56&lt;=$NS$6),IF($NP$6="Single_Point",IF(56=$NR$6,$NN$6,0),IF($NP$6="Bell_Curve",$NN$6*(56-$NR$6+1)*($NS$6-56+1)/$NU$6,$NN$6/$NT$6)),0)</f>
        <v/>
      </c>
      <c r="BI6" s="402">
        <f>IF(AND(57&gt;=$NR$6,57&lt;=$NS$6),IF($NP$6="Single_Point",IF(57=$NR$6,$NN$6,0),IF($NP$6="Bell_Curve",$NN$6*(57-$NR$6+1)*($NS$6-57+1)/$NU$6,$NN$6/$NT$6)),0)</f>
        <v/>
      </c>
      <c r="BJ6" s="402">
        <f>IF(AND(58&gt;=$NR$6,58&lt;=$NS$6),IF($NP$6="Single_Point",IF(58=$NR$6,$NN$6,0),IF($NP$6="Bell_Curve",$NN$6*(58-$NR$6+1)*($NS$6-58+1)/$NU$6,$NN$6/$NT$6)),0)</f>
        <v/>
      </c>
      <c r="BK6" s="402">
        <f>IF(AND(59&gt;=$NR$6,59&lt;=$NS$6),IF($NP$6="Single_Point",IF(59=$NR$6,$NN$6,0),IF($NP$6="Bell_Curve",$NN$6*(59-$NR$6+1)*($NS$6-59+1)/$NU$6,$NN$6/$NT$6)),0)</f>
        <v/>
      </c>
      <c r="BL6" s="402">
        <f>IF(AND(60&gt;=$NR$6,60&lt;=$NS$6),IF($NP$6="Single_Point",IF(60=$NR$6,$NN$6,0),IF($NP$6="Bell_Curve",$NN$6*(60-$NR$6+1)*($NS$6-60+1)/$NU$6,$NN$6/$NT$6)),0)</f>
        <v/>
      </c>
      <c r="BM6" s="402">
        <f>IF(AND(61&gt;=$NR$6,61&lt;=$NS$6),IF($NP$6="Single_Point",IF(61=$NR$6,$NN$6,0),IF($NP$6="Bell_Curve",$NN$6*(61-$NR$6+1)*($NS$6-61+1)/$NU$6,$NN$6/$NT$6)),0)</f>
        <v/>
      </c>
      <c r="BN6" s="402">
        <f>IF(AND(62&gt;=$NR$6,62&lt;=$NS$6),IF($NP$6="Single_Point",IF(62=$NR$6,$NN$6,0),IF($NP$6="Bell_Curve",$NN$6*(62-$NR$6+1)*($NS$6-62+1)/$NU$6,$NN$6/$NT$6)),0)</f>
        <v/>
      </c>
      <c r="BO6" s="402">
        <f>IF(AND(63&gt;=$NR$6,63&lt;=$NS$6),IF($NP$6="Single_Point",IF(63=$NR$6,$NN$6,0),IF($NP$6="Bell_Curve",$NN$6*(63-$NR$6+1)*($NS$6-63+1)/$NU$6,$NN$6/$NT$6)),0)</f>
        <v/>
      </c>
      <c r="BP6" s="402">
        <f>IF(AND(64&gt;=$NR$6,64&lt;=$NS$6),IF($NP$6="Single_Point",IF(64=$NR$6,$NN$6,0),IF($NP$6="Bell_Curve",$NN$6*(64-$NR$6+1)*($NS$6-64+1)/$NU$6,$NN$6/$NT$6)),0)</f>
        <v/>
      </c>
      <c r="BQ6" s="402">
        <f>IF(AND(65&gt;=$NR$6,65&lt;=$NS$6),IF($NP$6="Single_Point",IF(65=$NR$6,$NN$6,0),IF($NP$6="Bell_Curve",$NN$6*(65-$NR$6+1)*($NS$6-65+1)/$NU$6,$NN$6/$NT$6)),0)</f>
        <v/>
      </c>
      <c r="BR6" s="402">
        <f>IF(AND(66&gt;=$NR$6,66&lt;=$NS$6),IF($NP$6="Single_Point",IF(66=$NR$6,$NN$6,0),IF($NP$6="Bell_Curve",$NN$6*(66-$NR$6+1)*($NS$6-66+1)/$NU$6,$NN$6/$NT$6)),0)</f>
        <v/>
      </c>
      <c r="BS6" s="402">
        <f>IF(AND(67&gt;=$NR$6,67&lt;=$NS$6),IF($NP$6="Single_Point",IF(67=$NR$6,$NN$6,0),IF($NP$6="Bell_Curve",$NN$6*(67-$NR$6+1)*($NS$6-67+1)/$NU$6,$NN$6/$NT$6)),0)</f>
        <v/>
      </c>
      <c r="BT6" s="402">
        <f>IF(AND(68&gt;=$NR$6,68&lt;=$NS$6),IF($NP$6="Single_Point",IF(68=$NR$6,$NN$6,0),IF($NP$6="Bell_Curve",$NN$6*(68-$NR$6+1)*($NS$6-68+1)/$NU$6,$NN$6/$NT$6)),0)</f>
        <v/>
      </c>
      <c r="BU6" s="402">
        <f>IF(AND(69&gt;=$NR$6,69&lt;=$NS$6),IF($NP$6="Single_Point",IF(69=$NR$6,$NN$6,0),IF($NP$6="Bell_Curve",$NN$6*(69-$NR$6+1)*($NS$6-69+1)/$NU$6,$NN$6/$NT$6)),0)</f>
        <v/>
      </c>
      <c r="BV6" s="402">
        <f>IF(AND(70&gt;=$NR$6,70&lt;=$NS$6),IF($NP$6="Single_Point",IF(70=$NR$6,$NN$6,0),IF($NP$6="Bell_Curve",$NN$6*(70-$NR$6+1)*($NS$6-70+1)/$NU$6,$NN$6/$NT$6)),0)</f>
        <v/>
      </c>
      <c r="BW6" s="402">
        <f>IF(AND(71&gt;=$NR$6,71&lt;=$NS$6),IF($NP$6="Single_Point",IF(71=$NR$6,$NN$6,0),IF($NP$6="Bell_Curve",$NN$6*(71-$NR$6+1)*($NS$6-71+1)/$NU$6,$NN$6/$NT$6)),0)</f>
        <v/>
      </c>
      <c r="BX6" s="402">
        <f>IF(AND(72&gt;=$NR$6,72&lt;=$NS$6),IF($NP$6="Single_Point",IF(72=$NR$6,$NN$6,0),IF($NP$6="Bell_Curve",$NN$6*(72-$NR$6+1)*($NS$6-72+1)/$NU$6,$NN$6/$NT$6)),0)</f>
        <v/>
      </c>
      <c r="BY6" s="402">
        <f>IF(AND(73&gt;=$NR$6,73&lt;=$NS$6),IF($NP$6="Single_Point",IF(73=$NR$6,$NN$6,0),IF($NP$6="Bell_Curve",$NN$6*(73-$NR$6+1)*($NS$6-73+1)/$NU$6,$NN$6/$NT$6)),0)</f>
        <v/>
      </c>
      <c r="BZ6" s="402">
        <f>IF(AND(74&gt;=$NR$6,74&lt;=$NS$6),IF($NP$6="Single_Point",IF(74=$NR$6,$NN$6,0),IF($NP$6="Bell_Curve",$NN$6*(74-$NR$6+1)*($NS$6-74+1)/$NU$6,$NN$6/$NT$6)),0)</f>
        <v/>
      </c>
      <c r="CA6" s="402">
        <f>IF(AND(75&gt;=$NR$6,75&lt;=$NS$6),IF($NP$6="Single_Point",IF(75=$NR$6,$NN$6,0),IF($NP$6="Bell_Curve",$NN$6*(75-$NR$6+1)*($NS$6-75+1)/$NU$6,$NN$6/$NT$6)),0)</f>
        <v/>
      </c>
      <c r="CB6" s="402">
        <f>IF(AND(76&gt;=$NR$6,76&lt;=$NS$6),IF($NP$6="Single_Point",IF(76=$NR$6,$NN$6,0),IF($NP$6="Bell_Curve",$NN$6*(76-$NR$6+1)*($NS$6-76+1)/$NU$6,$NN$6/$NT$6)),0)</f>
        <v/>
      </c>
      <c r="CC6" s="402">
        <f>IF(AND(77&gt;=$NR$6,77&lt;=$NS$6),IF($NP$6="Single_Point",IF(77=$NR$6,$NN$6,0),IF($NP$6="Bell_Curve",$NN$6*(77-$NR$6+1)*($NS$6-77+1)/$NU$6,$NN$6/$NT$6)),0)</f>
        <v/>
      </c>
      <c r="CD6" s="402">
        <f>IF(AND(78&gt;=$NR$6,78&lt;=$NS$6),IF($NP$6="Single_Point",IF(78=$NR$6,$NN$6,0),IF($NP$6="Bell_Curve",$NN$6*(78-$NR$6+1)*($NS$6-78+1)/$NU$6,$NN$6/$NT$6)),0)</f>
        <v/>
      </c>
      <c r="CE6" s="402">
        <f>IF(AND(79&gt;=$NR$6,79&lt;=$NS$6),IF($NP$6="Single_Point",IF(79=$NR$6,$NN$6,0),IF($NP$6="Bell_Curve",$NN$6*(79-$NR$6+1)*($NS$6-79+1)/$NU$6,$NN$6/$NT$6)),0)</f>
        <v/>
      </c>
      <c r="CF6" s="402">
        <f>IF(AND(80&gt;=$NR$6,80&lt;=$NS$6),IF($NP$6="Single_Point",IF(80=$NR$6,$NN$6,0),IF($NP$6="Bell_Curve",$NN$6*(80-$NR$6+1)*($NS$6-80+1)/$NU$6,$NN$6/$NT$6)),0)</f>
        <v/>
      </c>
      <c r="CG6" s="402">
        <f>IF(AND(81&gt;=$NR$6,81&lt;=$NS$6),IF($NP$6="Single_Point",IF(81=$NR$6,$NN$6,0),IF($NP$6="Bell_Curve",$NN$6*(81-$NR$6+1)*($NS$6-81+1)/$NU$6,$NN$6/$NT$6)),0)</f>
        <v/>
      </c>
      <c r="CH6" s="402">
        <f>IF(AND(82&gt;=$NR$6,82&lt;=$NS$6),IF($NP$6="Single_Point",IF(82=$NR$6,$NN$6,0),IF($NP$6="Bell_Curve",$NN$6*(82-$NR$6+1)*($NS$6-82+1)/$NU$6,$NN$6/$NT$6)),0)</f>
        <v/>
      </c>
      <c r="CI6" s="402">
        <f>IF(AND(83&gt;=$NR$6,83&lt;=$NS$6),IF($NP$6="Single_Point",IF(83=$NR$6,$NN$6,0),IF($NP$6="Bell_Curve",$NN$6*(83-$NR$6+1)*($NS$6-83+1)/$NU$6,$NN$6/$NT$6)),0)</f>
        <v/>
      </c>
      <c r="CJ6" s="402">
        <f>IF(AND(84&gt;=$NR$6,84&lt;=$NS$6),IF($NP$6="Single_Point",IF(84=$NR$6,$NN$6,0),IF($NP$6="Bell_Curve",$NN$6*(84-$NR$6+1)*($NS$6-84+1)/$NU$6,$NN$6/$NT$6)),0)</f>
        <v/>
      </c>
      <c r="CK6" s="402">
        <f>IF(AND(85&gt;=$NR$6,85&lt;=$NS$6),IF($NP$6="Single_Point",IF(85=$NR$6,$NN$6,0),IF($NP$6="Bell_Curve",$NN$6*(85-$NR$6+1)*($NS$6-85+1)/$NU$6,$NN$6/$NT$6)),0)</f>
        <v/>
      </c>
      <c r="CL6" s="402">
        <f>IF(AND(86&gt;=$NR$6,86&lt;=$NS$6),IF($NP$6="Single_Point",IF(86=$NR$6,$NN$6,0),IF($NP$6="Bell_Curve",$NN$6*(86-$NR$6+1)*($NS$6-86+1)/$NU$6,$NN$6/$NT$6)),0)</f>
        <v/>
      </c>
      <c r="CM6" s="402">
        <f>IF(AND(87&gt;=$NR$6,87&lt;=$NS$6),IF($NP$6="Single_Point",IF(87=$NR$6,$NN$6,0),IF($NP$6="Bell_Curve",$NN$6*(87-$NR$6+1)*($NS$6-87+1)/$NU$6,$NN$6/$NT$6)),0)</f>
        <v/>
      </c>
      <c r="CN6" s="402">
        <f>IF(AND(88&gt;=$NR$6,88&lt;=$NS$6),IF($NP$6="Single_Point",IF(88=$NR$6,$NN$6,0),IF($NP$6="Bell_Curve",$NN$6*(88-$NR$6+1)*($NS$6-88+1)/$NU$6,$NN$6/$NT$6)),0)</f>
        <v/>
      </c>
      <c r="CO6" s="402">
        <f>IF(AND(89&gt;=$NR$6,89&lt;=$NS$6),IF($NP$6="Single_Point",IF(89=$NR$6,$NN$6,0),IF($NP$6="Bell_Curve",$NN$6*(89-$NR$6+1)*($NS$6-89+1)/$NU$6,$NN$6/$NT$6)),0)</f>
        <v/>
      </c>
      <c r="CP6" s="402">
        <f>IF(AND(90&gt;=$NR$6,90&lt;=$NS$6),IF($NP$6="Single_Point",IF(90=$NR$6,$NN$6,0),IF($NP$6="Bell_Curve",$NN$6*(90-$NR$6+1)*($NS$6-90+1)/$NU$6,$NN$6/$NT$6)),0)</f>
        <v/>
      </c>
      <c r="CQ6" s="402">
        <f>IF(AND(91&gt;=$NR$6,91&lt;=$NS$6),IF($NP$6="Single_Point",IF(91=$NR$6,$NN$6,0),IF($NP$6="Bell_Curve",$NN$6*(91-$NR$6+1)*($NS$6-91+1)/$NU$6,$NN$6/$NT$6)),0)</f>
        <v/>
      </c>
      <c r="CR6" s="402">
        <f>IF(AND(92&gt;=$NR$6,92&lt;=$NS$6),IF($NP$6="Single_Point",IF(92=$NR$6,$NN$6,0),IF($NP$6="Bell_Curve",$NN$6*(92-$NR$6+1)*($NS$6-92+1)/$NU$6,$NN$6/$NT$6)),0)</f>
        <v/>
      </c>
      <c r="CS6" s="402">
        <f>IF(AND(93&gt;=$NR$6,93&lt;=$NS$6),IF($NP$6="Single_Point",IF(93=$NR$6,$NN$6,0),IF($NP$6="Bell_Curve",$NN$6*(93-$NR$6+1)*($NS$6-93+1)/$NU$6,$NN$6/$NT$6)),0)</f>
        <v/>
      </c>
      <c r="CT6" s="402">
        <f>IF(AND(94&gt;=$NR$6,94&lt;=$NS$6),IF($NP$6="Single_Point",IF(94=$NR$6,$NN$6,0),IF($NP$6="Bell_Curve",$NN$6*(94-$NR$6+1)*($NS$6-94+1)/$NU$6,$NN$6/$NT$6)),0)</f>
        <v/>
      </c>
      <c r="CU6" s="402">
        <f>IF(AND(95&gt;=$NR$6,95&lt;=$NS$6),IF($NP$6="Single_Point",IF(95=$NR$6,$NN$6,0),IF($NP$6="Bell_Curve",$NN$6*(95-$NR$6+1)*($NS$6-95+1)/$NU$6,$NN$6/$NT$6)),0)</f>
        <v/>
      </c>
      <c r="CV6" s="402">
        <f>IF(AND(96&gt;=$NR$6,96&lt;=$NS$6),IF($NP$6="Single_Point",IF(96=$NR$6,$NN$6,0),IF($NP$6="Bell_Curve",$NN$6*(96-$NR$6+1)*($NS$6-96+1)/$NU$6,$NN$6/$NT$6)),0)</f>
        <v/>
      </c>
      <c r="CW6" s="402">
        <f>IF(AND(97&gt;=$NR$6,97&lt;=$NS$6),IF($NP$6="Single_Point",IF(97=$NR$6,$NN$6,0),IF($NP$6="Bell_Curve",$NN$6*(97-$NR$6+1)*($NS$6-97+1)/$NU$6,$NN$6/$NT$6)),0)</f>
        <v/>
      </c>
      <c r="CX6" s="402">
        <f>IF(AND(98&gt;=$NR$6,98&lt;=$NS$6),IF($NP$6="Single_Point",IF(98=$NR$6,$NN$6,0),IF($NP$6="Bell_Curve",$NN$6*(98-$NR$6+1)*($NS$6-98+1)/$NU$6,$NN$6/$NT$6)),0)</f>
        <v/>
      </c>
      <c r="CY6" s="402">
        <f>IF(AND(99&gt;=$NR$6,99&lt;=$NS$6),IF($NP$6="Single_Point",IF(99=$NR$6,$NN$6,0),IF($NP$6="Bell_Curve",$NN$6*(99-$NR$6+1)*($NS$6-99+1)/$NU$6,$NN$6/$NT$6)),0)</f>
        <v/>
      </c>
      <c r="CZ6" s="402">
        <f>IF(AND(100&gt;=$NR$6,100&lt;=$NS$6),IF($NP$6="Single_Point",IF(100=$NR$6,$NN$6,0),IF($NP$6="Bell_Curve",$NN$6*(100-$NR$6+1)*($NS$6-100+1)/$NU$6,$NN$6/$NT$6)),0)</f>
        <v/>
      </c>
      <c r="DA6" s="402">
        <f>IF(AND(101&gt;=$NR$6,101&lt;=$NS$6),IF($NP$6="Single_Point",IF(101=$NR$6,$NN$6,0),IF($NP$6="Bell_Curve",$NN$6*(101-$NR$6+1)*($NS$6-101+1)/$NU$6,$NN$6/$NT$6)),0)</f>
        <v/>
      </c>
      <c r="DB6" s="402">
        <f>IF(AND(102&gt;=$NR$6,102&lt;=$NS$6),IF($NP$6="Single_Point",IF(102=$NR$6,$NN$6,0),IF($NP$6="Bell_Curve",$NN$6*(102-$NR$6+1)*($NS$6-102+1)/$NU$6,$NN$6/$NT$6)),0)</f>
        <v/>
      </c>
      <c r="DC6" s="402">
        <f>IF(AND(103&gt;=$NR$6,103&lt;=$NS$6),IF($NP$6="Single_Point",IF(103=$NR$6,$NN$6,0),IF($NP$6="Bell_Curve",$NN$6*(103-$NR$6+1)*($NS$6-103+1)/$NU$6,$NN$6/$NT$6)),0)</f>
        <v/>
      </c>
      <c r="DD6" s="402">
        <f>IF(AND(104&gt;=$NR$6,104&lt;=$NS$6),IF($NP$6="Single_Point",IF(104=$NR$6,$NN$6,0),IF($NP$6="Bell_Curve",$NN$6*(104-$NR$6+1)*($NS$6-104+1)/$NU$6,$NN$6/$NT$6)),0)</f>
        <v/>
      </c>
      <c r="DE6" s="402">
        <f>IF(AND(105&gt;=$NR$6,105&lt;=$NS$6),IF($NP$6="Single_Point",IF(105=$NR$6,$NN$6,0),IF($NP$6="Bell_Curve",$NN$6*(105-$NR$6+1)*($NS$6-105+1)/$NU$6,$NN$6/$NT$6)),0)</f>
        <v/>
      </c>
      <c r="DF6" s="402">
        <f>IF(AND(106&gt;=$NR$6,106&lt;=$NS$6),IF($NP$6="Single_Point",IF(106=$NR$6,$NN$6,0),IF($NP$6="Bell_Curve",$NN$6*(106-$NR$6+1)*($NS$6-106+1)/$NU$6,$NN$6/$NT$6)),0)</f>
        <v/>
      </c>
      <c r="DG6" s="402">
        <f>IF(AND(107&gt;=$NR$6,107&lt;=$NS$6),IF($NP$6="Single_Point",IF(107=$NR$6,$NN$6,0),IF($NP$6="Bell_Curve",$NN$6*(107-$NR$6+1)*($NS$6-107+1)/$NU$6,$NN$6/$NT$6)),0)</f>
        <v/>
      </c>
      <c r="DH6" s="402">
        <f>IF(AND(108&gt;=$NR$6,108&lt;=$NS$6),IF($NP$6="Single_Point",IF(108=$NR$6,$NN$6,0),IF($NP$6="Bell_Curve",$NN$6*(108-$NR$6+1)*($NS$6-108+1)/$NU$6,$NN$6/$NT$6)),0)</f>
        <v/>
      </c>
      <c r="DI6" s="402">
        <f>IF(AND(109&gt;=$NR$6,109&lt;=$NS$6),IF($NP$6="Single_Point",IF(109=$NR$6,$NN$6,0),IF($NP$6="Bell_Curve",$NN$6*(109-$NR$6+1)*($NS$6-109+1)/$NU$6,$NN$6/$NT$6)),0)</f>
        <v/>
      </c>
      <c r="DJ6" s="402">
        <f>IF(AND(110&gt;=$NR$6,110&lt;=$NS$6),IF($NP$6="Single_Point",IF(110=$NR$6,$NN$6,0),IF($NP$6="Bell_Curve",$NN$6*(110-$NR$6+1)*($NS$6-110+1)/$NU$6,$NN$6/$NT$6)),0)</f>
        <v/>
      </c>
      <c r="DK6" s="402">
        <f>IF(AND(111&gt;=$NR$6,111&lt;=$NS$6),IF($NP$6="Single_Point",IF(111=$NR$6,$NN$6,0),IF($NP$6="Bell_Curve",$NN$6*(111-$NR$6+1)*($NS$6-111+1)/$NU$6,$NN$6/$NT$6)),0)</f>
        <v/>
      </c>
      <c r="DL6" s="402">
        <f>IF(AND(112&gt;=$NR$6,112&lt;=$NS$6),IF($NP$6="Single_Point",IF(112=$NR$6,$NN$6,0),IF($NP$6="Bell_Curve",$NN$6*(112-$NR$6+1)*($NS$6-112+1)/$NU$6,$NN$6/$NT$6)),0)</f>
        <v/>
      </c>
      <c r="DM6" s="402">
        <f>IF(AND(113&gt;=$NR$6,113&lt;=$NS$6),IF($NP$6="Single_Point",IF(113=$NR$6,$NN$6,0),IF($NP$6="Bell_Curve",$NN$6*(113-$NR$6+1)*($NS$6-113+1)/$NU$6,$NN$6/$NT$6)),0)</f>
        <v/>
      </c>
      <c r="DN6" s="402">
        <f>IF(AND(114&gt;=$NR$6,114&lt;=$NS$6),IF($NP$6="Single_Point",IF(114=$NR$6,$NN$6,0),IF($NP$6="Bell_Curve",$NN$6*(114-$NR$6+1)*($NS$6-114+1)/$NU$6,$NN$6/$NT$6)),0)</f>
        <v/>
      </c>
      <c r="DO6" s="402">
        <f>IF(AND(115&gt;=$NR$6,115&lt;=$NS$6),IF($NP$6="Single_Point",IF(115=$NR$6,$NN$6,0),IF($NP$6="Bell_Curve",$NN$6*(115-$NR$6+1)*($NS$6-115+1)/$NU$6,$NN$6/$NT$6)),0)</f>
        <v/>
      </c>
      <c r="DP6" s="402">
        <f>IF(AND(116&gt;=$NR$6,116&lt;=$NS$6),IF($NP$6="Single_Point",IF(116=$NR$6,$NN$6,0),IF($NP$6="Bell_Curve",$NN$6*(116-$NR$6+1)*($NS$6-116+1)/$NU$6,$NN$6/$NT$6)),0)</f>
        <v/>
      </c>
      <c r="DQ6" s="402">
        <f>IF(AND(117&gt;=$NR$6,117&lt;=$NS$6),IF($NP$6="Single_Point",IF(117=$NR$6,$NN$6,0),IF($NP$6="Bell_Curve",$NN$6*(117-$NR$6+1)*($NS$6-117+1)/$NU$6,$NN$6/$NT$6)),0)</f>
        <v/>
      </c>
      <c r="DR6" s="402">
        <f>IF(AND(118&gt;=$NR$6,118&lt;=$NS$6),IF($NP$6="Single_Point",IF(118=$NR$6,$NN$6,0),IF($NP$6="Bell_Curve",$NN$6*(118-$NR$6+1)*($NS$6-118+1)/$NU$6,$NN$6/$NT$6)),0)</f>
        <v/>
      </c>
      <c r="DS6" s="402">
        <f>IF(AND(119&gt;=$NR$6,119&lt;=$NS$6),IF($NP$6="Single_Point",IF(119=$NR$6,$NN$6,0),IF($NP$6="Bell_Curve",$NN$6*(119-$NR$6+1)*($NS$6-119+1)/$NU$6,$NN$6/$NT$6)),0)</f>
        <v/>
      </c>
      <c r="DT6" s="402">
        <f>IF(AND(120&gt;=$NR$6,120&lt;=$NS$6),IF($NP$6="Single_Point",IF(120=$NR$6,$NN$6,0),IF($NP$6="Bell_Curve",$NN$6*(120-$NR$6+1)*($NS$6-120+1)/$NU$6,$NN$6/$NT$6)),0)</f>
        <v/>
      </c>
      <c r="DU6" s="402">
        <f>IF(AND(121&gt;=$NR$6,121&lt;=$NS$6),IF($NP$6="Single_Point",IF(121=$NR$6,$NN$6,0),IF($NP$6="Bell_Curve",$NN$6*(121-$NR$6+1)*($NS$6-121+1)/$NU$6,$NN$6/$NT$6)),0)</f>
        <v/>
      </c>
      <c r="DV6" s="402">
        <f>IF(AND(122&gt;=$NR$6,122&lt;=$NS$6),IF($NP$6="Single_Point",IF(122=$NR$6,$NN$6,0),IF($NP$6="Bell_Curve",$NN$6*(122-$NR$6+1)*($NS$6-122+1)/$NU$6,$NN$6/$NT$6)),0)</f>
        <v/>
      </c>
      <c r="DW6" s="402">
        <f>IF(AND(123&gt;=$NR$6,123&lt;=$NS$6),IF($NP$6="Single_Point",IF(123=$NR$6,$NN$6,0),IF($NP$6="Bell_Curve",$NN$6*(123-$NR$6+1)*($NS$6-123+1)/$NU$6,$NN$6/$NT$6)),0)</f>
        <v/>
      </c>
      <c r="DX6" s="402">
        <f>IF(AND(124&gt;=$NR$6,124&lt;=$NS$6),IF($NP$6="Single_Point",IF(124=$NR$6,$NN$6,0),IF($NP$6="Bell_Curve",$NN$6*(124-$NR$6+1)*($NS$6-124+1)/$NU$6,$NN$6/$NT$6)),0)</f>
        <v/>
      </c>
      <c r="DY6" s="402">
        <f>IF(AND(125&gt;=$NR$6,125&lt;=$NS$6),IF($NP$6="Single_Point",IF(125=$NR$6,$NN$6,0),IF($NP$6="Bell_Curve",$NN$6*(125-$NR$6+1)*($NS$6-125+1)/$NU$6,$NN$6/$NT$6)),0)</f>
        <v/>
      </c>
      <c r="DZ6" s="402">
        <f>IF(AND(126&gt;=$NR$6,126&lt;=$NS$6),IF($NP$6="Single_Point",IF(126=$NR$6,$NN$6,0),IF($NP$6="Bell_Curve",$NN$6*(126-$NR$6+1)*($NS$6-126+1)/$NU$6,$NN$6/$NT$6)),0)</f>
        <v/>
      </c>
      <c r="EA6" s="402">
        <f>IF(AND(127&gt;=$NR$6,127&lt;=$NS$6),IF($NP$6="Single_Point",IF(127=$NR$6,$NN$6,0),IF($NP$6="Bell_Curve",$NN$6*(127-$NR$6+1)*($NS$6-127+1)/$NU$6,$NN$6/$NT$6)),0)</f>
        <v/>
      </c>
      <c r="EB6" s="402">
        <f>IF(AND(128&gt;=$NR$6,128&lt;=$NS$6),IF($NP$6="Single_Point",IF(128=$NR$6,$NN$6,0),IF($NP$6="Bell_Curve",$NN$6*(128-$NR$6+1)*($NS$6-128+1)/$NU$6,$NN$6/$NT$6)),0)</f>
        <v/>
      </c>
      <c r="EC6" s="402">
        <f>IF(AND(129&gt;=$NR$6,129&lt;=$NS$6),IF($NP$6="Single_Point",IF(129=$NR$6,$NN$6,0),IF($NP$6="Bell_Curve",$NN$6*(129-$NR$6+1)*($NS$6-129+1)/$NU$6,$NN$6/$NT$6)),0)</f>
        <v/>
      </c>
      <c r="ED6" s="402">
        <f>IF(AND(130&gt;=$NR$6,130&lt;=$NS$6),IF($NP$6="Single_Point",IF(130=$NR$6,$NN$6,0),IF($NP$6="Bell_Curve",$NN$6*(130-$NR$6+1)*($NS$6-130+1)/$NU$6,$NN$6/$NT$6)),0)</f>
        <v/>
      </c>
      <c r="EE6" s="402">
        <f>IF(AND(131&gt;=$NR$6,131&lt;=$NS$6),IF($NP$6="Single_Point",IF(131=$NR$6,$NN$6,0),IF($NP$6="Bell_Curve",$NN$6*(131-$NR$6+1)*($NS$6-131+1)/$NU$6,$NN$6/$NT$6)),0)</f>
        <v/>
      </c>
      <c r="EF6" s="402">
        <f>IF(AND(132&gt;=$NR$6,132&lt;=$NS$6),IF($NP$6="Single_Point",IF(132=$NR$6,$NN$6,0),IF($NP$6="Bell_Curve",$NN$6*(132-$NR$6+1)*($NS$6-132+1)/$NU$6,$NN$6/$NT$6)),0)</f>
        <v/>
      </c>
      <c r="EG6" s="402">
        <f>IF(AND(133&gt;=$NR$6,133&lt;=$NS$6),IF($NP$6="Single_Point",IF(133=$NR$6,$NN$6,0),IF($NP$6="Bell_Curve",$NN$6*(133-$NR$6+1)*($NS$6-133+1)/$NU$6,$NN$6/$NT$6)),0)</f>
        <v/>
      </c>
      <c r="EH6" s="402">
        <f>IF(AND(134&gt;=$NR$6,134&lt;=$NS$6),IF($NP$6="Single_Point",IF(134=$NR$6,$NN$6,0),IF($NP$6="Bell_Curve",$NN$6*(134-$NR$6+1)*($NS$6-134+1)/$NU$6,$NN$6/$NT$6)),0)</f>
        <v/>
      </c>
      <c r="EI6" s="402">
        <f>IF(AND(135&gt;=$NR$6,135&lt;=$NS$6),IF($NP$6="Single_Point",IF(135=$NR$6,$NN$6,0),IF($NP$6="Bell_Curve",$NN$6*(135-$NR$6+1)*($NS$6-135+1)/$NU$6,$NN$6/$NT$6)),0)</f>
        <v/>
      </c>
      <c r="EJ6" s="402">
        <f>IF(AND(136&gt;=$NR$6,136&lt;=$NS$6),IF($NP$6="Single_Point",IF(136=$NR$6,$NN$6,0),IF($NP$6="Bell_Curve",$NN$6*(136-$NR$6+1)*($NS$6-136+1)/$NU$6,$NN$6/$NT$6)),0)</f>
        <v/>
      </c>
      <c r="EK6" s="402">
        <f>IF(AND(137&gt;=$NR$6,137&lt;=$NS$6),IF($NP$6="Single_Point",IF(137=$NR$6,$NN$6,0),IF($NP$6="Bell_Curve",$NN$6*(137-$NR$6+1)*($NS$6-137+1)/$NU$6,$NN$6/$NT$6)),0)</f>
        <v/>
      </c>
      <c r="EL6" s="402">
        <f>IF(AND(138&gt;=$NR$6,138&lt;=$NS$6),IF($NP$6="Single_Point",IF(138=$NR$6,$NN$6,0),IF($NP$6="Bell_Curve",$NN$6*(138-$NR$6+1)*($NS$6-138+1)/$NU$6,$NN$6/$NT$6)),0)</f>
        <v/>
      </c>
      <c r="EM6" s="402">
        <f>IF(AND(139&gt;=$NR$6,139&lt;=$NS$6),IF($NP$6="Single_Point",IF(139=$NR$6,$NN$6,0),IF($NP$6="Bell_Curve",$NN$6*(139-$NR$6+1)*($NS$6-139+1)/$NU$6,$NN$6/$NT$6)),0)</f>
        <v/>
      </c>
      <c r="EN6" s="402">
        <f>IF(AND(140&gt;=$NR$6,140&lt;=$NS$6),IF($NP$6="Single_Point",IF(140=$NR$6,$NN$6,0),IF($NP$6="Bell_Curve",$NN$6*(140-$NR$6+1)*($NS$6-140+1)/$NU$6,$NN$6/$NT$6)),0)</f>
        <v/>
      </c>
      <c r="EO6" s="402">
        <f>IF(AND(141&gt;=$NR$6,141&lt;=$NS$6),IF($NP$6="Single_Point",IF(141=$NR$6,$NN$6,0),IF($NP$6="Bell_Curve",$NN$6*(141-$NR$6+1)*($NS$6-141+1)/$NU$6,$NN$6/$NT$6)),0)</f>
        <v/>
      </c>
      <c r="EP6" s="402">
        <f>IF(AND(142&gt;=$NR$6,142&lt;=$NS$6),IF($NP$6="Single_Point",IF(142=$NR$6,$NN$6,0),IF($NP$6="Bell_Curve",$NN$6*(142-$NR$6+1)*($NS$6-142+1)/$NU$6,$NN$6/$NT$6)),0)</f>
        <v/>
      </c>
      <c r="EQ6" s="402">
        <f>IF(AND(143&gt;=$NR$6,143&lt;=$NS$6),IF($NP$6="Single_Point",IF(143=$NR$6,$NN$6,0),IF($NP$6="Bell_Curve",$NN$6*(143-$NR$6+1)*($NS$6-143+1)/$NU$6,$NN$6/$NT$6)),0)</f>
        <v/>
      </c>
      <c r="ER6" s="402">
        <f>IF(AND(144&gt;=$NR$6,144&lt;=$NS$6),IF($NP$6="Single_Point",IF(144=$NR$6,$NN$6,0),IF($NP$6="Bell_Curve",$NN$6*(144-$NR$6+1)*($NS$6-144+1)/$NU$6,$NN$6/$NT$6)),0)</f>
        <v/>
      </c>
      <c r="ES6" s="402">
        <f>IF(AND(145&gt;=$NR$6,145&lt;=$NS$6),IF($NP$6="Single_Point",IF(145=$NR$6,$NN$6,0),IF($NP$6="Bell_Curve",$NN$6*(145-$NR$6+1)*($NS$6-145+1)/$NU$6,$NN$6/$NT$6)),0)</f>
        <v/>
      </c>
      <c r="ET6" s="402">
        <f>IF(AND(146&gt;=$NR$6,146&lt;=$NS$6),IF($NP$6="Single_Point",IF(146=$NR$6,$NN$6,0),IF($NP$6="Bell_Curve",$NN$6*(146-$NR$6+1)*($NS$6-146+1)/$NU$6,$NN$6/$NT$6)),0)</f>
        <v/>
      </c>
      <c r="EU6" s="402">
        <f>IF(AND(147&gt;=$NR$6,147&lt;=$NS$6),IF($NP$6="Single_Point",IF(147=$NR$6,$NN$6,0),IF($NP$6="Bell_Curve",$NN$6*(147-$NR$6+1)*($NS$6-147+1)/$NU$6,$NN$6/$NT$6)),0)</f>
        <v/>
      </c>
      <c r="EV6" s="402">
        <f>IF(AND(148&gt;=$NR$6,148&lt;=$NS$6),IF($NP$6="Single_Point",IF(148=$NR$6,$NN$6,0),IF($NP$6="Bell_Curve",$NN$6*(148-$NR$6+1)*($NS$6-148+1)/$NU$6,$NN$6/$NT$6)),0)</f>
        <v/>
      </c>
      <c r="EW6" s="402">
        <f>IF(AND(149&gt;=$NR$6,149&lt;=$NS$6),IF($NP$6="Single_Point",IF(149=$NR$6,$NN$6,0),IF($NP$6="Bell_Curve",$NN$6*(149-$NR$6+1)*($NS$6-149+1)/$NU$6,$NN$6/$NT$6)),0)</f>
        <v/>
      </c>
      <c r="EX6" s="402">
        <f>IF(AND(150&gt;=$NR$6,150&lt;=$NS$6),IF($NP$6="Single_Point",IF(150=$NR$6,$NN$6,0),IF($NP$6="Bell_Curve",$NN$6*(150-$NR$6+1)*($NS$6-150+1)/$NU$6,$NN$6/$NT$6)),0)</f>
        <v/>
      </c>
      <c r="EY6" s="402">
        <f>IF(AND(151&gt;=$NR$6,151&lt;=$NS$6),IF($NP$6="Single_Point",IF(151=$NR$6,$NN$6,0),IF($NP$6="Bell_Curve",$NN$6*(151-$NR$6+1)*($NS$6-151+1)/$NU$6,$NN$6/$NT$6)),0)</f>
        <v/>
      </c>
      <c r="EZ6" s="402">
        <f>IF(AND(152&gt;=$NR$6,152&lt;=$NS$6),IF($NP$6="Single_Point",IF(152=$NR$6,$NN$6,0),IF($NP$6="Bell_Curve",$NN$6*(152-$NR$6+1)*($NS$6-152+1)/$NU$6,$NN$6/$NT$6)),0)</f>
        <v/>
      </c>
      <c r="FA6" s="402">
        <f>IF(AND(153&gt;=$NR$6,153&lt;=$NS$6),IF($NP$6="Single_Point",IF(153=$NR$6,$NN$6,0),IF($NP$6="Bell_Curve",$NN$6*(153-$NR$6+1)*($NS$6-153+1)/$NU$6,$NN$6/$NT$6)),0)</f>
        <v/>
      </c>
      <c r="FB6" s="402">
        <f>IF(AND(154&gt;=$NR$6,154&lt;=$NS$6),IF($NP$6="Single_Point",IF(154=$NR$6,$NN$6,0),IF($NP$6="Bell_Curve",$NN$6*(154-$NR$6+1)*($NS$6-154+1)/$NU$6,$NN$6/$NT$6)),0)</f>
        <v/>
      </c>
      <c r="FC6" s="402">
        <f>IF(AND(155&gt;=$NR$6,155&lt;=$NS$6),IF($NP$6="Single_Point",IF(155=$NR$6,$NN$6,0),IF($NP$6="Bell_Curve",$NN$6*(155-$NR$6+1)*($NS$6-155+1)/$NU$6,$NN$6/$NT$6)),0)</f>
        <v/>
      </c>
      <c r="FD6" s="402">
        <f>IF(AND(156&gt;=$NR$6,156&lt;=$NS$6),IF($NP$6="Single_Point",IF(156=$NR$6,$NN$6,0),IF($NP$6="Bell_Curve",$NN$6*(156-$NR$6+1)*($NS$6-156+1)/$NU$6,$NN$6/$NT$6)),0)</f>
        <v/>
      </c>
      <c r="FE6" s="402">
        <f>IF(AND(157&gt;=$NR$6,157&lt;=$NS$6),IF($NP$6="Single_Point",IF(157=$NR$6,$NN$6,0),IF($NP$6="Bell_Curve",$NN$6*(157-$NR$6+1)*($NS$6-157+1)/$NU$6,$NN$6/$NT$6)),0)</f>
        <v/>
      </c>
      <c r="FF6" s="402">
        <f>IF(AND(158&gt;=$NR$6,158&lt;=$NS$6),IF($NP$6="Single_Point",IF(158=$NR$6,$NN$6,0),IF($NP$6="Bell_Curve",$NN$6*(158-$NR$6+1)*($NS$6-158+1)/$NU$6,$NN$6/$NT$6)),0)</f>
        <v/>
      </c>
      <c r="FG6" s="402">
        <f>IF(AND(159&gt;=$NR$6,159&lt;=$NS$6),IF($NP$6="Single_Point",IF(159=$NR$6,$NN$6,0),IF($NP$6="Bell_Curve",$NN$6*(159-$NR$6+1)*($NS$6-159+1)/$NU$6,$NN$6/$NT$6)),0)</f>
        <v/>
      </c>
      <c r="FH6" s="402">
        <f>IF(AND(160&gt;=$NR$6,160&lt;=$NS$6),IF($NP$6="Single_Point",IF(160=$NR$6,$NN$6,0),IF($NP$6="Bell_Curve",$NN$6*(160-$NR$6+1)*($NS$6-160+1)/$NU$6,$NN$6/$NT$6)),0)</f>
        <v/>
      </c>
      <c r="FI6" s="402">
        <f>IF(AND(161&gt;=$NR$6,161&lt;=$NS$6),IF($NP$6="Single_Point",IF(161=$NR$6,$NN$6,0),IF($NP$6="Bell_Curve",$NN$6*(161-$NR$6+1)*($NS$6-161+1)/$NU$6,$NN$6/$NT$6)),0)</f>
        <v/>
      </c>
      <c r="FJ6" s="402">
        <f>IF(AND(162&gt;=$NR$6,162&lt;=$NS$6),IF($NP$6="Single_Point",IF(162=$NR$6,$NN$6,0),IF($NP$6="Bell_Curve",$NN$6*(162-$NR$6+1)*($NS$6-162+1)/$NU$6,$NN$6/$NT$6)),0)</f>
        <v/>
      </c>
      <c r="FK6" s="402">
        <f>IF(AND(163&gt;=$NR$6,163&lt;=$NS$6),IF($NP$6="Single_Point",IF(163=$NR$6,$NN$6,0),IF($NP$6="Bell_Curve",$NN$6*(163-$NR$6+1)*($NS$6-163+1)/$NU$6,$NN$6/$NT$6)),0)</f>
        <v/>
      </c>
      <c r="FL6" s="402">
        <f>IF(AND(164&gt;=$NR$6,164&lt;=$NS$6),IF($NP$6="Single_Point",IF(164=$NR$6,$NN$6,0),IF($NP$6="Bell_Curve",$NN$6*(164-$NR$6+1)*($NS$6-164+1)/$NU$6,$NN$6/$NT$6)),0)</f>
        <v/>
      </c>
      <c r="FM6" s="402">
        <f>IF(AND(165&gt;=$NR$6,165&lt;=$NS$6),IF($NP$6="Single_Point",IF(165=$NR$6,$NN$6,0),IF($NP$6="Bell_Curve",$NN$6*(165-$NR$6+1)*($NS$6-165+1)/$NU$6,$NN$6/$NT$6)),0)</f>
        <v/>
      </c>
      <c r="FN6" s="402">
        <f>IF(AND(166&gt;=$NR$6,166&lt;=$NS$6),IF($NP$6="Single_Point",IF(166=$NR$6,$NN$6,0),IF($NP$6="Bell_Curve",$NN$6*(166-$NR$6+1)*($NS$6-166+1)/$NU$6,$NN$6/$NT$6)),0)</f>
        <v/>
      </c>
      <c r="FO6" s="402">
        <f>IF(AND(167&gt;=$NR$6,167&lt;=$NS$6),IF($NP$6="Single_Point",IF(167=$NR$6,$NN$6,0),IF($NP$6="Bell_Curve",$NN$6*(167-$NR$6+1)*($NS$6-167+1)/$NU$6,$NN$6/$NT$6)),0)</f>
        <v/>
      </c>
      <c r="FP6" s="402">
        <f>IF(AND(168&gt;=$NR$6,168&lt;=$NS$6),IF($NP$6="Single_Point",IF(168=$NR$6,$NN$6,0),IF($NP$6="Bell_Curve",$NN$6*(168-$NR$6+1)*($NS$6-168+1)/$NU$6,$NN$6/$NT$6)),0)</f>
        <v/>
      </c>
      <c r="FQ6" s="402">
        <f>IF(AND(169&gt;=$NR$6,169&lt;=$NS$6),IF($NP$6="Single_Point",IF(169=$NR$6,$NN$6,0),IF($NP$6="Bell_Curve",$NN$6*(169-$NR$6+1)*($NS$6-169+1)/$NU$6,$NN$6/$NT$6)),0)</f>
        <v/>
      </c>
      <c r="FR6" s="402">
        <f>IF(AND(170&gt;=$NR$6,170&lt;=$NS$6),IF($NP$6="Single_Point",IF(170=$NR$6,$NN$6,0),IF($NP$6="Bell_Curve",$NN$6*(170-$NR$6+1)*($NS$6-170+1)/$NU$6,$NN$6/$NT$6)),0)</f>
        <v/>
      </c>
      <c r="FS6" s="402">
        <f>IF(AND(171&gt;=$NR$6,171&lt;=$NS$6),IF($NP$6="Single_Point",IF(171=$NR$6,$NN$6,0),IF($NP$6="Bell_Curve",$NN$6*(171-$NR$6+1)*($NS$6-171+1)/$NU$6,$NN$6/$NT$6)),0)</f>
        <v/>
      </c>
      <c r="FT6" s="402">
        <f>IF(AND(172&gt;=$NR$6,172&lt;=$NS$6),IF($NP$6="Single_Point",IF(172=$NR$6,$NN$6,0),IF($NP$6="Bell_Curve",$NN$6*(172-$NR$6+1)*($NS$6-172+1)/$NU$6,$NN$6/$NT$6)),0)</f>
        <v/>
      </c>
      <c r="FU6" s="402">
        <f>IF(AND(173&gt;=$NR$6,173&lt;=$NS$6),IF($NP$6="Single_Point",IF(173=$NR$6,$NN$6,0),IF($NP$6="Bell_Curve",$NN$6*(173-$NR$6+1)*($NS$6-173+1)/$NU$6,$NN$6/$NT$6)),0)</f>
        <v/>
      </c>
      <c r="FV6" s="402">
        <f>IF(AND(174&gt;=$NR$6,174&lt;=$NS$6),IF($NP$6="Single_Point",IF(174=$NR$6,$NN$6,0),IF($NP$6="Bell_Curve",$NN$6*(174-$NR$6+1)*($NS$6-174+1)/$NU$6,$NN$6/$NT$6)),0)</f>
        <v/>
      </c>
      <c r="FW6" s="402">
        <f>IF(AND(175&gt;=$NR$6,175&lt;=$NS$6),IF($NP$6="Single_Point",IF(175=$NR$6,$NN$6,0),IF($NP$6="Bell_Curve",$NN$6*(175-$NR$6+1)*($NS$6-175+1)/$NU$6,$NN$6/$NT$6)),0)</f>
        <v/>
      </c>
      <c r="FX6" s="402">
        <f>IF(AND(176&gt;=$NR$6,176&lt;=$NS$6),IF($NP$6="Single_Point",IF(176=$NR$6,$NN$6,0),IF($NP$6="Bell_Curve",$NN$6*(176-$NR$6+1)*($NS$6-176+1)/$NU$6,$NN$6/$NT$6)),0)</f>
        <v/>
      </c>
      <c r="FY6" s="402">
        <f>IF(AND(177&gt;=$NR$6,177&lt;=$NS$6),IF($NP$6="Single_Point",IF(177=$NR$6,$NN$6,0),IF($NP$6="Bell_Curve",$NN$6*(177-$NR$6+1)*($NS$6-177+1)/$NU$6,$NN$6/$NT$6)),0)</f>
        <v/>
      </c>
      <c r="FZ6" s="402">
        <f>IF(AND(178&gt;=$NR$6,178&lt;=$NS$6),IF($NP$6="Single_Point",IF(178=$NR$6,$NN$6,0),IF($NP$6="Bell_Curve",$NN$6*(178-$NR$6+1)*($NS$6-178+1)/$NU$6,$NN$6/$NT$6)),0)</f>
        <v/>
      </c>
      <c r="GA6" s="402">
        <f>IF(AND(179&gt;=$NR$6,179&lt;=$NS$6),IF($NP$6="Single_Point",IF(179=$NR$6,$NN$6,0),IF($NP$6="Bell_Curve",$NN$6*(179-$NR$6+1)*($NS$6-179+1)/$NU$6,$NN$6/$NT$6)),0)</f>
        <v/>
      </c>
      <c r="GB6" s="402">
        <f>IF(AND(180&gt;=$NR$6,180&lt;=$NS$6),IF($NP$6="Single_Point",IF(180=$NR$6,$NN$6,0),IF($NP$6="Bell_Curve",$NN$6*(180-$NR$6+1)*($NS$6-180+1)/$NU$6,$NN$6/$NT$6)),0)</f>
        <v/>
      </c>
      <c r="GC6" s="402">
        <f>IF(AND(181&gt;=$NR$6,181&lt;=$NS$6),IF($NP$6="Single_Point",IF(181=$NR$6,$NN$6,0),IF($NP$6="Bell_Curve",$NN$6*(181-$NR$6+1)*($NS$6-181+1)/$NU$6,$NN$6/$NT$6)),0)</f>
        <v/>
      </c>
      <c r="GD6" s="402">
        <f>IF(AND(182&gt;=$NR$6,182&lt;=$NS$6),IF($NP$6="Single_Point",IF(182=$NR$6,$NN$6,0),IF($NP$6="Bell_Curve",$NN$6*(182-$NR$6+1)*($NS$6-182+1)/$NU$6,$NN$6/$NT$6)),0)</f>
        <v/>
      </c>
      <c r="GE6" s="402">
        <f>IF(AND(183&gt;=$NR$6,183&lt;=$NS$6),IF($NP$6="Single_Point",IF(183=$NR$6,$NN$6,0),IF($NP$6="Bell_Curve",$NN$6*(183-$NR$6+1)*($NS$6-183+1)/$NU$6,$NN$6/$NT$6)),0)</f>
        <v/>
      </c>
      <c r="GF6" s="402">
        <f>IF(AND(184&gt;=$NR$6,184&lt;=$NS$6),IF($NP$6="Single_Point",IF(184=$NR$6,$NN$6,0),IF($NP$6="Bell_Curve",$NN$6*(184-$NR$6+1)*($NS$6-184+1)/$NU$6,$NN$6/$NT$6)),0)</f>
        <v/>
      </c>
      <c r="GG6" s="402">
        <f>IF(AND(185&gt;=$NR$6,185&lt;=$NS$6),IF($NP$6="Single_Point",IF(185=$NR$6,$NN$6,0),IF($NP$6="Bell_Curve",$NN$6*(185-$NR$6+1)*($NS$6-185+1)/$NU$6,$NN$6/$NT$6)),0)</f>
        <v/>
      </c>
      <c r="GH6" s="402">
        <f>IF(AND(186&gt;=$NR$6,186&lt;=$NS$6),IF($NP$6="Single_Point",IF(186=$NR$6,$NN$6,0),IF($NP$6="Bell_Curve",$NN$6*(186-$NR$6+1)*($NS$6-186+1)/$NU$6,$NN$6/$NT$6)),0)</f>
        <v/>
      </c>
      <c r="GI6" s="402">
        <f>IF(AND(187&gt;=$NR$6,187&lt;=$NS$6),IF($NP$6="Single_Point",IF(187=$NR$6,$NN$6,0),IF($NP$6="Bell_Curve",$NN$6*(187-$NR$6+1)*($NS$6-187+1)/$NU$6,$NN$6/$NT$6)),0)</f>
        <v/>
      </c>
      <c r="GJ6" s="402">
        <f>IF(AND(188&gt;=$NR$6,188&lt;=$NS$6),IF($NP$6="Single_Point",IF(188=$NR$6,$NN$6,0),IF($NP$6="Bell_Curve",$NN$6*(188-$NR$6+1)*($NS$6-188+1)/$NU$6,$NN$6/$NT$6)),0)</f>
        <v/>
      </c>
      <c r="GK6" s="402">
        <f>IF(AND(189&gt;=$NR$6,189&lt;=$NS$6),IF($NP$6="Single_Point",IF(189=$NR$6,$NN$6,0),IF($NP$6="Bell_Curve",$NN$6*(189-$NR$6+1)*($NS$6-189+1)/$NU$6,$NN$6/$NT$6)),0)</f>
        <v/>
      </c>
      <c r="GL6" s="402">
        <f>IF(AND(190&gt;=$NR$6,190&lt;=$NS$6),IF($NP$6="Single_Point",IF(190=$NR$6,$NN$6,0),IF($NP$6="Bell_Curve",$NN$6*(190-$NR$6+1)*($NS$6-190+1)/$NU$6,$NN$6/$NT$6)),0)</f>
        <v/>
      </c>
      <c r="GM6" s="402">
        <f>IF(AND(191&gt;=$NR$6,191&lt;=$NS$6),IF($NP$6="Single_Point",IF(191=$NR$6,$NN$6,0),IF($NP$6="Bell_Curve",$NN$6*(191-$NR$6+1)*($NS$6-191+1)/$NU$6,$NN$6/$NT$6)),0)</f>
        <v/>
      </c>
      <c r="GN6" s="402">
        <f>IF(AND(192&gt;=$NR$6,192&lt;=$NS$6),IF($NP$6="Single_Point",IF(192=$NR$6,$NN$6,0),IF($NP$6="Bell_Curve",$NN$6*(192-$NR$6+1)*($NS$6-192+1)/$NU$6,$NN$6/$NT$6)),0)</f>
        <v/>
      </c>
      <c r="GO6" s="402">
        <f>IF(AND(193&gt;=$NR$6,193&lt;=$NS$6),IF($NP$6="Single_Point",IF(193=$NR$6,$NN$6,0),IF($NP$6="Bell_Curve",$NN$6*(193-$NR$6+1)*($NS$6-193+1)/$NU$6,$NN$6/$NT$6)),0)</f>
        <v/>
      </c>
      <c r="GP6" s="402">
        <f>IF(AND(194&gt;=$NR$6,194&lt;=$NS$6),IF($NP$6="Single_Point",IF(194=$NR$6,$NN$6,0),IF($NP$6="Bell_Curve",$NN$6*(194-$NR$6+1)*($NS$6-194+1)/$NU$6,$NN$6/$NT$6)),0)</f>
        <v/>
      </c>
      <c r="GQ6" s="402">
        <f>IF(AND(195&gt;=$NR$6,195&lt;=$NS$6),IF($NP$6="Single_Point",IF(195=$NR$6,$NN$6,0),IF($NP$6="Bell_Curve",$NN$6*(195-$NR$6+1)*($NS$6-195+1)/$NU$6,$NN$6/$NT$6)),0)</f>
        <v/>
      </c>
      <c r="GR6" s="402">
        <f>IF(AND(196&gt;=$NR$6,196&lt;=$NS$6),IF($NP$6="Single_Point",IF(196=$NR$6,$NN$6,0),IF($NP$6="Bell_Curve",$NN$6*(196-$NR$6+1)*($NS$6-196+1)/$NU$6,$NN$6/$NT$6)),0)</f>
        <v/>
      </c>
      <c r="GS6" s="402">
        <f>IF(AND(197&gt;=$NR$6,197&lt;=$NS$6),IF($NP$6="Single_Point",IF(197=$NR$6,$NN$6,0),IF($NP$6="Bell_Curve",$NN$6*(197-$NR$6+1)*($NS$6-197+1)/$NU$6,$NN$6/$NT$6)),0)</f>
        <v/>
      </c>
      <c r="GT6" s="402">
        <f>IF(AND(198&gt;=$NR$6,198&lt;=$NS$6),IF($NP$6="Single_Point",IF(198=$NR$6,$NN$6,0),IF($NP$6="Bell_Curve",$NN$6*(198-$NR$6+1)*($NS$6-198+1)/$NU$6,$NN$6/$NT$6)),0)</f>
        <v/>
      </c>
      <c r="GU6" s="402">
        <f>IF(AND(199&gt;=$NR$6,199&lt;=$NS$6),IF($NP$6="Single_Point",IF(199=$NR$6,$NN$6,0),IF($NP$6="Bell_Curve",$NN$6*(199-$NR$6+1)*($NS$6-199+1)/$NU$6,$NN$6/$NT$6)),0)</f>
        <v/>
      </c>
      <c r="GV6" s="402">
        <f>IF(AND(200&gt;=$NR$6,200&lt;=$NS$6),IF($NP$6="Single_Point",IF(200=$NR$6,$NN$6,0),IF($NP$6="Bell_Curve",$NN$6*(200-$NR$6+1)*($NS$6-200+1)/$NU$6,$NN$6/$NT$6)),0)</f>
        <v/>
      </c>
      <c r="GW6" s="402">
        <f>IF(AND(201&gt;=$NR$6,201&lt;=$NS$6),IF($NP$6="Single_Point",IF(201=$NR$6,$NN$6,0),IF($NP$6="Bell_Curve",$NN$6*(201-$NR$6+1)*($NS$6-201+1)/$NU$6,$NN$6/$NT$6)),0)</f>
        <v/>
      </c>
      <c r="GX6" s="402">
        <f>IF(AND(202&gt;=$NR$6,202&lt;=$NS$6),IF($NP$6="Single_Point",IF(202=$NR$6,$NN$6,0),IF($NP$6="Bell_Curve",$NN$6*(202-$NR$6+1)*($NS$6-202+1)/$NU$6,$NN$6/$NT$6)),0)</f>
        <v/>
      </c>
      <c r="GY6" s="402">
        <f>IF(AND(203&gt;=$NR$6,203&lt;=$NS$6),IF($NP$6="Single_Point",IF(203=$NR$6,$NN$6,0),IF($NP$6="Bell_Curve",$NN$6*(203-$NR$6+1)*($NS$6-203+1)/$NU$6,$NN$6/$NT$6)),0)</f>
        <v/>
      </c>
      <c r="GZ6" s="402">
        <f>IF(AND(204&gt;=$NR$6,204&lt;=$NS$6),IF($NP$6="Single_Point",IF(204=$NR$6,$NN$6,0),IF($NP$6="Bell_Curve",$NN$6*(204-$NR$6+1)*($NS$6-204+1)/$NU$6,$NN$6/$NT$6)),0)</f>
        <v/>
      </c>
      <c r="HA6" s="402">
        <f>IF(AND(205&gt;=$NR$6,205&lt;=$NS$6),IF($NP$6="Single_Point",IF(205=$NR$6,$NN$6,0),IF($NP$6="Bell_Curve",$NN$6*(205-$NR$6+1)*($NS$6-205+1)/$NU$6,$NN$6/$NT$6)),0)</f>
        <v/>
      </c>
      <c r="HB6" s="402">
        <f>IF(AND(206&gt;=$NR$6,206&lt;=$NS$6),IF($NP$6="Single_Point",IF(206=$NR$6,$NN$6,0),IF($NP$6="Bell_Curve",$NN$6*(206-$NR$6+1)*($NS$6-206+1)/$NU$6,$NN$6/$NT$6)),0)</f>
        <v/>
      </c>
      <c r="HC6" s="402">
        <f>IF(AND(207&gt;=$NR$6,207&lt;=$NS$6),IF($NP$6="Single_Point",IF(207=$NR$6,$NN$6,0),IF($NP$6="Bell_Curve",$NN$6*(207-$NR$6+1)*($NS$6-207+1)/$NU$6,$NN$6/$NT$6)),0)</f>
        <v/>
      </c>
      <c r="HD6" s="402">
        <f>IF(AND(208&gt;=$NR$6,208&lt;=$NS$6),IF($NP$6="Single_Point",IF(208=$NR$6,$NN$6,0),IF($NP$6="Bell_Curve",$NN$6*(208-$NR$6+1)*($NS$6-208+1)/$NU$6,$NN$6/$NT$6)),0)</f>
        <v/>
      </c>
      <c r="HE6" s="402">
        <f>IF(AND(209&gt;=$NR$6,209&lt;=$NS$6),IF($NP$6="Single_Point",IF(209=$NR$6,$NN$6,0),IF($NP$6="Bell_Curve",$NN$6*(209-$NR$6+1)*($NS$6-209+1)/$NU$6,$NN$6/$NT$6)),0)</f>
        <v/>
      </c>
      <c r="HF6" s="402">
        <f>IF(AND(210&gt;=$NR$6,210&lt;=$NS$6),IF($NP$6="Single_Point",IF(210=$NR$6,$NN$6,0),IF($NP$6="Bell_Curve",$NN$6*(210-$NR$6+1)*($NS$6-210+1)/$NU$6,$NN$6/$NT$6)),0)</f>
        <v/>
      </c>
      <c r="HG6" s="402">
        <f>IF(AND(211&gt;=$NR$6,211&lt;=$NS$6),IF($NP$6="Single_Point",IF(211=$NR$6,$NN$6,0),IF($NP$6="Bell_Curve",$NN$6*(211-$NR$6+1)*($NS$6-211+1)/$NU$6,$NN$6/$NT$6)),0)</f>
        <v/>
      </c>
      <c r="HH6" s="402">
        <f>IF(AND(212&gt;=$NR$6,212&lt;=$NS$6),IF($NP$6="Single_Point",IF(212=$NR$6,$NN$6,0),IF($NP$6="Bell_Curve",$NN$6*(212-$NR$6+1)*($NS$6-212+1)/$NU$6,$NN$6/$NT$6)),0)</f>
        <v/>
      </c>
      <c r="HI6" s="402">
        <f>IF(AND(213&gt;=$NR$6,213&lt;=$NS$6),IF($NP$6="Single_Point",IF(213=$NR$6,$NN$6,0),IF($NP$6="Bell_Curve",$NN$6*(213-$NR$6+1)*($NS$6-213+1)/$NU$6,$NN$6/$NT$6)),0)</f>
        <v/>
      </c>
      <c r="HJ6" s="402">
        <f>IF(AND(214&gt;=$NR$6,214&lt;=$NS$6),IF($NP$6="Single_Point",IF(214=$NR$6,$NN$6,0),IF($NP$6="Bell_Curve",$NN$6*(214-$NR$6+1)*($NS$6-214+1)/$NU$6,$NN$6/$NT$6)),0)</f>
        <v/>
      </c>
      <c r="HK6" s="402">
        <f>IF(AND(215&gt;=$NR$6,215&lt;=$NS$6),IF($NP$6="Single_Point",IF(215=$NR$6,$NN$6,0),IF($NP$6="Bell_Curve",$NN$6*(215-$NR$6+1)*($NS$6-215+1)/$NU$6,$NN$6/$NT$6)),0)</f>
        <v/>
      </c>
      <c r="HL6" s="402">
        <f>IF(AND(216&gt;=$NR$6,216&lt;=$NS$6),IF($NP$6="Single_Point",IF(216=$NR$6,$NN$6,0),IF($NP$6="Bell_Curve",$NN$6*(216-$NR$6+1)*($NS$6-216+1)/$NU$6,$NN$6/$NT$6)),0)</f>
        <v/>
      </c>
      <c r="HM6" s="402">
        <f>IF(AND(217&gt;=$NR$6,217&lt;=$NS$6),IF($NP$6="Single_Point",IF(217=$NR$6,$NN$6,0),IF($NP$6="Bell_Curve",$NN$6*(217-$NR$6+1)*($NS$6-217+1)/$NU$6,$NN$6/$NT$6)),0)</f>
        <v/>
      </c>
      <c r="HN6" s="402">
        <f>IF(AND(218&gt;=$NR$6,218&lt;=$NS$6),IF($NP$6="Single_Point",IF(218=$NR$6,$NN$6,0),IF($NP$6="Bell_Curve",$NN$6*(218-$NR$6+1)*($NS$6-218+1)/$NU$6,$NN$6/$NT$6)),0)</f>
        <v/>
      </c>
      <c r="HO6" s="402">
        <f>IF(AND(219&gt;=$NR$6,219&lt;=$NS$6),IF($NP$6="Single_Point",IF(219=$NR$6,$NN$6,0),IF($NP$6="Bell_Curve",$NN$6*(219-$NR$6+1)*($NS$6-219+1)/$NU$6,$NN$6/$NT$6)),0)</f>
        <v/>
      </c>
      <c r="HP6" s="402">
        <f>IF(AND(220&gt;=$NR$6,220&lt;=$NS$6),IF($NP$6="Single_Point",IF(220=$NR$6,$NN$6,0),IF($NP$6="Bell_Curve",$NN$6*(220-$NR$6+1)*($NS$6-220+1)/$NU$6,$NN$6/$NT$6)),0)</f>
        <v/>
      </c>
      <c r="HQ6" s="402">
        <f>IF(AND(221&gt;=$NR$6,221&lt;=$NS$6),IF($NP$6="Single_Point",IF(221=$NR$6,$NN$6,0),IF($NP$6="Bell_Curve",$NN$6*(221-$NR$6+1)*($NS$6-221+1)/$NU$6,$NN$6/$NT$6)),0)</f>
        <v/>
      </c>
      <c r="HR6" s="402">
        <f>IF(AND(222&gt;=$NR$6,222&lt;=$NS$6),IF($NP$6="Single_Point",IF(222=$NR$6,$NN$6,0),IF($NP$6="Bell_Curve",$NN$6*(222-$NR$6+1)*($NS$6-222+1)/$NU$6,$NN$6/$NT$6)),0)</f>
        <v/>
      </c>
      <c r="HS6" s="402">
        <f>IF(AND(223&gt;=$NR$6,223&lt;=$NS$6),IF($NP$6="Single_Point",IF(223=$NR$6,$NN$6,0),IF($NP$6="Bell_Curve",$NN$6*(223-$NR$6+1)*($NS$6-223+1)/$NU$6,$NN$6/$NT$6)),0)</f>
        <v/>
      </c>
      <c r="HT6" s="402">
        <f>IF(AND(224&gt;=$NR$6,224&lt;=$NS$6),IF($NP$6="Single_Point",IF(224=$NR$6,$NN$6,0),IF($NP$6="Bell_Curve",$NN$6*(224-$NR$6+1)*($NS$6-224+1)/$NU$6,$NN$6/$NT$6)),0)</f>
        <v/>
      </c>
      <c r="HU6" s="402">
        <f>IF(AND(225&gt;=$NR$6,225&lt;=$NS$6),IF($NP$6="Single_Point",IF(225=$NR$6,$NN$6,0),IF($NP$6="Bell_Curve",$NN$6*(225-$NR$6+1)*($NS$6-225+1)/$NU$6,$NN$6/$NT$6)),0)</f>
        <v/>
      </c>
      <c r="HV6" s="402">
        <f>IF(AND(226&gt;=$NR$6,226&lt;=$NS$6),IF($NP$6="Single_Point",IF(226=$NR$6,$NN$6,0),IF($NP$6="Bell_Curve",$NN$6*(226-$NR$6+1)*($NS$6-226+1)/$NU$6,$NN$6/$NT$6)),0)</f>
        <v/>
      </c>
      <c r="HW6" s="402">
        <f>IF(AND(227&gt;=$NR$6,227&lt;=$NS$6),IF($NP$6="Single_Point",IF(227=$NR$6,$NN$6,0),IF($NP$6="Bell_Curve",$NN$6*(227-$NR$6+1)*($NS$6-227+1)/$NU$6,$NN$6/$NT$6)),0)</f>
        <v/>
      </c>
      <c r="HX6" s="402">
        <f>IF(AND(228&gt;=$NR$6,228&lt;=$NS$6),IF($NP$6="Single_Point",IF(228=$NR$6,$NN$6,0),IF($NP$6="Bell_Curve",$NN$6*(228-$NR$6+1)*($NS$6-228+1)/$NU$6,$NN$6/$NT$6)),0)</f>
        <v/>
      </c>
      <c r="HY6" s="402">
        <f>IF(AND(229&gt;=$NR$6,229&lt;=$NS$6),IF($NP$6="Single_Point",IF(229=$NR$6,$NN$6,0),IF($NP$6="Bell_Curve",$NN$6*(229-$NR$6+1)*($NS$6-229+1)/$NU$6,$NN$6/$NT$6)),0)</f>
        <v/>
      </c>
      <c r="HZ6" s="402">
        <f>IF(AND(230&gt;=$NR$6,230&lt;=$NS$6),IF($NP$6="Single_Point",IF(230=$NR$6,$NN$6,0),IF($NP$6="Bell_Curve",$NN$6*(230-$NR$6+1)*($NS$6-230+1)/$NU$6,$NN$6/$NT$6)),0)</f>
        <v/>
      </c>
      <c r="IA6" s="402">
        <f>IF(AND(231&gt;=$NR$6,231&lt;=$NS$6),IF($NP$6="Single_Point",IF(231=$NR$6,$NN$6,0),IF($NP$6="Bell_Curve",$NN$6*(231-$NR$6+1)*($NS$6-231+1)/$NU$6,$NN$6/$NT$6)),0)</f>
        <v/>
      </c>
      <c r="IB6" s="402">
        <f>IF(AND(232&gt;=$NR$6,232&lt;=$NS$6),IF($NP$6="Single_Point",IF(232=$NR$6,$NN$6,0),IF($NP$6="Bell_Curve",$NN$6*(232-$NR$6+1)*($NS$6-232+1)/$NU$6,$NN$6/$NT$6)),0)</f>
        <v/>
      </c>
      <c r="IC6" s="402">
        <f>IF(AND(233&gt;=$NR$6,233&lt;=$NS$6),IF($NP$6="Single_Point",IF(233=$NR$6,$NN$6,0),IF($NP$6="Bell_Curve",$NN$6*(233-$NR$6+1)*($NS$6-233+1)/$NU$6,$NN$6/$NT$6)),0)</f>
        <v/>
      </c>
      <c r="ID6" s="402">
        <f>IF(AND(234&gt;=$NR$6,234&lt;=$NS$6),IF($NP$6="Single_Point",IF(234=$NR$6,$NN$6,0),IF($NP$6="Bell_Curve",$NN$6*(234-$NR$6+1)*($NS$6-234+1)/$NU$6,$NN$6/$NT$6)),0)</f>
        <v/>
      </c>
      <c r="IE6" s="402">
        <f>IF(AND(235&gt;=$NR$6,235&lt;=$NS$6),IF($NP$6="Single_Point",IF(235=$NR$6,$NN$6,0),IF($NP$6="Bell_Curve",$NN$6*(235-$NR$6+1)*($NS$6-235+1)/$NU$6,$NN$6/$NT$6)),0)</f>
        <v/>
      </c>
      <c r="IF6" s="402">
        <f>IF(AND(236&gt;=$NR$6,236&lt;=$NS$6),IF($NP$6="Single_Point",IF(236=$NR$6,$NN$6,0),IF($NP$6="Bell_Curve",$NN$6*(236-$NR$6+1)*($NS$6-236+1)/$NU$6,$NN$6/$NT$6)),0)</f>
        <v/>
      </c>
      <c r="IG6" s="402">
        <f>IF(AND(237&gt;=$NR$6,237&lt;=$NS$6),IF($NP$6="Single_Point",IF(237=$NR$6,$NN$6,0),IF($NP$6="Bell_Curve",$NN$6*(237-$NR$6+1)*($NS$6-237+1)/$NU$6,$NN$6/$NT$6)),0)</f>
        <v/>
      </c>
      <c r="IH6" s="402">
        <f>IF(AND(238&gt;=$NR$6,238&lt;=$NS$6),IF($NP$6="Single_Point",IF(238=$NR$6,$NN$6,0),IF($NP$6="Bell_Curve",$NN$6*(238-$NR$6+1)*($NS$6-238+1)/$NU$6,$NN$6/$NT$6)),0)</f>
        <v/>
      </c>
      <c r="II6" s="402">
        <f>IF(AND(239&gt;=$NR$6,239&lt;=$NS$6),IF($NP$6="Single_Point",IF(239=$NR$6,$NN$6,0),IF($NP$6="Bell_Curve",$NN$6*(239-$NR$6+1)*($NS$6-239+1)/$NU$6,$NN$6/$NT$6)),0)</f>
        <v/>
      </c>
      <c r="IJ6" s="402">
        <f>IF(AND(240&gt;=$NR$6,240&lt;=$NS$6),IF($NP$6="Single_Point",IF(240=$NR$6,$NN$6,0),IF($NP$6="Bell_Curve",$NN$6*(240-$NR$6+1)*($NS$6-240+1)/$NU$6,$NN$6/$NT$6)),0)</f>
        <v/>
      </c>
      <c r="IK6" s="402">
        <f>IF(AND(241&gt;=$NR$6,241&lt;=$NS$6),IF($NP$6="Single_Point",IF(241=$NR$6,$NN$6,0),IF($NP$6="Bell_Curve",$NN$6*(241-$NR$6+1)*($NS$6-241+1)/$NU$6,$NN$6/$NT$6)),0)</f>
        <v/>
      </c>
      <c r="IL6" s="402">
        <f>IF(AND(242&gt;=$NR$6,242&lt;=$NS$6),IF($NP$6="Single_Point",IF(242=$NR$6,$NN$6,0),IF($NP$6="Bell_Curve",$NN$6*(242-$NR$6+1)*($NS$6-242+1)/$NU$6,$NN$6/$NT$6)),0)</f>
        <v/>
      </c>
      <c r="IM6" s="402">
        <f>IF(AND(243&gt;=$NR$6,243&lt;=$NS$6),IF($NP$6="Single_Point",IF(243=$NR$6,$NN$6,0),IF($NP$6="Bell_Curve",$NN$6*(243-$NR$6+1)*($NS$6-243+1)/$NU$6,$NN$6/$NT$6)),0)</f>
        <v/>
      </c>
      <c r="IN6" s="402">
        <f>IF(AND(244&gt;=$NR$6,244&lt;=$NS$6),IF($NP$6="Single_Point",IF(244=$NR$6,$NN$6,0),IF($NP$6="Bell_Curve",$NN$6*(244-$NR$6+1)*($NS$6-244+1)/$NU$6,$NN$6/$NT$6)),0)</f>
        <v/>
      </c>
      <c r="IO6" s="402">
        <f>IF(AND(245&gt;=$NR$6,245&lt;=$NS$6),IF($NP$6="Single_Point",IF(245=$NR$6,$NN$6,0),IF($NP$6="Bell_Curve",$NN$6*(245-$NR$6+1)*($NS$6-245+1)/$NU$6,$NN$6/$NT$6)),0)</f>
        <v/>
      </c>
      <c r="IP6" s="402">
        <f>IF(AND(246&gt;=$NR$6,246&lt;=$NS$6),IF($NP$6="Single_Point",IF(246=$NR$6,$NN$6,0),IF($NP$6="Bell_Curve",$NN$6*(246-$NR$6+1)*($NS$6-246+1)/$NU$6,$NN$6/$NT$6)),0)</f>
        <v/>
      </c>
      <c r="IQ6" s="402">
        <f>IF(AND(247&gt;=$NR$6,247&lt;=$NS$6),IF($NP$6="Single_Point",IF(247=$NR$6,$NN$6,0),IF($NP$6="Bell_Curve",$NN$6*(247-$NR$6+1)*($NS$6-247+1)/$NU$6,$NN$6/$NT$6)),0)</f>
        <v/>
      </c>
      <c r="IR6" s="402">
        <f>IF(AND(248&gt;=$NR$6,248&lt;=$NS$6),IF($NP$6="Single_Point",IF(248=$NR$6,$NN$6,0),IF($NP$6="Bell_Curve",$NN$6*(248-$NR$6+1)*($NS$6-248+1)/$NU$6,$NN$6/$NT$6)),0)</f>
        <v/>
      </c>
      <c r="IS6" s="402">
        <f>IF(AND(249&gt;=$NR$6,249&lt;=$NS$6),IF($NP$6="Single_Point",IF(249=$NR$6,$NN$6,0),IF($NP$6="Bell_Curve",$NN$6*(249-$NR$6+1)*($NS$6-249+1)/$NU$6,$NN$6/$NT$6)),0)</f>
        <v/>
      </c>
      <c r="IT6" s="402">
        <f>IF(AND(250&gt;=$NR$6,250&lt;=$NS$6),IF($NP$6="Single_Point",IF(250=$NR$6,$NN$6,0),IF($NP$6="Bell_Curve",$NN$6*(250-$NR$6+1)*($NS$6-250+1)/$NU$6,$NN$6/$NT$6)),0)</f>
        <v/>
      </c>
      <c r="IU6" s="402">
        <f>IF(AND(251&gt;=$NR$6,251&lt;=$NS$6),IF($NP$6="Single_Point",IF(251=$NR$6,$NN$6,0),IF($NP$6="Bell_Curve",$NN$6*(251-$NR$6+1)*($NS$6-251+1)/$NU$6,$NN$6/$NT$6)),0)</f>
        <v/>
      </c>
      <c r="IV6" s="402">
        <f>IF(AND(252&gt;=$NR$6,252&lt;=$NS$6),IF($NP$6="Single_Point",IF(252=$NR$6,$NN$6,0),IF($NP$6="Bell_Curve",$NN$6*(252-$NR$6+1)*($NS$6-252+1)/$NU$6,$NN$6/$NT$6)),0)</f>
        <v/>
      </c>
      <c r="IW6" s="402">
        <f>IF(AND(253&gt;=$NR$6,253&lt;=$NS$6),IF($NP$6="Single_Point",IF(253=$NR$6,$NN$6,0),IF($NP$6="Bell_Curve",$NN$6*(253-$NR$6+1)*($NS$6-253+1)/$NU$6,$NN$6/$NT$6)),0)</f>
        <v/>
      </c>
      <c r="IX6" s="402">
        <f>IF(AND(254&gt;=$NR$6,254&lt;=$NS$6),IF($NP$6="Single_Point",IF(254=$NR$6,$NN$6,0),IF($NP$6="Bell_Curve",$NN$6*(254-$NR$6+1)*($NS$6-254+1)/$NU$6,$NN$6/$NT$6)),0)</f>
        <v/>
      </c>
      <c r="IY6" s="402">
        <f>IF(AND(255&gt;=$NR$6,255&lt;=$NS$6),IF($NP$6="Single_Point",IF(255=$NR$6,$NN$6,0),IF($NP$6="Bell_Curve",$NN$6*(255-$NR$6+1)*($NS$6-255+1)/$NU$6,$NN$6/$NT$6)),0)</f>
        <v/>
      </c>
      <c r="IZ6" s="402">
        <f>IF(AND(256&gt;=$NR$6,256&lt;=$NS$6),IF($NP$6="Single_Point",IF(256=$NR$6,$NN$6,0),IF($NP$6="Bell_Curve",$NN$6*(256-$NR$6+1)*($NS$6-256+1)/$NU$6,$NN$6/$NT$6)),0)</f>
        <v/>
      </c>
      <c r="JA6" s="402">
        <f>IF(AND(257&gt;=$NR$6,257&lt;=$NS$6),IF($NP$6="Single_Point",IF(257=$NR$6,$NN$6,0),IF($NP$6="Bell_Curve",$NN$6*(257-$NR$6+1)*($NS$6-257+1)/$NU$6,$NN$6/$NT$6)),0)</f>
        <v/>
      </c>
      <c r="JB6" s="402">
        <f>IF(AND(258&gt;=$NR$6,258&lt;=$NS$6),IF($NP$6="Single_Point",IF(258=$NR$6,$NN$6,0),IF($NP$6="Bell_Curve",$NN$6*(258-$NR$6+1)*($NS$6-258+1)/$NU$6,$NN$6/$NT$6)),0)</f>
        <v/>
      </c>
      <c r="JC6" s="402">
        <f>IF(AND(259&gt;=$NR$6,259&lt;=$NS$6),IF($NP$6="Single_Point",IF(259=$NR$6,$NN$6,0),IF($NP$6="Bell_Curve",$NN$6*(259-$NR$6+1)*($NS$6-259+1)/$NU$6,$NN$6/$NT$6)),0)</f>
        <v/>
      </c>
      <c r="JD6" s="402">
        <f>IF(AND(260&gt;=$NR$6,260&lt;=$NS$6),IF($NP$6="Single_Point",IF(260=$NR$6,$NN$6,0),IF($NP$6="Bell_Curve",$NN$6*(260-$NR$6+1)*($NS$6-260+1)/$NU$6,$NN$6/$NT$6)),0)</f>
        <v/>
      </c>
      <c r="JE6" s="402">
        <f>IF(AND(261&gt;=$NR$6,261&lt;=$NS$6),IF($NP$6="Single_Point",IF(261=$NR$6,$NN$6,0),IF($NP$6="Bell_Curve",$NN$6*(261-$NR$6+1)*($NS$6-261+1)/$NU$6,$NN$6/$NT$6)),0)</f>
        <v/>
      </c>
      <c r="JF6" s="402">
        <f>IF(AND(262&gt;=$NR$6,262&lt;=$NS$6),IF($NP$6="Single_Point",IF(262=$NR$6,$NN$6,0),IF($NP$6="Bell_Curve",$NN$6*(262-$NR$6+1)*($NS$6-262+1)/$NU$6,$NN$6/$NT$6)),0)</f>
        <v/>
      </c>
      <c r="JG6" s="402">
        <f>IF(AND(263&gt;=$NR$6,263&lt;=$NS$6),IF($NP$6="Single_Point",IF(263=$NR$6,$NN$6,0),IF($NP$6="Bell_Curve",$NN$6*(263-$NR$6+1)*($NS$6-263+1)/$NU$6,$NN$6/$NT$6)),0)</f>
        <v/>
      </c>
      <c r="JH6" s="402">
        <f>IF(AND(264&gt;=$NR$6,264&lt;=$NS$6),IF($NP$6="Single_Point",IF(264=$NR$6,$NN$6,0),IF($NP$6="Bell_Curve",$NN$6*(264-$NR$6+1)*($NS$6-264+1)/$NU$6,$NN$6/$NT$6)),0)</f>
        <v/>
      </c>
      <c r="JI6" s="402">
        <f>IF(AND(265&gt;=$NR$6,265&lt;=$NS$6),IF($NP$6="Single_Point",IF(265=$NR$6,$NN$6,0),IF($NP$6="Bell_Curve",$NN$6*(265-$NR$6+1)*($NS$6-265+1)/$NU$6,$NN$6/$NT$6)),0)</f>
        <v/>
      </c>
      <c r="JJ6" s="402">
        <f>IF(AND(266&gt;=$NR$6,266&lt;=$NS$6),IF($NP$6="Single_Point",IF(266=$NR$6,$NN$6,0),IF($NP$6="Bell_Curve",$NN$6*(266-$NR$6+1)*($NS$6-266+1)/$NU$6,$NN$6/$NT$6)),0)</f>
        <v/>
      </c>
      <c r="JK6" s="402">
        <f>IF(AND(267&gt;=$NR$6,267&lt;=$NS$6),IF($NP$6="Single_Point",IF(267=$NR$6,$NN$6,0),IF($NP$6="Bell_Curve",$NN$6*(267-$NR$6+1)*($NS$6-267+1)/$NU$6,$NN$6/$NT$6)),0)</f>
        <v/>
      </c>
      <c r="JL6" s="402">
        <f>IF(AND(268&gt;=$NR$6,268&lt;=$NS$6),IF($NP$6="Single_Point",IF(268=$NR$6,$NN$6,0),IF($NP$6="Bell_Curve",$NN$6*(268-$NR$6+1)*($NS$6-268+1)/$NU$6,$NN$6/$NT$6)),0)</f>
        <v/>
      </c>
      <c r="JM6" s="402">
        <f>IF(AND(269&gt;=$NR$6,269&lt;=$NS$6),IF($NP$6="Single_Point",IF(269=$NR$6,$NN$6,0),IF($NP$6="Bell_Curve",$NN$6*(269-$NR$6+1)*($NS$6-269+1)/$NU$6,$NN$6/$NT$6)),0)</f>
        <v/>
      </c>
      <c r="JN6" s="402">
        <f>IF(AND(270&gt;=$NR$6,270&lt;=$NS$6),IF($NP$6="Single_Point",IF(270=$NR$6,$NN$6,0),IF($NP$6="Bell_Curve",$NN$6*(270-$NR$6+1)*($NS$6-270+1)/$NU$6,$NN$6/$NT$6)),0)</f>
        <v/>
      </c>
      <c r="JO6" s="402">
        <f>IF(AND(271&gt;=$NR$6,271&lt;=$NS$6),IF($NP$6="Single_Point",IF(271=$NR$6,$NN$6,0),IF($NP$6="Bell_Curve",$NN$6*(271-$NR$6+1)*($NS$6-271+1)/$NU$6,$NN$6/$NT$6)),0)</f>
        <v/>
      </c>
      <c r="JP6" s="402">
        <f>IF(AND(272&gt;=$NR$6,272&lt;=$NS$6),IF($NP$6="Single_Point",IF(272=$NR$6,$NN$6,0),IF($NP$6="Bell_Curve",$NN$6*(272-$NR$6+1)*($NS$6-272+1)/$NU$6,$NN$6/$NT$6)),0)</f>
        <v/>
      </c>
      <c r="JQ6" s="402">
        <f>IF(AND(273&gt;=$NR$6,273&lt;=$NS$6),IF($NP$6="Single_Point",IF(273=$NR$6,$NN$6,0),IF($NP$6="Bell_Curve",$NN$6*(273-$NR$6+1)*($NS$6-273+1)/$NU$6,$NN$6/$NT$6)),0)</f>
        <v/>
      </c>
      <c r="JR6" s="402">
        <f>IF(AND(274&gt;=$NR$6,274&lt;=$NS$6),IF($NP$6="Single_Point",IF(274=$NR$6,$NN$6,0),IF($NP$6="Bell_Curve",$NN$6*(274-$NR$6+1)*($NS$6-274+1)/$NU$6,$NN$6/$NT$6)),0)</f>
        <v/>
      </c>
      <c r="JS6" s="402">
        <f>IF(AND(275&gt;=$NR$6,275&lt;=$NS$6),IF($NP$6="Single_Point",IF(275=$NR$6,$NN$6,0),IF($NP$6="Bell_Curve",$NN$6*(275-$NR$6+1)*($NS$6-275+1)/$NU$6,$NN$6/$NT$6)),0)</f>
        <v/>
      </c>
      <c r="JT6" s="402">
        <f>IF(AND(276&gt;=$NR$6,276&lt;=$NS$6),IF($NP$6="Single_Point",IF(276=$NR$6,$NN$6,0),IF($NP$6="Bell_Curve",$NN$6*(276-$NR$6+1)*($NS$6-276+1)/$NU$6,$NN$6/$NT$6)),0)</f>
        <v/>
      </c>
      <c r="JU6" s="402">
        <f>IF(AND(277&gt;=$NR$6,277&lt;=$NS$6),IF($NP$6="Single_Point",IF(277=$NR$6,$NN$6,0),IF($NP$6="Bell_Curve",$NN$6*(277-$NR$6+1)*($NS$6-277+1)/$NU$6,$NN$6/$NT$6)),0)</f>
        <v/>
      </c>
      <c r="JV6" s="402">
        <f>IF(AND(278&gt;=$NR$6,278&lt;=$NS$6),IF($NP$6="Single_Point",IF(278=$NR$6,$NN$6,0),IF($NP$6="Bell_Curve",$NN$6*(278-$NR$6+1)*($NS$6-278+1)/$NU$6,$NN$6/$NT$6)),0)</f>
        <v/>
      </c>
      <c r="JW6" s="402">
        <f>IF(AND(279&gt;=$NR$6,279&lt;=$NS$6),IF($NP$6="Single_Point",IF(279=$NR$6,$NN$6,0),IF($NP$6="Bell_Curve",$NN$6*(279-$NR$6+1)*($NS$6-279+1)/$NU$6,$NN$6/$NT$6)),0)</f>
        <v/>
      </c>
      <c r="JX6" s="402">
        <f>IF(AND(280&gt;=$NR$6,280&lt;=$NS$6),IF($NP$6="Single_Point",IF(280=$NR$6,$NN$6,0),IF($NP$6="Bell_Curve",$NN$6*(280-$NR$6+1)*($NS$6-280+1)/$NU$6,$NN$6/$NT$6)),0)</f>
        <v/>
      </c>
      <c r="JY6" s="402">
        <f>IF(AND(281&gt;=$NR$6,281&lt;=$NS$6),IF($NP$6="Single_Point",IF(281=$NR$6,$NN$6,0),IF($NP$6="Bell_Curve",$NN$6*(281-$NR$6+1)*($NS$6-281+1)/$NU$6,$NN$6/$NT$6)),0)</f>
        <v/>
      </c>
      <c r="JZ6" s="402">
        <f>IF(AND(282&gt;=$NR$6,282&lt;=$NS$6),IF($NP$6="Single_Point",IF(282=$NR$6,$NN$6,0),IF($NP$6="Bell_Curve",$NN$6*(282-$NR$6+1)*($NS$6-282+1)/$NU$6,$NN$6/$NT$6)),0)</f>
        <v/>
      </c>
      <c r="KA6" s="402">
        <f>IF(AND(283&gt;=$NR$6,283&lt;=$NS$6),IF($NP$6="Single_Point",IF(283=$NR$6,$NN$6,0),IF($NP$6="Bell_Curve",$NN$6*(283-$NR$6+1)*($NS$6-283+1)/$NU$6,$NN$6/$NT$6)),0)</f>
        <v/>
      </c>
      <c r="KB6" s="402">
        <f>IF(AND(284&gt;=$NR$6,284&lt;=$NS$6),IF($NP$6="Single_Point",IF(284=$NR$6,$NN$6,0),IF($NP$6="Bell_Curve",$NN$6*(284-$NR$6+1)*($NS$6-284+1)/$NU$6,$NN$6/$NT$6)),0)</f>
        <v/>
      </c>
      <c r="KC6" s="402">
        <f>IF(AND(285&gt;=$NR$6,285&lt;=$NS$6),IF($NP$6="Single_Point",IF(285=$NR$6,$NN$6,0),IF($NP$6="Bell_Curve",$NN$6*(285-$NR$6+1)*($NS$6-285+1)/$NU$6,$NN$6/$NT$6)),0)</f>
        <v/>
      </c>
      <c r="KD6" s="402">
        <f>IF(AND(286&gt;=$NR$6,286&lt;=$NS$6),IF($NP$6="Single_Point",IF(286=$NR$6,$NN$6,0),IF($NP$6="Bell_Curve",$NN$6*(286-$NR$6+1)*($NS$6-286+1)/$NU$6,$NN$6/$NT$6)),0)</f>
        <v/>
      </c>
      <c r="KE6" s="402">
        <f>IF(AND(287&gt;=$NR$6,287&lt;=$NS$6),IF($NP$6="Single_Point",IF(287=$NR$6,$NN$6,0),IF($NP$6="Bell_Curve",$NN$6*(287-$NR$6+1)*($NS$6-287+1)/$NU$6,$NN$6/$NT$6)),0)</f>
        <v/>
      </c>
      <c r="KF6" s="402">
        <f>IF(AND(288&gt;=$NR$6,288&lt;=$NS$6),IF($NP$6="Single_Point",IF(288=$NR$6,$NN$6,0),IF($NP$6="Bell_Curve",$NN$6*(288-$NR$6+1)*($NS$6-288+1)/$NU$6,$NN$6/$NT$6)),0)</f>
        <v/>
      </c>
      <c r="KG6" s="402">
        <f>IF(AND(289&gt;=$NR$6,289&lt;=$NS$6),IF($NP$6="Single_Point",IF(289=$NR$6,$NN$6,0),IF($NP$6="Bell_Curve",$NN$6*(289-$NR$6+1)*($NS$6-289+1)/$NU$6,$NN$6/$NT$6)),0)</f>
        <v/>
      </c>
      <c r="KH6" s="402">
        <f>IF(AND(290&gt;=$NR$6,290&lt;=$NS$6),IF($NP$6="Single_Point",IF(290=$NR$6,$NN$6,0),IF($NP$6="Bell_Curve",$NN$6*(290-$NR$6+1)*($NS$6-290+1)/$NU$6,$NN$6/$NT$6)),0)</f>
        <v/>
      </c>
      <c r="KI6" s="402">
        <f>IF(AND(291&gt;=$NR$6,291&lt;=$NS$6),IF($NP$6="Single_Point",IF(291=$NR$6,$NN$6,0),IF($NP$6="Bell_Curve",$NN$6*(291-$NR$6+1)*($NS$6-291+1)/$NU$6,$NN$6/$NT$6)),0)</f>
        <v/>
      </c>
      <c r="KJ6" s="402">
        <f>IF(AND(292&gt;=$NR$6,292&lt;=$NS$6),IF($NP$6="Single_Point",IF(292=$NR$6,$NN$6,0),IF($NP$6="Bell_Curve",$NN$6*(292-$NR$6+1)*($NS$6-292+1)/$NU$6,$NN$6/$NT$6)),0)</f>
        <v/>
      </c>
      <c r="KK6" s="402">
        <f>IF(AND(293&gt;=$NR$6,293&lt;=$NS$6),IF($NP$6="Single_Point",IF(293=$NR$6,$NN$6,0),IF($NP$6="Bell_Curve",$NN$6*(293-$NR$6+1)*($NS$6-293+1)/$NU$6,$NN$6/$NT$6)),0)</f>
        <v/>
      </c>
      <c r="KL6" s="402">
        <f>IF(AND(294&gt;=$NR$6,294&lt;=$NS$6),IF($NP$6="Single_Point",IF(294=$NR$6,$NN$6,0),IF($NP$6="Bell_Curve",$NN$6*(294-$NR$6+1)*($NS$6-294+1)/$NU$6,$NN$6/$NT$6)),0)</f>
        <v/>
      </c>
      <c r="KM6" s="402">
        <f>IF(AND(295&gt;=$NR$6,295&lt;=$NS$6),IF($NP$6="Single_Point",IF(295=$NR$6,$NN$6,0),IF($NP$6="Bell_Curve",$NN$6*(295-$NR$6+1)*($NS$6-295+1)/$NU$6,$NN$6/$NT$6)),0)</f>
        <v/>
      </c>
      <c r="KN6" s="402">
        <f>IF(AND(296&gt;=$NR$6,296&lt;=$NS$6),IF($NP$6="Single_Point",IF(296=$NR$6,$NN$6,0),IF($NP$6="Bell_Curve",$NN$6*(296-$NR$6+1)*($NS$6-296+1)/$NU$6,$NN$6/$NT$6)),0)</f>
        <v/>
      </c>
      <c r="KO6" s="402">
        <f>IF(AND(297&gt;=$NR$6,297&lt;=$NS$6),IF($NP$6="Single_Point",IF(297=$NR$6,$NN$6,0),IF($NP$6="Bell_Curve",$NN$6*(297-$NR$6+1)*($NS$6-297+1)/$NU$6,$NN$6/$NT$6)),0)</f>
        <v/>
      </c>
      <c r="KP6" s="402">
        <f>IF(AND(298&gt;=$NR$6,298&lt;=$NS$6),IF($NP$6="Single_Point",IF(298=$NR$6,$NN$6,0),IF($NP$6="Bell_Curve",$NN$6*(298-$NR$6+1)*($NS$6-298+1)/$NU$6,$NN$6/$NT$6)),0)</f>
        <v/>
      </c>
      <c r="KQ6" s="402">
        <f>IF(AND(299&gt;=$NR$6,299&lt;=$NS$6),IF($NP$6="Single_Point",IF(299=$NR$6,$NN$6,0),IF($NP$6="Bell_Curve",$NN$6*(299-$NR$6+1)*($NS$6-299+1)/$NU$6,$NN$6/$NT$6)),0)</f>
        <v/>
      </c>
      <c r="KR6" s="402">
        <f>IF(AND(300&gt;=$NR$6,300&lt;=$NS$6),IF($NP$6="Single_Point",IF(300=$NR$6,$NN$6,0),IF($NP$6="Bell_Curve",$NN$6*(300-$NR$6+1)*($NS$6-300+1)/$NU$6,$NN$6/$NT$6)),0)</f>
        <v/>
      </c>
      <c r="KS6" s="402">
        <f>IF(AND(301&gt;=$NR$6,301&lt;=$NS$6),IF($NP$6="Single_Point",IF(301=$NR$6,$NN$6,0),IF($NP$6="Bell_Curve",$NN$6*(301-$NR$6+1)*($NS$6-301+1)/$NU$6,$NN$6/$NT$6)),0)</f>
        <v/>
      </c>
      <c r="KT6" s="402">
        <f>IF(AND(302&gt;=$NR$6,302&lt;=$NS$6),IF($NP$6="Single_Point",IF(302=$NR$6,$NN$6,0),IF($NP$6="Bell_Curve",$NN$6*(302-$NR$6+1)*($NS$6-302+1)/$NU$6,$NN$6/$NT$6)),0)</f>
        <v/>
      </c>
      <c r="KU6" s="402">
        <f>IF(AND(303&gt;=$NR$6,303&lt;=$NS$6),IF($NP$6="Single_Point",IF(303=$NR$6,$NN$6,0),IF($NP$6="Bell_Curve",$NN$6*(303-$NR$6+1)*($NS$6-303+1)/$NU$6,$NN$6/$NT$6)),0)</f>
        <v/>
      </c>
      <c r="KV6" s="402">
        <f>IF(AND(304&gt;=$NR$6,304&lt;=$NS$6),IF($NP$6="Single_Point",IF(304=$NR$6,$NN$6,0),IF($NP$6="Bell_Curve",$NN$6*(304-$NR$6+1)*($NS$6-304+1)/$NU$6,$NN$6/$NT$6)),0)</f>
        <v/>
      </c>
      <c r="KW6" s="402">
        <f>IF(AND(305&gt;=$NR$6,305&lt;=$NS$6),IF($NP$6="Single_Point",IF(305=$NR$6,$NN$6,0),IF($NP$6="Bell_Curve",$NN$6*(305-$NR$6+1)*($NS$6-305+1)/$NU$6,$NN$6/$NT$6)),0)</f>
        <v/>
      </c>
      <c r="KX6" s="402">
        <f>IF(AND(306&gt;=$NR$6,306&lt;=$NS$6),IF($NP$6="Single_Point",IF(306=$NR$6,$NN$6,0),IF($NP$6="Bell_Curve",$NN$6*(306-$NR$6+1)*($NS$6-306+1)/$NU$6,$NN$6/$NT$6)),0)</f>
        <v/>
      </c>
      <c r="KY6" s="402">
        <f>IF(AND(307&gt;=$NR$6,307&lt;=$NS$6),IF($NP$6="Single_Point",IF(307=$NR$6,$NN$6,0),IF($NP$6="Bell_Curve",$NN$6*(307-$NR$6+1)*($NS$6-307+1)/$NU$6,$NN$6/$NT$6)),0)</f>
        <v/>
      </c>
      <c r="KZ6" s="402">
        <f>IF(AND(308&gt;=$NR$6,308&lt;=$NS$6),IF($NP$6="Single_Point",IF(308=$NR$6,$NN$6,0),IF($NP$6="Bell_Curve",$NN$6*(308-$NR$6+1)*($NS$6-308+1)/$NU$6,$NN$6/$NT$6)),0)</f>
        <v/>
      </c>
      <c r="LA6" s="402">
        <f>IF(AND(309&gt;=$NR$6,309&lt;=$NS$6),IF($NP$6="Single_Point",IF(309=$NR$6,$NN$6,0),IF($NP$6="Bell_Curve",$NN$6*(309-$NR$6+1)*($NS$6-309+1)/$NU$6,$NN$6/$NT$6)),0)</f>
        <v/>
      </c>
      <c r="LB6" s="402">
        <f>IF(AND(310&gt;=$NR$6,310&lt;=$NS$6),IF($NP$6="Single_Point",IF(310=$NR$6,$NN$6,0),IF($NP$6="Bell_Curve",$NN$6*(310-$NR$6+1)*($NS$6-310+1)/$NU$6,$NN$6/$NT$6)),0)</f>
        <v/>
      </c>
      <c r="LC6" s="402">
        <f>IF(AND(311&gt;=$NR$6,311&lt;=$NS$6),IF($NP$6="Single_Point",IF(311=$NR$6,$NN$6,0),IF($NP$6="Bell_Curve",$NN$6*(311-$NR$6+1)*($NS$6-311+1)/$NU$6,$NN$6/$NT$6)),0)</f>
        <v/>
      </c>
      <c r="LD6" s="402">
        <f>IF(AND(312&gt;=$NR$6,312&lt;=$NS$6),IF($NP$6="Single_Point",IF(312=$NR$6,$NN$6,0),IF($NP$6="Bell_Curve",$NN$6*(312-$NR$6+1)*($NS$6-312+1)/$NU$6,$NN$6/$NT$6)),0)</f>
        <v/>
      </c>
      <c r="LE6" s="402">
        <f>IF(AND(313&gt;=$NR$6,313&lt;=$NS$6),IF($NP$6="Single_Point",IF(313=$NR$6,$NN$6,0),IF($NP$6="Bell_Curve",$NN$6*(313-$NR$6+1)*($NS$6-313+1)/$NU$6,$NN$6/$NT$6)),0)</f>
        <v/>
      </c>
      <c r="LF6" s="402">
        <f>IF(AND(314&gt;=$NR$6,314&lt;=$NS$6),IF($NP$6="Single_Point",IF(314=$NR$6,$NN$6,0),IF($NP$6="Bell_Curve",$NN$6*(314-$NR$6+1)*($NS$6-314+1)/$NU$6,$NN$6/$NT$6)),0)</f>
        <v/>
      </c>
      <c r="LG6" s="402">
        <f>IF(AND(315&gt;=$NR$6,315&lt;=$NS$6),IF($NP$6="Single_Point",IF(315=$NR$6,$NN$6,0),IF($NP$6="Bell_Curve",$NN$6*(315-$NR$6+1)*($NS$6-315+1)/$NU$6,$NN$6/$NT$6)),0)</f>
        <v/>
      </c>
      <c r="LH6" s="402">
        <f>IF(AND(316&gt;=$NR$6,316&lt;=$NS$6),IF($NP$6="Single_Point",IF(316=$NR$6,$NN$6,0),IF($NP$6="Bell_Curve",$NN$6*(316-$NR$6+1)*($NS$6-316+1)/$NU$6,$NN$6/$NT$6)),0)</f>
        <v/>
      </c>
      <c r="LI6" s="402">
        <f>IF(AND(317&gt;=$NR$6,317&lt;=$NS$6),IF($NP$6="Single_Point",IF(317=$NR$6,$NN$6,0),IF($NP$6="Bell_Curve",$NN$6*(317-$NR$6+1)*($NS$6-317+1)/$NU$6,$NN$6/$NT$6)),0)</f>
        <v/>
      </c>
      <c r="LJ6" s="402">
        <f>IF(AND(318&gt;=$NR$6,318&lt;=$NS$6),IF($NP$6="Single_Point",IF(318=$NR$6,$NN$6,0),IF($NP$6="Bell_Curve",$NN$6*(318-$NR$6+1)*($NS$6-318+1)/$NU$6,$NN$6/$NT$6)),0)</f>
        <v/>
      </c>
      <c r="LK6" s="402">
        <f>IF(AND(319&gt;=$NR$6,319&lt;=$NS$6),IF($NP$6="Single_Point",IF(319=$NR$6,$NN$6,0),IF($NP$6="Bell_Curve",$NN$6*(319-$NR$6+1)*($NS$6-319+1)/$NU$6,$NN$6/$NT$6)),0)</f>
        <v/>
      </c>
      <c r="LL6" s="402">
        <f>IF(AND(320&gt;=$NR$6,320&lt;=$NS$6),IF($NP$6="Single_Point",IF(320=$NR$6,$NN$6,0),IF($NP$6="Bell_Curve",$NN$6*(320-$NR$6+1)*($NS$6-320+1)/$NU$6,$NN$6/$NT$6)),0)</f>
        <v/>
      </c>
      <c r="LM6" s="402">
        <f>IF(AND(321&gt;=$NR$6,321&lt;=$NS$6),IF($NP$6="Single_Point",IF(321=$NR$6,$NN$6,0),IF($NP$6="Bell_Curve",$NN$6*(321-$NR$6+1)*($NS$6-321+1)/$NU$6,$NN$6/$NT$6)),0)</f>
        <v/>
      </c>
      <c r="LN6" s="402">
        <f>IF(AND(322&gt;=$NR$6,322&lt;=$NS$6),IF($NP$6="Single_Point",IF(322=$NR$6,$NN$6,0),IF($NP$6="Bell_Curve",$NN$6*(322-$NR$6+1)*($NS$6-322+1)/$NU$6,$NN$6/$NT$6)),0)</f>
        <v/>
      </c>
      <c r="LO6" s="402">
        <f>IF(AND(323&gt;=$NR$6,323&lt;=$NS$6),IF($NP$6="Single_Point",IF(323=$NR$6,$NN$6,0),IF($NP$6="Bell_Curve",$NN$6*(323-$NR$6+1)*($NS$6-323+1)/$NU$6,$NN$6/$NT$6)),0)</f>
        <v/>
      </c>
      <c r="LP6" s="402">
        <f>IF(AND(324&gt;=$NR$6,324&lt;=$NS$6),IF($NP$6="Single_Point",IF(324=$NR$6,$NN$6,0),IF($NP$6="Bell_Curve",$NN$6*(324-$NR$6+1)*($NS$6-324+1)/$NU$6,$NN$6/$NT$6)),0)</f>
        <v/>
      </c>
      <c r="LQ6" s="402">
        <f>IF(AND(325&gt;=$NR$6,325&lt;=$NS$6),IF($NP$6="Single_Point",IF(325=$NR$6,$NN$6,0),IF($NP$6="Bell_Curve",$NN$6*(325-$NR$6+1)*($NS$6-325+1)/$NU$6,$NN$6/$NT$6)),0)</f>
        <v/>
      </c>
      <c r="LR6" s="402">
        <f>IF(AND(326&gt;=$NR$6,326&lt;=$NS$6),IF($NP$6="Single_Point",IF(326=$NR$6,$NN$6,0),IF($NP$6="Bell_Curve",$NN$6*(326-$NR$6+1)*($NS$6-326+1)/$NU$6,$NN$6/$NT$6)),0)</f>
        <v/>
      </c>
      <c r="LS6" s="402">
        <f>IF(AND(327&gt;=$NR$6,327&lt;=$NS$6),IF($NP$6="Single_Point",IF(327=$NR$6,$NN$6,0),IF($NP$6="Bell_Curve",$NN$6*(327-$NR$6+1)*($NS$6-327+1)/$NU$6,$NN$6/$NT$6)),0)</f>
        <v/>
      </c>
      <c r="LT6" s="402">
        <f>IF(AND(328&gt;=$NR$6,328&lt;=$NS$6),IF($NP$6="Single_Point",IF(328=$NR$6,$NN$6,0),IF($NP$6="Bell_Curve",$NN$6*(328-$NR$6+1)*($NS$6-328+1)/$NU$6,$NN$6/$NT$6)),0)</f>
        <v/>
      </c>
      <c r="LU6" s="402">
        <f>IF(AND(329&gt;=$NR$6,329&lt;=$NS$6),IF($NP$6="Single_Point",IF(329=$NR$6,$NN$6,0),IF($NP$6="Bell_Curve",$NN$6*(329-$NR$6+1)*($NS$6-329+1)/$NU$6,$NN$6/$NT$6)),0)</f>
        <v/>
      </c>
      <c r="LV6" s="402">
        <f>IF(AND(330&gt;=$NR$6,330&lt;=$NS$6),IF($NP$6="Single_Point",IF(330=$NR$6,$NN$6,0),IF($NP$6="Bell_Curve",$NN$6*(330-$NR$6+1)*($NS$6-330+1)/$NU$6,$NN$6/$NT$6)),0)</f>
        <v/>
      </c>
      <c r="LW6" s="402">
        <f>IF(AND(331&gt;=$NR$6,331&lt;=$NS$6),IF($NP$6="Single_Point",IF(331=$NR$6,$NN$6,0),IF($NP$6="Bell_Curve",$NN$6*(331-$NR$6+1)*($NS$6-331+1)/$NU$6,$NN$6/$NT$6)),0)</f>
        <v/>
      </c>
      <c r="LX6" s="402">
        <f>IF(AND(332&gt;=$NR$6,332&lt;=$NS$6),IF($NP$6="Single_Point",IF(332=$NR$6,$NN$6,0),IF($NP$6="Bell_Curve",$NN$6*(332-$NR$6+1)*($NS$6-332+1)/$NU$6,$NN$6/$NT$6)),0)</f>
        <v/>
      </c>
      <c r="LY6" s="402">
        <f>IF(AND(333&gt;=$NR$6,333&lt;=$NS$6),IF($NP$6="Single_Point",IF(333=$NR$6,$NN$6,0),IF($NP$6="Bell_Curve",$NN$6*(333-$NR$6+1)*($NS$6-333+1)/$NU$6,$NN$6/$NT$6)),0)</f>
        <v/>
      </c>
      <c r="LZ6" s="402">
        <f>IF(AND(334&gt;=$NR$6,334&lt;=$NS$6),IF($NP$6="Single_Point",IF(334=$NR$6,$NN$6,0),IF($NP$6="Bell_Curve",$NN$6*(334-$NR$6+1)*($NS$6-334+1)/$NU$6,$NN$6/$NT$6)),0)</f>
        <v/>
      </c>
      <c r="MA6" s="402">
        <f>IF(AND(335&gt;=$NR$6,335&lt;=$NS$6),IF($NP$6="Single_Point",IF(335=$NR$6,$NN$6,0),IF($NP$6="Bell_Curve",$NN$6*(335-$NR$6+1)*($NS$6-335+1)/$NU$6,$NN$6/$NT$6)),0)</f>
        <v/>
      </c>
      <c r="MB6" s="402">
        <f>IF(AND(336&gt;=$NR$6,336&lt;=$NS$6),IF($NP$6="Single_Point",IF(336=$NR$6,$NN$6,0),IF($NP$6="Bell_Curve",$NN$6*(336-$NR$6+1)*($NS$6-336+1)/$NU$6,$NN$6/$NT$6)),0)</f>
        <v/>
      </c>
      <c r="MC6" s="402">
        <f>IF(AND(337&gt;=$NR$6,337&lt;=$NS$6),IF($NP$6="Single_Point",IF(337=$NR$6,$NN$6,0),IF($NP$6="Bell_Curve",$NN$6*(337-$NR$6+1)*($NS$6-337+1)/$NU$6,$NN$6/$NT$6)),0)</f>
        <v/>
      </c>
      <c r="MD6" s="402">
        <f>IF(AND(338&gt;=$NR$6,338&lt;=$NS$6),IF($NP$6="Single_Point",IF(338=$NR$6,$NN$6,0),IF($NP$6="Bell_Curve",$NN$6*(338-$NR$6+1)*($NS$6-338+1)/$NU$6,$NN$6/$NT$6)),0)</f>
        <v/>
      </c>
      <c r="ME6" s="402">
        <f>IF(AND(339&gt;=$NR$6,339&lt;=$NS$6),IF($NP$6="Single_Point",IF(339=$NR$6,$NN$6,0),IF($NP$6="Bell_Curve",$NN$6*(339-$NR$6+1)*($NS$6-339+1)/$NU$6,$NN$6/$NT$6)),0)</f>
        <v/>
      </c>
      <c r="MF6" s="402">
        <f>IF(AND(340&gt;=$NR$6,340&lt;=$NS$6),IF($NP$6="Single_Point",IF(340=$NR$6,$NN$6,0),IF($NP$6="Bell_Curve",$NN$6*(340-$NR$6+1)*($NS$6-340+1)/$NU$6,$NN$6/$NT$6)),0)</f>
        <v/>
      </c>
      <c r="MG6" s="402">
        <f>IF(AND(341&gt;=$NR$6,341&lt;=$NS$6),IF($NP$6="Single_Point",IF(341=$NR$6,$NN$6,0),IF($NP$6="Bell_Curve",$NN$6*(341-$NR$6+1)*($NS$6-341+1)/$NU$6,$NN$6/$NT$6)),0)</f>
        <v/>
      </c>
      <c r="MH6" s="402">
        <f>IF(AND(342&gt;=$NR$6,342&lt;=$NS$6),IF($NP$6="Single_Point",IF(342=$NR$6,$NN$6,0),IF($NP$6="Bell_Curve",$NN$6*(342-$NR$6+1)*($NS$6-342+1)/$NU$6,$NN$6/$NT$6)),0)</f>
        <v/>
      </c>
      <c r="MI6" s="402">
        <f>IF(AND(343&gt;=$NR$6,343&lt;=$NS$6),IF($NP$6="Single_Point",IF(343=$NR$6,$NN$6,0),IF($NP$6="Bell_Curve",$NN$6*(343-$NR$6+1)*($NS$6-343+1)/$NU$6,$NN$6/$NT$6)),0)</f>
        <v/>
      </c>
      <c r="MJ6" s="402">
        <f>IF(AND(344&gt;=$NR$6,344&lt;=$NS$6),IF($NP$6="Single_Point",IF(344=$NR$6,$NN$6,0),IF($NP$6="Bell_Curve",$NN$6*(344-$NR$6+1)*($NS$6-344+1)/$NU$6,$NN$6/$NT$6)),0)</f>
        <v/>
      </c>
      <c r="MK6" s="402">
        <f>IF(AND(345&gt;=$NR$6,345&lt;=$NS$6),IF($NP$6="Single_Point",IF(345=$NR$6,$NN$6,0),IF($NP$6="Bell_Curve",$NN$6*(345-$NR$6+1)*($NS$6-345+1)/$NU$6,$NN$6/$NT$6)),0)</f>
        <v/>
      </c>
      <c r="ML6" s="402">
        <f>IF(AND(346&gt;=$NR$6,346&lt;=$NS$6),IF($NP$6="Single_Point",IF(346=$NR$6,$NN$6,0),IF($NP$6="Bell_Curve",$NN$6*(346-$NR$6+1)*($NS$6-346+1)/$NU$6,$NN$6/$NT$6)),0)</f>
        <v/>
      </c>
      <c r="MM6" s="402">
        <f>IF(AND(347&gt;=$NR$6,347&lt;=$NS$6),IF($NP$6="Single_Point",IF(347=$NR$6,$NN$6,0),IF($NP$6="Bell_Curve",$NN$6*(347-$NR$6+1)*($NS$6-347+1)/$NU$6,$NN$6/$NT$6)),0)</f>
        <v/>
      </c>
      <c r="MN6" s="402">
        <f>IF(AND(348&gt;=$NR$6,348&lt;=$NS$6),IF($NP$6="Single_Point",IF(348=$NR$6,$NN$6,0),IF($NP$6="Bell_Curve",$NN$6*(348-$NR$6+1)*($NS$6-348+1)/$NU$6,$NN$6/$NT$6)),0)</f>
        <v/>
      </c>
      <c r="MO6" s="402">
        <f>IF(AND(349&gt;=$NR$6,349&lt;=$NS$6),IF($NP$6="Single_Point",IF(349=$NR$6,$NN$6,0),IF($NP$6="Bell_Curve",$NN$6*(349-$NR$6+1)*($NS$6-349+1)/$NU$6,$NN$6/$NT$6)),0)</f>
        <v/>
      </c>
      <c r="MP6" s="402">
        <f>IF(AND(350&gt;=$NR$6,350&lt;=$NS$6),IF($NP$6="Single_Point",IF(350=$NR$6,$NN$6,0),IF($NP$6="Bell_Curve",$NN$6*(350-$NR$6+1)*($NS$6-350+1)/$NU$6,$NN$6/$NT$6)),0)</f>
        <v/>
      </c>
      <c r="MQ6" s="402">
        <f>IF(AND(351&gt;=$NR$6,351&lt;=$NS$6),IF($NP$6="Single_Point",IF(351=$NR$6,$NN$6,0),IF($NP$6="Bell_Curve",$NN$6*(351-$NR$6+1)*($NS$6-351+1)/$NU$6,$NN$6/$NT$6)),0)</f>
        <v/>
      </c>
      <c r="MR6" s="402">
        <f>IF(AND(352&gt;=$NR$6,352&lt;=$NS$6),IF($NP$6="Single_Point",IF(352=$NR$6,$NN$6,0),IF($NP$6="Bell_Curve",$NN$6*(352-$NR$6+1)*($NS$6-352+1)/$NU$6,$NN$6/$NT$6)),0)</f>
        <v/>
      </c>
      <c r="MS6" s="402">
        <f>IF(AND(353&gt;=$NR$6,353&lt;=$NS$6),IF($NP$6="Single_Point",IF(353=$NR$6,$NN$6,0),IF($NP$6="Bell_Curve",$NN$6*(353-$NR$6+1)*($NS$6-353+1)/$NU$6,$NN$6/$NT$6)),0)</f>
        <v/>
      </c>
      <c r="MT6" s="402">
        <f>IF(AND(354&gt;=$NR$6,354&lt;=$NS$6),IF($NP$6="Single_Point",IF(354=$NR$6,$NN$6,0),IF($NP$6="Bell_Curve",$NN$6*(354-$NR$6+1)*($NS$6-354+1)/$NU$6,$NN$6/$NT$6)),0)</f>
        <v/>
      </c>
      <c r="MU6" s="402">
        <f>IF(AND(355&gt;=$NR$6,355&lt;=$NS$6),IF($NP$6="Single_Point",IF(355=$NR$6,$NN$6,0),IF($NP$6="Bell_Curve",$NN$6*(355-$NR$6+1)*($NS$6-355+1)/$NU$6,$NN$6/$NT$6)),0)</f>
        <v/>
      </c>
      <c r="MV6" s="402">
        <f>IF(AND(356&gt;=$NR$6,356&lt;=$NS$6),IF($NP$6="Single_Point",IF(356=$NR$6,$NN$6,0),IF($NP$6="Bell_Curve",$NN$6*(356-$NR$6+1)*($NS$6-356+1)/$NU$6,$NN$6/$NT$6)),0)</f>
        <v/>
      </c>
      <c r="MW6" s="402">
        <f>IF(AND(357&gt;=$NR$6,357&lt;=$NS$6),IF($NP$6="Single_Point",IF(357=$NR$6,$NN$6,0),IF($NP$6="Bell_Curve",$NN$6*(357-$NR$6+1)*($NS$6-357+1)/$NU$6,$NN$6/$NT$6)),0)</f>
        <v/>
      </c>
      <c r="MX6" s="402">
        <f>IF(AND(358&gt;=$NR$6,358&lt;=$NS$6),IF($NP$6="Single_Point",IF(358=$NR$6,$NN$6,0),IF($NP$6="Bell_Curve",$NN$6*(358-$NR$6+1)*($NS$6-358+1)/$NU$6,$NN$6/$NT$6)),0)</f>
        <v/>
      </c>
      <c r="MY6" s="402">
        <f>IF(AND(359&gt;=$NR$6,359&lt;=$NS$6),IF($NP$6="Single_Point",IF(359=$NR$6,$NN$6,0),IF($NP$6="Bell_Curve",$NN$6*(359-$NR$6+1)*($NS$6-359+1)/$NU$6,$NN$6/$NT$6)),0)</f>
        <v/>
      </c>
      <c r="MZ6" s="402">
        <f>IF(AND(360&gt;=$NR$6,360&lt;=$NS$6),IF($NP$6="Single_Point",IF(360=$NR$6,$NN$6,0),IF($NP$6="Bell_Curve",$NN$6*(360-$NR$6+1)*($NS$6-360+1)/$NU$6,$NN$6/$NT$6)),0)</f>
        <v/>
      </c>
      <c r="NA6" s="402">
        <f>IF(AND(361&gt;=$NR$6,361&lt;=$NS$6),IF($NP$6="Single_Point",IF(361=$NR$6,$NN$6,0),IF($NP$6="Bell_Curve",$NN$6*(361-$NR$6+1)*($NS$6-361+1)/$NU$6,$NN$6/$NT$6)),0)</f>
        <v/>
      </c>
      <c r="NB6" s="402">
        <f>IF(AND(362&gt;=$NR$6,362&lt;=$NS$6),IF($NP$6="Single_Point",IF(362=$NR$6,$NN$6,0),IF($NP$6="Bell_Curve",$NN$6*(362-$NR$6+1)*($NS$6-362+1)/$NU$6,$NN$6/$NT$6)),0)</f>
        <v/>
      </c>
      <c r="NC6" s="402">
        <f>IF(AND(363&gt;=$NR$6,363&lt;=$NS$6),IF($NP$6="Single_Point",IF(363=$NR$6,$NN$6,0),IF($NP$6="Bell_Curve",$NN$6*(363-$NR$6+1)*($NS$6-363+1)/$NU$6,$NN$6/$NT$6)),0)</f>
        <v/>
      </c>
      <c r="ND6" s="402">
        <f>IF(AND(364&gt;=$NR$6,364&lt;=$NS$6),IF($NP$6="Single_Point",IF(364=$NR$6,$NN$6,0),IF($NP$6="Bell_Curve",$NN$6*(364-$NR$6+1)*($NS$6-364+1)/$NU$6,$NN$6/$NT$6)),0)</f>
        <v/>
      </c>
      <c r="NE6" s="402">
        <f>IF(AND(365&gt;=$NR$6,365&lt;=$NS$6),IF($NP$6="Single_Point",IF(365=$NR$6,$NN$6,0),IF($NP$6="Bell_Curve",$NN$6*(365-$NR$6+1)*($NS$6-365+1)/$NU$6,$NN$6/$NT$6)),0)</f>
        <v/>
      </c>
      <c r="NF6" s="402">
        <f>IF(AND(366&gt;=$NR$6,366&lt;=$NS$6),IF($NP$6="Single_Point",IF(366=$NR$6,$NN$6,0),IF($NP$6="Bell_Curve",$NN$6*(366-$NR$6+1)*($NS$6-366+1)/$NU$6,$NN$6/$NT$6)),0)</f>
        <v/>
      </c>
      <c r="NG6" s="402">
        <f>IF(AND(367&gt;=$NR$6,367&lt;=$NS$6),IF($NP$6="Single_Point",IF(367=$NR$6,$NN$6,0),IF($NP$6="Bell_Curve",$NN$6*(367-$NR$6+1)*($NS$6-367+1)/$NU$6,$NN$6/$NT$6)),0)</f>
        <v/>
      </c>
      <c r="NH6" s="402">
        <f>IF(AND(368&gt;=$NR$6,368&lt;=$NS$6),IF($NP$6="Single_Point",IF(368=$NR$6,$NN$6,0),IF($NP$6="Bell_Curve",$NN$6*(368-$NR$6+1)*($NS$6-368+1)/$NU$6,$NN$6/$NT$6)),0)</f>
        <v/>
      </c>
      <c r="NI6" s="402">
        <f>IF(AND(369&gt;=$NR$6,369&lt;=$NS$6),IF($NP$6="Single_Point",IF(369=$NR$6,$NN$6,0),IF($NP$6="Bell_Curve",$NN$6*(369-$NR$6+1)*($NS$6-369+1)/$NU$6,$NN$6/$NT$6)),0)</f>
        <v/>
      </c>
      <c r="NJ6" s="402">
        <f>IF(AND(370&gt;=$NR$6,370&lt;=$NS$6),IF($NP$6="Single_Point",IF(370=$NR$6,$NN$6,0),IF($NP$6="Bell_Curve",$NN$6*(370-$NR$6+1)*($NS$6-370+1)/$NU$6,$NN$6/$NT$6)),0)</f>
        <v/>
      </c>
      <c r="NK6" s="402">
        <f>IF(AND(371&gt;=$NR$6,371&lt;=$NS$6),IF($NP$6="Single_Point",IF(371=$NR$6,$NN$6,0),IF($NP$6="Bell_Curve",$NN$6*(371-$NR$6+1)*($NS$6-371+1)/$NU$6,$NN$6/$NT$6)),0)</f>
        <v/>
      </c>
      <c r="NL6" s="426">
        <f>IF(AND(372&gt;=$NR$6,372&lt;=$NS$6),IF($NP$6="Single_Point",IF(372=$NR$6,$NN$6,0),IF($NP$6="Bell_Curve",$NN$6*(372-$NR$6+1)*($NS$6-372+1)/$NU$6,$NN$6/$NT$6)),0)</f>
        <v/>
      </c>
      <c r="NM6">
        <f>Budget!C5</f>
        <v/>
      </c>
      <c r="NN6" s="218">
        <f>Budget!J5</f>
        <v/>
      </c>
      <c r="NO6" s="144">
        <f>Budget!G5</f>
        <v/>
      </c>
      <c r="NP6" s="144">
        <f>Budget!H5</f>
        <v/>
      </c>
      <c r="NQ6" s="85">
        <f>Budget!I5</f>
        <v/>
      </c>
      <c r="NR6" s="248">
        <f>MAX(1,MIN(372,INDEX(MilestoneStart,MATCH(NO6,MilestoneNames,0))+NQ6))</f>
        <v/>
      </c>
      <c r="NS6" s="248">
        <f>MAX(NR6,MIN(372,INDEX(MilestoneEnd,MATCH(NO6,MilestoneNames,0))+NQ6))</f>
        <v/>
      </c>
      <c r="NT6" s="85">
        <f>NS6-NR6+1</f>
        <v/>
      </c>
      <c r="NU6" s="85">
        <f>NT6*(NT6+1)*(NT6+2)/6</f>
        <v/>
      </c>
    </row>
    <row r="7">
      <c r="B7" s="296">
        <f>Budget!B6</f>
        <v/>
      </c>
      <c r="D7" s="425">
        <f>SUM(E7:NL7)</f>
        <v/>
      </c>
      <c r="E7" s="402">
        <f>IF(AND(1&gt;=$NR$7,1&lt;=$NS$7),IF($NP$7="Single_Point",IF(1=$NR$7,$NN$7,0),IF($NP$7="Bell_Curve",$NN$7*(1-$NR$7+1)*($NS$7-1+1)/$NU$7,$NN$7/$NT$7)),0)</f>
        <v/>
      </c>
      <c r="F7" s="402">
        <f>IF(AND(2&gt;=$NR$7,2&lt;=$NS$7),IF($NP$7="Single_Point",IF(2=$NR$7,$NN$7,0),IF($NP$7="Bell_Curve",$NN$7*(2-$NR$7+1)*($NS$7-2+1)/$NU$7,$NN$7/$NT$7)),0)</f>
        <v/>
      </c>
      <c r="G7" s="402">
        <f>IF(AND(3&gt;=$NR$7,3&lt;=$NS$7),IF($NP$7="Single_Point",IF(3=$NR$7,$NN$7,0),IF($NP$7="Bell_Curve",$NN$7*(3-$NR$7+1)*($NS$7-3+1)/$NU$7,$NN$7/$NT$7)),0)</f>
        <v/>
      </c>
      <c r="H7" s="402">
        <f>IF(AND(4&gt;=$NR$7,4&lt;=$NS$7),IF($NP$7="Single_Point",IF(4=$NR$7,$NN$7,0),IF($NP$7="Bell_Curve",$NN$7*(4-$NR$7+1)*($NS$7-4+1)/$NU$7,$NN$7/$NT$7)),0)</f>
        <v/>
      </c>
      <c r="I7" s="402">
        <f>IF(AND(5&gt;=$NR$7,5&lt;=$NS$7),IF($NP$7="Single_Point",IF(5=$NR$7,$NN$7,0),IF($NP$7="Bell_Curve",$NN$7*(5-$NR$7+1)*($NS$7-5+1)/$NU$7,$NN$7/$NT$7)),0)</f>
        <v/>
      </c>
      <c r="J7" s="402">
        <f>IF(AND(6&gt;=$NR$7,6&lt;=$NS$7),IF($NP$7="Single_Point",IF(6=$NR$7,$NN$7,0),IF($NP$7="Bell_Curve",$NN$7*(6-$NR$7+1)*($NS$7-6+1)/$NU$7,$NN$7/$NT$7)),0)</f>
        <v/>
      </c>
      <c r="K7" s="402">
        <f>IF(AND(7&gt;=$NR$7,7&lt;=$NS$7),IF($NP$7="Single_Point",IF(7=$NR$7,$NN$7,0),IF($NP$7="Bell_Curve",$NN$7*(7-$NR$7+1)*($NS$7-7+1)/$NU$7,$NN$7/$NT$7)),0)</f>
        <v/>
      </c>
      <c r="L7" s="402">
        <f>IF(AND(8&gt;=$NR$7,8&lt;=$NS$7),IF($NP$7="Single_Point",IF(8=$NR$7,$NN$7,0),IF($NP$7="Bell_Curve",$NN$7*(8-$NR$7+1)*($NS$7-8+1)/$NU$7,$NN$7/$NT$7)),0)</f>
        <v/>
      </c>
      <c r="M7" s="402">
        <f>IF(AND(9&gt;=$NR$7,9&lt;=$NS$7),IF($NP$7="Single_Point",IF(9=$NR$7,$NN$7,0),IF($NP$7="Bell_Curve",$NN$7*(9-$NR$7+1)*($NS$7-9+1)/$NU$7,$NN$7/$NT$7)),0)</f>
        <v/>
      </c>
      <c r="N7" s="402">
        <f>IF(AND(10&gt;=$NR$7,10&lt;=$NS$7),IF($NP$7="Single_Point",IF(10=$NR$7,$NN$7,0),IF($NP$7="Bell_Curve",$NN$7*(10-$NR$7+1)*($NS$7-10+1)/$NU$7,$NN$7/$NT$7)),0)</f>
        <v/>
      </c>
      <c r="O7" s="402">
        <f>IF(AND(11&gt;=$NR$7,11&lt;=$NS$7),IF($NP$7="Single_Point",IF(11=$NR$7,$NN$7,0),IF($NP$7="Bell_Curve",$NN$7*(11-$NR$7+1)*($NS$7-11+1)/$NU$7,$NN$7/$NT$7)),0)</f>
        <v/>
      </c>
      <c r="P7" s="402">
        <f>IF(AND(12&gt;=$NR$7,12&lt;=$NS$7),IF($NP$7="Single_Point",IF(12=$NR$7,$NN$7,0),IF($NP$7="Bell_Curve",$NN$7*(12-$NR$7+1)*($NS$7-12+1)/$NU$7,$NN$7/$NT$7)),0)</f>
        <v/>
      </c>
      <c r="Q7" s="402">
        <f>IF(AND(13&gt;=$NR$7,13&lt;=$NS$7),IF($NP$7="Single_Point",IF(13=$NR$7,$NN$7,0),IF($NP$7="Bell_Curve",$NN$7*(13-$NR$7+1)*($NS$7-13+1)/$NU$7,$NN$7/$NT$7)),0)</f>
        <v/>
      </c>
      <c r="R7" s="402">
        <f>IF(AND(14&gt;=$NR$7,14&lt;=$NS$7),IF($NP$7="Single_Point",IF(14=$NR$7,$NN$7,0),IF($NP$7="Bell_Curve",$NN$7*(14-$NR$7+1)*($NS$7-14+1)/$NU$7,$NN$7/$NT$7)),0)</f>
        <v/>
      </c>
      <c r="S7" s="402">
        <f>IF(AND(15&gt;=$NR$7,15&lt;=$NS$7),IF($NP$7="Single_Point",IF(15=$NR$7,$NN$7,0),IF($NP$7="Bell_Curve",$NN$7*(15-$NR$7+1)*($NS$7-15+1)/$NU$7,$NN$7/$NT$7)),0)</f>
        <v/>
      </c>
      <c r="T7" s="402">
        <f>IF(AND(16&gt;=$NR$7,16&lt;=$NS$7),IF($NP$7="Single_Point",IF(16=$NR$7,$NN$7,0),IF($NP$7="Bell_Curve",$NN$7*(16-$NR$7+1)*($NS$7-16+1)/$NU$7,$NN$7/$NT$7)),0)</f>
        <v/>
      </c>
      <c r="U7" s="402">
        <f>IF(AND(17&gt;=$NR$7,17&lt;=$NS$7),IF($NP$7="Single_Point",IF(17=$NR$7,$NN$7,0),IF($NP$7="Bell_Curve",$NN$7*(17-$NR$7+1)*($NS$7-17+1)/$NU$7,$NN$7/$NT$7)),0)</f>
        <v/>
      </c>
      <c r="V7" s="402">
        <f>IF(AND(18&gt;=$NR$7,18&lt;=$NS$7),IF($NP$7="Single_Point",IF(18=$NR$7,$NN$7,0),IF($NP$7="Bell_Curve",$NN$7*(18-$NR$7+1)*($NS$7-18+1)/$NU$7,$NN$7/$NT$7)),0)</f>
        <v/>
      </c>
      <c r="W7" s="402">
        <f>IF(AND(19&gt;=$NR$7,19&lt;=$NS$7),IF($NP$7="Single_Point",IF(19=$NR$7,$NN$7,0),IF($NP$7="Bell_Curve",$NN$7*(19-$NR$7+1)*($NS$7-19+1)/$NU$7,$NN$7/$NT$7)),0)</f>
        <v/>
      </c>
      <c r="X7" s="402">
        <f>IF(AND(20&gt;=$NR$7,20&lt;=$NS$7),IF($NP$7="Single_Point",IF(20=$NR$7,$NN$7,0),IF($NP$7="Bell_Curve",$NN$7*(20-$NR$7+1)*($NS$7-20+1)/$NU$7,$NN$7/$NT$7)),0)</f>
        <v/>
      </c>
      <c r="Y7" s="402">
        <f>IF(AND(21&gt;=$NR$7,21&lt;=$NS$7),IF($NP$7="Single_Point",IF(21=$NR$7,$NN$7,0),IF($NP$7="Bell_Curve",$NN$7*(21-$NR$7+1)*($NS$7-21+1)/$NU$7,$NN$7/$NT$7)),0)</f>
        <v/>
      </c>
      <c r="Z7" s="402">
        <f>IF(AND(22&gt;=$NR$7,22&lt;=$NS$7),IF($NP$7="Single_Point",IF(22=$NR$7,$NN$7,0),IF($NP$7="Bell_Curve",$NN$7*(22-$NR$7+1)*($NS$7-22+1)/$NU$7,$NN$7/$NT$7)),0)</f>
        <v/>
      </c>
      <c r="AA7" s="402">
        <f>IF(AND(23&gt;=$NR$7,23&lt;=$NS$7),IF($NP$7="Single_Point",IF(23=$NR$7,$NN$7,0),IF($NP$7="Bell_Curve",$NN$7*(23-$NR$7+1)*($NS$7-23+1)/$NU$7,$NN$7/$NT$7)),0)</f>
        <v/>
      </c>
      <c r="AB7" s="402">
        <f>IF(AND(24&gt;=$NR$7,24&lt;=$NS$7),IF($NP$7="Single_Point",IF(24=$NR$7,$NN$7,0),IF($NP$7="Bell_Curve",$NN$7*(24-$NR$7+1)*($NS$7-24+1)/$NU$7,$NN$7/$NT$7)),0)</f>
        <v/>
      </c>
      <c r="AC7" s="402">
        <f>IF(AND(25&gt;=$NR$7,25&lt;=$NS$7),IF($NP$7="Single_Point",IF(25=$NR$7,$NN$7,0),IF($NP$7="Bell_Curve",$NN$7*(25-$NR$7+1)*($NS$7-25+1)/$NU$7,$NN$7/$NT$7)),0)</f>
        <v/>
      </c>
      <c r="AD7" s="402">
        <f>IF(AND(26&gt;=$NR$7,26&lt;=$NS$7),IF($NP$7="Single_Point",IF(26=$NR$7,$NN$7,0),IF($NP$7="Bell_Curve",$NN$7*(26-$NR$7+1)*($NS$7-26+1)/$NU$7,$NN$7/$NT$7)),0)</f>
        <v/>
      </c>
      <c r="AE7" s="402">
        <f>IF(AND(27&gt;=$NR$7,27&lt;=$NS$7),IF($NP$7="Single_Point",IF(27=$NR$7,$NN$7,0),IF($NP$7="Bell_Curve",$NN$7*(27-$NR$7+1)*($NS$7-27+1)/$NU$7,$NN$7/$NT$7)),0)</f>
        <v/>
      </c>
      <c r="AF7" s="402">
        <f>IF(AND(28&gt;=$NR$7,28&lt;=$NS$7),IF($NP$7="Single_Point",IF(28=$NR$7,$NN$7,0),IF($NP$7="Bell_Curve",$NN$7*(28-$NR$7+1)*($NS$7-28+1)/$NU$7,$NN$7/$NT$7)),0)</f>
        <v/>
      </c>
      <c r="AG7" s="402">
        <f>IF(AND(29&gt;=$NR$7,29&lt;=$NS$7),IF($NP$7="Single_Point",IF(29=$NR$7,$NN$7,0),IF($NP$7="Bell_Curve",$NN$7*(29-$NR$7+1)*($NS$7-29+1)/$NU$7,$NN$7/$NT$7)),0)</f>
        <v/>
      </c>
      <c r="AH7" s="402">
        <f>IF(AND(30&gt;=$NR$7,30&lt;=$NS$7),IF($NP$7="Single_Point",IF(30=$NR$7,$NN$7,0),IF($NP$7="Bell_Curve",$NN$7*(30-$NR$7+1)*($NS$7-30+1)/$NU$7,$NN$7/$NT$7)),0)</f>
        <v/>
      </c>
      <c r="AI7" s="402">
        <f>IF(AND(31&gt;=$NR$7,31&lt;=$NS$7),IF($NP$7="Single_Point",IF(31=$NR$7,$NN$7,0),IF($NP$7="Bell_Curve",$NN$7*(31-$NR$7+1)*($NS$7-31+1)/$NU$7,$NN$7/$NT$7)),0)</f>
        <v/>
      </c>
      <c r="AJ7" s="402">
        <f>IF(AND(32&gt;=$NR$7,32&lt;=$NS$7),IF($NP$7="Single_Point",IF(32=$NR$7,$NN$7,0),IF($NP$7="Bell_Curve",$NN$7*(32-$NR$7+1)*($NS$7-32+1)/$NU$7,$NN$7/$NT$7)),0)</f>
        <v/>
      </c>
      <c r="AK7" s="402">
        <f>IF(AND(33&gt;=$NR$7,33&lt;=$NS$7),IF($NP$7="Single_Point",IF(33=$NR$7,$NN$7,0),IF($NP$7="Bell_Curve",$NN$7*(33-$NR$7+1)*($NS$7-33+1)/$NU$7,$NN$7/$NT$7)),0)</f>
        <v/>
      </c>
      <c r="AL7" s="402">
        <f>IF(AND(34&gt;=$NR$7,34&lt;=$NS$7),IF($NP$7="Single_Point",IF(34=$NR$7,$NN$7,0),IF($NP$7="Bell_Curve",$NN$7*(34-$NR$7+1)*($NS$7-34+1)/$NU$7,$NN$7/$NT$7)),0)</f>
        <v/>
      </c>
      <c r="AM7" s="402">
        <f>IF(AND(35&gt;=$NR$7,35&lt;=$NS$7),IF($NP$7="Single_Point",IF(35=$NR$7,$NN$7,0),IF($NP$7="Bell_Curve",$NN$7*(35-$NR$7+1)*($NS$7-35+1)/$NU$7,$NN$7/$NT$7)),0)</f>
        <v/>
      </c>
      <c r="AN7" s="402">
        <f>IF(AND(36&gt;=$NR$7,36&lt;=$NS$7),IF($NP$7="Single_Point",IF(36=$NR$7,$NN$7,0),IF($NP$7="Bell_Curve",$NN$7*(36-$NR$7+1)*($NS$7-36+1)/$NU$7,$NN$7/$NT$7)),0)</f>
        <v/>
      </c>
      <c r="AO7" s="402">
        <f>IF(AND(37&gt;=$NR$7,37&lt;=$NS$7),IF($NP$7="Single_Point",IF(37=$NR$7,$NN$7,0),IF($NP$7="Bell_Curve",$NN$7*(37-$NR$7+1)*($NS$7-37+1)/$NU$7,$NN$7/$NT$7)),0)</f>
        <v/>
      </c>
      <c r="AP7" s="402">
        <f>IF(AND(38&gt;=$NR$7,38&lt;=$NS$7),IF($NP$7="Single_Point",IF(38=$NR$7,$NN$7,0),IF($NP$7="Bell_Curve",$NN$7*(38-$NR$7+1)*($NS$7-38+1)/$NU$7,$NN$7/$NT$7)),0)</f>
        <v/>
      </c>
      <c r="AQ7" s="402">
        <f>IF(AND(39&gt;=$NR$7,39&lt;=$NS$7),IF($NP$7="Single_Point",IF(39=$NR$7,$NN$7,0),IF($NP$7="Bell_Curve",$NN$7*(39-$NR$7+1)*($NS$7-39+1)/$NU$7,$NN$7/$NT$7)),0)</f>
        <v/>
      </c>
      <c r="AR7" s="402">
        <f>IF(AND(40&gt;=$NR$7,40&lt;=$NS$7),IF($NP$7="Single_Point",IF(40=$NR$7,$NN$7,0),IF($NP$7="Bell_Curve",$NN$7*(40-$NR$7+1)*($NS$7-40+1)/$NU$7,$NN$7/$NT$7)),0)</f>
        <v/>
      </c>
      <c r="AS7" s="402">
        <f>IF(AND(41&gt;=$NR$7,41&lt;=$NS$7),IF($NP$7="Single_Point",IF(41=$NR$7,$NN$7,0),IF($NP$7="Bell_Curve",$NN$7*(41-$NR$7+1)*($NS$7-41+1)/$NU$7,$NN$7/$NT$7)),0)</f>
        <v/>
      </c>
      <c r="AT7" s="402">
        <f>IF(AND(42&gt;=$NR$7,42&lt;=$NS$7),IF($NP$7="Single_Point",IF(42=$NR$7,$NN$7,0),IF($NP$7="Bell_Curve",$NN$7*(42-$NR$7+1)*($NS$7-42+1)/$NU$7,$NN$7/$NT$7)),0)</f>
        <v/>
      </c>
      <c r="AU7" s="402">
        <f>IF(AND(43&gt;=$NR$7,43&lt;=$NS$7),IF($NP$7="Single_Point",IF(43=$NR$7,$NN$7,0),IF($NP$7="Bell_Curve",$NN$7*(43-$NR$7+1)*($NS$7-43+1)/$NU$7,$NN$7/$NT$7)),0)</f>
        <v/>
      </c>
      <c r="AV7" s="402">
        <f>IF(AND(44&gt;=$NR$7,44&lt;=$NS$7),IF($NP$7="Single_Point",IF(44=$NR$7,$NN$7,0),IF($NP$7="Bell_Curve",$NN$7*(44-$NR$7+1)*($NS$7-44+1)/$NU$7,$NN$7/$NT$7)),0)</f>
        <v/>
      </c>
      <c r="AW7" s="402">
        <f>IF(AND(45&gt;=$NR$7,45&lt;=$NS$7),IF($NP$7="Single_Point",IF(45=$NR$7,$NN$7,0),IF($NP$7="Bell_Curve",$NN$7*(45-$NR$7+1)*($NS$7-45+1)/$NU$7,$NN$7/$NT$7)),0)</f>
        <v/>
      </c>
      <c r="AX7" s="402">
        <f>IF(AND(46&gt;=$NR$7,46&lt;=$NS$7),IF($NP$7="Single_Point",IF(46=$NR$7,$NN$7,0),IF($NP$7="Bell_Curve",$NN$7*(46-$NR$7+1)*($NS$7-46+1)/$NU$7,$NN$7/$NT$7)),0)</f>
        <v/>
      </c>
      <c r="AY7" s="402">
        <f>IF(AND(47&gt;=$NR$7,47&lt;=$NS$7),IF($NP$7="Single_Point",IF(47=$NR$7,$NN$7,0),IF($NP$7="Bell_Curve",$NN$7*(47-$NR$7+1)*($NS$7-47+1)/$NU$7,$NN$7/$NT$7)),0)</f>
        <v/>
      </c>
      <c r="AZ7" s="402">
        <f>IF(AND(48&gt;=$NR$7,48&lt;=$NS$7),IF($NP$7="Single_Point",IF(48=$NR$7,$NN$7,0),IF($NP$7="Bell_Curve",$NN$7*(48-$NR$7+1)*($NS$7-48+1)/$NU$7,$NN$7/$NT$7)),0)</f>
        <v/>
      </c>
      <c r="BA7" s="402">
        <f>IF(AND(49&gt;=$NR$7,49&lt;=$NS$7),IF($NP$7="Single_Point",IF(49=$NR$7,$NN$7,0),IF($NP$7="Bell_Curve",$NN$7*(49-$NR$7+1)*($NS$7-49+1)/$NU$7,$NN$7/$NT$7)),0)</f>
        <v/>
      </c>
      <c r="BB7" s="402">
        <f>IF(AND(50&gt;=$NR$7,50&lt;=$NS$7),IF($NP$7="Single_Point",IF(50=$NR$7,$NN$7,0),IF($NP$7="Bell_Curve",$NN$7*(50-$NR$7+1)*($NS$7-50+1)/$NU$7,$NN$7/$NT$7)),0)</f>
        <v/>
      </c>
      <c r="BC7" s="402">
        <f>IF(AND(51&gt;=$NR$7,51&lt;=$NS$7),IF($NP$7="Single_Point",IF(51=$NR$7,$NN$7,0),IF($NP$7="Bell_Curve",$NN$7*(51-$NR$7+1)*($NS$7-51+1)/$NU$7,$NN$7/$NT$7)),0)</f>
        <v/>
      </c>
      <c r="BD7" s="402">
        <f>IF(AND(52&gt;=$NR$7,52&lt;=$NS$7),IF($NP$7="Single_Point",IF(52=$NR$7,$NN$7,0),IF($NP$7="Bell_Curve",$NN$7*(52-$NR$7+1)*($NS$7-52+1)/$NU$7,$NN$7/$NT$7)),0)</f>
        <v/>
      </c>
      <c r="BE7" s="402">
        <f>IF(AND(53&gt;=$NR$7,53&lt;=$NS$7),IF($NP$7="Single_Point",IF(53=$NR$7,$NN$7,0),IF($NP$7="Bell_Curve",$NN$7*(53-$NR$7+1)*($NS$7-53+1)/$NU$7,$NN$7/$NT$7)),0)</f>
        <v/>
      </c>
      <c r="BF7" s="402">
        <f>IF(AND(54&gt;=$NR$7,54&lt;=$NS$7),IF($NP$7="Single_Point",IF(54=$NR$7,$NN$7,0),IF($NP$7="Bell_Curve",$NN$7*(54-$NR$7+1)*($NS$7-54+1)/$NU$7,$NN$7/$NT$7)),0)</f>
        <v/>
      </c>
      <c r="BG7" s="402">
        <f>IF(AND(55&gt;=$NR$7,55&lt;=$NS$7),IF($NP$7="Single_Point",IF(55=$NR$7,$NN$7,0),IF($NP$7="Bell_Curve",$NN$7*(55-$NR$7+1)*($NS$7-55+1)/$NU$7,$NN$7/$NT$7)),0)</f>
        <v/>
      </c>
      <c r="BH7" s="402">
        <f>IF(AND(56&gt;=$NR$7,56&lt;=$NS$7),IF($NP$7="Single_Point",IF(56=$NR$7,$NN$7,0),IF($NP$7="Bell_Curve",$NN$7*(56-$NR$7+1)*($NS$7-56+1)/$NU$7,$NN$7/$NT$7)),0)</f>
        <v/>
      </c>
      <c r="BI7" s="402">
        <f>IF(AND(57&gt;=$NR$7,57&lt;=$NS$7),IF($NP$7="Single_Point",IF(57=$NR$7,$NN$7,0),IF($NP$7="Bell_Curve",$NN$7*(57-$NR$7+1)*($NS$7-57+1)/$NU$7,$NN$7/$NT$7)),0)</f>
        <v/>
      </c>
      <c r="BJ7" s="402">
        <f>IF(AND(58&gt;=$NR$7,58&lt;=$NS$7),IF($NP$7="Single_Point",IF(58=$NR$7,$NN$7,0),IF($NP$7="Bell_Curve",$NN$7*(58-$NR$7+1)*($NS$7-58+1)/$NU$7,$NN$7/$NT$7)),0)</f>
        <v/>
      </c>
      <c r="BK7" s="402">
        <f>IF(AND(59&gt;=$NR$7,59&lt;=$NS$7),IF($NP$7="Single_Point",IF(59=$NR$7,$NN$7,0),IF($NP$7="Bell_Curve",$NN$7*(59-$NR$7+1)*($NS$7-59+1)/$NU$7,$NN$7/$NT$7)),0)</f>
        <v/>
      </c>
      <c r="BL7" s="402">
        <f>IF(AND(60&gt;=$NR$7,60&lt;=$NS$7),IF($NP$7="Single_Point",IF(60=$NR$7,$NN$7,0),IF($NP$7="Bell_Curve",$NN$7*(60-$NR$7+1)*($NS$7-60+1)/$NU$7,$NN$7/$NT$7)),0)</f>
        <v/>
      </c>
      <c r="BM7" s="402">
        <f>IF(AND(61&gt;=$NR$7,61&lt;=$NS$7),IF($NP$7="Single_Point",IF(61=$NR$7,$NN$7,0),IF($NP$7="Bell_Curve",$NN$7*(61-$NR$7+1)*($NS$7-61+1)/$NU$7,$NN$7/$NT$7)),0)</f>
        <v/>
      </c>
      <c r="BN7" s="402">
        <f>IF(AND(62&gt;=$NR$7,62&lt;=$NS$7),IF($NP$7="Single_Point",IF(62=$NR$7,$NN$7,0),IF($NP$7="Bell_Curve",$NN$7*(62-$NR$7+1)*($NS$7-62+1)/$NU$7,$NN$7/$NT$7)),0)</f>
        <v/>
      </c>
      <c r="BO7" s="402">
        <f>IF(AND(63&gt;=$NR$7,63&lt;=$NS$7),IF($NP$7="Single_Point",IF(63=$NR$7,$NN$7,0),IF($NP$7="Bell_Curve",$NN$7*(63-$NR$7+1)*($NS$7-63+1)/$NU$7,$NN$7/$NT$7)),0)</f>
        <v/>
      </c>
      <c r="BP7" s="402">
        <f>IF(AND(64&gt;=$NR$7,64&lt;=$NS$7),IF($NP$7="Single_Point",IF(64=$NR$7,$NN$7,0),IF($NP$7="Bell_Curve",$NN$7*(64-$NR$7+1)*($NS$7-64+1)/$NU$7,$NN$7/$NT$7)),0)</f>
        <v/>
      </c>
      <c r="BQ7" s="402">
        <f>IF(AND(65&gt;=$NR$7,65&lt;=$NS$7),IF($NP$7="Single_Point",IF(65=$NR$7,$NN$7,0),IF($NP$7="Bell_Curve",$NN$7*(65-$NR$7+1)*($NS$7-65+1)/$NU$7,$NN$7/$NT$7)),0)</f>
        <v/>
      </c>
      <c r="BR7" s="402">
        <f>IF(AND(66&gt;=$NR$7,66&lt;=$NS$7),IF($NP$7="Single_Point",IF(66=$NR$7,$NN$7,0),IF($NP$7="Bell_Curve",$NN$7*(66-$NR$7+1)*($NS$7-66+1)/$NU$7,$NN$7/$NT$7)),0)</f>
        <v/>
      </c>
      <c r="BS7" s="402">
        <f>IF(AND(67&gt;=$NR$7,67&lt;=$NS$7),IF($NP$7="Single_Point",IF(67=$NR$7,$NN$7,0),IF($NP$7="Bell_Curve",$NN$7*(67-$NR$7+1)*($NS$7-67+1)/$NU$7,$NN$7/$NT$7)),0)</f>
        <v/>
      </c>
      <c r="BT7" s="402">
        <f>IF(AND(68&gt;=$NR$7,68&lt;=$NS$7),IF($NP$7="Single_Point",IF(68=$NR$7,$NN$7,0),IF($NP$7="Bell_Curve",$NN$7*(68-$NR$7+1)*($NS$7-68+1)/$NU$7,$NN$7/$NT$7)),0)</f>
        <v/>
      </c>
      <c r="BU7" s="402">
        <f>IF(AND(69&gt;=$NR$7,69&lt;=$NS$7),IF($NP$7="Single_Point",IF(69=$NR$7,$NN$7,0),IF($NP$7="Bell_Curve",$NN$7*(69-$NR$7+1)*($NS$7-69+1)/$NU$7,$NN$7/$NT$7)),0)</f>
        <v/>
      </c>
      <c r="BV7" s="402">
        <f>IF(AND(70&gt;=$NR$7,70&lt;=$NS$7),IF($NP$7="Single_Point",IF(70=$NR$7,$NN$7,0),IF($NP$7="Bell_Curve",$NN$7*(70-$NR$7+1)*($NS$7-70+1)/$NU$7,$NN$7/$NT$7)),0)</f>
        <v/>
      </c>
      <c r="BW7" s="402">
        <f>IF(AND(71&gt;=$NR$7,71&lt;=$NS$7),IF($NP$7="Single_Point",IF(71=$NR$7,$NN$7,0),IF($NP$7="Bell_Curve",$NN$7*(71-$NR$7+1)*($NS$7-71+1)/$NU$7,$NN$7/$NT$7)),0)</f>
        <v/>
      </c>
      <c r="BX7" s="402">
        <f>IF(AND(72&gt;=$NR$7,72&lt;=$NS$7),IF($NP$7="Single_Point",IF(72=$NR$7,$NN$7,0),IF($NP$7="Bell_Curve",$NN$7*(72-$NR$7+1)*($NS$7-72+1)/$NU$7,$NN$7/$NT$7)),0)</f>
        <v/>
      </c>
      <c r="BY7" s="402">
        <f>IF(AND(73&gt;=$NR$7,73&lt;=$NS$7),IF($NP$7="Single_Point",IF(73=$NR$7,$NN$7,0),IF($NP$7="Bell_Curve",$NN$7*(73-$NR$7+1)*($NS$7-73+1)/$NU$7,$NN$7/$NT$7)),0)</f>
        <v/>
      </c>
      <c r="BZ7" s="402">
        <f>IF(AND(74&gt;=$NR$7,74&lt;=$NS$7),IF($NP$7="Single_Point",IF(74=$NR$7,$NN$7,0),IF($NP$7="Bell_Curve",$NN$7*(74-$NR$7+1)*($NS$7-74+1)/$NU$7,$NN$7/$NT$7)),0)</f>
        <v/>
      </c>
      <c r="CA7" s="402">
        <f>IF(AND(75&gt;=$NR$7,75&lt;=$NS$7),IF($NP$7="Single_Point",IF(75=$NR$7,$NN$7,0),IF($NP$7="Bell_Curve",$NN$7*(75-$NR$7+1)*($NS$7-75+1)/$NU$7,$NN$7/$NT$7)),0)</f>
        <v/>
      </c>
      <c r="CB7" s="402">
        <f>IF(AND(76&gt;=$NR$7,76&lt;=$NS$7),IF($NP$7="Single_Point",IF(76=$NR$7,$NN$7,0),IF($NP$7="Bell_Curve",$NN$7*(76-$NR$7+1)*($NS$7-76+1)/$NU$7,$NN$7/$NT$7)),0)</f>
        <v/>
      </c>
      <c r="CC7" s="402">
        <f>IF(AND(77&gt;=$NR$7,77&lt;=$NS$7),IF($NP$7="Single_Point",IF(77=$NR$7,$NN$7,0),IF($NP$7="Bell_Curve",$NN$7*(77-$NR$7+1)*($NS$7-77+1)/$NU$7,$NN$7/$NT$7)),0)</f>
        <v/>
      </c>
      <c r="CD7" s="402">
        <f>IF(AND(78&gt;=$NR$7,78&lt;=$NS$7),IF($NP$7="Single_Point",IF(78=$NR$7,$NN$7,0),IF($NP$7="Bell_Curve",$NN$7*(78-$NR$7+1)*($NS$7-78+1)/$NU$7,$NN$7/$NT$7)),0)</f>
        <v/>
      </c>
      <c r="CE7" s="402">
        <f>IF(AND(79&gt;=$NR$7,79&lt;=$NS$7),IF($NP$7="Single_Point",IF(79=$NR$7,$NN$7,0),IF($NP$7="Bell_Curve",$NN$7*(79-$NR$7+1)*($NS$7-79+1)/$NU$7,$NN$7/$NT$7)),0)</f>
        <v/>
      </c>
      <c r="CF7" s="402">
        <f>IF(AND(80&gt;=$NR$7,80&lt;=$NS$7),IF($NP$7="Single_Point",IF(80=$NR$7,$NN$7,0),IF($NP$7="Bell_Curve",$NN$7*(80-$NR$7+1)*($NS$7-80+1)/$NU$7,$NN$7/$NT$7)),0)</f>
        <v/>
      </c>
      <c r="CG7" s="402">
        <f>IF(AND(81&gt;=$NR$7,81&lt;=$NS$7),IF($NP$7="Single_Point",IF(81=$NR$7,$NN$7,0),IF($NP$7="Bell_Curve",$NN$7*(81-$NR$7+1)*($NS$7-81+1)/$NU$7,$NN$7/$NT$7)),0)</f>
        <v/>
      </c>
      <c r="CH7" s="402">
        <f>IF(AND(82&gt;=$NR$7,82&lt;=$NS$7),IF($NP$7="Single_Point",IF(82=$NR$7,$NN$7,0),IF($NP$7="Bell_Curve",$NN$7*(82-$NR$7+1)*($NS$7-82+1)/$NU$7,$NN$7/$NT$7)),0)</f>
        <v/>
      </c>
      <c r="CI7" s="402">
        <f>IF(AND(83&gt;=$NR$7,83&lt;=$NS$7),IF($NP$7="Single_Point",IF(83=$NR$7,$NN$7,0),IF($NP$7="Bell_Curve",$NN$7*(83-$NR$7+1)*($NS$7-83+1)/$NU$7,$NN$7/$NT$7)),0)</f>
        <v/>
      </c>
      <c r="CJ7" s="402">
        <f>IF(AND(84&gt;=$NR$7,84&lt;=$NS$7),IF($NP$7="Single_Point",IF(84=$NR$7,$NN$7,0),IF($NP$7="Bell_Curve",$NN$7*(84-$NR$7+1)*($NS$7-84+1)/$NU$7,$NN$7/$NT$7)),0)</f>
        <v/>
      </c>
      <c r="CK7" s="402">
        <f>IF(AND(85&gt;=$NR$7,85&lt;=$NS$7),IF($NP$7="Single_Point",IF(85=$NR$7,$NN$7,0),IF($NP$7="Bell_Curve",$NN$7*(85-$NR$7+1)*($NS$7-85+1)/$NU$7,$NN$7/$NT$7)),0)</f>
        <v/>
      </c>
      <c r="CL7" s="402">
        <f>IF(AND(86&gt;=$NR$7,86&lt;=$NS$7),IF($NP$7="Single_Point",IF(86=$NR$7,$NN$7,0),IF($NP$7="Bell_Curve",$NN$7*(86-$NR$7+1)*($NS$7-86+1)/$NU$7,$NN$7/$NT$7)),0)</f>
        <v/>
      </c>
      <c r="CM7" s="402">
        <f>IF(AND(87&gt;=$NR$7,87&lt;=$NS$7),IF($NP$7="Single_Point",IF(87=$NR$7,$NN$7,0),IF($NP$7="Bell_Curve",$NN$7*(87-$NR$7+1)*($NS$7-87+1)/$NU$7,$NN$7/$NT$7)),0)</f>
        <v/>
      </c>
      <c r="CN7" s="402">
        <f>IF(AND(88&gt;=$NR$7,88&lt;=$NS$7),IF($NP$7="Single_Point",IF(88=$NR$7,$NN$7,0),IF($NP$7="Bell_Curve",$NN$7*(88-$NR$7+1)*($NS$7-88+1)/$NU$7,$NN$7/$NT$7)),0)</f>
        <v/>
      </c>
      <c r="CO7" s="402">
        <f>IF(AND(89&gt;=$NR$7,89&lt;=$NS$7),IF($NP$7="Single_Point",IF(89=$NR$7,$NN$7,0),IF($NP$7="Bell_Curve",$NN$7*(89-$NR$7+1)*($NS$7-89+1)/$NU$7,$NN$7/$NT$7)),0)</f>
        <v/>
      </c>
      <c r="CP7" s="402">
        <f>IF(AND(90&gt;=$NR$7,90&lt;=$NS$7),IF($NP$7="Single_Point",IF(90=$NR$7,$NN$7,0),IF($NP$7="Bell_Curve",$NN$7*(90-$NR$7+1)*($NS$7-90+1)/$NU$7,$NN$7/$NT$7)),0)</f>
        <v/>
      </c>
      <c r="CQ7" s="402">
        <f>IF(AND(91&gt;=$NR$7,91&lt;=$NS$7),IF($NP$7="Single_Point",IF(91=$NR$7,$NN$7,0),IF($NP$7="Bell_Curve",$NN$7*(91-$NR$7+1)*($NS$7-91+1)/$NU$7,$NN$7/$NT$7)),0)</f>
        <v/>
      </c>
      <c r="CR7" s="402">
        <f>IF(AND(92&gt;=$NR$7,92&lt;=$NS$7),IF($NP$7="Single_Point",IF(92=$NR$7,$NN$7,0),IF($NP$7="Bell_Curve",$NN$7*(92-$NR$7+1)*($NS$7-92+1)/$NU$7,$NN$7/$NT$7)),0)</f>
        <v/>
      </c>
      <c r="CS7" s="402">
        <f>IF(AND(93&gt;=$NR$7,93&lt;=$NS$7),IF($NP$7="Single_Point",IF(93=$NR$7,$NN$7,0),IF($NP$7="Bell_Curve",$NN$7*(93-$NR$7+1)*($NS$7-93+1)/$NU$7,$NN$7/$NT$7)),0)</f>
        <v/>
      </c>
      <c r="CT7" s="402">
        <f>IF(AND(94&gt;=$NR$7,94&lt;=$NS$7),IF($NP$7="Single_Point",IF(94=$NR$7,$NN$7,0),IF($NP$7="Bell_Curve",$NN$7*(94-$NR$7+1)*($NS$7-94+1)/$NU$7,$NN$7/$NT$7)),0)</f>
        <v/>
      </c>
      <c r="CU7" s="402">
        <f>IF(AND(95&gt;=$NR$7,95&lt;=$NS$7),IF($NP$7="Single_Point",IF(95=$NR$7,$NN$7,0),IF($NP$7="Bell_Curve",$NN$7*(95-$NR$7+1)*($NS$7-95+1)/$NU$7,$NN$7/$NT$7)),0)</f>
        <v/>
      </c>
      <c r="CV7" s="402">
        <f>IF(AND(96&gt;=$NR$7,96&lt;=$NS$7),IF($NP$7="Single_Point",IF(96=$NR$7,$NN$7,0),IF($NP$7="Bell_Curve",$NN$7*(96-$NR$7+1)*($NS$7-96+1)/$NU$7,$NN$7/$NT$7)),0)</f>
        <v/>
      </c>
      <c r="CW7" s="402">
        <f>IF(AND(97&gt;=$NR$7,97&lt;=$NS$7),IF($NP$7="Single_Point",IF(97=$NR$7,$NN$7,0),IF($NP$7="Bell_Curve",$NN$7*(97-$NR$7+1)*($NS$7-97+1)/$NU$7,$NN$7/$NT$7)),0)</f>
        <v/>
      </c>
      <c r="CX7" s="402">
        <f>IF(AND(98&gt;=$NR$7,98&lt;=$NS$7),IF($NP$7="Single_Point",IF(98=$NR$7,$NN$7,0),IF($NP$7="Bell_Curve",$NN$7*(98-$NR$7+1)*($NS$7-98+1)/$NU$7,$NN$7/$NT$7)),0)</f>
        <v/>
      </c>
      <c r="CY7" s="402">
        <f>IF(AND(99&gt;=$NR$7,99&lt;=$NS$7),IF($NP$7="Single_Point",IF(99=$NR$7,$NN$7,0),IF($NP$7="Bell_Curve",$NN$7*(99-$NR$7+1)*($NS$7-99+1)/$NU$7,$NN$7/$NT$7)),0)</f>
        <v/>
      </c>
      <c r="CZ7" s="402">
        <f>IF(AND(100&gt;=$NR$7,100&lt;=$NS$7),IF($NP$7="Single_Point",IF(100=$NR$7,$NN$7,0),IF($NP$7="Bell_Curve",$NN$7*(100-$NR$7+1)*($NS$7-100+1)/$NU$7,$NN$7/$NT$7)),0)</f>
        <v/>
      </c>
      <c r="DA7" s="402">
        <f>IF(AND(101&gt;=$NR$7,101&lt;=$NS$7),IF($NP$7="Single_Point",IF(101=$NR$7,$NN$7,0),IF($NP$7="Bell_Curve",$NN$7*(101-$NR$7+1)*($NS$7-101+1)/$NU$7,$NN$7/$NT$7)),0)</f>
        <v/>
      </c>
      <c r="DB7" s="402">
        <f>IF(AND(102&gt;=$NR$7,102&lt;=$NS$7),IF($NP$7="Single_Point",IF(102=$NR$7,$NN$7,0),IF($NP$7="Bell_Curve",$NN$7*(102-$NR$7+1)*($NS$7-102+1)/$NU$7,$NN$7/$NT$7)),0)</f>
        <v/>
      </c>
      <c r="DC7" s="402">
        <f>IF(AND(103&gt;=$NR$7,103&lt;=$NS$7),IF($NP$7="Single_Point",IF(103=$NR$7,$NN$7,0),IF($NP$7="Bell_Curve",$NN$7*(103-$NR$7+1)*($NS$7-103+1)/$NU$7,$NN$7/$NT$7)),0)</f>
        <v/>
      </c>
      <c r="DD7" s="402">
        <f>IF(AND(104&gt;=$NR$7,104&lt;=$NS$7),IF($NP$7="Single_Point",IF(104=$NR$7,$NN$7,0),IF($NP$7="Bell_Curve",$NN$7*(104-$NR$7+1)*($NS$7-104+1)/$NU$7,$NN$7/$NT$7)),0)</f>
        <v/>
      </c>
      <c r="DE7" s="402">
        <f>IF(AND(105&gt;=$NR$7,105&lt;=$NS$7),IF($NP$7="Single_Point",IF(105=$NR$7,$NN$7,0),IF($NP$7="Bell_Curve",$NN$7*(105-$NR$7+1)*($NS$7-105+1)/$NU$7,$NN$7/$NT$7)),0)</f>
        <v/>
      </c>
      <c r="DF7" s="402">
        <f>IF(AND(106&gt;=$NR$7,106&lt;=$NS$7),IF($NP$7="Single_Point",IF(106=$NR$7,$NN$7,0),IF($NP$7="Bell_Curve",$NN$7*(106-$NR$7+1)*($NS$7-106+1)/$NU$7,$NN$7/$NT$7)),0)</f>
        <v/>
      </c>
      <c r="DG7" s="402">
        <f>IF(AND(107&gt;=$NR$7,107&lt;=$NS$7),IF($NP$7="Single_Point",IF(107=$NR$7,$NN$7,0),IF($NP$7="Bell_Curve",$NN$7*(107-$NR$7+1)*($NS$7-107+1)/$NU$7,$NN$7/$NT$7)),0)</f>
        <v/>
      </c>
      <c r="DH7" s="402">
        <f>IF(AND(108&gt;=$NR$7,108&lt;=$NS$7),IF($NP$7="Single_Point",IF(108=$NR$7,$NN$7,0),IF($NP$7="Bell_Curve",$NN$7*(108-$NR$7+1)*($NS$7-108+1)/$NU$7,$NN$7/$NT$7)),0)</f>
        <v/>
      </c>
      <c r="DI7" s="402">
        <f>IF(AND(109&gt;=$NR$7,109&lt;=$NS$7),IF($NP$7="Single_Point",IF(109=$NR$7,$NN$7,0),IF($NP$7="Bell_Curve",$NN$7*(109-$NR$7+1)*($NS$7-109+1)/$NU$7,$NN$7/$NT$7)),0)</f>
        <v/>
      </c>
      <c r="DJ7" s="402">
        <f>IF(AND(110&gt;=$NR$7,110&lt;=$NS$7),IF($NP$7="Single_Point",IF(110=$NR$7,$NN$7,0),IF($NP$7="Bell_Curve",$NN$7*(110-$NR$7+1)*($NS$7-110+1)/$NU$7,$NN$7/$NT$7)),0)</f>
        <v/>
      </c>
      <c r="DK7" s="402">
        <f>IF(AND(111&gt;=$NR$7,111&lt;=$NS$7),IF($NP$7="Single_Point",IF(111=$NR$7,$NN$7,0),IF($NP$7="Bell_Curve",$NN$7*(111-$NR$7+1)*($NS$7-111+1)/$NU$7,$NN$7/$NT$7)),0)</f>
        <v/>
      </c>
      <c r="DL7" s="402">
        <f>IF(AND(112&gt;=$NR$7,112&lt;=$NS$7),IF($NP$7="Single_Point",IF(112=$NR$7,$NN$7,0),IF($NP$7="Bell_Curve",$NN$7*(112-$NR$7+1)*($NS$7-112+1)/$NU$7,$NN$7/$NT$7)),0)</f>
        <v/>
      </c>
      <c r="DM7" s="402">
        <f>IF(AND(113&gt;=$NR$7,113&lt;=$NS$7),IF($NP$7="Single_Point",IF(113=$NR$7,$NN$7,0),IF($NP$7="Bell_Curve",$NN$7*(113-$NR$7+1)*($NS$7-113+1)/$NU$7,$NN$7/$NT$7)),0)</f>
        <v/>
      </c>
      <c r="DN7" s="402">
        <f>IF(AND(114&gt;=$NR$7,114&lt;=$NS$7),IF($NP$7="Single_Point",IF(114=$NR$7,$NN$7,0),IF($NP$7="Bell_Curve",$NN$7*(114-$NR$7+1)*($NS$7-114+1)/$NU$7,$NN$7/$NT$7)),0)</f>
        <v/>
      </c>
      <c r="DO7" s="402">
        <f>IF(AND(115&gt;=$NR$7,115&lt;=$NS$7),IF($NP$7="Single_Point",IF(115=$NR$7,$NN$7,0),IF($NP$7="Bell_Curve",$NN$7*(115-$NR$7+1)*($NS$7-115+1)/$NU$7,$NN$7/$NT$7)),0)</f>
        <v/>
      </c>
      <c r="DP7" s="402">
        <f>IF(AND(116&gt;=$NR$7,116&lt;=$NS$7),IF($NP$7="Single_Point",IF(116=$NR$7,$NN$7,0),IF($NP$7="Bell_Curve",$NN$7*(116-$NR$7+1)*($NS$7-116+1)/$NU$7,$NN$7/$NT$7)),0)</f>
        <v/>
      </c>
      <c r="DQ7" s="402">
        <f>IF(AND(117&gt;=$NR$7,117&lt;=$NS$7),IF($NP$7="Single_Point",IF(117=$NR$7,$NN$7,0),IF($NP$7="Bell_Curve",$NN$7*(117-$NR$7+1)*($NS$7-117+1)/$NU$7,$NN$7/$NT$7)),0)</f>
        <v/>
      </c>
      <c r="DR7" s="402">
        <f>IF(AND(118&gt;=$NR$7,118&lt;=$NS$7),IF($NP$7="Single_Point",IF(118=$NR$7,$NN$7,0),IF($NP$7="Bell_Curve",$NN$7*(118-$NR$7+1)*($NS$7-118+1)/$NU$7,$NN$7/$NT$7)),0)</f>
        <v/>
      </c>
      <c r="DS7" s="402">
        <f>IF(AND(119&gt;=$NR$7,119&lt;=$NS$7),IF($NP$7="Single_Point",IF(119=$NR$7,$NN$7,0),IF($NP$7="Bell_Curve",$NN$7*(119-$NR$7+1)*($NS$7-119+1)/$NU$7,$NN$7/$NT$7)),0)</f>
        <v/>
      </c>
      <c r="DT7" s="402">
        <f>IF(AND(120&gt;=$NR$7,120&lt;=$NS$7),IF($NP$7="Single_Point",IF(120=$NR$7,$NN$7,0),IF($NP$7="Bell_Curve",$NN$7*(120-$NR$7+1)*($NS$7-120+1)/$NU$7,$NN$7/$NT$7)),0)</f>
        <v/>
      </c>
      <c r="DU7" s="402">
        <f>IF(AND(121&gt;=$NR$7,121&lt;=$NS$7),IF($NP$7="Single_Point",IF(121=$NR$7,$NN$7,0),IF($NP$7="Bell_Curve",$NN$7*(121-$NR$7+1)*($NS$7-121+1)/$NU$7,$NN$7/$NT$7)),0)</f>
        <v/>
      </c>
      <c r="DV7" s="402">
        <f>IF(AND(122&gt;=$NR$7,122&lt;=$NS$7),IF($NP$7="Single_Point",IF(122=$NR$7,$NN$7,0),IF($NP$7="Bell_Curve",$NN$7*(122-$NR$7+1)*($NS$7-122+1)/$NU$7,$NN$7/$NT$7)),0)</f>
        <v/>
      </c>
      <c r="DW7" s="402">
        <f>IF(AND(123&gt;=$NR$7,123&lt;=$NS$7),IF($NP$7="Single_Point",IF(123=$NR$7,$NN$7,0),IF($NP$7="Bell_Curve",$NN$7*(123-$NR$7+1)*($NS$7-123+1)/$NU$7,$NN$7/$NT$7)),0)</f>
        <v/>
      </c>
      <c r="DX7" s="402">
        <f>IF(AND(124&gt;=$NR$7,124&lt;=$NS$7),IF($NP$7="Single_Point",IF(124=$NR$7,$NN$7,0),IF($NP$7="Bell_Curve",$NN$7*(124-$NR$7+1)*($NS$7-124+1)/$NU$7,$NN$7/$NT$7)),0)</f>
        <v/>
      </c>
      <c r="DY7" s="402">
        <f>IF(AND(125&gt;=$NR$7,125&lt;=$NS$7),IF($NP$7="Single_Point",IF(125=$NR$7,$NN$7,0),IF($NP$7="Bell_Curve",$NN$7*(125-$NR$7+1)*($NS$7-125+1)/$NU$7,$NN$7/$NT$7)),0)</f>
        <v/>
      </c>
      <c r="DZ7" s="402">
        <f>IF(AND(126&gt;=$NR$7,126&lt;=$NS$7),IF($NP$7="Single_Point",IF(126=$NR$7,$NN$7,0),IF($NP$7="Bell_Curve",$NN$7*(126-$NR$7+1)*($NS$7-126+1)/$NU$7,$NN$7/$NT$7)),0)</f>
        <v/>
      </c>
      <c r="EA7" s="402">
        <f>IF(AND(127&gt;=$NR$7,127&lt;=$NS$7),IF($NP$7="Single_Point",IF(127=$NR$7,$NN$7,0),IF($NP$7="Bell_Curve",$NN$7*(127-$NR$7+1)*($NS$7-127+1)/$NU$7,$NN$7/$NT$7)),0)</f>
        <v/>
      </c>
      <c r="EB7" s="402">
        <f>IF(AND(128&gt;=$NR$7,128&lt;=$NS$7),IF($NP$7="Single_Point",IF(128=$NR$7,$NN$7,0),IF($NP$7="Bell_Curve",$NN$7*(128-$NR$7+1)*($NS$7-128+1)/$NU$7,$NN$7/$NT$7)),0)</f>
        <v/>
      </c>
      <c r="EC7" s="402">
        <f>IF(AND(129&gt;=$NR$7,129&lt;=$NS$7),IF($NP$7="Single_Point",IF(129=$NR$7,$NN$7,0),IF($NP$7="Bell_Curve",$NN$7*(129-$NR$7+1)*($NS$7-129+1)/$NU$7,$NN$7/$NT$7)),0)</f>
        <v/>
      </c>
      <c r="ED7" s="402">
        <f>IF(AND(130&gt;=$NR$7,130&lt;=$NS$7),IF($NP$7="Single_Point",IF(130=$NR$7,$NN$7,0),IF($NP$7="Bell_Curve",$NN$7*(130-$NR$7+1)*($NS$7-130+1)/$NU$7,$NN$7/$NT$7)),0)</f>
        <v/>
      </c>
      <c r="EE7" s="402">
        <f>IF(AND(131&gt;=$NR$7,131&lt;=$NS$7),IF($NP$7="Single_Point",IF(131=$NR$7,$NN$7,0),IF($NP$7="Bell_Curve",$NN$7*(131-$NR$7+1)*($NS$7-131+1)/$NU$7,$NN$7/$NT$7)),0)</f>
        <v/>
      </c>
      <c r="EF7" s="402">
        <f>IF(AND(132&gt;=$NR$7,132&lt;=$NS$7),IF($NP$7="Single_Point",IF(132=$NR$7,$NN$7,0),IF($NP$7="Bell_Curve",$NN$7*(132-$NR$7+1)*($NS$7-132+1)/$NU$7,$NN$7/$NT$7)),0)</f>
        <v/>
      </c>
      <c r="EG7" s="402">
        <f>IF(AND(133&gt;=$NR$7,133&lt;=$NS$7),IF($NP$7="Single_Point",IF(133=$NR$7,$NN$7,0),IF($NP$7="Bell_Curve",$NN$7*(133-$NR$7+1)*($NS$7-133+1)/$NU$7,$NN$7/$NT$7)),0)</f>
        <v/>
      </c>
      <c r="EH7" s="402">
        <f>IF(AND(134&gt;=$NR$7,134&lt;=$NS$7),IF($NP$7="Single_Point",IF(134=$NR$7,$NN$7,0),IF($NP$7="Bell_Curve",$NN$7*(134-$NR$7+1)*($NS$7-134+1)/$NU$7,$NN$7/$NT$7)),0)</f>
        <v/>
      </c>
      <c r="EI7" s="402">
        <f>IF(AND(135&gt;=$NR$7,135&lt;=$NS$7),IF($NP$7="Single_Point",IF(135=$NR$7,$NN$7,0),IF($NP$7="Bell_Curve",$NN$7*(135-$NR$7+1)*($NS$7-135+1)/$NU$7,$NN$7/$NT$7)),0)</f>
        <v/>
      </c>
      <c r="EJ7" s="402">
        <f>IF(AND(136&gt;=$NR$7,136&lt;=$NS$7),IF($NP$7="Single_Point",IF(136=$NR$7,$NN$7,0),IF($NP$7="Bell_Curve",$NN$7*(136-$NR$7+1)*($NS$7-136+1)/$NU$7,$NN$7/$NT$7)),0)</f>
        <v/>
      </c>
      <c r="EK7" s="402">
        <f>IF(AND(137&gt;=$NR$7,137&lt;=$NS$7),IF($NP$7="Single_Point",IF(137=$NR$7,$NN$7,0),IF($NP$7="Bell_Curve",$NN$7*(137-$NR$7+1)*($NS$7-137+1)/$NU$7,$NN$7/$NT$7)),0)</f>
        <v/>
      </c>
      <c r="EL7" s="402">
        <f>IF(AND(138&gt;=$NR$7,138&lt;=$NS$7),IF($NP$7="Single_Point",IF(138=$NR$7,$NN$7,0),IF($NP$7="Bell_Curve",$NN$7*(138-$NR$7+1)*($NS$7-138+1)/$NU$7,$NN$7/$NT$7)),0)</f>
        <v/>
      </c>
      <c r="EM7" s="402">
        <f>IF(AND(139&gt;=$NR$7,139&lt;=$NS$7),IF($NP$7="Single_Point",IF(139=$NR$7,$NN$7,0),IF($NP$7="Bell_Curve",$NN$7*(139-$NR$7+1)*($NS$7-139+1)/$NU$7,$NN$7/$NT$7)),0)</f>
        <v/>
      </c>
      <c r="EN7" s="402">
        <f>IF(AND(140&gt;=$NR$7,140&lt;=$NS$7),IF($NP$7="Single_Point",IF(140=$NR$7,$NN$7,0),IF($NP$7="Bell_Curve",$NN$7*(140-$NR$7+1)*($NS$7-140+1)/$NU$7,$NN$7/$NT$7)),0)</f>
        <v/>
      </c>
      <c r="EO7" s="402">
        <f>IF(AND(141&gt;=$NR$7,141&lt;=$NS$7),IF($NP$7="Single_Point",IF(141=$NR$7,$NN$7,0),IF($NP$7="Bell_Curve",$NN$7*(141-$NR$7+1)*($NS$7-141+1)/$NU$7,$NN$7/$NT$7)),0)</f>
        <v/>
      </c>
      <c r="EP7" s="402">
        <f>IF(AND(142&gt;=$NR$7,142&lt;=$NS$7),IF($NP$7="Single_Point",IF(142=$NR$7,$NN$7,0),IF($NP$7="Bell_Curve",$NN$7*(142-$NR$7+1)*($NS$7-142+1)/$NU$7,$NN$7/$NT$7)),0)</f>
        <v/>
      </c>
      <c r="EQ7" s="402">
        <f>IF(AND(143&gt;=$NR$7,143&lt;=$NS$7),IF($NP$7="Single_Point",IF(143=$NR$7,$NN$7,0),IF($NP$7="Bell_Curve",$NN$7*(143-$NR$7+1)*($NS$7-143+1)/$NU$7,$NN$7/$NT$7)),0)</f>
        <v/>
      </c>
      <c r="ER7" s="402">
        <f>IF(AND(144&gt;=$NR$7,144&lt;=$NS$7),IF($NP$7="Single_Point",IF(144=$NR$7,$NN$7,0),IF($NP$7="Bell_Curve",$NN$7*(144-$NR$7+1)*($NS$7-144+1)/$NU$7,$NN$7/$NT$7)),0)</f>
        <v/>
      </c>
      <c r="ES7" s="402">
        <f>IF(AND(145&gt;=$NR$7,145&lt;=$NS$7),IF($NP$7="Single_Point",IF(145=$NR$7,$NN$7,0),IF($NP$7="Bell_Curve",$NN$7*(145-$NR$7+1)*($NS$7-145+1)/$NU$7,$NN$7/$NT$7)),0)</f>
        <v/>
      </c>
      <c r="ET7" s="402">
        <f>IF(AND(146&gt;=$NR$7,146&lt;=$NS$7),IF($NP$7="Single_Point",IF(146=$NR$7,$NN$7,0),IF($NP$7="Bell_Curve",$NN$7*(146-$NR$7+1)*($NS$7-146+1)/$NU$7,$NN$7/$NT$7)),0)</f>
        <v/>
      </c>
      <c r="EU7" s="402">
        <f>IF(AND(147&gt;=$NR$7,147&lt;=$NS$7),IF($NP$7="Single_Point",IF(147=$NR$7,$NN$7,0),IF($NP$7="Bell_Curve",$NN$7*(147-$NR$7+1)*($NS$7-147+1)/$NU$7,$NN$7/$NT$7)),0)</f>
        <v/>
      </c>
      <c r="EV7" s="402">
        <f>IF(AND(148&gt;=$NR$7,148&lt;=$NS$7),IF($NP$7="Single_Point",IF(148=$NR$7,$NN$7,0),IF($NP$7="Bell_Curve",$NN$7*(148-$NR$7+1)*($NS$7-148+1)/$NU$7,$NN$7/$NT$7)),0)</f>
        <v/>
      </c>
      <c r="EW7" s="402">
        <f>IF(AND(149&gt;=$NR$7,149&lt;=$NS$7),IF($NP$7="Single_Point",IF(149=$NR$7,$NN$7,0),IF($NP$7="Bell_Curve",$NN$7*(149-$NR$7+1)*($NS$7-149+1)/$NU$7,$NN$7/$NT$7)),0)</f>
        <v/>
      </c>
      <c r="EX7" s="402">
        <f>IF(AND(150&gt;=$NR$7,150&lt;=$NS$7),IF($NP$7="Single_Point",IF(150=$NR$7,$NN$7,0),IF($NP$7="Bell_Curve",$NN$7*(150-$NR$7+1)*($NS$7-150+1)/$NU$7,$NN$7/$NT$7)),0)</f>
        <v/>
      </c>
      <c r="EY7" s="402">
        <f>IF(AND(151&gt;=$NR$7,151&lt;=$NS$7),IF($NP$7="Single_Point",IF(151=$NR$7,$NN$7,0),IF($NP$7="Bell_Curve",$NN$7*(151-$NR$7+1)*($NS$7-151+1)/$NU$7,$NN$7/$NT$7)),0)</f>
        <v/>
      </c>
      <c r="EZ7" s="402">
        <f>IF(AND(152&gt;=$NR$7,152&lt;=$NS$7),IF($NP$7="Single_Point",IF(152=$NR$7,$NN$7,0),IF($NP$7="Bell_Curve",$NN$7*(152-$NR$7+1)*($NS$7-152+1)/$NU$7,$NN$7/$NT$7)),0)</f>
        <v/>
      </c>
      <c r="FA7" s="402">
        <f>IF(AND(153&gt;=$NR$7,153&lt;=$NS$7),IF($NP$7="Single_Point",IF(153=$NR$7,$NN$7,0),IF($NP$7="Bell_Curve",$NN$7*(153-$NR$7+1)*($NS$7-153+1)/$NU$7,$NN$7/$NT$7)),0)</f>
        <v/>
      </c>
      <c r="FB7" s="402">
        <f>IF(AND(154&gt;=$NR$7,154&lt;=$NS$7),IF($NP$7="Single_Point",IF(154=$NR$7,$NN$7,0),IF($NP$7="Bell_Curve",$NN$7*(154-$NR$7+1)*($NS$7-154+1)/$NU$7,$NN$7/$NT$7)),0)</f>
        <v/>
      </c>
      <c r="FC7" s="402">
        <f>IF(AND(155&gt;=$NR$7,155&lt;=$NS$7),IF($NP$7="Single_Point",IF(155=$NR$7,$NN$7,0),IF($NP$7="Bell_Curve",$NN$7*(155-$NR$7+1)*($NS$7-155+1)/$NU$7,$NN$7/$NT$7)),0)</f>
        <v/>
      </c>
      <c r="FD7" s="402">
        <f>IF(AND(156&gt;=$NR$7,156&lt;=$NS$7),IF($NP$7="Single_Point",IF(156=$NR$7,$NN$7,0),IF($NP$7="Bell_Curve",$NN$7*(156-$NR$7+1)*($NS$7-156+1)/$NU$7,$NN$7/$NT$7)),0)</f>
        <v/>
      </c>
      <c r="FE7" s="402">
        <f>IF(AND(157&gt;=$NR$7,157&lt;=$NS$7),IF($NP$7="Single_Point",IF(157=$NR$7,$NN$7,0),IF($NP$7="Bell_Curve",$NN$7*(157-$NR$7+1)*($NS$7-157+1)/$NU$7,$NN$7/$NT$7)),0)</f>
        <v/>
      </c>
      <c r="FF7" s="402">
        <f>IF(AND(158&gt;=$NR$7,158&lt;=$NS$7),IF($NP$7="Single_Point",IF(158=$NR$7,$NN$7,0),IF($NP$7="Bell_Curve",$NN$7*(158-$NR$7+1)*($NS$7-158+1)/$NU$7,$NN$7/$NT$7)),0)</f>
        <v/>
      </c>
      <c r="FG7" s="402">
        <f>IF(AND(159&gt;=$NR$7,159&lt;=$NS$7),IF($NP$7="Single_Point",IF(159=$NR$7,$NN$7,0),IF($NP$7="Bell_Curve",$NN$7*(159-$NR$7+1)*($NS$7-159+1)/$NU$7,$NN$7/$NT$7)),0)</f>
        <v/>
      </c>
      <c r="FH7" s="402">
        <f>IF(AND(160&gt;=$NR$7,160&lt;=$NS$7),IF($NP$7="Single_Point",IF(160=$NR$7,$NN$7,0),IF($NP$7="Bell_Curve",$NN$7*(160-$NR$7+1)*($NS$7-160+1)/$NU$7,$NN$7/$NT$7)),0)</f>
        <v/>
      </c>
      <c r="FI7" s="402">
        <f>IF(AND(161&gt;=$NR$7,161&lt;=$NS$7),IF($NP$7="Single_Point",IF(161=$NR$7,$NN$7,0),IF($NP$7="Bell_Curve",$NN$7*(161-$NR$7+1)*($NS$7-161+1)/$NU$7,$NN$7/$NT$7)),0)</f>
        <v/>
      </c>
      <c r="FJ7" s="402">
        <f>IF(AND(162&gt;=$NR$7,162&lt;=$NS$7),IF($NP$7="Single_Point",IF(162=$NR$7,$NN$7,0),IF($NP$7="Bell_Curve",$NN$7*(162-$NR$7+1)*($NS$7-162+1)/$NU$7,$NN$7/$NT$7)),0)</f>
        <v/>
      </c>
      <c r="FK7" s="402">
        <f>IF(AND(163&gt;=$NR$7,163&lt;=$NS$7),IF($NP$7="Single_Point",IF(163=$NR$7,$NN$7,0),IF($NP$7="Bell_Curve",$NN$7*(163-$NR$7+1)*($NS$7-163+1)/$NU$7,$NN$7/$NT$7)),0)</f>
        <v/>
      </c>
      <c r="FL7" s="402">
        <f>IF(AND(164&gt;=$NR$7,164&lt;=$NS$7),IF($NP$7="Single_Point",IF(164=$NR$7,$NN$7,0),IF($NP$7="Bell_Curve",$NN$7*(164-$NR$7+1)*($NS$7-164+1)/$NU$7,$NN$7/$NT$7)),0)</f>
        <v/>
      </c>
      <c r="FM7" s="402">
        <f>IF(AND(165&gt;=$NR$7,165&lt;=$NS$7),IF($NP$7="Single_Point",IF(165=$NR$7,$NN$7,0),IF($NP$7="Bell_Curve",$NN$7*(165-$NR$7+1)*($NS$7-165+1)/$NU$7,$NN$7/$NT$7)),0)</f>
        <v/>
      </c>
      <c r="FN7" s="402">
        <f>IF(AND(166&gt;=$NR$7,166&lt;=$NS$7),IF($NP$7="Single_Point",IF(166=$NR$7,$NN$7,0),IF($NP$7="Bell_Curve",$NN$7*(166-$NR$7+1)*($NS$7-166+1)/$NU$7,$NN$7/$NT$7)),0)</f>
        <v/>
      </c>
      <c r="FO7" s="402">
        <f>IF(AND(167&gt;=$NR$7,167&lt;=$NS$7),IF($NP$7="Single_Point",IF(167=$NR$7,$NN$7,0),IF($NP$7="Bell_Curve",$NN$7*(167-$NR$7+1)*($NS$7-167+1)/$NU$7,$NN$7/$NT$7)),0)</f>
        <v/>
      </c>
      <c r="FP7" s="402">
        <f>IF(AND(168&gt;=$NR$7,168&lt;=$NS$7),IF($NP$7="Single_Point",IF(168=$NR$7,$NN$7,0),IF($NP$7="Bell_Curve",$NN$7*(168-$NR$7+1)*($NS$7-168+1)/$NU$7,$NN$7/$NT$7)),0)</f>
        <v/>
      </c>
      <c r="FQ7" s="402">
        <f>IF(AND(169&gt;=$NR$7,169&lt;=$NS$7),IF($NP$7="Single_Point",IF(169=$NR$7,$NN$7,0),IF($NP$7="Bell_Curve",$NN$7*(169-$NR$7+1)*($NS$7-169+1)/$NU$7,$NN$7/$NT$7)),0)</f>
        <v/>
      </c>
      <c r="FR7" s="402">
        <f>IF(AND(170&gt;=$NR$7,170&lt;=$NS$7),IF($NP$7="Single_Point",IF(170=$NR$7,$NN$7,0),IF($NP$7="Bell_Curve",$NN$7*(170-$NR$7+1)*($NS$7-170+1)/$NU$7,$NN$7/$NT$7)),0)</f>
        <v/>
      </c>
      <c r="FS7" s="402">
        <f>IF(AND(171&gt;=$NR$7,171&lt;=$NS$7),IF($NP$7="Single_Point",IF(171=$NR$7,$NN$7,0),IF($NP$7="Bell_Curve",$NN$7*(171-$NR$7+1)*($NS$7-171+1)/$NU$7,$NN$7/$NT$7)),0)</f>
        <v/>
      </c>
      <c r="FT7" s="402">
        <f>IF(AND(172&gt;=$NR$7,172&lt;=$NS$7),IF($NP$7="Single_Point",IF(172=$NR$7,$NN$7,0),IF($NP$7="Bell_Curve",$NN$7*(172-$NR$7+1)*($NS$7-172+1)/$NU$7,$NN$7/$NT$7)),0)</f>
        <v/>
      </c>
      <c r="FU7" s="402">
        <f>IF(AND(173&gt;=$NR$7,173&lt;=$NS$7),IF($NP$7="Single_Point",IF(173=$NR$7,$NN$7,0),IF($NP$7="Bell_Curve",$NN$7*(173-$NR$7+1)*($NS$7-173+1)/$NU$7,$NN$7/$NT$7)),0)</f>
        <v/>
      </c>
      <c r="FV7" s="402">
        <f>IF(AND(174&gt;=$NR$7,174&lt;=$NS$7),IF($NP$7="Single_Point",IF(174=$NR$7,$NN$7,0),IF($NP$7="Bell_Curve",$NN$7*(174-$NR$7+1)*($NS$7-174+1)/$NU$7,$NN$7/$NT$7)),0)</f>
        <v/>
      </c>
      <c r="FW7" s="402">
        <f>IF(AND(175&gt;=$NR$7,175&lt;=$NS$7),IF($NP$7="Single_Point",IF(175=$NR$7,$NN$7,0),IF($NP$7="Bell_Curve",$NN$7*(175-$NR$7+1)*($NS$7-175+1)/$NU$7,$NN$7/$NT$7)),0)</f>
        <v/>
      </c>
      <c r="FX7" s="402">
        <f>IF(AND(176&gt;=$NR$7,176&lt;=$NS$7),IF($NP$7="Single_Point",IF(176=$NR$7,$NN$7,0),IF($NP$7="Bell_Curve",$NN$7*(176-$NR$7+1)*($NS$7-176+1)/$NU$7,$NN$7/$NT$7)),0)</f>
        <v/>
      </c>
      <c r="FY7" s="402">
        <f>IF(AND(177&gt;=$NR$7,177&lt;=$NS$7),IF($NP$7="Single_Point",IF(177=$NR$7,$NN$7,0),IF($NP$7="Bell_Curve",$NN$7*(177-$NR$7+1)*($NS$7-177+1)/$NU$7,$NN$7/$NT$7)),0)</f>
        <v/>
      </c>
      <c r="FZ7" s="402">
        <f>IF(AND(178&gt;=$NR$7,178&lt;=$NS$7),IF($NP$7="Single_Point",IF(178=$NR$7,$NN$7,0),IF($NP$7="Bell_Curve",$NN$7*(178-$NR$7+1)*($NS$7-178+1)/$NU$7,$NN$7/$NT$7)),0)</f>
        <v/>
      </c>
      <c r="GA7" s="402">
        <f>IF(AND(179&gt;=$NR$7,179&lt;=$NS$7),IF($NP$7="Single_Point",IF(179=$NR$7,$NN$7,0),IF($NP$7="Bell_Curve",$NN$7*(179-$NR$7+1)*($NS$7-179+1)/$NU$7,$NN$7/$NT$7)),0)</f>
        <v/>
      </c>
      <c r="GB7" s="402">
        <f>IF(AND(180&gt;=$NR$7,180&lt;=$NS$7),IF($NP$7="Single_Point",IF(180=$NR$7,$NN$7,0),IF($NP$7="Bell_Curve",$NN$7*(180-$NR$7+1)*($NS$7-180+1)/$NU$7,$NN$7/$NT$7)),0)</f>
        <v/>
      </c>
      <c r="GC7" s="402">
        <f>IF(AND(181&gt;=$NR$7,181&lt;=$NS$7),IF($NP$7="Single_Point",IF(181=$NR$7,$NN$7,0),IF($NP$7="Bell_Curve",$NN$7*(181-$NR$7+1)*($NS$7-181+1)/$NU$7,$NN$7/$NT$7)),0)</f>
        <v/>
      </c>
      <c r="GD7" s="402">
        <f>IF(AND(182&gt;=$NR$7,182&lt;=$NS$7),IF($NP$7="Single_Point",IF(182=$NR$7,$NN$7,0),IF($NP$7="Bell_Curve",$NN$7*(182-$NR$7+1)*($NS$7-182+1)/$NU$7,$NN$7/$NT$7)),0)</f>
        <v/>
      </c>
      <c r="GE7" s="402">
        <f>IF(AND(183&gt;=$NR$7,183&lt;=$NS$7),IF($NP$7="Single_Point",IF(183=$NR$7,$NN$7,0),IF($NP$7="Bell_Curve",$NN$7*(183-$NR$7+1)*($NS$7-183+1)/$NU$7,$NN$7/$NT$7)),0)</f>
        <v/>
      </c>
      <c r="GF7" s="402">
        <f>IF(AND(184&gt;=$NR$7,184&lt;=$NS$7),IF($NP$7="Single_Point",IF(184=$NR$7,$NN$7,0),IF($NP$7="Bell_Curve",$NN$7*(184-$NR$7+1)*($NS$7-184+1)/$NU$7,$NN$7/$NT$7)),0)</f>
        <v/>
      </c>
      <c r="GG7" s="402">
        <f>IF(AND(185&gt;=$NR$7,185&lt;=$NS$7),IF($NP$7="Single_Point",IF(185=$NR$7,$NN$7,0),IF($NP$7="Bell_Curve",$NN$7*(185-$NR$7+1)*($NS$7-185+1)/$NU$7,$NN$7/$NT$7)),0)</f>
        <v/>
      </c>
      <c r="GH7" s="402">
        <f>IF(AND(186&gt;=$NR$7,186&lt;=$NS$7),IF($NP$7="Single_Point",IF(186=$NR$7,$NN$7,0),IF($NP$7="Bell_Curve",$NN$7*(186-$NR$7+1)*($NS$7-186+1)/$NU$7,$NN$7/$NT$7)),0)</f>
        <v/>
      </c>
      <c r="GI7" s="402">
        <f>IF(AND(187&gt;=$NR$7,187&lt;=$NS$7),IF($NP$7="Single_Point",IF(187=$NR$7,$NN$7,0),IF($NP$7="Bell_Curve",$NN$7*(187-$NR$7+1)*($NS$7-187+1)/$NU$7,$NN$7/$NT$7)),0)</f>
        <v/>
      </c>
      <c r="GJ7" s="402">
        <f>IF(AND(188&gt;=$NR$7,188&lt;=$NS$7),IF($NP$7="Single_Point",IF(188=$NR$7,$NN$7,0),IF($NP$7="Bell_Curve",$NN$7*(188-$NR$7+1)*($NS$7-188+1)/$NU$7,$NN$7/$NT$7)),0)</f>
        <v/>
      </c>
      <c r="GK7" s="402">
        <f>IF(AND(189&gt;=$NR$7,189&lt;=$NS$7),IF($NP$7="Single_Point",IF(189=$NR$7,$NN$7,0),IF($NP$7="Bell_Curve",$NN$7*(189-$NR$7+1)*($NS$7-189+1)/$NU$7,$NN$7/$NT$7)),0)</f>
        <v/>
      </c>
      <c r="GL7" s="402">
        <f>IF(AND(190&gt;=$NR$7,190&lt;=$NS$7),IF($NP$7="Single_Point",IF(190=$NR$7,$NN$7,0),IF($NP$7="Bell_Curve",$NN$7*(190-$NR$7+1)*($NS$7-190+1)/$NU$7,$NN$7/$NT$7)),0)</f>
        <v/>
      </c>
      <c r="GM7" s="402">
        <f>IF(AND(191&gt;=$NR$7,191&lt;=$NS$7),IF($NP$7="Single_Point",IF(191=$NR$7,$NN$7,0),IF($NP$7="Bell_Curve",$NN$7*(191-$NR$7+1)*($NS$7-191+1)/$NU$7,$NN$7/$NT$7)),0)</f>
        <v/>
      </c>
      <c r="GN7" s="402">
        <f>IF(AND(192&gt;=$NR$7,192&lt;=$NS$7),IF($NP$7="Single_Point",IF(192=$NR$7,$NN$7,0),IF($NP$7="Bell_Curve",$NN$7*(192-$NR$7+1)*($NS$7-192+1)/$NU$7,$NN$7/$NT$7)),0)</f>
        <v/>
      </c>
      <c r="GO7" s="402">
        <f>IF(AND(193&gt;=$NR$7,193&lt;=$NS$7),IF($NP$7="Single_Point",IF(193=$NR$7,$NN$7,0),IF($NP$7="Bell_Curve",$NN$7*(193-$NR$7+1)*($NS$7-193+1)/$NU$7,$NN$7/$NT$7)),0)</f>
        <v/>
      </c>
      <c r="GP7" s="402">
        <f>IF(AND(194&gt;=$NR$7,194&lt;=$NS$7),IF($NP$7="Single_Point",IF(194=$NR$7,$NN$7,0),IF($NP$7="Bell_Curve",$NN$7*(194-$NR$7+1)*($NS$7-194+1)/$NU$7,$NN$7/$NT$7)),0)</f>
        <v/>
      </c>
      <c r="GQ7" s="402">
        <f>IF(AND(195&gt;=$NR$7,195&lt;=$NS$7),IF($NP$7="Single_Point",IF(195=$NR$7,$NN$7,0),IF($NP$7="Bell_Curve",$NN$7*(195-$NR$7+1)*($NS$7-195+1)/$NU$7,$NN$7/$NT$7)),0)</f>
        <v/>
      </c>
      <c r="GR7" s="402">
        <f>IF(AND(196&gt;=$NR$7,196&lt;=$NS$7),IF($NP$7="Single_Point",IF(196=$NR$7,$NN$7,0),IF($NP$7="Bell_Curve",$NN$7*(196-$NR$7+1)*($NS$7-196+1)/$NU$7,$NN$7/$NT$7)),0)</f>
        <v/>
      </c>
      <c r="GS7" s="402">
        <f>IF(AND(197&gt;=$NR$7,197&lt;=$NS$7),IF($NP$7="Single_Point",IF(197=$NR$7,$NN$7,0),IF($NP$7="Bell_Curve",$NN$7*(197-$NR$7+1)*($NS$7-197+1)/$NU$7,$NN$7/$NT$7)),0)</f>
        <v/>
      </c>
      <c r="GT7" s="402">
        <f>IF(AND(198&gt;=$NR$7,198&lt;=$NS$7),IF($NP$7="Single_Point",IF(198=$NR$7,$NN$7,0),IF($NP$7="Bell_Curve",$NN$7*(198-$NR$7+1)*($NS$7-198+1)/$NU$7,$NN$7/$NT$7)),0)</f>
        <v/>
      </c>
      <c r="GU7" s="402">
        <f>IF(AND(199&gt;=$NR$7,199&lt;=$NS$7),IF($NP$7="Single_Point",IF(199=$NR$7,$NN$7,0),IF($NP$7="Bell_Curve",$NN$7*(199-$NR$7+1)*($NS$7-199+1)/$NU$7,$NN$7/$NT$7)),0)</f>
        <v/>
      </c>
      <c r="GV7" s="402">
        <f>IF(AND(200&gt;=$NR$7,200&lt;=$NS$7),IF($NP$7="Single_Point",IF(200=$NR$7,$NN$7,0),IF($NP$7="Bell_Curve",$NN$7*(200-$NR$7+1)*($NS$7-200+1)/$NU$7,$NN$7/$NT$7)),0)</f>
        <v/>
      </c>
      <c r="GW7" s="402">
        <f>IF(AND(201&gt;=$NR$7,201&lt;=$NS$7),IF($NP$7="Single_Point",IF(201=$NR$7,$NN$7,0),IF($NP$7="Bell_Curve",$NN$7*(201-$NR$7+1)*($NS$7-201+1)/$NU$7,$NN$7/$NT$7)),0)</f>
        <v/>
      </c>
      <c r="GX7" s="402">
        <f>IF(AND(202&gt;=$NR$7,202&lt;=$NS$7),IF($NP$7="Single_Point",IF(202=$NR$7,$NN$7,0),IF($NP$7="Bell_Curve",$NN$7*(202-$NR$7+1)*($NS$7-202+1)/$NU$7,$NN$7/$NT$7)),0)</f>
        <v/>
      </c>
      <c r="GY7" s="402">
        <f>IF(AND(203&gt;=$NR$7,203&lt;=$NS$7),IF($NP$7="Single_Point",IF(203=$NR$7,$NN$7,0),IF($NP$7="Bell_Curve",$NN$7*(203-$NR$7+1)*($NS$7-203+1)/$NU$7,$NN$7/$NT$7)),0)</f>
        <v/>
      </c>
      <c r="GZ7" s="402">
        <f>IF(AND(204&gt;=$NR$7,204&lt;=$NS$7),IF($NP$7="Single_Point",IF(204=$NR$7,$NN$7,0),IF($NP$7="Bell_Curve",$NN$7*(204-$NR$7+1)*($NS$7-204+1)/$NU$7,$NN$7/$NT$7)),0)</f>
        <v/>
      </c>
      <c r="HA7" s="402">
        <f>IF(AND(205&gt;=$NR$7,205&lt;=$NS$7),IF($NP$7="Single_Point",IF(205=$NR$7,$NN$7,0),IF($NP$7="Bell_Curve",$NN$7*(205-$NR$7+1)*($NS$7-205+1)/$NU$7,$NN$7/$NT$7)),0)</f>
        <v/>
      </c>
      <c r="HB7" s="402">
        <f>IF(AND(206&gt;=$NR$7,206&lt;=$NS$7),IF($NP$7="Single_Point",IF(206=$NR$7,$NN$7,0),IF($NP$7="Bell_Curve",$NN$7*(206-$NR$7+1)*($NS$7-206+1)/$NU$7,$NN$7/$NT$7)),0)</f>
        <v/>
      </c>
      <c r="HC7" s="402">
        <f>IF(AND(207&gt;=$NR$7,207&lt;=$NS$7),IF($NP$7="Single_Point",IF(207=$NR$7,$NN$7,0),IF($NP$7="Bell_Curve",$NN$7*(207-$NR$7+1)*($NS$7-207+1)/$NU$7,$NN$7/$NT$7)),0)</f>
        <v/>
      </c>
      <c r="HD7" s="402">
        <f>IF(AND(208&gt;=$NR$7,208&lt;=$NS$7),IF($NP$7="Single_Point",IF(208=$NR$7,$NN$7,0),IF($NP$7="Bell_Curve",$NN$7*(208-$NR$7+1)*($NS$7-208+1)/$NU$7,$NN$7/$NT$7)),0)</f>
        <v/>
      </c>
      <c r="HE7" s="402">
        <f>IF(AND(209&gt;=$NR$7,209&lt;=$NS$7),IF($NP$7="Single_Point",IF(209=$NR$7,$NN$7,0),IF($NP$7="Bell_Curve",$NN$7*(209-$NR$7+1)*($NS$7-209+1)/$NU$7,$NN$7/$NT$7)),0)</f>
        <v/>
      </c>
      <c r="HF7" s="402">
        <f>IF(AND(210&gt;=$NR$7,210&lt;=$NS$7),IF($NP$7="Single_Point",IF(210=$NR$7,$NN$7,0),IF($NP$7="Bell_Curve",$NN$7*(210-$NR$7+1)*($NS$7-210+1)/$NU$7,$NN$7/$NT$7)),0)</f>
        <v/>
      </c>
      <c r="HG7" s="402">
        <f>IF(AND(211&gt;=$NR$7,211&lt;=$NS$7),IF($NP$7="Single_Point",IF(211=$NR$7,$NN$7,0),IF($NP$7="Bell_Curve",$NN$7*(211-$NR$7+1)*($NS$7-211+1)/$NU$7,$NN$7/$NT$7)),0)</f>
        <v/>
      </c>
      <c r="HH7" s="402">
        <f>IF(AND(212&gt;=$NR$7,212&lt;=$NS$7),IF($NP$7="Single_Point",IF(212=$NR$7,$NN$7,0),IF($NP$7="Bell_Curve",$NN$7*(212-$NR$7+1)*($NS$7-212+1)/$NU$7,$NN$7/$NT$7)),0)</f>
        <v/>
      </c>
      <c r="HI7" s="402">
        <f>IF(AND(213&gt;=$NR$7,213&lt;=$NS$7),IF($NP$7="Single_Point",IF(213=$NR$7,$NN$7,0),IF($NP$7="Bell_Curve",$NN$7*(213-$NR$7+1)*($NS$7-213+1)/$NU$7,$NN$7/$NT$7)),0)</f>
        <v/>
      </c>
      <c r="HJ7" s="402">
        <f>IF(AND(214&gt;=$NR$7,214&lt;=$NS$7),IF($NP$7="Single_Point",IF(214=$NR$7,$NN$7,0),IF($NP$7="Bell_Curve",$NN$7*(214-$NR$7+1)*($NS$7-214+1)/$NU$7,$NN$7/$NT$7)),0)</f>
        <v/>
      </c>
      <c r="HK7" s="402">
        <f>IF(AND(215&gt;=$NR$7,215&lt;=$NS$7),IF($NP$7="Single_Point",IF(215=$NR$7,$NN$7,0),IF($NP$7="Bell_Curve",$NN$7*(215-$NR$7+1)*($NS$7-215+1)/$NU$7,$NN$7/$NT$7)),0)</f>
        <v/>
      </c>
      <c r="HL7" s="402">
        <f>IF(AND(216&gt;=$NR$7,216&lt;=$NS$7),IF($NP$7="Single_Point",IF(216=$NR$7,$NN$7,0),IF($NP$7="Bell_Curve",$NN$7*(216-$NR$7+1)*($NS$7-216+1)/$NU$7,$NN$7/$NT$7)),0)</f>
        <v/>
      </c>
      <c r="HM7" s="402">
        <f>IF(AND(217&gt;=$NR$7,217&lt;=$NS$7),IF($NP$7="Single_Point",IF(217=$NR$7,$NN$7,0),IF($NP$7="Bell_Curve",$NN$7*(217-$NR$7+1)*($NS$7-217+1)/$NU$7,$NN$7/$NT$7)),0)</f>
        <v/>
      </c>
      <c r="HN7" s="402">
        <f>IF(AND(218&gt;=$NR$7,218&lt;=$NS$7),IF($NP$7="Single_Point",IF(218=$NR$7,$NN$7,0),IF($NP$7="Bell_Curve",$NN$7*(218-$NR$7+1)*($NS$7-218+1)/$NU$7,$NN$7/$NT$7)),0)</f>
        <v/>
      </c>
      <c r="HO7" s="402">
        <f>IF(AND(219&gt;=$NR$7,219&lt;=$NS$7),IF($NP$7="Single_Point",IF(219=$NR$7,$NN$7,0),IF($NP$7="Bell_Curve",$NN$7*(219-$NR$7+1)*($NS$7-219+1)/$NU$7,$NN$7/$NT$7)),0)</f>
        <v/>
      </c>
      <c r="HP7" s="402">
        <f>IF(AND(220&gt;=$NR$7,220&lt;=$NS$7),IF($NP$7="Single_Point",IF(220=$NR$7,$NN$7,0),IF($NP$7="Bell_Curve",$NN$7*(220-$NR$7+1)*($NS$7-220+1)/$NU$7,$NN$7/$NT$7)),0)</f>
        <v/>
      </c>
      <c r="HQ7" s="402">
        <f>IF(AND(221&gt;=$NR$7,221&lt;=$NS$7),IF($NP$7="Single_Point",IF(221=$NR$7,$NN$7,0),IF($NP$7="Bell_Curve",$NN$7*(221-$NR$7+1)*($NS$7-221+1)/$NU$7,$NN$7/$NT$7)),0)</f>
        <v/>
      </c>
      <c r="HR7" s="402">
        <f>IF(AND(222&gt;=$NR$7,222&lt;=$NS$7),IF($NP$7="Single_Point",IF(222=$NR$7,$NN$7,0),IF($NP$7="Bell_Curve",$NN$7*(222-$NR$7+1)*($NS$7-222+1)/$NU$7,$NN$7/$NT$7)),0)</f>
        <v/>
      </c>
      <c r="HS7" s="402">
        <f>IF(AND(223&gt;=$NR$7,223&lt;=$NS$7),IF($NP$7="Single_Point",IF(223=$NR$7,$NN$7,0),IF($NP$7="Bell_Curve",$NN$7*(223-$NR$7+1)*($NS$7-223+1)/$NU$7,$NN$7/$NT$7)),0)</f>
        <v/>
      </c>
      <c r="HT7" s="402">
        <f>IF(AND(224&gt;=$NR$7,224&lt;=$NS$7),IF($NP$7="Single_Point",IF(224=$NR$7,$NN$7,0),IF($NP$7="Bell_Curve",$NN$7*(224-$NR$7+1)*($NS$7-224+1)/$NU$7,$NN$7/$NT$7)),0)</f>
        <v/>
      </c>
      <c r="HU7" s="402">
        <f>IF(AND(225&gt;=$NR$7,225&lt;=$NS$7),IF($NP$7="Single_Point",IF(225=$NR$7,$NN$7,0),IF($NP$7="Bell_Curve",$NN$7*(225-$NR$7+1)*($NS$7-225+1)/$NU$7,$NN$7/$NT$7)),0)</f>
        <v/>
      </c>
      <c r="HV7" s="402">
        <f>IF(AND(226&gt;=$NR$7,226&lt;=$NS$7),IF($NP$7="Single_Point",IF(226=$NR$7,$NN$7,0),IF($NP$7="Bell_Curve",$NN$7*(226-$NR$7+1)*($NS$7-226+1)/$NU$7,$NN$7/$NT$7)),0)</f>
        <v/>
      </c>
      <c r="HW7" s="402">
        <f>IF(AND(227&gt;=$NR$7,227&lt;=$NS$7),IF($NP$7="Single_Point",IF(227=$NR$7,$NN$7,0),IF($NP$7="Bell_Curve",$NN$7*(227-$NR$7+1)*($NS$7-227+1)/$NU$7,$NN$7/$NT$7)),0)</f>
        <v/>
      </c>
      <c r="HX7" s="402">
        <f>IF(AND(228&gt;=$NR$7,228&lt;=$NS$7),IF($NP$7="Single_Point",IF(228=$NR$7,$NN$7,0),IF($NP$7="Bell_Curve",$NN$7*(228-$NR$7+1)*($NS$7-228+1)/$NU$7,$NN$7/$NT$7)),0)</f>
        <v/>
      </c>
      <c r="HY7" s="402">
        <f>IF(AND(229&gt;=$NR$7,229&lt;=$NS$7),IF($NP$7="Single_Point",IF(229=$NR$7,$NN$7,0),IF($NP$7="Bell_Curve",$NN$7*(229-$NR$7+1)*($NS$7-229+1)/$NU$7,$NN$7/$NT$7)),0)</f>
        <v/>
      </c>
      <c r="HZ7" s="402">
        <f>IF(AND(230&gt;=$NR$7,230&lt;=$NS$7),IF($NP$7="Single_Point",IF(230=$NR$7,$NN$7,0),IF($NP$7="Bell_Curve",$NN$7*(230-$NR$7+1)*($NS$7-230+1)/$NU$7,$NN$7/$NT$7)),0)</f>
        <v/>
      </c>
      <c r="IA7" s="402">
        <f>IF(AND(231&gt;=$NR$7,231&lt;=$NS$7),IF($NP$7="Single_Point",IF(231=$NR$7,$NN$7,0),IF($NP$7="Bell_Curve",$NN$7*(231-$NR$7+1)*($NS$7-231+1)/$NU$7,$NN$7/$NT$7)),0)</f>
        <v/>
      </c>
      <c r="IB7" s="402">
        <f>IF(AND(232&gt;=$NR$7,232&lt;=$NS$7),IF($NP$7="Single_Point",IF(232=$NR$7,$NN$7,0),IF($NP$7="Bell_Curve",$NN$7*(232-$NR$7+1)*($NS$7-232+1)/$NU$7,$NN$7/$NT$7)),0)</f>
        <v/>
      </c>
      <c r="IC7" s="402">
        <f>IF(AND(233&gt;=$NR$7,233&lt;=$NS$7),IF($NP$7="Single_Point",IF(233=$NR$7,$NN$7,0),IF($NP$7="Bell_Curve",$NN$7*(233-$NR$7+1)*($NS$7-233+1)/$NU$7,$NN$7/$NT$7)),0)</f>
        <v/>
      </c>
      <c r="ID7" s="402">
        <f>IF(AND(234&gt;=$NR$7,234&lt;=$NS$7),IF($NP$7="Single_Point",IF(234=$NR$7,$NN$7,0),IF($NP$7="Bell_Curve",$NN$7*(234-$NR$7+1)*($NS$7-234+1)/$NU$7,$NN$7/$NT$7)),0)</f>
        <v/>
      </c>
      <c r="IE7" s="402">
        <f>IF(AND(235&gt;=$NR$7,235&lt;=$NS$7),IF($NP$7="Single_Point",IF(235=$NR$7,$NN$7,0),IF($NP$7="Bell_Curve",$NN$7*(235-$NR$7+1)*($NS$7-235+1)/$NU$7,$NN$7/$NT$7)),0)</f>
        <v/>
      </c>
      <c r="IF7" s="402">
        <f>IF(AND(236&gt;=$NR$7,236&lt;=$NS$7),IF($NP$7="Single_Point",IF(236=$NR$7,$NN$7,0),IF($NP$7="Bell_Curve",$NN$7*(236-$NR$7+1)*($NS$7-236+1)/$NU$7,$NN$7/$NT$7)),0)</f>
        <v/>
      </c>
      <c r="IG7" s="402">
        <f>IF(AND(237&gt;=$NR$7,237&lt;=$NS$7),IF($NP$7="Single_Point",IF(237=$NR$7,$NN$7,0),IF($NP$7="Bell_Curve",$NN$7*(237-$NR$7+1)*($NS$7-237+1)/$NU$7,$NN$7/$NT$7)),0)</f>
        <v/>
      </c>
      <c r="IH7" s="402">
        <f>IF(AND(238&gt;=$NR$7,238&lt;=$NS$7),IF($NP$7="Single_Point",IF(238=$NR$7,$NN$7,0),IF($NP$7="Bell_Curve",$NN$7*(238-$NR$7+1)*($NS$7-238+1)/$NU$7,$NN$7/$NT$7)),0)</f>
        <v/>
      </c>
      <c r="II7" s="402">
        <f>IF(AND(239&gt;=$NR$7,239&lt;=$NS$7),IF($NP$7="Single_Point",IF(239=$NR$7,$NN$7,0),IF($NP$7="Bell_Curve",$NN$7*(239-$NR$7+1)*($NS$7-239+1)/$NU$7,$NN$7/$NT$7)),0)</f>
        <v/>
      </c>
      <c r="IJ7" s="402">
        <f>IF(AND(240&gt;=$NR$7,240&lt;=$NS$7),IF($NP$7="Single_Point",IF(240=$NR$7,$NN$7,0),IF($NP$7="Bell_Curve",$NN$7*(240-$NR$7+1)*($NS$7-240+1)/$NU$7,$NN$7/$NT$7)),0)</f>
        <v/>
      </c>
      <c r="IK7" s="402">
        <f>IF(AND(241&gt;=$NR$7,241&lt;=$NS$7),IF($NP$7="Single_Point",IF(241=$NR$7,$NN$7,0),IF($NP$7="Bell_Curve",$NN$7*(241-$NR$7+1)*($NS$7-241+1)/$NU$7,$NN$7/$NT$7)),0)</f>
        <v/>
      </c>
      <c r="IL7" s="402">
        <f>IF(AND(242&gt;=$NR$7,242&lt;=$NS$7),IF($NP$7="Single_Point",IF(242=$NR$7,$NN$7,0),IF($NP$7="Bell_Curve",$NN$7*(242-$NR$7+1)*($NS$7-242+1)/$NU$7,$NN$7/$NT$7)),0)</f>
        <v/>
      </c>
      <c r="IM7" s="402">
        <f>IF(AND(243&gt;=$NR$7,243&lt;=$NS$7),IF($NP$7="Single_Point",IF(243=$NR$7,$NN$7,0),IF($NP$7="Bell_Curve",$NN$7*(243-$NR$7+1)*($NS$7-243+1)/$NU$7,$NN$7/$NT$7)),0)</f>
        <v/>
      </c>
      <c r="IN7" s="402">
        <f>IF(AND(244&gt;=$NR$7,244&lt;=$NS$7),IF($NP$7="Single_Point",IF(244=$NR$7,$NN$7,0),IF($NP$7="Bell_Curve",$NN$7*(244-$NR$7+1)*($NS$7-244+1)/$NU$7,$NN$7/$NT$7)),0)</f>
        <v/>
      </c>
      <c r="IO7" s="402">
        <f>IF(AND(245&gt;=$NR$7,245&lt;=$NS$7),IF($NP$7="Single_Point",IF(245=$NR$7,$NN$7,0),IF($NP$7="Bell_Curve",$NN$7*(245-$NR$7+1)*($NS$7-245+1)/$NU$7,$NN$7/$NT$7)),0)</f>
        <v/>
      </c>
      <c r="IP7" s="402">
        <f>IF(AND(246&gt;=$NR$7,246&lt;=$NS$7),IF($NP$7="Single_Point",IF(246=$NR$7,$NN$7,0),IF($NP$7="Bell_Curve",$NN$7*(246-$NR$7+1)*($NS$7-246+1)/$NU$7,$NN$7/$NT$7)),0)</f>
        <v/>
      </c>
      <c r="IQ7" s="402">
        <f>IF(AND(247&gt;=$NR$7,247&lt;=$NS$7),IF($NP$7="Single_Point",IF(247=$NR$7,$NN$7,0),IF($NP$7="Bell_Curve",$NN$7*(247-$NR$7+1)*($NS$7-247+1)/$NU$7,$NN$7/$NT$7)),0)</f>
        <v/>
      </c>
      <c r="IR7" s="402">
        <f>IF(AND(248&gt;=$NR$7,248&lt;=$NS$7),IF($NP$7="Single_Point",IF(248=$NR$7,$NN$7,0),IF($NP$7="Bell_Curve",$NN$7*(248-$NR$7+1)*($NS$7-248+1)/$NU$7,$NN$7/$NT$7)),0)</f>
        <v/>
      </c>
      <c r="IS7" s="402">
        <f>IF(AND(249&gt;=$NR$7,249&lt;=$NS$7),IF($NP$7="Single_Point",IF(249=$NR$7,$NN$7,0),IF($NP$7="Bell_Curve",$NN$7*(249-$NR$7+1)*($NS$7-249+1)/$NU$7,$NN$7/$NT$7)),0)</f>
        <v/>
      </c>
      <c r="IT7" s="402">
        <f>IF(AND(250&gt;=$NR$7,250&lt;=$NS$7),IF($NP$7="Single_Point",IF(250=$NR$7,$NN$7,0),IF($NP$7="Bell_Curve",$NN$7*(250-$NR$7+1)*($NS$7-250+1)/$NU$7,$NN$7/$NT$7)),0)</f>
        <v/>
      </c>
      <c r="IU7" s="402">
        <f>IF(AND(251&gt;=$NR$7,251&lt;=$NS$7),IF($NP$7="Single_Point",IF(251=$NR$7,$NN$7,0),IF($NP$7="Bell_Curve",$NN$7*(251-$NR$7+1)*($NS$7-251+1)/$NU$7,$NN$7/$NT$7)),0)</f>
        <v/>
      </c>
      <c r="IV7" s="402">
        <f>IF(AND(252&gt;=$NR$7,252&lt;=$NS$7),IF($NP$7="Single_Point",IF(252=$NR$7,$NN$7,0),IF($NP$7="Bell_Curve",$NN$7*(252-$NR$7+1)*($NS$7-252+1)/$NU$7,$NN$7/$NT$7)),0)</f>
        <v/>
      </c>
      <c r="IW7" s="402">
        <f>IF(AND(253&gt;=$NR$7,253&lt;=$NS$7),IF($NP$7="Single_Point",IF(253=$NR$7,$NN$7,0),IF($NP$7="Bell_Curve",$NN$7*(253-$NR$7+1)*($NS$7-253+1)/$NU$7,$NN$7/$NT$7)),0)</f>
        <v/>
      </c>
      <c r="IX7" s="402">
        <f>IF(AND(254&gt;=$NR$7,254&lt;=$NS$7),IF($NP$7="Single_Point",IF(254=$NR$7,$NN$7,0),IF($NP$7="Bell_Curve",$NN$7*(254-$NR$7+1)*($NS$7-254+1)/$NU$7,$NN$7/$NT$7)),0)</f>
        <v/>
      </c>
      <c r="IY7" s="402">
        <f>IF(AND(255&gt;=$NR$7,255&lt;=$NS$7),IF($NP$7="Single_Point",IF(255=$NR$7,$NN$7,0),IF($NP$7="Bell_Curve",$NN$7*(255-$NR$7+1)*($NS$7-255+1)/$NU$7,$NN$7/$NT$7)),0)</f>
        <v/>
      </c>
      <c r="IZ7" s="402">
        <f>IF(AND(256&gt;=$NR$7,256&lt;=$NS$7),IF($NP$7="Single_Point",IF(256=$NR$7,$NN$7,0),IF($NP$7="Bell_Curve",$NN$7*(256-$NR$7+1)*($NS$7-256+1)/$NU$7,$NN$7/$NT$7)),0)</f>
        <v/>
      </c>
      <c r="JA7" s="402">
        <f>IF(AND(257&gt;=$NR$7,257&lt;=$NS$7),IF($NP$7="Single_Point",IF(257=$NR$7,$NN$7,0),IF($NP$7="Bell_Curve",$NN$7*(257-$NR$7+1)*($NS$7-257+1)/$NU$7,$NN$7/$NT$7)),0)</f>
        <v/>
      </c>
      <c r="JB7" s="402">
        <f>IF(AND(258&gt;=$NR$7,258&lt;=$NS$7),IF($NP$7="Single_Point",IF(258=$NR$7,$NN$7,0),IF($NP$7="Bell_Curve",$NN$7*(258-$NR$7+1)*($NS$7-258+1)/$NU$7,$NN$7/$NT$7)),0)</f>
        <v/>
      </c>
      <c r="JC7" s="402">
        <f>IF(AND(259&gt;=$NR$7,259&lt;=$NS$7),IF($NP$7="Single_Point",IF(259=$NR$7,$NN$7,0),IF($NP$7="Bell_Curve",$NN$7*(259-$NR$7+1)*($NS$7-259+1)/$NU$7,$NN$7/$NT$7)),0)</f>
        <v/>
      </c>
      <c r="JD7" s="402">
        <f>IF(AND(260&gt;=$NR$7,260&lt;=$NS$7),IF($NP$7="Single_Point",IF(260=$NR$7,$NN$7,0),IF($NP$7="Bell_Curve",$NN$7*(260-$NR$7+1)*($NS$7-260+1)/$NU$7,$NN$7/$NT$7)),0)</f>
        <v/>
      </c>
      <c r="JE7" s="402">
        <f>IF(AND(261&gt;=$NR$7,261&lt;=$NS$7),IF($NP$7="Single_Point",IF(261=$NR$7,$NN$7,0),IF($NP$7="Bell_Curve",$NN$7*(261-$NR$7+1)*($NS$7-261+1)/$NU$7,$NN$7/$NT$7)),0)</f>
        <v/>
      </c>
      <c r="JF7" s="402">
        <f>IF(AND(262&gt;=$NR$7,262&lt;=$NS$7),IF($NP$7="Single_Point",IF(262=$NR$7,$NN$7,0),IF($NP$7="Bell_Curve",$NN$7*(262-$NR$7+1)*($NS$7-262+1)/$NU$7,$NN$7/$NT$7)),0)</f>
        <v/>
      </c>
      <c r="JG7" s="402">
        <f>IF(AND(263&gt;=$NR$7,263&lt;=$NS$7),IF($NP$7="Single_Point",IF(263=$NR$7,$NN$7,0),IF($NP$7="Bell_Curve",$NN$7*(263-$NR$7+1)*($NS$7-263+1)/$NU$7,$NN$7/$NT$7)),0)</f>
        <v/>
      </c>
      <c r="JH7" s="402">
        <f>IF(AND(264&gt;=$NR$7,264&lt;=$NS$7),IF($NP$7="Single_Point",IF(264=$NR$7,$NN$7,0),IF($NP$7="Bell_Curve",$NN$7*(264-$NR$7+1)*($NS$7-264+1)/$NU$7,$NN$7/$NT$7)),0)</f>
        <v/>
      </c>
      <c r="JI7" s="402">
        <f>IF(AND(265&gt;=$NR$7,265&lt;=$NS$7),IF($NP$7="Single_Point",IF(265=$NR$7,$NN$7,0),IF($NP$7="Bell_Curve",$NN$7*(265-$NR$7+1)*($NS$7-265+1)/$NU$7,$NN$7/$NT$7)),0)</f>
        <v/>
      </c>
      <c r="JJ7" s="402">
        <f>IF(AND(266&gt;=$NR$7,266&lt;=$NS$7),IF($NP$7="Single_Point",IF(266=$NR$7,$NN$7,0),IF($NP$7="Bell_Curve",$NN$7*(266-$NR$7+1)*($NS$7-266+1)/$NU$7,$NN$7/$NT$7)),0)</f>
        <v/>
      </c>
      <c r="JK7" s="402">
        <f>IF(AND(267&gt;=$NR$7,267&lt;=$NS$7),IF($NP$7="Single_Point",IF(267=$NR$7,$NN$7,0),IF($NP$7="Bell_Curve",$NN$7*(267-$NR$7+1)*($NS$7-267+1)/$NU$7,$NN$7/$NT$7)),0)</f>
        <v/>
      </c>
      <c r="JL7" s="402">
        <f>IF(AND(268&gt;=$NR$7,268&lt;=$NS$7),IF($NP$7="Single_Point",IF(268=$NR$7,$NN$7,0),IF($NP$7="Bell_Curve",$NN$7*(268-$NR$7+1)*($NS$7-268+1)/$NU$7,$NN$7/$NT$7)),0)</f>
        <v/>
      </c>
      <c r="JM7" s="402">
        <f>IF(AND(269&gt;=$NR$7,269&lt;=$NS$7),IF($NP$7="Single_Point",IF(269=$NR$7,$NN$7,0),IF($NP$7="Bell_Curve",$NN$7*(269-$NR$7+1)*($NS$7-269+1)/$NU$7,$NN$7/$NT$7)),0)</f>
        <v/>
      </c>
      <c r="JN7" s="402">
        <f>IF(AND(270&gt;=$NR$7,270&lt;=$NS$7),IF($NP$7="Single_Point",IF(270=$NR$7,$NN$7,0),IF($NP$7="Bell_Curve",$NN$7*(270-$NR$7+1)*($NS$7-270+1)/$NU$7,$NN$7/$NT$7)),0)</f>
        <v/>
      </c>
      <c r="JO7" s="402">
        <f>IF(AND(271&gt;=$NR$7,271&lt;=$NS$7),IF($NP$7="Single_Point",IF(271=$NR$7,$NN$7,0),IF($NP$7="Bell_Curve",$NN$7*(271-$NR$7+1)*($NS$7-271+1)/$NU$7,$NN$7/$NT$7)),0)</f>
        <v/>
      </c>
      <c r="JP7" s="402">
        <f>IF(AND(272&gt;=$NR$7,272&lt;=$NS$7),IF($NP$7="Single_Point",IF(272=$NR$7,$NN$7,0),IF($NP$7="Bell_Curve",$NN$7*(272-$NR$7+1)*($NS$7-272+1)/$NU$7,$NN$7/$NT$7)),0)</f>
        <v/>
      </c>
      <c r="JQ7" s="402">
        <f>IF(AND(273&gt;=$NR$7,273&lt;=$NS$7),IF($NP$7="Single_Point",IF(273=$NR$7,$NN$7,0),IF($NP$7="Bell_Curve",$NN$7*(273-$NR$7+1)*($NS$7-273+1)/$NU$7,$NN$7/$NT$7)),0)</f>
        <v/>
      </c>
      <c r="JR7" s="402">
        <f>IF(AND(274&gt;=$NR$7,274&lt;=$NS$7),IF($NP$7="Single_Point",IF(274=$NR$7,$NN$7,0),IF($NP$7="Bell_Curve",$NN$7*(274-$NR$7+1)*($NS$7-274+1)/$NU$7,$NN$7/$NT$7)),0)</f>
        <v/>
      </c>
      <c r="JS7" s="402">
        <f>IF(AND(275&gt;=$NR$7,275&lt;=$NS$7),IF($NP$7="Single_Point",IF(275=$NR$7,$NN$7,0),IF($NP$7="Bell_Curve",$NN$7*(275-$NR$7+1)*($NS$7-275+1)/$NU$7,$NN$7/$NT$7)),0)</f>
        <v/>
      </c>
      <c r="JT7" s="402">
        <f>IF(AND(276&gt;=$NR$7,276&lt;=$NS$7),IF($NP$7="Single_Point",IF(276=$NR$7,$NN$7,0),IF($NP$7="Bell_Curve",$NN$7*(276-$NR$7+1)*($NS$7-276+1)/$NU$7,$NN$7/$NT$7)),0)</f>
        <v/>
      </c>
      <c r="JU7" s="402">
        <f>IF(AND(277&gt;=$NR$7,277&lt;=$NS$7),IF($NP$7="Single_Point",IF(277=$NR$7,$NN$7,0),IF($NP$7="Bell_Curve",$NN$7*(277-$NR$7+1)*($NS$7-277+1)/$NU$7,$NN$7/$NT$7)),0)</f>
        <v/>
      </c>
      <c r="JV7" s="402">
        <f>IF(AND(278&gt;=$NR$7,278&lt;=$NS$7),IF($NP$7="Single_Point",IF(278=$NR$7,$NN$7,0),IF($NP$7="Bell_Curve",$NN$7*(278-$NR$7+1)*($NS$7-278+1)/$NU$7,$NN$7/$NT$7)),0)</f>
        <v/>
      </c>
      <c r="JW7" s="402">
        <f>IF(AND(279&gt;=$NR$7,279&lt;=$NS$7),IF($NP$7="Single_Point",IF(279=$NR$7,$NN$7,0),IF($NP$7="Bell_Curve",$NN$7*(279-$NR$7+1)*($NS$7-279+1)/$NU$7,$NN$7/$NT$7)),0)</f>
        <v/>
      </c>
      <c r="JX7" s="402">
        <f>IF(AND(280&gt;=$NR$7,280&lt;=$NS$7),IF($NP$7="Single_Point",IF(280=$NR$7,$NN$7,0),IF($NP$7="Bell_Curve",$NN$7*(280-$NR$7+1)*($NS$7-280+1)/$NU$7,$NN$7/$NT$7)),0)</f>
        <v/>
      </c>
      <c r="JY7" s="402">
        <f>IF(AND(281&gt;=$NR$7,281&lt;=$NS$7),IF($NP$7="Single_Point",IF(281=$NR$7,$NN$7,0),IF($NP$7="Bell_Curve",$NN$7*(281-$NR$7+1)*($NS$7-281+1)/$NU$7,$NN$7/$NT$7)),0)</f>
        <v/>
      </c>
      <c r="JZ7" s="402">
        <f>IF(AND(282&gt;=$NR$7,282&lt;=$NS$7),IF($NP$7="Single_Point",IF(282=$NR$7,$NN$7,0),IF($NP$7="Bell_Curve",$NN$7*(282-$NR$7+1)*($NS$7-282+1)/$NU$7,$NN$7/$NT$7)),0)</f>
        <v/>
      </c>
      <c r="KA7" s="402">
        <f>IF(AND(283&gt;=$NR$7,283&lt;=$NS$7),IF($NP$7="Single_Point",IF(283=$NR$7,$NN$7,0),IF($NP$7="Bell_Curve",$NN$7*(283-$NR$7+1)*($NS$7-283+1)/$NU$7,$NN$7/$NT$7)),0)</f>
        <v/>
      </c>
      <c r="KB7" s="402">
        <f>IF(AND(284&gt;=$NR$7,284&lt;=$NS$7),IF($NP$7="Single_Point",IF(284=$NR$7,$NN$7,0),IF($NP$7="Bell_Curve",$NN$7*(284-$NR$7+1)*($NS$7-284+1)/$NU$7,$NN$7/$NT$7)),0)</f>
        <v/>
      </c>
      <c r="KC7" s="402">
        <f>IF(AND(285&gt;=$NR$7,285&lt;=$NS$7),IF($NP$7="Single_Point",IF(285=$NR$7,$NN$7,0),IF($NP$7="Bell_Curve",$NN$7*(285-$NR$7+1)*($NS$7-285+1)/$NU$7,$NN$7/$NT$7)),0)</f>
        <v/>
      </c>
      <c r="KD7" s="402">
        <f>IF(AND(286&gt;=$NR$7,286&lt;=$NS$7),IF($NP$7="Single_Point",IF(286=$NR$7,$NN$7,0),IF($NP$7="Bell_Curve",$NN$7*(286-$NR$7+1)*($NS$7-286+1)/$NU$7,$NN$7/$NT$7)),0)</f>
        <v/>
      </c>
      <c r="KE7" s="402">
        <f>IF(AND(287&gt;=$NR$7,287&lt;=$NS$7),IF($NP$7="Single_Point",IF(287=$NR$7,$NN$7,0),IF($NP$7="Bell_Curve",$NN$7*(287-$NR$7+1)*($NS$7-287+1)/$NU$7,$NN$7/$NT$7)),0)</f>
        <v/>
      </c>
      <c r="KF7" s="402">
        <f>IF(AND(288&gt;=$NR$7,288&lt;=$NS$7),IF($NP$7="Single_Point",IF(288=$NR$7,$NN$7,0),IF($NP$7="Bell_Curve",$NN$7*(288-$NR$7+1)*($NS$7-288+1)/$NU$7,$NN$7/$NT$7)),0)</f>
        <v/>
      </c>
      <c r="KG7" s="402">
        <f>IF(AND(289&gt;=$NR$7,289&lt;=$NS$7),IF($NP$7="Single_Point",IF(289=$NR$7,$NN$7,0),IF($NP$7="Bell_Curve",$NN$7*(289-$NR$7+1)*($NS$7-289+1)/$NU$7,$NN$7/$NT$7)),0)</f>
        <v/>
      </c>
      <c r="KH7" s="402">
        <f>IF(AND(290&gt;=$NR$7,290&lt;=$NS$7),IF($NP$7="Single_Point",IF(290=$NR$7,$NN$7,0),IF($NP$7="Bell_Curve",$NN$7*(290-$NR$7+1)*($NS$7-290+1)/$NU$7,$NN$7/$NT$7)),0)</f>
        <v/>
      </c>
      <c r="KI7" s="402">
        <f>IF(AND(291&gt;=$NR$7,291&lt;=$NS$7),IF($NP$7="Single_Point",IF(291=$NR$7,$NN$7,0),IF($NP$7="Bell_Curve",$NN$7*(291-$NR$7+1)*($NS$7-291+1)/$NU$7,$NN$7/$NT$7)),0)</f>
        <v/>
      </c>
      <c r="KJ7" s="402">
        <f>IF(AND(292&gt;=$NR$7,292&lt;=$NS$7),IF($NP$7="Single_Point",IF(292=$NR$7,$NN$7,0),IF($NP$7="Bell_Curve",$NN$7*(292-$NR$7+1)*($NS$7-292+1)/$NU$7,$NN$7/$NT$7)),0)</f>
        <v/>
      </c>
      <c r="KK7" s="402">
        <f>IF(AND(293&gt;=$NR$7,293&lt;=$NS$7),IF($NP$7="Single_Point",IF(293=$NR$7,$NN$7,0),IF($NP$7="Bell_Curve",$NN$7*(293-$NR$7+1)*($NS$7-293+1)/$NU$7,$NN$7/$NT$7)),0)</f>
        <v/>
      </c>
      <c r="KL7" s="402">
        <f>IF(AND(294&gt;=$NR$7,294&lt;=$NS$7),IF($NP$7="Single_Point",IF(294=$NR$7,$NN$7,0),IF($NP$7="Bell_Curve",$NN$7*(294-$NR$7+1)*($NS$7-294+1)/$NU$7,$NN$7/$NT$7)),0)</f>
        <v/>
      </c>
      <c r="KM7" s="402">
        <f>IF(AND(295&gt;=$NR$7,295&lt;=$NS$7),IF($NP$7="Single_Point",IF(295=$NR$7,$NN$7,0),IF($NP$7="Bell_Curve",$NN$7*(295-$NR$7+1)*($NS$7-295+1)/$NU$7,$NN$7/$NT$7)),0)</f>
        <v/>
      </c>
      <c r="KN7" s="402">
        <f>IF(AND(296&gt;=$NR$7,296&lt;=$NS$7),IF($NP$7="Single_Point",IF(296=$NR$7,$NN$7,0),IF($NP$7="Bell_Curve",$NN$7*(296-$NR$7+1)*($NS$7-296+1)/$NU$7,$NN$7/$NT$7)),0)</f>
        <v/>
      </c>
      <c r="KO7" s="402">
        <f>IF(AND(297&gt;=$NR$7,297&lt;=$NS$7),IF($NP$7="Single_Point",IF(297=$NR$7,$NN$7,0),IF($NP$7="Bell_Curve",$NN$7*(297-$NR$7+1)*($NS$7-297+1)/$NU$7,$NN$7/$NT$7)),0)</f>
        <v/>
      </c>
      <c r="KP7" s="402">
        <f>IF(AND(298&gt;=$NR$7,298&lt;=$NS$7),IF($NP$7="Single_Point",IF(298=$NR$7,$NN$7,0),IF($NP$7="Bell_Curve",$NN$7*(298-$NR$7+1)*($NS$7-298+1)/$NU$7,$NN$7/$NT$7)),0)</f>
        <v/>
      </c>
      <c r="KQ7" s="402">
        <f>IF(AND(299&gt;=$NR$7,299&lt;=$NS$7),IF($NP$7="Single_Point",IF(299=$NR$7,$NN$7,0),IF($NP$7="Bell_Curve",$NN$7*(299-$NR$7+1)*($NS$7-299+1)/$NU$7,$NN$7/$NT$7)),0)</f>
        <v/>
      </c>
      <c r="KR7" s="402">
        <f>IF(AND(300&gt;=$NR$7,300&lt;=$NS$7),IF($NP$7="Single_Point",IF(300=$NR$7,$NN$7,0),IF($NP$7="Bell_Curve",$NN$7*(300-$NR$7+1)*($NS$7-300+1)/$NU$7,$NN$7/$NT$7)),0)</f>
        <v/>
      </c>
      <c r="KS7" s="402">
        <f>IF(AND(301&gt;=$NR$7,301&lt;=$NS$7),IF($NP$7="Single_Point",IF(301=$NR$7,$NN$7,0),IF($NP$7="Bell_Curve",$NN$7*(301-$NR$7+1)*($NS$7-301+1)/$NU$7,$NN$7/$NT$7)),0)</f>
        <v/>
      </c>
      <c r="KT7" s="402">
        <f>IF(AND(302&gt;=$NR$7,302&lt;=$NS$7),IF($NP$7="Single_Point",IF(302=$NR$7,$NN$7,0),IF($NP$7="Bell_Curve",$NN$7*(302-$NR$7+1)*($NS$7-302+1)/$NU$7,$NN$7/$NT$7)),0)</f>
        <v/>
      </c>
      <c r="KU7" s="402">
        <f>IF(AND(303&gt;=$NR$7,303&lt;=$NS$7),IF($NP$7="Single_Point",IF(303=$NR$7,$NN$7,0),IF($NP$7="Bell_Curve",$NN$7*(303-$NR$7+1)*($NS$7-303+1)/$NU$7,$NN$7/$NT$7)),0)</f>
        <v/>
      </c>
      <c r="KV7" s="402">
        <f>IF(AND(304&gt;=$NR$7,304&lt;=$NS$7),IF($NP$7="Single_Point",IF(304=$NR$7,$NN$7,0),IF($NP$7="Bell_Curve",$NN$7*(304-$NR$7+1)*($NS$7-304+1)/$NU$7,$NN$7/$NT$7)),0)</f>
        <v/>
      </c>
      <c r="KW7" s="402">
        <f>IF(AND(305&gt;=$NR$7,305&lt;=$NS$7),IF($NP$7="Single_Point",IF(305=$NR$7,$NN$7,0),IF($NP$7="Bell_Curve",$NN$7*(305-$NR$7+1)*($NS$7-305+1)/$NU$7,$NN$7/$NT$7)),0)</f>
        <v/>
      </c>
      <c r="KX7" s="402">
        <f>IF(AND(306&gt;=$NR$7,306&lt;=$NS$7),IF($NP$7="Single_Point",IF(306=$NR$7,$NN$7,0),IF($NP$7="Bell_Curve",$NN$7*(306-$NR$7+1)*($NS$7-306+1)/$NU$7,$NN$7/$NT$7)),0)</f>
        <v/>
      </c>
      <c r="KY7" s="402">
        <f>IF(AND(307&gt;=$NR$7,307&lt;=$NS$7),IF($NP$7="Single_Point",IF(307=$NR$7,$NN$7,0),IF($NP$7="Bell_Curve",$NN$7*(307-$NR$7+1)*($NS$7-307+1)/$NU$7,$NN$7/$NT$7)),0)</f>
        <v/>
      </c>
      <c r="KZ7" s="402">
        <f>IF(AND(308&gt;=$NR$7,308&lt;=$NS$7),IF($NP$7="Single_Point",IF(308=$NR$7,$NN$7,0),IF($NP$7="Bell_Curve",$NN$7*(308-$NR$7+1)*($NS$7-308+1)/$NU$7,$NN$7/$NT$7)),0)</f>
        <v/>
      </c>
      <c r="LA7" s="402">
        <f>IF(AND(309&gt;=$NR$7,309&lt;=$NS$7),IF($NP$7="Single_Point",IF(309=$NR$7,$NN$7,0),IF($NP$7="Bell_Curve",$NN$7*(309-$NR$7+1)*($NS$7-309+1)/$NU$7,$NN$7/$NT$7)),0)</f>
        <v/>
      </c>
      <c r="LB7" s="402">
        <f>IF(AND(310&gt;=$NR$7,310&lt;=$NS$7),IF($NP$7="Single_Point",IF(310=$NR$7,$NN$7,0),IF($NP$7="Bell_Curve",$NN$7*(310-$NR$7+1)*($NS$7-310+1)/$NU$7,$NN$7/$NT$7)),0)</f>
        <v/>
      </c>
      <c r="LC7" s="402">
        <f>IF(AND(311&gt;=$NR$7,311&lt;=$NS$7),IF($NP$7="Single_Point",IF(311=$NR$7,$NN$7,0),IF($NP$7="Bell_Curve",$NN$7*(311-$NR$7+1)*($NS$7-311+1)/$NU$7,$NN$7/$NT$7)),0)</f>
        <v/>
      </c>
      <c r="LD7" s="402">
        <f>IF(AND(312&gt;=$NR$7,312&lt;=$NS$7),IF($NP$7="Single_Point",IF(312=$NR$7,$NN$7,0),IF($NP$7="Bell_Curve",$NN$7*(312-$NR$7+1)*($NS$7-312+1)/$NU$7,$NN$7/$NT$7)),0)</f>
        <v/>
      </c>
      <c r="LE7" s="402">
        <f>IF(AND(313&gt;=$NR$7,313&lt;=$NS$7),IF($NP$7="Single_Point",IF(313=$NR$7,$NN$7,0),IF($NP$7="Bell_Curve",$NN$7*(313-$NR$7+1)*($NS$7-313+1)/$NU$7,$NN$7/$NT$7)),0)</f>
        <v/>
      </c>
      <c r="LF7" s="402">
        <f>IF(AND(314&gt;=$NR$7,314&lt;=$NS$7),IF($NP$7="Single_Point",IF(314=$NR$7,$NN$7,0),IF($NP$7="Bell_Curve",$NN$7*(314-$NR$7+1)*($NS$7-314+1)/$NU$7,$NN$7/$NT$7)),0)</f>
        <v/>
      </c>
      <c r="LG7" s="402">
        <f>IF(AND(315&gt;=$NR$7,315&lt;=$NS$7),IF($NP$7="Single_Point",IF(315=$NR$7,$NN$7,0),IF($NP$7="Bell_Curve",$NN$7*(315-$NR$7+1)*($NS$7-315+1)/$NU$7,$NN$7/$NT$7)),0)</f>
        <v/>
      </c>
      <c r="LH7" s="402">
        <f>IF(AND(316&gt;=$NR$7,316&lt;=$NS$7),IF($NP$7="Single_Point",IF(316=$NR$7,$NN$7,0),IF($NP$7="Bell_Curve",$NN$7*(316-$NR$7+1)*($NS$7-316+1)/$NU$7,$NN$7/$NT$7)),0)</f>
        <v/>
      </c>
      <c r="LI7" s="402">
        <f>IF(AND(317&gt;=$NR$7,317&lt;=$NS$7),IF($NP$7="Single_Point",IF(317=$NR$7,$NN$7,0),IF($NP$7="Bell_Curve",$NN$7*(317-$NR$7+1)*($NS$7-317+1)/$NU$7,$NN$7/$NT$7)),0)</f>
        <v/>
      </c>
      <c r="LJ7" s="402">
        <f>IF(AND(318&gt;=$NR$7,318&lt;=$NS$7),IF($NP$7="Single_Point",IF(318=$NR$7,$NN$7,0),IF($NP$7="Bell_Curve",$NN$7*(318-$NR$7+1)*($NS$7-318+1)/$NU$7,$NN$7/$NT$7)),0)</f>
        <v/>
      </c>
      <c r="LK7" s="402">
        <f>IF(AND(319&gt;=$NR$7,319&lt;=$NS$7),IF($NP$7="Single_Point",IF(319=$NR$7,$NN$7,0),IF($NP$7="Bell_Curve",$NN$7*(319-$NR$7+1)*($NS$7-319+1)/$NU$7,$NN$7/$NT$7)),0)</f>
        <v/>
      </c>
      <c r="LL7" s="402">
        <f>IF(AND(320&gt;=$NR$7,320&lt;=$NS$7),IF($NP$7="Single_Point",IF(320=$NR$7,$NN$7,0),IF($NP$7="Bell_Curve",$NN$7*(320-$NR$7+1)*($NS$7-320+1)/$NU$7,$NN$7/$NT$7)),0)</f>
        <v/>
      </c>
      <c r="LM7" s="402">
        <f>IF(AND(321&gt;=$NR$7,321&lt;=$NS$7),IF($NP$7="Single_Point",IF(321=$NR$7,$NN$7,0),IF($NP$7="Bell_Curve",$NN$7*(321-$NR$7+1)*($NS$7-321+1)/$NU$7,$NN$7/$NT$7)),0)</f>
        <v/>
      </c>
      <c r="LN7" s="402">
        <f>IF(AND(322&gt;=$NR$7,322&lt;=$NS$7),IF($NP$7="Single_Point",IF(322=$NR$7,$NN$7,0),IF($NP$7="Bell_Curve",$NN$7*(322-$NR$7+1)*($NS$7-322+1)/$NU$7,$NN$7/$NT$7)),0)</f>
        <v/>
      </c>
      <c r="LO7" s="402">
        <f>IF(AND(323&gt;=$NR$7,323&lt;=$NS$7),IF($NP$7="Single_Point",IF(323=$NR$7,$NN$7,0),IF($NP$7="Bell_Curve",$NN$7*(323-$NR$7+1)*($NS$7-323+1)/$NU$7,$NN$7/$NT$7)),0)</f>
        <v/>
      </c>
      <c r="LP7" s="402">
        <f>IF(AND(324&gt;=$NR$7,324&lt;=$NS$7),IF($NP$7="Single_Point",IF(324=$NR$7,$NN$7,0),IF($NP$7="Bell_Curve",$NN$7*(324-$NR$7+1)*($NS$7-324+1)/$NU$7,$NN$7/$NT$7)),0)</f>
        <v/>
      </c>
      <c r="LQ7" s="402">
        <f>IF(AND(325&gt;=$NR$7,325&lt;=$NS$7),IF($NP$7="Single_Point",IF(325=$NR$7,$NN$7,0),IF($NP$7="Bell_Curve",$NN$7*(325-$NR$7+1)*($NS$7-325+1)/$NU$7,$NN$7/$NT$7)),0)</f>
        <v/>
      </c>
      <c r="LR7" s="402">
        <f>IF(AND(326&gt;=$NR$7,326&lt;=$NS$7),IF($NP$7="Single_Point",IF(326=$NR$7,$NN$7,0),IF($NP$7="Bell_Curve",$NN$7*(326-$NR$7+1)*($NS$7-326+1)/$NU$7,$NN$7/$NT$7)),0)</f>
        <v/>
      </c>
      <c r="LS7" s="402">
        <f>IF(AND(327&gt;=$NR$7,327&lt;=$NS$7),IF($NP$7="Single_Point",IF(327=$NR$7,$NN$7,0),IF($NP$7="Bell_Curve",$NN$7*(327-$NR$7+1)*($NS$7-327+1)/$NU$7,$NN$7/$NT$7)),0)</f>
        <v/>
      </c>
      <c r="LT7" s="402">
        <f>IF(AND(328&gt;=$NR$7,328&lt;=$NS$7),IF($NP$7="Single_Point",IF(328=$NR$7,$NN$7,0),IF($NP$7="Bell_Curve",$NN$7*(328-$NR$7+1)*($NS$7-328+1)/$NU$7,$NN$7/$NT$7)),0)</f>
        <v/>
      </c>
      <c r="LU7" s="402">
        <f>IF(AND(329&gt;=$NR$7,329&lt;=$NS$7),IF($NP$7="Single_Point",IF(329=$NR$7,$NN$7,0),IF($NP$7="Bell_Curve",$NN$7*(329-$NR$7+1)*($NS$7-329+1)/$NU$7,$NN$7/$NT$7)),0)</f>
        <v/>
      </c>
      <c r="LV7" s="402">
        <f>IF(AND(330&gt;=$NR$7,330&lt;=$NS$7),IF($NP$7="Single_Point",IF(330=$NR$7,$NN$7,0),IF($NP$7="Bell_Curve",$NN$7*(330-$NR$7+1)*($NS$7-330+1)/$NU$7,$NN$7/$NT$7)),0)</f>
        <v/>
      </c>
      <c r="LW7" s="402">
        <f>IF(AND(331&gt;=$NR$7,331&lt;=$NS$7),IF($NP$7="Single_Point",IF(331=$NR$7,$NN$7,0),IF($NP$7="Bell_Curve",$NN$7*(331-$NR$7+1)*($NS$7-331+1)/$NU$7,$NN$7/$NT$7)),0)</f>
        <v/>
      </c>
      <c r="LX7" s="402">
        <f>IF(AND(332&gt;=$NR$7,332&lt;=$NS$7),IF($NP$7="Single_Point",IF(332=$NR$7,$NN$7,0),IF($NP$7="Bell_Curve",$NN$7*(332-$NR$7+1)*($NS$7-332+1)/$NU$7,$NN$7/$NT$7)),0)</f>
        <v/>
      </c>
      <c r="LY7" s="402">
        <f>IF(AND(333&gt;=$NR$7,333&lt;=$NS$7),IF($NP$7="Single_Point",IF(333=$NR$7,$NN$7,0),IF($NP$7="Bell_Curve",$NN$7*(333-$NR$7+1)*($NS$7-333+1)/$NU$7,$NN$7/$NT$7)),0)</f>
        <v/>
      </c>
      <c r="LZ7" s="402">
        <f>IF(AND(334&gt;=$NR$7,334&lt;=$NS$7),IF($NP$7="Single_Point",IF(334=$NR$7,$NN$7,0),IF($NP$7="Bell_Curve",$NN$7*(334-$NR$7+1)*($NS$7-334+1)/$NU$7,$NN$7/$NT$7)),0)</f>
        <v/>
      </c>
      <c r="MA7" s="402">
        <f>IF(AND(335&gt;=$NR$7,335&lt;=$NS$7),IF($NP$7="Single_Point",IF(335=$NR$7,$NN$7,0),IF($NP$7="Bell_Curve",$NN$7*(335-$NR$7+1)*($NS$7-335+1)/$NU$7,$NN$7/$NT$7)),0)</f>
        <v/>
      </c>
      <c r="MB7" s="402">
        <f>IF(AND(336&gt;=$NR$7,336&lt;=$NS$7),IF($NP$7="Single_Point",IF(336=$NR$7,$NN$7,0),IF($NP$7="Bell_Curve",$NN$7*(336-$NR$7+1)*($NS$7-336+1)/$NU$7,$NN$7/$NT$7)),0)</f>
        <v/>
      </c>
      <c r="MC7" s="402">
        <f>IF(AND(337&gt;=$NR$7,337&lt;=$NS$7),IF($NP$7="Single_Point",IF(337=$NR$7,$NN$7,0),IF($NP$7="Bell_Curve",$NN$7*(337-$NR$7+1)*($NS$7-337+1)/$NU$7,$NN$7/$NT$7)),0)</f>
        <v/>
      </c>
      <c r="MD7" s="402">
        <f>IF(AND(338&gt;=$NR$7,338&lt;=$NS$7),IF($NP$7="Single_Point",IF(338=$NR$7,$NN$7,0),IF($NP$7="Bell_Curve",$NN$7*(338-$NR$7+1)*($NS$7-338+1)/$NU$7,$NN$7/$NT$7)),0)</f>
        <v/>
      </c>
      <c r="ME7" s="402">
        <f>IF(AND(339&gt;=$NR$7,339&lt;=$NS$7),IF($NP$7="Single_Point",IF(339=$NR$7,$NN$7,0),IF($NP$7="Bell_Curve",$NN$7*(339-$NR$7+1)*($NS$7-339+1)/$NU$7,$NN$7/$NT$7)),0)</f>
        <v/>
      </c>
      <c r="MF7" s="402">
        <f>IF(AND(340&gt;=$NR$7,340&lt;=$NS$7),IF($NP$7="Single_Point",IF(340=$NR$7,$NN$7,0),IF($NP$7="Bell_Curve",$NN$7*(340-$NR$7+1)*($NS$7-340+1)/$NU$7,$NN$7/$NT$7)),0)</f>
        <v/>
      </c>
      <c r="MG7" s="402">
        <f>IF(AND(341&gt;=$NR$7,341&lt;=$NS$7),IF($NP$7="Single_Point",IF(341=$NR$7,$NN$7,0),IF($NP$7="Bell_Curve",$NN$7*(341-$NR$7+1)*($NS$7-341+1)/$NU$7,$NN$7/$NT$7)),0)</f>
        <v/>
      </c>
      <c r="MH7" s="402">
        <f>IF(AND(342&gt;=$NR$7,342&lt;=$NS$7),IF($NP$7="Single_Point",IF(342=$NR$7,$NN$7,0),IF($NP$7="Bell_Curve",$NN$7*(342-$NR$7+1)*($NS$7-342+1)/$NU$7,$NN$7/$NT$7)),0)</f>
        <v/>
      </c>
      <c r="MI7" s="402">
        <f>IF(AND(343&gt;=$NR$7,343&lt;=$NS$7),IF($NP$7="Single_Point",IF(343=$NR$7,$NN$7,0),IF($NP$7="Bell_Curve",$NN$7*(343-$NR$7+1)*($NS$7-343+1)/$NU$7,$NN$7/$NT$7)),0)</f>
        <v/>
      </c>
      <c r="MJ7" s="402">
        <f>IF(AND(344&gt;=$NR$7,344&lt;=$NS$7),IF($NP$7="Single_Point",IF(344=$NR$7,$NN$7,0),IF($NP$7="Bell_Curve",$NN$7*(344-$NR$7+1)*($NS$7-344+1)/$NU$7,$NN$7/$NT$7)),0)</f>
        <v/>
      </c>
      <c r="MK7" s="402">
        <f>IF(AND(345&gt;=$NR$7,345&lt;=$NS$7),IF($NP$7="Single_Point",IF(345=$NR$7,$NN$7,0),IF($NP$7="Bell_Curve",$NN$7*(345-$NR$7+1)*($NS$7-345+1)/$NU$7,$NN$7/$NT$7)),0)</f>
        <v/>
      </c>
      <c r="ML7" s="402">
        <f>IF(AND(346&gt;=$NR$7,346&lt;=$NS$7),IF($NP$7="Single_Point",IF(346=$NR$7,$NN$7,0),IF($NP$7="Bell_Curve",$NN$7*(346-$NR$7+1)*($NS$7-346+1)/$NU$7,$NN$7/$NT$7)),0)</f>
        <v/>
      </c>
      <c r="MM7" s="402">
        <f>IF(AND(347&gt;=$NR$7,347&lt;=$NS$7),IF($NP$7="Single_Point",IF(347=$NR$7,$NN$7,0),IF($NP$7="Bell_Curve",$NN$7*(347-$NR$7+1)*($NS$7-347+1)/$NU$7,$NN$7/$NT$7)),0)</f>
        <v/>
      </c>
      <c r="MN7" s="402">
        <f>IF(AND(348&gt;=$NR$7,348&lt;=$NS$7),IF($NP$7="Single_Point",IF(348=$NR$7,$NN$7,0),IF($NP$7="Bell_Curve",$NN$7*(348-$NR$7+1)*($NS$7-348+1)/$NU$7,$NN$7/$NT$7)),0)</f>
        <v/>
      </c>
      <c r="MO7" s="402">
        <f>IF(AND(349&gt;=$NR$7,349&lt;=$NS$7),IF($NP$7="Single_Point",IF(349=$NR$7,$NN$7,0),IF($NP$7="Bell_Curve",$NN$7*(349-$NR$7+1)*($NS$7-349+1)/$NU$7,$NN$7/$NT$7)),0)</f>
        <v/>
      </c>
      <c r="MP7" s="402">
        <f>IF(AND(350&gt;=$NR$7,350&lt;=$NS$7),IF($NP$7="Single_Point",IF(350=$NR$7,$NN$7,0),IF($NP$7="Bell_Curve",$NN$7*(350-$NR$7+1)*($NS$7-350+1)/$NU$7,$NN$7/$NT$7)),0)</f>
        <v/>
      </c>
      <c r="MQ7" s="402">
        <f>IF(AND(351&gt;=$NR$7,351&lt;=$NS$7),IF($NP$7="Single_Point",IF(351=$NR$7,$NN$7,0),IF($NP$7="Bell_Curve",$NN$7*(351-$NR$7+1)*($NS$7-351+1)/$NU$7,$NN$7/$NT$7)),0)</f>
        <v/>
      </c>
      <c r="MR7" s="402">
        <f>IF(AND(352&gt;=$NR$7,352&lt;=$NS$7),IF($NP$7="Single_Point",IF(352=$NR$7,$NN$7,0),IF($NP$7="Bell_Curve",$NN$7*(352-$NR$7+1)*($NS$7-352+1)/$NU$7,$NN$7/$NT$7)),0)</f>
        <v/>
      </c>
      <c r="MS7" s="402">
        <f>IF(AND(353&gt;=$NR$7,353&lt;=$NS$7),IF($NP$7="Single_Point",IF(353=$NR$7,$NN$7,0),IF($NP$7="Bell_Curve",$NN$7*(353-$NR$7+1)*($NS$7-353+1)/$NU$7,$NN$7/$NT$7)),0)</f>
        <v/>
      </c>
      <c r="MT7" s="402">
        <f>IF(AND(354&gt;=$NR$7,354&lt;=$NS$7),IF($NP$7="Single_Point",IF(354=$NR$7,$NN$7,0),IF($NP$7="Bell_Curve",$NN$7*(354-$NR$7+1)*($NS$7-354+1)/$NU$7,$NN$7/$NT$7)),0)</f>
        <v/>
      </c>
      <c r="MU7" s="402">
        <f>IF(AND(355&gt;=$NR$7,355&lt;=$NS$7),IF($NP$7="Single_Point",IF(355=$NR$7,$NN$7,0),IF($NP$7="Bell_Curve",$NN$7*(355-$NR$7+1)*($NS$7-355+1)/$NU$7,$NN$7/$NT$7)),0)</f>
        <v/>
      </c>
      <c r="MV7" s="402">
        <f>IF(AND(356&gt;=$NR$7,356&lt;=$NS$7),IF($NP$7="Single_Point",IF(356=$NR$7,$NN$7,0),IF($NP$7="Bell_Curve",$NN$7*(356-$NR$7+1)*($NS$7-356+1)/$NU$7,$NN$7/$NT$7)),0)</f>
        <v/>
      </c>
      <c r="MW7" s="402">
        <f>IF(AND(357&gt;=$NR$7,357&lt;=$NS$7),IF($NP$7="Single_Point",IF(357=$NR$7,$NN$7,0),IF($NP$7="Bell_Curve",$NN$7*(357-$NR$7+1)*($NS$7-357+1)/$NU$7,$NN$7/$NT$7)),0)</f>
        <v/>
      </c>
      <c r="MX7" s="402">
        <f>IF(AND(358&gt;=$NR$7,358&lt;=$NS$7),IF($NP$7="Single_Point",IF(358=$NR$7,$NN$7,0),IF($NP$7="Bell_Curve",$NN$7*(358-$NR$7+1)*($NS$7-358+1)/$NU$7,$NN$7/$NT$7)),0)</f>
        <v/>
      </c>
      <c r="MY7" s="402">
        <f>IF(AND(359&gt;=$NR$7,359&lt;=$NS$7),IF($NP$7="Single_Point",IF(359=$NR$7,$NN$7,0),IF($NP$7="Bell_Curve",$NN$7*(359-$NR$7+1)*($NS$7-359+1)/$NU$7,$NN$7/$NT$7)),0)</f>
        <v/>
      </c>
      <c r="MZ7" s="402">
        <f>IF(AND(360&gt;=$NR$7,360&lt;=$NS$7),IF($NP$7="Single_Point",IF(360=$NR$7,$NN$7,0),IF($NP$7="Bell_Curve",$NN$7*(360-$NR$7+1)*($NS$7-360+1)/$NU$7,$NN$7/$NT$7)),0)</f>
        <v/>
      </c>
      <c r="NA7" s="402">
        <f>IF(AND(361&gt;=$NR$7,361&lt;=$NS$7),IF($NP$7="Single_Point",IF(361=$NR$7,$NN$7,0),IF($NP$7="Bell_Curve",$NN$7*(361-$NR$7+1)*($NS$7-361+1)/$NU$7,$NN$7/$NT$7)),0)</f>
        <v/>
      </c>
      <c r="NB7" s="402">
        <f>IF(AND(362&gt;=$NR$7,362&lt;=$NS$7),IF($NP$7="Single_Point",IF(362=$NR$7,$NN$7,0),IF($NP$7="Bell_Curve",$NN$7*(362-$NR$7+1)*($NS$7-362+1)/$NU$7,$NN$7/$NT$7)),0)</f>
        <v/>
      </c>
      <c r="NC7" s="402">
        <f>IF(AND(363&gt;=$NR$7,363&lt;=$NS$7),IF($NP$7="Single_Point",IF(363=$NR$7,$NN$7,0),IF($NP$7="Bell_Curve",$NN$7*(363-$NR$7+1)*($NS$7-363+1)/$NU$7,$NN$7/$NT$7)),0)</f>
        <v/>
      </c>
      <c r="ND7" s="402">
        <f>IF(AND(364&gt;=$NR$7,364&lt;=$NS$7),IF($NP$7="Single_Point",IF(364=$NR$7,$NN$7,0),IF($NP$7="Bell_Curve",$NN$7*(364-$NR$7+1)*($NS$7-364+1)/$NU$7,$NN$7/$NT$7)),0)</f>
        <v/>
      </c>
      <c r="NE7" s="402">
        <f>IF(AND(365&gt;=$NR$7,365&lt;=$NS$7),IF($NP$7="Single_Point",IF(365=$NR$7,$NN$7,0),IF($NP$7="Bell_Curve",$NN$7*(365-$NR$7+1)*($NS$7-365+1)/$NU$7,$NN$7/$NT$7)),0)</f>
        <v/>
      </c>
      <c r="NF7" s="402">
        <f>IF(AND(366&gt;=$NR$7,366&lt;=$NS$7),IF($NP$7="Single_Point",IF(366=$NR$7,$NN$7,0),IF($NP$7="Bell_Curve",$NN$7*(366-$NR$7+1)*($NS$7-366+1)/$NU$7,$NN$7/$NT$7)),0)</f>
        <v/>
      </c>
      <c r="NG7" s="402">
        <f>IF(AND(367&gt;=$NR$7,367&lt;=$NS$7),IF($NP$7="Single_Point",IF(367=$NR$7,$NN$7,0),IF($NP$7="Bell_Curve",$NN$7*(367-$NR$7+1)*($NS$7-367+1)/$NU$7,$NN$7/$NT$7)),0)</f>
        <v/>
      </c>
      <c r="NH7" s="402">
        <f>IF(AND(368&gt;=$NR$7,368&lt;=$NS$7),IF($NP$7="Single_Point",IF(368=$NR$7,$NN$7,0),IF($NP$7="Bell_Curve",$NN$7*(368-$NR$7+1)*($NS$7-368+1)/$NU$7,$NN$7/$NT$7)),0)</f>
        <v/>
      </c>
      <c r="NI7" s="402">
        <f>IF(AND(369&gt;=$NR$7,369&lt;=$NS$7),IF($NP$7="Single_Point",IF(369=$NR$7,$NN$7,0),IF($NP$7="Bell_Curve",$NN$7*(369-$NR$7+1)*($NS$7-369+1)/$NU$7,$NN$7/$NT$7)),0)</f>
        <v/>
      </c>
      <c r="NJ7" s="402">
        <f>IF(AND(370&gt;=$NR$7,370&lt;=$NS$7),IF($NP$7="Single_Point",IF(370=$NR$7,$NN$7,0),IF($NP$7="Bell_Curve",$NN$7*(370-$NR$7+1)*($NS$7-370+1)/$NU$7,$NN$7/$NT$7)),0)</f>
        <v/>
      </c>
      <c r="NK7" s="402">
        <f>IF(AND(371&gt;=$NR$7,371&lt;=$NS$7),IF($NP$7="Single_Point",IF(371=$NR$7,$NN$7,0),IF($NP$7="Bell_Curve",$NN$7*(371-$NR$7+1)*($NS$7-371+1)/$NU$7,$NN$7/$NT$7)),0)</f>
        <v/>
      </c>
      <c r="NL7" s="426">
        <f>IF(AND(372&gt;=$NR$7,372&lt;=$NS$7),IF($NP$7="Single_Point",IF(372=$NR$7,$NN$7,0),IF($NP$7="Bell_Curve",$NN$7*(372-$NR$7+1)*($NS$7-372+1)/$NU$7,$NN$7/$NT$7)),0)</f>
        <v/>
      </c>
      <c r="NM7">
        <f>Budget!C6</f>
        <v/>
      </c>
      <c r="NN7" s="218">
        <f>Budget!J6</f>
        <v/>
      </c>
      <c r="NO7" s="144">
        <f>Budget!G6</f>
        <v/>
      </c>
      <c r="NP7" s="144">
        <f>Budget!H6</f>
        <v/>
      </c>
      <c r="NQ7" s="85">
        <f>Budget!I6</f>
        <v/>
      </c>
      <c r="NR7" s="248">
        <f>MAX(1,MIN(372,INDEX(MilestoneStart,MATCH(NO7,MilestoneNames,0))+NQ7))</f>
        <v/>
      </c>
      <c r="NS7" s="248">
        <f>MAX(NR7,MIN(372,INDEX(MilestoneEnd,MATCH(NO7,MilestoneNames,0))+NQ7))</f>
        <v/>
      </c>
      <c r="NT7" s="85">
        <f>NS7-NR7+1</f>
        <v/>
      </c>
      <c r="NU7" s="85">
        <f>NT7*(NT7+1)*(NT7+2)/6</f>
        <v/>
      </c>
    </row>
    <row r="8">
      <c r="B8" s="296">
        <f>Budget!B7</f>
        <v/>
      </c>
      <c r="D8" s="425">
        <f>SUM(E8:NL8)</f>
        <v/>
      </c>
      <c r="E8" s="402">
        <f>IF(AND(1&gt;=$NR$8,1&lt;=$NS$8),IF($NP$8="Single_Point",IF(1=$NR$8,$NN$8,0),IF($NP$8="Bell_Curve",$NN$8*(1-$NR$8+1)*($NS$8-1+1)/$NU$8,$NN$8/$NT$8)),0)</f>
        <v/>
      </c>
      <c r="F8" s="402">
        <f>IF(AND(2&gt;=$NR$8,2&lt;=$NS$8),IF($NP$8="Single_Point",IF(2=$NR$8,$NN$8,0),IF($NP$8="Bell_Curve",$NN$8*(2-$NR$8+1)*($NS$8-2+1)/$NU$8,$NN$8/$NT$8)),0)</f>
        <v/>
      </c>
      <c r="G8" s="402">
        <f>IF(AND(3&gt;=$NR$8,3&lt;=$NS$8),IF($NP$8="Single_Point",IF(3=$NR$8,$NN$8,0),IF($NP$8="Bell_Curve",$NN$8*(3-$NR$8+1)*($NS$8-3+1)/$NU$8,$NN$8/$NT$8)),0)</f>
        <v/>
      </c>
      <c r="H8" s="402">
        <f>IF(AND(4&gt;=$NR$8,4&lt;=$NS$8),IF($NP$8="Single_Point",IF(4=$NR$8,$NN$8,0),IF($NP$8="Bell_Curve",$NN$8*(4-$NR$8+1)*($NS$8-4+1)/$NU$8,$NN$8/$NT$8)),0)</f>
        <v/>
      </c>
      <c r="I8" s="402">
        <f>IF(AND(5&gt;=$NR$8,5&lt;=$NS$8),IF($NP$8="Single_Point",IF(5=$NR$8,$NN$8,0),IF($NP$8="Bell_Curve",$NN$8*(5-$NR$8+1)*($NS$8-5+1)/$NU$8,$NN$8/$NT$8)),0)</f>
        <v/>
      </c>
      <c r="J8" s="402">
        <f>IF(AND(6&gt;=$NR$8,6&lt;=$NS$8),IF($NP$8="Single_Point",IF(6=$NR$8,$NN$8,0),IF($NP$8="Bell_Curve",$NN$8*(6-$NR$8+1)*($NS$8-6+1)/$NU$8,$NN$8/$NT$8)),0)</f>
        <v/>
      </c>
      <c r="K8" s="402">
        <f>IF(AND(7&gt;=$NR$8,7&lt;=$NS$8),IF($NP$8="Single_Point",IF(7=$NR$8,$NN$8,0),IF($NP$8="Bell_Curve",$NN$8*(7-$NR$8+1)*($NS$8-7+1)/$NU$8,$NN$8/$NT$8)),0)</f>
        <v/>
      </c>
      <c r="L8" s="402">
        <f>IF(AND(8&gt;=$NR$8,8&lt;=$NS$8),IF($NP$8="Single_Point",IF(8=$NR$8,$NN$8,0),IF($NP$8="Bell_Curve",$NN$8*(8-$NR$8+1)*($NS$8-8+1)/$NU$8,$NN$8/$NT$8)),0)</f>
        <v/>
      </c>
      <c r="M8" s="402">
        <f>IF(AND(9&gt;=$NR$8,9&lt;=$NS$8),IF($NP$8="Single_Point",IF(9=$NR$8,$NN$8,0),IF($NP$8="Bell_Curve",$NN$8*(9-$NR$8+1)*($NS$8-9+1)/$NU$8,$NN$8/$NT$8)),0)</f>
        <v/>
      </c>
      <c r="N8" s="402">
        <f>IF(AND(10&gt;=$NR$8,10&lt;=$NS$8),IF($NP$8="Single_Point",IF(10=$NR$8,$NN$8,0),IF($NP$8="Bell_Curve",$NN$8*(10-$NR$8+1)*($NS$8-10+1)/$NU$8,$NN$8/$NT$8)),0)</f>
        <v/>
      </c>
      <c r="O8" s="402">
        <f>IF(AND(11&gt;=$NR$8,11&lt;=$NS$8),IF($NP$8="Single_Point",IF(11=$NR$8,$NN$8,0),IF($NP$8="Bell_Curve",$NN$8*(11-$NR$8+1)*($NS$8-11+1)/$NU$8,$NN$8/$NT$8)),0)</f>
        <v/>
      </c>
      <c r="P8" s="402">
        <f>IF(AND(12&gt;=$NR$8,12&lt;=$NS$8),IF($NP$8="Single_Point",IF(12=$NR$8,$NN$8,0),IF($NP$8="Bell_Curve",$NN$8*(12-$NR$8+1)*($NS$8-12+1)/$NU$8,$NN$8/$NT$8)),0)</f>
        <v/>
      </c>
      <c r="Q8" s="402">
        <f>IF(AND(13&gt;=$NR$8,13&lt;=$NS$8),IF($NP$8="Single_Point",IF(13=$NR$8,$NN$8,0),IF($NP$8="Bell_Curve",$NN$8*(13-$NR$8+1)*($NS$8-13+1)/$NU$8,$NN$8/$NT$8)),0)</f>
        <v/>
      </c>
      <c r="R8" s="402">
        <f>IF(AND(14&gt;=$NR$8,14&lt;=$NS$8),IF($NP$8="Single_Point",IF(14=$NR$8,$NN$8,0),IF($NP$8="Bell_Curve",$NN$8*(14-$NR$8+1)*($NS$8-14+1)/$NU$8,$NN$8/$NT$8)),0)</f>
        <v/>
      </c>
      <c r="S8" s="402">
        <f>IF(AND(15&gt;=$NR$8,15&lt;=$NS$8),IF($NP$8="Single_Point",IF(15=$NR$8,$NN$8,0),IF($NP$8="Bell_Curve",$NN$8*(15-$NR$8+1)*($NS$8-15+1)/$NU$8,$NN$8/$NT$8)),0)</f>
        <v/>
      </c>
      <c r="T8" s="402">
        <f>IF(AND(16&gt;=$NR$8,16&lt;=$NS$8),IF($NP$8="Single_Point",IF(16=$NR$8,$NN$8,0),IF($NP$8="Bell_Curve",$NN$8*(16-$NR$8+1)*($NS$8-16+1)/$NU$8,$NN$8/$NT$8)),0)</f>
        <v/>
      </c>
      <c r="U8" s="402">
        <f>IF(AND(17&gt;=$NR$8,17&lt;=$NS$8),IF($NP$8="Single_Point",IF(17=$NR$8,$NN$8,0),IF($NP$8="Bell_Curve",$NN$8*(17-$NR$8+1)*($NS$8-17+1)/$NU$8,$NN$8/$NT$8)),0)</f>
        <v/>
      </c>
      <c r="V8" s="402">
        <f>IF(AND(18&gt;=$NR$8,18&lt;=$NS$8),IF($NP$8="Single_Point",IF(18=$NR$8,$NN$8,0),IF($NP$8="Bell_Curve",$NN$8*(18-$NR$8+1)*($NS$8-18+1)/$NU$8,$NN$8/$NT$8)),0)</f>
        <v/>
      </c>
      <c r="W8" s="402">
        <f>IF(AND(19&gt;=$NR$8,19&lt;=$NS$8),IF($NP$8="Single_Point",IF(19=$NR$8,$NN$8,0),IF($NP$8="Bell_Curve",$NN$8*(19-$NR$8+1)*($NS$8-19+1)/$NU$8,$NN$8/$NT$8)),0)</f>
        <v/>
      </c>
      <c r="X8" s="402">
        <f>IF(AND(20&gt;=$NR$8,20&lt;=$NS$8),IF($NP$8="Single_Point",IF(20=$NR$8,$NN$8,0),IF($NP$8="Bell_Curve",$NN$8*(20-$NR$8+1)*($NS$8-20+1)/$NU$8,$NN$8/$NT$8)),0)</f>
        <v/>
      </c>
      <c r="Y8" s="402">
        <f>IF(AND(21&gt;=$NR$8,21&lt;=$NS$8),IF($NP$8="Single_Point",IF(21=$NR$8,$NN$8,0),IF($NP$8="Bell_Curve",$NN$8*(21-$NR$8+1)*($NS$8-21+1)/$NU$8,$NN$8/$NT$8)),0)</f>
        <v/>
      </c>
      <c r="Z8" s="402">
        <f>IF(AND(22&gt;=$NR$8,22&lt;=$NS$8),IF($NP$8="Single_Point",IF(22=$NR$8,$NN$8,0),IF($NP$8="Bell_Curve",$NN$8*(22-$NR$8+1)*($NS$8-22+1)/$NU$8,$NN$8/$NT$8)),0)</f>
        <v/>
      </c>
      <c r="AA8" s="402">
        <f>IF(AND(23&gt;=$NR$8,23&lt;=$NS$8),IF($NP$8="Single_Point",IF(23=$NR$8,$NN$8,0),IF($NP$8="Bell_Curve",$NN$8*(23-$NR$8+1)*($NS$8-23+1)/$NU$8,$NN$8/$NT$8)),0)</f>
        <v/>
      </c>
      <c r="AB8" s="402">
        <f>IF(AND(24&gt;=$NR$8,24&lt;=$NS$8),IF($NP$8="Single_Point",IF(24=$NR$8,$NN$8,0),IF($NP$8="Bell_Curve",$NN$8*(24-$NR$8+1)*($NS$8-24+1)/$NU$8,$NN$8/$NT$8)),0)</f>
        <v/>
      </c>
      <c r="AC8" s="402">
        <f>IF(AND(25&gt;=$NR$8,25&lt;=$NS$8),IF($NP$8="Single_Point",IF(25=$NR$8,$NN$8,0),IF($NP$8="Bell_Curve",$NN$8*(25-$NR$8+1)*($NS$8-25+1)/$NU$8,$NN$8/$NT$8)),0)</f>
        <v/>
      </c>
      <c r="AD8" s="402">
        <f>IF(AND(26&gt;=$NR$8,26&lt;=$NS$8),IF($NP$8="Single_Point",IF(26=$NR$8,$NN$8,0),IF($NP$8="Bell_Curve",$NN$8*(26-$NR$8+1)*($NS$8-26+1)/$NU$8,$NN$8/$NT$8)),0)</f>
        <v/>
      </c>
      <c r="AE8" s="402">
        <f>IF(AND(27&gt;=$NR$8,27&lt;=$NS$8),IF($NP$8="Single_Point",IF(27=$NR$8,$NN$8,0),IF($NP$8="Bell_Curve",$NN$8*(27-$NR$8+1)*($NS$8-27+1)/$NU$8,$NN$8/$NT$8)),0)</f>
        <v/>
      </c>
      <c r="AF8" s="402">
        <f>IF(AND(28&gt;=$NR$8,28&lt;=$NS$8),IF($NP$8="Single_Point",IF(28=$NR$8,$NN$8,0),IF($NP$8="Bell_Curve",$NN$8*(28-$NR$8+1)*($NS$8-28+1)/$NU$8,$NN$8/$NT$8)),0)</f>
        <v/>
      </c>
      <c r="AG8" s="402">
        <f>IF(AND(29&gt;=$NR$8,29&lt;=$NS$8),IF($NP$8="Single_Point",IF(29=$NR$8,$NN$8,0),IF($NP$8="Bell_Curve",$NN$8*(29-$NR$8+1)*($NS$8-29+1)/$NU$8,$NN$8/$NT$8)),0)</f>
        <v/>
      </c>
      <c r="AH8" s="402">
        <f>IF(AND(30&gt;=$NR$8,30&lt;=$NS$8),IF($NP$8="Single_Point",IF(30=$NR$8,$NN$8,0),IF($NP$8="Bell_Curve",$NN$8*(30-$NR$8+1)*($NS$8-30+1)/$NU$8,$NN$8/$NT$8)),0)</f>
        <v/>
      </c>
      <c r="AI8" s="402">
        <f>IF(AND(31&gt;=$NR$8,31&lt;=$NS$8),IF($NP$8="Single_Point",IF(31=$NR$8,$NN$8,0),IF($NP$8="Bell_Curve",$NN$8*(31-$NR$8+1)*($NS$8-31+1)/$NU$8,$NN$8/$NT$8)),0)</f>
        <v/>
      </c>
      <c r="AJ8" s="402">
        <f>IF(AND(32&gt;=$NR$8,32&lt;=$NS$8),IF($NP$8="Single_Point",IF(32=$NR$8,$NN$8,0),IF($NP$8="Bell_Curve",$NN$8*(32-$NR$8+1)*($NS$8-32+1)/$NU$8,$NN$8/$NT$8)),0)</f>
        <v/>
      </c>
      <c r="AK8" s="402">
        <f>IF(AND(33&gt;=$NR$8,33&lt;=$NS$8),IF($NP$8="Single_Point",IF(33=$NR$8,$NN$8,0),IF($NP$8="Bell_Curve",$NN$8*(33-$NR$8+1)*($NS$8-33+1)/$NU$8,$NN$8/$NT$8)),0)</f>
        <v/>
      </c>
      <c r="AL8" s="402">
        <f>IF(AND(34&gt;=$NR$8,34&lt;=$NS$8),IF($NP$8="Single_Point",IF(34=$NR$8,$NN$8,0),IF($NP$8="Bell_Curve",$NN$8*(34-$NR$8+1)*($NS$8-34+1)/$NU$8,$NN$8/$NT$8)),0)</f>
        <v/>
      </c>
      <c r="AM8" s="402">
        <f>IF(AND(35&gt;=$NR$8,35&lt;=$NS$8),IF($NP$8="Single_Point",IF(35=$NR$8,$NN$8,0),IF($NP$8="Bell_Curve",$NN$8*(35-$NR$8+1)*($NS$8-35+1)/$NU$8,$NN$8/$NT$8)),0)</f>
        <v/>
      </c>
      <c r="AN8" s="402">
        <f>IF(AND(36&gt;=$NR$8,36&lt;=$NS$8),IF($NP$8="Single_Point",IF(36=$NR$8,$NN$8,0),IF($NP$8="Bell_Curve",$NN$8*(36-$NR$8+1)*($NS$8-36+1)/$NU$8,$NN$8/$NT$8)),0)</f>
        <v/>
      </c>
      <c r="AO8" s="402">
        <f>IF(AND(37&gt;=$NR$8,37&lt;=$NS$8),IF($NP$8="Single_Point",IF(37=$NR$8,$NN$8,0),IF($NP$8="Bell_Curve",$NN$8*(37-$NR$8+1)*($NS$8-37+1)/$NU$8,$NN$8/$NT$8)),0)</f>
        <v/>
      </c>
      <c r="AP8" s="402">
        <f>IF(AND(38&gt;=$NR$8,38&lt;=$NS$8),IF($NP$8="Single_Point",IF(38=$NR$8,$NN$8,0),IF($NP$8="Bell_Curve",$NN$8*(38-$NR$8+1)*($NS$8-38+1)/$NU$8,$NN$8/$NT$8)),0)</f>
        <v/>
      </c>
      <c r="AQ8" s="402">
        <f>IF(AND(39&gt;=$NR$8,39&lt;=$NS$8),IF($NP$8="Single_Point",IF(39=$NR$8,$NN$8,0),IF($NP$8="Bell_Curve",$NN$8*(39-$NR$8+1)*($NS$8-39+1)/$NU$8,$NN$8/$NT$8)),0)</f>
        <v/>
      </c>
      <c r="AR8" s="402">
        <f>IF(AND(40&gt;=$NR$8,40&lt;=$NS$8),IF($NP$8="Single_Point",IF(40=$NR$8,$NN$8,0),IF($NP$8="Bell_Curve",$NN$8*(40-$NR$8+1)*($NS$8-40+1)/$NU$8,$NN$8/$NT$8)),0)</f>
        <v/>
      </c>
      <c r="AS8" s="402">
        <f>IF(AND(41&gt;=$NR$8,41&lt;=$NS$8),IF($NP$8="Single_Point",IF(41=$NR$8,$NN$8,0),IF($NP$8="Bell_Curve",$NN$8*(41-$NR$8+1)*($NS$8-41+1)/$NU$8,$NN$8/$NT$8)),0)</f>
        <v/>
      </c>
      <c r="AT8" s="402">
        <f>IF(AND(42&gt;=$NR$8,42&lt;=$NS$8),IF($NP$8="Single_Point",IF(42=$NR$8,$NN$8,0),IF($NP$8="Bell_Curve",$NN$8*(42-$NR$8+1)*($NS$8-42+1)/$NU$8,$NN$8/$NT$8)),0)</f>
        <v/>
      </c>
      <c r="AU8" s="402">
        <f>IF(AND(43&gt;=$NR$8,43&lt;=$NS$8),IF($NP$8="Single_Point",IF(43=$NR$8,$NN$8,0),IF($NP$8="Bell_Curve",$NN$8*(43-$NR$8+1)*($NS$8-43+1)/$NU$8,$NN$8/$NT$8)),0)</f>
        <v/>
      </c>
      <c r="AV8" s="402">
        <f>IF(AND(44&gt;=$NR$8,44&lt;=$NS$8),IF($NP$8="Single_Point",IF(44=$NR$8,$NN$8,0),IF($NP$8="Bell_Curve",$NN$8*(44-$NR$8+1)*($NS$8-44+1)/$NU$8,$NN$8/$NT$8)),0)</f>
        <v/>
      </c>
      <c r="AW8" s="402">
        <f>IF(AND(45&gt;=$NR$8,45&lt;=$NS$8),IF($NP$8="Single_Point",IF(45=$NR$8,$NN$8,0),IF($NP$8="Bell_Curve",$NN$8*(45-$NR$8+1)*($NS$8-45+1)/$NU$8,$NN$8/$NT$8)),0)</f>
        <v/>
      </c>
      <c r="AX8" s="402">
        <f>IF(AND(46&gt;=$NR$8,46&lt;=$NS$8),IF($NP$8="Single_Point",IF(46=$NR$8,$NN$8,0),IF($NP$8="Bell_Curve",$NN$8*(46-$NR$8+1)*($NS$8-46+1)/$NU$8,$NN$8/$NT$8)),0)</f>
        <v/>
      </c>
      <c r="AY8" s="402">
        <f>IF(AND(47&gt;=$NR$8,47&lt;=$NS$8),IF($NP$8="Single_Point",IF(47=$NR$8,$NN$8,0),IF($NP$8="Bell_Curve",$NN$8*(47-$NR$8+1)*($NS$8-47+1)/$NU$8,$NN$8/$NT$8)),0)</f>
        <v/>
      </c>
      <c r="AZ8" s="402">
        <f>IF(AND(48&gt;=$NR$8,48&lt;=$NS$8),IF($NP$8="Single_Point",IF(48=$NR$8,$NN$8,0),IF($NP$8="Bell_Curve",$NN$8*(48-$NR$8+1)*($NS$8-48+1)/$NU$8,$NN$8/$NT$8)),0)</f>
        <v/>
      </c>
      <c r="BA8" s="402">
        <f>IF(AND(49&gt;=$NR$8,49&lt;=$NS$8),IF($NP$8="Single_Point",IF(49=$NR$8,$NN$8,0),IF($NP$8="Bell_Curve",$NN$8*(49-$NR$8+1)*($NS$8-49+1)/$NU$8,$NN$8/$NT$8)),0)</f>
        <v/>
      </c>
      <c r="BB8" s="402">
        <f>IF(AND(50&gt;=$NR$8,50&lt;=$NS$8),IF($NP$8="Single_Point",IF(50=$NR$8,$NN$8,0),IF($NP$8="Bell_Curve",$NN$8*(50-$NR$8+1)*($NS$8-50+1)/$NU$8,$NN$8/$NT$8)),0)</f>
        <v/>
      </c>
      <c r="BC8" s="402">
        <f>IF(AND(51&gt;=$NR$8,51&lt;=$NS$8),IF($NP$8="Single_Point",IF(51=$NR$8,$NN$8,0),IF($NP$8="Bell_Curve",$NN$8*(51-$NR$8+1)*($NS$8-51+1)/$NU$8,$NN$8/$NT$8)),0)</f>
        <v/>
      </c>
      <c r="BD8" s="402">
        <f>IF(AND(52&gt;=$NR$8,52&lt;=$NS$8),IF($NP$8="Single_Point",IF(52=$NR$8,$NN$8,0),IF($NP$8="Bell_Curve",$NN$8*(52-$NR$8+1)*($NS$8-52+1)/$NU$8,$NN$8/$NT$8)),0)</f>
        <v/>
      </c>
      <c r="BE8" s="402">
        <f>IF(AND(53&gt;=$NR$8,53&lt;=$NS$8),IF($NP$8="Single_Point",IF(53=$NR$8,$NN$8,0),IF($NP$8="Bell_Curve",$NN$8*(53-$NR$8+1)*($NS$8-53+1)/$NU$8,$NN$8/$NT$8)),0)</f>
        <v/>
      </c>
      <c r="BF8" s="402">
        <f>IF(AND(54&gt;=$NR$8,54&lt;=$NS$8),IF($NP$8="Single_Point",IF(54=$NR$8,$NN$8,0),IF($NP$8="Bell_Curve",$NN$8*(54-$NR$8+1)*($NS$8-54+1)/$NU$8,$NN$8/$NT$8)),0)</f>
        <v/>
      </c>
      <c r="BG8" s="402">
        <f>IF(AND(55&gt;=$NR$8,55&lt;=$NS$8),IF($NP$8="Single_Point",IF(55=$NR$8,$NN$8,0),IF($NP$8="Bell_Curve",$NN$8*(55-$NR$8+1)*($NS$8-55+1)/$NU$8,$NN$8/$NT$8)),0)</f>
        <v/>
      </c>
      <c r="BH8" s="402">
        <f>IF(AND(56&gt;=$NR$8,56&lt;=$NS$8),IF($NP$8="Single_Point",IF(56=$NR$8,$NN$8,0),IF($NP$8="Bell_Curve",$NN$8*(56-$NR$8+1)*($NS$8-56+1)/$NU$8,$NN$8/$NT$8)),0)</f>
        <v/>
      </c>
      <c r="BI8" s="402">
        <f>IF(AND(57&gt;=$NR$8,57&lt;=$NS$8),IF($NP$8="Single_Point",IF(57=$NR$8,$NN$8,0),IF($NP$8="Bell_Curve",$NN$8*(57-$NR$8+1)*($NS$8-57+1)/$NU$8,$NN$8/$NT$8)),0)</f>
        <v/>
      </c>
      <c r="BJ8" s="402">
        <f>IF(AND(58&gt;=$NR$8,58&lt;=$NS$8),IF($NP$8="Single_Point",IF(58=$NR$8,$NN$8,0),IF($NP$8="Bell_Curve",$NN$8*(58-$NR$8+1)*($NS$8-58+1)/$NU$8,$NN$8/$NT$8)),0)</f>
        <v/>
      </c>
      <c r="BK8" s="402">
        <f>IF(AND(59&gt;=$NR$8,59&lt;=$NS$8),IF($NP$8="Single_Point",IF(59=$NR$8,$NN$8,0),IF($NP$8="Bell_Curve",$NN$8*(59-$NR$8+1)*($NS$8-59+1)/$NU$8,$NN$8/$NT$8)),0)</f>
        <v/>
      </c>
      <c r="BL8" s="402">
        <f>IF(AND(60&gt;=$NR$8,60&lt;=$NS$8),IF($NP$8="Single_Point",IF(60=$NR$8,$NN$8,0),IF($NP$8="Bell_Curve",$NN$8*(60-$NR$8+1)*($NS$8-60+1)/$NU$8,$NN$8/$NT$8)),0)</f>
        <v/>
      </c>
      <c r="BM8" s="402">
        <f>IF(AND(61&gt;=$NR$8,61&lt;=$NS$8),IF($NP$8="Single_Point",IF(61=$NR$8,$NN$8,0),IF($NP$8="Bell_Curve",$NN$8*(61-$NR$8+1)*($NS$8-61+1)/$NU$8,$NN$8/$NT$8)),0)</f>
        <v/>
      </c>
      <c r="BN8" s="402">
        <f>IF(AND(62&gt;=$NR$8,62&lt;=$NS$8),IF($NP$8="Single_Point",IF(62=$NR$8,$NN$8,0),IF($NP$8="Bell_Curve",$NN$8*(62-$NR$8+1)*($NS$8-62+1)/$NU$8,$NN$8/$NT$8)),0)</f>
        <v/>
      </c>
      <c r="BO8" s="402">
        <f>IF(AND(63&gt;=$NR$8,63&lt;=$NS$8),IF($NP$8="Single_Point",IF(63=$NR$8,$NN$8,0),IF($NP$8="Bell_Curve",$NN$8*(63-$NR$8+1)*($NS$8-63+1)/$NU$8,$NN$8/$NT$8)),0)</f>
        <v/>
      </c>
      <c r="BP8" s="402">
        <f>IF(AND(64&gt;=$NR$8,64&lt;=$NS$8),IF($NP$8="Single_Point",IF(64=$NR$8,$NN$8,0),IF($NP$8="Bell_Curve",$NN$8*(64-$NR$8+1)*($NS$8-64+1)/$NU$8,$NN$8/$NT$8)),0)</f>
        <v/>
      </c>
      <c r="BQ8" s="402">
        <f>IF(AND(65&gt;=$NR$8,65&lt;=$NS$8),IF($NP$8="Single_Point",IF(65=$NR$8,$NN$8,0),IF($NP$8="Bell_Curve",$NN$8*(65-$NR$8+1)*($NS$8-65+1)/$NU$8,$NN$8/$NT$8)),0)</f>
        <v/>
      </c>
      <c r="BR8" s="402">
        <f>IF(AND(66&gt;=$NR$8,66&lt;=$NS$8),IF($NP$8="Single_Point",IF(66=$NR$8,$NN$8,0),IF($NP$8="Bell_Curve",$NN$8*(66-$NR$8+1)*($NS$8-66+1)/$NU$8,$NN$8/$NT$8)),0)</f>
        <v/>
      </c>
      <c r="BS8" s="402">
        <f>IF(AND(67&gt;=$NR$8,67&lt;=$NS$8),IF($NP$8="Single_Point",IF(67=$NR$8,$NN$8,0),IF($NP$8="Bell_Curve",$NN$8*(67-$NR$8+1)*($NS$8-67+1)/$NU$8,$NN$8/$NT$8)),0)</f>
        <v/>
      </c>
      <c r="BT8" s="402">
        <f>IF(AND(68&gt;=$NR$8,68&lt;=$NS$8),IF($NP$8="Single_Point",IF(68=$NR$8,$NN$8,0),IF($NP$8="Bell_Curve",$NN$8*(68-$NR$8+1)*($NS$8-68+1)/$NU$8,$NN$8/$NT$8)),0)</f>
        <v/>
      </c>
      <c r="BU8" s="402">
        <f>IF(AND(69&gt;=$NR$8,69&lt;=$NS$8),IF($NP$8="Single_Point",IF(69=$NR$8,$NN$8,0),IF($NP$8="Bell_Curve",$NN$8*(69-$NR$8+1)*($NS$8-69+1)/$NU$8,$NN$8/$NT$8)),0)</f>
        <v/>
      </c>
      <c r="BV8" s="402">
        <f>IF(AND(70&gt;=$NR$8,70&lt;=$NS$8),IF($NP$8="Single_Point",IF(70=$NR$8,$NN$8,0),IF($NP$8="Bell_Curve",$NN$8*(70-$NR$8+1)*($NS$8-70+1)/$NU$8,$NN$8/$NT$8)),0)</f>
        <v/>
      </c>
      <c r="BW8" s="402">
        <f>IF(AND(71&gt;=$NR$8,71&lt;=$NS$8),IF($NP$8="Single_Point",IF(71=$NR$8,$NN$8,0),IF($NP$8="Bell_Curve",$NN$8*(71-$NR$8+1)*($NS$8-71+1)/$NU$8,$NN$8/$NT$8)),0)</f>
        <v/>
      </c>
      <c r="BX8" s="402">
        <f>IF(AND(72&gt;=$NR$8,72&lt;=$NS$8),IF($NP$8="Single_Point",IF(72=$NR$8,$NN$8,0),IF($NP$8="Bell_Curve",$NN$8*(72-$NR$8+1)*($NS$8-72+1)/$NU$8,$NN$8/$NT$8)),0)</f>
        <v/>
      </c>
      <c r="BY8" s="402">
        <f>IF(AND(73&gt;=$NR$8,73&lt;=$NS$8),IF($NP$8="Single_Point",IF(73=$NR$8,$NN$8,0),IF($NP$8="Bell_Curve",$NN$8*(73-$NR$8+1)*($NS$8-73+1)/$NU$8,$NN$8/$NT$8)),0)</f>
        <v/>
      </c>
      <c r="BZ8" s="402">
        <f>IF(AND(74&gt;=$NR$8,74&lt;=$NS$8),IF($NP$8="Single_Point",IF(74=$NR$8,$NN$8,0),IF($NP$8="Bell_Curve",$NN$8*(74-$NR$8+1)*($NS$8-74+1)/$NU$8,$NN$8/$NT$8)),0)</f>
        <v/>
      </c>
      <c r="CA8" s="402">
        <f>IF(AND(75&gt;=$NR$8,75&lt;=$NS$8),IF($NP$8="Single_Point",IF(75=$NR$8,$NN$8,0),IF($NP$8="Bell_Curve",$NN$8*(75-$NR$8+1)*($NS$8-75+1)/$NU$8,$NN$8/$NT$8)),0)</f>
        <v/>
      </c>
      <c r="CB8" s="402">
        <f>IF(AND(76&gt;=$NR$8,76&lt;=$NS$8),IF($NP$8="Single_Point",IF(76=$NR$8,$NN$8,0),IF($NP$8="Bell_Curve",$NN$8*(76-$NR$8+1)*($NS$8-76+1)/$NU$8,$NN$8/$NT$8)),0)</f>
        <v/>
      </c>
      <c r="CC8" s="402">
        <f>IF(AND(77&gt;=$NR$8,77&lt;=$NS$8),IF($NP$8="Single_Point",IF(77=$NR$8,$NN$8,0),IF($NP$8="Bell_Curve",$NN$8*(77-$NR$8+1)*($NS$8-77+1)/$NU$8,$NN$8/$NT$8)),0)</f>
        <v/>
      </c>
      <c r="CD8" s="402">
        <f>IF(AND(78&gt;=$NR$8,78&lt;=$NS$8),IF($NP$8="Single_Point",IF(78=$NR$8,$NN$8,0),IF($NP$8="Bell_Curve",$NN$8*(78-$NR$8+1)*($NS$8-78+1)/$NU$8,$NN$8/$NT$8)),0)</f>
        <v/>
      </c>
      <c r="CE8" s="402">
        <f>IF(AND(79&gt;=$NR$8,79&lt;=$NS$8),IF($NP$8="Single_Point",IF(79=$NR$8,$NN$8,0),IF($NP$8="Bell_Curve",$NN$8*(79-$NR$8+1)*($NS$8-79+1)/$NU$8,$NN$8/$NT$8)),0)</f>
        <v/>
      </c>
      <c r="CF8" s="402">
        <f>IF(AND(80&gt;=$NR$8,80&lt;=$NS$8),IF($NP$8="Single_Point",IF(80=$NR$8,$NN$8,0),IF($NP$8="Bell_Curve",$NN$8*(80-$NR$8+1)*($NS$8-80+1)/$NU$8,$NN$8/$NT$8)),0)</f>
        <v/>
      </c>
      <c r="CG8" s="402">
        <f>IF(AND(81&gt;=$NR$8,81&lt;=$NS$8),IF($NP$8="Single_Point",IF(81=$NR$8,$NN$8,0),IF($NP$8="Bell_Curve",$NN$8*(81-$NR$8+1)*($NS$8-81+1)/$NU$8,$NN$8/$NT$8)),0)</f>
        <v/>
      </c>
      <c r="CH8" s="402">
        <f>IF(AND(82&gt;=$NR$8,82&lt;=$NS$8),IF($NP$8="Single_Point",IF(82=$NR$8,$NN$8,0),IF($NP$8="Bell_Curve",$NN$8*(82-$NR$8+1)*($NS$8-82+1)/$NU$8,$NN$8/$NT$8)),0)</f>
        <v/>
      </c>
      <c r="CI8" s="402">
        <f>IF(AND(83&gt;=$NR$8,83&lt;=$NS$8),IF($NP$8="Single_Point",IF(83=$NR$8,$NN$8,0),IF($NP$8="Bell_Curve",$NN$8*(83-$NR$8+1)*($NS$8-83+1)/$NU$8,$NN$8/$NT$8)),0)</f>
        <v/>
      </c>
      <c r="CJ8" s="402">
        <f>IF(AND(84&gt;=$NR$8,84&lt;=$NS$8),IF($NP$8="Single_Point",IF(84=$NR$8,$NN$8,0),IF($NP$8="Bell_Curve",$NN$8*(84-$NR$8+1)*($NS$8-84+1)/$NU$8,$NN$8/$NT$8)),0)</f>
        <v/>
      </c>
      <c r="CK8" s="402">
        <f>IF(AND(85&gt;=$NR$8,85&lt;=$NS$8),IF($NP$8="Single_Point",IF(85=$NR$8,$NN$8,0),IF($NP$8="Bell_Curve",$NN$8*(85-$NR$8+1)*($NS$8-85+1)/$NU$8,$NN$8/$NT$8)),0)</f>
        <v/>
      </c>
      <c r="CL8" s="402">
        <f>IF(AND(86&gt;=$NR$8,86&lt;=$NS$8),IF($NP$8="Single_Point",IF(86=$NR$8,$NN$8,0),IF($NP$8="Bell_Curve",$NN$8*(86-$NR$8+1)*($NS$8-86+1)/$NU$8,$NN$8/$NT$8)),0)</f>
        <v/>
      </c>
      <c r="CM8" s="402">
        <f>IF(AND(87&gt;=$NR$8,87&lt;=$NS$8),IF($NP$8="Single_Point",IF(87=$NR$8,$NN$8,0),IF($NP$8="Bell_Curve",$NN$8*(87-$NR$8+1)*($NS$8-87+1)/$NU$8,$NN$8/$NT$8)),0)</f>
        <v/>
      </c>
      <c r="CN8" s="402">
        <f>IF(AND(88&gt;=$NR$8,88&lt;=$NS$8),IF($NP$8="Single_Point",IF(88=$NR$8,$NN$8,0),IF($NP$8="Bell_Curve",$NN$8*(88-$NR$8+1)*($NS$8-88+1)/$NU$8,$NN$8/$NT$8)),0)</f>
        <v/>
      </c>
      <c r="CO8" s="402">
        <f>IF(AND(89&gt;=$NR$8,89&lt;=$NS$8),IF($NP$8="Single_Point",IF(89=$NR$8,$NN$8,0),IF($NP$8="Bell_Curve",$NN$8*(89-$NR$8+1)*($NS$8-89+1)/$NU$8,$NN$8/$NT$8)),0)</f>
        <v/>
      </c>
      <c r="CP8" s="402">
        <f>IF(AND(90&gt;=$NR$8,90&lt;=$NS$8),IF($NP$8="Single_Point",IF(90=$NR$8,$NN$8,0),IF($NP$8="Bell_Curve",$NN$8*(90-$NR$8+1)*($NS$8-90+1)/$NU$8,$NN$8/$NT$8)),0)</f>
        <v/>
      </c>
      <c r="CQ8" s="402">
        <f>IF(AND(91&gt;=$NR$8,91&lt;=$NS$8),IF($NP$8="Single_Point",IF(91=$NR$8,$NN$8,0),IF($NP$8="Bell_Curve",$NN$8*(91-$NR$8+1)*($NS$8-91+1)/$NU$8,$NN$8/$NT$8)),0)</f>
        <v/>
      </c>
      <c r="CR8" s="402">
        <f>IF(AND(92&gt;=$NR$8,92&lt;=$NS$8),IF($NP$8="Single_Point",IF(92=$NR$8,$NN$8,0),IF($NP$8="Bell_Curve",$NN$8*(92-$NR$8+1)*($NS$8-92+1)/$NU$8,$NN$8/$NT$8)),0)</f>
        <v/>
      </c>
      <c r="CS8" s="402">
        <f>IF(AND(93&gt;=$NR$8,93&lt;=$NS$8),IF($NP$8="Single_Point",IF(93=$NR$8,$NN$8,0),IF($NP$8="Bell_Curve",$NN$8*(93-$NR$8+1)*($NS$8-93+1)/$NU$8,$NN$8/$NT$8)),0)</f>
        <v/>
      </c>
      <c r="CT8" s="402">
        <f>IF(AND(94&gt;=$NR$8,94&lt;=$NS$8),IF($NP$8="Single_Point",IF(94=$NR$8,$NN$8,0),IF($NP$8="Bell_Curve",$NN$8*(94-$NR$8+1)*($NS$8-94+1)/$NU$8,$NN$8/$NT$8)),0)</f>
        <v/>
      </c>
      <c r="CU8" s="402">
        <f>IF(AND(95&gt;=$NR$8,95&lt;=$NS$8),IF($NP$8="Single_Point",IF(95=$NR$8,$NN$8,0),IF($NP$8="Bell_Curve",$NN$8*(95-$NR$8+1)*($NS$8-95+1)/$NU$8,$NN$8/$NT$8)),0)</f>
        <v/>
      </c>
      <c r="CV8" s="402">
        <f>IF(AND(96&gt;=$NR$8,96&lt;=$NS$8),IF($NP$8="Single_Point",IF(96=$NR$8,$NN$8,0),IF($NP$8="Bell_Curve",$NN$8*(96-$NR$8+1)*($NS$8-96+1)/$NU$8,$NN$8/$NT$8)),0)</f>
        <v/>
      </c>
      <c r="CW8" s="402">
        <f>IF(AND(97&gt;=$NR$8,97&lt;=$NS$8),IF($NP$8="Single_Point",IF(97=$NR$8,$NN$8,0),IF($NP$8="Bell_Curve",$NN$8*(97-$NR$8+1)*($NS$8-97+1)/$NU$8,$NN$8/$NT$8)),0)</f>
        <v/>
      </c>
      <c r="CX8" s="402">
        <f>IF(AND(98&gt;=$NR$8,98&lt;=$NS$8),IF($NP$8="Single_Point",IF(98=$NR$8,$NN$8,0),IF($NP$8="Bell_Curve",$NN$8*(98-$NR$8+1)*($NS$8-98+1)/$NU$8,$NN$8/$NT$8)),0)</f>
        <v/>
      </c>
      <c r="CY8" s="402">
        <f>IF(AND(99&gt;=$NR$8,99&lt;=$NS$8),IF($NP$8="Single_Point",IF(99=$NR$8,$NN$8,0),IF($NP$8="Bell_Curve",$NN$8*(99-$NR$8+1)*($NS$8-99+1)/$NU$8,$NN$8/$NT$8)),0)</f>
        <v/>
      </c>
      <c r="CZ8" s="402">
        <f>IF(AND(100&gt;=$NR$8,100&lt;=$NS$8),IF($NP$8="Single_Point",IF(100=$NR$8,$NN$8,0),IF($NP$8="Bell_Curve",$NN$8*(100-$NR$8+1)*($NS$8-100+1)/$NU$8,$NN$8/$NT$8)),0)</f>
        <v/>
      </c>
      <c r="DA8" s="402">
        <f>IF(AND(101&gt;=$NR$8,101&lt;=$NS$8),IF($NP$8="Single_Point",IF(101=$NR$8,$NN$8,0),IF($NP$8="Bell_Curve",$NN$8*(101-$NR$8+1)*($NS$8-101+1)/$NU$8,$NN$8/$NT$8)),0)</f>
        <v/>
      </c>
      <c r="DB8" s="402">
        <f>IF(AND(102&gt;=$NR$8,102&lt;=$NS$8),IF($NP$8="Single_Point",IF(102=$NR$8,$NN$8,0),IF($NP$8="Bell_Curve",$NN$8*(102-$NR$8+1)*($NS$8-102+1)/$NU$8,$NN$8/$NT$8)),0)</f>
        <v/>
      </c>
      <c r="DC8" s="402">
        <f>IF(AND(103&gt;=$NR$8,103&lt;=$NS$8),IF($NP$8="Single_Point",IF(103=$NR$8,$NN$8,0),IF($NP$8="Bell_Curve",$NN$8*(103-$NR$8+1)*($NS$8-103+1)/$NU$8,$NN$8/$NT$8)),0)</f>
        <v/>
      </c>
      <c r="DD8" s="402">
        <f>IF(AND(104&gt;=$NR$8,104&lt;=$NS$8),IF($NP$8="Single_Point",IF(104=$NR$8,$NN$8,0),IF($NP$8="Bell_Curve",$NN$8*(104-$NR$8+1)*($NS$8-104+1)/$NU$8,$NN$8/$NT$8)),0)</f>
        <v/>
      </c>
      <c r="DE8" s="402">
        <f>IF(AND(105&gt;=$NR$8,105&lt;=$NS$8),IF($NP$8="Single_Point",IF(105=$NR$8,$NN$8,0),IF($NP$8="Bell_Curve",$NN$8*(105-$NR$8+1)*($NS$8-105+1)/$NU$8,$NN$8/$NT$8)),0)</f>
        <v/>
      </c>
      <c r="DF8" s="402">
        <f>IF(AND(106&gt;=$NR$8,106&lt;=$NS$8),IF($NP$8="Single_Point",IF(106=$NR$8,$NN$8,0),IF($NP$8="Bell_Curve",$NN$8*(106-$NR$8+1)*($NS$8-106+1)/$NU$8,$NN$8/$NT$8)),0)</f>
        <v/>
      </c>
      <c r="DG8" s="402">
        <f>IF(AND(107&gt;=$NR$8,107&lt;=$NS$8),IF($NP$8="Single_Point",IF(107=$NR$8,$NN$8,0),IF($NP$8="Bell_Curve",$NN$8*(107-$NR$8+1)*($NS$8-107+1)/$NU$8,$NN$8/$NT$8)),0)</f>
        <v/>
      </c>
      <c r="DH8" s="402">
        <f>IF(AND(108&gt;=$NR$8,108&lt;=$NS$8),IF($NP$8="Single_Point",IF(108=$NR$8,$NN$8,0),IF($NP$8="Bell_Curve",$NN$8*(108-$NR$8+1)*($NS$8-108+1)/$NU$8,$NN$8/$NT$8)),0)</f>
        <v/>
      </c>
      <c r="DI8" s="402">
        <f>IF(AND(109&gt;=$NR$8,109&lt;=$NS$8),IF($NP$8="Single_Point",IF(109=$NR$8,$NN$8,0),IF($NP$8="Bell_Curve",$NN$8*(109-$NR$8+1)*($NS$8-109+1)/$NU$8,$NN$8/$NT$8)),0)</f>
        <v/>
      </c>
      <c r="DJ8" s="402">
        <f>IF(AND(110&gt;=$NR$8,110&lt;=$NS$8),IF($NP$8="Single_Point",IF(110=$NR$8,$NN$8,0),IF($NP$8="Bell_Curve",$NN$8*(110-$NR$8+1)*($NS$8-110+1)/$NU$8,$NN$8/$NT$8)),0)</f>
        <v/>
      </c>
      <c r="DK8" s="402">
        <f>IF(AND(111&gt;=$NR$8,111&lt;=$NS$8),IF($NP$8="Single_Point",IF(111=$NR$8,$NN$8,0),IF($NP$8="Bell_Curve",$NN$8*(111-$NR$8+1)*($NS$8-111+1)/$NU$8,$NN$8/$NT$8)),0)</f>
        <v/>
      </c>
      <c r="DL8" s="402">
        <f>IF(AND(112&gt;=$NR$8,112&lt;=$NS$8),IF($NP$8="Single_Point",IF(112=$NR$8,$NN$8,0),IF($NP$8="Bell_Curve",$NN$8*(112-$NR$8+1)*($NS$8-112+1)/$NU$8,$NN$8/$NT$8)),0)</f>
        <v/>
      </c>
      <c r="DM8" s="402">
        <f>IF(AND(113&gt;=$NR$8,113&lt;=$NS$8),IF($NP$8="Single_Point",IF(113=$NR$8,$NN$8,0),IF($NP$8="Bell_Curve",$NN$8*(113-$NR$8+1)*($NS$8-113+1)/$NU$8,$NN$8/$NT$8)),0)</f>
        <v/>
      </c>
      <c r="DN8" s="402">
        <f>IF(AND(114&gt;=$NR$8,114&lt;=$NS$8),IF($NP$8="Single_Point",IF(114=$NR$8,$NN$8,0),IF($NP$8="Bell_Curve",$NN$8*(114-$NR$8+1)*($NS$8-114+1)/$NU$8,$NN$8/$NT$8)),0)</f>
        <v/>
      </c>
      <c r="DO8" s="402">
        <f>IF(AND(115&gt;=$NR$8,115&lt;=$NS$8),IF($NP$8="Single_Point",IF(115=$NR$8,$NN$8,0),IF($NP$8="Bell_Curve",$NN$8*(115-$NR$8+1)*($NS$8-115+1)/$NU$8,$NN$8/$NT$8)),0)</f>
        <v/>
      </c>
      <c r="DP8" s="402">
        <f>IF(AND(116&gt;=$NR$8,116&lt;=$NS$8),IF($NP$8="Single_Point",IF(116=$NR$8,$NN$8,0),IF($NP$8="Bell_Curve",$NN$8*(116-$NR$8+1)*($NS$8-116+1)/$NU$8,$NN$8/$NT$8)),0)</f>
        <v/>
      </c>
      <c r="DQ8" s="402">
        <f>IF(AND(117&gt;=$NR$8,117&lt;=$NS$8),IF($NP$8="Single_Point",IF(117=$NR$8,$NN$8,0),IF($NP$8="Bell_Curve",$NN$8*(117-$NR$8+1)*($NS$8-117+1)/$NU$8,$NN$8/$NT$8)),0)</f>
        <v/>
      </c>
      <c r="DR8" s="402">
        <f>IF(AND(118&gt;=$NR$8,118&lt;=$NS$8),IF($NP$8="Single_Point",IF(118=$NR$8,$NN$8,0),IF($NP$8="Bell_Curve",$NN$8*(118-$NR$8+1)*($NS$8-118+1)/$NU$8,$NN$8/$NT$8)),0)</f>
        <v/>
      </c>
      <c r="DS8" s="402">
        <f>IF(AND(119&gt;=$NR$8,119&lt;=$NS$8),IF($NP$8="Single_Point",IF(119=$NR$8,$NN$8,0),IF($NP$8="Bell_Curve",$NN$8*(119-$NR$8+1)*($NS$8-119+1)/$NU$8,$NN$8/$NT$8)),0)</f>
        <v/>
      </c>
      <c r="DT8" s="402">
        <f>IF(AND(120&gt;=$NR$8,120&lt;=$NS$8),IF($NP$8="Single_Point",IF(120=$NR$8,$NN$8,0),IF($NP$8="Bell_Curve",$NN$8*(120-$NR$8+1)*($NS$8-120+1)/$NU$8,$NN$8/$NT$8)),0)</f>
        <v/>
      </c>
      <c r="DU8" s="402">
        <f>IF(AND(121&gt;=$NR$8,121&lt;=$NS$8),IF($NP$8="Single_Point",IF(121=$NR$8,$NN$8,0),IF($NP$8="Bell_Curve",$NN$8*(121-$NR$8+1)*($NS$8-121+1)/$NU$8,$NN$8/$NT$8)),0)</f>
        <v/>
      </c>
      <c r="DV8" s="402">
        <f>IF(AND(122&gt;=$NR$8,122&lt;=$NS$8),IF($NP$8="Single_Point",IF(122=$NR$8,$NN$8,0),IF($NP$8="Bell_Curve",$NN$8*(122-$NR$8+1)*($NS$8-122+1)/$NU$8,$NN$8/$NT$8)),0)</f>
        <v/>
      </c>
      <c r="DW8" s="402">
        <f>IF(AND(123&gt;=$NR$8,123&lt;=$NS$8),IF($NP$8="Single_Point",IF(123=$NR$8,$NN$8,0),IF($NP$8="Bell_Curve",$NN$8*(123-$NR$8+1)*($NS$8-123+1)/$NU$8,$NN$8/$NT$8)),0)</f>
        <v/>
      </c>
      <c r="DX8" s="402">
        <f>IF(AND(124&gt;=$NR$8,124&lt;=$NS$8),IF($NP$8="Single_Point",IF(124=$NR$8,$NN$8,0),IF($NP$8="Bell_Curve",$NN$8*(124-$NR$8+1)*($NS$8-124+1)/$NU$8,$NN$8/$NT$8)),0)</f>
        <v/>
      </c>
      <c r="DY8" s="402">
        <f>IF(AND(125&gt;=$NR$8,125&lt;=$NS$8),IF($NP$8="Single_Point",IF(125=$NR$8,$NN$8,0),IF($NP$8="Bell_Curve",$NN$8*(125-$NR$8+1)*($NS$8-125+1)/$NU$8,$NN$8/$NT$8)),0)</f>
        <v/>
      </c>
      <c r="DZ8" s="402">
        <f>IF(AND(126&gt;=$NR$8,126&lt;=$NS$8),IF($NP$8="Single_Point",IF(126=$NR$8,$NN$8,0),IF($NP$8="Bell_Curve",$NN$8*(126-$NR$8+1)*($NS$8-126+1)/$NU$8,$NN$8/$NT$8)),0)</f>
        <v/>
      </c>
      <c r="EA8" s="402">
        <f>IF(AND(127&gt;=$NR$8,127&lt;=$NS$8),IF($NP$8="Single_Point",IF(127=$NR$8,$NN$8,0),IF($NP$8="Bell_Curve",$NN$8*(127-$NR$8+1)*($NS$8-127+1)/$NU$8,$NN$8/$NT$8)),0)</f>
        <v/>
      </c>
      <c r="EB8" s="402">
        <f>IF(AND(128&gt;=$NR$8,128&lt;=$NS$8),IF($NP$8="Single_Point",IF(128=$NR$8,$NN$8,0),IF($NP$8="Bell_Curve",$NN$8*(128-$NR$8+1)*($NS$8-128+1)/$NU$8,$NN$8/$NT$8)),0)</f>
        <v/>
      </c>
      <c r="EC8" s="402">
        <f>IF(AND(129&gt;=$NR$8,129&lt;=$NS$8),IF($NP$8="Single_Point",IF(129=$NR$8,$NN$8,0),IF($NP$8="Bell_Curve",$NN$8*(129-$NR$8+1)*($NS$8-129+1)/$NU$8,$NN$8/$NT$8)),0)</f>
        <v/>
      </c>
      <c r="ED8" s="402">
        <f>IF(AND(130&gt;=$NR$8,130&lt;=$NS$8),IF($NP$8="Single_Point",IF(130=$NR$8,$NN$8,0),IF($NP$8="Bell_Curve",$NN$8*(130-$NR$8+1)*($NS$8-130+1)/$NU$8,$NN$8/$NT$8)),0)</f>
        <v/>
      </c>
      <c r="EE8" s="402">
        <f>IF(AND(131&gt;=$NR$8,131&lt;=$NS$8),IF($NP$8="Single_Point",IF(131=$NR$8,$NN$8,0),IF($NP$8="Bell_Curve",$NN$8*(131-$NR$8+1)*($NS$8-131+1)/$NU$8,$NN$8/$NT$8)),0)</f>
        <v/>
      </c>
      <c r="EF8" s="402">
        <f>IF(AND(132&gt;=$NR$8,132&lt;=$NS$8),IF($NP$8="Single_Point",IF(132=$NR$8,$NN$8,0),IF($NP$8="Bell_Curve",$NN$8*(132-$NR$8+1)*($NS$8-132+1)/$NU$8,$NN$8/$NT$8)),0)</f>
        <v/>
      </c>
      <c r="EG8" s="402">
        <f>IF(AND(133&gt;=$NR$8,133&lt;=$NS$8),IF($NP$8="Single_Point",IF(133=$NR$8,$NN$8,0),IF($NP$8="Bell_Curve",$NN$8*(133-$NR$8+1)*($NS$8-133+1)/$NU$8,$NN$8/$NT$8)),0)</f>
        <v/>
      </c>
      <c r="EH8" s="402">
        <f>IF(AND(134&gt;=$NR$8,134&lt;=$NS$8),IF($NP$8="Single_Point",IF(134=$NR$8,$NN$8,0),IF($NP$8="Bell_Curve",$NN$8*(134-$NR$8+1)*($NS$8-134+1)/$NU$8,$NN$8/$NT$8)),0)</f>
        <v/>
      </c>
      <c r="EI8" s="402">
        <f>IF(AND(135&gt;=$NR$8,135&lt;=$NS$8),IF($NP$8="Single_Point",IF(135=$NR$8,$NN$8,0),IF($NP$8="Bell_Curve",$NN$8*(135-$NR$8+1)*($NS$8-135+1)/$NU$8,$NN$8/$NT$8)),0)</f>
        <v/>
      </c>
      <c r="EJ8" s="402">
        <f>IF(AND(136&gt;=$NR$8,136&lt;=$NS$8),IF($NP$8="Single_Point",IF(136=$NR$8,$NN$8,0),IF($NP$8="Bell_Curve",$NN$8*(136-$NR$8+1)*($NS$8-136+1)/$NU$8,$NN$8/$NT$8)),0)</f>
        <v/>
      </c>
      <c r="EK8" s="402">
        <f>IF(AND(137&gt;=$NR$8,137&lt;=$NS$8),IF($NP$8="Single_Point",IF(137=$NR$8,$NN$8,0),IF($NP$8="Bell_Curve",$NN$8*(137-$NR$8+1)*($NS$8-137+1)/$NU$8,$NN$8/$NT$8)),0)</f>
        <v/>
      </c>
      <c r="EL8" s="402">
        <f>IF(AND(138&gt;=$NR$8,138&lt;=$NS$8),IF($NP$8="Single_Point",IF(138=$NR$8,$NN$8,0),IF($NP$8="Bell_Curve",$NN$8*(138-$NR$8+1)*($NS$8-138+1)/$NU$8,$NN$8/$NT$8)),0)</f>
        <v/>
      </c>
      <c r="EM8" s="402">
        <f>IF(AND(139&gt;=$NR$8,139&lt;=$NS$8),IF($NP$8="Single_Point",IF(139=$NR$8,$NN$8,0),IF($NP$8="Bell_Curve",$NN$8*(139-$NR$8+1)*($NS$8-139+1)/$NU$8,$NN$8/$NT$8)),0)</f>
        <v/>
      </c>
      <c r="EN8" s="402">
        <f>IF(AND(140&gt;=$NR$8,140&lt;=$NS$8),IF($NP$8="Single_Point",IF(140=$NR$8,$NN$8,0),IF($NP$8="Bell_Curve",$NN$8*(140-$NR$8+1)*($NS$8-140+1)/$NU$8,$NN$8/$NT$8)),0)</f>
        <v/>
      </c>
      <c r="EO8" s="402">
        <f>IF(AND(141&gt;=$NR$8,141&lt;=$NS$8),IF($NP$8="Single_Point",IF(141=$NR$8,$NN$8,0),IF($NP$8="Bell_Curve",$NN$8*(141-$NR$8+1)*($NS$8-141+1)/$NU$8,$NN$8/$NT$8)),0)</f>
        <v/>
      </c>
      <c r="EP8" s="402">
        <f>IF(AND(142&gt;=$NR$8,142&lt;=$NS$8),IF($NP$8="Single_Point",IF(142=$NR$8,$NN$8,0),IF($NP$8="Bell_Curve",$NN$8*(142-$NR$8+1)*($NS$8-142+1)/$NU$8,$NN$8/$NT$8)),0)</f>
        <v/>
      </c>
      <c r="EQ8" s="402">
        <f>IF(AND(143&gt;=$NR$8,143&lt;=$NS$8),IF($NP$8="Single_Point",IF(143=$NR$8,$NN$8,0),IF($NP$8="Bell_Curve",$NN$8*(143-$NR$8+1)*($NS$8-143+1)/$NU$8,$NN$8/$NT$8)),0)</f>
        <v/>
      </c>
      <c r="ER8" s="402">
        <f>IF(AND(144&gt;=$NR$8,144&lt;=$NS$8),IF($NP$8="Single_Point",IF(144=$NR$8,$NN$8,0),IF($NP$8="Bell_Curve",$NN$8*(144-$NR$8+1)*($NS$8-144+1)/$NU$8,$NN$8/$NT$8)),0)</f>
        <v/>
      </c>
      <c r="ES8" s="402">
        <f>IF(AND(145&gt;=$NR$8,145&lt;=$NS$8),IF($NP$8="Single_Point",IF(145=$NR$8,$NN$8,0),IF($NP$8="Bell_Curve",$NN$8*(145-$NR$8+1)*($NS$8-145+1)/$NU$8,$NN$8/$NT$8)),0)</f>
        <v/>
      </c>
      <c r="ET8" s="402">
        <f>IF(AND(146&gt;=$NR$8,146&lt;=$NS$8),IF($NP$8="Single_Point",IF(146=$NR$8,$NN$8,0),IF($NP$8="Bell_Curve",$NN$8*(146-$NR$8+1)*($NS$8-146+1)/$NU$8,$NN$8/$NT$8)),0)</f>
        <v/>
      </c>
      <c r="EU8" s="402">
        <f>IF(AND(147&gt;=$NR$8,147&lt;=$NS$8),IF($NP$8="Single_Point",IF(147=$NR$8,$NN$8,0),IF($NP$8="Bell_Curve",$NN$8*(147-$NR$8+1)*($NS$8-147+1)/$NU$8,$NN$8/$NT$8)),0)</f>
        <v/>
      </c>
      <c r="EV8" s="402">
        <f>IF(AND(148&gt;=$NR$8,148&lt;=$NS$8),IF($NP$8="Single_Point",IF(148=$NR$8,$NN$8,0),IF($NP$8="Bell_Curve",$NN$8*(148-$NR$8+1)*($NS$8-148+1)/$NU$8,$NN$8/$NT$8)),0)</f>
        <v/>
      </c>
      <c r="EW8" s="402">
        <f>IF(AND(149&gt;=$NR$8,149&lt;=$NS$8),IF($NP$8="Single_Point",IF(149=$NR$8,$NN$8,0),IF($NP$8="Bell_Curve",$NN$8*(149-$NR$8+1)*($NS$8-149+1)/$NU$8,$NN$8/$NT$8)),0)</f>
        <v/>
      </c>
      <c r="EX8" s="402">
        <f>IF(AND(150&gt;=$NR$8,150&lt;=$NS$8),IF($NP$8="Single_Point",IF(150=$NR$8,$NN$8,0),IF($NP$8="Bell_Curve",$NN$8*(150-$NR$8+1)*($NS$8-150+1)/$NU$8,$NN$8/$NT$8)),0)</f>
        <v/>
      </c>
      <c r="EY8" s="402">
        <f>IF(AND(151&gt;=$NR$8,151&lt;=$NS$8),IF($NP$8="Single_Point",IF(151=$NR$8,$NN$8,0),IF($NP$8="Bell_Curve",$NN$8*(151-$NR$8+1)*($NS$8-151+1)/$NU$8,$NN$8/$NT$8)),0)</f>
        <v/>
      </c>
      <c r="EZ8" s="402">
        <f>IF(AND(152&gt;=$NR$8,152&lt;=$NS$8),IF($NP$8="Single_Point",IF(152=$NR$8,$NN$8,0),IF($NP$8="Bell_Curve",$NN$8*(152-$NR$8+1)*($NS$8-152+1)/$NU$8,$NN$8/$NT$8)),0)</f>
        <v/>
      </c>
      <c r="FA8" s="402">
        <f>IF(AND(153&gt;=$NR$8,153&lt;=$NS$8),IF($NP$8="Single_Point",IF(153=$NR$8,$NN$8,0),IF($NP$8="Bell_Curve",$NN$8*(153-$NR$8+1)*($NS$8-153+1)/$NU$8,$NN$8/$NT$8)),0)</f>
        <v/>
      </c>
      <c r="FB8" s="402">
        <f>IF(AND(154&gt;=$NR$8,154&lt;=$NS$8),IF($NP$8="Single_Point",IF(154=$NR$8,$NN$8,0),IF($NP$8="Bell_Curve",$NN$8*(154-$NR$8+1)*($NS$8-154+1)/$NU$8,$NN$8/$NT$8)),0)</f>
        <v/>
      </c>
      <c r="FC8" s="402">
        <f>IF(AND(155&gt;=$NR$8,155&lt;=$NS$8),IF($NP$8="Single_Point",IF(155=$NR$8,$NN$8,0),IF($NP$8="Bell_Curve",$NN$8*(155-$NR$8+1)*($NS$8-155+1)/$NU$8,$NN$8/$NT$8)),0)</f>
        <v/>
      </c>
      <c r="FD8" s="402">
        <f>IF(AND(156&gt;=$NR$8,156&lt;=$NS$8),IF($NP$8="Single_Point",IF(156=$NR$8,$NN$8,0),IF($NP$8="Bell_Curve",$NN$8*(156-$NR$8+1)*($NS$8-156+1)/$NU$8,$NN$8/$NT$8)),0)</f>
        <v/>
      </c>
      <c r="FE8" s="402">
        <f>IF(AND(157&gt;=$NR$8,157&lt;=$NS$8),IF($NP$8="Single_Point",IF(157=$NR$8,$NN$8,0),IF($NP$8="Bell_Curve",$NN$8*(157-$NR$8+1)*($NS$8-157+1)/$NU$8,$NN$8/$NT$8)),0)</f>
        <v/>
      </c>
      <c r="FF8" s="402">
        <f>IF(AND(158&gt;=$NR$8,158&lt;=$NS$8),IF($NP$8="Single_Point",IF(158=$NR$8,$NN$8,0),IF($NP$8="Bell_Curve",$NN$8*(158-$NR$8+1)*($NS$8-158+1)/$NU$8,$NN$8/$NT$8)),0)</f>
        <v/>
      </c>
      <c r="FG8" s="402">
        <f>IF(AND(159&gt;=$NR$8,159&lt;=$NS$8),IF($NP$8="Single_Point",IF(159=$NR$8,$NN$8,0),IF($NP$8="Bell_Curve",$NN$8*(159-$NR$8+1)*($NS$8-159+1)/$NU$8,$NN$8/$NT$8)),0)</f>
        <v/>
      </c>
      <c r="FH8" s="402">
        <f>IF(AND(160&gt;=$NR$8,160&lt;=$NS$8),IF($NP$8="Single_Point",IF(160=$NR$8,$NN$8,0),IF($NP$8="Bell_Curve",$NN$8*(160-$NR$8+1)*($NS$8-160+1)/$NU$8,$NN$8/$NT$8)),0)</f>
        <v/>
      </c>
      <c r="FI8" s="402">
        <f>IF(AND(161&gt;=$NR$8,161&lt;=$NS$8),IF($NP$8="Single_Point",IF(161=$NR$8,$NN$8,0),IF($NP$8="Bell_Curve",$NN$8*(161-$NR$8+1)*($NS$8-161+1)/$NU$8,$NN$8/$NT$8)),0)</f>
        <v/>
      </c>
      <c r="FJ8" s="402">
        <f>IF(AND(162&gt;=$NR$8,162&lt;=$NS$8),IF($NP$8="Single_Point",IF(162=$NR$8,$NN$8,0),IF($NP$8="Bell_Curve",$NN$8*(162-$NR$8+1)*($NS$8-162+1)/$NU$8,$NN$8/$NT$8)),0)</f>
        <v/>
      </c>
      <c r="FK8" s="402">
        <f>IF(AND(163&gt;=$NR$8,163&lt;=$NS$8),IF($NP$8="Single_Point",IF(163=$NR$8,$NN$8,0),IF($NP$8="Bell_Curve",$NN$8*(163-$NR$8+1)*($NS$8-163+1)/$NU$8,$NN$8/$NT$8)),0)</f>
        <v/>
      </c>
      <c r="FL8" s="402">
        <f>IF(AND(164&gt;=$NR$8,164&lt;=$NS$8),IF($NP$8="Single_Point",IF(164=$NR$8,$NN$8,0),IF($NP$8="Bell_Curve",$NN$8*(164-$NR$8+1)*($NS$8-164+1)/$NU$8,$NN$8/$NT$8)),0)</f>
        <v/>
      </c>
      <c r="FM8" s="402">
        <f>IF(AND(165&gt;=$NR$8,165&lt;=$NS$8),IF($NP$8="Single_Point",IF(165=$NR$8,$NN$8,0),IF($NP$8="Bell_Curve",$NN$8*(165-$NR$8+1)*($NS$8-165+1)/$NU$8,$NN$8/$NT$8)),0)</f>
        <v/>
      </c>
      <c r="FN8" s="402">
        <f>IF(AND(166&gt;=$NR$8,166&lt;=$NS$8),IF($NP$8="Single_Point",IF(166=$NR$8,$NN$8,0),IF($NP$8="Bell_Curve",$NN$8*(166-$NR$8+1)*($NS$8-166+1)/$NU$8,$NN$8/$NT$8)),0)</f>
        <v/>
      </c>
      <c r="FO8" s="402">
        <f>IF(AND(167&gt;=$NR$8,167&lt;=$NS$8),IF($NP$8="Single_Point",IF(167=$NR$8,$NN$8,0),IF($NP$8="Bell_Curve",$NN$8*(167-$NR$8+1)*($NS$8-167+1)/$NU$8,$NN$8/$NT$8)),0)</f>
        <v/>
      </c>
      <c r="FP8" s="402">
        <f>IF(AND(168&gt;=$NR$8,168&lt;=$NS$8),IF($NP$8="Single_Point",IF(168=$NR$8,$NN$8,0),IF($NP$8="Bell_Curve",$NN$8*(168-$NR$8+1)*($NS$8-168+1)/$NU$8,$NN$8/$NT$8)),0)</f>
        <v/>
      </c>
      <c r="FQ8" s="402">
        <f>IF(AND(169&gt;=$NR$8,169&lt;=$NS$8),IF($NP$8="Single_Point",IF(169=$NR$8,$NN$8,0),IF($NP$8="Bell_Curve",$NN$8*(169-$NR$8+1)*($NS$8-169+1)/$NU$8,$NN$8/$NT$8)),0)</f>
        <v/>
      </c>
      <c r="FR8" s="402">
        <f>IF(AND(170&gt;=$NR$8,170&lt;=$NS$8),IF($NP$8="Single_Point",IF(170=$NR$8,$NN$8,0),IF($NP$8="Bell_Curve",$NN$8*(170-$NR$8+1)*($NS$8-170+1)/$NU$8,$NN$8/$NT$8)),0)</f>
        <v/>
      </c>
      <c r="FS8" s="402">
        <f>IF(AND(171&gt;=$NR$8,171&lt;=$NS$8),IF($NP$8="Single_Point",IF(171=$NR$8,$NN$8,0),IF($NP$8="Bell_Curve",$NN$8*(171-$NR$8+1)*($NS$8-171+1)/$NU$8,$NN$8/$NT$8)),0)</f>
        <v/>
      </c>
      <c r="FT8" s="402">
        <f>IF(AND(172&gt;=$NR$8,172&lt;=$NS$8),IF($NP$8="Single_Point",IF(172=$NR$8,$NN$8,0),IF($NP$8="Bell_Curve",$NN$8*(172-$NR$8+1)*($NS$8-172+1)/$NU$8,$NN$8/$NT$8)),0)</f>
        <v/>
      </c>
      <c r="FU8" s="402">
        <f>IF(AND(173&gt;=$NR$8,173&lt;=$NS$8),IF($NP$8="Single_Point",IF(173=$NR$8,$NN$8,0),IF($NP$8="Bell_Curve",$NN$8*(173-$NR$8+1)*($NS$8-173+1)/$NU$8,$NN$8/$NT$8)),0)</f>
        <v/>
      </c>
      <c r="FV8" s="402">
        <f>IF(AND(174&gt;=$NR$8,174&lt;=$NS$8),IF($NP$8="Single_Point",IF(174=$NR$8,$NN$8,0),IF($NP$8="Bell_Curve",$NN$8*(174-$NR$8+1)*($NS$8-174+1)/$NU$8,$NN$8/$NT$8)),0)</f>
        <v/>
      </c>
      <c r="FW8" s="402">
        <f>IF(AND(175&gt;=$NR$8,175&lt;=$NS$8),IF($NP$8="Single_Point",IF(175=$NR$8,$NN$8,0),IF($NP$8="Bell_Curve",$NN$8*(175-$NR$8+1)*($NS$8-175+1)/$NU$8,$NN$8/$NT$8)),0)</f>
        <v/>
      </c>
      <c r="FX8" s="402">
        <f>IF(AND(176&gt;=$NR$8,176&lt;=$NS$8),IF($NP$8="Single_Point",IF(176=$NR$8,$NN$8,0),IF($NP$8="Bell_Curve",$NN$8*(176-$NR$8+1)*($NS$8-176+1)/$NU$8,$NN$8/$NT$8)),0)</f>
        <v/>
      </c>
      <c r="FY8" s="402">
        <f>IF(AND(177&gt;=$NR$8,177&lt;=$NS$8),IF($NP$8="Single_Point",IF(177=$NR$8,$NN$8,0),IF($NP$8="Bell_Curve",$NN$8*(177-$NR$8+1)*($NS$8-177+1)/$NU$8,$NN$8/$NT$8)),0)</f>
        <v/>
      </c>
      <c r="FZ8" s="402">
        <f>IF(AND(178&gt;=$NR$8,178&lt;=$NS$8),IF($NP$8="Single_Point",IF(178=$NR$8,$NN$8,0),IF($NP$8="Bell_Curve",$NN$8*(178-$NR$8+1)*($NS$8-178+1)/$NU$8,$NN$8/$NT$8)),0)</f>
        <v/>
      </c>
      <c r="GA8" s="402">
        <f>IF(AND(179&gt;=$NR$8,179&lt;=$NS$8),IF($NP$8="Single_Point",IF(179=$NR$8,$NN$8,0),IF($NP$8="Bell_Curve",$NN$8*(179-$NR$8+1)*($NS$8-179+1)/$NU$8,$NN$8/$NT$8)),0)</f>
        <v/>
      </c>
      <c r="GB8" s="402">
        <f>IF(AND(180&gt;=$NR$8,180&lt;=$NS$8),IF($NP$8="Single_Point",IF(180=$NR$8,$NN$8,0),IF($NP$8="Bell_Curve",$NN$8*(180-$NR$8+1)*($NS$8-180+1)/$NU$8,$NN$8/$NT$8)),0)</f>
        <v/>
      </c>
      <c r="GC8" s="402">
        <f>IF(AND(181&gt;=$NR$8,181&lt;=$NS$8),IF($NP$8="Single_Point",IF(181=$NR$8,$NN$8,0),IF($NP$8="Bell_Curve",$NN$8*(181-$NR$8+1)*($NS$8-181+1)/$NU$8,$NN$8/$NT$8)),0)</f>
        <v/>
      </c>
      <c r="GD8" s="402">
        <f>IF(AND(182&gt;=$NR$8,182&lt;=$NS$8),IF($NP$8="Single_Point",IF(182=$NR$8,$NN$8,0),IF($NP$8="Bell_Curve",$NN$8*(182-$NR$8+1)*($NS$8-182+1)/$NU$8,$NN$8/$NT$8)),0)</f>
        <v/>
      </c>
      <c r="GE8" s="402">
        <f>IF(AND(183&gt;=$NR$8,183&lt;=$NS$8),IF($NP$8="Single_Point",IF(183=$NR$8,$NN$8,0),IF($NP$8="Bell_Curve",$NN$8*(183-$NR$8+1)*($NS$8-183+1)/$NU$8,$NN$8/$NT$8)),0)</f>
        <v/>
      </c>
      <c r="GF8" s="402">
        <f>IF(AND(184&gt;=$NR$8,184&lt;=$NS$8),IF($NP$8="Single_Point",IF(184=$NR$8,$NN$8,0),IF($NP$8="Bell_Curve",$NN$8*(184-$NR$8+1)*($NS$8-184+1)/$NU$8,$NN$8/$NT$8)),0)</f>
        <v/>
      </c>
      <c r="GG8" s="402">
        <f>IF(AND(185&gt;=$NR$8,185&lt;=$NS$8),IF($NP$8="Single_Point",IF(185=$NR$8,$NN$8,0),IF($NP$8="Bell_Curve",$NN$8*(185-$NR$8+1)*($NS$8-185+1)/$NU$8,$NN$8/$NT$8)),0)</f>
        <v/>
      </c>
      <c r="GH8" s="402">
        <f>IF(AND(186&gt;=$NR$8,186&lt;=$NS$8),IF($NP$8="Single_Point",IF(186=$NR$8,$NN$8,0),IF($NP$8="Bell_Curve",$NN$8*(186-$NR$8+1)*($NS$8-186+1)/$NU$8,$NN$8/$NT$8)),0)</f>
        <v/>
      </c>
      <c r="GI8" s="402">
        <f>IF(AND(187&gt;=$NR$8,187&lt;=$NS$8),IF($NP$8="Single_Point",IF(187=$NR$8,$NN$8,0),IF($NP$8="Bell_Curve",$NN$8*(187-$NR$8+1)*($NS$8-187+1)/$NU$8,$NN$8/$NT$8)),0)</f>
        <v/>
      </c>
      <c r="GJ8" s="402">
        <f>IF(AND(188&gt;=$NR$8,188&lt;=$NS$8),IF($NP$8="Single_Point",IF(188=$NR$8,$NN$8,0),IF($NP$8="Bell_Curve",$NN$8*(188-$NR$8+1)*($NS$8-188+1)/$NU$8,$NN$8/$NT$8)),0)</f>
        <v/>
      </c>
      <c r="GK8" s="402">
        <f>IF(AND(189&gt;=$NR$8,189&lt;=$NS$8),IF($NP$8="Single_Point",IF(189=$NR$8,$NN$8,0),IF($NP$8="Bell_Curve",$NN$8*(189-$NR$8+1)*($NS$8-189+1)/$NU$8,$NN$8/$NT$8)),0)</f>
        <v/>
      </c>
      <c r="GL8" s="402">
        <f>IF(AND(190&gt;=$NR$8,190&lt;=$NS$8),IF($NP$8="Single_Point",IF(190=$NR$8,$NN$8,0),IF($NP$8="Bell_Curve",$NN$8*(190-$NR$8+1)*($NS$8-190+1)/$NU$8,$NN$8/$NT$8)),0)</f>
        <v/>
      </c>
      <c r="GM8" s="402">
        <f>IF(AND(191&gt;=$NR$8,191&lt;=$NS$8),IF($NP$8="Single_Point",IF(191=$NR$8,$NN$8,0),IF($NP$8="Bell_Curve",$NN$8*(191-$NR$8+1)*($NS$8-191+1)/$NU$8,$NN$8/$NT$8)),0)</f>
        <v/>
      </c>
      <c r="GN8" s="402">
        <f>IF(AND(192&gt;=$NR$8,192&lt;=$NS$8),IF($NP$8="Single_Point",IF(192=$NR$8,$NN$8,0),IF($NP$8="Bell_Curve",$NN$8*(192-$NR$8+1)*($NS$8-192+1)/$NU$8,$NN$8/$NT$8)),0)</f>
        <v/>
      </c>
      <c r="GO8" s="402">
        <f>IF(AND(193&gt;=$NR$8,193&lt;=$NS$8),IF($NP$8="Single_Point",IF(193=$NR$8,$NN$8,0),IF($NP$8="Bell_Curve",$NN$8*(193-$NR$8+1)*($NS$8-193+1)/$NU$8,$NN$8/$NT$8)),0)</f>
        <v/>
      </c>
      <c r="GP8" s="402">
        <f>IF(AND(194&gt;=$NR$8,194&lt;=$NS$8),IF($NP$8="Single_Point",IF(194=$NR$8,$NN$8,0),IF($NP$8="Bell_Curve",$NN$8*(194-$NR$8+1)*($NS$8-194+1)/$NU$8,$NN$8/$NT$8)),0)</f>
        <v/>
      </c>
      <c r="GQ8" s="402">
        <f>IF(AND(195&gt;=$NR$8,195&lt;=$NS$8),IF($NP$8="Single_Point",IF(195=$NR$8,$NN$8,0),IF($NP$8="Bell_Curve",$NN$8*(195-$NR$8+1)*($NS$8-195+1)/$NU$8,$NN$8/$NT$8)),0)</f>
        <v/>
      </c>
      <c r="GR8" s="402">
        <f>IF(AND(196&gt;=$NR$8,196&lt;=$NS$8),IF($NP$8="Single_Point",IF(196=$NR$8,$NN$8,0),IF($NP$8="Bell_Curve",$NN$8*(196-$NR$8+1)*($NS$8-196+1)/$NU$8,$NN$8/$NT$8)),0)</f>
        <v/>
      </c>
      <c r="GS8" s="402">
        <f>IF(AND(197&gt;=$NR$8,197&lt;=$NS$8),IF($NP$8="Single_Point",IF(197=$NR$8,$NN$8,0),IF($NP$8="Bell_Curve",$NN$8*(197-$NR$8+1)*($NS$8-197+1)/$NU$8,$NN$8/$NT$8)),0)</f>
        <v/>
      </c>
      <c r="GT8" s="402">
        <f>IF(AND(198&gt;=$NR$8,198&lt;=$NS$8),IF($NP$8="Single_Point",IF(198=$NR$8,$NN$8,0),IF($NP$8="Bell_Curve",$NN$8*(198-$NR$8+1)*($NS$8-198+1)/$NU$8,$NN$8/$NT$8)),0)</f>
        <v/>
      </c>
      <c r="GU8" s="402">
        <f>IF(AND(199&gt;=$NR$8,199&lt;=$NS$8),IF($NP$8="Single_Point",IF(199=$NR$8,$NN$8,0),IF($NP$8="Bell_Curve",$NN$8*(199-$NR$8+1)*($NS$8-199+1)/$NU$8,$NN$8/$NT$8)),0)</f>
        <v/>
      </c>
      <c r="GV8" s="402">
        <f>IF(AND(200&gt;=$NR$8,200&lt;=$NS$8),IF($NP$8="Single_Point",IF(200=$NR$8,$NN$8,0),IF($NP$8="Bell_Curve",$NN$8*(200-$NR$8+1)*($NS$8-200+1)/$NU$8,$NN$8/$NT$8)),0)</f>
        <v/>
      </c>
      <c r="GW8" s="402">
        <f>IF(AND(201&gt;=$NR$8,201&lt;=$NS$8),IF($NP$8="Single_Point",IF(201=$NR$8,$NN$8,0),IF($NP$8="Bell_Curve",$NN$8*(201-$NR$8+1)*($NS$8-201+1)/$NU$8,$NN$8/$NT$8)),0)</f>
        <v/>
      </c>
      <c r="GX8" s="402">
        <f>IF(AND(202&gt;=$NR$8,202&lt;=$NS$8),IF($NP$8="Single_Point",IF(202=$NR$8,$NN$8,0),IF($NP$8="Bell_Curve",$NN$8*(202-$NR$8+1)*($NS$8-202+1)/$NU$8,$NN$8/$NT$8)),0)</f>
        <v/>
      </c>
      <c r="GY8" s="402">
        <f>IF(AND(203&gt;=$NR$8,203&lt;=$NS$8),IF($NP$8="Single_Point",IF(203=$NR$8,$NN$8,0),IF($NP$8="Bell_Curve",$NN$8*(203-$NR$8+1)*($NS$8-203+1)/$NU$8,$NN$8/$NT$8)),0)</f>
        <v/>
      </c>
      <c r="GZ8" s="402">
        <f>IF(AND(204&gt;=$NR$8,204&lt;=$NS$8),IF($NP$8="Single_Point",IF(204=$NR$8,$NN$8,0),IF($NP$8="Bell_Curve",$NN$8*(204-$NR$8+1)*($NS$8-204+1)/$NU$8,$NN$8/$NT$8)),0)</f>
        <v/>
      </c>
      <c r="HA8" s="402">
        <f>IF(AND(205&gt;=$NR$8,205&lt;=$NS$8),IF($NP$8="Single_Point",IF(205=$NR$8,$NN$8,0),IF($NP$8="Bell_Curve",$NN$8*(205-$NR$8+1)*($NS$8-205+1)/$NU$8,$NN$8/$NT$8)),0)</f>
        <v/>
      </c>
      <c r="HB8" s="402">
        <f>IF(AND(206&gt;=$NR$8,206&lt;=$NS$8),IF($NP$8="Single_Point",IF(206=$NR$8,$NN$8,0),IF($NP$8="Bell_Curve",$NN$8*(206-$NR$8+1)*($NS$8-206+1)/$NU$8,$NN$8/$NT$8)),0)</f>
        <v/>
      </c>
      <c r="HC8" s="402">
        <f>IF(AND(207&gt;=$NR$8,207&lt;=$NS$8),IF($NP$8="Single_Point",IF(207=$NR$8,$NN$8,0),IF($NP$8="Bell_Curve",$NN$8*(207-$NR$8+1)*($NS$8-207+1)/$NU$8,$NN$8/$NT$8)),0)</f>
        <v/>
      </c>
      <c r="HD8" s="402">
        <f>IF(AND(208&gt;=$NR$8,208&lt;=$NS$8),IF($NP$8="Single_Point",IF(208=$NR$8,$NN$8,0),IF($NP$8="Bell_Curve",$NN$8*(208-$NR$8+1)*($NS$8-208+1)/$NU$8,$NN$8/$NT$8)),0)</f>
        <v/>
      </c>
      <c r="HE8" s="402">
        <f>IF(AND(209&gt;=$NR$8,209&lt;=$NS$8),IF($NP$8="Single_Point",IF(209=$NR$8,$NN$8,0),IF($NP$8="Bell_Curve",$NN$8*(209-$NR$8+1)*($NS$8-209+1)/$NU$8,$NN$8/$NT$8)),0)</f>
        <v/>
      </c>
      <c r="HF8" s="402">
        <f>IF(AND(210&gt;=$NR$8,210&lt;=$NS$8),IF($NP$8="Single_Point",IF(210=$NR$8,$NN$8,0),IF($NP$8="Bell_Curve",$NN$8*(210-$NR$8+1)*($NS$8-210+1)/$NU$8,$NN$8/$NT$8)),0)</f>
        <v/>
      </c>
      <c r="HG8" s="402">
        <f>IF(AND(211&gt;=$NR$8,211&lt;=$NS$8),IF($NP$8="Single_Point",IF(211=$NR$8,$NN$8,0),IF($NP$8="Bell_Curve",$NN$8*(211-$NR$8+1)*($NS$8-211+1)/$NU$8,$NN$8/$NT$8)),0)</f>
        <v/>
      </c>
      <c r="HH8" s="402">
        <f>IF(AND(212&gt;=$NR$8,212&lt;=$NS$8),IF($NP$8="Single_Point",IF(212=$NR$8,$NN$8,0),IF($NP$8="Bell_Curve",$NN$8*(212-$NR$8+1)*($NS$8-212+1)/$NU$8,$NN$8/$NT$8)),0)</f>
        <v/>
      </c>
      <c r="HI8" s="402">
        <f>IF(AND(213&gt;=$NR$8,213&lt;=$NS$8),IF($NP$8="Single_Point",IF(213=$NR$8,$NN$8,0),IF($NP$8="Bell_Curve",$NN$8*(213-$NR$8+1)*($NS$8-213+1)/$NU$8,$NN$8/$NT$8)),0)</f>
        <v/>
      </c>
      <c r="HJ8" s="402">
        <f>IF(AND(214&gt;=$NR$8,214&lt;=$NS$8),IF($NP$8="Single_Point",IF(214=$NR$8,$NN$8,0),IF($NP$8="Bell_Curve",$NN$8*(214-$NR$8+1)*($NS$8-214+1)/$NU$8,$NN$8/$NT$8)),0)</f>
        <v/>
      </c>
      <c r="HK8" s="402">
        <f>IF(AND(215&gt;=$NR$8,215&lt;=$NS$8),IF($NP$8="Single_Point",IF(215=$NR$8,$NN$8,0),IF($NP$8="Bell_Curve",$NN$8*(215-$NR$8+1)*($NS$8-215+1)/$NU$8,$NN$8/$NT$8)),0)</f>
        <v/>
      </c>
      <c r="HL8" s="402">
        <f>IF(AND(216&gt;=$NR$8,216&lt;=$NS$8),IF($NP$8="Single_Point",IF(216=$NR$8,$NN$8,0),IF($NP$8="Bell_Curve",$NN$8*(216-$NR$8+1)*($NS$8-216+1)/$NU$8,$NN$8/$NT$8)),0)</f>
        <v/>
      </c>
      <c r="HM8" s="402">
        <f>IF(AND(217&gt;=$NR$8,217&lt;=$NS$8),IF($NP$8="Single_Point",IF(217=$NR$8,$NN$8,0),IF($NP$8="Bell_Curve",$NN$8*(217-$NR$8+1)*($NS$8-217+1)/$NU$8,$NN$8/$NT$8)),0)</f>
        <v/>
      </c>
      <c r="HN8" s="402">
        <f>IF(AND(218&gt;=$NR$8,218&lt;=$NS$8),IF($NP$8="Single_Point",IF(218=$NR$8,$NN$8,0),IF($NP$8="Bell_Curve",$NN$8*(218-$NR$8+1)*($NS$8-218+1)/$NU$8,$NN$8/$NT$8)),0)</f>
        <v/>
      </c>
      <c r="HO8" s="402">
        <f>IF(AND(219&gt;=$NR$8,219&lt;=$NS$8),IF($NP$8="Single_Point",IF(219=$NR$8,$NN$8,0),IF($NP$8="Bell_Curve",$NN$8*(219-$NR$8+1)*($NS$8-219+1)/$NU$8,$NN$8/$NT$8)),0)</f>
        <v/>
      </c>
      <c r="HP8" s="402">
        <f>IF(AND(220&gt;=$NR$8,220&lt;=$NS$8),IF($NP$8="Single_Point",IF(220=$NR$8,$NN$8,0),IF($NP$8="Bell_Curve",$NN$8*(220-$NR$8+1)*($NS$8-220+1)/$NU$8,$NN$8/$NT$8)),0)</f>
        <v/>
      </c>
      <c r="HQ8" s="402">
        <f>IF(AND(221&gt;=$NR$8,221&lt;=$NS$8),IF($NP$8="Single_Point",IF(221=$NR$8,$NN$8,0),IF($NP$8="Bell_Curve",$NN$8*(221-$NR$8+1)*($NS$8-221+1)/$NU$8,$NN$8/$NT$8)),0)</f>
        <v/>
      </c>
      <c r="HR8" s="402">
        <f>IF(AND(222&gt;=$NR$8,222&lt;=$NS$8),IF($NP$8="Single_Point",IF(222=$NR$8,$NN$8,0),IF($NP$8="Bell_Curve",$NN$8*(222-$NR$8+1)*($NS$8-222+1)/$NU$8,$NN$8/$NT$8)),0)</f>
        <v/>
      </c>
      <c r="HS8" s="402">
        <f>IF(AND(223&gt;=$NR$8,223&lt;=$NS$8),IF($NP$8="Single_Point",IF(223=$NR$8,$NN$8,0),IF($NP$8="Bell_Curve",$NN$8*(223-$NR$8+1)*($NS$8-223+1)/$NU$8,$NN$8/$NT$8)),0)</f>
        <v/>
      </c>
      <c r="HT8" s="402">
        <f>IF(AND(224&gt;=$NR$8,224&lt;=$NS$8),IF($NP$8="Single_Point",IF(224=$NR$8,$NN$8,0),IF($NP$8="Bell_Curve",$NN$8*(224-$NR$8+1)*($NS$8-224+1)/$NU$8,$NN$8/$NT$8)),0)</f>
        <v/>
      </c>
      <c r="HU8" s="402">
        <f>IF(AND(225&gt;=$NR$8,225&lt;=$NS$8),IF($NP$8="Single_Point",IF(225=$NR$8,$NN$8,0),IF($NP$8="Bell_Curve",$NN$8*(225-$NR$8+1)*($NS$8-225+1)/$NU$8,$NN$8/$NT$8)),0)</f>
        <v/>
      </c>
      <c r="HV8" s="402">
        <f>IF(AND(226&gt;=$NR$8,226&lt;=$NS$8),IF($NP$8="Single_Point",IF(226=$NR$8,$NN$8,0),IF($NP$8="Bell_Curve",$NN$8*(226-$NR$8+1)*($NS$8-226+1)/$NU$8,$NN$8/$NT$8)),0)</f>
        <v/>
      </c>
      <c r="HW8" s="402">
        <f>IF(AND(227&gt;=$NR$8,227&lt;=$NS$8),IF($NP$8="Single_Point",IF(227=$NR$8,$NN$8,0),IF($NP$8="Bell_Curve",$NN$8*(227-$NR$8+1)*($NS$8-227+1)/$NU$8,$NN$8/$NT$8)),0)</f>
        <v/>
      </c>
      <c r="HX8" s="402">
        <f>IF(AND(228&gt;=$NR$8,228&lt;=$NS$8),IF($NP$8="Single_Point",IF(228=$NR$8,$NN$8,0),IF($NP$8="Bell_Curve",$NN$8*(228-$NR$8+1)*($NS$8-228+1)/$NU$8,$NN$8/$NT$8)),0)</f>
        <v/>
      </c>
      <c r="HY8" s="402">
        <f>IF(AND(229&gt;=$NR$8,229&lt;=$NS$8),IF($NP$8="Single_Point",IF(229=$NR$8,$NN$8,0),IF($NP$8="Bell_Curve",$NN$8*(229-$NR$8+1)*($NS$8-229+1)/$NU$8,$NN$8/$NT$8)),0)</f>
        <v/>
      </c>
      <c r="HZ8" s="402">
        <f>IF(AND(230&gt;=$NR$8,230&lt;=$NS$8),IF($NP$8="Single_Point",IF(230=$NR$8,$NN$8,0),IF($NP$8="Bell_Curve",$NN$8*(230-$NR$8+1)*($NS$8-230+1)/$NU$8,$NN$8/$NT$8)),0)</f>
        <v/>
      </c>
      <c r="IA8" s="402">
        <f>IF(AND(231&gt;=$NR$8,231&lt;=$NS$8),IF($NP$8="Single_Point",IF(231=$NR$8,$NN$8,0),IF($NP$8="Bell_Curve",$NN$8*(231-$NR$8+1)*($NS$8-231+1)/$NU$8,$NN$8/$NT$8)),0)</f>
        <v/>
      </c>
      <c r="IB8" s="402">
        <f>IF(AND(232&gt;=$NR$8,232&lt;=$NS$8),IF($NP$8="Single_Point",IF(232=$NR$8,$NN$8,0),IF($NP$8="Bell_Curve",$NN$8*(232-$NR$8+1)*($NS$8-232+1)/$NU$8,$NN$8/$NT$8)),0)</f>
        <v/>
      </c>
      <c r="IC8" s="402">
        <f>IF(AND(233&gt;=$NR$8,233&lt;=$NS$8),IF($NP$8="Single_Point",IF(233=$NR$8,$NN$8,0),IF($NP$8="Bell_Curve",$NN$8*(233-$NR$8+1)*($NS$8-233+1)/$NU$8,$NN$8/$NT$8)),0)</f>
        <v/>
      </c>
      <c r="ID8" s="402">
        <f>IF(AND(234&gt;=$NR$8,234&lt;=$NS$8),IF($NP$8="Single_Point",IF(234=$NR$8,$NN$8,0),IF($NP$8="Bell_Curve",$NN$8*(234-$NR$8+1)*($NS$8-234+1)/$NU$8,$NN$8/$NT$8)),0)</f>
        <v/>
      </c>
      <c r="IE8" s="402">
        <f>IF(AND(235&gt;=$NR$8,235&lt;=$NS$8),IF($NP$8="Single_Point",IF(235=$NR$8,$NN$8,0),IF($NP$8="Bell_Curve",$NN$8*(235-$NR$8+1)*($NS$8-235+1)/$NU$8,$NN$8/$NT$8)),0)</f>
        <v/>
      </c>
      <c r="IF8" s="402">
        <f>IF(AND(236&gt;=$NR$8,236&lt;=$NS$8),IF($NP$8="Single_Point",IF(236=$NR$8,$NN$8,0),IF($NP$8="Bell_Curve",$NN$8*(236-$NR$8+1)*($NS$8-236+1)/$NU$8,$NN$8/$NT$8)),0)</f>
        <v/>
      </c>
      <c r="IG8" s="402">
        <f>IF(AND(237&gt;=$NR$8,237&lt;=$NS$8),IF($NP$8="Single_Point",IF(237=$NR$8,$NN$8,0),IF($NP$8="Bell_Curve",$NN$8*(237-$NR$8+1)*($NS$8-237+1)/$NU$8,$NN$8/$NT$8)),0)</f>
        <v/>
      </c>
      <c r="IH8" s="402">
        <f>IF(AND(238&gt;=$NR$8,238&lt;=$NS$8),IF($NP$8="Single_Point",IF(238=$NR$8,$NN$8,0),IF($NP$8="Bell_Curve",$NN$8*(238-$NR$8+1)*($NS$8-238+1)/$NU$8,$NN$8/$NT$8)),0)</f>
        <v/>
      </c>
      <c r="II8" s="402">
        <f>IF(AND(239&gt;=$NR$8,239&lt;=$NS$8),IF($NP$8="Single_Point",IF(239=$NR$8,$NN$8,0),IF($NP$8="Bell_Curve",$NN$8*(239-$NR$8+1)*($NS$8-239+1)/$NU$8,$NN$8/$NT$8)),0)</f>
        <v/>
      </c>
      <c r="IJ8" s="402">
        <f>IF(AND(240&gt;=$NR$8,240&lt;=$NS$8),IF($NP$8="Single_Point",IF(240=$NR$8,$NN$8,0),IF($NP$8="Bell_Curve",$NN$8*(240-$NR$8+1)*($NS$8-240+1)/$NU$8,$NN$8/$NT$8)),0)</f>
        <v/>
      </c>
      <c r="IK8" s="402">
        <f>IF(AND(241&gt;=$NR$8,241&lt;=$NS$8),IF($NP$8="Single_Point",IF(241=$NR$8,$NN$8,0),IF($NP$8="Bell_Curve",$NN$8*(241-$NR$8+1)*($NS$8-241+1)/$NU$8,$NN$8/$NT$8)),0)</f>
        <v/>
      </c>
      <c r="IL8" s="402">
        <f>IF(AND(242&gt;=$NR$8,242&lt;=$NS$8),IF($NP$8="Single_Point",IF(242=$NR$8,$NN$8,0),IF($NP$8="Bell_Curve",$NN$8*(242-$NR$8+1)*($NS$8-242+1)/$NU$8,$NN$8/$NT$8)),0)</f>
        <v/>
      </c>
      <c r="IM8" s="402">
        <f>IF(AND(243&gt;=$NR$8,243&lt;=$NS$8),IF($NP$8="Single_Point",IF(243=$NR$8,$NN$8,0),IF($NP$8="Bell_Curve",$NN$8*(243-$NR$8+1)*($NS$8-243+1)/$NU$8,$NN$8/$NT$8)),0)</f>
        <v/>
      </c>
      <c r="IN8" s="402">
        <f>IF(AND(244&gt;=$NR$8,244&lt;=$NS$8),IF($NP$8="Single_Point",IF(244=$NR$8,$NN$8,0),IF($NP$8="Bell_Curve",$NN$8*(244-$NR$8+1)*($NS$8-244+1)/$NU$8,$NN$8/$NT$8)),0)</f>
        <v/>
      </c>
      <c r="IO8" s="402">
        <f>IF(AND(245&gt;=$NR$8,245&lt;=$NS$8),IF($NP$8="Single_Point",IF(245=$NR$8,$NN$8,0),IF($NP$8="Bell_Curve",$NN$8*(245-$NR$8+1)*($NS$8-245+1)/$NU$8,$NN$8/$NT$8)),0)</f>
        <v/>
      </c>
      <c r="IP8" s="402">
        <f>IF(AND(246&gt;=$NR$8,246&lt;=$NS$8),IF($NP$8="Single_Point",IF(246=$NR$8,$NN$8,0),IF($NP$8="Bell_Curve",$NN$8*(246-$NR$8+1)*($NS$8-246+1)/$NU$8,$NN$8/$NT$8)),0)</f>
        <v/>
      </c>
      <c r="IQ8" s="402">
        <f>IF(AND(247&gt;=$NR$8,247&lt;=$NS$8),IF($NP$8="Single_Point",IF(247=$NR$8,$NN$8,0),IF($NP$8="Bell_Curve",$NN$8*(247-$NR$8+1)*($NS$8-247+1)/$NU$8,$NN$8/$NT$8)),0)</f>
        <v/>
      </c>
      <c r="IR8" s="402">
        <f>IF(AND(248&gt;=$NR$8,248&lt;=$NS$8),IF($NP$8="Single_Point",IF(248=$NR$8,$NN$8,0),IF($NP$8="Bell_Curve",$NN$8*(248-$NR$8+1)*($NS$8-248+1)/$NU$8,$NN$8/$NT$8)),0)</f>
        <v/>
      </c>
      <c r="IS8" s="402">
        <f>IF(AND(249&gt;=$NR$8,249&lt;=$NS$8),IF($NP$8="Single_Point",IF(249=$NR$8,$NN$8,0),IF($NP$8="Bell_Curve",$NN$8*(249-$NR$8+1)*($NS$8-249+1)/$NU$8,$NN$8/$NT$8)),0)</f>
        <v/>
      </c>
      <c r="IT8" s="402">
        <f>IF(AND(250&gt;=$NR$8,250&lt;=$NS$8),IF($NP$8="Single_Point",IF(250=$NR$8,$NN$8,0),IF($NP$8="Bell_Curve",$NN$8*(250-$NR$8+1)*($NS$8-250+1)/$NU$8,$NN$8/$NT$8)),0)</f>
        <v/>
      </c>
      <c r="IU8" s="402">
        <f>IF(AND(251&gt;=$NR$8,251&lt;=$NS$8),IF($NP$8="Single_Point",IF(251=$NR$8,$NN$8,0),IF($NP$8="Bell_Curve",$NN$8*(251-$NR$8+1)*($NS$8-251+1)/$NU$8,$NN$8/$NT$8)),0)</f>
        <v/>
      </c>
      <c r="IV8" s="402">
        <f>IF(AND(252&gt;=$NR$8,252&lt;=$NS$8),IF($NP$8="Single_Point",IF(252=$NR$8,$NN$8,0),IF($NP$8="Bell_Curve",$NN$8*(252-$NR$8+1)*($NS$8-252+1)/$NU$8,$NN$8/$NT$8)),0)</f>
        <v/>
      </c>
      <c r="IW8" s="402">
        <f>IF(AND(253&gt;=$NR$8,253&lt;=$NS$8),IF($NP$8="Single_Point",IF(253=$NR$8,$NN$8,0),IF($NP$8="Bell_Curve",$NN$8*(253-$NR$8+1)*($NS$8-253+1)/$NU$8,$NN$8/$NT$8)),0)</f>
        <v/>
      </c>
      <c r="IX8" s="402">
        <f>IF(AND(254&gt;=$NR$8,254&lt;=$NS$8),IF($NP$8="Single_Point",IF(254=$NR$8,$NN$8,0),IF($NP$8="Bell_Curve",$NN$8*(254-$NR$8+1)*($NS$8-254+1)/$NU$8,$NN$8/$NT$8)),0)</f>
        <v/>
      </c>
      <c r="IY8" s="402">
        <f>IF(AND(255&gt;=$NR$8,255&lt;=$NS$8),IF($NP$8="Single_Point",IF(255=$NR$8,$NN$8,0),IF($NP$8="Bell_Curve",$NN$8*(255-$NR$8+1)*($NS$8-255+1)/$NU$8,$NN$8/$NT$8)),0)</f>
        <v/>
      </c>
      <c r="IZ8" s="402">
        <f>IF(AND(256&gt;=$NR$8,256&lt;=$NS$8),IF($NP$8="Single_Point",IF(256=$NR$8,$NN$8,0),IF($NP$8="Bell_Curve",$NN$8*(256-$NR$8+1)*($NS$8-256+1)/$NU$8,$NN$8/$NT$8)),0)</f>
        <v/>
      </c>
      <c r="JA8" s="402">
        <f>IF(AND(257&gt;=$NR$8,257&lt;=$NS$8),IF($NP$8="Single_Point",IF(257=$NR$8,$NN$8,0),IF($NP$8="Bell_Curve",$NN$8*(257-$NR$8+1)*($NS$8-257+1)/$NU$8,$NN$8/$NT$8)),0)</f>
        <v/>
      </c>
      <c r="JB8" s="402">
        <f>IF(AND(258&gt;=$NR$8,258&lt;=$NS$8),IF($NP$8="Single_Point",IF(258=$NR$8,$NN$8,0),IF($NP$8="Bell_Curve",$NN$8*(258-$NR$8+1)*($NS$8-258+1)/$NU$8,$NN$8/$NT$8)),0)</f>
        <v/>
      </c>
      <c r="JC8" s="402">
        <f>IF(AND(259&gt;=$NR$8,259&lt;=$NS$8),IF($NP$8="Single_Point",IF(259=$NR$8,$NN$8,0),IF($NP$8="Bell_Curve",$NN$8*(259-$NR$8+1)*($NS$8-259+1)/$NU$8,$NN$8/$NT$8)),0)</f>
        <v/>
      </c>
      <c r="JD8" s="402">
        <f>IF(AND(260&gt;=$NR$8,260&lt;=$NS$8),IF($NP$8="Single_Point",IF(260=$NR$8,$NN$8,0),IF($NP$8="Bell_Curve",$NN$8*(260-$NR$8+1)*($NS$8-260+1)/$NU$8,$NN$8/$NT$8)),0)</f>
        <v/>
      </c>
      <c r="JE8" s="402">
        <f>IF(AND(261&gt;=$NR$8,261&lt;=$NS$8),IF($NP$8="Single_Point",IF(261=$NR$8,$NN$8,0),IF($NP$8="Bell_Curve",$NN$8*(261-$NR$8+1)*($NS$8-261+1)/$NU$8,$NN$8/$NT$8)),0)</f>
        <v/>
      </c>
      <c r="JF8" s="402">
        <f>IF(AND(262&gt;=$NR$8,262&lt;=$NS$8),IF($NP$8="Single_Point",IF(262=$NR$8,$NN$8,0),IF($NP$8="Bell_Curve",$NN$8*(262-$NR$8+1)*($NS$8-262+1)/$NU$8,$NN$8/$NT$8)),0)</f>
        <v/>
      </c>
      <c r="JG8" s="402">
        <f>IF(AND(263&gt;=$NR$8,263&lt;=$NS$8),IF($NP$8="Single_Point",IF(263=$NR$8,$NN$8,0),IF($NP$8="Bell_Curve",$NN$8*(263-$NR$8+1)*($NS$8-263+1)/$NU$8,$NN$8/$NT$8)),0)</f>
        <v/>
      </c>
      <c r="JH8" s="402">
        <f>IF(AND(264&gt;=$NR$8,264&lt;=$NS$8),IF($NP$8="Single_Point",IF(264=$NR$8,$NN$8,0),IF($NP$8="Bell_Curve",$NN$8*(264-$NR$8+1)*($NS$8-264+1)/$NU$8,$NN$8/$NT$8)),0)</f>
        <v/>
      </c>
      <c r="JI8" s="402">
        <f>IF(AND(265&gt;=$NR$8,265&lt;=$NS$8),IF($NP$8="Single_Point",IF(265=$NR$8,$NN$8,0),IF($NP$8="Bell_Curve",$NN$8*(265-$NR$8+1)*($NS$8-265+1)/$NU$8,$NN$8/$NT$8)),0)</f>
        <v/>
      </c>
      <c r="JJ8" s="402">
        <f>IF(AND(266&gt;=$NR$8,266&lt;=$NS$8),IF($NP$8="Single_Point",IF(266=$NR$8,$NN$8,0),IF($NP$8="Bell_Curve",$NN$8*(266-$NR$8+1)*($NS$8-266+1)/$NU$8,$NN$8/$NT$8)),0)</f>
        <v/>
      </c>
      <c r="JK8" s="402">
        <f>IF(AND(267&gt;=$NR$8,267&lt;=$NS$8),IF($NP$8="Single_Point",IF(267=$NR$8,$NN$8,0),IF($NP$8="Bell_Curve",$NN$8*(267-$NR$8+1)*($NS$8-267+1)/$NU$8,$NN$8/$NT$8)),0)</f>
        <v/>
      </c>
      <c r="JL8" s="402">
        <f>IF(AND(268&gt;=$NR$8,268&lt;=$NS$8),IF($NP$8="Single_Point",IF(268=$NR$8,$NN$8,0),IF($NP$8="Bell_Curve",$NN$8*(268-$NR$8+1)*($NS$8-268+1)/$NU$8,$NN$8/$NT$8)),0)</f>
        <v/>
      </c>
      <c r="JM8" s="402">
        <f>IF(AND(269&gt;=$NR$8,269&lt;=$NS$8),IF($NP$8="Single_Point",IF(269=$NR$8,$NN$8,0),IF($NP$8="Bell_Curve",$NN$8*(269-$NR$8+1)*($NS$8-269+1)/$NU$8,$NN$8/$NT$8)),0)</f>
        <v/>
      </c>
      <c r="JN8" s="402">
        <f>IF(AND(270&gt;=$NR$8,270&lt;=$NS$8),IF($NP$8="Single_Point",IF(270=$NR$8,$NN$8,0),IF($NP$8="Bell_Curve",$NN$8*(270-$NR$8+1)*($NS$8-270+1)/$NU$8,$NN$8/$NT$8)),0)</f>
        <v/>
      </c>
      <c r="JO8" s="402">
        <f>IF(AND(271&gt;=$NR$8,271&lt;=$NS$8),IF($NP$8="Single_Point",IF(271=$NR$8,$NN$8,0),IF($NP$8="Bell_Curve",$NN$8*(271-$NR$8+1)*($NS$8-271+1)/$NU$8,$NN$8/$NT$8)),0)</f>
        <v/>
      </c>
      <c r="JP8" s="402">
        <f>IF(AND(272&gt;=$NR$8,272&lt;=$NS$8),IF($NP$8="Single_Point",IF(272=$NR$8,$NN$8,0),IF($NP$8="Bell_Curve",$NN$8*(272-$NR$8+1)*($NS$8-272+1)/$NU$8,$NN$8/$NT$8)),0)</f>
        <v/>
      </c>
      <c r="JQ8" s="402">
        <f>IF(AND(273&gt;=$NR$8,273&lt;=$NS$8),IF($NP$8="Single_Point",IF(273=$NR$8,$NN$8,0),IF($NP$8="Bell_Curve",$NN$8*(273-$NR$8+1)*($NS$8-273+1)/$NU$8,$NN$8/$NT$8)),0)</f>
        <v/>
      </c>
      <c r="JR8" s="402">
        <f>IF(AND(274&gt;=$NR$8,274&lt;=$NS$8),IF($NP$8="Single_Point",IF(274=$NR$8,$NN$8,0),IF($NP$8="Bell_Curve",$NN$8*(274-$NR$8+1)*($NS$8-274+1)/$NU$8,$NN$8/$NT$8)),0)</f>
        <v/>
      </c>
      <c r="JS8" s="402">
        <f>IF(AND(275&gt;=$NR$8,275&lt;=$NS$8),IF($NP$8="Single_Point",IF(275=$NR$8,$NN$8,0),IF($NP$8="Bell_Curve",$NN$8*(275-$NR$8+1)*($NS$8-275+1)/$NU$8,$NN$8/$NT$8)),0)</f>
        <v/>
      </c>
      <c r="JT8" s="402">
        <f>IF(AND(276&gt;=$NR$8,276&lt;=$NS$8),IF($NP$8="Single_Point",IF(276=$NR$8,$NN$8,0),IF($NP$8="Bell_Curve",$NN$8*(276-$NR$8+1)*($NS$8-276+1)/$NU$8,$NN$8/$NT$8)),0)</f>
        <v/>
      </c>
      <c r="JU8" s="402">
        <f>IF(AND(277&gt;=$NR$8,277&lt;=$NS$8),IF($NP$8="Single_Point",IF(277=$NR$8,$NN$8,0),IF($NP$8="Bell_Curve",$NN$8*(277-$NR$8+1)*($NS$8-277+1)/$NU$8,$NN$8/$NT$8)),0)</f>
        <v/>
      </c>
      <c r="JV8" s="402">
        <f>IF(AND(278&gt;=$NR$8,278&lt;=$NS$8),IF($NP$8="Single_Point",IF(278=$NR$8,$NN$8,0),IF($NP$8="Bell_Curve",$NN$8*(278-$NR$8+1)*($NS$8-278+1)/$NU$8,$NN$8/$NT$8)),0)</f>
        <v/>
      </c>
      <c r="JW8" s="402">
        <f>IF(AND(279&gt;=$NR$8,279&lt;=$NS$8),IF($NP$8="Single_Point",IF(279=$NR$8,$NN$8,0),IF($NP$8="Bell_Curve",$NN$8*(279-$NR$8+1)*($NS$8-279+1)/$NU$8,$NN$8/$NT$8)),0)</f>
        <v/>
      </c>
      <c r="JX8" s="402">
        <f>IF(AND(280&gt;=$NR$8,280&lt;=$NS$8),IF($NP$8="Single_Point",IF(280=$NR$8,$NN$8,0),IF($NP$8="Bell_Curve",$NN$8*(280-$NR$8+1)*($NS$8-280+1)/$NU$8,$NN$8/$NT$8)),0)</f>
        <v/>
      </c>
      <c r="JY8" s="402">
        <f>IF(AND(281&gt;=$NR$8,281&lt;=$NS$8),IF($NP$8="Single_Point",IF(281=$NR$8,$NN$8,0),IF($NP$8="Bell_Curve",$NN$8*(281-$NR$8+1)*($NS$8-281+1)/$NU$8,$NN$8/$NT$8)),0)</f>
        <v/>
      </c>
      <c r="JZ8" s="402">
        <f>IF(AND(282&gt;=$NR$8,282&lt;=$NS$8),IF($NP$8="Single_Point",IF(282=$NR$8,$NN$8,0),IF($NP$8="Bell_Curve",$NN$8*(282-$NR$8+1)*($NS$8-282+1)/$NU$8,$NN$8/$NT$8)),0)</f>
        <v/>
      </c>
      <c r="KA8" s="402">
        <f>IF(AND(283&gt;=$NR$8,283&lt;=$NS$8),IF($NP$8="Single_Point",IF(283=$NR$8,$NN$8,0),IF($NP$8="Bell_Curve",$NN$8*(283-$NR$8+1)*($NS$8-283+1)/$NU$8,$NN$8/$NT$8)),0)</f>
        <v/>
      </c>
      <c r="KB8" s="402">
        <f>IF(AND(284&gt;=$NR$8,284&lt;=$NS$8),IF($NP$8="Single_Point",IF(284=$NR$8,$NN$8,0),IF($NP$8="Bell_Curve",$NN$8*(284-$NR$8+1)*($NS$8-284+1)/$NU$8,$NN$8/$NT$8)),0)</f>
        <v/>
      </c>
      <c r="KC8" s="402">
        <f>IF(AND(285&gt;=$NR$8,285&lt;=$NS$8),IF($NP$8="Single_Point",IF(285=$NR$8,$NN$8,0),IF($NP$8="Bell_Curve",$NN$8*(285-$NR$8+1)*($NS$8-285+1)/$NU$8,$NN$8/$NT$8)),0)</f>
        <v/>
      </c>
      <c r="KD8" s="402">
        <f>IF(AND(286&gt;=$NR$8,286&lt;=$NS$8),IF($NP$8="Single_Point",IF(286=$NR$8,$NN$8,0),IF($NP$8="Bell_Curve",$NN$8*(286-$NR$8+1)*($NS$8-286+1)/$NU$8,$NN$8/$NT$8)),0)</f>
        <v/>
      </c>
      <c r="KE8" s="402">
        <f>IF(AND(287&gt;=$NR$8,287&lt;=$NS$8),IF($NP$8="Single_Point",IF(287=$NR$8,$NN$8,0),IF($NP$8="Bell_Curve",$NN$8*(287-$NR$8+1)*($NS$8-287+1)/$NU$8,$NN$8/$NT$8)),0)</f>
        <v/>
      </c>
      <c r="KF8" s="402">
        <f>IF(AND(288&gt;=$NR$8,288&lt;=$NS$8),IF($NP$8="Single_Point",IF(288=$NR$8,$NN$8,0),IF($NP$8="Bell_Curve",$NN$8*(288-$NR$8+1)*($NS$8-288+1)/$NU$8,$NN$8/$NT$8)),0)</f>
        <v/>
      </c>
      <c r="KG8" s="402">
        <f>IF(AND(289&gt;=$NR$8,289&lt;=$NS$8),IF($NP$8="Single_Point",IF(289=$NR$8,$NN$8,0),IF($NP$8="Bell_Curve",$NN$8*(289-$NR$8+1)*($NS$8-289+1)/$NU$8,$NN$8/$NT$8)),0)</f>
        <v/>
      </c>
      <c r="KH8" s="402">
        <f>IF(AND(290&gt;=$NR$8,290&lt;=$NS$8),IF($NP$8="Single_Point",IF(290=$NR$8,$NN$8,0),IF($NP$8="Bell_Curve",$NN$8*(290-$NR$8+1)*($NS$8-290+1)/$NU$8,$NN$8/$NT$8)),0)</f>
        <v/>
      </c>
      <c r="KI8" s="402">
        <f>IF(AND(291&gt;=$NR$8,291&lt;=$NS$8),IF($NP$8="Single_Point",IF(291=$NR$8,$NN$8,0),IF($NP$8="Bell_Curve",$NN$8*(291-$NR$8+1)*($NS$8-291+1)/$NU$8,$NN$8/$NT$8)),0)</f>
        <v/>
      </c>
      <c r="KJ8" s="402">
        <f>IF(AND(292&gt;=$NR$8,292&lt;=$NS$8),IF($NP$8="Single_Point",IF(292=$NR$8,$NN$8,0),IF($NP$8="Bell_Curve",$NN$8*(292-$NR$8+1)*($NS$8-292+1)/$NU$8,$NN$8/$NT$8)),0)</f>
        <v/>
      </c>
      <c r="KK8" s="402">
        <f>IF(AND(293&gt;=$NR$8,293&lt;=$NS$8),IF($NP$8="Single_Point",IF(293=$NR$8,$NN$8,0),IF($NP$8="Bell_Curve",$NN$8*(293-$NR$8+1)*($NS$8-293+1)/$NU$8,$NN$8/$NT$8)),0)</f>
        <v/>
      </c>
      <c r="KL8" s="402">
        <f>IF(AND(294&gt;=$NR$8,294&lt;=$NS$8),IF($NP$8="Single_Point",IF(294=$NR$8,$NN$8,0),IF($NP$8="Bell_Curve",$NN$8*(294-$NR$8+1)*($NS$8-294+1)/$NU$8,$NN$8/$NT$8)),0)</f>
        <v/>
      </c>
      <c r="KM8" s="402">
        <f>IF(AND(295&gt;=$NR$8,295&lt;=$NS$8),IF($NP$8="Single_Point",IF(295=$NR$8,$NN$8,0),IF($NP$8="Bell_Curve",$NN$8*(295-$NR$8+1)*($NS$8-295+1)/$NU$8,$NN$8/$NT$8)),0)</f>
        <v/>
      </c>
      <c r="KN8" s="402">
        <f>IF(AND(296&gt;=$NR$8,296&lt;=$NS$8),IF($NP$8="Single_Point",IF(296=$NR$8,$NN$8,0),IF($NP$8="Bell_Curve",$NN$8*(296-$NR$8+1)*($NS$8-296+1)/$NU$8,$NN$8/$NT$8)),0)</f>
        <v/>
      </c>
      <c r="KO8" s="402">
        <f>IF(AND(297&gt;=$NR$8,297&lt;=$NS$8),IF($NP$8="Single_Point",IF(297=$NR$8,$NN$8,0),IF($NP$8="Bell_Curve",$NN$8*(297-$NR$8+1)*($NS$8-297+1)/$NU$8,$NN$8/$NT$8)),0)</f>
        <v/>
      </c>
      <c r="KP8" s="402">
        <f>IF(AND(298&gt;=$NR$8,298&lt;=$NS$8),IF($NP$8="Single_Point",IF(298=$NR$8,$NN$8,0),IF($NP$8="Bell_Curve",$NN$8*(298-$NR$8+1)*($NS$8-298+1)/$NU$8,$NN$8/$NT$8)),0)</f>
        <v/>
      </c>
      <c r="KQ8" s="402">
        <f>IF(AND(299&gt;=$NR$8,299&lt;=$NS$8),IF($NP$8="Single_Point",IF(299=$NR$8,$NN$8,0),IF($NP$8="Bell_Curve",$NN$8*(299-$NR$8+1)*($NS$8-299+1)/$NU$8,$NN$8/$NT$8)),0)</f>
        <v/>
      </c>
      <c r="KR8" s="402">
        <f>IF(AND(300&gt;=$NR$8,300&lt;=$NS$8),IF($NP$8="Single_Point",IF(300=$NR$8,$NN$8,0),IF($NP$8="Bell_Curve",$NN$8*(300-$NR$8+1)*($NS$8-300+1)/$NU$8,$NN$8/$NT$8)),0)</f>
        <v/>
      </c>
      <c r="KS8" s="402">
        <f>IF(AND(301&gt;=$NR$8,301&lt;=$NS$8),IF($NP$8="Single_Point",IF(301=$NR$8,$NN$8,0),IF($NP$8="Bell_Curve",$NN$8*(301-$NR$8+1)*($NS$8-301+1)/$NU$8,$NN$8/$NT$8)),0)</f>
        <v/>
      </c>
      <c r="KT8" s="402">
        <f>IF(AND(302&gt;=$NR$8,302&lt;=$NS$8),IF($NP$8="Single_Point",IF(302=$NR$8,$NN$8,0),IF($NP$8="Bell_Curve",$NN$8*(302-$NR$8+1)*($NS$8-302+1)/$NU$8,$NN$8/$NT$8)),0)</f>
        <v/>
      </c>
      <c r="KU8" s="402">
        <f>IF(AND(303&gt;=$NR$8,303&lt;=$NS$8),IF($NP$8="Single_Point",IF(303=$NR$8,$NN$8,0),IF($NP$8="Bell_Curve",$NN$8*(303-$NR$8+1)*($NS$8-303+1)/$NU$8,$NN$8/$NT$8)),0)</f>
        <v/>
      </c>
      <c r="KV8" s="402">
        <f>IF(AND(304&gt;=$NR$8,304&lt;=$NS$8),IF($NP$8="Single_Point",IF(304=$NR$8,$NN$8,0),IF($NP$8="Bell_Curve",$NN$8*(304-$NR$8+1)*($NS$8-304+1)/$NU$8,$NN$8/$NT$8)),0)</f>
        <v/>
      </c>
      <c r="KW8" s="402">
        <f>IF(AND(305&gt;=$NR$8,305&lt;=$NS$8),IF($NP$8="Single_Point",IF(305=$NR$8,$NN$8,0),IF($NP$8="Bell_Curve",$NN$8*(305-$NR$8+1)*($NS$8-305+1)/$NU$8,$NN$8/$NT$8)),0)</f>
        <v/>
      </c>
      <c r="KX8" s="402">
        <f>IF(AND(306&gt;=$NR$8,306&lt;=$NS$8),IF($NP$8="Single_Point",IF(306=$NR$8,$NN$8,0),IF($NP$8="Bell_Curve",$NN$8*(306-$NR$8+1)*($NS$8-306+1)/$NU$8,$NN$8/$NT$8)),0)</f>
        <v/>
      </c>
      <c r="KY8" s="402">
        <f>IF(AND(307&gt;=$NR$8,307&lt;=$NS$8),IF($NP$8="Single_Point",IF(307=$NR$8,$NN$8,0),IF($NP$8="Bell_Curve",$NN$8*(307-$NR$8+1)*($NS$8-307+1)/$NU$8,$NN$8/$NT$8)),0)</f>
        <v/>
      </c>
      <c r="KZ8" s="402">
        <f>IF(AND(308&gt;=$NR$8,308&lt;=$NS$8),IF($NP$8="Single_Point",IF(308=$NR$8,$NN$8,0),IF($NP$8="Bell_Curve",$NN$8*(308-$NR$8+1)*($NS$8-308+1)/$NU$8,$NN$8/$NT$8)),0)</f>
        <v/>
      </c>
      <c r="LA8" s="402">
        <f>IF(AND(309&gt;=$NR$8,309&lt;=$NS$8),IF($NP$8="Single_Point",IF(309=$NR$8,$NN$8,0),IF($NP$8="Bell_Curve",$NN$8*(309-$NR$8+1)*($NS$8-309+1)/$NU$8,$NN$8/$NT$8)),0)</f>
        <v/>
      </c>
      <c r="LB8" s="402">
        <f>IF(AND(310&gt;=$NR$8,310&lt;=$NS$8),IF($NP$8="Single_Point",IF(310=$NR$8,$NN$8,0),IF($NP$8="Bell_Curve",$NN$8*(310-$NR$8+1)*($NS$8-310+1)/$NU$8,$NN$8/$NT$8)),0)</f>
        <v/>
      </c>
      <c r="LC8" s="402">
        <f>IF(AND(311&gt;=$NR$8,311&lt;=$NS$8),IF($NP$8="Single_Point",IF(311=$NR$8,$NN$8,0),IF($NP$8="Bell_Curve",$NN$8*(311-$NR$8+1)*($NS$8-311+1)/$NU$8,$NN$8/$NT$8)),0)</f>
        <v/>
      </c>
      <c r="LD8" s="402">
        <f>IF(AND(312&gt;=$NR$8,312&lt;=$NS$8),IF($NP$8="Single_Point",IF(312=$NR$8,$NN$8,0),IF($NP$8="Bell_Curve",$NN$8*(312-$NR$8+1)*($NS$8-312+1)/$NU$8,$NN$8/$NT$8)),0)</f>
        <v/>
      </c>
      <c r="LE8" s="402">
        <f>IF(AND(313&gt;=$NR$8,313&lt;=$NS$8),IF($NP$8="Single_Point",IF(313=$NR$8,$NN$8,0),IF($NP$8="Bell_Curve",$NN$8*(313-$NR$8+1)*($NS$8-313+1)/$NU$8,$NN$8/$NT$8)),0)</f>
        <v/>
      </c>
      <c r="LF8" s="402">
        <f>IF(AND(314&gt;=$NR$8,314&lt;=$NS$8),IF($NP$8="Single_Point",IF(314=$NR$8,$NN$8,0),IF($NP$8="Bell_Curve",$NN$8*(314-$NR$8+1)*($NS$8-314+1)/$NU$8,$NN$8/$NT$8)),0)</f>
        <v/>
      </c>
      <c r="LG8" s="402">
        <f>IF(AND(315&gt;=$NR$8,315&lt;=$NS$8),IF($NP$8="Single_Point",IF(315=$NR$8,$NN$8,0),IF($NP$8="Bell_Curve",$NN$8*(315-$NR$8+1)*($NS$8-315+1)/$NU$8,$NN$8/$NT$8)),0)</f>
        <v/>
      </c>
      <c r="LH8" s="402">
        <f>IF(AND(316&gt;=$NR$8,316&lt;=$NS$8),IF($NP$8="Single_Point",IF(316=$NR$8,$NN$8,0),IF($NP$8="Bell_Curve",$NN$8*(316-$NR$8+1)*($NS$8-316+1)/$NU$8,$NN$8/$NT$8)),0)</f>
        <v/>
      </c>
      <c r="LI8" s="402">
        <f>IF(AND(317&gt;=$NR$8,317&lt;=$NS$8),IF($NP$8="Single_Point",IF(317=$NR$8,$NN$8,0),IF($NP$8="Bell_Curve",$NN$8*(317-$NR$8+1)*($NS$8-317+1)/$NU$8,$NN$8/$NT$8)),0)</f>
        <v/>
      </c>
      <c r="LJ8" s="402">
        <f>IF(AND(318&gt;=$NR$8,318&lt;=$NS$8),IF($NP$8="Single_Point",IF(318=$NR$8,$NN$8,0),IF($NP$8="Bell_Curve",$NN$8*(318-$NR$8+1)*($NS$8-318+1)/$NU$8,$NN$8/$NT$8)),0)</f>
        <v/>
      </c>
      <c r="LK8" s="402">
        <f>IF(AND(319&gt;=$NR$8,319&lt;=$NS$8),IF($NP$8="Single_Point",IF(319=$NR$8,$NN$8,0),IF($NP$8="Bell_Curve",$NN$8*(319-$NR$8+1)*($NS$8-319+1)/$NU$8,$NN$8/$NT$8)),0)</f>
        <v/>
      </c>
      <c r="LL8" s="402">
        <f>IF(AND(320&gt;=$NR$8,320&lt;=$NS$8),IF($NP$8="Single_Point",IF(320=$NR$8,$NN$8,0),IF($NP$8="Bell_Curve",$NN$8*(320-$NR$8+1)*($NS$8-320+1)/$NU$8,$NN$8/$NT$8)),0)</f>
        <v/>
      </c>
      <c r="LM8" s="402">
        <f>IF(AND(321&gt;=$NR$8,321&lt;=$NS$8),IF($NP$8="Single_Point",IF(321=$NR$8,$NN$8,0),IF($NP$8="Bell_Curve",$NN$8*(321-$NR$8+1)*($NS$8-321+1)/$NU$8,$NN$8/$NT$8)),0)</f>
        <v/>
      </c>
      <c r="LN8" s="402">
        <f>IF(AND(322&gt;=$NR$8,322&lt;=$NS$8),IF($NP$8="Single_Point",IF(322=$NR$8,$NN$8,0),IF($NP$8="Bell_Curve",$NN$8*(322-$NR$8+1)*($NS$8-322+1)/$NU$8,$NN$8/$NT$8)),0)</f>
        <v/>
      </c>
      <c r="LO8" s="402">
        <f>IF(AND(323&gt;=$NR$8,323&lt;=$NS$8),IF($NP$8="Single_Point",IF(323=$NR$8,$NN$8,0),IF($NP$8="Bell_Curve",$NN$8*(323-$NR$8+1)*($NS$8-323+1)/$NU$8,$NN$8/$NT$8)),0)</f>
        <v/>
      </c>
      <c r="LP8" s="402">
        <f>IF(AND(324&gt;=$NR$8,324&lt;=$NS$8),IF($NP$8="Single_Point",IF(324=$NR$8,$NN$8,0),IF($NP$8="Bell_Curve",$NN$8*(324-$NR$8+1)*($NS$8-324+1)/$NU$8,$NN$8/$NT$8)),0)</f>
        <v/>
      </c>
      <c r="LQ8" s="402">
        <f>IF(AND(325&gt;=$NR$8,325&lt;=$NS$8),IF($NP$8="Single_Point",IF(325=$NR$8,$NN$8,0),IF($NP$8="Bell_Curve",$NN$8*(325-$NR$8+1)*($NS$8-325+1)/$NU$8,$NN$8/$NT$8)),0)</f>
        <v/>
      </c>
      <c r="LR8" s="402">
        <f>IF(AND(326&gt;=$NR$8,326&lt;=$NS$8),IF($NP$8="Single_Point",IF(326=$NR$8,$NN$8,0),IF($NP$8="Bell_Curve",$NN$8*(326-$NR$8+1)*($NS$8-326+1)/$NU$8,$NN$8/$NT$8)),0)</f>
        <v/>
      </c>
      <c r="LS8" s="402">
        <f>IF(AND(327&gt;=$NR$8,327&lt;=$NS$8),IF($NP$8="Single_Point",IF(327=$NR$8,$NN$8,0),IF($NP$8="Bell_Curve",$NN$8*(327-$NR$8+1)*($NS$8-327+1)/$NU$8,$NN$8/$NT$8)),0)</f>
        <v/>
      </c>
      <c r="LT8" s="402">
        <f>IF(AND(328&gt;=$NR$8,328&lt;=$NS$8),IF($NP$8="Single_Point",IF(328=$NR$8,$NN$8,0),IF($NP$8="Bell_Curve",$NN$8*(328-$NR$8+1)*($NS$8-328+1)/$NU$8,$NN$8/$NT$8)),0)</f>
        <v/>
      </c>
      <c r="LU8" s="402">
        <f>IF(AND(329&gt;=$NR$8,329&lt;=$NS$8),IF($NP$8="Single_Point",IF(329=$NR$8,$NN$8,0),IF($NP$8="Bell_Curve",$NN$8*(329-$NR$8+1)*($NS$8-329+1)/$NU$8,$NN$8/$NT$8)),0)</f>
        <v/>
      </c>
      <c r="LV8" s="402">
        <f>IF(AND(330&gt;=$NR$8,330&lt;=$NS$8),IF($NP$8="Single_Point",IF(330=$NR$8,$NN$8,0),IF($NP$8="Bell_Curve",$NN$8*(330-$NR$8+1)*($NS$8-330+1)/$NU$8,$NN$8/$NT$8)),0)</f>
        <v/>
      </c>
      <c r="LW8" s="402">
        <f>IF(AND(331&gt;=$NR$8,331&lt;=$NS$8),IF($NP$8="Single_Point",IF(331=$NR$8,$NN$8,0),IF($NP$8="Bell_Curve",$NN$8*(331-$NR$8+1)*($NS$8-331+1)/$NU$8,$NN$8/$NT$8)),0)</f>
        <v/>
      </c>
      <c r="LX8" s="402">
        <f>IF(AND(332&gt;=$NR$8,332&lt;=$NS$8),IF($NP$8="Single_Point",IF(332=$NR$8,$NN$8,0),IF($NP$8="Bell_Curve",$NN$8*(332-$NR$8+1)*($NS$8-332+1)/$NU$8,$NN$8/$NT$8)),0)</f>
        <v/>
      </c>
      <c r="LY8" s="402">
        <f>IF(AND(333&gt;=$NR$8,333&lt;=$NS$8),IF($NP$8="Single_Point",IF(333=$NR$8,$NN$8,0),IF($NP$8="Bell_Curve",$NN$8*(333-$NR$8+1)*($NS$8-333+1)/$NU$8,$NN$8/$NT$8)),0)</f>
        <v/>
      </c>
      <c r="LZ8" s="402">
        <f>IF(AND(334&gt;=$NR$8,334&lt;=$NS$8),IF($NP$8="Single_Point",IF(334=$NR$8,$NN$8,0),IF($NP$8="Bell_Curve",$NN$8*(334-$NR$8+1)*($NS$8-334+1)/$NU$8,$NN$8/$NT$8)),0)</f>
        <v/>
      </c>
      <c r="MA8" s="402">
        <f>IF(AND(335&gt;=$NR$8,335&lt;=$NS$8),IF($NP$8="Single_Point",IF(335=$NR$8,$NN$8,0),IF($NP$8="Bell_Curve",$NN$8*(335-$NR$8+1)*($NS$8-335+1)/$NU$8,$NN$8/$NT$8)),0)</f>
        <v/>
      </c>
      <c r="MB8" s="402">
        <f>IF(AND(336&gt;=$NR$8,336&lt;=$NS$8),IF($NP$8="Single_Point",IF(336=$NR$8,$NN$8,0),IF($NP$8="Bell_Curve",$NN$8*(336-$NR$8+1)*($NS$8-336+1)/$NU$8,$NN$8/$NT$8)),0)</f>
        <v/>
      </c>
      <c r="MC8" s="402">
        <f>IF(AND(337&gt;=$NR$8,337&lt;=$NS$8),IF($NP$8="Single_Point",IF(337=$NR$8,$NN$8,0),IF($NP$8="Bell_Curve",$NN$8*(337-$NR$8+1)*($NS$8-337+1)/$NU$8,$NN$8/$NT$8)),0)</f>
        <v/>
      </c>
      <c r="MD8" s="402">
        <f>IF(AND(338&gt;=$NR$8,338&lt;=$NS$8),IF($NP$8="Single_Point",IF(338=$NR$8,$NN$8,0),IF($NP$8="Bell_Curve",$NN$8*(338-$NR$8+1)*($NS$8-338+1)/$NU$8,$NN$8/$NT$8)),0)</f>
        <v/>
      </c>
      <c r="ME8" s="402">
        <f>IF(AND(339&gt;=$NR$8,339&lt;=$NS$8),IF($NP$8="Single_Point",IF(339=$NR$8,$NN$8,0),IF($NP$8="Bell_Curve",$NN$8*(339-$NR$8+1)*($NS$8-339+1)/$NU$8,$NN$8/$NT$8)),0)</f>
        <v/>
      </c>
      <c r="MF8" s="402">
        <f>IF(AND(340&gt;=$NR$8,340&lt;=$NS$8),IF($NP$8="Single_Point",IF(340=$NR$8,$NN$8,0),IF($NP$8="Bell_Curve",$NN$8*(340-$NR$8+1)*($NS$8-340+1)/$NU$8,$NN$8/$NT$8)),0)</f>
        <v/>
      </c>
      <c r="MG8" s="402">
        <f>IF(AND(341&gt;=$NR$8,341&lt;=$NS$8),IF($NP$8="Single_Point",IF(341=$NR$8,$NN$8,0),IF($NP$8="Bell_Curve",$NN$8*(341-$NR$8+1)*($NS$8-341+1)/$NU$8,$NN$8/$NT$8)),0)</f>
        <v/>
      </c>
      <c r="MH8" s="402">
        <f>IF(AND(342&gt;=$NR$8,342&lt;=$NS$8),IF($NP$8="Single_Point",IF(342=$NR$8,$NN$8,0),IF($NP$8="Bell_Curve",$NN$8*(342-$NR$8+1)*($NS$8-342+1)/$NU$8,$NN$8/$NT$8)),0)</f>
        <v/>
      </c>
      <c r="MI8" s="402">
        <f>IF(AND(343&gt;=$NR$8,343&lt;=$NS$8),IF($NP$8="Single_Point",IF(343=$NR$8,$NN$8,0),IF($NP$8="Bell_Curve",$NN$8*(343-$NR$8+1)*($NS$8-343+1)/$NU$8,$NN$8/$NT$8)),0)</f>
        <v/>
      </c>
      <c r="MJ8" s="402">
        <f>IF(AND(344&gt;=$NR$8,344&lt;=$NS$8),IF($NP$8="Single_Point",IF(344=$NR$8,$NN$8,0),IF($NP$8="Bell_Curve",$NN$8*(344-$NR$8+1)*($NS$8-344+1)/$NU$8,$NN$8/$NT$8)),0)</f>
        <v/>
      </c>
      <c r="MK8" s="402">
        <f>IF(AND(345&gt;=$NR$8,345&lt;=$NS$8),IF($NP$8="Single_Point",IF(345=$NR$8,$NN$8,0),IF($NP$8="Bell_Curve",$NN$8*(345-$NR$8+1)*($NS$8-345+1)/$NU$8,$NN$8/$NT$8)),0)</f>
        <v/>
      </c>
      <c r="ML8" s="402">
        <f>IF(AND(346&gt;=$NR$8,346&lt;=$NS$8),IF($NP$8="Single_Point",IF(346=$NR$8,$NN$8,0),IF($NP$8="Bell_Curve",$NN$8*(346-$NR$8+1)*($NS$8-346+1)/$NU$8,$NN$8/$NT$8)),0)</f>
        <v/>
      </c>
      <c r="MM8" s="402">
        <f>IF(AND(347&gt;=$NR$8,347&lt;=$NS$8),IF($NP$8="Single_Point",IF(347=$NR$8,$NN$8,0),IF($NP$8="Bell_Curve",$NN$8*(347-$NR$8+1)*($NS$8-347+1)/$NU$8,$NN$8/$NT$8)),0)</f>
        <v/>
      </c>
      <c r="MN8" s="402">
        <f>IF(AND(348&gt;=$NR$8,348&lt;=$NS$8),IF($NP$8="Single_Point",IF(348=$NR$8,$NN$8,0),IF($NP$8="Bell_Curve",$NN$8*(348-$NR$8+1)*($NS$8-348+1)/$NU$8,$NN$8/$NT$8)),0)</f>
        <v/>
      </c>
      <c r="MO8" s="402">
        <f>IF(AND(349&gt;=$NR$8,349&lt;=$NS$8),IF($NP$8="Single_Point",IF(349=$NR$8,$NN$8,0),IF($NP$8="Bell_Curve",$NN$8*(349-$NR$8+1)*($NS$8-349+1)/$NU$8,$NN$8/$NT$8)),0)</f>
        <v/>
      </c>
      <c r="MP8" s="402">
        <f>IF(AND(350&gt;=$NR$8,350&lt;=$NS$8),IF($NP$8="Single_Point",IF(350=$NR$8,$NN$8,0),IF($NP$8="Bell_Curve",$NN$8*(350-$NR$8+1)*($NS$8-350+1)/$NU$8,$NN$8/$NT$8)),0)</f>
        <v/>
      </c>
      <c r="MQ8" s="402">
        <f>IF(AND(351&gt;=$NR$8,351&lt;=$NS$8),IF($NP$8="Single_Point",IF(351=$NR$8,$NN$8,0),IF($NP$8="Bell_Curve",$NN$8*(351-$NR$8+1)*($NS$8-351+1)/$NU$8,$NN$8/$NT$8)),0)</f>
        <v/>
      </c>
      <c r="MR8" s="402">
        <f>IF(AND(352&gt;=$NR$8,352&lt;=$NS$8),IF($NP$8="Single_Point",IF(352=$NR$8,$NN$8,0),IF($NP$8="Bell_Curve",$NN$8*(352-$NR$8+1)*($NS$8-352+1)/$NU$8,$NN$8/$NT$8)),0)</f>
        <v/>
      </c>
      <c r="MS8" s="402">
        <f>IF(AND(353&gt;=$NR$8,353&lt;=$NS$8),IF($NP$8="Single_Point",IF(353=$NR$8,$NN$8,0),IF($NP$8="Bell_Curve",$NN$8*(353-$NR$8+1)*($NS$8-353+1)/$NU$8,$NN$8/$NT$8)),0)</f>
        <v/>
      </c>
      <c r="MT8" s="402">
        <f>IF(AND(354&gt;=$NR$8,354&lt;=$NS$8),IF($NP$8="Single_Point",IF(354=$NR$8,$NN$8,0),IF($NP$8="Bell_Curve",$NN$8*(354-$NR$8+1)*($NS$8-354+1)/$NU$8,$NN$8/$NT$8)),0)</f>
        <v/>
      </c>
      <c r="MU8" s="402">
        <f>IF(AND(355&gt;=$NR$8,355&lt;=$NS$8),IF($NP$8="Single_Point",IF(355=$NR$8,$NN$8,0),IF($NP$8="Bell_Curve",$NN$8*(355-$NR$8+1)*($NS$8-355+1)/$NU$8,$NN$8/$NT$8)),0)</f>
        <v/>
      </c>
      <c r="MV8" s="402">
        <f>IF(AND(356&gt;=$NR$8,356&lt;=$NS$8),IF($NP$8="Single_Point",IF(356=$NR$8,$NN$8,0),IF($NP$8="Bell_Curve",$NN$8*(356-$NR$8+1)*($NS$8-356+1)/$NU$8,$NN$8/$NT$8)),0)</f>
        <v/>
      </c>
      <c r="MW8" s="402">
        <f>IF(AND(357&gt;=$NR$8,357&lt;=$NS$8),IF($NP$8="Single_Point",IF(357=$NR$8,$NN$8,0),IF($NP$8="Bell_Curve",$NN$8*(357-$NR$8+1)*($NS$8-357+1)/$NU$8,$NN$8/$NT$8)),0)</f>
        <v/>
      </c>
      <c r="MX8" s="402">
        <f>IF(AND(358&gt;=$NR$8,358&lt;=$NS$8),IF($NP$8="Single_Point",IF(358=$NR$8,$NN$8,0),IF($NP$8="Bell_Curve",$NN$8*(358-$NR$8+1)*($NS$8-358+1)/$NU$8,$NN$8/$NT$8)),0)</f>
        <v/>
      </c>
      <c r="MY8" s="402">
        <f>IF(AND(359&gt;=$NR$8,359&lt;=$NS$8),IF($NP$8="Single_Point",IF(359=$NR$8,$NN$8,0),IF($NP$8="Bell_Curve",$NN$8*(359-$NR$8+1)*($NS$8-359+1)/$NU$8,$NN$8/$NT$8)),0)</f>
        <v/>
      </c>
      <c r="MZ8" s="402">
        <f>IF(AND(360&gt;=$NR$8,360&lt;=$NS$8),IF($NP$8="Single_Point",IF(360=$NR$8,$NN$8,0),IF($NP$8="Bell_Curve",$NN$8*(360-$NR$8+1)*($NS$8-360+1)/$NU$8,$NN$8/$NT$8)),0)</f>
        <v/>
      </c>
      <c r="NA8" s="402">
        <f>IF(AND(361&gt;=$NR$8,361&lt;=$NS$8),IF($NP$8="Single_Point",IF(361=$NR$8,$NN$8,0),IF($NP$8="Bell_Curve",$NN$8*(361-$NR$8+1)*($NS$8-361+1)/$NU$8,$NN$8/$NT$8)),0)</f>
        <v/>
      </c>
      <c r="NB8" s="402">
        <f>IF(AND(362&gt;=$NR$8,362&lt;=$NS$8),IF($NP$8="Single_Point",IF(362=$NR$8,$NN$8,0),IF($NP$8="Bell_Curve",$NN$8*(362-$NR$8+1)*($NS$8-362+1)/$NU$8,$NN$8/$NT$8)),0)</f>
        <v/>
      </c>
      <c r="NC8" s="402">
        <f>IF(AND(363&gt;=$NR$8,363&lt;=$NS$8),IF($NP$8="Single_Point",IF(363=$NR$8,$NN$8,0),IF($NP$8="Bell_Curve",$NN$8*(363-$NR$8+1)*($NS$8-363+1)/$NU$8,$NN$8/$NT$8)),0)</f>
        <v/>
      </c>
      <c r="ND8" s="402">
        <f>IF(AND(364&gt;=$NR$8,364&lt;=$NS$8),IF($NP$8="Single_Point",IF(364=$NR$8,$NN$8,0),IF($NP$8="Bell_Curve",$NN$8*(364-$NR$8+1)*($NS$8-364+1)/$NU$8,$NN$8/$NT$8)),0)</f>
        <v/>
      </c>
      <c r="NE8" s="402">
        <f>IF(AND(365&gt;=$NR$8,365&lt;=$NS$8),IF($NP$8="Single_Point",IF(365=$NR$8,$NN$8,0),IF($NP$8="Bell_Curve",$NN$8*(365-$NR$8+1)*($NS$8-365+1)/$NU$8,$NN$8/$NT$8)),0)</f>
        <v/>
      </c>
      <c r="NF8" s="402">
        <f>IF(AND(366&gt;=$NR$8,366&lt;=$NS$8),IF($NP$8="Single_Point",IF(366=$NR$8,$NN$8,0),IF($NP$8="Bell_Curve",$NN$8*(366-$NR$8+1)*($NS$8-366+1)/$NU$8,$NN$8/$NT$8)),0)</f>
        <v/>
      </c>
      <c r="NG8" s="402">
        <f>IF(AND(367&gt;=$NR$8,367&lt;=$NS$8),IF($NP$8="Single_Point",IF(367=$NR$8,$NN$8,0),IF($NP$8="Bell_Curve",$NN$8*(367-$NR$8+1)*($NS$8-367+1)/$NU$8,$NN$8/$NT$8)),0)</f>
        <v/>
      </c>
      <c r="NH8" s="402">
        <f>IF(AND(368&gt;=$NR$8,368&lt;=$NS$8),IF($NP$8="Single_Point",IF(368=$NR$8,$NN$8,0),IF($NP$8="Bell_Curve",$NN$8*(368-$NR$8+1)*($NS$8-368+1)/$NU$8,$NN$8/$NT$8)),0)</f>
        <v/>
      </c>
      <c r="NI8" s="402">
        <f>IF(AND(369&gt;=$NR$8,369&lt;=$NS$8),IF($NP$8="Single_Point",IF(369=$NR$8,$NN$8,0),IF($NP$8="Bell_Curve",$NN$8*(369-$NR$8+1)*($NS$8-369+1)/$NU$8,$NN$8/$NT$8)),0)</f>
        <v/>
      </c>
      <c r="NJ8" s="402">
        <f>IF(AND(370&gt;=$NR$8,370&lt;=$NS$8),IF($NP$8="Single_Point",IF(370=$NR$8,$NN$8,0),IF($NP$8="Bell_Curve",$NN$8*(370-$NR$8+1)*($NS$8-370+1)/$NU$8,$NN$8/$NT$8)),0)</f>
        <v/>
      </c>
      <c r="NK8" s="402">
        <f>IF(AND(371&gt;=$NR$8,371&lt;=$NS$8),IF($NP$8="Single_Point",IF(371=$NR$8,$NN$8,0),IF($NP$8="Bell_Curve",$NN$8*(371-$NR$8+1)*($NS$8-371+1)/$NU$8,$NN$8/$NT$8)),0)</f>
        <v/>
      </c>
      <c r="NL8" s="426">
        <f>IF(AND(372&gt;=$NR$8,372&lt;=$NS$8),IF($NP$8="Single_Point",IF(372=$NR$8,$NN$8,0),IF($NP$8="Bell_Curve",$NN$8*(372-$NR$8+1)*($NS$8-372+1)/$NU$8,$NN$8/$NT$8)),0)</f>
        <v/>
      </c>
      <c r="NM8">
        <f>Budget!C7</f>
        <v/>
      </c>
      <c r="NN8" s="218">
        <f>Budget!J7</f>
        <v/>
      </c>
      <c r="NO8" s="144">
        <f>Budget!G7</f>
        <v/>
      </c>
      <c r="NP8" s="144">
        <f>Budget!H7</f>
        <v/>
      </c>
      <c r="NQ8" s="85">
        <f>Budget!I7</f>
        <v/>
      </c>
      <c r="NR8" s="248">
        <f>MAX(1,MIN(372,INDEX(MilestoneStart,MATCH(NO8,MilestoneNames,0))+NQ8))</f>
        <v/>
      </c>
      <c r="NS8" s="248">
        <f>MAX(NR8,MIN(372,INDEX(MilestoneEnd,MATCH(NO8,MilestoneNames,0))+NQ8))</f>
        <v/>
      </c>
      <c r="NT8" s="85">
        <f>NS8-NR8+1</f>
        <v/>
      </c>
      <c r="NU8" s="85">
        <f>NT8*(NT8+1)*(NT8+2)/6</f>
        <v/>
      </c>
    </row>
    <row r="9">
      <c r="B9" s="296">
        <f>Budget!B8</f>
        <v/>
      </c>
      <c r="D9" s="425">
        <f>SUM(E9:NL9)</f>
        <v/>
      </c>
      <c r="E9" s="402">
        <f>IF(AND(1&gt;=$NR$9,1&lt;=$NS$9),IF($NP$9="Single_Point",IF(1=$NR$9,$NN$9,0),IF($NP$9="Bell_Curve",$NN$9*(1-$NR$9+1)*($NS$9-1+1)/$NU$9,$NN$9/$NT$9)),0)</f>
        <v/>
      </c>
      <c r="F9" s="402">
        <f>IF(AND(2&gt;=$NR$9,2&lt;=$NS$9),IF($NP$9="Single_Point",IF(2=$NR$9,$NN$9,0),IF($NP$9="Bell_Curve",$NN$9*(2-$NR$9+1)*($NS$9-2+1)/$NU$9,$NN$9/$NT$9)),0)</f>
        <v/>
      </c>
      <c r="G9" s="402">
        <f>IF(AND(3&gt;=$NR$9,3&lt;=$NS$9),IF($NP$9="Single_Point",IF(3=$NR$9,$NN$9,0),IF($NP$9="Bell_Curve",$NN$9*(3-$NR$9+1)*($NS$9-3+1)/$NU$9,$NN$9/$NT$9)),0)</f>
        <v/>
      </c>
      <c r="H9" s="402">
        <f>IF(AND(4&gt;=$NR$9,4&lt;=$NS$9),IF($NP$9="Single_Point",IF(4=$NR$9,$NN$9,0),IF($NP$9="Bell_Curve",$NN$9*(4-$NR$9+1)*($NS$9-4+1)/$NU$9,$NN$9/$NT$9)),0)</f>
        <v/>
      </c>
      <c r="I9" s="402">
        <f>IF(AND(5&gt;=$NR$9,5&lt;=$NS$9),IF($NP$9="Single_Point",IF(5=$NR$9,$NN$9,0),IF($NP$9="Bell_Curve",$NN$9*(5-$NR$9+1)*($NS$9-5+1)/$NU$9,$NN$9/$NT$9)),0)</f>
        <v/>
      </c>
      <c r="J9" s="402">
        <f>IF(AND(6&gt;=$NR$9,6&lt;=$NS$9),IF($NP$9="Single_Point",IF(6=$NR$9,$NN$9,0),IF($NP$9="Bell_Curve",$NN$9*(6-$NR$9+1)*($NS$9-6+1)/$NU$9,$NN$9/$NT$9)),0)</f>
        <v/>
      </c>
      <c r="K9" s="402">
        <f>IF(AND(7&gt;=$NR$9,7&lt;=$NS$9),IF($NP$9="Single_Point",IF(7=$NR$9,$NN$9,0),IF($NP$9="Bell_Curve",$NN$9*(7-$NR$9+1)*($NS$9-7+1)/$NU$9,$NN$9/$NT$9)),0)</f>
        <v/>
      </c>
      <c r="L9" s="402">
        <f>IF(AND(8&gt;=$NR$9,8&lt;=$NS$9),IF($NP$9="Single_Point",IF(8=$NR$9,$NN$9,0),IF($NP$9="Bell_Curve",$NN$9*(8-$NR$9+1)*($NS$9-8+1)/$NU$9,$NN$9/$NT$9)),0)</f>
        <v/>
      </c>
      <c r="M9" s="402">
        <f>IF(AND(9&gt;=$NR$9,9&lt;=$NS$9),IF($NP$9="Single_Point",IF(9=$NR$9,$NN$9,0),IF($NP$9="Bell_Curve",$NN$9*(9-$NR$9+1)*($NS$9-9+1)/$NU$9,$NN$9/$NT$9)),0)</f>
        <v/>
      </c>
      <c r="N9" s="402">
        <f>IF(AND(10&gt;=$NR$9,10&lt;=$NS$9),IF($NP$9="Single_Point",IF(10=$NR$9,$NN$9,0),IF($NP$9="Bell_Curve",$NN$9*(10-$NR$9+1)*($NS$9-10+1)/$NU$9,$NN$9/$NT$9)),0)</f>
        <v/>
      </c>
      <c r="O9" s="402">
        <f>IF(AND(11&gt;=$NR$9,11&lt;=$NS$9),IF($NP$9="Single_Point",IF(11=$NR$9,$NN$9,0),IF($NP$9="Bell_Curve",$NN$9*(11-$NR$9+1)*($NS$9-11+1)/$NU$9,$NN$9/$NT$9)),0)</f>
        <v/>
      </c>
      <c r="P9" s="402">
        <f>IF(AND(12&gt;=$NR$9,12&lt;=$NS$9),IF($NP$9="Single_Point",IF(12=$NR$9,$NN$9,0),IF($NP$9="Bell_Curve",$NN$9*(12-$NR$9+1)*($NS$9-12+1)/$NU$9,$NN$9/$NT$9)),0)</f>
        <v/>
      </c>
      <c r="Q9" s="402">
        <f>IF(AND(13&gt;=$NR$9,13&lt;=$NS$9),IF($NP$9="Single_Point",IF(13=$NR$9,$NN$9,0),IF($NP$9="Bell_Curve",$NN$9*(13-$NR$9+1)*($NS$9-13+1)/$NU$9,$NN$9/$NT$9)),0)</f>
        <v/>
      </c>
      <c r="R9" s="402">
        <f>IF(AND(14&gt;=$NR$9,14&lt;=$NS$9),IF($NP$9="Single_Point",IF(14=$NR$9,$NN$9,0),IF($NP$9="Bell_Curve",$NN$9*(14-$NR$9+1)*($NS$9-14+1)/$NU$9,$NN$9/$NT$9)),0)</f>
        <v/>
      </c>
      <c r="S9" s="402">
        <f>IF(AND(15&gt;=$NR$9,15&lt;=$NS$9),IF($NP$9="Single_Point",IF(15=$NR$9,$NN$9,0),IF($NP$9="Bell_Curve",$NN$9*(15-$NR$9+1)*($NS$9-15+1)/$NU$9,$NN$9/$NT$9)),0)</f>
        <v/>
      </c>
      <c r="T9" s="402">
        <f>IF(AND(16&gt;=$NR$9,16&lt;=$NS$9),IF($NP$9="Single_Point",IF(16=$NR$9,$NN$9,0),IF($NP$9="Bell_Curve",$NN$9*(16-$NR$9+1)*($NS$9-16+1)/$NU$9,$NN$9/$NT$9)),0)</f>
        <v/>
      </c>
      <c r="U9" s="402">
        <f>IF(AND(17&gt;=$NR$9,17&lt;=$NS$9),IF($NP$9="Single_Point",IF(17=$NR$9,$NN$9,0),IF($NP$9="Bell_Curve",$NN$9*(17-$NR$9+1)*($NS$9-17+1)/$NU$9,$NN$9/$NT$9)),0)</f>
        <v/>
      </c>
      <c r="V9" s="402">
        <f>IF(AND(18&gt;=$NR$9,18&lt;=$NS$9),IF($NP$9="Single_Point",IF(18=$NR$9,$NN$9,0),IF($NP$9="Bell_Curve",$NN$9*(18-$NR$9+1)*($NS$9-18+1)/$NU$9,$NN$9/$NT$9)),0)</f>
        <v/>
      </c>
      <c r="W9" s="402">
        <f>IF(AND(19&gt;=$NR$9,19&lt;=$NS$9),IF($NP$9="Single_Point",IF(19=$NR$9,$NN$9,0),IF($NP$9="Bell_Curve",$NN$9*(19-$NR$9+1)*($NS$9-19+1)/$NU$9,$NN$9/$NT$9)),0)</f>
        <v/>
      </c>
      <c r="X9" s="402">
        <f>IF(AND(20&gt;=$NR$9,20&lt;=$NS$9),IF($NP$9="Single_Point",IF(20=$NR$9,$NN$9,0),IF($NP$9="Bell_Curve",$NN$9*(20-$NR$9+1)*($NS$9-20+1)/$NU$9,$NN$9/$NT$9)),0)</f>
        <v/>
      </c>
      <c r="Y9" s="402">
        <f>IF(AND(21&gt;=$NR$9,21&lt;=$NS$9),IF($NP$9="Single_Point",IF(21=$NR$9,$NN$9,0),IF($NP$9="Bell_Curve",$NN$9*(21-$NR$9+1)*($NS$9-21+1)/$NU$9,$NN$9/$NT$9)),0)</f>
        <v/>
      </c>
      <c r="Z9" s="402">
        <f>IF(AND(22&gt;=$NR$9,22&lt;=$NS$9),IF($NP$9="Single_Point",IF(22=$NR$9,$NN$9,0),IF($NP$9="Bell_Curve",$NN$9*(22-$NR$9+1)*($NS$9-22+1)/$NU$9,$NN$9/$NT$9)),0)</f>
        <v/>
      </c>
      <c r="AA9" s="402">
        <f>IF(AND(23&gt;=$NR$9,23&lt;=$NS$9),IF($NP$9="Single_Point",IF(23=$NR$9,$NN$9,0),IF($NP$9="Bell_Curve",$NN$9*(23-$NR$9+1)*($NS$9-23+1)/$NU$9,$NN$9/$NT$9)),0)</f>
        <v/>
      </c>
      <c r="AB9" s="402">
        <f>IF(AND(24&gt;=$NR$9,24&lt;=$NS$9),IF($NP$9="Single_Point",IF(24=$NR$9,$NN$9,0),IF($NP$9="Bell_Curve",$NN$9*(24-$NR$9+1)*($NS$9-24+1)/$NU$9,$NN$9/$NT$9)),0)</f>
        <v/>
      </c>
      <c r="AC9" s="402">
        <f>IF(AND(25&gt;=$NR$9,25&lt;=$NS$9),IF($NP$9="Single_Point",IF(25=$NR$9,$NN$9,0),IF($NP$9="Bell_Curve",$NN$9*(25-$NR$9+1)*($NS$9-25+1)/$NU$9,$NN$9/$NT$9)),0)</f>
        <v/>
      </c>
      <c r="AD9" s="402">
        <f>IF(AND(26&gt;=$NR$9,26&lt;=$NS$9),IF($NP$9="Single_Point",IF(26=$NR$9,$NN$9,0),IF($NP$9="Bell_Curve",$NN$9*(26-$NR$9+1)*($NS$9-26+1)/$NU$9,$NN$9/$NT$9)),0)</f>
        <v/>
      </c>
      <c r="AE9" s="402">
        <f>IF(AND(27&gt;=$NR$9,27&lt;=$NS$9),IF($NP$9="Single_Point",IF(27=$NR$9,$NN$9,0),IF($NP$9="Bell_Curve",$NN$9*(27-$NR$9+1)*($NS$9-27+1)/$NU$9,$NN$9/$NT$9)),0)</f>
        <v/>
      </c>
      <c r="AF9" s="402">
        <f>IF(AND(28&gt;=$NR$9,28&lt;=$NS$9),IF($NP$9="Single_Point",IF(28=$NR$9,$NN$9,0),IF($NP$9="Bell_Curve",$NN$9*(28-$NR$9+1)*($NS$9-28+1)/$NU$9,$NN$9/$NT$9)),0)</f>
        <v/>
      </c>
      <c r="AG9" s="402">
        <f>IF(AND(29&gt;=$NR$9,29&lt;=$NS$9),IF($NP$9="Single_Point",IF(29=$NR$9,$NN$9,0),IF($NP$9="Bell_Curve",$NN$9*(29-$NR$9+1)*($NS$9-29+1)/$NU$9,$NN$9/$NT$9)),0)</f>
        <v/>
      </c>
      <c r="AH9" s="402">
        <f>IF(AND(30&gt;=$NR$9,30&lt;=$NS$9),IF($NP$9="Single_Point",IF(30=$NR$9,$NN$9,0),IF($NP$9="Bell_Curve",$NN$9*(30-$NR$9+1)*($NS$9-30+1)/$NU$9,$NN$9/$NT$9)),0)</f>
        <v/>
      </c>
      <c r="AI9" s="402">
        <f>IF(AND(31&gt;=$NR$9,31&lt;=$NS$9),IF($NP$9="Single_Point",IF(31=$NR$9,$NN$9,0),IF($NP$9="Bell_Curve",$NN$9*(31-$NR$9+1)*($NS$9-31+1)/$NU$9,$NN$9/$NT$9)),0)</f>
        <v/>
      </c>
      <c r="AJ9" s="402">
        <f>IF(AND(32&gt;=$NR$9,32&lt;=$NS$9),IF($NP$9="Single_Point",IF(32=$NR$9,$NN$9,0),IF($NP$9="Bell_Curve",$NN$9*(32-$NR$9+1)*($NS$9-32+1)/$NU$9,$NN$9/$NT$9)),0)</f>
        <v/>
      </c>
      <c r="AK9" s="402">
        <f>IF(AND(33&gt;=$NR$9,33&lt;=$NS$9),IF($NP$9="Single_Point",IF(33=$NR$9,$NN$9,0),IF($NP$9="Bell_Curve",$NN$9*(33-$NR$9+1)*($NS$9-33+1)/$NU$9,$NN$9/$NT$9)),0)</f>
        <v/>
      </c>
      <c r="AL9" s="402">
        <f>IF(AND(34&gt;=$NR$9,34&lt;=$NS$9),IF($NP$9="Single_Point",IF(34=$NR$9,$NN$9,0),IF($NP$9="Bell_Curve",$NN$9*(34-$NR$9+1)*($NS$9-34+1)/$NU$9,$NN$9/$NT$9)),0)</f>
        <v/>
      </c>
      <c r="AM9" s="402">
        <f>IF(AND(35&gt;=$NR$9,35&lt;=$NS$9),IF($NP$9="Single_Point",IF(35=$NR$9,$NN$9,0),IF($NP$9="Bell_Curve",$NN$9*(35-$NR$9+1)*($NS$9-35+1)/$NU$9,$NN$9/$NT$9)),0)</f>
        <v/>
      </c>
      <c r="AN9" s="402">
        <f>IF(AND(36&gt;=$NR$9,36&lt;=$NS$9),IF($NP$9="Single_Point",IF(36=$NR$9,$NN$9,0),IF($NP$9="Bell_Curve",$NN$9*(36-$NR$9+1)*($NS$9-36+1)/$NU$9,$NN$9/$NT$9)),0)</f>
        <v/>
      </c>
      <c r="AO9" s="402">
        <f>IF(AND(37&gt;=$NR$9,37&lt;=$NS$9),IF($NP$9="Single_Point",IF(37=$NR$9,$NN$9,0),IF($NP$9="Bell_Curve",$NN$9*(37-$NR$9+1)*($NS$9-37+1)/$NU$9,$NN$9/$NT$9)),0)</f>
        <v/>
      </c>
      <c r="AP9" s="402">
        <f>IF(AND(38&gt;=$NR$9,38&lt;=$NS$9),IF($NP$9="Single_Point",IF(38=$NR$9,$NN$9,0),IF($NP$9="Bell_Curve",$NN$9*(38-$NR$9+1)*($NS$9-38+1)/$NU$9,$NN$9/$NT$9)),0)</f>
        <v/>
      </c>
      <c r="AQ9" s="402">
        <f>IF(AND(39&gt;=$NR$9,39&lt;=$NS$9),IF($NP$9="Single_Point",IF(39=$NR$9,$NN$9,0),IF($NP$9="Bell_Curve",$NN$9*(39-$NR$9+1)*($NS$9-39+1)/$NU$9,$NN$9/$NT$9)),0)</f>
        <v/>
      </c>
      <c r="AR9" s="402">
        <f>IF(AND(40&gt;=$NR$9,40&lt;=$NS$9),IF($NP$9="Single_Point",IF(40=$NR$9,$NN$9,0),IF($NP$9="Bell_Curve",$NN$9*(40-$NR$9+1)*($NS$9-40+1)/$NU$9,$NN$9/$NT$9)),0)</f>
        <v/>
      </c>
      <c r="AS9" s="402">
        <f>IF(AND(41&gt;=$NR$9,41&lt;=$NS$9),IF($NP$9="Single_Point",IF(41=$NR$9,$NN$9,0),IF($NP$9="Bell_Curve",$NN$9*(41-$NR$9+1)*($NS$9-41+1)/$NU$9,$NN$9/$NT$9)),0)</f>
        <v/>
      </c>
      <c r="AT9" s="402">
        <f>IF(AND(42&gt;=$NR$9,42&lt;=$NS$9),IF($NP$9="Single_Point",IF(42=$NR$9,$NN$9,0),IF($NP$9="Bell_Curve",$NN$9*(42-$NR$9+1)*($NS$9-42+1)/$NU$9,$NN$9/$NT$9)),0)</f>
        <v/>
      </c>
      <c r="AU9" s="402">
        <f>IF(AND(43&gt;=$NR$9,43&lt;=$NS$9),IF($NP$9="Single_Point",IF(43=$NR$9,$NN$9,0),IF($NP$9="Bell_Curve",$NN$9*(43-$NR$9+1)*($NS$9-43+1)/$NU$9,$NN$9/$NT$9)),0)</f>
        <v/>
      </c>
      <c r="AV9" s="402">
        <f>IF(AND(44&gt;=$NR$9,44&lt;=$NS$9),IF($NP$9="Single_Point",IF(44=$NR$9,$NN$9,0),IF($NP$9="Bell_Curve",$NN$9*(44-$NR$9+1)*($NS$9-44+1)/$NU$9,$NN$9/$NT$9)),0)</f>
        <v/>
      </c>
      <c r="AW9" s="402">
        <f>IF(AND(45&gt;=$NR$9,45&lt;=$NS$9),IF($NP$9="Single_Point",IF(45=$NR$9,$NN$9,0),IF($NP$9="Bell_Curve",$NN$9*(45-$NR$9+1)*($NS$9-45+1)/$NU$9,$NN$9/$NT$9)),0)</f>
        <v/>
      </c>
      <c r="AX9" s="402">
        <f>IF(AND(46&gt;=$NR$9,46&lt;=$NS$9),IF($NP$9="Single_Point",IF(46=$NR$9,$NN$9,0),IF($NP$9="Bell_Curve",$NN$9*(46-$NR$9+1)*($NS$9-46+1)/$NU$9,$NN$9/$NT$9)),0)</f>
        <v/>
      </c>
      <c r="AY9" s="402">
        <f>IF(AND(47&gt;=$NR$9,47&lt;=$NS$9),IF($NP$9="Single_Point",IF(47=$NR$9,$NN$9,0),IF($NP$9="Bell_Curve",$NN$9*(47-$NR$9+1)*($NS$9-47+1)/$NU$9,$NN$9/$NT$9)),0)</f>
        <v/>
      </c>
      <c r="AZ9" s="402">
        <f>IF(AND(48&gt;=$NR$9,48&lt;=$NS$9),IF($NP$9="Single_Point",IF(48=$NR$9,$NN$9,0),IF($NP$9="Bell_Curve",$NN$9*(48-$NR$9+1)*($NS$9-48+1)/$NU$9,$NN$9/$NT$9)),0)</f>
        <v/>
      </c>
      <c r="BA9" s="402">
        <f>IF(AND(49&gt;=$NR$9,49&lt;=$NS$9),IF($NP$9="Single_Point",IF(49=$NR$9,$NN$9,0),IF($NP$9="Bell_Curve",$NN$9*(49-$NR$9+1)*($NS$9-49+1)/$NU$9,$NN$9/$NT$9)),0)</f>
        <v/>
      </c>
      <c r="BB9" s="402">
        <f>IF(AND(50&gt;=$NR$9,50&lt;=$NS$9),IF($NP$9="Single_Point",IF(50=$NR$9,$NN$9,0),IF($NP$9="Bell_Curve",$NN$9*(50-$NR$9+1)*($NS$9-50+1)/$NU$9,$NN$9/$NT$9)),0)</f>
        <v/>
      </c>
      <c r="BC9" s="402">
        <f>IF(AND(51&gt;=$NR$9,51&lt;=$NS$9),IF($NP$9="Single_Point",IF(51=$NR$9,$NN$9,0),IF($NP$9="Bell_Curve",$NN$9*(51-$NR$9+1)*($NS$9-51+1)/$NU$9,$NN$9/$NT$9)),0)</f>
        <v/>
      </c>
      <c r="BD9" s="402">
        <f>IF(AND(52&gt;=$NR$9,52&lt;=$NS$9),IF($NP$9="Single_Point",IF(52=$NR$9,$NN$9,0),IF($NP$9="Bell_Curve",$NN$9*(52-$NR$9+1)*($NS$9-52+1)/$NU$9,$NN$9/$NT$9)),0)</f>
        <v/>
      </c>
      <c r="BE9" s="402">
        <f>IF(AND(53&gt;=$NR$9,53&lt;=$NS$9),IF($NP$9="Single_Point",IF(53=$NR$9,$NN$9,0),IF($NP$9="Bell_Curve",$NN$9*(53-$NR$9+1)*($NS$9-53+1)/$NU$9,$NN$9/$NT$9)),0)</f>
        <v/>
      </c>
      <c r="BF9" s="402">
        <f>IF(AND(54&gt;=$NR$9,54&lt;=$NS$9),IF($NP$9="Single_Point",IF(54=$NR$9,$NN$9,0),IF($NP$9="Bell_Curve",$NN$9*(54-$NR$9+1)*($NS$9-54+1)/$NU$9,$NN$9/$NT$9)),0)</f>
        <v/>
      </c>
      <c r="BG9" s="402">
        <f>IF(AND(55&gt;=$NR$9,55&lt;=$NS$9),IF($NP$9="Single_Point",IF(55=$NR$9,$NN$9,0),IF($NP$9="Bell_Curve",$NN$9*(55-$NR$9+1)*($NS$9-55+1)/$NU$9,$NN$9/$NT$9)),0)</f>
        <v/>
      </c>
      <c r="BH9" s="402">
        <f>IF(AND(56&gt;=$NR$9,56&lt;=$NS$9),IF($NP$9="Single_Point",IF(56=$NR$9,$NN$9,0),IF($NP$9="Bell_Curve",$NN$9*(56-$NR$9+1)*($NS$9-56+1)/$NU$9,$NN$9/$NT$9)),0)</f>
        <v/>
      </c>
      <c r="BI9" s="402">
        <f>IF(AND(57&gt;=$NR$9,57&lt;=$NS$9),IF($NP$9="Single_Point",IF(57=$NR$9,$NN$9,0),IF($NP$9="Bell_Curve",$NN$9*(57-$NR$9+1)*($NS$9-57+1)/$NU$9,$NN$9/$NT$9)),0)</f>
        <v/>
      </c>
      <c r="BJ9" s="402">
        <f>IF(AND(58&gt;=$NR$9,58&lt;=$NS$9),IF($NP$9="Single_Point",IF(58=$NR$9,$NN$9,0),IF($NP$9="Bell_Curve",$NN$9*(58-$NR$9+1)*($NS$9-58+1)/$NU$9,$NN$9/$NT$9)),0)</f>
        <v/>
      </c>
      <c r="BK9" s="402">
        <f>IF(AND(59&gt;=$NR$9,59&lt;=$NS$9),IF($NP$9="Single_Point",IF(59=$NR$9,$NN$9,0),IF($NP$9="Bell_Curve",$NN$9*(59-$NR$9+1)*($NS$9-59+1)/$NU$9,$NN$9/$NT$9)),0)</f>
        <v/>
      </c>
      <c r="BL9" s="402">
        <f>IF(AND(60&gt;=$NR$9,60&lt;=$NS$9),IF($NP$9="Single_Point",IF(60=$NR$9,$NN$9,0),IF($NP$9="Bell_Curve",$NN$9*(60-$NR$9+1)*($NS$9-60+1)/$NU$9,$NN$9/$NT$9)),0)</f>
        <v/>
      </c>
      <c r="BM9" s="402">
        <f>IF(AND(61&gt;=$NR$9,61&lt;=$NS$9),IF($NP$9="Single_Point",IF(61=$NR$9,$NN$9,0),IF($NP$9="Bell_Curve",$NN$9*(61-$NR$9+1)*($NS$9-61+1)/$NU$9,$NN$9/$NT$9)),0)</f>
        <v/>
      </c>
      <c r="BN9" s="402">
        <f>IF(AND(62&gt;=$NR$9,62&lt;=$NS$9),IF($NP$9="Single_Point",IF(62=$NR$9,$NN$9,0),IF($NP$9="Bell_Curve",$NN$9*(62-$NR$9+1)*($NS$9-62+1)/$NU$9,$NN$9/$NT$9)),0)</f>
        <v/>
      </c>
      <c r="BO9" s="402">
        <f>IF(AND(63&gt;=$NR$9,63&lt;=$NS$9),IF($NP$9="Single_Point",IF(63=$NR$9,$NN$9,0),IF($NP$9="Bell_Curve",$NN$9*(63-$NR$9+1)*($NS$9-63+1)/$NU$9,$NN$9/$NT$9)),0)</f>
        <v/>
      </c>
      <c r="BP9" s="402">
        <f>IF(AND(64&gt;=$NR$9,64&lt;=$NS$9),IF($NP$9="Single_Point",IF(64=$NR$9,$NN$9,0),IF($NP$9="Bell_Curve",$NN$9*(64-$NR$9+1)*($NS$9-64+1)/$NU$9,$NN$9/$NT$9)),0)</f>
        <v/>
      </c>
      <c r="BQ9" s="402">
        <f>IF(AND(65&gt;=$NR$9,65&lt;=$NS$9),IF($NP$9="Single_Point",IF(65=$NR$9,$NN$9,0),IF($NP$9="Bell_Curve",$NN$9*(65-$NR$9+1)*($NS$9-65+1)/$NU$9,$NN$9/$NT$9)),0)</f>
        <v/>
      </c>
      <c r="BR9" s="402">
        <f>IF(AND(66&gt;=$NR$9,66&lt;=$NS$9),IF($NP$9="Single_Point",IF(66=$NR$9,$NN$9,0),IF($NP$9="Bell_Curve",$NN$9*(66-$NR$9+1)*($NS$9-66+1)/$NU$9,$NN$9/$NT$9)),0)</f>
        <v/>
      </c>
      <c r="BS9" s="402">
        <f>IF(AND(67&gt;=$NR$9,67&lt;=$NS$9),IF($NP$9="Single_Point",IF(67=$NR$9,$NN$9,0),IF($NP$9="Bell_Curve",$NN$9*(67-$NR$9+1)*($NS$9-67+1)/$NU$9,$NN$9/$NT$9)),0)</f>
        <v/>
      </c>
      <c r="BT9" s="402">
        <f>IF(AND(68&gt;=$NR$9,68&lt;=$NS$9),IF($NP$9="Single_Point",IF(68=$NR$9,$NN$9,0),IF($NP$9="Bell_Curve",$NN$9*(68-$NR$9+1)*($NS$9-68+1)/$NU$9,$NN$9/$NT$9)),0)</f>
        <v/>
      </c>
      <c r="BU9" s="402">
        <f>IF(AND(69&gt;=$NR$9,69&lt;=$NS$9),IF($NP$9="Single_Point",IF(69=$NR$9,$NN$9,0),IF($NP$9="Bell_Curve",$NN$9*(69-$NR$9+1)*($NS$9-69+1)/$NU$9,$NN$9/$NT$9)),0)</f>
        <v/>
      </c>
      <c r="BV9" s="402">
        <f>IF(AND(70&gt;=$NR$9,70&lt;=$NS$9),IF($NP$9="Single_Point",IF(70=$NR$9,$NN$9,0),IF($NP$9="Bell_Curve",$NN$9*(70-$NR$9+1)*($NS$9-70+1)/$NU$9,$NN$9/$NT$9)),0)</f>
        <v/>
      </c>
      <c r="BW9" s="402">
        <f>IF(AND(71&gt;=$NR$9,71&lt;=$NS$9),IF($NP$9="Single_Point",IF(71=$NR$9,$NN$9,0),IF($NP$9="Bell_Curve",$NN$9*(71-$NR$9+1)*($NS$9-71+1)/$NU$9,$NN$9/$NT$9)),0)</f>
        <v/>
      </c>
      <c r="BX9" s="402">
        <f>IF(AND(72&gt;=$NR$9,72&lt;=$NS$9),IF($NP$9="Single_Point",IF(72=$NR$9,$NN$9,0),IF($NP$9="Bell_Curve",$NN$9*(72-$NR$9+1)*($NS$9-72+1)/$NU$9,$NN$9/$NT$9)),0)</f>
        <v/>
      </c>
      <c r="BY9" s="402">
        <f>IF(AND(73&gt;=$NR$9,73&lt;=$NS$9),IF($NP$9="Single_Point",IF(73=$NR$9,$NN$9,0),IF($NP$9="Bell_Curve",$NN$9*(73-$NR$9+1)*($NS$9-73+1)/$NU$9,$NN$9/$NT$9)),0)</f>
        <v/>
      </c>
      <c r="BZ9" s="402">
        <f>IF(AND(74&gt;=$NR$9,74&lt;=$NS$9),IF($NP$9="Single_Point",IF(74=$NR$9,$NN$9,0),IF($NP$9="Bell_Curve",$NN$9*(74-$NR$9+1)*($NS$9-74+1)/$NU$9,$NN$9/$NT$9)),0)</f>
        <v/>
      </c>
      <c r="CA9" s="402">
        <f>IF(AND(75&gt;=$NR$9,75&lt;=$NS$9),IF($NP$9="Single_Point",IF(75=$NR$9,$NN$9,0),IF($NP$9="Bell_Curve",$NN$9*(75-$NR$9+1)*($NS$9-75+1)/$NU$9,$NN$9/$NT$9)),0)</f>
        <v/>
      </c>
      <c r="CB9" s="402">
        <f>IF(AND(76&gt;=$NR$9,76&lt;=$NS$9),IF($NP$9="Single_Point",IF(76=$NR$9,$NN$9,0),IF($NP$9="Bell_Curve",$NN$9*(76-$NR$9+1)*($NS$9-76+1)/$NU$9,$NN$9/$NT$9)),0)</f>
        <v/>
      </c>
      <c r="CC9" s="402">
        <f>IF(AND(77&gt;=$NR$9,77&lt;=$NS$9),IF($NP$9="Single_Point",IF(77=$NR$9,$NN$9,0),IF($NP$9="Bell_Curve",$NN$9*(77-$NR$9+1)*($NS$9-77+1)/$NU$9,$NN$9/$NT$9)),0)</f>
        <v/>
      </c>
      <c r="CD9" s="402">
        <f>IF(AND(78&gt;=$NR$9,78&lt;=$NS$9),IF($NP$9="Single_Point",IF(78=$NR$9,$NN$9,0),IF($NP$9="Bell_Curve",$NN$9*(78-$NR$9+1)*($NS$9-78+1)/$NU$9,$NN$9/$NT$9)),0)</f>
        <v/>
      </c>
      <c r="CE9" s="402">
        <f>IF(AND(79&gt;=$NR$9,79&lt;=$NS$9),IF($NP$9="Single_Point",IF(79=$NR$9,$NN$9,0),IF($NP$9="Bell_Curve",$NN$9*(79-$NR$9+1)*($NS$9-79+1)/$NU$9,$NN$9/$NT$9)),0)</f>
        <v/>
      </c>
      <c r="CF9" s="402">
        <f>IF(AND(80&gt;=$NR$9,80&lt;=$NS$9),IF($NP$9="Single_Point",IF(80=$NR$9,$NN$9,0),IF($NP$9="Bell_Curve",$NN$9*(80-$NR$9+1)*($NS$9-80+1)/$NU$9,$NN$9/$NT$9)),0)</f>
        <v/>
      </c>
      <c r="CG9" s="402">
        <f>IF(AND(81&gt;=$NR$9,81&lt;=$NS$9),IF($NP$9="Single_Point",IF(81=$NR$9,$NN$9,0),IF($NP$9="Bell_Curve",$NN$9*(81-$NR$9+1)*($NS$9-81+1)/$NU$9,$NN$9/$NT$9)),0)</f>
        <v/>
      </c>
      <c r="CH9" s="402">
        <f>IF(AND(82&gt;=$NR$9,82&lt;=$NS$9),IF($NP$9="Single_Point",IF(82=$NR$9,$NN$9,0),IF($NP$9="Bell_Curve",$NN$9*(82-$NR$9+1)*($NS$9-82+1)/$NU$9,$NN$9/$NT$9)),0)</f>
        <v/>
      </c>
      <c r="CI9" s="402">
        <f>IF(AND(83&gt;=$NR$9,83&lt;=$NS$9),IF($NP$9="Single_Point",IF(83=$NR$9,$NN$9,0),IF($NP$9="Bell_Curve",$NN$9*(83-$NR$9+1)*($NS$9-83+1)/$NU$9,$NN$9/$NT$9)),0)</f>
        <v/>
      </c>
      <c r="CJ9" s="402">
        <f>IF(AND(84&gt;=$NR$9,84&lt;=$NS$9),IF($NP$9="Single_Point",IF(84=$NR$9,$NN$9,0),IF($NP$9="Bell_Curve",$NN$9*(84-$NR$9+1)*($NS$9-84+1)/$NU$9,$NN$9/$NT$9)),0)</f>
        <v/>
      </c>
      <c r="CK9" s="402">
        <f>IF(AND(85&gt;=$NR$9,85&lt;=$NS$9),IF($NP$9="Single_Point",IF(85=$NR$9,$NN$9,0),IF($NP$9="Bell_Curve",$NN$9*(85-$NR$9+1)*($NS$9-85+1)/$NU$9,$NN$9/$NT$9)),0)</f>
        <v/>
      </c>
      <c r="CL9" s="402">
        <f>IF(AND(86&gt;=$NR$9,86&lt;=$NS$9),IF($NP$9="Single_Point",IF(86=$NR$9,$NN$9,0),IF($NP$9="Bell_Curve",$NN$9*(86-$NR$9+1)*($NS$9-86+1)/$NU$9,$NN$9/$NT$9)),0)</f>
        <v/>
      </c>
      <c r="CM9" s="402">
        <f>IF(AND(87&gt;=$NR$9,87&lt;=$NS$9),IF($NP$9="Single_Point",IF(87=$NR$9,$NN$9,0),IF($NP$9="Bell_Curve",$NN$9*(87-$NR$9+1)*($NS$9-87+1)/$NU$9,$NN$9/$NT$9)),0)</f>
        <v/>
      </c>
      <c r="CN9" s="402">
        <f>IF(AND(88&gt;=$NR$9,88&lt;=$NS$9),IF($NP$9="Single_Point",IF(88=$NR$9,$NN$9,0),IF($NP$9="Bell_Curve",$NN$9*(88-$NR$9+1)*($NS$9-88+1)/$NU$9,$NN$9/$NT$9)),0)</f>
        <v/>
      </c>
      <c r="CO9" s="402">
        <f>IF(AND(89&gt;=$NR$9,89&lt;=$NS$9),IF($NP$9="Single_Point",IF(89=$NR$9,$NN$9,0),IF($NP$9="Bell_Curve",$NN$9*(89-$NR$9+1)*($NS$9-89+1)/$NU$9,$NN$9/$NT$9)),0)</f>
        <v/>
      </c>
      <c r="CP9" s="402">
        <f>IF(AND(90&gt;=$NR$9,90&lt;=$NS$9),IF($NP$9="Single_Point",IF(90=$NR$9,$NN$9,0),IF($NP$9="Bell_Curve",$NN$9*(90-$NR$9+1)*($NS$9-90+1)/$NU$9,$NN$9/$NT$9)),0)</f>
        <v/>
      </c>
      <c r="CQ9" s="402">
        <f>IF(AND(91&gt;=$NR$9,91&lt;=$NS$9),IF($NP$9="Single_Point",IF(91=$NR$9,$NN$9,0),IF($NP$9="Bell_Curve",$NN$9*(91-$NR$9+1)*($NS$9-91+1)/$NU$9,$NN$9/$NT$9)),0)</f>
        <v/>
      </c>
      <c r="CR9" s="402">
        <f>IF(AND(92&gt;=$NR$9,92&lt;=$NS$9),IF($NP$9="Single_Point",IF(92=$NR$9,$NN$9,0),IF($NP$9="Bell_Curve",$NN$9*(92-$NR$9+1)*($NS$9-92+1)/$NU$9,$NN$9/$NT$9)),0)</f>
        <v/>
      </c>
      <c r="CS9" s="402">
        <f>IF(AND(93&gt;=$NR$9,93&lt;=$NS$9),IF($NP$9="Single_Point",IF(93=$NR$9,$NN$9,0),IF($NP$9="Bell_Curve",$NN$9*(93-$NR$9+1)*($NS$9-93+1)/$NU$9,$NN$9/$NT$9)),0)</f>
        <v/>
      </c>
      <c r="CT9" s="402">
        <f>IF(AND(94&gt;=$NR$9,94&lt;=$NS$9),IF($NP$9="Single_Point",IF(94=$NR$9,$NN$9,0),IF($NP$9="Bell_Curve",$NN$9*(94-$NR$9+1)*($NS$9-94+1)/$NU$9,$NN$9/$NT$9)),0)</f>
        <v/>
      </c>
      <c r="CU9" s="402">
        <f>IF(AND(95&gt;=$NR$9,95&lt;=$NS$9),IF($NP$9="Single_Point",IF(95=$NR$9,$NN$9,0),IF($NP$9="Bell_Curve",$NN$9*(95-$NR$9+1)*($NS$9-95+1)/$NU$9,$NN$9/$NT$9)),0)</f>
        <v/>
      </c>
      <c r="CV9" s="402">
        <f>IF(AND(96&gt;=$NR$9,96&lt;=$NS$9),IF($NP$9="Single_Point",IF(96=$NR$9,$NN$9,0),IF($NP$9="Bell_Curve",$NN$9*(96-$NR$9+1)*($NS$9-96+1)/$NU$9,$NN$9/$NT$9)),0)</f>
        <v/>
      </c>
      <c r="CW9" s="402">
        <f>IF(AND(97&gt;=$NR$9,97&lt;=$NS$9),IF($NP$9="Single_Point",IF(97=$NR$9,$NN$9,0),IF($NP$9="Bell_Curve",$NN$9*(97-$NR$9+1)*($NS$9-97+1)/$NU$9,$NN$9/$NT$9)),0)</f>
        <v/>
      </c>
      <c r="CX9" s="402">
        <f>IF(AND(98&gt;=$NR$9,98&lt;=$NS$9),IF($NP$9="Single_Point",IF(98=$NR$9,$NN$9,0),IF($NP$9="Bell_Curve",$NN$9*(98-$NR$9+1)*($NS$9-98+1)/$NU$9,$NN$9/$NT$9)),0)</f>
        <v/>
      </c>
      <c r="CY9" s="402">
        <f>IF(AND(99&gt;=$NR$9,99&lt;=$NS$9),IF($NP$9="Single_Point",IF(99=$NR$9,$NN$9,0),IF($NP$9="Bell_Curve",$NN$9*(99-$NR$9+1)*($NS$9-99+1)/$NU$9,$NN$9/$NT$9)),0)</f>
        <v/>
      </c>
      <c r="CZ9" s="402">
        <f>IF(AND(100&gt;=$NR$9,100&lt;=$NS$9),IF($NP$9="Single_Point",IF(100=$NR$9,$NN$9,0),IF($NP$9="Bell_Curve",$NN$9*(100-$NR$9+1)*($NS$9-100+1)/$NU$9,$NN$9/$NT$9)),0)</f>
        <v/>
      </c>
      <c r="DA9" s="402">
        <f>IF(AND(101&gt;=$NR$9,101&lt;=$NS$9),IF($NP$9="Single_Point",IF(101=$NR$9,$NN$9,0),IF($NP$9="Bell_Curve",$NN$9*(101-$NR$9+1)*($NS$9-101+1)/$NU$9,$NN$9/$NT$9)),0)</f>
        <v/>
      </c>
      <c r="DB9" s="402">
        <f>IF(AND(102&gt;=$NR$9,102&lt;=$NS$9),IF($NP$9="Single_Point",IF(102=$NR$9,$NN$9,0),IF($NP$9="Bell_Curve",$NN$9*(102-$NR$9+1)*($NS$9-102+1)/$NU$9,$NN$9/$NT$9)),0)</f>
        <v/>
      </c>
      <c r="DC9" s="402">
        <f>IF(AND(103&gt;=$NR$9,103&lt;=$NS$9),IF($NP$9="Single_Point",IF(103=$NR$9,$NN$9,0),IF($NP$9="Bell_Curve",$NN$9*(103-$NR$9+1)*($NS$9-103+1)/$NU$9,$NN$9/$NT$9)),0)</f>
        <v/>
      </c>
      <c r="DD9" s="402">
        <f>IF(AND(104&gt;=$NR$9,104&lt;=$NS$9),IF($NP$9="Single_Point",IF(104=$NR$9,$NN$9,0),IF($NP$9="Bell_Curve",$NN$9*(104-$NR$9+1)*($NS$9-104+1)/$NU$9,$NN$9/$NT$9)),0)</f>
        <v/>
      </c>
      <c r="DE9" s="402">
        <f>IF(AND(105&gt;=$NR$9,105&lt;=$NS$9),IF($NP$9="Single_Point",IF(105=$NR$9,$NN$9,0),IF($NP$9="Bell_Curve",$NN$9*(105-$NR$9+1)*($NS$9-105+1)/$NU$9,$NN$9/$NT$9)),0)</f>
        <v/>
      </c>
      <c r="DF9" s="402">
        <f>IF(AND(106&gt;=$NR$9,106&lt;=$NS$9),IF($NP$9="Single_Point",IF(106=$NR$9,$NN$9,0),IF($NP$9="Bell_Curve",$NN$9*(106-$NR$9+1)*($NS$9-106+1)/$NU$9,$NN$9/$NT$9)),0)</f>
        <v/>
      </c>
      <c r="DG9" s="402">
        <f>IF(AND(107&gt;=$NR$9,107&lt;=$NS$9),IF($NP$9="Single_Point",IF(107=$NR$9,$NN$9,0),IF($NP$9="Bell_Curve",$NN$9*(107-$NR$9+1)*($NS$9-107+1)/$NU$9,$NN$9/$NT$9)),0)</f>
        <v/>
      </c>
      <c r="DH9" s="402">
        <f>IF(AND(108&gt;=$NR$9,108&lt;=$NS$9),IF($NP$9="Single_Point",IF(108=$NR$9,$NN$9,0),IF($NP$9="Bell_Curve",$NN$9*(108-$NR$9+1)*($NS$9-108+1)/$NU$9,$NN$9/$NT$9)),0)</f>
        <v/>
      </c>
      <c r="DI9" s="402">
        <f>IF(AND(109&gt;=$NR$9,109&lt;=$NS$9),IF($NP$9="Single_Point",IF(109=$NR$9,$NN$9,0),IF($NP$9="Bell_Curve",$NN$9*(109-$NR$9+1)*($NS$9-109+1)/$NU$9,$NN$9/$NT$9)),0)</f>
        <v/>
      </c>
      <c r="DJ9" s="402">
        <f>IF(AND(110&gt;=$NR$9,110&lt;=$NS$9),IF($NP$9="Single_Point",IF(110=$NR$9,$NN$9,0),IF($NP$9="Bell_Curve",$NN$9*(110-$NR$9+1)*($NS$9-110+1)/$NU$9,$NN$9/$NT$9)),0)</f>
        <v/>
      </c>
      <c r="DK9" s="402">
        <f>IF(AND(111&gt;=$NR$9,111&lt;=$NS$9),IF($NP$9="Single_Point",IF(111=$NR$9,$NN$9,0),IF($NP$9="Bell_Curve",$NN$9*(111-$NR$9+1)*($NS$9-111+1)/$NU$9,$NN$9/$NT$9)),0)</f>
        <v/>
      </c>
      <c r="DL9" s="402">
        <f>IF(AND(112&gt;=$NR$9,112&lt;=$NS$9),IF($NP$9="Single_Point",IF(112=$NR$9,$NN$9,0),IF($NP$9="Bell_Curve",$NN$9*(112-$NR$9+1)*($NS$9-112+1)/$NU$9,$NN$9/$NT$9)),0)</f>
        <v/>
      </c>
      <c r="DM9" s="402">
        <f>IF(AND(113&gt;=$NR$9,113&lt;=$NS$9),IF($NP$9="Single_Point",IF(113=$NR$9,$NN$9,0),IF($NP$9="Bell_Curve",$NN$9*(113-$NR$9+1)*($NS$9-113+1)/$NU$9,$NN$9/$NT$9)),0)</f>
        <v/>
      </c>
      <c r="DN9" s="402">
        <f>IF(AND(114&gt;=$NR$9,114&lt;=$NS$9),IF($NP$9="Single_Point",IF(114=$NR$9,$NN$9,0),IF($NP$9="Bell_Curve",$NN$9*(114-$NR$9+1)*($NS$9-114+1)/$NU$9,$NN$9/$NT$9)),0)</f>
        <v/>
      </c>
      <c r="DO9" s="402">
        <f>IF(AND(115&gt;=$NR$9,115&lt;=$NS$9),IF($NP$9="Single_Point",IF(115=$NR$9,$NN$9,0),IF($NP$9="Bell_Curve",$NN$9*(115-$NR$9+1)*($NS$9-115+1)/$NU$9,$NN$9/$NT$9)),0)</f>
        <v/>
      </c>
      <c r="DP9" s="402">
        <f>IF(AND(116&gt;=$NR$9,116&lt;=$NS$9),IF($NP$9="Single_Point",IF(116=$NR$9,$NN$9,0),IF($NP$9="Bell_Curve",$NN$9*(116-$NR$9+1)*($NS$9-116+1)/$NU$9,$NN$9/$NT$9)),0)</f>
        <v/>
      </c>
      <c r="DQ9" s="402">
        <f>IF(AND(117&gt;=$NR$9,117&lt;=$NS$9),IF($NP$9="Single_Point",IF(117=$NR$9,$NN$9,0),IF($NP$9="Bell_Curve",$NN$9*(117-$NR$9+1)*($NS$9-117+1)/$NU$9,$NN$9/$NT$9)),0)</f>
        <v/>
      </c>
      <c r="DR9" s="402">
        <f>IF(AND(118&gt;=$NR$9,118&lt;=$NS$9),IF($NP$9="Single_Point",IF(118=$NR$9,$NN$9,0),IF($NP$9="Bell_Curve",$NN$9*(118-$NR$9+1)*($NS$9-118+1)/$NU$9,$NN$9/$NT$9)),0)</f>
        <v/>
      </c>
      <c r="DS9" s="402">
        <f>IF(AND(119&gt;=$NR$9,119&lt;=$NS$9),IF($NP$9="Single_Point",IF(119=$NR$9,$NN$9,0),IF($NP$9="Bell_Curve",$NN$9*(119-$NR$9+1)*($NS$9-119+1)/$NU$9,$NN$9/$NT$9)),0)</f>
        <v/>
      </c>
      <c r="DT9" s="402">
        <f>IF(AND(120&gt;=$NR$9,120&lt;=$NS$9),IF($NP$9="Single_Point",IF(120=$NR$9,$NN$9,0),IF($NP$9="Bell_Curve",$NN$9*(120-$NR$9+1)*($NS$9-120+1)/$NU$9,$NN$9/$NT$9)),0)</f>
        <v/>
      </c>
      <c r="DU9" s="402">
        <f>IF(AND(121&gt;=$NR$9,121&lt;=$NS$9),IF($NP$9="Single_Point",IF(121=$NR$9,$NN$9,0),IF($NP$9="Bell_Curve",$NN$9*(121-$NR$9+1)*($NS$9-121+1)/$NU$9,$NN$9/$NT$9)),0)</f>
        <v/>
      </c>
      <c r="DV9" s="402">
        <f>IF(AND(122&gt;=$NR$9,122&lt;=$NS$9),IF($NP$9="Single_Point",IF(122=$NR$9,$NN$9,0),IF($NP$9="Bell_Curve",$NN$9*(122-$NR$9+1)*($NS$9-122+1)/$NU$9,$NN$9/$NT$9)),0)</f>
        <v/>
      </c>
      <c r="DW9" s="402">
        <f>IF(AND(123&gt;=$NR$9,123&lt;=$NS$9),IF($NP$9="Single_Point",IF(123=$NR$9,$NN$9,0),IF($NP$9="Bell_Curve",$NN$9*(123-$NR$9+1)*($NS$9-123+1)/$NU$9,$NN$9/$NT$9)),0)</f>
        <v/>
      </c>
      <c r="DX9" s="402">
        <f>IF(AND(124&gt;=$NR$9,124&lt;=$NS$9),IF($NP$9="Single_Point",IF(124=$NR$9,$NN$9,0),IF($NP$9="Bell_Curve",$NN$9*(124-$NR$9+1)*($NS$9-124+1)/$NU$9,$NN$9/$NT$9)),0)</f>
        <v/>
      </c>
      <c r="DY9" s="402">
        <f>IF(AND(125&gt;=$NR$9,125&lt;=$NS$9),IF($NP$9="Single_Point",IF(125=$NR$9,$NN$9,0),IF($NP$9="Bell_Curve",$NN$9*(125-$NR$9+1)*($NS$9-125+1)/$NU$9,$NN$9/$NT$9)),0)</f>
        <v/>
      </c>
      <c r="DZ9" s="402">
        <f>IF(AND(126&gt;=$NR$9,126&lt;=$NS$9),IF($NP$9="Single_Point",IF(126=$NR$9,$NN$9,0),IF($NP$9="Bell_Curve",$NN$9*(126-$NR$9+1)*($NS$9-126+1)/$NU$9,$NN$9/$NT$9)),0)</f>
        <v/>
      </c>
      <c r="EA9" s="402">
        <f>IF(AND(127&gt;=$NR$9,127&lt;=$NS$9),IF($NP$9="Single_Point",IF(127=$NR$9,$NN$9,0),IF($NP$9="Bell_Curve",$NN$9*(127-$NR$9+1)*($NS$9-127+1)/$NU$9,$NN$9/$NT$9)),0)</f>
        <v/>
      </c>
      <c r="EB9" s="402">
        <f>IF(AND(128&gt;=$NR$9,128&lt;=$NS$9),IF($NP$9="Single_Point",IF(128=$NR$9,$NN$9,0),IF($NP$9="Bell_Curve",$NN$9*(128-$NR$9+1)*($NS$9-128+1)/$NU$9,$NN$9/$NT$9)),0)</f>
        <v/>
      </c>
      <c r="EC9" s="402">
        <f>IF(AND(129&gt;=$NR$9,129&lt;=$NS$9),IF($NP$9="Single_Point",IF(129=$NR$9,$NN$9,0),IF($NP$9="Bell_Curve",$NN$9*(129-$NR$9+1)*($NS$9-129+1)/$NU$9,$NN$9/$NT$9)),0)</f>
        <v/>
      </c>
      <c r="ED9" s="402">
        <f>IF(AND(130&gt;=$NR$9,130&lt;=$NS$9),IF($NP$9="Single_Point",IF(130=$NR$9,$NN$9,0),IF($NP$9="Bell_Curve",$NN$9*(130-$NR$9+1)*($NS$9-130+1)/$NU$9,$NN$9/$NT$9)),0)</f>
        <v/>
      </c>
      <c r="EE9" s="402">
        <f>IF(AND(131&gt;=$NR$9,131&lt;=$NS$9),IF($NP$9="Single_Point",IF(131=$NR$9,$NN$9,0),IF($NP$9="Bell_Curve",$NN$9*(131-$NR$9+1)*($NS$9-131+1)/$NU$9,$NN$9/$NT$9)),0)</f>
        <v/>
      </c>
      <c r="EF9" s="402">
        <f>IF(AND(132&gt;=$NR$9,132&lt;=$NS$9),IF($NP$9="Single_Point",IF(132=$NR$9,$NN$9,0),IF($NP$9="Bell_Curve",$NN$9*(132-$NR$9+1)*($NS$9-132+1)/$NU$9,$NN$9/$NT$9)),0)</f>
        <v/>
      </c>
      <c r="EG9" s="402">
        <f>IF(AND(133&gt;=$NR$9,133&lt;=$NS$9),IF($NP$9="Single_Point",IF(133=$NR$9,$NN$9,0),IF($NP$9="Bell_Curve",$NN$9*(133-$NR$9+1)*($NS$9-133+1)/$NU$9,$NN$9/$NT$9)),0)</f>
        <v/>
      </c>
      <c r="EH9" s="402">
        <f>IF(AND(134&gt;=$NR$9,134&lt;=$NS$9),IF($NP$9="Single_Point",IF(134=$NR$9,$NN$9,0),IF($NP$9="Bell_Curve",$NN$9*(134-$NR$9+1)*($NS$9-134+1)/$NU$9,$NN$9/$NT$9)),0)</f>
        <v/>
      </c>
      <c r="EI9" s="402">
        <f>IF(AND(135&gt;=$NR$9,135&lt;=$NS$9),IF($NP$9="Single_Point",IF(135=$NR$9,$NN$9,0),IF($NP$9="Bell_Curve",$NN$9*(135-$NR$9+1)*($NS$9-135+1)/$NU$9,$NN$9/$NT$9)),0)</f>
        <v/>
      </c>
      <c r="EJ9" s="402">
        <f>IF(AND(136&gt;=$NR$9,136&lt;=$NS$9),IF($NP$9="Single_Point",IF(136=$NR$9,$NN$9,0),IF($NP$9="Bell_Curve",$NN$9*(136-$NR$9+1)*($NS$9-136+1)/$NU$9,$NN$9/$NT$9)),0)</f>
        <v/>
      </c>
      <c r="EK9" s="402">
        <f>IF(AND(137&gt;=$NR$9,137&lt;=$NS$9),IF($NP$9="Single_Point",IF(137=$NR$9,$NN$9,0),IF($NP$9="Bell_Curve",$NN$9*(137-$NR$9+1)*($NS$9-137+1)/$NU$9,$NN$9/$NT$9)),0)</f>
        <v/>
      </c>
      <c r="EL9" s="402">
        <f>IF(AND(138&gt;=$NR$9,138&lt;=$NS$9),IF($NP$9="Single_Point",IF(138=$NR$9,$NN$9,0),IF($NP$9="Bell_Curve",$NN$9*(138-$NR$9+1)*($NS$9-138+1)/$NU$9,$NN$9/$NT$9)),0)</f>
        <v/>
      </c>
      <c r="EM9" s="402">
        <f>IF(AND(139&gt;=$NR$9,139&lt;=$NS$9),IF($NP$9="Single_Point",IF(139=$NR$9,$NN$9,0),IF($NP$9="Bell_Curve",$NN$9*(139-$NR$9+1)*($NS$9-139+1)/$NU$9,$NN$9/$NT$9)),0)</f>
        <v/>
      </c>
      <c r="EN9" s="402">
        <f>IF(AND(140&gt;=$NR$9,140&lt;=$NS$9),IF($NP$9="Single_Point",IF(140=$NR$9,$NN$9,0),IF($NP$9="Bell_Curve",$NN$9*(140-$NR$9+1)*($NS$9-140+1)/$NU$9,$NN$9/$NT$9)),0)</f>
        <v/>
      </c>
      <c r="EO9" s="402">
        <f>IF(AND(141&gt;=$NR$9,141&lt;=$NS$9),IF($NP$9="Single_Point",IF(141=$NR$9,$NN$9,0),IF($NP$9="Bell_Curve",$NN$9*(141-$NR$9+1)*($NS$9-141+1)/$NU$9,$NN$9/$NT$9)),0)</f>
        <v/>
      </c>
      <c r="EP9" s="402">
        <f>IF(AND(142&gt;=$NR$9,142&lt;=$NS$9),IF($NP$9="Single_Point",IF(142=$NR$9,$NN$9,0),IF($NP$9="Bell_Curve",$NN$9*(142-$NR$9+1)*($NS$9-142+1)/$NU$9,$NN$9/$NT$9)),0)</f>
        <v/>
      </c>
      <c r="EQ9" s="402">
        <f>IF(AND(143&gt;=$NR$9,143&lt;=$NS$9),IF($NP$9="Single_Point",IF(143=$NR$9,$NN$9,0),IF($NP$9="Bell_Curve",$NN$9*(143-$NR$9+1)*($NS$9-143+1)/$NU$9,$NN$9/$NT$9)),0)</f>
        <v/>
      </c>
      <c r="ER9" s="402">
        <f>IF(AND(144&gt;=$NR$9,144&lt;=$NS$9),IF($NP$9="Single_Point",IF(144=$NR$9,$NN$9,0),IF($NP$9="Bell_Curve",$NN$9*(144-$NR$9+1)*($NS$9-144+1)/$NU$9,$NN$9/$NT$9)),0)</f>
        <v/>
      </c>
      <c r="ES9" s="402">
        <f>IF(AND(145&gt;=$NR$9,145&lt;=$NS$9),IF($NP$9="Single_Point",IF(145=$NR$9,$NN$9,0),IF($NP$9="Bell_Curve",$NN$9*(145-$NR$9+1)*($NS$9-145+1)/$NU$9,$NN$9/$NT$9)),0)</f>
        <v/>
      </c>
      <c r="ET9" s="402">
        <f>IF(AND(146&gt;=$NR$9,146&lt;=$NS$9),IF($NP$9="Single_Point",IF(146=$NR$9,$NN$9,0),IF($NP$9="Bell_Curve",$NN$9*(146-$NR$9+1)*($NS$9-146+1)/$NU$9,$NN$9/$NT$9)),0)</f>
        <v/>
      </c>
      <c r="EU9" s="402">
        <f>IF(AND(147&gt;=$NR$9,147&lt;=$NS$9),IF($NP$9="Single_Point",IF(147=$NR$9,$NN$9,0),IF($NP$9="Bell_Curve",$NN$9*(147-$NR$9+1)*($NS$9-147+1)/$NU$9,$NN$9/$NT$9)),0)</f>
        <v/>
      </c>
      <c r="EV9" s="402">
        <f>IF(AND(148&gt;=$NR$9,148&lt;=$NS$9),IF($NP$9="Single_Point",IF(148=$NR$9,$NN$9,0),IF($NP$9="Bell_Curve",$NN$9*(148-$NR$9+1)*($NS$9-148+1)/$NU$9,$NN$9/$NT$9)),0)</f>
        <v/>
      </c>
      <c r="EW9" s="402">
        <f>IF(AND(149&gt;=$NR$9,149&lt;=$NS$9),IF($NP$9="Single_Point",IF(149=$NR$9,$NN$9,0),IF($NP$9="Bell_Curve",$NN$9*(149-$NR$9+1)*($NS$9-149+1)/$NU$9,$NN$9/$NT$9)),0)</f>
        <v/>
      </c>
      <c r="EX9" s="402">
        <f>IF(AND(150&gt;=$NR$9,150&lt;=$NS$9),IF($NP$9="Single_Point",IF(150=$NR$9,$NN$9,0),IF($NP$9="Bell_Curve",$NN$9*(150-$NR$9+1)*($NS$9-150+1)/$NU$9,$NN$9/$NT$9)),0)</f>
        <v/>
      </c>
      <c r="EY9" s="402">
        <f>IF(AND(151&gt;=$NR$9,151&lt;=$NS$9),IF($NP$9="Single_Point",IF(151=$NR$9,$NN$9,0),IF($NP$9="Bell_Curve",$NN$9*(151-$NR$9+1)*($NS$9-151+1)/$NU$9,$NN$9/$NT$9)),0)</f>
        <v/>
      </c>
      <c r="EZ9" s="402">
        <f>IF(AND(152&gt;=$NR$9,152&lt;=$NS$9),IF($NP$9="Single_Point",IF(152=$NR$9,$NN$9,0),IF($NP$9="Bell_Curve",$NN$9*(152-$NR$9+1)*($NS$9-152+1)/$NU$9,$NN$9/$NT$9)),0)</f>
        <v/>
      </c>
      <c r="FA9" s="402">
        <f>IF(AND(153&gt;=$NR$9,153&lt;=$NS$9),IF($NP$9="Single_Point",IF(153=$NR$9,$NN$9,0),IF($NP$9="Bell_Curve",$NN$9*(153-$NR$9+1)*($NS$9-153+1)/$NU$9,$NN$9/$NT$9)),0)</f>
        <v/>
      </c>
      <c r="FB9" s="402">
        <f>IF(AND(154&gt;=$NR$9,154&lt;=$NS$9),IF($NP$9="Single_Point",IF(154=$NR$9,$NN$9,0),IF($NP$9="Bell_Curve",$NN$9*(154-$NR$9+1)*($NS$9-154+1)/$NU$9,$NN$9/$NT$9)),0)</f>
        <v/>
      </c>
      <c r="FC9" s="402">
        <f>IF(AND(155&gt;=$NR$9,155&lt;=$NS$9),IF($NP$9="Single_Point",IF(155=$NR$9,$NN$9,0),IF($NP$9="Bell_Curve",$NN$9*(155-$NR$9+1)*($NS$9-155+1)/$NU$9,$NN$9/$NT$9)),0)</f>
        <v/>
      </c>
      <c r="FD9" s="402">
        <f>IF(AND(156&gt;=$NR$9,156&lt;=$NS$9),IF($NP$9="Single_Point",IF(156=$NR$9,$NN$9,0),IF($NP$9="Bell_Curve",$NN$9*(156-$NR$9+1)*($NS$9-156+1)/$NU$9,$NN$9/$NT$9)),0)</f>
        <v/>
      </c>
      <c r="FE9" s="402">
        <f>IF(AND(157&gt;=$NR$9,157&lt;=$NS$9),IF($NP$9="Single_Point",IF(157=$NR$9,$NN$9,0),IF($NP$9="Bell_Curve",$NN$9*(157-$NR$9+1)*($NS$9-157+1)/$NU$9,$NN$9/$NT$9)),0)</f>
        <v/>
      </c>
      <c r="FF9" s="402">
        <f>IF(AND(158&gt;=$NR$9,158&lt;=$NS$9),IF($NP$9="Single_Point",IF(158=$NR$9,$NN$9,0),IF($NP$9="Bell_Curve",$NN$9*(158-$NR$9+1)*($NS$9-158+1)/$NU$9,$NN$9/$NT$9)),0)</f>
        <v/>
      </c>
      <c r="FG9" s="402">
        <f>IF(AND(159&gt;=$NR$9,159&lt;=$NS$9),IF($NP$9="Single_Point",IF(159=$NR$9,$NN$9,0),IF($NP$9="Bell_Curve",$NN$9*(159-$NR$9+1)*($NS$9-159+1)/$NU$9,$NN$9/$NT$9)),0)</f>
        <v/>
      </c>
      <c r="FH9" s="402">
        <f>IF(AND(160&gt;=$NR$9,160&lt;=$NS$9),IF($NP$9="Single_Point",IF(160=$NR$9,$NN$9,0),IF($NP$9="Bell_Curve",$NN$9*(160-$NR$9+1)*($NS$9-160+1)/$NU$9,$NN$9/$NT$9)),0)</f>
        <v/>
      </c>
      <c r="FI9" s="402">
        <f>IF(AND(161&gt;=$NR$9,161&lt;=$NS$9),IF($NP$9="Single_Point",IF(161=$NR$9,$NN$9,0),IF($NP$9="Bell_Curve",$NN$9*(161-$NR$9+1)*($NS$9-161+1)/$NU$9,$NN$9/$NT$9)),0)</f>
        <v/>
      </c>
      <c r="FJ9" s="402">
        <f>IF(AND(162&gt;=$NR$9,162&lt;=$NS$9),IF($NP$9="Single_Point",IF(162=$NR$9,$NN$9,0),IF($NP$9="Bell_Curve",$NN$9*(162-$NR$9+1)*($NS$9-162+1)/$NU$9,$NN$9/$NT$9)),0)</f>
        <v/>
      </c>
      <c r="FK9" s="402">
        <f>IF(AND(163&gt;=$NR$9,163&lt;=$NS$9),IF($NP$9="Single_Point",IF(163=$NR$9,$NN$9,0),IF($NP$9="Bell_Curve",$NN$9*(163-$NR$9+1)*($NS$9-163+1)/$NU$9,$NN$9/$NT$9)),0)</f>
        <v/>
      </c>
      <c r="FL9" s="402">
        <f>IF(AND(164&gt;=$NR$9,164&lt;=$NS$9),IF($NP$9="Single_Point",IF(164=$NR$9,$NN$9,0),IF($NP$9="Bell_Curve",$NN$9*(164-$NR$9+1)*($NS$9-164+1)/$NU$9,$NN$9/$NT$9)),0)</f>
        <v/>
      </c>
      <c r="FM9" s="402">
        <f>IF(AND(165&gt;=$NR$9,165&lt;=$NS$9),IF($NP$9="Single_Point",IF(165=$NR$9,$NN$9,0),IF($NP$9="Bell_Curve",$NN$9*(165-$NR$9+1)*($NS$9-165+1)/$NU$9,$NN$9/$NT$9)),0)</f>
        <v/>
      </c>
      <c r="FN9" s="402">
        <f>IF(AND(166&gt;=$NR$9,166&lt;=$NS$9),IF($NP$9="Single_Point",IF(166=$NR$9,$NN$9,0),IF($NP$9="Bell_Curve",$NN$9*(166-$NR$9+1)*($NS$9-166+1)/$NU$9,$NN$9/$NT$9)),0)</f>
        <v/>
      </c>
      <c r="FO9" s="402">
        <f>IF(AND(167&gt;=$NR$9,167&lt;=$NS$9),IF($NP$9="Single_Point",IF(167=$NR$9,$NN$9,0),IF($NP$9="Bell_Curve",$NN$9*(167-$NR$9+1)*($NS$9-167+1)/$NU$9,$NN$9/$NT$9)),0)</f>
        <v/>
      </c>
      <c r="FP9" s="402">
        <f>IF(AND(168&gt;=$NR$9,168&lt;=$NS$9),IF($NP$9="Single_Point",IF(168=$NR$9,$NN$9,0),IF($NP$9="Bell_Curve",$NN$9*(168-$NR$9+1)*($NS$9-168+1)/$NU$9,$NN$9/$NT$9)),0)</f>
        <v/>
      </c>
      <c r="FQ9" s="402">
        <f>IF(AND(169&gt;=$NR$9,169&lt;=$NS$9),IF($NP$9="Single_Point",IF(169=$NR$9,$NN$9,0),IF($NP$9="Bell_Curve",$NN$9*(169-$NR$9+1)*($NS$9-169+1)/$NU$9,$NN$9/$NT$9)),0)</f>
        <v/>
      </c>
      <c r="FR9" s="402">
        <f>IF(AND(170&gt;=$NR$9,170&lt;=$NS$9),IF($NP$9="Single_Point",IF(170=$NR$9,$NN$9,0),IF($NP$9="Bell_Curve",$NN$9*(170-$NR$9+1)*($NS$9-170+1)/$NU$9,$NN$9/$NT$9)),0)</f>
        <v/>
      </c>
      <c r="FS9" s="402">
        <f>IF(AND(171&gt;=$NR$9,171&lt;=$NS$9),IF($NP$9="Single_Point",IF(171=$NR$9,$NN$9,0),IF($NP$9="Bell_Curve",$NN$9*(171-$NR$9+1)*($NS$9-171+1)/$NU$9,$NN$9/$NT$9)),0)</f>
        <v/>
      </c>
      <c r="FT9" s="402">
        <f>IF(AND(172&gt;=$NR$9,172&lt;=$NS$9),IF($NP$9="Single_Point",IF(172=$NR$9,$NN$9,0),IF($NP$9="Bell_Curve",$NN$9*(172-$NR$9+1)*($NS$9-172+1)/$NU$9,$NN$9/$NT$9)),0)</f>
        <v/>
      </c>
      <c r="FU9" s="402">
        <f>IF(AND(173&gt;=$NR$9,173&lt;=$NS$9),IF($NP$9="Single_Point",IF(173=$NR$9,$NN$9,0),IF($NP$9="Bell_Curve",$NN$9*(173-$NR$9+1)*($NS$9-173+1)/$NU$9,$NN$9/$NT$9)),0)</f>
        <v/>
      </c>
      <c r="FV9" s="402">
        <f>IF(AND(174&gt;=$NR$9,174&lt;=$NS$9),IF($NP$9="Single_Point",IF(174=$NR$9,$NN$9,0),IF($NP$9="Bell_Curve",$NN$9*(174-$NR$9+1)*($NS$9-174+1)/$NU$9,$NN$9/$NT$9)),0)</f>
        <v/>
      </c>
      <c r="FW9" s="402">
        <f>IF(AND(175&gt;=$NR$9,175&lt;=$NS$9),IF($NP$9="Single_Point",IF(175=$NR$9,$NN$9,0),IF($NP$9="Bell_Curve",$NN$9*(175-$NR$9+1)*($NS$9-175+1)/$NU$9,$NN$9/$NT$9)),0)</f>
        <v/>
      </c>
      <c r="FX9" s="402">
        <f>IF(AND(176&gt;=$NR$9,176&lt;=$NS$9),IF($NP$9="Single_Point",IF(176=$NR$9,$NN$9,0),IF($NP$9="Bell_Curve",$NN$9*(176-$NR$9+1)*($NS$9-176+1)/$NU$9,$NN$9/$NT$9)),0)</f>
        <v/>
      </c>
      <c r="FY9" s="402">
        <f>IF(AND(177&gt;=$NR$9,177&lt;=$NS$9),IF($NP$9="Single_Point",IF(177=$NR$9,$NN$9,0),IF($NP$9="Bell_Curve",$NN$9*(177-$NR$9+1)*($NS$9-177+1)/$NU$9,$NN$9/$NT$9)),0)</f>
        <v/>
      </c>
      <c r="FZ9" s="402">
        <f>IF(AND(178&gt;=$NR$9,178&lt;=$NS$9),IF($NP$9="Single_Point",IF(178=$NR$9,$NN$9,0),IF($NP$9="Bell_Curve",$NN$9*(178-$NR$9+1)*($NS$9-178+1)/$NU$9,$NN$9/$NT$9)),0)</f>
        <v/>
      </c>
      <c r="GA9" s="402">
        <f>IF(AND(179&gt;=$NR$9,179&lt;=$NS$9),IF($NP$9="Single_Point",IF(179=$NR$9,$NN$9,0),IF($NP$9="Bell_Curve",$NN$9*(179-$NR$9+1)*($NS$9-179+1)/$NU$9,$NN$9/$NT$9)),0)</f>
        <v/>
      </c>
      <c r="GB9" s="402">
        <f>IF(AND(180&gt;=$NR$9,180&lt;=$NS$9),IF($NP$9="Single_Point",IF(180=$NR$9,$NN$9,0),IF($NP$9="Bell_Curve",$NN$9*(180-$NR$9+1)*($NS$9-180+1)/$NU$9,$NN$9/$NT$9)),0)</f>
        <v/>
      </c>
      <c r="GC9" s="402">
        <f>IF(AND(181&gt;=$NR$9,181&lt;=$NS$9),IF($NP$9="Single_Point",IF(181=$NR$9,$NN$9,0),IF($NP$9="Bell_Curve",$NN$9*(181-$NR$9+1)*($NS$9-181+1)/$NU$9,$NN$9/$NT$9)),0)</f>
        <v/>
      </c>
      <c r="GD9" s="402">
        <f>IF(AND(182&gt;=$NR$9,182&lt;=$NS$9),IF($NP$9="Single_Point",IF(182=$NR$9,$NN$9,0),IF($NP$9="Bell_Curve",$NN$9*(182-$NR$9+1)*($NS$9-182+1)/$NU$9,$NN$9/$NT$9)),0)</f>
        <v/>
      </c>
      <c r="GE9" s="402">
        <f>IF(AND(183&gt;=$NR$9,183&lt;=$NS$9),IF($NP$9="Single_Point",IF(183=$NR$9,$NN$9,0),IF($NP$9="Bell_Curve",$NN$9*(183-$NR$9+1)*($NS$9-183+1)/$NU$9,$NN$9/$NT$9)),0)</f>
        <v/>
      </c>
      <c r="GF9" s="402">
        <f>IF(AND(184&gt;=$NR$9,184&lt;=$NS$9),IF($NP$9="Single_Point",IF(184=$NR$9,$NN$9,0),IF($NP$9="Bell_Curve",$NN$9*(184-$NR$9+1)*($NS$9-184+1)/$NU$9,$NN$9/$NT$9)),0)</f>
        <v/>
      </c>
      <c r="GG9" s="402">
        <f>IF(AND(185&gt;=$NR$9,185&lt;=$NS$9),IF($NP$9="Single_Point",IF(185=$NR$9,$NN$9,0),IF($NP$9="Bell_Curve",$NN$9*(185-$NR$9+1)*($NS$9-185+1)/$NU$9,$NN$9/$NT$9)),0)</f>
        <v/>
      </c>
      <c r="GH9" s="402">
        <f>IF(AND(186&gt;=$NR$9,186&lt;=$NS$9),IF($NP$9="Single_Point",IF(186=$NR$9,$NN$9,0),IF($NP$9="Bell_Curve",$NN$9*(186-$NR$9+1)*($NS$9-186+1)/$NU$9,$NN$9/$NT$9)),0)</f>
        <v/>
      </c>
      <c r="GI9" s="402">
        <f>IF(AND(187&gt;=$NR$9,187&lt;=$NS$9),IF($NP$9="Single_Point",IF(187=$NR$9,$NN$9,0),IF($NP$9="Bell_Curve",$NN$9*(187-$NR$9+1)*($NS$9-187+1)/$NU$9,$NN$9/$NT$9)),0)</f>
        <v/>
      </c>
      <c r="GJ9" s="402">
        <f>IF(AND(188&gt;=$NR$9,188&lt;=$NS$9),IF($NP$9="Single_Point",IF(188=$NR$9,$NN$9,0),IF($NP$9="Bell_Curve",$NN$9*(188-$NR$9+1)*($NS$9-188+1)/$NU$9,$NN$9/$NT$9)),0)</f>
        <v/>
      </c>
      <c r="GK9" s="402">
        <f>IF(AND(189&gt;=$NR$9,189&lt;=$NS$9),IF($NP$9="Single_Point",IF(189=$NR$9,$NN$9,0),IF($NP$9="Bell_Curve",$NN$9*(189-$NR$9+1)*($NS$9-189+1)/$NU$9,$NN$9/$NT$9)),0)</f>
        <v/>
      </c>
      <c r="GL9" s="402">
        <f>IF(AND(190&gt;=$NR$9,190&lt;=$NS$9),IF($NP$9="Single_Point",IF(190=$NR$9,$NN$9,0),IF($NP$9="Bell_Curve",$NN$9*(190-$NR$9+1)*($NS$9-190+1)/$NU$9,$NN$9/$NT$9)),0)</f>
        <v/>
      </c>
      <c r="GM9" s="402">
        <f>IF(AND(191&gt;=$NR$9,191&lt;=$NS$9),IF($NP$9="Single_Point",IF(191=$NR$9,$NN$9,0),IF($NP$9="Bell_Curve",$NN$9*(191-$NR$9+1)*($NS$9-191+1)/$NU$9,$NN$9/$NT$9)),0)</f>
        <v/>
      </c>
      <c r="GN9" s="402">
        <f>IF(AND(192&gt;=$NR$9,192&lt;=$NS$9),IF($NP$9="Single_Point",IF(192=$NR$9,$NN$9,0),IF($NP$9="Bell_Curve",$NN$9*(192-$NR$9+1)*($NS$9-192+1)/$NU$9,$NN$9/$NT$9)),0)</f>
        <v/>
      </c>
      <c r="GO9" s="402">
        <f>IF(AND(193&gt;=$NR$9,193&lt;=$NS$9),IF($NP$9="Single_Point",IF(193=$NR$9,$NN$9,0),IF($NP$9="Bell_Curve",$NN$9*(193-$NR$9+1)*($NS$9-193+1)/$NU$9,$NN$9/$NT$9)),0)</f>
        <v/>
      </c>
      <c r="GP9" s="402">
        <f>IF(AND(194&gt;=$NR$9,194&lt;=$NS$9),IF($NP$9="Single_Point",IF(194=$NR$9,$NN$9,0),IF($NP$9="Bell_Curve",$NN$9*(194-$NR$9+1)*($NS$9-194+1)/$NU$9,$NN$9/$NT$9)),0)</f>
        <v/>
      </c>
      <c r="GQ9" s="402">
        <f>IF(AND(195&gt;=$NR$9,195&lt;=$NS$9),IF($NP$9="Single_Point",IF(195=$NR$9,$NN$9,0),IF($NP$9="Bell_Curve",$NN$9*(195-$NR$9+1)*($NS$9-195+1)/$NU$9,$NN$9/$NT$9)),0)</f>
        <v/>
      </c>
      <c r="GR9" s="402">
        <f>IF(AND(196&gt;=$NR$9,196&lt;=$NS$9),IF($NP$9="Single_Point",IF(196=$NR$9,$NN$9,0),IF($NP$9="Bell_Curve",$NN$9*(196-$NR$9+1)*($NS$9-196+1)/$NU$9,$NN$9/$NT$9)),0)</f>
        <v/>
      </c>
      <c r="GS9" s="402">
        <f>IF(AND(197&gt;=$NR$9,197&lt;=$NS$9),IF($NP$9="Single_Point",IF(197=$NR$9,$NN$9,0),IF($NP$9="Bell_Curve",$NN$9*(197-$NR$9+1)*($NS$9-197+1)/$NU$9,$NN$9/$NT$9)),0)</f>
        <v/>
      </c>
      <c r="GT9" s="402">
        <f>IF(AND(198&gt;=$NR$9,198&lt;=$NS$9),IF($NP$9="Single_Point",IF(198=$NR$9,$NN$9,0),IF($NP$9="Bell_Curve",$NN$9*(198-$NR$9+1)*($NS$9-198+1)/$NU$9,$NN$9/$NT$9)),0)</f>
        <v/>
      </c>
      <c r="GU9" s="402">
        <f>IF(AND(199&gt;=$NR$9,199&lt;=$NS$9),IF($NP$9="Single_Point",IF(199=$NR$9,$NN$9,0),IF($NP$9="Bell_Curve",$NN$9*(199-$NR$9+1)*($NS$9-199+1)/$NU$9,$NN$9/$NT$9)),0)</f>
        <v/>
      </c>
      <c r="GV9" s="402">
        <f>IF(AND(200&gt;=$NR$9,200&lt;=$NS$9),IF($NP$9="Single_Point",IF(200=$NR$9,$NN$9,0),IF($NP$9="Bell_Curve",$NN$9*(200-$NR$9+1)*($NS$9-200+1)/$NU$9,$NN$9/$NT$9)),0)</f>
        <v/>
      </c>
      <c r="GW9" s="402">
        <f>IF(AND(201&gt;=$NR$9,201&lt;=$NS$9),IF($NP$9="Single_Point",IF(201=$NR$9,$NN$9,0),IF($NP$9="Bell_Curve",$NN$9*(201-$NR$9+1)*($NS$9-201+1)/$NU$9,$NN$9/$NT$9)),0)</f>
        <v/>
      </c>
      <c r="GX9" s="402">
        <f>IF(AND(202&gt;=$NR$9,202&lt;=$NS$9),IF($NP$9="Single_Point",IF(202=$NR$9,$NN$9,0),IF($NP$9="Bell_Curve",$NN$9*(202-$NR$9+1)*($NS$9-202+1)/$NU$9,$NN$9/$NT$9)),0)</f>
        <v/>
      </c>
      <c r="GY9" s="402">
        <f>IF(AND(203&gt;=$NR$9,203&lt;=$NS$9),IF($NP$9="Single_Point",IF(203=$NR$9,$NN$9,0),IF($NP$9="Bell_Curve",$NN$9*(203-$NR$9+1)*($NS$9-203+1)/$NU$9,$NN$9/$NT$9)),0)</f>
        <v/>
      </c>
      <c r="GZ9" s="402">
        <f>IF(AND(204&gt;=$NR$9,204&lt;=$NS$9),IF($NP$9="Single_Point",IF(204=$NR$9,$NN$9,0),IF($NP$9="Bell_Curve",$NN$9*(204-$NR$9+1)*($NS$9-204+1)/$NU$9,$NN$9/$NT$9)),0)</f>
        <v/>
      </c>
      <c r="HA9" s="402">
        <f>IF(AND(205&gt;=$NR$9,205&lt;=$NS$9),IF($NP$9="Single_Point",IF(205=$NR$9,$NN$9,0),IF($NP$9="Bell_Curve",$NN$9*(205-$NR$9+1)*($NS$9-205+1)/$NU$9,$NN$9/$NT$9)),0)</f>
        <v/>
      </c>
      <c r="HB9" s="402">
        <f>IF(AND(206&gt;=$NR$9,206&lt;=$NS$9),IF($NP$9="Single_Point",IF(206=$NR$9,$NN$9,0),IF($NP$9="Bell_Curve",$NN$9*(206-$NR$9+1)*($NS$9-206+1)/$NU$9,$NN$9/$NT$9)),0)</f>
        <v/>
      </c>
      <c r="HC9" s="402">
        <f>IF(AND(207&gt;=$NR$9,207&lt;=$NS$9),IF($NP$9="Single_Point",IF(207=$NR$9,$NN$9,0),IF($NP$9="Bell_Curve",$NN$9*(207-$NR$9+1)*($NS$9-207+1)/$NU$9,$NN$9/$NT$9)),0)</f>
        <v/>
      </c>
      <c r="HD9" s="402">
        <f>IF(AND(208&gt;=$NR$9,208&lt;=$NS$9),IF($NP$9="Single_Point",IF(208=$NR$9,$NN$9,0),IF($NP$9="Bell_Curve",$NN$9*(208-$NR$9+1)*($NS$9-208+1)/$NU$9,$NN$9/$NT$9)),0)</f>
        <v/>
      </c>
      <c r="HE9" s="402">
        <f>IF(AND(209&gt;=$NR$9,209&lt;=$NS$9),IF($NP$9="Single_Point",IF(209=$NR$9,$NN$9,0),IF($NP$9="Bell_Curve",$NN$9*(209-$NR$9+1)*($NS$9-209+1)/$NU$9,$NN$9/$NT$9)),0)</f>
        <v/>
      </c>
      <c r="HF9" s="402">
        <f>IF(AND(210&gt;=$NR$9,210&lt;=$NS$9),IF($NP$9="Single_Point",IF(210=$NR$9,$NN$9,0),IF($NP$9="Bell_Curve",$NN$9*(210-$NR$9+1)*($NS$9-210+1)/$NU$9,$NN$9/$NT$9)),0)</f>
        <v/>
      </c>
      <c r="HG9" s="402">
        <f>IF(AND(211&gt;=$NR$9,211&lt;=$NS$9),IF($NP$9="Single_Point",IF(211=$NR$9,$NN$9,0),IF($NP$9="Bell_Curve",$NN$9*(211-$NR$9+1)*($NS$9-211+1)/$NU$9,$NN$9/$NT$9)),0)</f>
        <v/>
      </c>
      <c r="HH9" s="402">
        <f>IF(AND(212&gt;=$NR$9,212&lt;=$NS$9),IF($NP$9="Single_Point",IF(212=$NR$9,$NN$9,0),IF($NP$9="Bell_Curve",$NN$9*(212-$NR$9+1)*($NS$9-212+1)/$NU$9,$NN$9/$NT$9)),0)</f>
        <v/>
      </c>
      <c r="HI9" s="402">
        <f>IF(AND(213&gt;=$NR$9,213&lt;=$NS$9),IF($NP$9="Single_Point",IF(213=$NR$9,$NN$9,0),IF($NP$9="Bell_Curve",$NN$9*(213-$NR$9+1)*($NS$9-213+1)/$NU$9,$NN$9/$NT$9)),0)</f>
        <v/>
      </c>
      <c r="HJ9" s="402">
        <f>IF(AND(214&gt;=$NR$9,214&lt;=$NS$9),IF($NP$9="Single_Point",IF(214=$NR$9,$NN$9,0),IF($NP$9="Bell_Curve",$NN$9*(214-$NR$9+1)*($NS$9-214+1)/$NU$9,$NN$9/$NT$9)),0)</f>
        <v/>
      </c>
      <c r="HK9" s="402">
        <f>IF(AND(215&gt;=$NR$9,215&lt;=$NS$9),IF($NP$9="Single_Point",IF(215=$NR$9,$NN$9,0),IF($NP$9="Bell_Curve",$NN$9*(215-$NR$9+1)*($NS$9-215+1)/$NU$9,$NN$9/$NT$9)),0)</f>
        <v/>
      </c>
      <c r="HL9" s="402">
        <f>IF(AND(216&gt;=$NR$9,216&lt;=$NS$9),IF($NP$9="Single_Point",IF(216=$NR$9,$NN$9,0),IF($NP$9="Bell_Curve",$NN$9*(216-$NR$9+1)*($NS$9-216+1)/$NU$9,$NN$9/$NT$9)),0)</f>
        <v/>
      </c>
      <c r="HM9" s="402">
        <f>IF(AND(217&gt;=$NR$9,217&lt;=$NS$9),IF($NP$9="Single_Point",IF(217=$NR$9,$NN$9,0),IF($NP$9="Bell_Curve",$NN$9*(217-$NR$9+1)*($NS$9-217+1)/$NU$9,$NN$9/$NT$9)),0)</f>
        <v/>
      </c>
      <c r="HN9" s="402">
        <f>IF(AND(218&gt;=$NR$9,218&lt;=$NS$9),IF($NP$9="Single_Point",IF(218=$NR$9,$NN$9,0),IF($NP$9="Bell_Curve",$NN$9*(218-$NR$9+1)*($NS$9-218+1)/$NU$9,$NN$9/$NT$9)),0)</f>
        <v/>
      </c>
      <c r="HO9" s="402">
        <f>IF(AND(219&gt;=$NR$9,219&lt;=$NS$9),IF($NP$9="Single_Point",IF(219=$NR$9,$NN$9,0),IF($NP$9="Bell_Curve",$NN$9*(219-$NR$9+1)*($NS$9-219+1)/$NU$9,$NN$9/$NT$9)),0)</f>
        <v/>
      </c>
      <c r="HP9" s="402">
        <f>IF(AND(220&gt;=$NR$9,220&lt;=$NS$9),IF($NP$9="Single_Point",IF(220=$NR$9,$NN$9,0),IF($NP$9="Bell_Curve",$NN$9*(220-$NR$9+1)*($NS$9-220+1)/$NU$9,$NN$9/$NT$9)),0)</f>
        <v/>
      </c>
      <c r="HQ9" s="402">
        <f>IF(AND(221&gt;=$NR$9,221&lt;=$NS$9),IF($NP$9="Single_Point",IF(221=$NR$9,$NN$9,0),IF($NP$9="Bell_Curve",$NN$9*(221-$NR$9+1)*($NS$9-221+1)/$NU$9,$NN$9/$NT$9)),0)</f>
        <v/>
      </c>
      <c r="HR9" s="402">
        <f>IF(AND(222&gt;=$NR$9,222&lt;=$NS$9),IF($NP$9="Single_Point",IF(222=$NR$9,$NN$9,0),IF($NP$9="Bell_Curve",$NN$9*(222-$NR$9+1)*($NS$9-222+1)/$NU$9,$NN$9/$NT$9)),0)</f>
        <v/>
      </c>
      <c r="HS9" s="402">
        <f>IF(AND(223&gt;=$NR$9,223&lt;=$NS$9),IF($NP$9="Single_Point",IF(223=$NR$9,$NN$9,0),IF($NP$9="Bell_Curve",$NN$9*(223-$NR$9+1)*($NS$9-223+1)/$NU$9,$NN$9/$NT$9)),0)</f>
        <v/>
      </c>
      <c r="HT9" s="402">
        <f>IF(AND(224&gt;=$NR$9,224&lt;=$NS$9),IF($NP$9="Single_Point",IF(224=$NR$9,$NN$9,0),IF($NP$9="Bell_Curve",$NN$9*(224-$NR$9+1)*($NS$9-224+1)/$NU$9,$NN$9/$NT$9)),0)</f>
        <v/>
      </c>
      <c r="HU9" s="402">
        <f>IF(AND(225&gt;=$NR$9,225&lt;=$NS$9),IF($NP$9="Single_Point",IF(225=$NR$9,$NN$9,0),IF($NP$9="Bell_Curve",$NN$9*(225-$NR$9+1)*($NS$9-225+1)/$NU$9,$NN$9/$NT$9)),0)</f>
        <v/>
      </c>
      <c r="HV9" s="402">
        <f>IF(AND(226&gt;=$NR$9,226&lt;=$NS$9),IF($NP$9="Single_Point",IF(226=$NR$9,$NN$9,0),IF($NP$9="Bell_Curve",$NN$9*(226-$NR$9+1)*($NS$9-226+1)/$NU$9,$NN$9/$NT$9)),0)</f>
        <v/>
      </c>
      <c r="HW9" s="402">
        <f>IF(AND(227&gt;=$NR$9,227&lt;=$NS$9),IF($NP$9="Single_Point",IF(227=$NR$9,$NN$9,0),IF($NP$9="Bell_Curve",$NN$9*(227-$NR$9+1)*($NS$9-227+1)/$NU$9,$NN$9/$NT$9)),0)</f>
        <v/>
      </c>
      <c r="HX9" s="402">
        <f>IF(AND(228&gt;=$NR$9,228&lt;=$NS$9),IF($NP$9="Single_Point",IF(228=$NR$9,$NN$9,0),IF($NP$9="Bell_Curve",$NN$9*(228-$NR$9+1)*($NS$9-228+1)/$NU$9,$NN$9/$NT$9)),0)</f>
        <v/>
      </c>
      <c r="HY9" s="402">
        <f>IF(AND(229&gt;=$NR$9,229&lt;=$NS$9),IF($NP$9="Single_Point",IF(229=$NR$9,$NN$9,0),IF($NP$9="Bell_Curve",$NN$9*(229-$NR$9+1)*($NS$9-229+1)/$NU$9,$NN$9/$NT$9)),0)</f>
        <v/>
      </c>
      <c r="HZ9" s="402">
        <f>IF(AND(230&gt;=$NR$9,230&lt;=$NS$9),IF($NP$9="Single_Point",IF(230=$NR$9,$NN$9,0),IF($NP$9="Bell_Curve",$NN$9*(230-$NR$9+1)*($NS$9-230+1)/$NU$9,$NN$9/$NT$9)),0)</f>
        <v/>
      </c>
      <c r="IA9" s="402">
        <f>IF(AND(231&gt;=$NR$9,231&lt;=$NS$9),IF($NP$9="Single_Point",IF(231=$NR$9,$NN$9,0),IF($NP$9="Bell_Curve",$NN$9*(231-$NR$9+1)*($NS$9-231+1)/$NU$9,$NN$9/$NT$9)),0)</f>
        <v/>
      </c>
      <c r="IB9" s="402">
        <f>IF(AND(232&gt;=$NR$9,232&lt;=$NS$9),IF($NP$9="Single_Point",IF(232=$NR$9,$NN$9,0),IF($NP$9="Bell_Curve",$NN$9*(232-$NR$9+1)*($NS$9-232+1)/$NU$9,$NN$9/$NT$9)),0)</f>
        <v/>
      </c>
      <c r="IC9" s="402">
        <f>IF(AND(233&gt;=$NR$9,233&lt;=$NS$9),IF($NP$9="Single_Point",IF(233=$NR$9,$NN$9,0),IF($NP$9="Bell_Curve",$NN$9*(233-$NR$9+1)*($NS$9-233+1)/$NU$9,$NN$9/$NT$9)),0)</f>
        <v/>
      </c>
      <c r="ID9" s="402">
        <f>IF(AND(234&gt;=$NR$9,234&lt;=$NS$9),IF($NP$9="Single_Point",IF(234=$NR$9,$NN$9,0),IF($NP$9="Bell_Curve",$NN$9*(234-$NR$9+1)*($NS$9-234+1)/$NU$9,$NN$9/$NT$9)),0)</f>
        <v/>
      </c>
      <c r="IE9" s="402">
        <f>IF(AND(235&gt;=$NR$9,235&lt;=$NS$9),IF($NP$9="Single_Point",IF(235=$NR$9,$NN$9,0),IF($NP$9="Bell_Curve",$NN$9*(235-$NR$9+1)*($NS$9-235+1)/$NU$9,$NN$9/$NT$9)),0)</f>
        <v/>
      </c>
      <c r="IF9" s="402">
        <f>IF(AND(236&gt;=$NR$9,236&lt;=$NS$9),IF($NP$9="Single_Point",IF(236=$NR$9,$NN$9,0),IF($NP$9="Bell_Curve",$NN$9*(236-$NR$9+1)*($NS$9-236+1)/$NU$9,$NN$9/$NT$9)),0)</f>
        <v/>
      </c>
      <c r="IG9" s="402">
        <f>IF(AND(237&gt;=$NR$9,237&lt;=$NS$9),IF($NP$9="Single_Point",IF(237=$NR$9,$NN$9,0),IF($NP$9="Bell_Curve",$NN$9*(237-$NR$9+1)*($NS$9-237+1)/$NU$9,$NN$9/$NT$9)),0)</f>
        <v/>
      </c>
      <c r="IH9" s="402">
        <f>IF(AND(238&gt;=$NR$9,238&lt;=$NS$9),IF($NP$9="Single_Point",IF(238=$NR$9,$NN$9,0),IF($NP$9="Bell_Curve",$NN$9*(238-$NR$9+1)*($NS$9-238+1)/$NU$9,$NN$9/$NT$9)),0)</f>
        <v/>
      </c>
      <c r="II9" s="402">
        <f>IF(AND(239&gt;=$NR$9,239&lt;=$NS$9),IF($NP$9="Single_Point",IF(239=$NR$9,$NN$9,0),IF($NP$9="Bell_Curve",$NN$9*(239-$NR$9+1)*($NS$9-239+1)/$NU$9,$NN$9/$NT$9)),0)</f>
        <v/>
      </c>
      <c r="IJ9" s="402">
        <f>IF(AND(240&gt;=$NR$9,240&lt;=$NS$9),IF($NP$9="Single_Point",IF(240=$NR$9,$NN$9,0),IF($NP$9="Bell_Curve",$NN$9*(240-$NR$9+1)*($NS$9-240+1)/$NU$9,$NN$9/$NT$9)),0)</f>
        <v/>
      </c>
      <c r="IK9" s="402">
        <f>IF(AND(241&gt;=$NR$9,241&lt;=$NS$9),IF($NP$9="Single_Point",IF(241=$NR$9,$NN$9,0),IF($NP$9="Bell_Curve",$NN$9*(241-$NR$9+1)*($NS$9-241+1)/$NU$9,$NN$9/$NT$9)),0)</f>
        <v/>
      </c>
      <c r="IL9" s="402">
        <f>IF(AND(242&gt;=$NR$9,242&lt;=$NS$9),IF($NP$9="Single_Point",IF(242=$NR$9,$NN$9,0),IF($NP$9="Bell_Curve",$NN$9*(242-$NR$9+1)*($NS$9-242+1)/$NU$9,$NN$9/$NT$9)),0)</f>
        <v/>
      </c>
      <c r="IM9" s="402">
        <f>IF(AND(243&gt;=$NR$9,243&lt;=$NS$9),IF($NP$9="Single_Point",IF(243=$NR$9,$NN$9,0),IF($NP$9="Bell_Curve",$NN$9*(243-$NR$9+1)*($NS$9-243+1)/$NU$9,$NN$9/$NT$9)),0)</f>
        <v/>
      </c>
      <c r="IN9" s="402">
        <f>IF(AND(244&gt;=$NR$9,244&lt;=$NS$9),IF($NP$9="Single_Point",IF(244=$NR$9,$NN$9,0),IF($NP$9="Bell_Curve",$NN$9*(244-$NR$9+1)*($NS$9-244+1)/$NU$9,$NN$9/$NT$9)),0)</f>
        <v/>
      </c>
      <c r="IO9" s="402">
        <f>IF(AND(245&gt;=$NR$9,245&lt;=$NS$9),IF($NP$9="Single_Point",IF(245=$NR$9,$NN$9,0),IF($NP$9="Bell_Curve",$NN$9*(245-$NR$9+1)*($NS$9-245+1)/$NU$9,$NN$9/$NT$9)),0)</f>
        <v/>
      </c>
      <c r="IP9" s="402">
        <f>IF(AND(246&gt;=$NR$9,246&lt;=$NS$9),IF($NP$9="Single_Point",IF(246=$NR$9,$NN$9,0),IF($NP$9="Bell_Curve",$NN$9*(246-$NR$9+1)*($NS$9-246+1)/$NU$9,$NN$9/$NT$9)),0)</f>
        <v/>
      </c>
      <c r="IQ9" s="402">
        <f>IF(AND(247&gt;=$NR$9,247&lt;=$NS$9),IF($NP$9="Single_Point",IF(247=$NR$9,$NN$9,0),IF($NP$9="Bell_Curve",$NN$9*(247-$NR$9+1)*($NS$9-247+1)/$NU$9,$NN$9/$NT$9)),0)</f>
        <v/>
      </c>
      <c r="IR9" s="402">
        <f>IF(AND(248&gt;=$NR$9,248&lt;=$NS$9),IF($NP$9="Single_Point",IF(248=$NR$9,$NN$9,0),IF($NP$9="Bell_Curve",$NN$9*(248-$NR$9+1)*($NS$9-248+1)/$NU$9,$NN$9/$NT$9)),0)</f>
        <v/>
      </c>
      <c r="IS9" s="402">
        <f>IF(AND(249&gt;=$NR$9,249&lt;=$NS$9),IF($NP$9="Single_Point",IF(249=$NR$9,$NN$9,0),IF($NP$9="Bell_Curve",$NN$9*(249-$NR$9+1)*($NS$9-249+1)/$NU$9,$NN$9/$NT$9)),0)</f>
        <v/>
      </c>
      <c r="IT9" s="402">
        <f>IF(AND(250&gt;=$NR$9,250&lt;=$NS$9),IF($NP$9="Single_Point",IF(250=$NR$9,$NN$9,0),IF($NP$9="Bell_Curve",$NN$9*(250-$NR$9+1)*($NS$9-250+1)/$NU$9,$NN$9/$NT$9)),0)</f>
        <v/>
      </c>
      <c r="IU9" s="402">
        <f>IF(AND(251&gt;=$NR$9,251&lt;=$NS$9),IF($NP$9="Single_Point",IF(251=$NR$9,$NN$9,0),IF($NP$9="Bell_Curve",$NN$9*(251-$NR$9+1)*($NS$9-251+1)/$NU$9,$NN$9/$NT$9)),0)</f>
        <v/>
      </c>
      <c r="IV9" s="402">
        <f>IF(AND(252&gt;=$NR$9,252&lt;=$NS$9),IF($NP$9="Single_Point",IF(252=$NR$9,$NN$9,0),IF($NP$9="Bell_Curve",$NN$9*(252-$NR$9+1)*($NS$9-252+1)/$NU$9,$NN$9/$NT$9)),0)</f>
        <v/>
      </c>
      <c r="IW9" s="402">
        <f>IF(AND(253&gt;=$NR$9,253&lt;=$NS$9),IF($NP$9="Single_Point",IF(253=$NR$9,$NN$9,0),IF($NP$9="Bell_Curve",$NN$9*(253-$NR$9+1)*($NS$9-253+1)/$NU$9,$NN$9/$NT$9)),0)</f>
        <v/>
      </c>
      <c r="IX9" s="402">
        <f>IF(AND(254&gt;=$NR$9,254&lt;=$NS$9),IF($NP$9="Single_Point",IF(254=$NR$9,$NN$9,0),IF($NP$9="Bell_Curve",$NN$9*(254-$NR$9+1)*($NS$9-254+1)/$NU$9,$NN$9/$NT$9)),0)</f>
        <v/>
      </c>
      <c r="IY9" s="402">
        <f>IF(AND(255&gt;=$NR$9,255&lt;=$NS$9),IF($NP$9="Single_Point",IF(255=$NR$9,$NN$9,0),IF($NP$9="Bell_Curve",$NN$9*(255-$NR$9+1)*($NS$9-255+1)/$NU$9,$NN$9/$NT$9)),0)</f>
        <v/>
      </c>
      <c r="IZ9" s="402">
        <f>IF(AND(256&gt;=$NR$9,256&lt;=$NS$9),IF($NP$9="Single_Point",IF(256=$NR$9,$NN$9,0),IF($NP$9="Bell_Curve",$NN$9*(256-$NR$9+1)*($NS$9-256+1)/$NU$9,$NN$9/$NT$9)),0)</f>
        <v/>
      </c>
      <c r="JA9" s="402">
        <f>IF(AND(257&gt;=$NR$9,257&lt;=$NS$9),IF($NP$9="Single_Point",IF(257=$NR$9,$NN$9,0),IF($NP$9="Bell_Curve",$NN$9*(257-$NR$9+1)*($NS$9-257+1)/$NU$9,$NN$9/$NT$9)),0)</f>
        <v/>
      </c>
      <c r="JB9" s="402">
        <f>IF(AND(258&gt;=$NR$9,258&lt;=$NS$9),IF($NP$9="Single_Point",IF(258=$NR$9,$NN$9,0),IF($NP$9="Bell_Curve",$NN$9*(258-$NR$9+1)*($NS$9-258+1)/$NU$9,$NN$9/$NT$9)),0)</f>
        <v/>
      </c>
      <c r="JC9" s="402">
        <f>IF(AND(259&gt;=$NR$9,259&lt;=$NS$9),IF($NP$9="Single_Point",IF(259=$NR$9,$NN$9,0),IF($NP$9="Bell_Curve",$NN$9*(259-$NR$9+1)*($NS$9-259+1)/$NU$9,$NN$9/$NT$9)),0)</f>
        <v/>
      </c>
      <c r="JD9" s="402">
        <f>IF(AND(260&gt;=$NR$9,260&lt;=$NS$9),IF($NP$9="Single_Point",IF(260=$NR$9,$NN$9,0),IF($NP$9="Bell_Curve",$NN$9*(260-$NR$9+1)*($NS$9-260+1)/$NU$9,$NN$9/$NT$9)),0)</f>
        <v/>
      </c>
      <c r="JE9" s="402">
        <f>IF(AND(261&gt;=$NR$9,261&lt;=$NS$9),IF($NP$9="Single_Point",IF(261=$NR$9,$NN$9,0),IF($NP$9="Bell_Curve",$NN$9*(261-$NR$9+1)*($NS$9-261+1)/$NU$9,$NN$9/$NT$9)),0)</f>
        <v/>
      </c>
      <c r="JF9" s="402">
        <f>IF(AND(262&gt;=$NR$9,262&lt;=$NS$9),IF($NP$9="Single_Point",IF(262=$NR$9,$NN$9,0),IF($NP$9="Bell_Curve",$NN$9*(262-$NR$9+1)*($NS$9-262+1)/$NU$9,$NN$9/$NT$9)),0)</f>
        <v/>
      </c>
      <c r="JG9" s="402">
        <f>IF(AND(263&gt;=$NR$9,263&lt;=$NS$9),IF($NP$9="Single_Point",IF(263=$NR$9,$NN$9,0),IF($NP$9="Bell_Curve",$NN$9*(263-$NR$9+1)*($NS$9-263+1)/$NU$9,$NN$9/$NT$9)),0)</f>
        <v/>
      </c>
      <c r="JH9" s="402">
        <f>IF(AND(264&gt;=$NR$9,264&lt;=$NS$9),IF($NP$9="Single_Point",IF(264=$NR$9,$NN$9,0),IF($NP$9="Bell_Curve",$NN$9*(264-$NR$9+1)*($NS$9-264+1)/$NU$9,$NN$9/$NT$9)),0)</f>
        <v/>
      </c>
      <c r="JI9" s="402">
        <f>IF(AND(265&gt;=$NR$9,265&lt;=$NS$9),IF($NP$9="Single_Point",IF(265=$NR$9,$NN$9,0),IF($NP$9="Bell_Curve",$NN$9*(265-$NR$9+1)*($NS$9-265+1)/$NU$9,$NN$9/$NT$9)),0)</f>
        <v/>
      </c>
      <c r="JJ9" s="402">
        <f>IF(AND(266&gt;=$NR$9,266&lt;=$NS$9),IF($NP$9="Single_Point",IF(266=$NR$9,$NN$9,0),IF($NP$9="Bell_Curve",$NN$9*(266-$NR$9+1)*($NS$9-266+1)/$NU$9,$NN$9/$NT$9)),0)</f>
        <v/>
      </c>
      <c r="JK9" s="402">
        <f>IF(AND(267&gt;=$NR$9,267&lt;=$NS$9),IF($NP$9="Single_Point",IF(267=$NR$9,$NN$9,0),IF($NP$9="Bell_Curve",$NN$9*(267-$NR$9+1)*($NS$9-267+1)/$NU$9,$NN$9/$NT$9)),0)</f>
        <v/>
      </c>
      <c r="JL9" s="402">
        <f>IF(AND(268&gt;=$NR$9,268&lt;=$NS$9),IF($NP$9="Single_Point",IF(268=$NR$9,$NN$9,0),IF($NP$9="Bell_Curve",$NN$9*(268-$NR$9+1)*($NS$9-268+1)/$NU$9,$NN$9/$NT$9)),0)</f>
        <v/>
      </c>
      <c r="JM9" s="402">
        <f>IF(AND(269&gt;=$NR$9,269&lt;=$NS$9),IF($NP$9="Single_Point",IF(269=$NR$9,$NN$9,0),IF($NP$9="Bell_Curve",$NN$9*(269-$NR$9+1)*($NS$9-269+1)/$NU$9,$NN$9/$NT$9)),0)</f>
        <v/>
      </c>
      <c r="JN9" s="402">
        <f>IF(AND(270&gt;=$NR$9,270&lt;=$NS$9),IF($NP$9="Single_Point",IF(270=$NR$9,$NN$9,0),IF($NP$9="Bell_Curve",$NN$9*(270-$NR$9+1)*($NS$9-270+1)/$NU$9,$NN$9/$NT$9)),0)</f>
        <v/>
      </c>
      <c r="JO9" s="402">
        <f>IF(AND(271&gt;=$NR$9,271&lt;=$NS$9),IF($NP$9="Single_Point",IF(271=$NR$9,$NN$9,0),IF($NP$9="Bell_Curve",$NN$9*(271-$NR$9+1)*($NS$9-271+1)/$NU$9,$NN$9/$NT$9)),0)</f>
        <v/>
      </c>
      <c r="JP9" s="402">
        <f>IF(AND(272&gt;=$NR$9,272&lt;=$NS$9),IF($NP$9="Single_Point",IF(272=$NR$9,$NN$9,0),IF($NP$9="Bell_Curve",$NN$9*(272-$NR$9+1)*($NS$9-272+1)/$NU$9,$NN$9/$NT$9)),0)</f>
        <v/>
      </c>
      <c r="JQ9" s="402">
        <f>IF(AND(273&gt;=$NR$9,273&lt;=$NS$9),IF($NP$9="Single_Point",IF(273=$NR$9,$NN$9,0),IF($NP$9="Bell_Curve",$NN$9*(273-$NR$9+1)*($NS$9-273+1)/$NU$9,$NN$9/$NT$9)),0)</f>
        <v/>
      </c>
      <c r="JR9" s="402">
        <f>IF(AND(274&gt;=$NR$9,274&lt;=$NS$9),IF($NP$9="Single_Point",IF(274=$NR$9,$NN$9,0),IF($NP$9="Bell_Curve",$NN$9*(274-$NR$9+1)*($NS$9-274+1)/$NU$9,$NN$9/$NT$9)),0)</f>
        <v/>
      </c>
      <c r="JS9" s="402">
        <f>IF(AND(275&gt;=$NR$9,275&lt;=$NS$9),IF($NP$9="Single_Point",IF(275=$NR$9,$NN$9,0),IF($NP$9="Bell_Curve",$NN$9*(275-$NR$9+1)*($NS$9-275+1)/$NU$9,$NN$9/$NT$9)),0)</f>
        <v/>
      </c>
      <c r="JT9" s="402">
        <f>IF(AND(276&gt;=$NR$9,276&lt;=$NS$9),IF($NP$9="Single_Point",IF(276=$NR$9,$NN$9,0),IF($NP$9="Bell_Curve",$NN$9*(276-$NR$9+1)*($NS$9-276+1)/$NU$9,$NN$9/$NT$9)),0)</f>
        <v/>
      </c>
      <c r="JU9" s="402">
        <f>IF(AND(277&gt;=$NR$9,277&lt;=$NS$9),IF($NP$9="Single_Point",IF(277=$NR$9,$NN$9,0),IF($NP$9="Bell_Curve",$NN$9*(277-$NR$9+1)*($NS$9-277+1)/$NU$9,$NN$9/$NT$9)),0)</f>
        <v/>
      </c>
      <c r="JV9" s="402">
        <f>IF(AND(278&gt;=$NR$9,278&lt;=$NS$9),IF($NP$9="Single_Point",IF(278=$NR$9,$NN$9,0),IF($NP$9="Bell_Curve",$NN$9*(278-$NR$9+1)*($NS$9-278+1)/$NU$9,$NN$9/$NT$9)),0)</f>
        <v/>
      </c>
      <c r="JW9" s="402">
        <f>IF(AND(279&gt;=$NR$9,279&lt;=$NS$9),IF($NP$9="Single_Point",IF(279=$NR$9,$NN$9,0),IF($NP$9="Bell_Curve",$NN$9*(279-$NR$9+1)*($NS$9-279+1)/$NU$9,$NN$9/$NT$9)),0)</f>
        <v/>
      </c>
      <c r="JX9" s="402">
        <f>IF(AND(280&gt;=$NR$9,280&lt;=$NS$9),IF($NP$9="Single_Point",IF(280=$NR$9,$NN$9,0),IF($NP$9="Bell_Curve",$NN$9*(280-$NR$9+1)*($NS$9-280+1)/$NU$9,$NN$9/$NT$9)),0)</f>
        <v/>
      </c>
      <c r="JY9" s="402">
        <f>IF(AND(281&gt;=$NR$9,281&lt;=$NS$9),IF($NP$9="Single_Point",IF(281=$NR$9,$NN$9,0),IF($NP$9="Bell_Curve",$NN$9*(281-$NR$9+1)*($NS$9-281+1)/$NU$9,$NN$9/$NT$9)),0)</f>
        <v/>
      </c>
      <c r="JZ9" s="402">
        <f>IF(AND(282&gt;=$NR$9,282&lt;=$NS$9),IF($NP$9="Single_Point",IF(282=$NR$9,$NN$9,0),IF($NP$9="Bell_Curve",$NN$9*(282-$NR$9+1)*($NS$9-282+1)/$NU$9,$NN$9/$NT$9)),0)</f>
        <v/>
      </c>
      <c r="KA9" s="402">
        <f>IF(AND(283&gt;=$NR$9,283&lt;=$NS$9),IF($NP$9="Single_Point",IF(283=$NR$9,$NN$9,0),IF($NP$9="Bell_Curve",$NN$9*(283-$NR$9+1)*($NS$9-283+1)/$NU$9,$NN$9/$NT$9)),0)</f>
        <v/>
      </c>
      <c r="KB9" s="402">
        <f>IF(AND(284&gt;=$NR$9,284&lt;=$NS$9),IF($NP$9="Single_Point",IF(284=$NR$9,$NN$9,0),IF($NP$9="Bell_Curve",$NN$9*(284-$NR$9+1)*($NS$9-284+1)/$NU$9,$NN$9/$NT$9)),0)</f>
        <v/>
      </c>
      <c r="KC9" s="402">
        <f>IF(AND(285&gt;=$NR$9,285&lt;=$NS$9),IF($NP$9="Single_Point",IF(285=$NR$9,$NN$9,0),IF($NP$9="Bell_Curve",$NN$9*(285-$NR$9+1)*($NS$9-285+1)/$NU$9,$NN$9/$NT$9)),0)</f>
        <v/>
      </c>
      <c r="KD9" s="402">
        <f>IF(AND(286&gt;=$NR$9,286&lt;=$NS$9),IF($NP$9="Single_Point",IF(286=$NR$9,$NN$9,0),IF($NP$9="Bell_Curve",$NN$9*(286-$NR$9+1)*($NS$9-286+1)/$NU$9,$NN$9/$NT$9)),0)</f>
        <v/>
      </c>
      <c r="KE9" s="402">
        <f>IF(AND(287&gt;=$NR$9,287&lt;=$NS$9),IF($NP$9="Single_Point",IF(287=$NR$9,$NN$9,0),IF($NP$9="Bell_Curve",$NN$9*(287-$NR$9+1)*($NS$9-287+1)/$NU$9,$NN$9/$NT$9)),0)</f>
        <v/>
      </c>
      <c r="KF9" s="402">
        <f>IF(AND(288&gt;=$NR$9,288&lt;=$NS$9),IF($NP$9="Single_Point",IF(288=$NR$9,$NN$9,0),IF($NP$9="Bell_Curve",$NN$9*(288-$NR$9+1)*($NS$9-288+1)/$NU$9,$NN$9/$NT$9)),0)</f>
        <v/>
      </c>
      <c r="KG9" s="402">
        <f>IF(AND(289&gt;=$NR$9,289&lt;=$NS$9),IF($NP$9="Single_Point",IF(289=$NR$9,$NN$9,0),IF($NP$9="Bell_Curve",$NN$9*(289-$NR$9+1)*($NS$9-289+1)/$NU$9,$NN$9/$NT$9)),0)</f>
        <v/>
      </c>
      <c r="KH9" s="402">
        <f>IF(AND(290&gt;=$NR$9,290&lt;=$NS$9),IF($NP$9="Single_Point",IF(290=$NR$9,$NN$9,0),IF($NP$9="Bell_Curve",$NN$9*(290-$NR$9+1)*($NS$9-290+1)/$NU$9,$NN$9/$NT$9)),0)</f>
        <v/>
      </c>
      <c r="KI9" s="402">
        <f>IF(AND(291&gt;=$NR$9,291&lt;=$NS$9),IF($NP$9="Single_Point",IF(291=$NR$9,$NN$9,0),IF($NP$9="Bell_Curve",$NN$9*(291-$NR$9+1)*($NS$9-291+1)/$NU$9,$NN$9/$NT$9)),0)</f>
        <v/>
      </c>
      <c r="KJ9" s="402">
        <f>IF(AND(292&gt;=$NR$9,292&lt;=$NS$9),IF($NP$9="Single_Point",IF(292=$NR$9,$NN$9,0),IF($NP$9="Bell_Curve",$NN$9*(292-$NR$9+1)*($NS$9-292+1)/$NU$9,$NN$9/$NT$9)),0)</f>
        <v/>
      </c>
      <c r="KK9" s="402">
        <f>IF(AND(293&gt;=$NR$9,293&lt;=$NS$9),IF($NP$9="Single_Point",IF(293=$NR$9,$NN$9,0),IF($NP$9="Bell_Curve",$NN$9*(293-$NR$9+1)*($NS$9-293+1)/$NU$9,$NN$9/$NT$9)),0)</f>
        <v/>
      </c>
      <c r="KL9" s="402">
        <f>IF(AND(294&gt;=$NR$9,294&lt;=$NS$9),IF($NP$9="Single_Point",IF(294=$NR$9,$NN$9,0),IF($NP$9="Bell_Curve",$NN$9*(294-$NR$9+1)*($NS$9-294+1)/$NU$9,$NN$9/$NT$9)),0)</f>
        <v/>
      </c>
      <c r="KM9" s="402">
        <f>IF(AND(295&gt;=$NR$9,295&lt;=$NS$9),IF($NP$9="Single_Point",IF(295=$NR$9,$NN$9,0),IF($NP$9="Bell_Curve",$NN$9*(295-$NR$9+1)*($NS$9-295+1)/$NU$9,$NN$9/$NT$9)),0)</f>
        <v/>
      </c>
      <c r="KN9" s="402">
        <f>IF(AND(296&gt;=$NR$9,296&lt;=$NS$9),IF($NP$9="Single_Point",IF(296=$NR$9,$NN$9,0),IF($NP$9="Bell_Curve",$NN$9*(296-$NR$9+1)*($NS$9-296+1)/$NU$9,$NN$9/$NT$9)),0)</f>
        <v/>
      </c>
      <c r="KO9" s="402">
        <f>IF(AND(297&gt;=$NR$9,297&lt;=$NS$9),IF($NP$9="Single_Point",IF(297=$NR$9,$NN$9,0),IF($NP$9="Bell_Curve",$NN$9*(297-$NR$9+1)*($NS$9-297+1)/$NU$9,$NN$9/$NT$9)),0)</f>
        <v/>
      </c>
      <c r="KP9" s="402">
        <f>IF(AND(298&gt;=$NR$9,298&lt;=$NS$9),IF($NP$9="Single_Point",IF(298=$NR$9,$NN$9,0),IF($NP$9="Bell_Curve",$NN$9*(298-$NR$9+1)*($NS$9-298+1)/$NU$9,$NN$9/$NT$9)),0)</f>
        <v/>
      </c>
      <c r="KQ9" s="402">
        <f>IF(AND(299&gt;=$NR$9,299&lt;=$NS$9),IF($NP$9="Single_Point",IF(299=$NR$9,$NN$9,0),IF($NP$9="Bell_Curve",$NN$9*(299-$NR$9+1)*($NS$9-299+1)/$NU$9,$NN$9/$NT$9)),0)</f>
        <v/>
      </c>
      <c r="KR9" s="402">
        <f>IF(AND(300&gt;=$NR$9,300&lt;=$NS$9),IF($NP$9="Single_Point",IF(300=$NR$9,$NN$9,0),IF($NP$9="Bell_Curve",$NN$9*(300-$NR$9+1)*($NS$9-300+1)/$NU$9,$NN$9/$NT$9)),0)</f>
        <v/>
      </c>
      <c r="KS9" s="402">
        <f>IF(AND(301&gt;=$NR$9,301&lt;=$NS$9),IF($NP$9="Single_Point",IF(301=$NR$9,$NN$9,0),IF($NP$9="Bell_Curve",$NN$9*(301-$NR$9+1)*($NS$9-301+1)/$NU$9,$NN$9/$NT$9)),0)</f>
        <v/>
      </c>
      <c r="KT9" s="402">
        <f>IF(AND(302&gt;=$NR$9,302&lt;=$NS$9),IF($NP$9="Single_Point",IF(302=$NR$9,$NN$9,0),IF($NP$9="Bell_Curve",$NN$9*(302-$NR$9+1)*($NS$9-302+1)/$NU$9,$NN$9/$NT$9)),0)</f>
        <v/>
      </c>
      <c r="KU9" s="402">
        <f>IF(AND(303&gt;=$NR$9,303&lt;=$NS$9),IF($NP$9="Single_Point",IF(303=$NR$9,$NN$9,0),IF($NP$9="Bell_Curve",$NN$9*(303-$NR$9+1)*($NS$9-303+1)/$NU$9,$NN$9/$NT$9)),0)</f>
        <v/>
      </c>
      <c r="KV9" s="402">
        <f>IF(AND(304&gt;=$NR$9,304&lt;=$NS$9),IF($NP$9="Single_Point",IF(304=$NR$9,$NN$9,0),IF($NP$9="Bell_Curve",$NN$9*(304-$NR$9+1)*($NS$9-304+1)/$NU$9,$NN$9/$NT$9)),0)</f>
        <v/>
      </c>
      <c r="KW9" s="402">
        <f>IF(AND(305&gt;=$NR$9,305&lt;=$NS$9),IF($NP$9="Single_Point",IF(305=$NR$9,$NN$9,0),IF($NP$9="Bell_Curve",$NN$9*(305-$NR$9+1)*($NS$9-305+1)/$NU$9,$NN$9/$NT$9)),0)</f>
        <v/>
      </c>
      <c r="KX9" s="402">
        <f>IF(AND(306&gt;=$NR$9,306&lt;=$NS$9),IF($NP$9="Single_Point",IF(306=$NR$9,$NN$9,0),IF($NP$9="Bell_Curve",$NN$9*(306-$NR$9+1)*($NS$9-306+1)/$NU$9,$NN$9/$NT$9)),0)</f>
        <v/>
      </c>
      <c r="KY9" s="402">
        <f>IF(AND(307&gt;=$NR$9,307&lt;=$NS$9),IF($NP$9="Single_Point",IF(307=$NR$9,$NN$9,0),IF($NP$9="Bell_Curve",$NN$9*(307-$NR$9+1)*($NS$9-307+1)/$NU$9,$NN$9/$NT$9)),0)</f>
        <v/>
      </c>
      <c r="KZ9" s="402">
        <f>IF(AND(308&gt;=$NR$9,308&lt;=$NS$9),IF($NP$9="Single_Point",IF(308=$NR$9,$NN$9,0),IF($NP$9="Bell_Curve",$NN$9*(308-$NR$9+1)*($NS$9-308+1)/$NU$9,$NN$9/$NT$9)),0)</f>
        <v/>
      </c>
      <c r="LA9" s="402">
        <f>IF(AND(309&gt;=$NR$9,309&lt;=$NS$9),IF($NP$9="Single_Point",IF(309=$NR$9,$NN$9,0),IF($NP$9="Bell_Curve",$NN$9*(309-$NR$9+1)*($NS$9-309+1)/$NU$9,$NN$9/$NT$9)),0)</f>
        <v/>
      </c>
      <c r="LB9" s="402">
        <f>IF(AND(310&gt;=$NR$9,310&lt;=$NS$9),IF($NP$9="Single_Point",IF(310=$NR$9,$NN$9,0),IF($NP$9="Bell_Curve",$NN$9*(310-$NR$9+1)*($NS$9-310+1)/$NU$9,$NN$9/$NT$9)),0)</f>
        <v/>
      </c>
      <c r="LC9" s="402">
        <f>IF(AND(311&gt;=$NR$9,311&lt;=$NS$9),IF($NP$9="Single_Point",IF(311=$NR$9,$NN$9,0),IF($NP$9="Bell_Curve",$NN$9*(311-$NR$9+1)*($NS$9-311+1)/$NU$9,$NN$9/$NT$9)),0)</f>
        <v/>
      </c>
      <c r="LD9" s="402">
        <f>IF(AND(312&gt;=$NR$9,312&lt;=$NS$9),IF($NP$9="Single_Point",IF(312=$NR$9,$NN$9,0),IF($NP$9="Bell_Curve",$NN$9*(312-$NR$9+1)*($NS$9-312+1)/$NU$9,$NN$9/$NT$9)),0)</f>
        <v/>
      </c>
      <c r="LE9" s="402">
        <f>IF(AND(313&gt;=$NR$9,313&lt;=$NS$9),IF($NP$9="Single_Point",IF(313=$NR$9,$NN$9,0),IF($NP$9="Bell_Curve",$NN$9*(313-$NR$9+1)*($NS$9-313+1)/$NU$9,$NN$9/$NT$9)),0)</f>
        <v/>
      </c>
      <c r="LF9" s="402">
        <f>IF(AND(314&gt;=$NR$9,314&lt;=$NS$9),IF($NP$9="Single_Point",IF(314=$NR$9,$NN$9,0),IF($NP$9="Bell_Curve",$NN$9*(314-$NR$9+1)*($NS$9-314+1)/$NU$9,$NN$9/$NT$9)),0)</f>
        <v/>
      </c>
      <c r="LG9" s="402">
        <f>IF(AND(315&gt;=$NR$9,315&lt;=$NS$9),IF($NP$9="Single_Point",IF(315=$NR$9,$NN$9,0),IF($NP$9="Bell_Curve",$NN$9*(315-$NR$9+1)*($NS$9-315+1)/$NU$9,$NN$9/$NT$9)),0)</f>
        <v/>
      </c>
      <c r="LH9" s="402">
        <f>IF(AND(316&gt;=$NR$9,316&lt;=$NS$9),IF($NP$9="Single_Point",IF(316=$NR$9,$NN$9,0),IF($NP$9="Bell_Curve",$NN$9*(316-$NR$9+1)*($NS$9-316+1)/$NU$9,$NN$9/$NT$9)),0)</f>
        <v/>
      </c>
      <c r="LI9" s="402">
        <f>IF(AND(317&gt;=$NR$9,317&lt;=$NS$9),IF($NP$9="Single_Point",IF(317=$NR$9,$NN$9,0),IF($NP$9="Bell_Curve",$NN$9*(317-$NR$9+1)*($NS$9-317+1)/$NU$9,$NN$9/$NT$9)),0)</f>
        <v/>
      </c>
      <c r="LJ9" s="402">
        <f>IF(AND(318&gt;=$NR$9,318&lt;=$NS$9),IF($NP$9="Single_Point",IF(318=$NR$9,$NN$9,0),IF($NP$9="Bell_Curve",$NN$9*(318-$NR$9+1)*($NS$9-318+1)/$NU$9,$NN$9/$NT$9)),0)</f>
        <v/>
      </c>
      <c r="LK9" s="402">
        <f>IF(AND(319&gt;=$NR$9,319&lt;=$NS$9),IF($NP$9="Single_Point",IF(319=$NR$9,$NN$9,0),IF($NP$9="Bell_Curve",$NN$9*(319-$NR$9+1)*($NS$9-319+1)/$NU$9,$NN$9/$NT$9)),0)</f>
        <v/>
      </c>
      <c r="LL9" s="402">
        <f>IF(AND(320&gt;=$NR$9,320&lt;=$NS$9),IF($NP$9="Single_Point",IF(320=$NR$9,$NN$9,0),IF($NP$9="Bell_Curve",$NN$9*(320-$NR$9+1)*($NS$9-320+1)/$NU$9,$NN$9/$NT$9)),0)</f>
        <v/>
      </c>
      <c r="LM9" s="402">
        <f>IF(AND(321&gt;=$NR$9,321&lt;=$NS$9),IF($NP$9="Single_Point",IF(321=$NR$9,$NN$9,0),IF($NP$9="Bell_Curve",$NN$9*(321-$NR$9+1)*($NS$9-321+1)/$NU$9,$NN$9/$NT$9)),0)</f>
        <v/>
      </c>
      <c r="LN9" s="402">
        <f>IF(AND(322&gt;=$NR$9,322&lt;=$NS$9),IF($NP$9="Single_Point",IF(322=$NR$9,$NN$9,0),IF($NP$9="Bell_Curve",$NN$9*(322-$NR$9+1)*($NS$9-322+1)/$NU$9,$NN$9/$NT$9)),0)</f>
        <v/>
      </c>
      <c r="LO9" s="402">
        <f>IF(AND(323&gt;=$NR$9,323&lt;=$NS$9),IF($NP$9="Single_Point",IF(323=$NR$9,$NN$9,0),IF($NP$9="Bell_Curve",$NN$9*(323-$NR$9+1)*($NS$9-323+1)/$NU$9,$NN$9/$NT$9)),0)</f>
        <v/>
      </c>
      <c r="LP9" s="402">
        <f>IF(AND(324&gt;=$NR$9,324&lt;=$NS$9),IF($NP$9="Single_Point",IF(324=$NR$9,$NN$9,0),IF($NP$9="Bell_Curve",$NN$9*(324-$NR$9+1)*($NS$9-324+1)/$NU$9,$NN$9/$NT$9)),0)</f>
        <v/>
      </c>
      <c r="LQ9" s="402">
        <f>IF(AND(325&gt;=$NR$9,325&lt;=$NS$9),IF($NP$9="Single_Point",IF(325=$NR$9,$NN$9,0),IF($NP$9="Bell_Curve",$NN$9*(325-$NR$9+1)*($NS$9-325+1)/$NU$9,$NN$9/$NT$9)),0)</f>
        <v/>
      </c>
      <c r="LR9" s="402">
        <f>IF(AND(326&gt;=$NR$9,326&lt;=$NS$9),IF($NP$9="Single_Point",IF(326=$NR$9,$NN$9,0),IF($NP$9="Bell_Curve",$NN$9*(326-$NR$9+1)*($NS$9-326+1)/$NU$9,$NN$9/$NT$9)),0)</f>
        <v/>
      </c>
      <c r="LS9" s="402">
        <f>IF(AND(327&gt;=$NR$9,327&lt;=$NS$9),IF($NP$9="Single_Point",IF(327=$NR$9,$NN$9,0),IF($NP$9="Bell_Curve",$NN$9*(327-$NR$9+1)*($NS$9-327+1)/$NU$9,$NN$9/$NT$9)),0)</f>
        <v/>
      </c>
      <c r="LT9" s="402">
        <f>IF(AND(328&gt;=$NR$9,328&lt;=$NS$9),IF($NP$9="Single_Point",IF(328=$NR$9,$NN$9,0),IF($NP$9="Bell_Curve",$NN$9*(328-$NR$9+1)*($NS$9-328+1)/$NU$9,$NN$9/$NT$9)),0)</f>
        <v/>
      </c>
      <c r="LU9" s="402">
        <f>IF(AND(329&gt;=$NR$9,329&lt;=$NS$9),IF($NP$9="Single_Point",IF(329=$NR$9,$NN$9,0),IF($NP$9="Bell_Curve",$NN$9*(329-$NR$9+1)*($NS$9-329+1)/$NU$9,$NN$9/$NT$9)),0)</f>
        <v/>
      </c>
      <c r="LV9" s="402">
        <f>IF(AND(330&gt;=$NR$9,330&lt;=$NS$9),IF($NP$9="Single_Point",IF(330=$NR$9,$NN$9,0),IF($NP$9="Bell_Curve",$NN$9*(330-$NR$9+1)*($NS$9-330+1)/$NU$9,$NN$9/$NT$9)),0)</f>
        <v/>
      </c>
      <c r="LW9" s="402">
        <f>IF(AND(331&gt;=$NR$9,331&lt;=$NS$9),IF($NP$9="Single_Point",IF(331=$NR$9,$NN$9,0),IF($NP$9="Bell_Curve",$NN$9*(331-$NR$9+1)*($NS$9-331+1)/$NU$9,$NN$9/$NT$9)),0)</f>
        <v/>
      </c>
      <c r="LX9" s="402">
        <f>IF(AND(332&gt;=$NR$9,332&lt;=$NS$9),IF($NP$9="Single_Point",IF(332=$NR$9,$NN$9,0),IF($NP$9="Bell_Curve",$NN$9*(332-$NR$9+1)*($NS$9-332+1)/$NU$9,$NN$9/$NT$9)),0)</f>
        <v/>
      </c>
      <c r="LY9" s="402">
        <f>IF(AND(333&gt;=$NR$9,333&lt;=$NS$9),IF($NP$9="Single_Point",IF(333=$NR$9,$NN$9,0),IF($NP$9="Bell_Curve",$NN$9*(333-$NR$9+1)*($NS$9-333+1)/$NU$9,$NN$9/$NT$9)),0)</f>
        <v/>
      </c>
      <c r="LZ9" s="402">
        <f>IF(AND(334&gt;=$NR$9,334&lt;=$NS$9),IF($NP$9="Single_Point",IF(334=$NR$9,$NN$9,0),IF($NP$9="Bell_Curve",$NN$9*(334-$NR$9+1)*($NS$9-334+1)/$NU$9,$NN$9/$NT$9)),0)</f>
        <v/>
      </c>
      <c r="MA9" s="402">
        <f>IF(AND(335&gt;=$NR$9,335&lt;=$NS$9),IF($NP$9="Single_Point",IF(335=$NR$9,$NN$9,0),IF($NP$9="Bell_Curve",$NN$9*(335-$NR$9+1)*($NS$9-335+1)/$NU$9,$NN$9/$NT$9)),0)</f>
        <v/>
      </c>
      <c r="MB9" s="402">
        <f>IF(AND(336&gt;=$NR$9,336&lt;=$NS$9),IF($NP$9="Single_Point",IF(336=$NR$9,$NN$9,0),IF($NP$9="Bell_Curve",$NN$9*(336-$NR$9+1)*($NS$9-336+1)/$NU$9,$NN$9/$NT$9)),0)</f>
        <v/>
      </c>
      <c r="MC9" s="402">
        <f>IF(AND(337&gt;=$NR$9,337&lt;=$NS$9),IF($NP$9="Single_Point",IF(337=$NR$9,$NN$9,0),IF($NP$9="Bell_Curve",$NN$9*(337-$NR$9+1)*($NS$9-337+1)/$NU$9,$NN$9/$NT$9)),0)</f>
        <v/>
      </c>
      <c r="MD9" s="402">
        <f>IF(AND(338&gt;=$NR$9,338&lt;=$NS$9),IF($NP$9="Single_Point",IF(338=$NR$9,$NN$9,0),IF($NP$9="Bell_Curve",$NN$9*(338-$NR$9+1)*($NS$9-338+1)/$NU$9,$NN$9/$NT$9)),0)</f>
        <v/>
      </c>
      <c r="ME9" s="402">
        <f>IF(AND(339&gt;=$NR$9,339&lt;=$NS$9),IF($NP$9="Single_Point",IF(339=$NR$9,$NN$9,0),IF($NP$9="Bell_Curve",$NN$9*(339-$NR$9+1)*($NS$9-339+1)/$NU$9,$NN$9/$NT$9)),0)</f>
        <v/>
      </c>
      <c r="MF9" s="402">
        <f>IF(AND(340&gt;=$NR$9,340&lt;=$NS$9),IF($NP$9="Single_Point",IF(340=$NR$9,$NN$9,0),IF($NP$9="Bell_Curve",$NN$9*(340-$NR$9+1)*($NS$9-340+1)/$NU$9,$NN$9/$NT$9)),0)</f>
        <v/>
      </c>
      <c r="MG9" s="402">
        <f>IF(AND(341&gt;=$NR$9,341&lt;=$NS$9),IF($NP$9="Single_Point",IF(341=$NR$9,$NN$9,0),IF($NP$9="Bell_Curve",$NN$9*(341-$NR$9+1)*($NS$9-341+1)/$NU$9,$NN$9/$NT$9)),0)</f>
        <v/>
      </c>
      <c r="MH9" s="402">
        <f>IF(AND(342&gt;=$NR$9,342&lt;=$NS$9),IF($NP$9="Single_Point",IF(342=$NR$9,$NN$9,0),IF($NP$9="Bell_Curve",$NN$9*(342-$NR$9+1)*($NS$9-342+1)/$NU$9,$NN$9/$NT$9)),0)</f>
        <v/>
      </c>
      <c r="MI9" s="402">
        <f>IF(AND(343&gt;=$NR$9,343&lt;=$NS$9),IF($NP$9="Single_Point",IF(343=$NR$9,$NN$9,0),IF($NP$9="Bell_Curve",$NN$9*(343-$NR$9+1)*($NS$9-343+1)/$NU$9,$NN$9/$NT$9)),0)</f>
        <v/>
      </c>
      <c r="MJ9" s="402">
        <f>IF(AND(344&gt;=$NR$9,344&lt;=$NS$9),IF($NP$9="Single_Point",IF(344=$NR$9,$NN$9,0),IF($NP$9="Bell_Curve",$NN$9*(344-$NR$9+1)*($NS$9-344+1)/$NU$9,$NN$9/$NT$9)),0)</f>
        <v/>
      </c>
      <c r="MK9" s="402">
        <f>IF(AND(345&gt;=$NR$9,345&lt;=$NS$9),IF($NP$9="Single_Point",IF(345=$NR$9,$NN$9,0),IF($NP$9="Bell_Curve",$NN$9*(345-$NR$9+1)*($NS$9-345+1)/$NU$9,$NN$9/$NT$9)),0)</f>
        <v/>
      </c>
      <c r="ML9" s="402">
        <f>IF(AND(346&gt;=$NR$9,346&lt;=$NS$9),IF($NP$9="Single_Point",IF(346=$NR$9,$NN$9,0),IF($NP$9="Bell_Curve",$NN$9*(346-$NR$9+1)*($NS$9-346+1)/$NU$9,$NN$9/$NT$9)),0)</f>
        <v/>
      </c>
      <c r="MM9" s="402">
        <f>IF(AND(347&gt;=$NR$9,347&lt;=$NS$9),IF($NP$9="Single_Point",IF(347=$NR$9,$NN$9,0),IF($NP$9="Bell_Curve",$NN$9*(347-$NR$9+1)*($NS$9-347+1)/$NU$9,$NN$9/$NT$9)),0)</f>
        <v/>
      </c>
      <c r="MN9" s="402">
        <f>IF(AND(348&gt;=$NR$9,348&lt;=$NS$9),IF($NP$9="Single_Point",IF(348=$NR$9,$NN$9,0),IF($NP$9="Bell_Curve",$NN$9*(348-$NR$9+1)*($NS$9-348+1)/$NU$9,$NN$9/$NT$9)),0)</f>
        <v/>
      </c>
      <c r="MO9" s="402">
        <f>IF(AND(349&gt;=$NR$9,349&lt;=$NS$9),IF($NP$9="Single_Point",IF(349=$NR$9,$NN$9,0),IF($NP$9="Bell_Curve",$NN$9*(349-$NR$9+1)*($NS$9-349+1)/$NU$9,$NN$9/$NT$9)),0)</f>
        <v/>
      </c>
      <c r="MP9" s="402">
        <f>IF(AND(350&gt;=$NR$9,350&lt;=$NS$9),IF($NP$9="Single_Point",IF(350=$NR$9,$NN$9,0),IF($NP$9="Bell_Curve",$NN$9*(350-$NR$9+1)*($NS$9-350+1)/$NU$9,$NN$9/$NT$9)),0)</f>
        <v/>
      </c>
      <c r="MQ9" s="402">
        <f>IF(AND(351&gt;=$NR$9,351&lt;=$NS$9),IF($NP$9="Single_Point",IF(351=$NR$9,$NN$9,0),IF($NP$9="Bell_Curve",$NN$9*(351-$NR$9+1)*($NS$9-351+1)/$NU$9,$NN$9/$NT$9)),0)</f>
        <v/>
      </c>
      <c r="MR9" s="402">
        <f>IF(AND(352&gt;=$NR$9,352&lt;=$NS$9),IF($NP$9="Single_Point",IF(352=$NR$9,$NN$9,0),IF($NP$9="Bell_Curve",$NN$9*(352-$NR$9+1)*($NS$9-352+1)/$NU$9,$NN$9/$NT$9)),0)</f>
        <v/>
      </c>
      <c r="MS9" s="402">
        <f>IF(AND(353&gt;=$NR$9,353&lt;=$NS$9),IF($NP$9="Single_Point",IF(353=$NR$9,$NN$9,0),IF($NP$9="Bell_Curve",$NN$9*(353-$NR$9+1)*($NS$9-353+1)/$NU$9,$NN$9/$NT$9)),0)</f>
        <v/>
      </c>
      <c r="MT9" s="402">
        <f>IF(AND(354&gt;=$NR$9,354&lt;=$NS$9),IF($NP$9="Single_Point",IF(354=$NR$9,$NN$9,0),IF($NP$9="Bell_Curve",$NN$9*(354-$NR$9+1)*($NS$9-354+1)/$NU$9,$NN$9/$NT$9)),0)</f>
        <v/>
      </c>
      <c r="MU9" s="402">
        <f>IF(AND(355&gt;=$NR$9,355&lt;=$NS$9),IF($NP$9="Single_Point",IF(355=$NR$9,$NN$9,0),IF($NP$9="Bell_Curve",$NN$9*(355-$NR$9+1)*($NS$9-355+1)/$NU$9,$NN$9/$NT$9)),0)</f>
        <v/>
      </c>
      <c r="MV9" s="402">
        <f>IF(AND(356&gt;=$NR$9,356&lt;=$NS$9),IF($NP$9="Single_Point",IF(356=$NR$9,$NN$9,0),IF($NP$9="Bell_Curve",$NN$9*(356-$NR$9+1)*($NS$9-356+1)/$NU$9,$NN$9/$NT$9)),0)</f>
        <v/>
      </c>
      <c r="MW9" s="402">
        <f>IF(AND(357&gt;=$NR$9,357&lt;=$NS$9),IF($NP$9="Single_Point",IF(357=$NR$9,$NN$9,0),IF($NP$9="Bell_Curve",$NN$9*(357-$NR$9+1)*($NS$9-357+1)/$NU$9,$NN$9/$NT$9)),0)</f>
        <v/>
      </c>
      <c r="MX9" s="402">
        <f>IF(AND(358&gt;=$NR$9,358&lt;=$NS$9),IF($NP$9="Single_Point",IF(358=$NR$9,$NN$9,0),IF($NP$9="Bell_Curve",$NN$9*(358-$NR$9+1)*($NS$9-358+1)/$NU$9,$NN$9/$NT$9)),0)</f>
        <v/>
      </c>
      <c r="MY9" s="402">
        <f>IF(AND(359&gt;=$NR$9,359&lt;=$NS$9),IF($NP$9="Single_Point",IF(359=$NR$9,$NN$9,0),IF($NP$9="Bell_Curve",$NN$9*(359-$NR$9+1)*($NS$9-359+1)/$NU$9,$NN$9/$NT$9)),0)</f>
        <v/>
      </c>
      <c r="MZ9" s="402">
        <f>IF(AND(360&gt;=$NR$9,360&lt;=$NS$9),IF($NP$9="Single_Point",IF(360=$NR$9,$NN$9,0),IF($NP$9="Bell_Curve",$NN$9*(360-$NR$9+1)*($NS$9-360+1)/$NU$9,$NN$9/$NT$9)),0)</f>
        <v/>
      </c>
      <c r="NA9" s="402">
        <f>IF(AND(361&gt;=$NR$9,361&lt;=$NS$9),IF($NP$9="Single_Point",IF(361=$NR$9,$NN$9,0),IF($NP$9="Bell_Curve",$NN$9*(361-$NR$9+1)*($NS$9-361+1)/$NU$9,$NN$9/$NT$9)),0)</f>
        <v/>
      </c>
      <c r="NB9" s="402">
        <f>IF(AND(362&gt;=$NR$9,362&lt;=$NS$9),IF($NP$9="Single_Point",IF(362=$NR$9,$NN$9,0),IF($NP$9="Bell_Curve",$NN$9*(362-$NR$9+1)*($NS$9-362+1)/$NU$9,$NN$9/$NT$9)),0)</f>
        <v/>
      </c>
      <c r="NC9" s="402">
        <f>IF(AND(363&gt;=$NR$9,363&lt;=$NS$9),IF($NP$9="Single_Point",IF(363=$NR$9,$NN$9,0),IF($NP$9="Bell_Curve",$NN$9*(363-$NR$9+1)*($NS$9-363+1)/$NU$9,$NN$9/$NT$9)),0)</f>
        <v/>
      </c>
      <c r="ND9" s="402">
        <f>IF(AND(364&gt;=$NR$9,364&lt;=$NS$9),IF($NP$9="Single_Point",IF(364=$NR$9,$NN$9,0),IF($NP$9="Bell_Curve",$NN$9*(364-$NR$9+1)*($NS$9-364+1)/$NU$9,$NN$9/$NT$9)),0)</f>
        <v/>
      </c>
      <c r="NE9" s="402">
        <f>IF(AND(365&gt;=$NR$9,365&lt;=$NS$9),IF($NP$9="Single_Point",IF(365=$NR$9,$NN$9,0),IF($NP$9="Bell_Curve",$NN$9*(365-$NR$9+1)*($NS$9-365+1)/$NU$9,$NN$9/$NT$9)),0)</f>
        <v/>
      </c>
      <c r="NF9" s="402">
        <f>IF(AND(366&gt;=$NR$9,366&lt;=$NS$9),IF($NP$9="Single_Point",IF(366=$NR$9,$NN$9,0),IF($NP$9="Bell_Curve",$NN$9*(366-$NR$9+1)*($NS$9-366+1)/$NU$9,$NN$9/$NT$9)),0)</f>
        <v/>
      </c>
      <c r="NG9" s="402">
        <f>IF(AND(367&gt;=$NR$9,367&lt;=$NS$9),IF($NP$9="Single_Point",IF(367=$NR$9,$NN$9,0),IF($NP$9="Bell_Curve",$NN$9*(367-$NR$9+1)*($NS$9-367+1)/$NU$9,$NN$9/$NT$9)),0)</f>
        <v/>
      </c>
      <c r="NH9" s="402">
        <f>IF(AND(368&gt;=$NR$9,368&lt;=$NS$9),IF($NP$9="Single_Point",IF(368=$NR$9,$NN$9,0),IF($NP$9="Bell_Curve",$NN$9*(368-$NR$9+1)*($NS$9-368+1)/$NU$9,$NN$9/$NT$9)),0)</f>
        <v/>
      </c>
      <c r="NI9" s="402">
        <f>IF(AND(369&gt;=$NR$9,369&lt;=$NS$9),IF($NP$9="Single_Point",IF(369=$NR$9,$NN$9,0),IF($NP$9="Bell_Curve",$NN$9*(369-$NR$9+1)*($NS$9-369+1)/$NU$9,$NN$9/$NT$9)),0)</f>
        <v/>
      </c>
      <c r="NJ9" s="402">
        <f>IF(AND(370&gt;=$NR$9,370&lt;=$NS$9),IF($NP$9="Single_Point",IF(370=$NR$9,$NN$9,0),IF($NP$9="Bell_Curve",$NN$9*(370-$NR$9+1)*($NS$9-370+1)/$NU$9,$NN$9/$NT$9)),0)</f>
        <v/>
      </c>
      <c r="NK9" s="402">
        <f>IF(AND(371&gt;=$NR$9,371&lt;=$NS$9),IF($NP$9="Single_Point",IF(371=$NR$9,$NN$9,0),IF($NP$9="Bell_Curve",$NN$9*(371-$NR$9+1)*($NS$9-371+1)/$NU$9,$NN$9/$NT$9)),0)</f>
        <v/>
      </c>
      <c r="NL9" s="426">
        <f>IF(AND(372&gt;=$NR$9,372&lt;=$NS$9),IF($NP$9="Single_Point",IF(372=$NR$9,$NN$9,0),IF($NP$9="Bell_Curve",$NN$9*(372-$NR$9+1)*($NS$9-372+1)/$NU$9,$NN$9/$NT$9)),0)</f>
        <v/>
      </c>
      <c r="NM9">
        <f>Budget!C8</f>
        <v/>
      </c>
      <c r="NN9" s="218">
        <f>Budget!J8</f>
        <v/>
      </c>
      <c r="NO9" s="144">
        <f>Budget!G8</f>
        <v/>
      </c>
      <c r="NP9" s="144">
        <f>Budget!H8</f>
        <v/>
      </c>
      <c r="NQ9" s="85">
        <f>Budget!I8</f>
        <v/>
      </c>
      <c r="NR9" s="248">
        <f>MAX(1,MIN(372,INDEX(MilestoneStart,MATCH(NO9,MilestoneNames,0))+NQ9))</f>
        <v/>
      </c>
      <c r="NS9" s="248">
        <f>MAX(NR9,MIN(372,INDEX(MilestoneEnd,MATCH(NO9,MilestoneNames,0))+NQ9))</f>
        <v/>
      </c>
      <c r="NT9" s="85">
        <f>NS9-NR9+1</f>
        <v/>
      </c>
      <c r="NU9" s="85">
        <f>NT9*(NT9+1)*(NT9+2)/6</f>
        <v/>
      </c>
    </row>
    <row r="10">
      <c r="B10" s="296">
        <f>Budget!B9</f>
        <v/>
      </c>
      <c r="D10" s="425">
        <f>SUM(E10:NL10)</f>
        <v/>
      </c>
      <c r="E10" s="402">
        <f>IF(AND(1&gt;=$NR$10,1&lt;=$NS$10),IF($NP$10="Single_Point",IF(1=$NR$10,$NN$10,0),IF($NP$10="Bell_Curve",$NN$10*(1-$NR$10+1)*($NS$10-1+1)/$NU$10,$NN$10/$NT$10)),0)</f>
        <v/>
      </c>
      <c r="F10" s="402">
        <f>IF(AND(2&gt;=$NR$10,2&lt;=$NS$10),IF($NP$10="Single_Point",IF(2=$NR$10,$NN$10,0),IF($NP$10="Bell_Curve",$NN$10*(2-$NR$10+1)*($NS$10-2+1)/$NU$10,$NN$10/$NT$10)),0)</f>
        <v/>
      </c>
      <c r="G10" s="402">
        <f>IF(AND(3&gt;=$NR$10,3&lt;=$NS$10),IF($NP$10="Single_Point",IF(3=$NR$10,$NN$10,0),IF($NP$10="Bell_Curve",$NN$10*(3-$NR$10+1)*($NS$10-3+1)/$NU$10,$NN$10/$NT$10)),0)</f>
        <v/>
      </c>
      <c r="H10" s="402">
        <f>IF(AND(4&gt;=$NR$10,4&lt;=$NS$10),IF($NP$10="Single_Point",IF(4=$NR$10,$NN$10,0),IF($NP$10="Bell_Curve",$NN$10*(4-$NR$10+1)*($NS$10-4+1)/$NU$10,$NN$10/$NT$10)),0)</f>
        <v/>
      </c>
      <c r="I10" s="402">
        <f>IF(AND(5&gt;=$NR$10,5&lt;=$NS$10),IF($NP$10="Single_Point",IF(5=$NR$10,$NN$10,0),IF($NP$10="Bell_Curve",$NN$10*(5-$NR$10+1)*($NS$10-5+1)/$NU$10,$NN$10/$NT$10)),0)</f>
        <v/>
      </c>
      <c r="J10" s="402">
        <f>IF(AND(6&gt;=$NR$10,6&lt;=$NS$10),IF($NP$10="Single_Point",IF(6=$NR$10,$NN$10,0),IF($NP$10="Bell_Curve",$NN$10*(6-$NR$10+1)*($NS$10-6+1)/$NU$10,$NN$10/$NT$10)),0)</f>
        <v/>
      </c>
      <c r="K10" s="402">
        <f>IF(AND(7&gt;=$NR$10,7&lt;=$NS$10),IF($NP$10="Single_Point",IF(7=$NR$10,$NN$10,0),IF($NP$10="Bell_Curve",$NN$10*(7-$NR$10+1)*($NS$10-7+1)/$NU$10,$NN$10/$NT$10)),0)</f>
        <v/>
      </c>
      <c r="L10" s="402">
        <f>IF(AND(8&gt;=$NR$10,8&lt;=$NS$10),IF($NP$10="Single_Point",IF(8=$NR$10,$NN$10,0),IF($NP$10="Bell_Curve",$NN$10*(8-$NR$10+1)*($NS$10-8+1)/$NU$10,$NN$10/$NT$10)),0)</f>
        <v/>
      </c>
      <c r="M10" s="402">
        <f>IF(AND(9&gt;=$NR$10,9&lt;=$NS$10),IF($NP$10="Single_Point",IF(9=$NR$10,$NN$10,0),IF($NP$10="Bell_Curve",$NN$10*(9-$NR$10+1)*($NS$10-9+1)/$NU$10,$NN$10/$NT$10)),0)</f>
        <v/>
      </c>
      <c r="N10" s="402">
        <f>IF(AND(10&gt;=$NR$10,10&lt;=$NS$10),IF($NP$10="Single_Point",IF(10=$NR$10,$NN$10,0),IF($NP$10="Bell_Curve",$NN$10*(10-$NR$10+1)*($NS$10-10+1)/$NU$10,$NN$10/$NT$10)),0)</f>
        <v/>
      </c>
      <c r="O10" s="402">
        <f>IF(AND(11&gt;=$NR$10,11&lt;=$NS$10),IF($NP$10="Single_Point",IF(11=$NR$10,$NN$10,0),IF($NP$10="Bell_Curve",$NN$10*(11-$NR$10+1)*($NS$10-11+1)/$NU$10,$NN$10/$NT$10)),0)</f>
        <v/>
      </c>
      <c r="P10" s="402">
        <f>IF(AND(12&gt;=$NR$10,12&lt;=$NS$10),IF($NP$10="Single_Point",IF(12=$NR$10,$NN$10,0),IF($NP$10="Bell_Curve",$NN$10*(12-$NR$10+1)*($NS$10-12+1)/$NU$10,$NN$10/$NT$10)),0)</f>
        <v/>
      </c>
      <c r="Q10" s="402">
        <f>IF(AND(13&gt;=$NR$10,13&lt;=$NS$10),IF($NP$10="Single_Point",IF(13=$NR$10,$NN$10,0),IF($NP$10="Bell_Curve",$NN$10*(13-$NR$10+1)*($NS$10-13+1)/$NU$10,$NN$10/$NT$10)),0)</f>
        <v/>
      </c>
      <c r="R10" s="402">
        <f>IF(AND(14&gt;=$NR$10,14&lt;=$NS$10),IF($NP$10="Single_Point",IF(14=$NR$10,$NN$10,0),IF($NP$10="Bell_Curve",$NN$10*(14-$NR$10+1)*($NS$10-14+1)/$NU$10,$NN$10/$NT$10)),0)</f>
        <v/>
      </c>
      <c r="S10" s="402">
        <f>IF(AND(15&gt;=$NR$10,15&lt;=$NS$10),IF($NP$10="Single_Point",IF(15=$NR$10,$NN$10,0),IF($NP$10="Bell_Curve",$NN$10*(15-$NR$10+1)*($NS$10-15+1)/$NU$10,$NN$10/$NT$10)),0)</f>
        <v/>
      </c>
      <c r="T10" s="402">
        <f>IF(AND(16&gt;=$NR$10,16&lt;=$NS$10),IF($NP$10="Single_Point",IF(16=$NR$10,$NN$10,0),IF($NP$10="Bell_Curve",$NN$10*(16-$NR$10+1)*($NS$10-16+1)/$NU$10,$NN$10/$NT$10)),0)</f>
        <v/>
      </c>
      <c r="U10" s="402">
        <f>IF(AND(17&gt;=$NR$10,17&lt;=$NS$10),IF($NP$10="Single_Point",IF(17=$NR$10,$NN$10,0),IF($NP$10="Bell_Curve",$NN$10*(17-$NR$10+1)*($NS$10-17+1)/$NU$10,$NN$10/$NT$10)),0)</f>
        <v/>
      </c>
      <c r="V10" s="402">
        <f>IF(AND(18&gt;=$NR$10,18&lt;=$NS$10),IF($NP$10="Single_Point",IF(18=$NR$10,$NN$10,0),IF($NP$10="Bell_Curve",$NN$10*(18-$NR$10+1)*($NS$10-18+1)/$NU$10,$NN$10/$NT$10)),0)</f>
        <v/>
      </c>
      <c r="W10" s="402">
        <f>IF(AND(19&gt;=$NR$10,19&lt;=$NS$10),IF($NP$10="Single_Point",IF(19=$NR$10,$NN$10,0),IF($NP$10="Bell_Curve",$NN$10*(19-$NR$10+1)*($NS$10-19+1)/$NU$10,$NN$10/$NT$10)),0)</f>
        <v/>
      </c>
      <c r="X10" s="402">
        <f>IF(AND(20&gt;=$NR$10,20&lt;=$NS$10),IF($NP$10="Single_Point",IF(20=$NR$10,$NN$10,0),IF($NP$10="Bell_Curve",$NN$10*(20-$NR$10+1)*($NS$10-20+1)/$NU$10,$NN$10/$NT$10)),0)</f>
        <v/>
      </c>
      <c r="Y10" s="402">
        <f>IF(AND(21&gt;=$NR$10,21&lt;=$NS$10),IF($NP$10="Single_Point",IF(21=$NR$10,$NN$10,0),IF($NP$10="Bell_Curve",$NN$10*(21-$NR$10+1)*($NS$10-21+1)/$NU$10,$NN$10/$NT$10)),0)</f>
        <v/>
      </c>
      <c r="Z10" s="402">
        <f>IF(AND(22&gt;=$NR$10,22&lt;=$NS$10),IF($NP$10="Single_Point",IF(22=$NR$10,$NN$10,0),IF($NP$10="Bell_Curve",$NN$10*(22-$NR$10+1)*($NS$10-22+1)/$NU$10,$NN$10/$NT$10)),0)</f>
        <v/>
      </c>
      <c r="AA10" s="402">
        <f>IF(AND(23&gt;=$NR$10,23&lt;=$NS$10),IF($NP$10="Single_Point",IF(23=$NR$10,$NN$10,0),IF($NP$10="Bell_Curve",$NN$10*(23-$NR$10+1)*($NS$10-23+1)/$NU$10,$NN$10/$NT$10)),0)</f>
        <v/>
      </c>
      <c r="AB10" s="402">
        <f>IF(AND(24&gt;=$NR$10,24&lt;=$NS$10),IF($NP$10="Single_Point",IF(24=$NR$10,$NN$10,0),IF($NP$10="Bell_Curve",$NN$10*(24-$NR$10+1)*($NS$10-24+1)/$NU$10,$NN$10/$NT$10)),0)</f>
        <v/>
      </c>
      <c r="AC10" s="402">
        <f>IF(AND(25&gt;=$NR$10,25&lt;=$NS$10),IF($NP$10="Single_Point",IF(25=$NR$10,$NN$10,0),IF($NP$10="Bell_Curve",$NN$10*(25-$NR$10+1)*($NS$10-25+1)/$NU$10,$NN$10/$NT$10)),0)</f>
        <v/>
      </c>
      <c r="AD10" s="402">
        <f>IF(AND(26&gt;=$NR$10,26&lt;=$NS$10),IF($NP$10="Single_Point",IF(26=$NR$10,$NN$10,0),IF($NP$10="Bell_Curve",$NN$10*(26-$NR$10+1)*($NS$10-26+1)/$NU$10,$NN$10/$NT$10)),0)</f>
        <v/>
      </c>
      <c r="AE10" s="402">
        <f>IF(AND(27&gt;=$NR$10,27&lt;=$NS$10),IF($NP$10="Single_Point",IF(27=$NR$10,$NN$10,0),IF($NP$10="Bell_Curve",$NN$10*(27-$NR$10+1)*($NS$10-27+1)/$NU$10,$NN$10/$NT$10)),0)</f>
        <v/>
      </c>
      <c r="AF10" s="402">
        <f>IF(AND(28&gt;=$NR$10,28&lt;=$NS$10),IF($NP$10="Single_Point",IF(28=$NR$10,$NN$10,0),IF($NP$10="Bell_Curve",$NN$10*(28-$NR$10+1)*($NS$10-28+1)/$NU$10,$NN$10/$NT$10)),0)</f>
        <v/>
      </c>
      <c r="AG10" s="402">
        <f>IF(AND(29&gt;=$NR$10,29&lt;=$NS$10),IF($NP$10="Single_Point",IF(29=$NR$10,$NN$10,0),IF($NP$10="Bell_Curve",$NN$10*(29-$NR$10+1)*($NS$10-29+1)/$NU$10,$NN$10/$NT$10)),0)</f>
        <v/>
      </c>
      <c r="AH10" s="402">
        <f>IF(AND(30&gt;=$NR$10,30&lt;=$NS$10),IF($NP$10="Single_Point",IF(30=$NR$10,$NN$10,0),IF($NP$10="Bell_Curve",$NN$10*(30-$NR$10+1)*($NS$10-30+1)/$NU$10,$NN$10/$NT$10)),0)</f>
        <v/>
      </c>
      <c r="AI10" s="402">
        <f>IF(AND(31&gt;=$NR$10,31&lt;=$NS$10),IF($NP$10="Single_Point",IF(31=$NR$10,$NN$10,0),IF($NP$10="Bell_Curve",$NN$10*(31-$NR$10+1)*($NS$10-31+1)/$NU$10,$NN$10/$NT$10)),0)</f>
        <v/>
      </c>
      <c r="AJ10" s="402">
        <f>IF(AND(32&gt;=$NR$10,32&lt;=$NS$10),IF($NP$10="Single_Point",IF(32=$NR$10,$NN$10,0),IF($NP$10="Bell_Curve",$NN$10*(32-$NR$10+1)*($NS$10-32+1)/$NU$10,$NN$10/$NT$10)),0)</f>
        <v/>
      </c>
      <c r="AK10" s="402">
        <f>IF(AND(33&gt;=$NR$10,33&lt;=$NS$10),IF($NP$10="Single_Point",IF(33=$NR$10,$NN$10,0),IF($NP$10="Bell_Curve",$NN$10*(33-$NR$10+1)*($NS$10-33+1)/$NU$10,$NN$10/$NT$10)),0)</f>
        <v/>
      </c>
      <c r="AL10" s="402">
        <f>IF(AND(34&gt;=$NR$10,34&lt;=$NS$10),IF($NP$10="Single_Point",IF(34=$NR$10,$NN$10,0),IF($NP$10="Bell_Curve",$NN$10*(34-$NR$10+1)*($NS$10-34+1)/$NU$10,$NN$10/$NT$10)),0)</f>
        <v/>
      </c>
      <c r="AM10" s="402">
        <f>IF(AND(35&gt;=$NR$10,35&lt;=$NS$10),IF($NP$10="Single_Point",IF(35=$NR$10,$NN$10,0),IF($NP$10="Bell_Curve",$NN$10*(35-$NR$10+1)*($NS$10-35+1)/$NU$10,$NN$10/$NT$10)),0)</f>
        <v/>
      </c>
      <c r="AN10" s="402">
        <f>IF(AND(36&gt;=$NR$10,36&lt;=$NS$10),IF($NP$10="Single_Point",IF(36=$NR$10,$NN$10,0),IF($NP$10="Bell_Curve",$NN$10*(36-$NR$10+1)*($NS$10-36+1)/$NU$10,$NN$10/$NT$10)),0)</f>
        <v/>
      </c>
      <c r="AO10" s="402">
        <f>IF(AND(37&gt;=$NR$10,37&lt;=$NS$10),IF($NP$10="Single_Point",IF(37=$NR$10,$NN$10,0),IF($NP$10="Bell_Curve",$NN$10*(37-$NR$10+1)*($NS$10-37+1)/$NU$10,$NN$10/$NT$10)),0)</f>
        <v/>
      </c>
      <c r="AP10" s="402">
        <f>IF(AND(38&gt;=$NR$10,38&lt;=$NS$10),IF($NP$10="Single_Point",IF(38=$NR$10,$NN$10,0),IF($NP$10="Bell_Curve",$NN$10*(38-$NR$10+1)*($NS$10-38+1)/$NU$10,$NN$10/$NT$10)),0)</f>
        <v/>
      </c>
      <c r="AQ10" s="402">
        <f>IF(AND(39&gt;=$NR$10,39&lt;=$NS$10),IF($NP$10="Single_Point",IF(39=$NR$10,$NN$10,0),IF($NP$10="Bell_Curve",$NN$10*(39-$NR$10+1)*($NS$10-39+1)/$NU$10,$NN$10/$NT$10)),0)</f>
        <v/>
      </c>
      <c r="AR10" s="402">
        <f>IF(AND(40&gt;=$NR$10,40&lt;=$NS$10),IF($NP$10="Single_Point",IF(40=$NR$10,$NN$10,0),IF($NP$10="Bell_Curve",$NN$10*(40-$NR$10+1)*($NS$10-40+1)/$NU$10,$NN$10/$NT$10)),0)</f>
        <v/>
      </c>
      <c r="AS10" s="402">
        <f>IF(AND(41&gt;=$NR$10,41&lt;=$NS$10),IF($NP$10="Single_Point",IF(41=$NR$10,$NN$10,0),IF($NP$10="Bell_Curve",$NN$10*(41-$NR$10+1)*($NS$10-41+1)/$NU$10,$NN$10/$NT$10)),0)</f>
        <v/>
      </c>
      <c r="AT10" s="402">
        <f>IF(AND(42&gt;=$NR$10,42&lt;=$NS$10),IF($NP$10="Single_Point",IF(42=$NR$10,$NN$10,0),IF($NP$10="Bell_Curve",$NN$10*(42-$NR$10+1)*($NS$10-42+1)/$NU$10,$NN$10/$NT$10)),0)</f>
        <v/>
      </c>
      <c r="AU10" s="402">
        <f>IF(AND(43&gt;=$NR$10,43&lt;=$NS$10),IF($NP$10="Single_Point",IF(43=$NR$10,$NN$10,0),IF($NP$10="Bell_Curve",$NN$10*(43-$NR$10+1)*($NS$10-43+1)/$NU$10,$NN$10/$NT$10)),0)</f>
        <v/>
      </c>
      <c r="AV10" s="402">
        <f>IF(AND(44&gt;=$NR$10,44&lt;=$NS$10),IF($NP$10="Single_Point",IF(44=$NR$10,$NN$10,0),IF($NP$10="Bell_Curve",$NN$10*(44-$NR$10+1)*($NS$10-44+1)/$NU$10,$NN$10/$NT$10)),0)</f>
        <v/>
      </c>
      <c r="AW10" s="402">
        <f>IF(AND(45&gt;=$NR$10,45&lt;=$NS$10),IF($NP$10="Single_Point",IF(45=$NR$10,$NN$10,0),IF($NP$10="Bell_Curve",$NN$10*(45-$NR$10+1)*($NS$10-45+1)/$NU$10,$NN$10/$NT$10)),0)</f>
        <v/>
      </c>
      <c r="AX10" s="402">
        <f>IF(AND(46&gt;=$NR$10,46&lt;=$NS$10),IF($NP$10="Single_Point",IF(46=$NR$10,$NN$10,0),IF($NP$10="Bell_Curve",$NN$10*(46-$NR$10+1)*($NS$10-46+1)/$NU$10,$NN$10/$NT$10)),0)</f>
        <v/>
      </c>
      <c r="AY10" s="402">
        <f>IF(AND(47&gt;=$NR$10,47&lt;=$NS$10),IF($NP$10="Single_Point",IF(47=$NR$10,$NN$10,0),IF($NP$10="Bell_Curve",$NN$10*(47-$NR$10+1)*($NS$10-47+1)/$NU$10,$NN$10/$NT$10)),0)</f>
        <v/>
      </c>
      <c r="AZ10" s="402">
        <f>IF(AND(48&gt;=$NR$10,48&lt;=$NS$10),IF($NP$10="Single_Point",IF(48=$NR$10,$NN$10,0),IF($NP$10="Bell_Curve",$NN$10*(48-$NR$10+1)*($NS$10-48+1)/$NU$10,$NN$10/$NT$10)),0)</f>
        <v/>
      </c>
      <c r="BA10" s="402">
        <f>IF(AND(49&gt;=$NR$10,49&lt;=$NS$10),IF($NP$10="Single_Point",IF(49=$NR$10,$NN$10,0),IF($NP$10="Bell_Curve",$NN$10*(49-$NR$10+1)*($NS$10-49+1)/$NU$10,$NN$10/$NT$10)),0)</f>
        <v/>
      </c>
      <c r="BB10" s="402">
        <f>IF(AND(50&gt;=$NR$10,50&lt;=$NS$10),IF($NP$10="Single_Point",IF(50=$NR$10,$NN$10,0),IF($NP$10="Bell_Curve",$NN$10*(50-$NR$10+1)*($NS$10-50+1)/$NU$10,$NN$10/$NT$10)),0)</f>
        <v/>
      </c>
      <c r="BC10" s="402">
        <f>IF(AND(51&gt;=$NR$10,51&lt;=$NS$10),IF($NP$10="Single_Point",IF(51=$NR$10,$NN$10,0),IF($NP$10="Bell_Curve",$NN$10*(51-$NR$10+1)*($NS$10-51+1)/$NU$10,$NN$10/$NT$10)),0)</f>
        <v/>
      </c>
      <c r="BD10" s="402">
        <f>IF(AND(52&gt;=$NR$10,52&lt;=$NS$10),IF($NP$10="Single_Point",IF(52=$NR$10,$NN$10,0),IF($NP$10="Bell_Curve",$NN$10*(52-$NR$10+1)*($NS$10-52+1)/$NU$10,$NN$10/$NT$10)),0)</f>
        <v/>
      </c>
      <c r="BE10" s="402">
        <f>IF(AND(53&gt;=$NR$10,53&lt;=$NS$10),IF($NP$10="Single_Point",IF(53=$NR$10,$NN$10,0),IF($NP$10="Bell_Curve",$NN$10*(53-$NR$10+1)*($NS$10-53+1)/$NU$10,$NN$10/$NT$10)),0)</f>
        <v/>
      </c>
      <c r="BF10" s="402">
        <f>IF(AND(54&gt;=$NR$10,54&lt;=$NS$10),IF($NP$10="Single_Point",IF(54=$NR$10,$NN$10,0),IF($NP$10="Bell_Curve",$NN$10*(54-$NR$10+1)*($NS$10-54+1)/$NU$10,$NN$10/$NT$10)),0)</f>
        <v/>
      </c>
      <c r="BG10" s="402">
        <f>IF(AND(55&gt;=$NR$10,55&lt;=$NS$10),IF($NP$10="Single_Point",IF(55=$NR$10,$NN$10,0),IF($NP$10="Bell_Curve",$NN$10*(55-$NR$10+1)*($NS$10-55+1)/$NU$10,$NN$10/$NT$10)),0)</f>
        <v/>
      </c>
      <c r="BH10" s="402">
        <f>IF(AND(56&gt;=$NR$10,56&lt;=$NS$10),IF($NP$10="Single_Point",IF(56=$NR$10,$NN$10,0),IF($NP$10="Bell_Curve",$NN$10*(56-$NR$10+1)*($NS$10-56+1)/$NU$10,$NN$10/$NT$10)),0)</f>
        <v/>
      </c>
      <c r="BI10" s="402">
        <f>IF(AND(57&gt;=$NR$10,57&lt;=$NS$10),IF($NP$10="Single_Point",IF(57=$NR$10,$NN$10,0),IF($NP$10="Bell_Curve",$NN$10*(57-$NR$10+1)*($NS$10-57+1)/$NU$10,$NN$10/$NT$10)),0)</f>
        <v/>
      </c>
      <c r="BJ10" s="402">
        <f>IF(AND(58&gt;=$NR$10,58&lt;=$NS$10),IF($NP$10="Single_Point",IF(58=$NR$10,$NN$10,0),IF($NP$10="Bell_Curve",$NN$10*(58-$NR$10+1)*($NS$10-58+1)/$NU$10,$NN$10/$NT$10)),0)</f>
        <v/>
      </c>
      <c r="BK10" s="402">
        <f>IF(AND(59&gt;=$NR$10,59&lt;=$NS$10),IF($NP$10="Single_Point",IF(59=$NR$10,$NN$10,0),IF($NP$10="Bell_Curve",$NN$10*(59-$NR$10+1)*($NS$10-59+1)/$NU$10,$NN$10/$NT$10)),0)</f>
        <v/>
      </c>
      <c r="BL10" s="402">
        <f>IF(AND(60&gt;=$NR$10,60&lt;=$NS$10),IF($NP$10="Single_Point",IF(60=$NR$10,$NN$10,0),IF($NP$10="Bell_Curve",$NN$10*(60-$NR$10+1)*($NS$10-60+1)/$NU$10,$NN$10/$NT$10)),0)</f>
        <v/>
      </c>
      <c r="BM10" s="402">
        <f>IF(AND(61&gt;=$NR$10,61&lt;=$NS$10),IF($NP$10="Single_Point",IF(61=$NR$10,$NN$10,0),IF($NP$10="Bell_Curve",$NN$10*(61-$NR$10+1)*($NS$10-61+1)/$NU$10,$NN$10/$NT$10)),0)</f>
        <v/>
      </c>
      <c r="BN10" s="402">
        <f>IF(AND(62&gt;=$NR$10,62&lt;=$NS$10),IF($NP$10="Single_Point",IF(62=$NR$10,$NN$10,0),IF($NP$10="Bell_Curve",$NN$10*(62-$NR$10+1)*($NS$10-62+1)/$NU$10,$NN$10/$NT$10)),0)</f>
        <v/>
      </c>
      <c r="BO10" s="402">
        <f>IF(AND(63&gt;=$NR$10,63&lt;=$NS$10),IF($NP$10="Single_Point",IF(63=$NR$10,$NN$10,0),IF($NP$10="Bell_Curve",$NN$10*(63-$NR$10+1)*($NS$10-63+1)/$NU$10,$NN$10/$NT$10)),0)</f>
        <v/>
      </c>
      <c r="BP10" s="402">
        <f>IF(AND(64&gt;=$NR$10,64&lt;=$NS$10),IF($NP$10="Single_Point",IF(64=$NR$10,$NN$10,0),IF($NP$10="Bell_Curve",$NN$10*(64-$NR$10+1)*($NS$10-64+1)/$NU$10,$NN$10/$NT$10)),0)</f>
        <v/>
      </c>
      <c r="BQ10" s="402">
        <f>IF(AND(65&gt;=$NR$10,65&lt;=$NS$10),IF($NP$10="Single_Point",IF(65=$NR$10,$NN$10,0),IF($NP$10="Bell_Curve",$NN$10*(65-$NR$10+1)*($NS$10-65+1)/$NU$10,$NN$10/$NT$10)),0)</f>
        <v/>
      </c>
      <c r="BR10" s="402">
        <f>IF(AND(66&gt;=$NR$10,66&lt;=$NS$10),IF($NP$10="Single_Point",IF(66=$NR$10,$NN$10,0),IF($NP$10="Bell_Curve",$NN$10*(66-$NR$10+1)*($NS$10-66+1)/$NU$10,$NN$10/$NT$10)),0)</f>
        <v/>
      </c>
      <c r="BS10" s="402">
        <f>IF(AND(67&gt;=$NR$10,67&lt;=$NS$10),IF($NP$10="Single_Point",IF(67=$NR$10,$NN$10,0),IF($NP$10="Bell_Curve",$NN$10*(67-$NR$10+1)*($NS$10-67+1)/$NU$10,$NN$10/$NT$10)),0)</f>
        <v/>
      </c>
      <c r="BT10" s="402">
        <f>IF(AND(68&gt;=$NR$10,68&lt;=$NS$10),IF($NP$10="Single_Point",IF(68=$NR$10,$NN$10,0),IF($NP$10="Bell_Curve",$NN$10*(68-$NR$10+1)*($NS$10-68+1)/$NU$10,$NN$10/$NT$10)),0)</f>
        <v/>
      </c>
      <c r="BU10" s="402">
        <f>IF(AND(69&gt;=$NR$10,69&lt;=$NS$10),IF($NP$10="Single_Point",IF(69=$NR$10,$NN$10,0),IF($NP$10="Bell_Curve",$NN$10*(69-$NR$10+1)*($NS$10-69+1)/$NU$10,$NN$10/$NT$10)),0)</f>
        <v/>
      </c>
      <c r="BV10" s="402">
        <f>IF(AND(70&gt;=$NR$10,70&lt;=$NS$10),IF($NP$10="Single_Point",IF(70=$NR$10,$NN$10,0),IF($NP$10="Bell_Curve",$NN$10*(70-$NR$10+1)*($NS$10-70+1)/$NU$10,$NN$10/$NT$10)),0)</f>
        <v/>
      </c>
      <c r="BW10" s="402">
        <f>IF(AND(71&gt;=$NR$10,71&lt;=$NS$10),IF($NP$10="Single_Point",IF(71=$NR$10,$NN$10,0),IF($NP$10="Bell_Curve",$NN$10*(71-$NR$10+1)*($NS$10-71+1)/$NU$10,$NN$10/$NT$10)),0)</f>
        <v/>
      </c>
      <c r="BX10" s="402">
        <f>IF(AND(72&gt;=$NR$10,72&lt;=$NS$10),IF($NP$10="Single_Point",IF(72=$NR$10,$NN$10,0),IF($NP$10="Bell_Curve",$NN$10*(72-$NR$10+1)*($NS$10-72+1)/$NU$10,$NN$10/$NT$10)),0)</f>
        <v/>
      </c>
      <c r="BY10" s="402">
        <f>IF(AND(73&gt;=$NR$10,73&lt;=$NS$10),IF($NP$10="Single_Point",IF(73=$NR$10,$NN$10,0),IF($NP$10="Bell_Curve",$NN$10*(73-$NR$10+1)*($NS$10-73+1)/$NU$10,$NN$10/$NT$10)),0)</f>
        <v/>
      </c>
      <c r="BZ10" s="402">
        <f>IF(AND(74&gt;=$NR$10,74&lt;=$NS$10),IF($NP$10="Single_Point",IF(74=$NR$10,$NN$10,0),IF($NP$10="Bell_Curve",$NN$10*(74-$NR$10+1)*($NS$10-74+1)/$NU$10,$NN$10/$NT$10)),0)</f>
        <v/>
      </c>
      <c r="CA10" s="402">
        <f>IF(AND(75&gt;=$NR$10,75&lt;=$NS$10),IF($NP$10="Single_Point",IF(75=$NR$10,$NN$10,0),IF($NP$10="Bell_Curve",$NN$10*(75-$NR$10+1)*($NS$10-75+1)/$NU$10,$NN$10/$NT$10)),0)</f>
        <v/>
      </c>
      <c r="CB10" s="402">
        <f>IF(AND(76&gt;=$NR$10,76&lt;=$NS$10),IF($NP$10="Single_Point",IF(76=$NR$10,$NN$10,0),IF($NP$10="Bell_Curve",$NN$10*(76-$NR$10+1)*($NS$10-76+1)/$NU$10,$NN$10/$NT$10)),0)</f>
        <v/>
      </c>
      <c r="CC10" s="402">
        <f>IF(AND(77&gt;=$NR$10,77&lt;=$NS$10),IF($NP$10="Single_Point",IF(77=$NR$10,$NN$10,0),IF($NP$10="Bell_Curve",$NN$10*(77-$NR$10+1)*($NS$10-77+1)/$NU$10,$NN$10/$NT$10)),0)</f>
        <v/>
      </c>
      <c r="CD10" s="402">
        <f>IF(AND(78&gt;=$NR$10,78&lt;=$NS$10),IF($NP$10="Single_Point",IF(78=$NR$10,$NN$10,0),IF($NP$10="Bell_Curve",$NN$10*(78-$NR$10+1)*($NS$10-78+1)/$NU$10,$NN$10/$NT$10)),0)</f>
        <v/>
      </c>
      <c r="CE10" s="402">
        <f>IF(AND(79&gt;=$NR$10,79&lt;=$NS$10),IF($NP$10="Single_Point",IF(79=$NR$10,$NN$10,0),IF($NP$10="Bell_Curve",$NN$10*(79-$NR$10+1)*($NS$10-79+1)/$NU$10,$NN$10/$NT$10)),0)</f>
        <v/>
      </c>
      <c r="CF10" s="402">
        <f>IF(AND(80&gt;=$NR$10,80&lt;=$NS$10),IF($NP$10="Single_Point",IF(80=$NR$10,$NN$10,0),IF($NP$10="Bell_Curve",$NN$10*(80-$NR$10+1)*($NS$10-80+1)/$NU$10,$NN$10/$NT$10)),0)</f>
        <v/>
      </c>
      <c r="CG10" s="402">
        <f>IF(AND(81&gt;=$NR$10,81&lt;=$NS$10),IF($NP$10="Single_Point",IF(81=$NR$10,$NN$10,0),IF($NP$10="Bell_Curve",$NN$10*(81-$NR$10+1)*($NS$10-81+1)/$NU$10,$NN$10/$NT$10)),0)</f>
        <v/>
      </c>
      <c r="CH10" s="402">
        <f>IF(AND(82&gt;=$NR$10,82&lt;=$NS$10),IF($NP$10="Single_Point",IF(82=$NR$10,$NN$10,0),IF($NP$10="Bell_Curve",$NN$10*(82-$NR$10+1)*($NS$10-82+1)/$NU$10,$NN$10/$NT$10)),0)</f>
        <v/>
      </c>
      <c r="CI10" s="402">
        <f>IF(AND(83&gt;=$NR$10,83&lt;=$NS$10),IF($NP$10="Single_Point",IF(83=$NR$10,$NN$10,0),IF($NP$10="Bell_Curve",$NN$10*(83-$NR$10+1)*($NS$10-83+1)/$NU$10,$NN$10/$NT$10)),0)</f>
        <v/>
      </c>
      <c r="CJ10" s="402">
        <f>IF(AND(84&gt;=$NR$10,84&lt;=$NS$10),IF($NP$10="Single_Point",IF(84=$NR$10,$NN$10,0),IF($NP$10="Bell_Curve",$NN$10*(84-$NR$10+1)*($NS$10-84+1)/$NU$10,$NN$10/$NT$10)),0)</f>
        <v/>
      </c>
      <c r="CK10" s="402">
        <f>IF(AND(85&gt;=$NR$10,85&lt;=$NS$10),IF($NP$10="Single_Point",IF(85=$NR$10,$NN$10,0),IF($NP$10="Bell_Curve",$NN$10*(85-$NR$10+1)*($NS$10-85+1)/$NU$10,$NN$10/$NT$10)),0)</f>
        <v/>
      </c>
      <c r="CL10" s="402">
        <f>IF(AND(86&gt;=$NR$10,86&lt;=$NS$10),IF($NP$10="Single_Point",IF(86=$NR$10,$NN$10,0),IF($NP$10="Bell_Curve",$NN$10*(86-$NR$10+1)*($NS$10-86+1)/$NU$10,$NN$10/$NT$10)),0)</f>
        <v/>
      </c>
      <c r="CM10" s="402">
        <f>IF(AND(87&gt;=$NR$10,87&lt;=$NS$10),IF($NP$10="Single_Point",IF(87=$NR$10,$NN$10,0),IF($NP$10="Bell_Curve",$NN$10*(87-$NR$10+1)*($NS$10-87+1)/$NU$10,$NN$10/$NT$10)),0)</f>
        <v/>
      </c>
      <c r="CN10" s="402">
        <f>IF(AND(88&gt;=$NR$10,88&lt;=$NS$10),IF($NP$10="Single_Point",IF(88=$NR$10,$NN$10,0),IF($NP$10="Bell_Curve",$NN$10*(88-$NR$10+1)*($NS$10-88+1)/$NU$10,$NN$10/$NT$10)),0)</f>
        <v/>
      </c>
      <c r="CO10" s="402">
        <f>IF(AND(89&gt;=$NR$10,89&lt;=$NS$10),IF($NP$10="Single_Point",IF(89=$NR$10,$NN$10,0),IF($NP$10="Bell_Curve",$NN$10*(89-$NR$10+1)*($NS$10-89+1)/$NU$10,$NN$10/$NT$10)),0)</f>
        <v/>
      </c>
      <c r="CP10" s="402">
        <f>IF(AND(90&gt;=$NR$10,90&lt;=$NS$10),IF($NP$10="Single_Point",IF(90=$NR$10,$NN$10,0),IF($NP$10="Bell_Curve",$NN$10*(90-$NR$10+1)*($NS$10-90+1)/$NU$10,$NN$10/$NT$10)),0)</f>
        <v/>
      </c>
      <c r="CQ10" s="402">
        <f>IF(AND(91&gt;=$NR$10,91&lt;=$NS$10),IF($NP$10="Single_Point",IF(91=$NR$10,$NN$10,0),IF($NP$10="Bell_Curve",$NN$10*(91-$NR$10+1)*($NS$10-91+1)/$NU$10,$NN$10/$NT$10)),0)</f>
        <v/>
      </c>
      <c r="CR10" s="402">
        <f>IF(AND(92&gt;=$NR$10,92&lt;=$NS$10),IF($NP$10="Single_Point",IF(92=$NR$10,$NN$10,0),IF($NP$10="Bell_Curve",$NN$10*(92-$NR$10+1)*($NS$10-92+1)/$NU$10,$NN$10/$NT$10)),0)</f>
        <v/>
      </c>
      <c r="CS10" s="402">
        <f>IF(AND(93&gt;=$NR$10,93&lt;=$NS$10),IF($NP$10="Single_Point",IF(93=$NR$10,$NN$10,0),IF($NP$10="Bell_Curve",$NN$10*(93-$NR$10+1)*($NS$10-93+1)/$NU$10,$NN$10/$NT$10)),0)</f>
        <v/>
      </c>
      <c r="CT10" s="402">
        <f>IF(AND(94&gt;=$NR$10,94&lt;=$NS$10),IF($NP$10="Single_Point",IF(94=$NR$10,$NN$10,0),IF($NP$10="Bell_Curve",$NN$10*(94-$NR$10+1)*($NS$10-94+1)/$NU$10,$NN$10/$NT$10)),0)</f>
        <v/>
      </c>
      <c r="CU10" s="402">
        <f>IF(AND(95&gt;=$NR$10,95&lt;=$NS$10),IF($NP$10="Single_Point",IF(95=$NR$10,$NN$10,0),IF($NP$10="Bell_Curve",$NN$10*(95-$NR$10+1)*($NS$10-95+1)/$NU$10,$NN$10/$NT$10)),0)</f>
        <v/>
      </c>
      <c r="CV10" s="402">
        <f>IF(AND(96&gt;=$NR$10,96&lt;=$NS$10),IF($NP$10="Single_Point",IF(96=$NR$10,$NN$10,0),IF($NP$10="Bell_Curve",$NN$10*(96-$NR$10+1)*($NS$10-96+1)/$NU$10,$NN$10/$NT$10)),0)</f>
        <v/>
      </c>
      <c r="CW10" s="402">
        <f>IF(AND(97&gt;=$NR$10,97&lt;=$NS$10),IF($NP$10="Single_Point",IF(97=$NR$10,$NN$10,0),IF($NP$10="Bell_Curve",$NN$10*(97-$NR$10+1)*($NS$10-97+1)/$NU$10,$NN$10/$NT$10)),0)</f>
        <v/>
      </c>
      <c r="CX10" s="402">
        <f>IF(AND(98&gt;=$NR$10,98&lt;=$NS$10),IF($NP$10="Single_Point",IF(98=$NR$10,$NN$10,0),IF($NP$10="Bell_Curve",$NN$10*(98-$NR$10+1)*($NS$10-98+1)/$NU$10,$NN$10/$NT$10)),0)</f>
        <v/>
      </c>
      <c r="CY10" s="402">
        <f>IF(AND(99&gt;=$NR$10,99&lt;=$NS$10),IF($NP$10="Single_Point",IF(99=$NR$10,$NN$10,0),IF($NP$10="Bell_Curve",$NN$10*(99-$NR$10+1)*($NS$10-99+1)/$NU$10,$NN$10/$NT$10)),0)</f>
        <v/>
      </c>
      <c r="CZ10" s="402">
        <f>IF(AND(100&gt;=$NR$10,100&lt;=$NS$10),IF($NP$10="Single_Point",IF(100=$NR$10,$NN$10,0),IF($NP$10="Bell_Curve",$NN$10*(100-$NR$10+1)*($NS$10-100+1)/$NU$10,$NN$10/$NT$10)),0)</f>
        <v/>
      </c>
      <c r="DA10" s="402">
        <f>IF(AND(101&gt;=$NR$10,101&lt;=$NS$10),IF($NP$10="Single_Point",IF(101=$NR$10,$NN$10,0),IF($NP$10="Bell_Curve",$NN$10*(101-$NR$10+1)*($NS$10-101+1)/$NU$10,$NN$10/$NT$10)),0)</f>
        <v/>
      </c>
      <c r="DB10" s="402">
        <f>IF(AND(102&gt;=$NR$10,102&lt;=$NS$10),IF($NP$10="Single_Point",IF(102=$NR$10,$NN$10,0),IF($NP$10="Bell_Curve",$NN$10*(102-$NR$10+1)*($NS$10-102+1)/$NU$10,$NN$10/$NT$10)),0)</f>
        <v/>
      </c>
      <c r="DC10" s="402">
        <f>IF(AND(103&gt;=$NR$10,103&lt;=$NS$10),IF($NP$10="Single_Point",IF(103=$NR$10,$NN$10,0),IF($NP$10="Bell_Curve",$NN$10*(103-$NR$10+1)*($NS$10-103+1)/$NU$10,$NN$10/$NT$10)),0)</f>
        <v/>
      </c>
      <c r="DD10" s="402">
        <f>IF(AND(104&gt;=$NR$10,104&lt;=$NS$10),IF($NP$10="Single_Point",IF(104=$NR$10,$NN$10,0),IF($NP$10="Bell_Curve",$NN$10*(104-$NR$10+1)*($NS$10-104+1)/$NU$10,$NN$10/$NT$10)),0)</f>
        <v/>
      </c>
      <c r="DE10" s="402">
        <f>IF(AND(105&gt;=$NR$10,105&lt;=$NS$10),IF($NP$10="Single_Point",IF(105=$NR$10,$NN$10,0),IF($NP$10="Bell_Curve",$NN$10*(105-$NR$10+1)*($NS$10-105+1)/$NU$10,$NN$10/$NT$10)),0)</f>
        <v/>
      </c>
      <c r="DF10" s="402">
        <f>IF(AND(106&gt;=$NR$10,106&lt;=$NS$10),IF($NP$10="Single_Point",IF(106=$NR$10,$NN$10,0),IF($NP$10="Bell_Curve",$NN$10*(106-$NR$10+1)*($NS$10-106+1)/$NU$10,$NN$10/$NT$10)),0)</f>
        <v/>
      </c>
      <c r="DG10" s="402">
        <f>IF(AND(107&gt;=$NR$10,107&lt;=$NS$10),IF($NP$10="Single_Point",IF(107=$NR$10,$NN$10,0),IF($NP$10="Bell_Curve",$NN$10*(107-$NR$10+1)*($NS$10-107+1)/$NU$10,$NN$10/$NT$10)),0)</f>
        <v/>
      </c>
      <c r="DH10" s="402">
        <f>IF(AND(108&gt;=$NR$10,108&lt;=$NS$10),IF($NP$10="Single_Point",IF(108=$NR$10,$NN$10,0),IF($NP$10="Bell_Curve",$NN$10*(108-$NR$10+1)*($NS$10-108+1)/$NU$10,$NN$10/$NT$10)),0)</f>
        <v/>
      </c>
      <c r="DI10" s="402">
        <f>IF(AND(109&gt;=$NR$10,109&lt;=$NS$10),IF($NP$10="Single_Point",IF(109=$NR$10,$NN$10,0),IF($NP$10="Bell_Curve",$NN$10*(109-$NR$10+1)*($NS$10-109+1)/$NU$10,$NN$10/$NT$10)),0)</f>
        <v/>
      </c>
      <c r="DJ10" s="402">
        <f>IF(AND(110&gt;=$NR$10,110&lt;=$NS$10),IF($NP$10="Single_Point",IF(110=$NR$10,$NN$10,0),IF($NP$10="Bell_Curve",$NN$10*(110-$NR$10+1)*($NS$10-110+1)/$NU$10,$NN$10/$NT$10)),0)</f>
        <v/>
      </c>
      <c r="DK10" s="402">
        <f>IF(AND(111&gt;=$NR$10,111&lt;=$NS$10),IF($NP$10="Single_Point",IF(111=$NR$10,$NN$10,0),IF($NP$10="Bell_Curve",$NN$10*(111-$NR$10+1)*($NS$10-111+1)/$NU$10,$NN$10/$NT$10)),0)</f>
        <v/>
      </c>
      <c r="DL10" s="402">
        <f>IF(AND(112&gt;=$NR$10,112&lt;=$NS$10),IF($NP$10="Single_Point",IF(112=$NR$10,$NN$10,0),IF($NP$10="Bell_Curve",$NN$10*(112-$NR$10+1)*($NS$10-112+1)/$NU$10,$NN$10/$NT$10)),0)</f>
        <v/>
      </c>
      <c r="DM10" s="402">
        <f>IF(AND(113&gt;=$NR$10,113&lt;=$NS$10),IF($NP$10="Single_Point",IF(113=$NR$10,$NN$10,0),IF($NP$10="Bell_Curve",$NN$10*(113-$NR$10+1)*($NS$10-113+1)/$NU$10,$NN$10/$NT$10)),0)</f>
        <v/>
      </c>
      <c r="DN10" s="402">
        <f>IF(AND(114&gt;=$NR$10,114&lt;=$NS$10),IF($NP$10="Single_Point",IF(114=$NR$10,$NN$10,0),IF($NP$10="Bell_Curve",$NN$10*(114-$NR$10+1)*($NS$10-114+1)/$NU$10,$NN$10/$NT$10)),0)</f>
        <v/>
      </c>
      <c r="DO10" s="402">
        <f>IF(AND(115&gt;=$NR$10,115&lt;=$NS$10),IF($NP$10="Single_Point",IF(115=$NR$10,$NN$10,0),IF($NP$10="Bell_Curve",$NN$10*(115-$NR$10+1)*($NS$10-115+1)/$NU$10,$NN$10/$NT$10)),0)</f>
        <v/>
      </c>
      <c r="DP10" s="402">
        <f>IF(AND(116&gt;=$NR$10,116&lt;=$NS$10),IF($NP$10="Single_Point",IF(116=$NR$10,$NN$10,0),IF($NP$10="Bell_Curve",$NN$10*(116-$NR$10+1)*($NS$10-116+1)/$NU$10,$NN$10/$NT$10)),0)</f>
        <v/>
      </c>
      <c r="DQ10" s="402">
        <f>IF(AND(117&gt;=$NR$10,117&lt;=$NS$10),IF($NP$10="Single_Point",IF(117=$NR$10,$NN$10,0),IF($NP$10="Bell_Curve",$NN$10*(117-$NR$10+1)*($NS$10-117+1)/$NU$10,$NN$10/$NT$10)),0)</f>
        <v/>
      </c>
      <c r="DR10" s="402">
        <f>IF(AND(118&gt;=$NR$10,118&lt;=$NS$10),IF($NP$10="Single_Point",IF(118=$NR$10,$NN$10,0),IF($NP$10="Bell_Curve",$NN$10*(118-$NR$10+1)*($NS$10-118+1)/$NU$10,$NN$10/$NT$10)),0)</f>
        <v/>
      </c>
      <c r="DS10" s="402">
        <f>IF(AND(119&gt;=$NR$10,119&lt;=$NS$10),IF($NP$10="Single_Point",IF(119=$NR$10,$NN$10,0),IF($NP$10="Bell_Curve",$NN$10*(119-$NR$10+1)*($NS$10-119+1)/$NU$10,$NN$10/$NT$10)),0)</f>
        <v/>
      </c>
      <c r="DT10" s="402">
        <f>IF(AND(120&gt;=$NR$10,120&lt;=$NS$10),IF($NP$10="Single_Point",IF(120=$NR$10,$NN$10,0),IF($NP$10="Bell_Curve",$NN$10*(120-$NR$10+1)*($NS$10-120+1)/$NU$10,$NN$10/$NT$10)),0)</f>
        <v/>
      </c>
      <c r="DU10" s="402">
        <f>IF(AND(121&gt;=$NR$10,121&lt;=$NS$10),IF($NP$10="Single_Point",IF(121=$NR$10,$NN$10,0),IF($NP$10="Bell_Curve",$NN$10*(121-$NR$10+1)*($NS$10-121+1)/$NU$10,$NN$10/$NT$10)),0)</f>
        <v/>
      </c>
      <c r="DV10" s="402">
        <f>IF(AND(122&gt;=$NR$10,122&lt;=$NS$10),IF($NP$10="Single_Point",IF(122=$NR$10,$NN$10,0),IF($NP$10="Bell_Curve",$NN$10*(122-$NR$10+1)*($NS$10-122+1)/$NU$10,$NN$10/$NT$10)),0)</f>
        <v/>
      </c>
      <c r="DW10" s="402">
        <f>IF(AND(123&gt;=$NR$10,123&lt;=$NS$10),IF($NP$10="Single_Point",IF(123=$NR$10,$NN$10,0),IF($NP$10="Bell_Curve",$NN$10*(123-$NR$10+1)*($NS$10-123+1)/$NU$10,$NN$10/$NT$10)),0)</f>
        <v/>
      </c>
      <c r="DX10" s="402">
        <f>IF(AND(124&gt;=$NR$10,124&lt;=$NS$10),IF($NP$10="Single_Point",IF(124=$NR$10,$NN$10,0),IF($NP$10="Bell_Curve",$NN$10*(124-$NR$10+1)*($NS$10-124+1)/$NU$10,$NN$10/$NT$10)),0)</f>
        <v/>
      </c>
      <c r="DY10" s="402">
        <f>IF(AND(125&gt;=$NR$10,125&lt;=$NS$10),IF($NP$10="Single_Point",IF(125=$NR$10,$NN$10,0),IF($NP$10="Bell_Curve",$NN$10*(125-$NR$10+1)*($NS$10-125+1)/$NU$10,$NN$10/$NT$10)),0)</f>
        <v/>
      </c>
      <c r="DZ10" s="402">
        <f>IF(AND(126&gt;=$NR$10,126&lt;=$NS$10),IF($NP$10="Single_Point",IF(126=$NR$10,$NN$10,0),IF($NP$10="Bell_Curve",$NN$10*(126-$NR$10+1)*($NS$10-126+1)/$NU$10,$NN$10/$NT$10)),0)</f>
        <v/>
      </c>
      <c r="EA10" s="402">
        <f>IF(AND(127&gt;=$NR$10,127&lt;=$NS$10),IF($NP$10="Single_Point",IF(127=$NR$10,$NN$10,0),IF($NP$10="Bell_Curve",$NN$10*(127-$NR$10+1)*($NS$10-127+1)/$NU$10,$NN$10/$NT$10)),0)</f>
        <v/>
      </c>
      <c r="EB10" s="402">
        <f>IF(AND(128&gt;=$NR$10,128&lt;=$NS$10),IF($NP$10="Single_Point",IF(128=$NR$10,$NN$10,0),IF($NP$10="Bell_Curve",$NN$10*(128-$NR$10+1)*($NS$10-128+1)/$NU$10,$NN$10/$NT$10)),0)</f>
        <v/>
      </c>
      <c r="EC10" s="402">
        <f>IF(AND(129&gt;=$NR$10,129&lt;=$NS$10),IF($NP$10="Single_Point",IF(129=$NR$10,$NN$10,0),IF($NP$10="Bell_Curve",$NN$10*(129-$NR$10+1)*($NS$10-129+1)/$NU$10,$NN$10/$NT$10)),0)</f>
        <v/>
      </c>
      <c r="ED10" s="402">
        <f>IF(AND(130&gt;=$NR$10,130&lt;=$NS$10),IF($NP$10="Single_Point",IF(130=$NR$10,$NN$10,0),IF($NP$10="Bell_Curve",$NN$10*(130-$NR$10+1)*($NS$10-130+1)/$NU$10,$NN$10/$NT$10)),0)</f>
        <v/>
      </c>
      <c r="EE10" s="402">
        <f>IF(AND(131&gt;=$NR$10,131&lt;=$NS$10),IF($NP$10="Single_Point",IF(131=$NR$10,$NN$10,0),IF($NP$10="Bell_Curve",$NN$10*(131-$NR$10+1)*($NS$10-131+1)/$NU$10,$NN$10/$NT$10)),0)</f>
        <v/>
      </c>
      <c r="EF10" s="402">
        <f>IF(AND(132&gt;=$NR$10,132&lt;=$NS$10),IF($NP$10="Single_Point",IF(132=$NR$10,$NN$10,0),IF($NP$10="Bell_Curve",$NN$10*(132-$NR$10+1)*($NS$10-132+1)/$NU$10,$NN$10/$NT$10)),0)</f>
        <v/>
      </c>
      <c r="EG10" s="402">
        <f>IF(AND(133&gt;=$NR$10,133&lt;=$NS$10),IF($NP$10="Single_Point",IF(133=$NR$10,$NN$10,0),IF($NP$10="Bell_Curve",$NN$10*(133-$NR$10+1)*($NS$10-133+1)/$NU$10,$NN$10/$NT$10)),0)</f>
        <v/>
      </c>
      <c r="EH10" s="402">
        <f>IF(AND(134&gt;=$NR$10,134&lt;=$NS$10),IF($NP$10="Single_Point",IF(134=$NR$10,$NN$10,0),IF($NP$10="Bell_Curve",$NN$10*(134-$NR$10+1)*($NS$10-134+1)/$NU$10,$NN$10/$NT$10)),0)</f>
        <v/>
      </c>
      <c r="EI10" s="402">
        <f>IF(AND(135&gt;=$NR$10,135&lt;=$NS$10),IF($NP$10="Single_Point",IF(135=$NR$10,$NN$10,0),IF($NP$10="Bell_Curve",$NN$10*(135-$NR$10+1)*($NS$10-135+1)/$NU$10,$NN$10/$NT$10)),0)</f>
        <v/>
      </c>
      <c r="EJ10" s="402">
        <f>IF(AND(136&gt;=$NR$10,136&lt;=$NS$10),IF($NP$10="Single_Point",IF(136=$NR$10,$NN$10,0),IF($NP$10="Bell_Curve",$NN$10*(136-$NR$10+1)*($NS$10-136+1)/$NU$10,$NN$10/$NT$10)),0)</f>
        <v/>
      </c>
      <c r="EK10" s="402">
        <f>IF(AND(137&gt;=$NR$10,137&lt;=$NS$10),IF($NP$10="Single_Point",IF(137=$NR$10,$NN$10,0),IF($NP$10="Bell_Curve",$NN$10*(137-$NR$10+1)*($NS$10-137+1)/$NU$10,$NN$10/$NT$10)),0)</f>
        <v/>
      </c>
      <c r="EL10" s="402">
        <f>IF(AND(138&gt;=$NR$10,138&lt;=$NS$10),IF($NP$10="Single_Point",IF(138=$NR$10,$NN$10,0),IF($NP$10="Bell_Curve",$NN$10*(138-$NR$10+1)*($NS$10-138+1)/$NU$10,$NN$10/$NT$10)),0)</f>
        <v/>
      </c>
      <c r="EM10" s="402">
        <f>IF(AND(139&gt;=$NR$10,139&lt;=$NS$10),IF($NP$10="Single_Point",IF(139=$NR$10,$NN$10,0),IF($NP$10="Bell_Curve",$NN$10*(139-$NR$10+1)*($NS$10-139+1)/$NU$10,$NN$10/$NT$10)),0)</f>
        <v/>
      </c>
      <c r="EN10" s="402">
        <f>IF(AND(140&gt;=$NR$10,140&lt;=$NS$10),IF($NP$10="Single_Point",IF(140=$NR$10,$NN$10,0),IF($NP$10="Bell_Curve",$NN$10*(140-$NR$10+1)*($NS$10-140+1)/$NU$10,$NN$10/$NT$10)),0)</f>
        <v/>
      </c>
      <c r="EO10" s="402">
        <f>IF(AND(141&gt;=$NR$10,141&lt;=$NS$10),IF($NP$10="Single_Point",IF(141=$NR$10,$NN$10,0),IF($NP$10="Bell_Curve",$NN$10*(141-$NR$10+1)*($NS$10-141+1)/$NU$10,$NN$10/$NT$10)),0)</f>
        <v/>
      </c>
      <c r="EP10" s="402">
        <f>IF(AND(142&gt;=$NR$10,142&lt;=$NS$10),IF($NP$10="Single_Point",IF(142=$NR$10,$NN$10,0),IF($NP$10="Bell_Curve",$NN$10*(142-$NR$10+1)*($NS$10-142+1)/$NU$10,$NN$10/$NT$10)),0)</f>
        <v/>
      </c>
      <c r="EQ10" s="402">
        <f>IF(AND(143&gt;=$NR$10,143&lt;=$NS$10),IF($NP$10="Single_Point",IF(143=$NR$10,$NN$10,0),IF($NP$10="Bell_Curve",$NN$10*(143-$NR$10+1)*($NS$10-143+1)/$NU$10,$NN$10/$NT$10)),0)</f>
        <v/>
      </c>
      <c r="ER10" s="402">
        <f>IF(AND(144&gt;=$NR$10,144&lt;=$NS$10),IF($NP$10="Single_Point",IF(144=$NR$10,$NN$10,0),IF($NP$10="Bell_Curve",$NN$10*(144-$NR$10+1)*($NS$10-144+1)/$NU$10,$NN$10/$NT$10)),0)</f>
        <v/>
      </c>
      <c r="ES10" s="402">
        <f>IF(AND(145&gt;=$NR$10,145&lt;=$NS$10),IF($NP$10="Single_Point",IF(145=$NR$10,$NN$10,0),IF($NP$10="Bell_Curve",$NN$10*(145-$NR$10+1)*($NS$10-145+1)/$NU$10,$NN$10/$NT$10)),0)</f>
        <v/>
      </c>
      <c r="ET10" s="402">
        <f>IF(AND(146&gt;=$NR$10,146&lt;=$NS$10),IF($NP$10="Single_Point",IF(146=$NR$10,$NN$10,0),IF($NP$10="Bell_Curve",$NN$10*(146-$NR$10+1)*($NS$10-146+1)/$NU$10,$NN$10/$NT$10)),0)</f>
        <v/>
      </c>
      <c r="EU10" s="402">
        <f>IF(AND(147&gt;=$NR$10,147&lt;=$NS$10),IF($NP$10="Single_Point",IF(147=$NR$10,$NN$10,0),IF($NP$10="Bell_Curve",$NN$10*(147-$NR$10+1)*($NS$10-147+1)/$NU$10,$NN$10/$NT$10)),0)</f>
        <v/>
      </c>
      <c r="EV10" s="402">
        <f>IF(AND(148&gt;=$NR$10,148&lt;=$NS$10),IF($NP$10="Single_Point",IF(148=$NR$10,$NN$10,0),IF($NP$10="Bell_Curve",$NN$10*(148-$NR$10+1)*($NS$10-148+1)/$NU$10,$NN$10/$NT$10)),0)</f>
        <v/>
      </c>
      <c r="EW10" s="402">
        <f>IF(AND(149&gt;=$NR$10,149&lt;=$NS$10),IF($NP$10="Single_Point",IF(149=$NR$10,$NN$10,0),IF($NP$10="Bell_Curve",$NN$10*(149-$NR$10+1)*($NS$10-149+1)/$NU$10,$NN$10/$NT$10)),0)</f>
        <v/>
      </c>
      <c r="EX10" s="402">
        <f>IF(AND(150&gt;=$NR$10,150&lt;=$NS$10),IF($NP$10="Single_Point",IF(150=$NR$10,$NN$10,0),IF($NP$10="Bell_Curve",$NN$10*(150-$NR$10+1)*($NS$10-150+1)/$NU$10,$NN$10/$NT$10)),0)</f>
        <v/>
      </c>
      <c r="EY10" s="402">
        <f>IF(AND(151&gt;=$NR$10,151&lt;=$NS$10),IF($NP$10="Single_Point",IF(151=$NR$10,$NN$10,0),IF($NP$10="Bell_Curve",$NN$10*(151-$NR$10+1)*($NS$10-151+1)/$NU$10,$NN$10/$NT$10)),0)</f>
        <v/>
      </c>
      <c r="EZ10" s="402">
        <f>IF(AND(152&gt;=$NR$10,152&lt;=$NS$10),IF($NP$10="Single_Point",IF(152=$NR$10,$NN$10,0),IF($NP$10="Bell_Curve",$NN$10*(152-$NR$10+1)*($NS$10-152+1)/$NU$10,$NN$10/$NT$10)),0)</f>
        <v/>
      </c>
      <c r="FA10" s="402">
        <f>IF(AND(153&gt;=$NR$10,153&lt;=$NS$10),IF($NP$10="Single_Point",IF(153=$NR$10,$NN$10,0),IF($NP$10="Bell_Curve",$NN$10*(153-$NR$10+1)*($NS$10-153+1)/$NU$10,$NN$10/$NT$10)),0)</f>
        <v/>
      </c>
      <c r="FB10" s="402">
        <f>IF(AND(154&gt;=$NR$10,154&lt;=$NS$10),IF($NP$10="Single_Point",IF(154=$NR$10,$NN$10,0),IF($NP$10="Bell_Curve",$NN$10*(154-$NR$10+1)*($NS$10-154+1)/$NU$10,$NN$10/$NT$10)),0)</f>
        <v/>
      </c>
      <c r="FC10" s="402">
        <f>IF(AND(155&gt;=$NR$10,155&lt;=$NS$10),IF($NP$10="Single_Point",IF(155=$NR$10,$NN$10,0),IF($NP$10="Bell_Curve",$NN$10*(155-$NR$10+1)*($NS$10-155+1)/$NU$10,$NN$10/$NT$10)),0)</f>
        <v/>
      </c>
      <c r="FD10" s="402">
        <f>IF(AND(156&gt;=$NR$10,156&lt;=$NS$10),IF($NP$10="Single_Point",IF(156=$NR$10,$NN$10,0),IF($NP$10="Bell_Curve",$NN$10*(156-$NR$10+1)*($NS$10-156+1)/$NU$10,$NN$10/$NT$10)),0)</f>
        <v/>
      </c>
      <c r="FE10" s="402">
        <f>IF(AND(157&gt;=$NR$10,157&lt;=$NS$10),IF($NP$10="Single_Point",IF(157=$NR$10,$NN$10,0),IF($NP$10="Bell_Curve",$NN$10*(157-$NR$10+1)*($NS$10-157+1)/$NU$10,$NN$10/$NT$10)),0)</f>
        <v/>
      </c>
      <c r="FF10" s="402">
        <f>IF(AND(158&gt;=$NR$10,158&lt;=$NS$10),IF($NP$10="Single_Point",IF(158=$NR$10,$NN$10,0),IF($NP$10="Bell_Curve",$NN$10*(158-$NR$10+1)*($NS$10-158+1)/$NU$10,$NN$10/$NT$10)),0)</f>
        <v/>
      </c>
      <c r="FG10" s="402">
        <f>IF(AND(159&gt;=$NR$10,159&lt;=$NS$10),IF($NP$10="Single_Point",IF(159=$NR$10,$NN$10,0),IF($NP$10="Bell_Curve",$NN$10*(159-$NR$10+1)*($NS$10-159+1)/$NU$10,$NN$10/$NT$10)),0)</f>
        <v/>
      </c>
      <c r="FH10" s="402">
        <f>IF(AND(160&gt;=$NR$10,160&lt;=$NS$10),IF($NP$10="Single_Point",IF(160=$NR$10,$NN$10,0),IF($NP$10="Bell_Curve",$NN$10*(160-$NR$10+1)*($NS$10-160+1)/$NU$10,$NN$10/$NT$10)),0)</f>
        <v/>
      </c>
      <c r="FI10" s="402">
        <f>IF(AND(161&gt;=$NR$10,161&lt;=$NS$10),IF($NP$10="Single_Point",IF(161=$NR$10,$NN$10,0),IF($NP$10="Bell_Curve",$NN$10*(161-$NR$10+1)*($NS$10-161+1)/$NU$10,$NN$10/$NT$10)),0)</f>
        <v/>
      </c>
      <c r="FJ10" s="402">
        <f>IF(AND(162&gt;=$NR$10,162&lt;=$NS$10),IF($NP$10="Single_Point",IF(162=$NR$10,$NN$10,0),IF($NP$10="Bell_Curve",$NN$10*(162-$NR$10+1)*($NS$10-162+1)/$NU$10,$NN$10/$NT$10)),0)</f>
        <v/>
      </c>
      <c r="FK10" s="402">
        <f>IF(AND(163&gt;=$NR$10,163&lt;=$NS$10),IF($NP$10="Single_Point",IF(163=$NR$10,$NN$10,0),IF($NP$10="Bell_Curve",$NN$10*(163-$NR$10+1)*($NS$10-163+1)/$NU$10,$NN$10/$NT$10)),0)</f>
        <v/>
      </c>
      <c r="FL10" s="402">
        <f>IF(AND(164&gt;=$NR$10,164&lt;=$NS$10),IF($NP$10="Single_Point",IF(164=$NR$10,$NN$10,0),IF($NP$10="Bell_Curve",$NN$10*(164-$NR$10+1)*($NS$10-164+1)/$NU$10,$NN$10/$NT$10)),0)</f>
        <v/>
      </c>
      <c r="FM10" s="402">
        <f>IF(AND(165&gt;=$NR$10,165&lt;=$NS$10),IF($NP$10="Single_Point",IF(165=$NR$10,$NN$10,0),IF($NP$10="Bell_Curve",$NN$10*(165-$NR$10+1)*($NS$10-165+1)/$NU$10,$NN$10/$NT$10)),0)</f>
        <v/>
      </c>
      <c r="FN10" s="402">
        <f>IF(AND(166&gt;=$NR$10,166&lt;=$NS$10),IF($NP$10="Single_Point",IF(166=$NR$10,$NN$10,0),IF($NP$10="Bell_Curve",$NN$10*(166-$NR$10+1)*($NS$10-166+1)/$NU$10,$NN$10/$NT$10)),0)</f>
        <v/>
      </c>
      <c r="FO10" s="402">
        <f>IF(AND(167&gt;=$NR$10,167&lt;=$NS$10),IF($NP$10="Single_Point",IF(167=$NR$10,$NN$10,0),IF($NP$10="Bell_Curve",$NN$10*(167-$NR$10+1)*($NS$10-167+1)/$NU$10,$NN$10/$NT$10)),0)</f>
        <v/>
      </c>
      <c r="FP10" s="402">
        <f>IF(AND(168&gt;=$NR$10,168&lt;=$NS$10),IF($NP$10="Single_Point",IF(168=$NR$10,$NN$10,0),IF($NP$10="Bell_Curve",$NN$10*(168-$NR$10+1)*($NS$10-168+1)/$NU$10,$NN$10/$NT$10)),0)</f>
        <v/>
      </c>
      <c r="FQ10" s="402">
        <f>IF(AND(169&gt;=$NR$10,169&lt;=$NS$10),IF($NP$10="Single_Point",IF(169=$NR$10,$NN$10,0),IF($NP$10="Bell_Curve",$NN$10*(169-$NR$10+1)*($NS$10-169+1)/$NU$10,$NN$10/$NT$10)),0)</f>
        <v/>
      </c>
      <c r="FR10" s="402">
        <f>IF(AND(170&gt;=$NR$10,170&lt;=$NS$10),IF($NP$10="Single_Point",IF(170=$NR$10,$NN$10,0),IF($NP$10="Bell_Curve",$NN$10*(170-$NR$10+1)*($NS$10-170+1)/$NU$10,$NN$10/$NT$10)),0)</f>
        <v/>
      </c>
      <c r="FS10" s="402">
        <f>IF(AND(171&gt;=$NR$10,171&lt;=$NS$10),IF($NP$10="Single_Point",IF(171=$NR$10,$NN$10,0),IF($NP$10="Bell_Curve",$NN$10*(171-$NR$10+1)*($NS$10-171+1)/$NU$10,$NN$10/$NT$10)),0)</f>
        <v/>
      </c>
      <c r="FT10" s="402">
        <f>IF(AND(172&gt;=$NR$10,172&lt;=$NS$10),IF($NP$10="Single_Point",IF(172=$NR$10,$NN$10,0),IF($NP$10="Bell_Curve",$NN$10*(172-$NR$10+1)*($NS$10-172+1)/$NU$10,$NN$10/$NT$10)),0)</f>
        <v/>
      </c>
      <c r="FU10" s="402">
        <f>IF(AND(173&gt;=$NR$10,173&lt;=$NS$10),IF($NP$10="Single_Point",IF(173=$NR$10,$NN$10,0),IF($NP$10="Bell_Curve",$NN$10*(173-$NR$10+1)*($NS$10-173+1)/$NU$10,$NN$10/$NT$10)),0)</f>
        <v/>
      </c>
      <c r="FV10" s="402">
        <f>IF(AND(174&gt;=$NR$10,174&lt;=$NS$10),IF($NP$10="Single_Point",IF(174=$NR$10,$NN$10,0),IF($NP$10="Bell_Curve",$NN$10*(174-$NR$10+1)*($NS$10-174+1)/$NU$10,$NN$10/$NT$10)),0)</f>
        <v/>
      </c>
      <c r="FW10" s="402">
        <f>IF(AND(175&gt;=$NR$10,175&lt;=$NS$10),IF($NP$10="Single_Point",IF(175=$NR$10,$NN$10,0),IF($NP$10="Bell_Curve",$NN$10*(175-$NR$10+1)*($NS$10-175+1)/$NU$10,$NN$10/$NT$10)),0)</f>
        <v/>
      </c>
      <c r="FX10" s="402">
        <f>IF(AND(176&gt;=$NR$10,176&lt;=$NS$10),IF($NP$10="Single_Point",IF(176=$NR$10,$NN$10,0),IF($NP$10="Bell_Curve",$NN$10*(176-$NR$10+1)*($NS$10-176+1)/$NU$10,$NN$10/$NT$10)),0)</f>
        <v/>
      </c>
      <c r="FY10" s="402">
        <f>IF(AND(177&gt;=$NR$10,177&lt;=$NS$10),IF($NP$10="Single_Point",IF(177=$NR$10,$NN$10,0),IF($NP$10="Bell_Curve",$NN$10*(177-$NR$10+1)*($NS$10-177+1)/$NU$10,$NN$10/$NT$10)),0)</f>
        <v/>
      </c>
      <c r="FZ10" s="402">
        <f>IF(AND(178&gt;=$NR$10,178&lt;=$NS$10),IF($NP$10="Single_Point",IF(178=$NR$10,$NN$10,0),IF($NP$10="Bell_Curve",$NN$10*(178-$NR$10+1)*($NS$10-178+1)/$NU$10,$NN$10/$NT$10)),0)</f>
        <v/>
      </c>
      <c r="GA10" s="402">
        <f>IF(AND(179&gt;=$NR$10,179&lt;=$NS$10),IF($NP$10="Single_Point",IF(179=$NR$10,$NN$10,0),IF($NP$10="Bell_Curve",$NN$10*(179-$NR$10+1)*($NS$10-179+1)/$NU$10,$NN$10/$NT$10)),0)</f>
        <v/>
      </c>
      <c r="GB10" s="402">
        <f>IF(AND(180&gt;=$NR$10,180&lt;=$NS$10),IF($NP$10="Single_Point",IF(180=$NR$10,$NN$10,0),IF($NP$10="Bell_Curve",$NN$10*(180-$NR$10+1)*($NS$10-180+1)/$NU$10,$NN$10/$NT$10)),0)</f>
        <v/>
      </c>
      <c r="GC10" s="402">
        <f>IF(AND(181&gt;=$NR$10,181&lt;=$NS$10),IF($NP$10="Single_Point",IF(181=$NR$10,$NN$10,0),IF($NP$10="Bell_Curve",$NN$10*(181-$NR$10+1)*($NS$10-181+1)/$NU$10,$NN$10/$NT$10)),0)</f>
        <v/>
      </c>
      <c r="GD10" s="402">
        <f>IF(AND(182&gt;=$NR$10,182&lt;=$NS$10),IF($NP$10="Single_Point",IF(182=$NR$10,$NN$10,0),IF($NP$10="Bell_Curve",$NN$10*(182-$NR$10+1)*($NS$10-182+1)/$NU$10,$NN$10/$NT$10)),0)</f>
        <v/>
      </c>
      <c r="GE10" s="402">
        <f>IF(AND(183&gt;=$NR$10,183&lt;=$NS$10),IF($NP$10="Single_Point",IF(183=$NR$10,$NN$10,0),IF($NP$10="Bell_Curve",$NN$10*(183-$NR$10+1)*($NS$10-183+1)/$NU$10,$NN$10/$NT$10)),0)</f>
        <v/>
      </c>
      <c r="GF10" s="402">
        <f>IF(AND(184&gt;=$NR$10,184&lt;=$NS$10),IF($NP$10="Single_Point",IF(184=$NR$10,$NN$10,0),IF($NP$10="Bell_Curve",$NN$10*(184-$NR$10+1)*($NS$10-184+1)/$NU$10,$NN$10/$NT$10)),0)</f>
        <v/>
      </c>
      <c r="GG10" s="402">
        <f>IF(AND(185&gt;=$NR$10,185&lt;=$NS$10),IF($NP$10="Single_Point",IF(185=$NR$10,$NN$10,0),IF($NP$10="Bell_Curve",$NN$10*(185-$NR$10+1)*($NS$10-185+1)/$NU$10,$NN$10/$NT$10)),0)</f>
        <v/>
      </c>
      <c r="GH10" s="402">
        <f>IF(AND(186&gt;=$NR$10,186&lt;=$NS$10),IF($NP$10="Single_Point",IF(186=$NR$10,$NN$10,0),IF($NP$10="Bell_Curve",$NN$10*(186-$NR$10+1)*($NS$10-186+1)/$NU$10,$NN$10/$NT$10)),0)</f>
        <v/>
      </c>
      <c r="GI10" s="402">
        <f>IF(AND(187&gt;=$NR$10,187&lt;=$NS$10),IF($NP$10="Single_Point",IF(187=$NR$10,$NN$10,0),IF($NP$10="Bell_Curve",$NN$10*(187-$NR$10+1)*($NS$10-187+1)/$NU$10,$NN$10/$NT$10)),0)</f>
        <v/>
      </c>
      <c r="GJ10" s="402">
        <f>IF(AND(188&gt;=$NR$10,188&lt;=$NS$10),IF($NP$10="Single_Point",IF(188=$NR$10,$NN$10,0),IF($NP$10="Bell_Curve",$NN$10*(188-$NR$10+1)*($NS$10-188+1)/$NU$10,$NN$10/$NT$10)),0)</f>
        <v/>
      </c>
      <c r="GK10" s="402">
        <f>IF(AND(189&gt;=$NR$10,189&lt;=$NS$10),IF($NP$10="Single_Point",IF(189=$NR$10,$NN$10,0),IF($NP$10="Bell_Curve",$NN$10*(189-$NR$10+1)*($NS$10-189+1)/$NU$10,$NN$10/$NT$10)),0)</f>
        <v/>
      </c>
      <c r="GL10" s="402">
        <f>IF(AND(190&gt;=$NR$10,190&lt;=$NS$10),IF($NP$10="Single_Point",IF(190=$NR$10,$NN$10,0),IF($NP$10="Bell_Curve",$NN$10*(190-$NR$10+1)*($NS$10-190+1)/$NU$10,$NN$10/$NT$10)),0)</f>
        <v/>
      </c>
      <c r="GM10" s="402">
        <f>IF(AND(191&gt;=$NR$10,191&lt;=$NS$10),IF($NP$10="Single_Point",IF(191=$NR$10,$NN$10,0),IF($NP$10="Bell_Curve",$NN$10*(191-$NR$10+1)*($NS$10-191+1)/$NU$10,$NN$10/$NT$10)),0)</f>
        <v/>
      </c>
      <c r="GN10" s="402">
        <f>IF(AND(192&gt;=$NR$10,192&lt;=$NS$10),IF($NP$10="Single_Point",IF(192=$NR$10,$NN$10,0),IF($NP$10="Bell_Curve",$NN$10*(192-$NR$10+1)*($NS$10-192+1)/$NU$10,$NN$10/$NT$10)),0)</f>
        <v/>
      </c>
      <c r="GO10" s="402">
        <f>IF(AND(193&gt;=$NR$10,193&lt;=$NS$10),IF($NP$10="Single_Point",IF(193=$NR$10,$NN$10,0),IF($NP$10="Bell_Curve",$NN$10*(193-$NR$10+1)*($NS$10-193+1)/$NU$10,$NN$10/$NT$10)),0)</f>
        <v/>
      </c>
      <c r="GP10" s="402">
        <f>IF(AND(194&gt;=$NR$10,194&lt;=$NS$10),IF($NP$10="Single_Point",IF(194=$NR$10,$NN$10,0),IF($NP$10="Bell_Curve",$NN$10*(194-$NR$10+1)*($NS$10-194+1)/$NU$10,$NN$10/$NT$10)),0)</f>
        <v/>
      </c>
      <c r="GQ10" s="402">
        <f>IF(AND(195&gt;=$NR$10,195&lt;=$NS$10),IF($NP$10="Single_Point",IF(195=$NR$10,$NN$10,0),IF($NP$10="Bell_Curve",$NN$10*(195-$NR$10+1)*($NS$10-195+1)/$NU$10,$NN$10/$NT$10)),0)</f>
        <v/>
      </c>
      <c r="GR10" s="402">
        <f>IF(AND(196&gt;=$NR$10,196&lt;=$NS$10),IF($NP$10="Single_Point",IF(196=$NR$10,$NN$10,0),IF($NP$10="Bell_Curve",$NN$10*(196-$NR$10+1)*($NS$10-196+1)/$NU$10,$NN$10/$NT$10)),0)</f>
        <v/>
      </c>
      <c r="GS10" s="402">
        <f>IF(AND(197&gt;=$NR$10,197&lt;=$NS$10),IF($NP$10="Single_Point",IF(197=$NR$10,$NN$10,0),IF($NP$10="Bell_Curve",$NN$10*(197-$NR$10+1)*($NS$10-197+1)/$NU$10,$NN$10/$NT$10)),0)</f>
        <v/>
      </c>
      <c r="GT10" s="402">
        <f>IF(AND(198&gt;=$NR$10,198&lt;=$NS$10),IF($NP$10="Single_Point",IF(198=$NR$10,$NN$10,0),IF($NP$10="Bell_Curve",$NN$10*(198-$NR$10+1)*($NS$10-198+1)/$NU$10,$NN$10/$NT$10)),0)</f>
        <v/>
      </c>
      <c r="GU10" s="402">
        <f>IF(AND(199&gt;=$NR$10,199&lt;=$NS$10),IF($NP$10="Single_Point",IF(199=$NR$10,$NN$10,0),IF($NP$10="Bell_Curve",$NN$10*(199-$NR$10+1)*($NS$10-199+1)/$NU$10,$NN$10/$NT$10)),0)</f>
        <v/>
      </c>
      <c r="GV10" s="402">
        <f>IF(AND(200&gt;=$NR$10,200&lt;=$NS$10),IF($NP$10="Single_Point",IF(200=$NR$10,$NN$10,0),IF($NP$10="Bell_Curve",$NN$10*(200-$NR$10+1)*($NS$10-200+1)/$NU$10,$NN$10/$NT$10)),0)</f>
        <v/>
      </c>
      <c r="GW10" s="402">
        <f>IF(AND(201&gt;=$NR$10,201&lt;=$NS$10),IF($NP$10="Single_Point",IF(201=$NR$10,$NN$10,0),IF($NP$10="Bell_Curve",$NN$10*(201-$NR$10+1)*($NS$10-201+1)/$NU$10,$NN$10/$NT$10)),0)</f>
        <v/>
      </c>
      <c r="GX10" s="402">
        <f>IF(AND(202&gt;=$NR$10,202&lt;=$NS$10),IF($NP$10="Single_Point",IF(202=$NR$10,$NN$10,0),IF($NP$10="Bell_Curve",$NN$10*(202-$NR$10+1)*($NS$10-202+1)/$NU$10,$NN$10/$NT$10)),0)</f>
        <v/>
      </c>
      <c r="GY10" s="402">
        <f>IF(AND(203&gt;=$NR$10,203&lt;=$NS$10),IF($NP$10="Single_Point",IF(203=$NR$10,$NN$10,0),IF($NP$10="Bell_Curve",$NN$10*(203-$NR$10+1)*($NS$10-203+1)/$NU$10,$NN$10/$NT$10)),0)</f>
        <v/>
      </c>
      <c r="GZ10" s="402">
        <f>IF(AND(204&gt;=$NR$10,204&lt;=$NS$10),IF($NP$10="Single_Point",IF(204=$NR$10,$NN$10,0),IF($NP$10="Bell_Curve",$NN$10*(204-$NR$10+1)*($NS$10-204+1)/$NU$10,$NN$10/$NT$10)),0)</f>
        <v/>
      </c>
      <c r="HA10" s="402">
        <f>IF(AND(205&gt;=$NR$10,205&lt;=$NS$10),IF($NP$10="Single_Point",IF(205=$NR$10,$NN$10,0),IF($NP$10="Bell_Curve",$NN$10*(205-$NR$10+1)*($NS$10-205+1)/$NU$10,$NN$10/$NT$10)),0)</f>
        <v/>
      </c>
      <c r="HB10" s="402">
        <f>IF(AND(206&gt;=$NR$10,206&lt;=$NS$10),IF($NP$10="Single_Point",IF(206=$NR$10,$NN$10,0),IF($NP$10="Bell_Curve",$NN$10*(206-$NR$10+1)*($NS$10-206+1)/$NU$10,$NN$10/$NT$10)),0)</f>
        <v/>
      </c>
      <c r="HC10" s="402">
        <f>IF(AND(207&gt;=$NR$10,207&lt;=$NS$10),IF($NP$10="Single_Point",IF(207=$NR$10,$NN$10,0),IF($NP$10="Bell_Curve",$NN$10*(207-$NR$10+1)*($NS$10-207+1)/$NU$10,$NN$10/$NT$10)),0)</f>
        <v/>
      </c>
      <c r="HD10" s="402">
        <f>IF(AND(208&gt;=$NR$10,208&lt;=$NS$10),IF($NP$10="Single_Point",IF(208=$NR$10,$NN$10,0),IF($NP$10="Bell_Curve",$NN$10*(208-$NR$10+1)*($NS$10-208+1)/$NU$10,$NN$10/$NT$10)),0)</f>
        <v/>
      </c>
      <c r="HE10" s="402">
        <f>IF(AND(209&gt;=$NR$10,209&lt;=$NS$10),IF($NP$10="Single_Point",IF(209=$NR$10,$NN$10,0),IF($NP$10="Bell_Curve",$NN$10*(209-$NR$10+1)*($NS$10-209+1)/$NU$10,$NN$10/$NT$10)),0)</f>
        <v/>
      </c>
      <c r="HF10" s="402">
        <f>IF(AND(210&gt;=$NR$10,210&lt;=$NS$10),IF($NP$10="Single_Point",IF(210=$NR$10,$NN$10,0),IF($NP$10="Bell_Curve",$NN$10*(210-$NR$10+1)*($NS$10-210+1)/$NU$10,$NN$10/$NT$10)),0)</f>
        <v/>
      </c>
      <c r="HG10" s="402">
        <f>IF(AND(211&gt;=$NR$10,211&lt;=$NS$10),IF($NP$10="Single_Point",IF(211=$NR$10,$NN$10,0),IF($NP$10="Bell_Curve",$NN$10*(211-$NR$10+1)*($NS$10-211+1)/$NU$10,$NN$10/$NT$10)),0)</f>
        <v/>
      </c>
      <c r="HH10" s="402">
        <f>IF(AND(212&gt;=$NR$10,212&lt;=$NS$10),IF($NP$10="Single_Point",IF(212=$NR$10,$NN$10,0),IF($NP$10="Bell_Curve",$NN$10*(212-$NR$10+1)*($NS$10-212+1)/$NU$10,$NN$10/$NT$10)),0)</f>
        <v/>
      </c>
      <c r="HI10" s="402">
        <f>IF(AND(213&gt;=$NR$10,213&lt;=$NS$10),IF($NP$10="Single_Point",IF(213=$NR$10,$NN$10,0),IF($NP$10="Bell_Curve",$NN$10*(213-$NR$10+1)*($NS$10-213+1)/$NU$10,$NN$10/$NT$10)),0)</f>
        <v/>
      </c>
      <c r="HJ10" s="402">
        <f>IF(AND(214&gt;=$NR$10,214&lt;=$NS$10),IF($NP$10="Single_Point",IF(214=$NR$10,$NN$10,0),IF($NP$10="Bell_Curve",$NN$10*(214-$NR$10+1)*($NS$10-214+1)/$NU$10,$NN$10/$NT$10)),0)</f>
        <v/>
      </c>
      <c r="HK10" s="402">
        <f>IF(AND(215&gt;=$NR$10,215&lt;=$NS$10),IF($NP$10="Single_Point",IF(215=$NR$10,$NN$10,0),IF($NP$10="Bell_Curve",$NN$10*(215-$NR$10+1)*($NS$10-215+1)/$NU$10,$NN$10/$NT$10)),0)</f>
        <v/>
      </c>
      <c r="HL10" s="402">
        <f>IF(AND(216&gt;=$NR$10,216&lt;=$NS$10),IF($NP$10="Single_Point",IF(216=$NR$10,$NN$10,0),IF($NP$10="Bell_Curve",$NN$10*(216-$NR$10+1)*($NS$10-216+1)/$NU$10,$NN$10/$NT$10)),0)</f>
        <v/>
      </c>
      <c r="HM10" s="402">
        <f>IF(AND(217&gt;=$NR$10,217&lt;=$NS$10),IF($NP$10="Single_Point",IF(217=$NR$10,$NN$10,0),IF($NP$10="Bell_Curve",$NN$10*(217-$NR$10+1)*($NS$10-217+1)/$NU$10,$NN$10/$NT$10)),0)</f>
        <v/>
      </c>
      <c r="HN10" s="402">
        <f>IF(AND(218&gt;=$NR$10,218&lt;=$NS$10),IF($NP$10="Single_Point",IF(218=$NR$10,$NN$10,0),IF($NP$10="Bell_Curve",$NN$10*(218-$NR$10+1)*($NS$10-218+1)/$NU$10,$NN$10/$NT$10)),0)</f>
        <v/>
      </c>
      <c r="HO10" s="402">
        <f>IF(AND(219&gt;=$NR$10,219&lt;=$NS$10),IF($NP$10="Single_Point",IF(219=$NR$10,$NN$10,0),IF($NP$10="Bell_Curve",$NN$10*(219-$NR$10+1)*($NS$10-219+1)/$NU$10,$NN$10/$NT$10)),0)</f>
        <v/>
      </c>
      <c r="HP10" s="402">
        <f>IF(AND(220&gt;=$NR$10,220&lt;=$NS$10),IF($NP$10="Single_Point",IF(220=$NR$10,$NN$10,0),IF($NP$10="Bell_Curve",$NN$10*(220-$NR$10+1)*($NS$10-220+1)/$NU$10,$NN$10/$NT$10)),0)</f>
        <v/>
      </c>
      <c r="HQ10" s="402">
        <f>IF(AND(221&gt;=$NR$10,221&lt;=$NS$10),IF($NP$10="Single_Point",IF(221=$NR$10,$NN$10,0),IF($NP$10="Bell_Curve",$NN$10*(221-$NR$10+1)*($NS$10-221+1)/$NU$10,$NN$10/$NT$10)),0)</f>
        <v/>
      </c>
      <c r="HR10" s="402">
        <f>IF(AND(222&gt;=$NR$10,222&lt;=$NS$10),IF($NP$10="Single_Point",IF(222=$NR$10,$NN$10,0),IF($NP$10="Bell_Curve",$NN$10*(222-$NR$10+1)*($NS$10-222+1)/$NU$10,$NN$10/$NT$10)),0)</f>
        <v/>
      </c>
      <c r="HS10" s="402">
        <f>IF(AND(223&gt;=$NR$10,223&lt;=$NS$10),IF($NP$10="Single_Point",IF(223=$NR$10,$NN$10,0),IF($NP$10="Bell_Curve",$NN$10*(223-$NR$10+1)*($NS$10-223+1)/$NU$10,$NN$10/$NT$10)),0)</f>
        <v/>
      </c>
      <c r="HT10" s="402">
        <f>IF(AND(224&gt;=$NR$10,224&lt;=$NS$10),IF($NP$10="Single_Point",IF(224=$NR$10,$NN$10,0),IF($NP$10="Bell_Curve",$NN$10*(224-$NR$10+1)*($NS$10-224+1)/$NU$10,$NN$10/$NT$10)),0)</f>
        <v/>
      </c>
      <c r="HU10" s="402">
        <f>IF(AND(225&gt;=$NR$10,225&lt;=$NS$10),IF($NP$10="Single_Point",IF(225=$NR$10,$NN$10,0),IF($NP$10="Bell_Curve",$NN$10*(225-$NR$10+1)*($NS$10-225+1)/$NU$10,$NN$10/$NT$10)),0)</f>
        <v/>
      </c>
      <c r="HV10" s="402">
        <f>IF(AND(226&gt;=$NR$10,226&lt;=$NS$10),IF($NP$10="Single_Point",IF(226=$NR$10,$NN$10,0),IF($NP$10="Bell_Curve",$NN$10*(226-$NR$10+1)*($NS$10-226+1)/$NU$10,$NN$10/$NT$10)),0)</f>
        <v/>
      </c>
      <c r="HW10" s="402">
        <f>IF(AND(227&gt;=$NR$10,227&lt;=$NS$10),IF($NP$10="Single_Point",IF(227=$NR$10,$NN$10,0),IF($NP$10="Bell_Curve",$NN$10*(227-$NR$10+1)*($NS$10-227+1)/$NU$10,$NN$10/$NT$10)),0)</f>
        <v/>
      </c>
      <c r="HX10" s="402">
        <f>IF(AND(228&gt;=$NR$10,228&lt;=$NS$10),IF($NP$10="Single_Point",IF(228=$NR$10,$NN$10,0),IF($NP$10="Bell_Curve",$NN$10*(228-$NR$10+1)*($NS$10-228+1)/$NU$10,$NN$10/$NT$10)),0)</f>
        <v/>
      </c>
      <c r="HY10" s="402">
        <f>IF(AND(229&gt;=$NR$10,229&lt;=$NS$10),IF($NP$10="Single_Point",IF(229=$NR$10,$NN$10,0),IF($NP$10="Bell_Curve",$NN$10*(229-$NR$10+1)*($NS$10-229+1)/$NU$10,$NN$10/$NT$10)),0)</f>
        <v/>
      </c>
      <c r="HZ10" s="402">
        <f>IF(AND(230&gt;=$NR$10,230&lt;=$NS$10),IF($NP$10="Single_Point",IF(230=$NR$10,$NN$10,0),IF($NP$10="Bell_Curve",$NN$10*(230-$NR$10+1)*($NS$10-230+1)/$NU$10,$NN$10/$NT$10)),0)</f>
        <v/>
      </c>
      <c r="IA10" s="402">
        <f>IF(AND(231&gt;=$NR$10,231&lt;=$NS$10),IF($NP$10="Single_Point",IF(231=$NR$10,$NN$10,0),IF($NP$10="Bell_Curve",$NN$10*(231-$NR$10+1)*($NS$10-231+1)/$NU$10,$NN$10/$NT$10)),0)</f>
        <v/>
      </c>
      <c r="IB10" s="402">
        <f>IF(AND(232&gt;=$NR$10,232&lt;=$NS$10),IF($NP$10="Single_Point",IF(232=$NR$10,$NN$10,0),IF($NP$10="Bell_Curve",$NN$10*(232-$NR$10+1)*($NS$10-232+1)/$NU$10,$NN$10/$NT$10)),0)</f>
        <v/>
      </c>
      <c r="IC10" s="402">
        <f>IF(AND(233&gt;=$NR$10,233&lt;=$NS$10),IF($NP$10="Single_Point",IF(233=$NR$10,$NN$10,0),IF($NP$10="Bell_Curve",$NN$10*(233-$NR$10+1)*($NS$10-233+1)/$NU$10,$NN$10/$NT$10)),0)</f>
        <v/>
      </c>
      <c r="ID10" s="402">
        <f>IF(AND(234&gt;=$NR$10,234&lt;=$NS$10),IF($NP$10="Single_Point",IF(234=$NR$10,$NN$10,0),IF($NP$10="Bell_Curve",$NN$10*(234-$NR$10+1)*($NS$10-234+1)/$NU$10,$NN$10/$NT$10)),0)</f>
        <v/>
      </c>
      <c r="IE10" s="402">
        <f>IF(AND(235&gt;=$NR$10,235&lt;=$NS$10),IF($NP$10="Single_Point",IF(235=$NR$10,$NN$10,0),IF($NP$10="Bell_Curve",$NN$10*(235-$NR$10+1)*($NS$10-235+1)/$NU$10,$NN$10/$NT$10)),0)</f>
        <v/>
      </c>
      <c r="IF10" s="402">
        <f>IF(AND(236&gt;=$NR$10,236&lt;=$NS$10),IF($NP$10="Single_Point",IF(236=$NR$10,$NN$10,0),IF($NP$10="Bell_Curve",$NN$10*(236-$NR$10+1)*($NS$10-236+1)/$NU$10,$NN$10/$NT$10)),0)</f>
        <v/>
      </c>
      <c r="IG10" s="402">
        <f>IF(AND(237&gt;=$NR$10,237&lt;=$NS$10),IF($NP$10="Single_Point",IF(237=$NR$10,$NN$10,0),IF($NP$10="Bell_Curve",$NN$10*(237-$NR$10+1)*($NS$10-237+1)/$NU$10,$NN$10/$NT$10)),0)</f>
        <v/>
      </c>
      <c r="IH10" s="402">
        <f>IF(AND(238&gt;=$NR$10,238&lt;=$NS$10),IF($NP$10="Single_Point",IF(238=$NR$10,$NN$10,0),IF($NP$10="Bell_Curve",$NN$10*(238-$NR$10+1)*($NS$10-238+1)/$NU$10,$NN$10/$NT$10)),0)</f>
        <v/>
      </c>
      <c r="II10" s="402">
        <f>IF(AND(239&gt;=$NR$10,239&lt;=$NS$10),IF($NP$10="Single_Point",IF(239=$NR$10,$NN$10,0),IF($NP$10="Bell_Curve",$NN$10*(239-$NR$10+1)*($NS$10-239+1)/$NU$10,$NN$10/$NT$10)),0)</f>
        <v/>
      </c>
      <c r="IJ10" s="402">
        <f>IF(AND(240&gt;=$NR$10,240&lt;=$NS$10),IF($NP$10="Single_Point",IF(240=$NR$10,$NN$10,0),IF($NP$10="Bell_Curve",$NN$10*(240-$NR$10+1)*($NS$10-240+1)/$NU$10,$NN$10/$NT$10)),0)</f>
        <v/>
      </c>
      <c r="IK10" s="402">
        <f>IF(AND(241&gt;=$NR$10,241&lt;=$NS$10),IF($NP$10="Single_Point",IF(241=$NR$10,$NN$10,0),IF($NP$10="Bell_Curve",$NN$10*(241-$NR$10+1)*($NS$10-241+1)/$NU$10,$NN$10/$NT$10)),0)</f>
        <v/>
      </c>
      <c r="IL10" s="402">
        <f>IF(AND(242&gt;=$NR$10,242&lt;=$NS$10),IF($NP$10="Single_Point",IF(242=$NR$10,$NN$10,0),IF($NP$10="Bell_Curve",$NN$10*(242-$NR$10+1)*($NS$10-242+1)/$NU$10,$NN$10/$NT$10)),0)</f>
        <v/>
      </c>
      <c r="IM10" s="402">
        <f>IF(AND(243&gt;=$NR$10,243&lt;=$NS$10),IF($NP$10="Single_Point",IF(243=$NR$10,$NN$10,0),IF($NP$10="Bell_Curve",$NN$10*(243-$NR$10+1)*($NS$10-243+1)/$NU$10,$NN$10/$NT$10)),0)</f>
        <v/>
      </c>
      <c r="IN10" s="402">
        <f>IF(AND(244&gt;=$NR$10,244&lt;=$NS$10),IF($NP$10="Single_Point",IF(244=$NR$10,$NN$10,0),IF($NP$10="Bell_Curve",$NN$10*(244-$NR$10+1)*($NS$10-244+1)/$NU$10,$NN$10/$NT$10)),0)</f>
        <v/>
      </c>
      <c r="IO10" s="402">
        <f>IF(AND(245&gt;=$NR$10,245&lt;=$NS$10),IF($NP$10="Single_Point",IF(245=$NR$10,$NN$10,0),IF($NP$10="Bell_Curve",$NN$10*(245-$NR$10+1)*($NS$10-245+1)/$NU$10,$NN$10/$NT$10)),0)</f>
        <v/>
      </c>
      <c r="IP10" s="402">
        <f>IF(AND(246&gt;=$NR$10,246&lt;=$NS$10),IF($NP$10="Single_Point",IF(246=$NR$10,$NN$10,0),IF($NP$10="Bell_Curve",$NN$10*(246-$NR$10+1)*($NS$10-246+1)/$NU$10,$NN$10/$NT$10)),0)</f>
        <v/>
      </c>
      <c r="IQ10" s="402">
        <f>IF(AND(247&gt;=$NR$10,247&lt;=$NS$10),IF($NP$10="Single_Point",IF(247=$NR$10,$NN$10,0),IF($NP$10="Bell_Curve",$NN$10*(247-$NR$10+1)*($NS$10-247+1)/$NU$10,$NN$10/$NT$10)),0)</f>
        <v/>
      </c>
      <c r="IR10" s="402">
        <f>IF(AND(248&gt;=$NR$10,248&lt;=$NS$10),IF($NP$10="Single_Point",IF(248=$NR$10,$NN$10,0),IF($NP$10="Bell_Curve",$NN$10*(248-$NR$10+1)*($NS$10-248+1)/$NU$10,$NN$10/$NT$10)),0)</f>
        <v/>
      </c>
      <c r="IS10" s="402">
        <f>IF(AND(249&gt;=$NR$10,249&lt;=$NS$10),IF($NP$10="Single_Point",IF(249=$NR$10,$NN$10,0),IF($NP$10="Bell_Curve",$NN$10*(249-$NR$10+1)*($NS$10-249+1)/$NU$10,$NN$10/$NT$10)),0)</f>
        <v/>
      </c>
      <c r="IT10" s="402">
        <f>IF(AND(250&gt;=$NR$10,250&lt;=$NS$10),IF($NP$10="Single_Point",IF(250=$NR$10,$NN$10,0),IF($NP$10="Bell_Curve",$NN$10*(250-$NR$10+1)*($NS$10-250+1)/$NU$10,$NN$10/$NT$10)),0)</f>
        <v/>
      </c>
      <c r="IU10" s="402">
        <f>IF(AND(251&gt;=$NR$10,251&lt;=$NS$10),IF($NP$10="Single_Point",IF(251=$NR$10,$NN$10,0),IF($NP$10="Bell_Curve",$NN$10*(251-$NR$10+1)*($NS$10-251+1)/$NU$10,$NN$10/$NT$10)),0)</f>
        <v/>
      </c>
      <c r="IV10" s="402">
        <f>IF(AND(252&gt;=$NR$10,252&lt;=$NS$10),IF($NP$10="Single_Point",IF(252=$NR$10,$NN$10,0),IF($NP$10="Bell_Curve",$NN$10*(252-$NR$10+1)*($NS$10-252+1)/$NU$10,$NN$10/$NT$10)),0)</f>
        <v/>
      </c>
      <c r="IW10" s="402">
        <f>IF(AND(253&gt;=$NR$10,253&lt;=$NS$10),IF($NP$10="Single_Point",IF(253=$NR$10,$NN$10,0),IF($NP$10="Bell_Curve",$NN$10*(253-$NR$10+1)*($NS$10-253+1)/$NU$10,$NN$10/$NT$10)),0)</f>
        <v/>
      </c>
      <c r="IX10" s="402">
        <f>IF(AND(254&gt;=$NR$10,254&lt;=$NS$10),IF($NP$10="Single_Point",IF(254=$NR$10,$NN$10,0),IF($NP$10="Bell_Curve",$NN$10*(254-$NR$10+1)*($NS$10-254+1)/$NU$10,$NN$10/$NT$10)),0)</f>
        <v/>
      </c>
      <c r="IY10" s="402">
        <f>IF(AND(255&gt;=$NR$10,255&lt;=$NS$10),IF($NP$10="Single_Point",IF(255=$NR$10,$NN$10,0),IF($NP$10="Bell_Curve",$NN$10*(255-$NR$10+1)*($NS$10-255+1)/$NU$10,$NN$10/$NT$10)),0)</f>
        <v/>
      </c>
      <c r="IZ10" s="402">
        <f>IF(AND(256&gt;=$NR$10,256&lt;=$NS$10),IF($NP$10="Single_Point",IF(256=$NR$10,$NN$10,0),IF($NP$10="Bell_Curve",$NN$10*(256-$NR$10+1)*($NS$10-256+1)/$NU$10,$NN$10/$NT$10)),0)</f>
        <v/>
      </c>
      <c r="JA10" s="402">
        <f>IF(AND(257&gt;=$NR$10,257&lt;=$NS$10),IF($NP$10="Single_Point",IF(257=$NR$10,$NN$10,0),IF($NP$10="Bell_Curve",$NN$10*(257-$NR$10+1)*($NS$10-257+1)/$NU$10,$NN$10/$NT$10)),0)</f>
        <v/>
      </c>
      <c r="JB10" s="402">
        <f>IF(AND(258&gt;=$NR$10,258&lt;=$NS$10),IF($NP$10="Single_Point",IF(258=$NR$10,$NN$10,0),IF($NP$10="Bell_Curve",$NN$10*(258-$NR$10+1)*($NS$10-258+1)/$NU$10,$NN$10/$NT$10)),0)</f>
        <v/>
      </c>
      <c r="JC10" s="402">
        <f>IF(AND(259&gt;=$NR$10,259&lt;=$NS$10),IF($NP$10="Single_Point",IF(259=$NR$10,$NN$10,0),IF($NP$10="Bell_Curve",$NN$10*(259-$NR$10+1)*($NS$10-259+1)/$NU$10,$NN$10/$NT$10)),0)</f>
        <v/>
      </c>
      <c r="JD10" s="402">
        <f>IF(AND(260&gt;=$NR$10,260&lt;=$NS$10),IF($NP$10="Single_Point",IF(260=$NR$10,$NN$10,0),IF($NP$10="Bell_Curve",$NN$10*(260-$NR$10+1)*($NS$10-260+1)/$NU$10,$NN$10/$NT$10)),0)</f>
        <v/>
      </c>
      <c r="JE10" s="402">
        <f>IF(AND(261&gt;=$NR$10,261&lt;=$NS$10),IF($NP$10="Single_Point",IF(261=$NR$10,$NN$10,0),IF($NP$10="Bell_Curve",$NN$10*(261-$NR$10+1)*($NS$10-261+1)/$NU$10,$NN$10/$NT$10)),0)</f>
        <v/>
      </c>
      <c r="JF10" s="402">
        <f>IF(AND(262&gt;=$NR$10,262&lt;=$NS$10),IF($NP$10="Single_Point",IF(262=$NR$10,$NN$10,0),IF($NP$10="Bell_Curve",$NN$10*(262-$NR$10+1)*($NS$10-262+1)/$NU$10,$NN$10/$NT$10)),0)</f>
        <v/>
      </c>
      <c r="JG10" s="402">
        <f>IF(AND(263&gt;=$NR$10,263&lt;=$NS$10),IF($NP$10="Single_Point",IF(263=$NR$10,$NN$10,0),IF($NP$10="Bell_Curve",$NN$10*(263-$NR$10+1)*($NS$10-263+1)/$NU$10,$NN$10/$NT$10)),0)</f>
        <v/>
      </c>
      <c r="JH10" s="402">
        <f>IF(AND(264&gt;=$NR$10,264&lt;=$NS$10),IF($NP$10="Single_Point",IF(264=$NR$10,$NN$10,0),IF($NP$10="Bell_Curve",$NN$10*(264-$NR$10+1)*($NS$10-264+1)/$NU$10,$NN$10/$NT$10)),0)</f>
        <v/>
      </c>
      <c r="JI10" s="402">
        <f>IF(AND(265&gt;=$NR$10,265&lt;=$NS$10),IF($NP$10="Single_Point",IF(265=$NR$10,$NN$10,0),IF($NP$10="Bell_Curve",$NN$10*(265-$NR$10+1)*($NS$10-265+1)/$NU$10,$NN$10/$NT$10)),0)</f>
        <v/>
      </c>
      <c r="JJ10" s="402">
        <f>IF(AND(266&gt;=$NR$10,266&lt;=$NS$10),IF($NP$10="Single_Point",IF(266=$NR$10,$NN$10,0),IF($NP$10="Bell_Curve",$NN$10*(266-$NR$10+1)*($NS$10-266+1)/$NU$10,$NN$10/$NT$10)),0)</f>
        <v/>
      </c>
      <c r="JK10" s="402">
        <f>IF(AND(267&gt;=$NR$10,267&lt;=$NS$10),IF($NP$10="Single_Point",IF(267=$NR$10,$NN$10,0),IF($NP$10="Bell_Curve",$NN$10*(267-$NR$10+1)*($NS$10-267+1)/$NU$10,$NN$10/$NT$10)),0)</f>
        <v/>
      </c>
      <c r="JL10" s="402">
        <f>IF(AND(268&gt;=$NR$10,268&lt;=$NS$10),IF($NP$10="Single_Point",IF(268=$NR$10,$NN$10,0),IF($NP$10="Bell_Curve",$NN$10*(268-$NR$10+1)*($NS$10-268+1)/$NU$10,$NN$10/$NT$10)),0)</f>
        <v/>
      </c>
      <c r="JM10" s="402">
        <f>IF(AND(269&gt;=$NR$10,269&lt;=$NS$10),IF($NP$10="Single_Point",IF(269=$NR$10,$NN$10,0),IF($NP$10="Bell_Curve",$NN$10*(269-$NR$10+1)*($NS$10-269+1)/$NU$10,$NN$10/$NT$10)),0)</f>
        <v/>
      </c>
      <c r="JN10" s="402">
        <f>IF(AND(270&gt;=$NR$10,270&lt;=$NS$10),IF($NP$10="Single_Point",IF(270=$NR$10,$NN$10,0),IF($NP$10="Bell_Curve",$NN$10*(270-$NR$10+1)*($NS$10-270+1)/$NU$10,$NN$10/$NT$10)),0)</f>
        <v/>
      </c>
      <c r="JO10" s="402">
        <f>IF(AND(271&gt;=$NR$10,271&lt;=$NS$10),IF($NP$10="Single_Point",IF(271=$NR$10,$NN$10,0),IF($NP$10="Bell_Curve",$NN$10*(271-$NR$10+1)*($NS$10-271+1)/$NU$10,$NN$10/$NT$10)),0)</f>
        <v/>
      </c>
      <c r="JP10" s="402">
        <f>IF(AND(272&gt;=$NR$10,272&lt;=$NS$10),IF($NP$10="Single_Point",IF(272=$NR$10,$NN$10,0),IF($NP$10="Bell_Curve",$NN$10*(272-$NR$10+1)*($NS$10-272+1)/$NU$10,$NN$10/$NT$10)),0)</f>
        <v/>
      </c>
      <c r="JQ10" s="402">
        <f>IF(AND(273&gt;=$NR$10,273&lt;=$NS$10),IF($NP$10="Single_Point",IF(273=$NR$10,$NN$10,0),IF($NP$10="Bell_Curve",$NN$10*(273-$NR$10+1)*($NS$10-273+1)/$NU$10,$NN$10/$NT$10)),0)</f>
        <v/>
      </c>
      <c r="JR10" s="402">
        <f>IF(AND(274&gt;=$NR$10,274&lt;=$NS$10),IF($NP$10="Single_Point",IF(274=$NR$10,$NN$10,0),IF($NP$10="Bell_Curve",$NN$10*(274-$NR$10+1)*($NS$10-274+1)/$NU$10,$NN$10/$NT$10)),0)</f>
        <v/>
      </c>
      <c r="JS10" s="402">
        <f>IF(AND(275&gt;=$NR$10,275&lt;=$NS$10),IF($NP$10="Single_Point",IF(275=$NR$10,$NN$10,0),IF($NP$10="Bell_Curve",$NN$10*(275-$NR$10+1)*($NS$10-275+1)/$NU$10,$NN$10/$NT$10)),0)</f>
        <v/>
      </c>
      <c r="JT10" s="402">
        <f>IF(AND(276&gt;=$NR$10,276&lt;=$NS$10),IF($NP$10="Single_Point",IF(276=$NR$10,$NN$10,0),IF($NP$10="Bell_Curve",$NN$10*(276-$NR$10+1)*($NS$10-276+1)/$NU$10,$NN$10/$NT$10)),0)</f>
        <v/>
      </c>
      <c r="JU10" s="402">
        <f>IF(AND(277&gt;=$NR$10,277&lt;=$NS$10),IF($NP$10="Single_Point",IF(277=$NR$10,$NN$10,0),IF($NP$10="Bell_Curve",$NN$10*(277-$NR$10+1)*($NS$10-277+1)/$NU$10,$NN$10/$NT$10)),0)</f>
        <v/>
      </c>
      <c r="JV10" s="402">
        <f>IF(AND(278&gt;=$NR$10,278&lt;=$NS$10),IF($NP$10="Single_Point",IF(278=$NR$10,$NN$10,0),IF($NP$10="Bell_Curve",$NN$10*(278-$NR$10+1)*($NS$10-278+1)/$NU$10,$NN$10/$NT$10)),0)</f>
        <v/>
      </c>
      <c r="JW10" s="402">
        <f>IF(AND(279&gt;=$NR$10,279&lt;=$NS$10),IF($NP$10="Single_Point",IF(279=$NR$10,$NN$10,0),IF($NP$10="Bell_Curve",$NN$10*(279-$NR$10+1)*($NS$10-279+1)/$NU$10,$NN$10/$NT$10)),0)</f>
        <v/>
      </c>
      <c r="JX10" s="402">
        <f>IF(AND(280&gt;=$NR$10,280&lt;=$NS$10),IF($NP$10="Single_Point",IF(280=$NR$10,$NN$10,0),IF($NP$10="Bell_Curve",$NN$10*(280-$NR$10+1)*($NS$10-280+1)/$NU$10,$NN$10/$NT$10)),0)</f>
        <v/>
      </c>
      <c r="JY10" s="402">
        <f>IF(AND(281&gt;=$NR$10,281&lt;=$NS$10),IF($NP$10="Single_Point",IF(281=$NR$10,$NN$10,0),IF($NP$10="Bell_Curve",$NN$10*(281-$NR$10+1)*($NS$10-281+1)/$NU$10,$NN$10/$NT$10)),0)</f>
        <v/>
      </c>
      <c r="JZ10" s="402">
        <f>IF(AND(282&gt;=$NR$10,282&lt;=$NS$10),IF($NP$10="Single_Point",IF(282=$NR$10,$NN$10,0),IF($NP$10="Bell_Curve",$NN$10*(282-$NR$10+1)*($NS$10-282+1)/$NU$10,$NN$10/$NT$10)),0)</f>
        <v/>
      </c>
      <c r="KA10" s="402">
        <f>IF(AND(283&gt;=$NR$10,283&lt;=$NS$10),IF($NP$10="Single_Point",IF(283=$NR$10,$NN$10,0),IF($NP$10="Bell_Curve",$NN$10*(283-$NR$10+1)*($NS$10-283+1)/$NU$10,$NN$10/$NT$10)),0)</f>
        <v/>
      </c>
      <c r="KB10" s="402">
        <f>IF(AND(284&gt;=$NR$10,284&lt;=$NS$10),IF($NP$10="Single_Point",IF(284=$NR$10,$NN$10,0),IF($NP$10="Bell_Curve",$NN$10*(284-$NR$10+1)*($NS$10-284+1)/$NU$10,$NN$10/$NT$10)),0)</f>
        <v/>
      </c>
      <c r="KC10" s="402">
        <f>IF(AND(285&gt;=$NR$10,285&lt;=$NS$10),IF($NP$10="Single_Point",IF(285=$NR$10,$NN$10,0),IF($NP$10="Bell_Curve",$NN$10*(285-$NR$10+1)*($NS$10-285+1)/$NU$10,$NN$10/$NT$10)),0)</f>
        <v/>
      </c>
      <c r="KD10" s="402">
        <f>IF(AND(286&gt;=$NR$10,286&lt;=$NS$10),IF($NP$10="Single_Point",IF(286=$NR$10,$NN$10,0),IF($NP$10="Bell_Curve",$NN$10*(286-$NR$10+1)*($NS$10-286+1)/$NU$10,$NN$10/$NT$10)),0)</f>
        <v/>
      </c>
      <c r="KE10" s="402">
        <f>IF(AND(287&gt;=$NR$10,287&lt;=$NS$10),IF($NP$10="Single_Point",IF(287=$NR$10,$NN$10,0),IF($NP$10="Bell_Curve",$NN$10*(287-$NR$10+1)*($NS$10-287+1)/$NU$10,$NN$10/$NT$10)),0)</f>
        <v/>
      </c>
      <c r="KF10" s="402">
        <f>IF(AND(288&gt;=$NR$10,288&lt;=$NS$10),IF($NP$10="Single_Point",IF(288=$NR$10,$NN$10,0),IF($NP$10="Bell_Curve",$NN$10*(288-$NR$10+1)*($NS$10-288+1)/$NU$10,$NN$10/$NT$10)),0)</f>
        <v/>
      </c>
      <c r="KG10" s="402">
        <f>IF(AND(289&gt;=$NR$10,289&lt;=$NS$10),IF($NP$10="Single_Point",IF(289=$NR$10,$NN$10,0),IF($NP$10="Bell_Curve",$NN$10*(289-$NR$10+1)*($NS$10-289+1)/$NU$10,$NN$10/$NT$10)),0)</f>
        <v/>
      </c>
      <c r="KH10" s="402">
        <f>IF(AND(290&gt;=$NR$10,290&lt;=$NS$10),IF($NP$10="Single_Point",IF(290=$NR$10,$NN$10,0),IF($NP$10="Bell_Curve",$NN$10*(290-$NR$10+1)*($NS$10-290+1)/$NU$10,$NN$10/$NT$10)),0)</f>
        <v/>
      </c>
      <c r="KI10" s="402">
        <f>IF(AND(291&gt;=$NR$10,291&lt;=$NS$10),IF($NP$10="Single_Point",IF(291=$NR$10,$NN$10,0),IF($NP$10="Bell_Curve",$NN$10*(291-$NR$10+1)*($NS$10-291+1)/$NU$10,$NN$10/$NT$10)),0)</f>
        <v/>
      </c>
      <c r="KJ10" s="402">
        <f>IF(AND(292&gt;=$NR$10,292&lt;=$NS$10),IF($NP$10="Single_Point",IF(292=$NR$10,$NN$10,0),IF($NP$10="Bell_Curve",$NN$10*(292-$NR$10+1)*($NS$10-292+1)/$NU$10,$NN$10/$NT$10)),0)</f>
        <v/>
      </c>
      <c r="KK10" s="402">
        <f>IF(AND(293&gt;=$NR$10,293&lt;=$NS$10),IF($NP$10="Single_Point",IF(293=$NR$10,$NN$10,0),IF($NP$10="Bell_Curve",$NN$10*(293-$NR$10+1)*($NS$10-293+1)/$NU$10,$NN$10/$NT$10)),0)</f>
        <v/>
      </c>
      <c r="KL10" s="402">
        <f>IF(AND(294&gt;=$NR$10,294&lt;=$NS$10),IF($NP$10="Single_Point",IF(294=$NR$10,$NN$10,0),IF($NP$10="Bell_Curve",$NN$10*(294-$NR$10+1)*($NS$10-294+1)/$NU$10,$NN$10/$NT$10)),0)</f>
        <v/>
      </c>
      <c r="KM10" s="402">
        <f>IF(AND(295&gt;=$NR$10,295&lt;=$NS$10),IF($NP$10="Single_Point",IF(295=$NR$10,$NN$10,0),IF($NP$10="Bell_Curve",$NN$10*(295-$NR$10+1)*($NS$10-295+1)/$NU$10,$NN$10/$NT$10)),0)</f>
        <v/>
      </c>
      <c r="KN10" s="402">
        <f>IF(AND(296&gt;=$NR$10,296&lt;=$NS$10),IF($NP$10="Single_Point",IF(296=$NR$10,$NN$10,0),IF($NP$10="Bell_Curve",$NN$10*(296-$NR$10+1)*($NS$10-296+1)/$NU$10,$NN$10/$NT$10)),0)</f>
        <v/>
      </c>
      <c r="KO10" s="402">
        <f>IF(AND(297&gt;=$NR$10,297&lt;=$NS$10),IF($NP$10="Single_Point",IF(297=$NR$10,$NN$10,0),IF($NP$10="Bell_Curve",$NN$10*(297-$NR$10+1)*($NS$10-297+1)/$NU$10,$NN$10/$NT$10)),0)</f>
        <v/>
      </c>
      <c r="KP10" s="402">
        <f>IF(AND(298&gt;=$NR$10,298&lt;=$NS$10),IF($NP$10="Single_Point",IF(298=$NR$10,$NN$10,0),IF($NP$10="Bell_Curve",$NN$10*(298-$NR$10+1)*($NS$10-298+1)/$NU$10,$NN$10/$NT$10)),0)</f>
        <v/>
      </c>
      <c r="KQ10" s="402">
        <f>IF(AND(299&gt;=$NR$10,299&lt;=$NS$10),IF($NP$10="Single_Point",IF(299=$NR$10,$NN$10,0),IF($NP$10="Bell_Curve",$NN$10*(299-$NR$10+1)*($NS$10-299+1)/$NU$10,$NN$10/$NT$10)),0)</f>
        <v/>
      </c>
      <c r="KR10" s="402">
        <f>IF(AND(300&gt;=$NR$10,300&lt;=$NS$10),IF($NP$10="Single_Point",IF(300=$NR$10,$NN$10,0),IF($NP$10="Bell_Curve",$NN$10*(300-$NR$10+1)*($NS$10-300+1)/$NU$10,$NN$10/$NT$10)),0)</f>
        <v/>
      </c>
      <c r="KS10" s="402">
        <f>IF(AND(301&gt;=$NR$10,301&lt;=$NS$10),IF($NP$10="Single_Point",IF(301=$NR$10,$NN$10,0),IF($NP$10="Bell_Curve",$NN$10*(301-$NR$10+1)*($NS$10-301+1)/$NU$10,$NN$10/$NT$10)),0)</f>
        <v/>
      </c>
      <c r="KT10" s="402">
        <f>IF(AND(302&gt;=$NR$10,302&lt;=$NS$10),IF($NP$10="Single_Point",IF(302=$NR$10,$NN$10,0),IF($NP$10="Bell_Curve",$NN$10*(302-$NR$10+1)*($NS$10-302+1)/$NU$10,$NN$10/$NT$10)),0)</f>
        <v/>
      </c>
      <c r="KU10" s="402">
        <f>IF(AND(303&gt;=$NR$10,303&lt;=$NS$10),IF($NP$10="Single_Point",IF(303=$NR$10,$NN$10,0),IF($NP$10="Bell_Curve",$NN$10*(303-$NR$10+1)*($NS$10-303+1)/$NU$10,$NN$10/$NT$10)),0)</f>
        <v/>
      </c>
      <c r="KV10" s="402">
        <f>IF(AND(304&gt;=$NR$10,304&lt;=$NS$10),IF($NP$10="Single_Point",IF(304=$NR$10,$NN$10,0),IF($NP$10="Bell_Curve",$NN$10*(304-$NR$10+1)*($NS$10-304+1)/$NU$10,$NN$10/$NT$10)),0)</f>
        <v/>
      </c>
      <c r="KW10" s="402">
        <f>IF(AND(305&gt;=$NR$10,305&lt;=$NS$10),IF($NP$10="Single_Point",IF(305=$NR$10,$NN$10,0),IF($NP$10="Bell_Curve",$NN$10*(305-$NR$10+1)*($NS$10-305+1)/$NU$10,$NN$10/$NT$10)),0)</f>
        <v/>
      </c>
      <c r="KX10" s="402">
        <f>IF(AND(306&gt;=$NR$10,306&lt;=$NS$10),IF($NP$10="Single_Point",IF(306=$NR$10,$NN$10,0),IF($NP$10="Bell_Curve",$NN$10*(306-$NR$10+1)*($NS$10-306+1)/$NU$10,$NN$10/$NT$10)),0)</f>
        <v/>
      </c>
      <c r="KY10" s="402">
        <f>IF(AND(307&gt;=$NR$10,307&lt;=$NS$10),IF($NP$10="Single_Point",IF(307=$NR$10,$NN$10,0),IF($NP$10="Bell_Curve",$NN$10*(307-$NR$10+1)*($NS$10-307+1)/$NU$10,$NN$10/$NT$10)),0)</f>
        <v/>
      </c>
      <c r="KZ10" s="402">
        <f>IF(AND(308&gt;=$NR$10,308&lt;=$NS$10),IF($NP$10="Single_Point",IF(308=$NR$10,$NN$10,0),IF($NP$10="Bell_Curve",$NN$10*(308-$NR$10+1)*($NS$10-308+1)/$NU$10,$NN$10/$NT$10)),0)</f>
        <v/>
      </c>
      <c r="LA10" s="402">
        <f>IF(AND(309&gt;=$NR$10,309&lt;=$NS$10),IF($NP$10="Single_Point",IF(309=$NR$10,$NN$10,0),IF($NP$10="Bell_Curve",$NN$10*(309-$NR$10+1)*($NS$10-309+1)/$NU$10,$NN$10/$NT$10)),0)</f>
        <v/>
      </c>
      <c r="LB10" s="402">
        <f>IF(AND(310&gt;=$NR$10,310&lt;=$NS$10),IF($NP$10="Single_Point",IF(310=$NR$10,$NN$10,0),IF($NP$10="Bell_Curve",$NN$10*(310-$NR$10+1)*($NS$10-310+1)/$NU$10,$NN$10/$NT$10)),0)</f>
        <v/>
      </c>
      <c r="LC10" s="402">
        <f>IF(AND(311&gt;=$NR$10,311&lt;=$NS$10),IF($NP$10="Single_Point",IF(311=$NR$10,$NN$10,0),IF($NP$10="Bell_Curve",$NN$10*(311-$NR$10+1)*($NS$10-311+1)/$NU$10,$NN$10/$NT$10)),0)</f>
        <v/>
      </c>
      <c r="LD10" s="402">
        <f>IF(AND(312&gt;=$NR$10,312&lt;=$NS$10),IF($NP$10="Single_Point",IF(312=$NR$10,$NN$10,0),IF($NP$10="Bell_Curve",$NN$10*(312-$NR$10+1)*($NS$10-312+1)/$NU$10,$NN$10/$NT$10)),0)</f>
        <v/>
      </c>
      <c r="LE10" s="402">
        <f>IF(AND(313&gt;=$NR$10,313&lt;=$NS$10),IF($NP$10="Single_Point",IF(313=$NR$10,$NN$10,0),IF($NP$10="Bell_Curve",$NN$10*(313-$NR$10+1)*($NS$10-313+1)/$NU$10,$NN$10/$NT$10)),0)</f>
        <v/>
      </c>
      <c r="LF10" s="402">
        <f>IF(AND(314&gt;=$NR$10,314&lt;=$NS$10),IF($NP$10="Single_Point",IF(314=$NR$10,$NN$10,0),IF($NP$10="Bell_Curve",$NN$10*(314-$NR$10+1)*($NS$10-314+1)/$NU$10,$NN$10/$NT$10)),0)</f>
        <v/>
      </c>
      <c r="LG10" s="402">
        <f>IF(AND(315&gt;=$NR$10,315&lt;=$NS$10),IF($NP$10="Single_Point",IF(315=$NR$10,$NN$10,0),IF($NP$10="Bell_Curve",$NN$10*(315-$NR$10+1)*($NS$10-315+1)/$NU$10,$NN$10/$NT$10)),0)</f>
        <v/>
      </c>
      <c r="LH10" s="402">
        <f>IF(AND(316&gt;=$NR$10,316&lt;=$NS$10),IF($NP$10="Single_Point",IF(316=$NR$10,$NN$10,0),IF($NP$10="Bell_Curve",$NN$10*(316-$NR$10+1)*($NS$10-316+1)/$NU$10,$NN$10/$NT$10)),0)</f>
        <v/>
      </c>
      <c r="LI10" s="402">
        <f>IF(AND(317&gt;=$NR$10,317&lt;=$NS$10),IF($NP$10="Single_Point",IF(317=$NR$10,$NN$10,0),IF($NP$10="Bell_Curve",$NN$10*(317-$NR$10+1)*($NS$10-317+1)/$NU$10,$NN$10/$NT$10)),0)</f>
        <v/>
      </c>
      <c r="LJ10" s="402">
        <f>IF(AND(318&gt;=$NR$10,318&lt;=$NS$10),IF($NP$10="Single_Point",IF(318=$NR$10,$NN$10,0),IF($NP$10="Bell_Curve",$NN$10*(318-$NR$10+1)*($NS$10-318+1)/$NU$10,$NN$10/$NT$10)),0)</f>
        <v/>
      </c>
      <c r="LK10" s="402">
        <f>IF(AND(319&gt;=$NR$10,319&lt;=$NS$10),IF($NP$10="Single_Point",IF(319=$NR$10,$NN$10,0),IF($NP$10="Bell_Curve",$NN$10*(319-$NR$10+1)*($NS$10-319+1)/$NU$10,$NN$10/$NT$10)),0)</f>
        <v/>
      </c>
      <c r="LL10" s="402">
        <f>IF(AND(320&gt;=$NR$10,320&lt;=$NS$10),IF($NP$10="Single_Point",IF(320=$NR$10,$NN$10,0),IF($NP$10="Bell_Curve",$NN$10*(320-$NR$10+1)*($NS$10-320+1)/$NU$10,$NN$10/$NT$10)),0)</f>
        <v/>
      </c>
      <c r="LM10" s="402">
        <f>IF(AND(321&gt;=$NR$10,321&lt;=$NS$10),IF($NP$10="Single_Point",IF(321=$NR$10,$NN$10,0),IF($NP$10="Bell_Curve",$NN$10*(321-$NR$10+1)*($NS$10-321+1)/$NU$10,$NN$10/$NT$10)),0)</f>
        <v/>
      </c>
      <c r="LN10" s="402">
        <f>IF(AND(322&gt;=$NR$10,322&lt;=$NS$10),IF($NP$10="Single_Point",IF(322=$NR$10,$NN$10,0),IF($NP$10="Bell_Curve",$NN$10*(322-$NR$10+1)*($NS$10-322+1)/$NU$10,$NN$10/$NT$10)),0)</f>
        <v/>
      </c>
      <c r="LO10" s="402">
        <f>IF(AND(323&gt;=$NR$10,323&lt;=$NS$10),IF($NP$10="Single_Point",IF(323=$NR$10,$NN$10,0),IF($NP$10="Bell_Curve",$NN$10*(323-$NR$10+1)*($NS$10-323+1)/$NU$10,$NN$10/$NT$10)),0)</f>
        <v/>
      </c>
      <c r="LP10" s="402">
        <f>IF(AND(324&gt;=$NR$10,324&lt;=$NS$10),IF($NP$10="Single_Point",IF(324=$NR$10,$NN$10,0),IF($NP$10="Bell_Curve",$NN$10*(324-$NR$10+1)*($NS$10-324+1)/$NU$10,$NN$10/$NT$10)),0)</f>
        <v/>
      </c>
      <c r="LQ10" s="402">
        <f>IF(AND(325&gt;=$NR$10,325&lt;=$NS$10),IF($NP$10="Single_Point",IF(325=$NR$10,$NN$10,0),IF($NP$10="Bell_Curve",$NN$10*(325-$NR$10+1)*($NS$10-325+1)/$NU$10,$NN$10/$NT$10)),0)</f>
        <v/>
      </c>
      <c r="LR10" s="402">
        <f>IF(AND(326&gt;=$NR$10,326&lt;=$NS$10),IF($NP$10="Single_Point",IF(326=$NR$10,$NN$10,0),IF($NP$10="Bell_Curve",$NN$10*(326-$NR$10+1)*($NS$10-326+1)/$NU$10,$NN$10/$NT$10)),0)</f>
        <v/>
      </c>
      <c r="LS10" s="402">
        <f>IF(AND(327&gt;=$NR$10,327&lt;=$NS$10),IF($NP$10="Single_Point",IF(327=$NR$10,$NN$10,0),IF($NP$10="Bell_Curve",$NN$10*(327-$NR$10+1)*($NS$10-327+1)/$NU$10,$NN$10/$NT$10)),0)</f>
        <v/>
      </c>
      <c r="LT10" s="402">
        <f>IF(AND(328&gt;=$NR$10,328&lt;=$NS$10),IF($NP$10="Single_Point",IF(328=$NR$10,$NN$10,0),IF($NP$10="Bell_Curve",$NN$10*(328-$NR$10+1)*($NS$10-328+1)/$NU$10,$NN$10/$NT$10)),0)</f>
        <v/>
      </c>
      <c r="LU10" s="402">
        <f>IF(AND(329&gt;=$NR$10,329&lt;=$NS$10),IF($NP$10="Single_Point",IF(329=$NR$10,$NN$10,0),IF($NP$10="Bell_Curve",$NN$10*(329-$NR$10+1)*($NS$10-329+1)/$NU$10,$NN$10/$NT$10)),0)</f>
        <v/>
      </c>
      <c r="LV10" s="402">
        <f>IF(AND(330&gt;=$NR$10,330&lt;=$NS$10),IF($NP$10="Single_Point",IF(330=$NR$10,$NN$10,0),IF($NP$10="Bell_Curve",$NN$10*(330-$NR$10+1)*($NS$10-330+1)/$NU$10,$NN$10/$NT$10)),0)</f>
        <v/>
      </c>
      <c r="LW10" s="402">
        <f>IF(AND(331&gt;=$NR$10,331&lt;=$NS$10),IF($NP$10="Single_Point",IF(331=$NR$10,$NN$10,0),IF($NP$10="Bell_Curve",$NN$10*(331-$NR$10+1)*($NS$10-331+1)/$NU$10,$NN$10/$NT$10)),0)</f>
        <v/>
      </c>
      <c r="LX10" s="402">
        <f>IF(AND(332&gt;=$NR$10,332&lt;=$NS$10),IF($NP$10="Single_Point",IF(332=$NR$10,$NN$10,0),IF($NP$10="Bell_Curve",$NN$10*(332-$NR$10+1)*($NS$10-332+1)/$NU$10,$NN$10/$NT$10)),0)</f>
        <v/>
      </c>
      <c r="LY10" s="402">
        <f>IF(AND(333&gt;=$NR$10,333&lt;=$NS$10),IF($NP$10="Single_Point",IF(333=$NR$10,$NN$10,0),IF($NP$10="Bell_Curve",$NN$10*(333-$NR$10+1)*($NS$10-333+1)/$NU$10,$NN$10/$NT$10)),0)</f>
        <v/>
      </c>
      <c r="LZ10" s="402">
        <f>IF(AND(334&gt;=$NR$10,334&lt;=$NS$10),IF($NP$10="Single_Point",IF(334=$NR$10,$NN$10,0),IF($NP$10="Bell_Curve",$NN$10*(334-$NR$10+1)*($NS$10-334+1)/$NU$10,$NN$10/$NT$10)),0)</f>
        <v/>
      </c>
      <c r="MA10" s="402">
        <f>IF(AND(335&gt;=$NR$10,335&lt;=$NS$10),IF($NP$10="Single_Point",IF(335=$NR$10,$NN$10,0),IF($NP$10="Bell_Curve",$NN$10*(335-$NR$10+1)*($NS$10-335+1)/$NU$10,$NN$10/$NT$10)),0)</f>
        <v/>
      </c>
      <c r="MB10" s="402">
        <f>IF(AND(336&gt;=$NR$10,336&lt;=$NS$10),IF($NP$10="Single_Point",IF(336=$NR$10,$NN$10,0),IF($NP$10="Bell_Curve",$NN$10*(336-$NR$10+1)*($NS$10-336+1)/$NU$10,$NN$10/$NT$10)),0)</f>
        <v/>
      </c>
      <c r="MC10" s="402">
        <f>IF(AND(337&gt;=$NR$10,337&lt;=$NS$10),IF($NP$10="Single_Point",IF(337=$NR$10,$NN$10,0),IF($NP$10="Bell_Curve",$NN$10*(337-$NR$10+1)*($NS$10-337+1)/$NU$10,$NN$10/$NT$10)),0)</f>
        <v/>
      </c>
      <c r="MD10" s="402">
        <f>IF(AND(338&gt;=$NR$10,338&lt;=$NS$10),IF($NP$10="Single_Point",IF(338=$NR$10,$NN$10,0),IF($NP$10="Bell_Curve",$NN$10*(338-$NR$10+1)*($NS$10-338+1)/$NU$10,$NN$10/$NT$10)),0)</f>
        <v/>
      </c>
      <c r="ME10" s="402">
        <f>IF(AND(339&gt;=$NR$10,339&lt;=$NS$10),IF($NP$10="Single_Point",IF(339=$NR$10,$NN$10,0),IF($NP$10="Bell_Curve",$NN$10*(339-$NR$10+1)*($NS$10-339+1)/$NU$10,$NN$10/$NT$10)),0)</f>
        <v/>
      </c>
      <c r="MF10" s="402">
        <f>IF(AND(340&gt;=$NR$10,340&lt;=$NS$10),IF($NP$10="Single_Point",IF(340=$NR$10,$NN$10,0),IF($NP$10="Bell_Curve",$NN$10*(340-$NR$10+1)*($NS$10-340+1)/$NU$10,$NN$10/$NT$10)),0)</f>
        <v/>
      </c>
      <c r="MG10" s="402">
        <f>IF(AND(341&gt;=$NR$10,341&lt;=$NS$10),IF($NP$10="Single_Point",IF(341=$NR$10,$NN$10,0),IF($NP$10="Bell_Curve",$NN$10*(341-$NR$10+1)*($NS$10-341+1)/$NU$10,$NN$10/$NT$10)),0)</f>
        <v/>
      </c>
      <c r="MH10" s="402">
        <f>IF(AND(342&gt;=$NR$10,342&lt;=$NS$10),IF($NP$10="Single_Point",IF(342=$NR$10,$NN$10,0),IF($NP$10="Bell_Curve",$NN$10*(342-$NR$10+1)*($NS$10-342+1)/$NU$10,$NN$10/$NT$10)),0)</f>
        <v/>
      </c>
      <c r="MI10" s="402">
        <f>IF(AND(343&gt;=$NR$10,343&lt;=$NS$10),IF($NP$10="Single_Point",IF(343=$NR$10,$NN$10,0),IF($NP$10="Bell_Curve",$NN$10*(343-$NR$10+1)*($NS$10-343+1)/$NU$10,$NN$10/$NT$10)),0)</f>
        <v/>
      </c>
      <c r="MJ10" s="402">
        <f>IF(AND(344&gt;=$NR$10,344&lt;=$NS$10),IF($NP$10="Single_Point",IF(344=$NR$10,$NN$10,0),IF($NP$10="Bell_Curve",$NN$10*(344-$NR$10+1)*($NS$10-344+1)/$NU$10,$NN$10/$NT$10)),0)</f>
        <v/>
      </c>
      <c r="MK10" s="402">
        <f>IF(AND(345&gt;=$NR$10,345&lt;=$NS$10),IF($NP$10="Single_Point",IF(345=$NR$10,$NN$10,0),IF($NP$10="Bell_Curve",$NN$10*(345-$NR$10+1)*($NS$10-345+1)/$NU$10,$NN$10/$NT$10)),0)</f>
        <v/>
      </c>
      <c r="ML10" s="402">
        <f>IF(AND(346&gt;=$NR$10,346&lt;=$NS$10),IF($NP$10="Single_Point",IF(346=$NR$10,$NN$10,0),IF($NP$10="Bell_Curve",$NN$10*(346-$NR$10+1)*($NS$10-346+1)/$NU$10,$NN$10/$NT$10)),0)</f>
        <v/>
      </c>
      <c r="MM10" s="402">
        <f>IF(AND(347&gt;=$NR$10,347&lt;=$NS$10),IF($NP$10="Single_Point",IF(347=$NR$10,$NN$10,0),IF($NP$10="Bell_Curve",$NN$10*(347-$NR$10+1)*($NS$10-347+1)/$NU$10,$NN$10/$NT$10)),0)</f>
        <v/>
      </c>
      <c r="MN10" s="402">
        <f>IF(AND(348&gt;=$NR$10,348&lt;=$NS$10),IF($NP$10="Single_Point",IF(348=$NR$10,$NN$10,0),IF($NP$10="Bell_Curve",$NN$10*(348-$NR$10+1)*($NS$10-348+1)/$NU$10,$NN$10/$NT$10)),0)</f>
        <v/>
      </c>
      <c r="MO10" s="402">
        <f>IF(AND(349&gt;=$NR$10,349&lt;=$NS$10),IF($NP$10="Single_Point",IF(349=$NR$10,$NN$10,0),IF($NP$10="Bell_Curve",$NN$10*(349-$NR$10+1)*($NS$10-349+1)/$NU$10,$NN$10/$NT$10)),0)</f>
        <v/>
      </c>
      <c r="MP10" s="402">
        <f>IF(AND(350&gt;=$NR$10,350&lt;=$NS$10),IF($NP$10="Single_Point",IF(350=$NR$10,$NN$10,0),IF($NP$10="Bell_Curve",$NN$10*(350-$NR$10+1)*($NS$10-350+1)/$NU$10,$NN$10/$NT$10)),0)</f>
        <v/>
      </c>
      <c r="MQ10" s="402">
        <f>IF(AND(351&gt;=$NR$10,351&lt;=$NS$10),IF($NP$10="Single_Point",IF(351=$NR$10,$NN$10,0),IF($NP$10="Bell_Curve",$NN$10*(351-$NR$10+1)*($NS$10-351+1)/$NU$10,$NN$10/$NT$10)),0)</f>
        <v/>
      </c>
      <c r="MR10" s="402">
        <f>IF(AND(352&gt;=$NR$10,352&lt;=$NS$10),IF($NP$10="Single_Point",IF(352=$NR$10,$NN$10,0),IF($NP$10="Bell_Curve",$NN$10*(352-$NR$10+1)*($NS$10-352+1)/$NU$10,$NN$10/$NT$10)),0)</f>
        <v/>
      </c>
      <c r="MS10" s="402">
        <f>IF(AND(353&gt;=$NR$10,353&lt;=$NS$10),IF($NP$10="Single_Point",IF(353=$NR$10,$NN$10,0),IF($NP$10="Bell_Curve",$NN$10*(353-$NR$10+1)*($NS$10-353+1)/$NU$10,$NN$10/$NT$10)),0)</f>
        <v/>
      </c>
      <c r="MT10" s="402">
        <f>IF(AND(354&gt;=$NR$10,354&lt;=$NS$10),IF($NP$10="Single_Point",IF(354=$NR$10,$NN$10,0),IF($NP$10="Bell_Curve",$NN$10*(354-$NR$10+1)*($NS$10-354+1)/$NU$10,$NN$10/$NT$10)),0)</f>
        <v/>
      </c>
      <c r="MU10" s="402">
        <f>IF(AND(355&gt;=$NR$10,355&lt;=$NS$10),IF($NP$10="Single_Point",IF(355=$NR$10,$NN$10,0),IF($NP$10="Bell_Curve",$NN$10*(355-$NR$10+1)*($NS$10-355+1)/$NU$10,$NN$10/$NT$10)),0)</f>
        <v/>
      </c>
      <c r="MV10" s="402">
        <f>IF(AND(356&gt;=$NR$10,356&lt;=$NS$10),IF($NP$10="Single_Point",IF(356=$NR$10,$NN$10,0),IF($NP$10="Bell_Curve",$NN$10*(356-$NR$10+1)*($NS$10-356+1)/$NU$10,$NN$10/$NT$10)),0)</f>
        <v/>
      </c>
      <c r="MW10" s="402">
        <f>IF(AND(357&gt;=$NR$10,357&lt;=$NS$10),IF($NP$10="Single_Point",IF(357=$NR$10,$NN$10,0),IF($NP$10="Bell_Curve",$NN$10*(357-$NR$10+1)*($NS$10-357+1)/$NU$10,$NN$10/$NT$10)),0)</f>
        <v/>
      </c>
      <c r="MX10" s="402">
        <f>IF(AND(358&gt;=$NR$10,358&lt;=$NS$10),IF($NP$10="Single_Point",IF(358=$NR$10,$NN$10,0),IF($NP$10="Bell_Curve",$NN$10*(358-$NR$10+1)*($NS$10-358+1)/$NU$10,$NN$10/$NT$10)),0)</f>
        <v/>
      </c>
      <c r="MY10" s="402">
        <f>IF(AND(359&gt;=$NR$10,359&lt;=$NS$10),IF($NP$10="Single_Point",IF(359=$NR$10,$NN$10,0),IF($NP$10="Bell_Curve",$NN$10*(359-$NR$10+1)*($NS$10-359+1)/$NU$10,$NN$10/$NT$10)),0)</f>
        <v/>
      </c>
      <c r="MZ10" s="402">
        <f>IF(AND(360&gt;=$NR$10,360&lt;=$NS$10),IF($NP$10="Single_Point",IF(360=$NR$10,$NN$10,0),IF($NP$10="Bell_Curve",$NN$10*(360-$NR$10+1)*($NS$10-360+1)/$NU$10,$NN$10/$NT$10)),0)</f>
        <v/>
      </c>
      <c r="NA10" s="402">
        <f>IF(AND(361&gt;=$NR$10,361&lt;=$NS$10),IF($NP$10="Single_Point",IF(361=$NR$10,$NN$10,0),IF($NP$10="Bell_Curve",$NN$10*(361-$NR$10+1)*($NS$10-361+1)/$NU$10,$NN$10/$NT$10)),0)</f>
        <v/>
      </c>
      <c r="NB10" s="402">
        <f>IF(AND(362&gt;=$NR$10,362&lt;=$NS$10),IF($NP$10="Single_Point",IF(362=$NR$10,$NN$10,0),IF($NP$10="Bell_Curve",$NN$10*(362-$NR$10+1)*($NS$10-362+1)/$NU$10,$NN$10/$NT$10)),0)</f>
        <v/>
      </c>
      <c r="NC10" s="402">
        <f>IF(AND(363&gt;=$NR$10,363&lt;=$NS$10),IF($NP$10="Single_Point",IF(363=$NR$10,$NN$10,0),IF($NP$10="Bell_Curve",$NN$10*(363-$NR$10+1)*($NS$10-363+1)/$NU$10,$NN$10/$NT$10)),0)</f>
        <v/>
      </c>
      <c r="ND10" s="402">
        <f>IF(AND(364&gt;=$NR$10,364&lt;=$NS$10),IF($NP$10="Single_Point",IF(364=$NR$10,$NN$10,0),IF($NP$10="Bell_Curve",$NN$10*(364-$NR$10+1)*($NS$10-364+1)/$NU$10,$NN$10/$NT$10)),0)</f>
        <v/>
      </c>
      <c r="NE10" s="402">
        <f>IF(AND(365&gt;=$NR$10,365&lt;=$NS$10),IF($NP$10="Single_Point",IF(365=$NR$10,$NN$10,0),IF($NP$10="Bell_Curve",$NN$10*(365-$NR$10+1)*($NS$10-365+1)/$NU$10,$NN$10/$NT$10)),0)</f>
        <v/>
      </c>
      <c r="NF10" s="402">
        <f>IF(AND(366&gt;=$NR$10,366&lt;=$NS$10),IF($NP$10="Single_Point",IF(366=$NR$10,$NN$10,0),IF($NP$10="Bell_Curve",$NN$10*(366-$NR$10+1)*($NS$10-366+1)/$NU$10,$NN$10/$NT$10)),0)</f>
        <v/>
      </c>
      <c r="NG10" s="402">
        <f>IF(AND(367&gt;=$NR$10,367&lt;=$NS$10),IF($NP$10="Single_Point",IF(367=$NR$10,$NN$10,0),IF($NP$10="Bell_Curve",$NN$10*(367-$NR$10+1)*($NS$10-367+1)/$NU$10,$NN$10/$NT$10)),0)</f>
        <v/>
      </c>
      <c r="NH10" s="402">
        <f>IF(AND(368&gt;=$NR$10,368&lt;=$NS$10),IF($NP$10="Single_Point",IF(368=$NR$10,$NN$10,0),IF($NP$10="Bell_Curve",$NN$10*(368-$NR$10+1)*($NS$10-368+1)/$NU$10,$NN$10/$NT$10)),0)</f>
        <v/>
      </c>
      <c r="NI10" s="402">
        <f>IF(AND(369&gt;=$NR$10,369&lt;=$NS$10),IF($NP$10="Single_Point",IF(369=$NR$10,$NN$10,0),IF($NP$10="Bell_Curve",$NN$10*(369-$NR$10+1)*($NS$10-369+1)/$NU$10,$NN$10/$NT$10)),0)</f>
        <v/>
      </c>
      <c r="NJ10" s="402">
        <f>IF(AND(370&gt;=$NR$10,370&lt;=$NS$10),IF($NP$10="Single_Point",IF(370=$NR$10,$NN$10,0),IF($NP$10="Bell_Curve",$NN$10*(370-$NR$10+1)*($NS$10-370+1)/$NU$10,$NN$10/$NT$10)),0)</f>
        <v/>
      </c>
      <c r="NK10" s="402">
        <f>IF(AND(371&gt;=$NR$10,371&lt;=$NS$10),IF($NP$10="Single_Point",IF(371=$NR$10,$NN$10,0),IF($NP$10="Bell_Curve",$NN$10*(371-$NR$10+1)*($NS$10-371+1)/$NU$10,$NN$10/$NT$10)),0)</f>
        <v/>
      </c>
      <c r="NL10" s="426">
        <f>IF(AND(372&gt;=$NR$10,372&lt;=$NS$10),IF($NP$10="Single_Point",IF(372=$NR$10,$NN$10,0),IF($NP$10="Bell_Curve",$NN$10*(372-$NR$10+1)*($NS$10-372+1)/$NU$10,$NN$10/$NT$10)),0)</f>
        <v/>
      </c>
      <c r="NM10">
        <f>Budget!C9</f>
        <v/>
      </c>
      <c r="NN10" s="218">
        <f>Budget!J9</f>
        <v/>
      </c>
      <c r="NO10" s="144">
        <f>Budget!G9</f>
        <v/>
      </c>
      <c r="NP10" s="144">
        <f>Budget!H9</f>
        <v/>
      </c>
      <c r="NQ10" s="85">
        <f>Budget!I9</f>
        <v/>
      </c>
      <c r="NR10" s="248">
        <f>MAX(1,MIN(372,INDEX(MilestoneStart,MATCH(NO10,MilestoneNames,0))+NQ10))</f>
        <v/>
      </c>
      <c r="NS10" s="248">
        <f>MAX(NR10,MIN(372,INDEX(MilestoneEnd,MATCH(NO10,MilestoneNames,0))+NQ10))</f>
        <v/>
      </c>
      <c r="NT10" s="85">
        <f>NS10-NR10+1</f>
        <v/>
      </c>
      <c r="NU10" s="85">
        <f>NT10*(NT10+1)*(NT10+2)/6</f>
        <v/>
      </c>
    </row>
    <row r="11">
      <c r="B11" s="296">
        <f>Budget!B10</f>
        <v/>
      </c>
      <c r="D11" s="425">
        <f>SUM(E11:NL11)</f>
        <v/>
      </c>
      <c r="E11" s="402">
        <f>IF(AND(1&gt;=$NR$11,1&lt;=$NS$11),IF($NP$11="Single_Point",IF(1=$NR$11,$NN$11,0),IF($NP$11="Bell_Curve",$NN$11*(1-$NR$11+1)*($NS$11-1+1)/$NU$11,$NN$11/$NT$11)),0)</f>
        <v/>
      </c>
      <c r="F11" s="402">
        <f>IF(AND(2&gt;=$NR$11,2&lt;=$NS$11),IF($NP$11="Single_Point",IF(2=$NR$11,$NN$11,0),IF($NP$11="Bell_Curve",$NN$11*(2-$NR$11+1)*($NS$11-2+1)/$NU$11,$NN$11/$NT$11)),0)</f>
        <v/>
      </c>
      <c r="G11" s="402">
        <f>IF(AND(3&gt;=$NR$11,3&lt;=$NS$11),IF($NP$11="Single_Point",IF(3=$NR$11,$NN$11,0),IF($NP$11="Bell_Curve",$NN$11*(3-$NR$11+1)*($NS$11-3+1)/$NU$11,$NN$11/$NT$11)),0)</f>
        <v/>
      </c>
      <c r="H11" s="402">
        <f>IF(AND(4&gt;=$NR$11,4&lt;=$NS$11),IF($NP$11="Single_Point",IF(4=$NR$11,$NN$11,0),IF($NP$11="Bell_Curve",$NN$11*(4-$NR$11+1)*($NS$11-4+1)/$NU$11,$NN$11/$NT$11)),0)</f>
        <v/>
      </c>
      <c r="I11" s="402">
        <f>IF(AND(5&gt;=$NR$11,5&lt;=$NS$11),IF($NP$11="Single_Point",IF(5=$NR$11,$NN$11,0),IF($NP$11="Bell_Curve",$NN$11*(5-$NR$11+1)*($NS$11-5+1)/$NU$11,$NN$11/$NT$11)),0)</f>
        <v/>
      </c>
      <c r="J11" s="402">
        <f>IF(AND(6&gt;=$NR$11,6&lt;=$NS$11),IF($NP$11="Single_Point",IF(6=$NR$11,$NN$11,0),IF($NP$11="Bell_Curve",$NN$11*(6-$NR$11+1)*($NS$11-6+1)/$NU$11,$NN$11/$NT$11)),0)</f>
        <v/>
      </c>
      <c r="K11" s="402">
        <f>IF(AND(7&gt;=$NR$11,7&lt;=$NS$11),IF($NP$11="Single_Point",IF(7=$NR$11,$NN$11,0),IF($NP$11="Bell_Curve",$NN$11*(7-$NR$11+1)*($NS$11-7+1)/$NU$11,$NN$11/$NT$11)),0)</f>
        <v/>
      </c>
      <c r="L11" s="402">
        <f>IF(AND(8&gt;=$NR$11,8&lt;=$NS$11),IF($NP$11="Single_Point",IF(8=$NR$11,$NN$11,0),IF($NP$11="Bell_Curve",$NN$11*(8-$NR$11+1)*($NS$11-8+1)/$NU$11,$NN$11/$NT$11)),0)</f>
        <v/>
      </c>
      <c r="M11" s="402">
        <f>IF(AND(9&gt;=$NR$11,9&lt;=$NS$11),IF($NP$11="Single_Point",IF(9=$NR$11,$NN$11,0),IF($NP$11="Bell_Curve",$NN$11*(9-$NR$11+1)*($NS$11-9+1)/$NU$11,$NN$11/$NT$11)),0)</f>
        <v/>
      </c>
      <c r="N11" s="402">
        <f>IF(AND(10&gt;=$NR$11,10&lt;=$NS$11),IF($NP$11="Single_Point",IF(10=$NR$11,$NN$11,0),IF($NP$11="Bell_Curve",$NN$11*(10-$NR$11+1)*($NS$11-10+1)/$NU$11,$NN$11/$NT$11)),0)</f>
        <v/>
      </c>
      <c r="O11" s="402">
        <f>IF(AND(11&gt;=$NR$11,11&lt;=$NS$11),IF($NP$11="Single_Point",IF(11=$NR$11,$NN$11,0),IF($NP$11="Bell_Curve",$NN$11*(11-$NR$11+1)*($NS$11-11+1)/$NU$11,$NN$11/$NT$11)),0)</f>
        <v/>
      </c>
      <c r="P11" s="402">
        <f>IF(AND(12&gt;=$NR$11,12&lt;=$NS$11),IF($NP$11="Single_Point",IF(12=$NR$11,$NN$11,0),IF($NP$11="Bell_Curve",$NN$11*(12-$NR$11+1)*($NS$11-12+1)/$NU$11,$NN$11/$NT$11)),0)</f>
        <v/>
      </c>
      <c r="Q11" s="402">
        <f>IF(AND(13&gt;=$NR$11,13&lt;=$NS$11),IF($NP$11="Single_Point",IF(13=$NR$11,$NN$11,0),IF($NP$11="Bell_Curve",$NN$11*(13-$NR$11+1)*($NS$11-13+1)/$NU$11,$NN$11/$NT$11)),0)</f>
        <v/>
      </c>
      <c r="R11" s="402">
        <f>IF(AND(14&gt;=$NR$11,14&lt;=$NS$11),IF($NP$11="Single_Point",IF(14=$NR$11,$NN$11,0),IF($NP$11="Bell_Curve",$NN$11*(14-$NR$11+1)*($NS$11-14+1)/$NU$11,$NN$11/$NT$11)),0)</f>
        <v/>
      </c>
      <c r="S11" s="402">
        <f>IF(AND(15&gt;=$NR$11,15&lt;=$NS$11),IF($NP$11="Single_Point",IF(15=$NR$11,$NN$11,0),IF($NP$11="Bell_Curve",$NN$11*(15-$NR$11+1)*($NS$11-15+1)/$NU$11,$NN$11/$NT$11)),0)</f>
        <v/>
      </c>
      <c r="T11" s="402">
        <f>IF(AND(16&gt;=$NR$11,16&lt;=$NS$11),IF($NP$11="Single_Point",IF(16=$NR$11,$NN$11,0),IF($NP$11="Bell_Curve",$NN$11*(16-$NR$11+1)*($NS$11-16+1)/$NU$11,$NN$11/$NT$11)),0)</f>
        <v/>
      </c>
      <c r="U11" s="402">
        <f>IF(AND(17&gt;=$NR$11,17&lt;=$NS$11),IF($NP$11="Single_Point",IF(17=$NR$11,$NN$11,0),IF($NP$11="Bell_Curve",$NN$11*(17-$NR$11+1)*($NS$11-17+1)/$NU$11,$NN$11/$NT$11)),0)</f>
        <v/>
      </c>
      <c r="V11" s="402">
        <f>IF(AND(18&gt;=$NR$11,18&lt;=$NS$11),IF($NP$11="Single_Point",IF(18=$NR$11,$NN$11,0),IF($NP$11="Bell_Curve",$NN$11*(18-$NR$11+1)*($NS$11-18+1)/$NU$11,$NN$11/$NT$11)),0)</f>
        <v/>
      </c>
      <c r="W11" s="402">
        <f>IF(AND(19&gt;=$NR$11,19&lt;=$NS$11),IF($NP$11="Single_Point",IF(19=$NR$11,$NN$11,0),IF($NP$11="Bell_Curve",$NN$11*(19-$NR$11+1)*($NS$11-19+1)/$NU$11,$NN$11/$NT$11)),0)</f>
        <v/>
      </c>
      <c r="X11" s="402">
        <f>IF(AND(20&gt;=$NR$11,20&lt;=$NS$11),IF($NP$11="Single_Point",IF(20=$NR$11,$NN$11,0),IF($NP$11="Bell_Curve",$NN$11*(20-$NR$11+1)*($NS$11-20+1)/$NU$11,$NN$11/$NT$11)),0)</f>
        <v/>
      </c>
      <c r="Y11" s="402">
        <f>IF(AND(21&gt;=$NR$11,21&lt;=$NS$11),IF($NP$11="Single_Point",IF(21=$NR$11,$NN$11,0),IF($NP$11="Bell_Curve",$NN$11*(21-$NR$11+1)*($NS$11-21+1)/$NU$11,$NN$11/$NT$11)),0)</f>
        <v/>
      </c>
      <c r="Z11" s="402">
        <f>IF(AND(22&gt;=$NR$11,22&lt;=$NS$11),IF($NP$11="Single_Point",IF(22=$NR$11,$NN$11,0),IF($NP$11="Bell_Curve",$NN$11*(22-$NR$11+1)*($NS$11-22+1)/$NU$11,$NN$11/$NT$11)),0)</f>
        <v/>
      </c>
      <c r="AA11" s="402">
        <f>IF(AND(23&gt;=$NR$11,23&lt;=$NS$11),IF($NP$11="Single_Point",IF(23=$NR$11,$NN$11,0),IF($NP$11="Bell_Curve",$NN$11*(23-$NR$11+1)*($NS$11-23+1)/$NU$11,$NN$11/$NT$11)),0)</f>
        <v/>
      </c>
      <c r="AB11" s="402">
        <f>IF(AND(24&gt;=$NR$11,24&lt;=$NS$11),IF($NP$11="Single_Point",IF(24=$NR$11,$NN$11,0),IF($NP$11="Bell_Curve",$NN$11*(24-$NR$11+1)*($NS$11-24+1)/$NU$11,$NN$11/$NT$11)),0)</f>
        <v/>
      </c>
      <c r="AC11" s="402">
        <f>IF(AND(25&gt;=$NR$11,25&lt;=$NS$11),IF($NP$11="Single_Point",IF(25=$NR$11,$NN$11,0),IF($NP$11="Bell_Curve",$NN$11*(25-$NR$11+1)*($NS$11-25+1)/$NU$11,$NN$11/$NT$11)),0)</f>
        <v/>
      </c>
      <c r="AD11" s="402">
        <f>IF(AND(26&gt;=$NR$11,26&lt;=$NS$11),IF($NP$11="Single_Point",IF(26=$NR$11,$NN$11,0),IF($NP$11="Bell_Curve",$NN$11*(26-$NR$11+1)*($NS$11-26+1)/$NU$11,$NN$11/$NT$11)),0)</f>
        <v/>
      </c>
      <c r="AE11" s="402">
        <f>IF(AND(27&gt;=$NR$11,27&lt;=$NS$11),IF($NP$11="Single_Point",IF(27=$NR$11,$NN$11,0),IF($NP$11="Bell_Curve",$NN$11*(27-$NR$11+1)*($NS$11-27+1)/$NU$11,$NN$11/$NT$11)),0)</f>
        <v/>
      </c>
      <c r="AF11" s="402">
        <f>IF(AND(28&gt;=$NR$11,28&lt;=$NS$11),IF($NP$11="Single_Point",IF(28=$NR$11,$NN$11,0),IF($NP$11="Bell_Curve",$NN$11*(28-$NR$11+1)*($NS$11-28+1)/$NU$11,$NN$11/$NT$11)),0)</f>
        <v/>
      </c>
      <c r="AG11" s="402">
        <f>IF(AND(29&gt;=$NR$11,29&lt;=$NS$11),IF($NP$11="Single_Point",IF(29=$NR$11,$NN$11,0),IF($NP$11="Bell_Curve",$NN$11*(29-$NR$11+1)*($NS$11-29+1)/$NU$11,$NN$11/$NT$11)),0)</f>
        <v/>
      </c>
      <c r="AH11" s="402">
        <f>IF(AND(30&gt;=$NR$11,30&lt;=$NS$11),IF($NP$11="Single_Point",IF(30=$NR$11,$NN$11,0),IF($NP$11="Bell_Curve",$NN$11*(30-$NR$11+1)*($NS$11-30+1)/$NU$11,$NN$11/$NT$11)),0)</f>
        <v/>
      </c>
      <c r="AI11" s="402">
        <f>IF(AND(31&gt;=$NR$11,31&lt;=$NS$11),IF($NP$11="Single_Point",IF(31=$NR$11,$NN$11,0),IF($NP$11="Bell_Curve",$NN$11*(31-$NR$11+1)*($NS$11-31+1)/$NU$11,$NN$11/$NT$11)),0)</f>
        <v/>
      </c>
      <c r="AJ11" s="402">
        <f>IF(AND(32&gt;=$NR$11,32&lt;=$NS$11),IF($NP$11="Single_Point",IF(32=$NR$11,$NN$11,0),IF($NP$11="Bell_Curve",$NN$11*(32-$NR$11+1)*($NS$11-32+1)/$NU$11,$NN$11/$NT$11)),0)</f>
        <v/>
      </c>
      <c r="AK11" s="402">
        <f>IF(AND(33&gt;=$NR$11,33&lt;=$NS$11),IF($NP$11="Single_Point",IF(33=$NR$11,$NN$11,0),IF($NP$11="Bell_Curve",$NN$11*(33-$NR$11+1)*($NS$11-33+1)/$NU$11,$NN$11/$NT$11)),0)</f>
        <v/>
      </c>
      <c r="AL11" s="402">
        <f>IF(AND(34&gt;=$NR$11,34&lt;=$NS$11),IF($NP$11="Single_Point",IF(34=$NR$11,$NN$11,0),IF($NP$11="Bell_Curve",$NN$11*(34-$NR$11+1)*($NS$11-34+1)/$NU$11,$NN$11/$NT$11)),0)</f>
        <v/>
      </c>
      <c r="AM11" s="402">
        <f>IF(AND(35&gt;=$NR$11,35&lt;=$NS$11),IF($NP$11="Single_Point",IF(35=$NR$11,$NN$11,0),IF($NP$11="Bell_Curve",$NN$11*(35-$NR$11+1)*($NS$11-35+1)/$NU$11,$NN$11/$NT$11)),0)</f>
        <v/>
      </c>
      <c r="AN11" s="402">
        <f>IF(AND(36&gt;=$NR$11,36&lt;=$NS$11),IF($NP$11="Single_Point",IF(36=$NR$11,$NN$11,0),IF($NP$11="Bell_Curve",$NN$11*(36-$NR$11+1)*($NS$11-36+1)/$NU$11,$NN$11/$NT$11)),0)</f>
        <v/>
      </c>
      <c r="AO11" s="402">
        <f>IF(AND(37&gt;=$NR$11,37&lt;=$NS$11),IF($NP$11="Single_Point",IF(37=$NR$11,$NN$11,0),IF($NP$11="Bell_Curve",$NN$11*(37-$NR$11+1)*($NS$11-37+1)/$NU$11,$NN$11/$NT$11)),0)</f>
        <v/>
      </c>
      <c r="AP11" s="402">
        <f>IF(AND(38&gt;=$NR$11,38&lt;=$NS$11),IF($NP$11="Single_Point",IF(38=$NR$11,$NN$11,0),IF($NP$11="Bell_Curve",$NN$11*(38-$NR$11+1)*($NS$11-38+1)/$NU$11,$NN$11/$NT$11)),0)</f>
        <v/>
      </c>
      <c r="AQ11" s="402">
        <f>IF(AND(39&gt;=$NR$11,39&lt;=$NS$11),IF($NP$11="Single_Point",IF(39=$NR$11,$NN$11,0),IF($NP$11="Bell_Curve",$NN$11*(39-$NR$11+1)*($NS$11-39+1)/$NU$11,$NN$11/$NT$11)),0)</f>
        <v/>
      </c>
      <c r="AR11" s="402">
        <f>IF(AND(40&gt;=$NR$11,40&lt;=$NS$11),IF($NP$11="Single_Point",IF(40=$NR$11,$NN$11,0),IF($NP$11="Bell_Curve",$NN$11*(40-$NR$11+1)*($NS$11-40+1)/$NU$11,$NN$11/$NT$11)),0)</f>
        <v/>
      </c>
      <c r="AS11" s="402">
        <f>IF(AND(41&gt;=$NR$11,41&lt;=$NS$11),IF($NP$11="Single_Point",IF(41=$NR$11,$NN$11,0),IF($NP$11="Bell_Curve",$NN$11*(41-$NR$11+1)*($NS$11-41+1)/$NU$11,$NN$11/$NT$11)),0)</f>
        <v/>
      </c>
      <c r="AT11" s="402">
        <f>IF(AND(42&gt;=$NR$11,42&lt;=$NS$11),IF($NP$11="Single_Point",IF(42=$NR$11,$NN$11,0),IF($NP$11="Bell_Curve",$NN$11*(42-$NR$11+1)*($NS$11-42+1)/$NU$11,$NN$11/$NT$11)),0)</f>
        <v/>
      </c>
      <c r="AU11" s="402">
        <f>IF(AND(43&gt;=$NR$11,43&lt;=$NS$11),IF($NP$11="Single_Point",IF(43=$NR$11,$NN$11,0),IF($NP$11="Bell_Curve",$NN$11*(43-$NR$11+1)*($NS$11-43+1)/$NU$11,$NN$11/$NT$11)),0)</f>
        <v/>
      </c>
      <c r="AV11" s="402">
        <f>IF(AND(44&gt;=$NR$11,44&lt;=$NS$11),IF($NP$11="Single_Point",IF(44=$NR$11,$NN$11,0),IF($NP$11="Bell_Curve",$NN$11*(44-$NR$11+1)*($NS$11-44+1)/$NU$11,$NN$11/$NT$11)),0)</f>
        <v/>
      </c>
      <c r="AW11" s="402">
        <f>IF(AND(45&gt;=$NR$11,45&lt;=$NS$11),IF($NP$11="Single_Point",IF(45=$NR$11,$NN$11,0),IF($NP$11="Bell_Curve",$NN$11*(45-$NR$11+1)*($NS$11-45+1)/$NU$11,$NN$11/$NT$11)),0)</f>
        <v/>
      </c>
      <c r="AX11" s="402">
        <f>IF(AND(46&gt;=$NR$11,46&lt;=$NS$11),IF($NP$11="Single_Point",IF(46=$NR$11,$NN$11,0),IF($NP$11="Bell_Curve",$NN$11*(46-$NR$11+1)*($NS$11-46+1)/$NU$11,$NN$11/$NT$11)),0)</f>
        <v/>
      </c>
      <c r="AY11" s="402">
        <f>IF(AND(47&gt;=$NR$11,47&lt;=$NS$11),IF($NP$11="Single_Point",IF(47=$NR$11,$NN$11,0),IF($NP$11="Bell_Curve",$NN$11*(47-$NR$11+1)*($NS$11-47+1)/$NU$11,$NN$11/$NT$11)),0)</f>
        <v/>
      </c>
      <c r="AZ11" s="402">
        <f>IF(AND(48&gt;=$NR$11,48&lt;=$NS$11),IF($NP$11="Single_Point",IF(48=$NR$11,$NN$11,0),IF($NP$11="Bell_Curve",$NN$11*(48-$NR$11+1)*($NS$11-48+1)/$NU$11,$NN$11/$NT$11)),0)</f>
        <v/>
      </c>
      <c r="BA11" s="402">
        <f>IF(AND(49&gt;=$NR$11,49&lt;=$NS$11),IF($NP$11="Single_Point",IF(49=$NR$11,$NN$11,0),IF($NP$11="Bell_Curve",$NN$11*(49-$NR$11+1)*($NS$11-49+1)/$NU$11,$NN$11/$NT$11)),0)</f>
        <v/>
      </c>
      <c r="BB11" s="402">
        <f>IF(AND(50&gt;=$NR$11,50&lt;=$NS$11),IF($NP$11="Single_Point",IF(50=$NR$11,$NN$11,0),IF($NP$11="Bell_Curve",$NN$11*(50-$NR$11+1)*($NS$11-50+1)/$NU$11,$NN$11/$NT$11)),0)</f>
        <v/>
      </c>
      <c r="BC11" s="402">
        <f>IF(AND(51&gt;=$NR$11,51&lt;=$NS$11),IF($NP$11="Single_Point",IF(51=$NR$11,$NN$11,0),IF($NP$11="Bell_Curve",$NN$11*(51-$NR$11+1)*($NS$11-51+1)/$NU$11,$NN$11/$NT$11)),0)</f>
        <v/>
      </c>
      <c r="BD11" s="402">
        <f>IF(AND(52&gt;=$NR$11,52&lt;=$NS$11),IF($NP$11="Single_Point",IF(52=$NR$11,$NN$11,0),IF($NP$11="Bell_Curve",$NN$11*(52-$NR$11+1)*($NS$11-52+1)/$NU$11,$NN$11/$NT$11)),0)</f>
        <v/>
      </c>
      <c r="BE11" s="402">
        <f>IF(AND(53&gt;=$NR$11,53&lt;=$NS$11),IF($NP$11="Single_Point",IF(53=$NR$11,$NN$11,0),IF($NP$11="Bell_Curve",$NN$11*(53-$NR$11+1)*($NS$11-53+1)/$NU$11,$NN$11/$NT$11)),0)</f>
        <v/>
      </c>
      <c r="BF11" s="402">
        <f>IF(AND(54&gt;=$NR$11,54&lt;=$NS$11),IF($NP$11="Single_Point",IF(54=$NR$11,$NN$11,0),IF($NP$11="Bell_Curve",$NN$11*(54-$NR$11+1)*($NS$11-54+1)/$NU$11,$NN$11/$NT$11)),0)</f>
        <v/>
      </c>
      <c r="BG11" s="402">
        <f>IF(AND(55&gt;=$NR$11,55&lt;=$NS$11),IF($NP$11="Single_Point",IF(55=$NR$11,$NN$11,0),IF($NP$11="Bell_Curve",$NN$11*(55-$NR$11+1)*($NS$11-55+1)/$NU$11,$NN$11/$NT$11)),0)</f>
        <v/>
      </c>
      <c r="BH11" s="402">
        <f>IF(AND(56&gt;=$NR$11,56&lt;=$NS$11),IF($NP$11="Single_Point",IF(56=$NR$11,$NN$11,0),IF($NP$11="Bell_Curve",$NN$11*(56-$NR$11+1)*($NS$11-56+1)/$NU$11,$NN$11/$NT$11)),0)</f>
        <v/>
      </c>
      <c r="BI11" s="402">
        <f>IF(AND(57&gt;=$NR$11,57&lt;=$NS$11),IF($NP$11="Single_Point",IF(57=$NR$11,$NN$11,0),IF($NP$11="Bell_Curve",$NN$11*(57-$NR$11+1)*($NS$11-57+1)/$NU$11,$NN$11/$NT$11)),0)</f>
        <v/>
      </c>
      <c r="BJ11" s="402">
        <f>IF(AND(58&gt;=$NR$11,58&lt;=$NS$11),IF($NP$11="Single_Point",IF(58=$NR$11,$NN$11,0),IF($NP$11="Bell_Curve",$NN$11*(58-$NR$11+1)*($NS$11-58+1)/$NU$11,$NN$11/$NT$11)),0)</f>
        <v/>
      </c>
      <c r="BK11" s="402">
        <f>IF(AND(59&gt;=$NR$11,59&lt;=$NS$11),IF($NP$11="Single_Point",IF(59=$NR$11,$NN$11,0),IF($NP$11="Bell_Curve",$NN$11*(59-$NR$11+1)*($NS$11-59+1)/$NU$11,$NN$11/$NT$11)),0)</f>
        <v/>
      </c>
      <c r="BL11" s="402">
        <f>IF(AND(60&gt;=$NR$11,60&lt;=$NS$11),IF($NP$11="Single_Point",IF(60=$NR$11,$NN$11,0),IF($NP$11="Bell_Curve",$NN$11*(60-$NR$11+1)*($NS$11-60+1)/$NU$11,$NN$11/$NT$11)),0)</f>
        <v/>
      </c>
      <c r="BM11" s="402">
        <f>IF(AND(61&gt;=$NR$11,61&lt;=$NS$11),IF($NP$11="Single_Point",IF(61=$NR$11,$NN$11,0),IF($NP$11="Bell_Curve",$NN$11*(61-$NR$11+1)*($NS$11-61+1)/$NU$11,$NN$11/$NT$11)),0)</f>
        <v/>
      </c>
      <c r="BN11" s="402">
        <f>IF(AND(62&gt;=$NR$11,62&lt;=$NS$11),IF($NP$11="Single_Point",IF(62=$NR$11,$NN$11,0),IF($NP$11="Bell_Curve",$NN$11*(62-$NR$11+1)*($NS$11-62+1)/$NU$11,$NN$11/$NT$11)),0)</f>
        <v/>
      </c>
      <c r="BO11" s="402">
        <f>IF(AND(63&gt;=$NR$11,63&lt;=$NS$11),IF($NP$11="Single_Point",IF(63=$NR$11,$NN$11,0),IF($NP$11="Bell_Curve",$NN$11*(63-$NR$11+1)*($NS$11-63+1)/$NU$11,$NN$11/$NT$11)),0)</f>
        <v/>
      </c>
      <c r="BP11" s="402">
        <f>IF(AND(64&gt;=$NR$11,64&lt;=$NS$11),IF($NP$11="Single_Point",IF(64=$NR$11,$NN$11,0),IF($NP$11="Bell_Curve",$NN$11*(64-$NR$11+1)*($NS$11-64+1)/$NU$11,$NN$11/$NT$11)),0)</f>
        <v/>
      </c>
      <c r="BQ11" s="402">
        <f>IF(AND(65&gt;=$NR$11,65&lt;=$NS$11),IF($NP$11="Single_Point",IF(65=$NR$11,$NN$11,0),IF($NP$11="Bell_Curve",$NN$11*(65-$NR$11+1)*($NS$11-65+1)/$NU$11,$NN$11/$NT$11)),0)</f>
        <v/>
      </c>
      <c r="BR11" s="402">
        <f>IF(AND(66&gt;=$NR$11,66&lt;=$NS$11),IF($NP$11="Single_Point",IF(66=$NR$11,$NN$11,0),IF($NP$11="Bell_Curve",$NN$11*(66-$NR$11+1)*($NS$11-66+1)/$NU$11,$NN$11/$NT$11)),0)</f>
        <v/>
      </c>
      <c r="BS11" s="402">
        <f>IF(AND(67&gt;=$NR$11,67&lt;=$NS$11),IF($NP$11="Single_Point",IF(67=$NR$11,$NN$11,0),IF($NP$11="Bell_Curve",$NN$11*(67-$NR$11+1)*($NS$11-67+1)/$NU$11,$NN$11/$NT$11)),0)</f>
        <v/>
      </c>
      <c r="BT11" s="402">
        <f>IF(AND(68&gt;=$NR$11,68&lt;=$NS$11),IF($NP$11="Single_Point",IF(68=$NR$11,$NN$11,0),IF($NP$11="Bell_Curve",$NN$11*(68-$NR$11+1)*($NS$11-68+1)/$NU$11,$NN$11/$NT$11)),0)</f>
        <v/>
      </c>
      <c r="BU11" s="402">
        <f>IF(AND(69&gt;=$NR$11,69&lt;=$NS$11),IF($NP$11="Single_Point",IF(69=$NR$11,$NN$11,0),IF($NP$11="Bell_Curve",$NN$11*(69-$NR$11+1)*($NS$11-69+1)/$NU$11,$NN$11/$NT$11)),0)</f>
        <v/>
      </c>
      <c r="BV11" s="402">
        <f>IF(AND(70&gt;=$NR$11,70&lt;=$NS$11),IF($NP$11="Single_Point",IF(70=$NR$11,$NN$11,0),IF($NP$11="Bell_Curve",$NN$11*(70-$NR$11+1)*($NS$11-70+1)/$NU$11,$NN$11/$NT$11)),0)</f>
        <v/>
      </c>
      <c r="BW11" s="402">
        <f>IF(AND(71&gt;=$NR$11,71&lt;=$NS$11),IF($NP$11="Single_Point",IF(71=$NR$11,$NN$11,0),IF($NP$11="Bell_Curve",$NN$11*(71-$NR$11+1)*($NS$11-71+1)/$NU$11,$NN$11/$NT$11)),0)</f>
        <v/>
      </c>
      <c r="BX11" s="402">
        <f>IF(AND(72&gt;=$NR$11,72&lt;=$NS$11),IF($NP$11="Single_Point",IF(72=$NR$11,$NN$11,0),IF($NP$11="Bell_Curve",$NN$11*(72-$NR$11+1)*($NS$11-72+1)/$NU$11,$NN$11/$NT$11)),0)</f>
        <v/>
      </c>
      <c r="BY11" s="402">
        <f>IF(AND(73&gt;=$NR$11,73&lt;=$NS$11),IF($NP$11="Single_Point",IF(73=$NR$11,$NN$11,0),IF($NP$11="Bell_Curve",$NN$11*(73-$NR$11+1)*($NS$11-73+1)/$NU$11,$NN$11/$NT$11)),0)</f>
        <v/>
      </c>
      <c r="BZ11" s="402">
        <f>IF(AND(74&gt;=$NR$11,74&lt;=$NS$11),IF($NP$11="Single_Point",IF(74=$NR$11,$NN$11,0),IF($NP$11="Bell_Curve",$NN$11*(74-$NR$11+1)*($NS$11-74+1)/$NU$11,$NN$11/$NT$11)),0)</f>
        <v/>
      </c>
      <c r="CA11" s="402">
        <f>IF(AND(75&gt;=$NR$11,75&lt;=$NS$11),IF($NP$11="Single_Point",IF(75=$NR$11,$NN$11,0),IF($NP$11="Bell_Curve",$NN$11*(75-$NR$11+1)*($NS$11-75+1)/$NU$11,$NN$11/$NT$11)),0)</f>
        <v/>
      </c>
      <c r="CB11" s="402">
        <f>IF(AND(76&gt;=$NR$11,76&lt;=$NS$11),IF($NP$11="Single_Point",IF(76=$NR$11,$NN$11,0),IF($NP$11="Bell_Curve",$NN$11*(76-$NR$11+1)*($NS$11-76+1)/$NU$11,$NN$11/$NT$11)),0)</f>
        <v/>
      </c>
      <c r="CC11" s="402">
        <f>IF(AND(77&gt;=$NR$11,77&lt;=$NS$11),IF($NP$11="Single_Point",IF(77=$NR$11,$NN$11,0),IF($NP$11="Bell_Curve",$NN$11*(77-$NR$11+1)*($NS$11-77+1)/$NU$11,$NN$11/$NT$11)),0)</f>
        <v/>
      </c>
      <c r="CD11" s="402">
        <f>IF(AND(78&gt;=$NR$11,78&lt;=$NS$11),IF($NP$11="Single_Point",IF(78=$NR$11,$NN$11,0),IF($NP$11="Bell_Curve",$NN$11*(78-$NR$11+1)*($NS$11-78+1)/$NU$11,$NN$11/$NT$11)),0)</f>
        <v/>
      </c>
      <c r="CE11" s="402">
        <f>IF(AND(79&gt;=$NR$11,79&lt;=$NS$11),IF($NP$11="Single_Point",IF(79=$NR$11,$NN$11,0),IF($NP$11="Bell_Curve",$NN$11*(79-$NR$11+1)*($NS$11-79+1)/$NU$11,$NN$11/$NT$11)),0)</f>
        <v/>
      </c>
      <c r="CF11" s="402">
        <f>IF(AND(80&gt;=$NR$11,80&lt;=$NS$11),IF($NP$11="Single_Point",IF(80=$NR$11,$NN$11,0),IF($NP$11="Bell_Curve",$NN$11*(80-$NR$11+1)*($NS$11-80+1)/$NU$11,$NN$11/$NT$11)),0)</f>
        <v/>
      </c>
      <c r="CG11" s="402">
        <f>IF(AND(81&gt;=$NR$11,81&lt;=$NS$11),IF($NP$11="Single_Point",IF(81=$NR$11,$NN$11,0),IF($NP$11="Bell_Curve",$NN$11*(81-$NR$11+1)*($NS$11-81+1)/$NU$11,$NN$11/$NT$11)),0)</f>
        <v/>
      </c>
      <c r="CH11" s="402">
        <f>IF(AND(82&gt;=$NR$11,82&lt;=$NS$11),IF($NP$11="Single_Point",IF(82=$NR$11,$NN$11,0),IF($NP$11="Bell_Curve",$NN$11*(82-$NR$11+1)*($NS$11-82+1)/$NU$11,$NN$11/$NT$11)),0)</f>
        <v/>
      </c>
      <c r="CI11" s="402">
        <f>IF(AND(83&gt;=$NR$11,83&lt;=$NS$11),IF($NP$11="Single_Point",IF(83=$NR$11,$NN$11,0),IF($NP$11="Bell_Curve",$NN$11*(83-$NR$11+1)*($NS$11-83+1)/$NU$11,$NN$11/$NT$11)),0)</f>
        <v/>
      </c>
      <c r="CJ11" s="402">
        <f>IF(AND(84&gt;=$NR$11,84&lt;=$NS$11),IF($NP$11="Single_Point",IF(84=$NR$11,$NN$11,0),IF($NP$11="Bell_Curve",$NN$11*(84-$NR$11+1)*($NS$11-84+1)/$NU$11,$NN$11/$NT$11)),0)</f>
        <v/>
      </c>
      <c r="CK11" s="402">
        <f>IF(AND(85&gt;=$NR$11,85&lt;=$NS$11),IF($NP$11="Single_Point",IF(85=$NR$11,$NN$11,0),IF($NP$11="Bell_Curve",$NN$11*(85-$NR$11+1)*($NS$11-85+1)/$NU$11,$NN$11/$NT$11)),0)</f>
        <v/>
      </c>
      <c r="CL11" s="402">
        <f>IF(AND(86&gt;=$NR$11,86&lt;=$NS$11),IF($NP$11="Single_Point",IF(86=$NR$11,$NN$11,0),IF($NP$11="Bell_Curve",$NN$11*(86-$NR$11+1)*($NS$11-86+1)/$NU$11,$NN$11/$NT$11)),0)</f>
        <v/>
      </c>
      <c r="CM11" s="402">
        <f>IF(AND(87&gt;=$NR$11,87&lt;=$NS$11),IF($NP$11="Single_Point",IF(87=$NR$11,$NN$11,0),IF($NP$11="Bell_Curve",$NN$11*(87-$NR$11+1)*($NS$11-87+1)/$NU$11,$NN$11/$NT$11)),0)</f>
        <v/>
      </c>
      <c r="CN11" s="402">
        <f>IF(AND(88&gt;=$NR$11,88&lt;=$NS$11),IF($NP$11="Single_Point",IF(88=$NR$11,$NN$11,0),IF($NP$11="Bell_Curve",$NN$11*(88-$NR$11+1)*($NS$11-88+1)/$NU$11,$NN$11/$NT$11)),0)</f>
        <v/>
      </c>
      <c r="CO11" s="402">
        <f>IF(AND(89&gt;=$NR$11,89&lt;=$NS$11),IF($NP$11="Single_Point",IF(89=$NR$11,$NN$11,0),IF($NP$11="Bell_Curve",$NN$11*(89-$NR$11+1)*($NS$11-89+1)/$NU$11,$NN$11/$NT$11)),0)</f>
        <v/>
      </c>
      <c r="CP11" s="402">
        <f>IF(AND(90&gt;=$NR$11,90&lt;=$NS$11),IF($NP$11="Single_Point",IF(90=$NR$11,$NN$11,0),IF($NP$11="Bell_Curve",$NN$11*(90-$NR$11+1)*($NS$11-90+1)/$NU$11,$NN$11/$NT$11)),0)</f>
        <v/>
      </c>
      <c r="CQ11" s="402">
        <f>IF(AND(91&gt;=$NR$11,91&lt;=$NS$11),IF($NP$11="Single_Point",IF(91=$NR$11,$NN$11,0),IF($NP$11="Bell_Curve",$NN$11*(91-$NR$11+1)*($NS$11-91+1)/$NU$11,$NN$11/$NT$11)),0)</f>
        <v/>
      </c>
      <c r="CR11" s="402">
        <f>IF(AND(92&gt;=$NR$11,92&lt;=$NS$11),IF($NP$11="Single_Point",IF(92=$NR$11,$NN$11,0),IF($NP$11="Bell_Curve",$NN$11*(92-$NR$11+1)*($NS$11-92+1)/$NU$11,$NN$11/$NT$11)),0)</f>
        <v/>
      </c>
      <c r="CS11" s="402">
        <f>IF(AND(93&gt;=$NR$11,93&lt;=$NS$11),IF($NP$11="Single_Point",IF(93=$NR$11,$NN$11,0),IF($NP$11="Bell_Curve",$NN$11*(93-$NR$11+1)*($NS$11-93+1)/$NU$11,$NN$11/$NT$11)),0)</f>
        <v/>
      </c>
      <c r="CT11" s="402">
        <f>IF(AND(94&gt;=$NR$11,94&lt;=$NS$11),IF($NP$11="Single_Point",IF(94=$NR$11,$NN$11,0),IF($NP$11="Bell_Curve",$NN$11*(94-$NR$11+1)*($NS$11-94+1)/$NU$11,$NN$11/$NT$11)),0)</f>
        <v/>
      </c>
      <c r="CU11" s="402">
        <f>IF(AND(95&gt;=$NR$11,95&lt;=$NS$11),IF($NP$11="Single_Point",IF(95=$NR$11,$NN$11,0),IF($NP$11="Bell_Curve",$NN$11*(95-$NR$11+1)*($NS$11-95+1)/$NU$11,$NN$11/$NT$11)),0)</f>
        <v/>
      </c>
      <c r="CV11" s="402">
        <f>IF(AND(96&gt;=$NR$11,96&lt;=$NS$11),IF($NP$11="Single_Point",IF(96=$NR$11,$NN$11,0),IF($NP$11="Bell_Curve",$NN$11*(96-$NR$11+1)*($NS$11-96+1)/$NU$11,$NN$11/$NT$11)),0)</f>
        <v/>
      </c>
      <c r="CW11" s="402">
        <f>IF(AND(97&gt;=$NR$11,97&lt;=$NS$11),IF($NP$11="Single_Point",IF(97=$NR$11,$NN$11,0),IF($NP$11="Bell_Curve",$NN$11*(97-$NR$11+1)*($NS$11-97+1)/$NU$11,$NN$11/$NT$11)),0)</f>
        <v/>
      </c>
      <c r="CX11" s="402">
        <f>IF(AND(98&gt;=$NR$11,98&lt;=$NS$11),IF($NP$11="Single_Point",IF(98=$NR$11,$NN$11,0),IF($NP$11="Bell_Curve",$NN$11*(98-$NR$11+1)*($NS$11-98+1)/$NU$11,$NN$11/$NT$11)),0)</f>
        <v/>
      </c>
      <c r="CY11" s="402">
        <f>IF(AND(99&gt;=$NR$11,99&lt;=$NS$11),IF($NP$11="Single_Point",IF(99=$NR$11,$NN$11,0),IF($NP$11="Bell_Curve",$NN$11*(99-$NR$11+1)*($NS$11-99+1)/$NU$11,$NN$11/$NT$11)),0)</f>
        <v/>
      </c>
      <c r="CZ11" s="402">
        <f>IF(AND(100&gt;=$NR$11,100&lt;=$NS$11),IF($NP$11="Single_Point",IF(100=$NR$11,$NN$11,0),IF($NP$11="Bell_Curve",$NN$11*(100-$NR$11+1)*($NS$11-100+1)/$NU$11,$NN$11/$NT$11)),0)</f>
        <v/>
      </c>
      <c r="DA11" s="402">
        <f>IF(AND(101&gt;=$NR$11,101&lt;=$NS$11),IF($NP$11="Single_Point",IF(101=$NR$11,$NN$11,0),IF($NP$11="Bell_Curve",$NN$11*(101-$NR$11+1)*($NS$11-101+1)/$NU$11,$NN$11/$NT$11)),0)</f>
        <v/>
      </c>
      <c r="DB11" s="402">
        <f>IF(AND(102&gt;=$NR$11,102&lt;=$NS$11),IF($NP$11="Single_Point",IF(102=$NR$11,$NN$11,0),IF($NP$11="Bell_Curve",$NN$11*(102-$NR$11+1)*($NS$11-102+1)/$NU$11,$NN$11/$NT$11)),0)</f>
        <v/>
      </c>
      <c r="DC11" s="402">
        <f>IF(AND(103&gt;=$NR$11,103&lt;=$NS$11),IF($NP$11="Single_Point",IF(103=$NR$11,$NN$11,0),IF($NP$11="Bell_Curve",$NN$11*(103-$NR$11+1)*($NS$11-103+1)/$NU$11,$NN$11/$NT$11)),0)</f>
        <v/>
      </c>
      <c r="DD11" s="402">
        <f>IF(AND(104&gt;=$NR$11,104&lt;=$NS$11),IF($NP$11="Single_Point",IF(104=$NR$11,$NN$11,0),IF($NP$11="Bell_Curve",$NN$11*(104-$NR$11+1)*($NS$11-104+1)/$NU$11,$NN$11/$NT$11)),0)</f>
        <v/>
      </c>
      <c r="DE11" s="402">
        <f>IF(AND(105&gt;=$NR$11,105&lt;=$NS$11),IF($NP$11="Single_Point",IF(105=$NR$11,$NN$11,0),IF($NP$11="Bell_Curve",$NN$11*(105-$NR$11+1)*($NS$11-105+1)/$NU$11,$NN$11/$NT$11)),0)</f>
        <v/>
      </c>
      <c r="DF11" s="402">
        <f>IF(AND(106&gt;=$NR$11,106&lt;=$NS$11),IF($NP$11="Single_Point",IF(106=$NR$11,$NN$11,0),IF($NP$11="Bell_Curve",$NN$11*(106-$NR$11+1)*($NS$11-106+1)/$NU$11,$NN$11/$NT$11)),0)</f>
        <v/>
      </c>
      <c r="DG11" s="402">
        <f>IF(AND(107&gt;=$NR$11,107&lt;=$NS$11),IF($NP$11="Single_Point",IF(107=$NR$11,$NN$11,0),IF($NP$11="Bell_Curve",$NN$11*(107-$NR$11+1)*($NS$11-107+1)/$NU$11,$NN$11/$NT$11)),0)</f>
        <v/>
      </c>
      <c r="DH11" s="402">
        <f>IF(AND(108&gt;=$NR$11,108&lt;=$NS$11),IF($NP$11="Single_Point",IF(108=$NR$11,$NN$11,0),IF($NP$11="Bell_Curve",$NN$11*(108-$NR$11+1)*($NS$11-108+1)/$NU$11,$NN$11/$NT$11)),0)</f>
        <v/>
      </c>
      <c r="DI11" s="402">
        <f>IF(AND(109&gt;=$NR$11,109&lt;=$NS$11),IF($NP$11="Single_Point",IF(109=$NR$11,$NN$11,0),IF($NP$11="Bell_Curve",$NN$11*(109-$NR$11+1)*($NS$11-109+1)/$NU$11,$NN$11/$NT$11)),0)</f>
        <v/>
      </c>
      <c r="DJ11" s="402">
        <f>IF(AND(110&gt;=$NR$11,110&lt;=$NS$11),IF($NP$11="Single_Point",IF(110=$NR$11,$NN$11,0),IF($NP$11="Bell_Curve",$NN$11*(110-$NR$11+1)*($NS$11-110+1)/$NU$11,$NN$11/$NT$11)),0)</f>
        <v/>
      </c>
      <c r="DK11" s="402">
        <f>IF(AND(111&gt;=$NR$11,111&lt;=$NS$11),IF($NP$11="Single_Point",IF(111=$NR$11,$NN$11,0),IF($NP$11="Bell_Curve",$NN$11*(111-$NR$11+1)*($NS$11-111+1)/$NU$11,$NN$11/$NT$11)),0)</f>
        <v/>
      </c>
      <c r="DL11" s="402">
        <f>IF(AND(112&gt;=$NR$11,112&lt;=$NS$11),IF($NP$11="Single_Point",IF(112=$NR$11,$NN$11,0),IF($NP$11="Bell_Curve",$NN$11*(112-$NR$11+1)*($NS$11-112+1)/$NU$11,$NN$11/$NT$11)),0)</f>
        <v/>
      </c>
      <c r="DM11" s="402">
        <f>IF(AND(113&gt;=$NR$11,113&lt;=$NS$11),IF($NP$11="Single_Point",IF(113=$NR$11,$NN$11,0),IF($NP$11="Bell_Curve",$NN$11*(113-$NR$11+1)*($NS$11-113+1)/$NU$11,$NN$11/$NT$11)),0)</f>
        <v/>
      </c>
      <c r="DN11" s="402">
        <f>IF(AND(114&gt;=$NR$11,114&lt;=$NS$11),IF($NP$11="Single_Point",IF(114=$NR$11,$NN$11,0),IF($NP$11="Bell_Curve",$NN$11*(114-$NR$11+1)*($NS$11-114+1)/$NU$11,$NN$11/$NT$11)),0)</f>
        <v/>
      </c>
      <c r="DO11" s="402">
        <f>IF(AND(115&gt;=$NR$11,115&lt;=$NS$11),IF($NP$11="Single_Point",IF(115=$NR$11,$NN$11,0),IF($NP$11="Bell_Curve",$NN$11*(115-$NR$11+1)*($NS$11-115+1)/$NU$11,$NN$11/$NT$11)),0)</f>
        <v/>
      </c>
      <c r="DP11" s="402">
        <f>IF(AND(116&gt;=$NR$11,116&lt;=$NS$11),IF($NP$11="Single_Point",IF(116=$NR$11,$NN$11,0),IF($NP$11="Bell_Curve",$NN$11*(116-$NR$11+1)*($NS$11-116+1)/$NU$11,$NN$11/$NT$11)),0)</f>
        <v/>
      </c>
      <c r="DQ11" s="402">
        <f>IF(AND(117&gt;=$NR$11,117&lt;=$NS$11),IF($NP$11="Single_Point",IF(117=$NR$11,$NN$11,0),IF($NP$11="Bell_Curve",$NN$11*(117-$NR$11+1)*($NS$11-117+1)/$NU$11,$NN$11/$NT$11)),0)</f>
        <v/>
      </c>
      <c r="DR11" s="402">
        <f>IF(AND(118&gt;=$NR$11,118&lt;=$NS$11),IF($NP$11="Single_Point",IF(118=$NR$11,$NN$11,0),IF($NP$11="Bell_Curve",$NN$11*(118-$NR$11+1)*($NS$11-118+1)/$NU$11,$NN$11/$NT$11)),0)</f>
        <v/>
      </c>
      <c r="DS11" s="402">
        <f>IF(AND(119&gt;=$NR$11,119&lt;=$NS$11),IF($NP$11="Single_Point",IF(119=$NR$11,$NN$11,0),IF($NP$11="Bell_Curve",$NN$11*(119-$NR$11+1)*($NS$11-119+1)/$NU$11,$NN$11/$NT$11)),0)</f>
        <v/>
      </c>
      <c r="DT11" s="402">
        <f>IF(AND(120&gt;=$NR$11,120&lt;=$NS$11),IF($NP$11="Single_Point",IF(120=$NR$11,$NN$11,0),IF($NP$11="Bell_Curve",$NN$11*(120-$NR$11+1)*($NS$11-120+1)/$NU$11,$NN$11/$NT$11)),0)</f>
        <v/>
      </c>
      <c r="DU11" s="402">
        <f>IF(AND(121&gt;=$NR$11,121&lt;=$NS$11),IF($NP$11="Single_Point",IF(121=$NR$11,$NN$11,0),IF($NP$11="Bell_Curve",$NN$11*(121-$NR$11+1)*($NS$11-121+1)/$NU$11,$NN$11/$NT$11)),0)</f>
        <v/>
      </c>
      <c r="DV11" s="402">
        <f>IF(AND(122&gt;=$NR$11,122&lt;=$NS$11),IF($NP$11="Single_Point",IF(122=$NR$11,$NN$11,0),IF($NP$11="Bell_Curve",$NN$11*(122-$NR$11+1)*($NS$11-122+1)/$NU$11,$NN$11/$NT$11)),0)</f>
        <v/>
      </c>
      <c r="DW11" s="402">
        <f>IF(AND(123&gt;=$NR$11,123&lt;=$NS$11),IF($NP$11="Single_Point",IF(123=$NR$11,$NN$11,0),IF($NP$11="Bell_Curve",$NN$11*(123-$NR$11+1)*($NS$11-123+1)/$NU$11,$NN$11/$NT$11)),0)</f>
        <v/>
      </c>
      <c r="DX11" s="402">
        <f>IF(AND(124&gt;=$NR$11,124&lt;=$NS$11),IF($NP$11="Single_Point",IF(124=$NR$11,$NN$11,0),IF($NP$11="Bell_Curve",$NN$11*(124-$NR$11+1)*($NS$11-124+1)/$NU$11,$NN$11/$NT$11)),0)</f>
        <v/>
      </c>
      <c r="DY11" s="402">
        <f>IF(AND(125&gt;=$NR$11,125&lt;=$NS$11),IF($NP$11="Single_Point",IF(125=$NR$11,$NN$11,0),IF($NP$11="Bell_Curve",$NN$11*(125-$NR$11+1)*($NS$11-125+1)/$NU$11,$NN$11/$NT$11)),0)</f>
        <v/>
      </c>
      <c r="DZ11" s="402">
        <f>IF(AND(126&gt;=$NR$11,126&lt;=$NS$11),IF($NP$11="Single_Point",IF(126=$NR$11,$NN$11,0),IF($NP$11="Bell_Curve",$NN$11*(126-$NR$11+1)*($NS$11-126+1)/$NU$11,$NN$11/$NT$11)),0)</f>
        <v/>
      </c>
      <c r="EA11" s="402">
        <f>IF(AND(127&gt;=$NR$11,127&lt;=$NS$11),IF($NP$11="Single_Point",IF(127=$NR$11,$NN$11,0),IF($NP$11="Bell_Curve",$NN$11*(127-$NR$11+1)*($NS$11-127+1)/$NU$11,$NN$11/$NT$11)),0)</f>
        <v/>
      </c>
      <c r="EB11" s="402">
        <f>IF(AND(128&gt;=$NR$11,128&lt;=$NS$11),IF($NP$11="Single_Point",IF(128=$NR$11,$NN$11,0),IF($NP$11="Bell_Curve",$NN$11*(128-$NR$11+1)*($NS$11-128+1)/$NU$11,$NN$11/$NT$11)),0)</f>
        <v/>
      </c>
      <c r="EC11" s="402">
        <f>IF(AND(129&gt;=$NR$11,129&lt;=$NS$11),IF($NP$11="Single_Point",IF(129=$NR$11,$NN$11,0),IF($NP$11="Bell_Curve",$NN$11*(129-$NR$11+1)*($NS$11-129+1)/$NU$11,$NN$11/$NT$11)),0)</f>
        <v/>
      </c>
      <c r="ED11" s="402">
        <f>IF(AND(130&gt;=$NR$11,130&lt;=$NS$11),IF($NP$11="Single_Point",IF(130=$NR$11,$NN$11,0),IF($NP$11="Bell_Curve",$NN$11*(130-$NR$11+1)*($NS$11-130+1)/$NU$11,$NN$11/$NT$11)),0)</f>
        <v/>
      </c>
      <c r="EE11" s="402">
        <f>IF(AND(131&gt;=$NR$11,131&lt;=$NS$11),IF($NP$11="Single_Point",IF(131=$NR$11,$NN$11,0),IF($NP$11="Bell_Curve",$NN$11*(131-$NR$11+1)*($NS$11-131+1)/$NU$11,$NN$11/$NT$11)),0)</f>
        <v/>
      </c>
      <c r="EF11" s="402">
        <f>IF(AND(132&gt;=$NR$11,132&lt;=$NS$11),IF($NP$11="Single_Point",IF(132=$NR$11,$NN$11,0),IF($NP$11="Bell_Curve",$NN$11*(132-$NR$11+1)*($NS$11-132+1)/$NU$11,$NN$11/$NT$11)),0)</f>
        <v/>
      </c>
      <c r="EG11" s="402">
        <f>IF(AND(133&gt;=$NR$11,133&lt;=$NS$11),IF($NP$11="Single_Point",IF(133=$NR$11,$NN$11,0),IF($NP$11="Bell_Curve",$NN$11*(133-$NR$11+1)*($NS$11-133+1)/$NU$11,$NN$11/$NT$11)),0)</f>
        <v/>
      </c>
      <c r="EH11" s="402">
        <f>IF(AND(134&gt;=$NR$11,134&lt;=$NS$11),IF($NP$11="Single_Point",IF(134=$NR$11,$NN$11,0),IF($NP$11="Bell_Curve",$NN$11*(134-$NR$11+1)*($NS$11-134+1)/$NU$11,$NN$11/$NT$11)),0)</f>
        <v/>
      </c>
      <c r="EI11" s="402">
        <f>IF(AND(135&gt;=$NR$11,135&lt;=$NS$11),IF($NP$11="Single_Point",IF(135=$NR$11,$NN$11,0),IF($NP$11="Bell_Curve",$NN$11*(135-$NR$11+1)*($NS$11-135+1)/$NU$11,$NN$11/$NT$11)),0)</f>
        <v/>
      </c>
      <c r="EJ11" s="402">
        <f>IF(AND(136&gt;=$NR$11,136&lt;=$NS$11),IF($NP$11="Single_Point",IF(136=$NR$11,$NN$11,0),IF($NP$11="Bell_Curve",$NN$11*(136-$NR$11+1)*($NS$11-136+1)/$NU$11,$NN$11/$NT$11)),0)</f>
        <v/>
      </c>
      <c r="EK11" s="402">
        <f>IF(AND(137&gt;=$NR$11,137&lt;=$NS$11),IF($NP$11="Single_Point",IF(137=$NR$11,$NN$11,0),IF($NP$11="Bell_Curve",$NN$11*(137-$NR$11+1)*($NS$11-137+1)/$NU$11,$NN$11/$NT$11)),0)</f>
        <v/>
      </c>
      <c r="EL11" s="402">
        <f>IF(AND(138&gt;=$NR$11,138&lt;=$NS$11),IF($NP$11="Single_Point",IF(138=$NR$11,$NN$11,0),IF($NP$11="Bell_Curve",$NN$11*(138-$NR$11+1)*($NS$11-138+1)/$NU$11,$NN$11/$NT$11)),0)</f>
        <v/>
      </c>
      <c r="EM11" s="402">
        <f>IF(AND(139&gt;=$NR$11,139&lt;=$NS$11),IF($NP$11="Single_Point",IF(139=$NR$11,$NN$11,0),IF($NP$11="Bell_Curve",$NN$11*(139-$NR$11+1)*($NS$11-139+1)/$NU$11,$NN$11/$NT$11)),0)</f>
        <v/>
      </c>
      <c r="EN11" s="402">
        <f>IF(AND(140&gt;=$NR$11,140&lt;=$NS$11),IF($NP$11="Single_Point",IF(140=$NR$11,$NN$11,0),IF($NP$11="Bell_Curve",$NN$11*(140-$NR$11+1)*($NS$11-140+1)/$NU$11,$NN$11/$NT$11)),0)</f>
        <v/>
      </c>
      <c r="EO11" s="402">
        <f>IF(AND(141&gt;=$NR$11,141&lt;=$NS$11),IF($NP$11="Single_Point",IF(141=$NR$11,$NN$11,0),IF($NP$11="Bell_Curve",$NN$11*(141-$NR$11+1)*($NS$11-141+1)/$NU$11,$NN$11/$NT$11)),0)</f>
        <v/>
      </c>
      <c r="EP11" s="402">
        <f>IF(AND(142&gt;=$NR$11,142&lt;=$NS$11),IF($NP$11="Single_Point",IF(142=$NR$11,$NN$11,0),IF($NP$11="Bell_Curve",$NN$11*(142-$NR$11+1)*($NS$11-142+1)/$NU$11,$NN$11/$NT$11)),0)</f>
        <v/>
      </c>
      <c r="EQ11" s="402">
        <f>IF(AND(143&gt;=$NR$11,143&lt;=$NS$11),IF($NP$11="Single_Point",IF(143=$NR$11,$NN$11,0),IF($NP$11="Bell_Curve",$NN$11*(143-$NR$11+1)*($NS$11-143+1)/$NU$11,$NN$11/$NT$11)),0)</f>
        <v/>
      </c>
      <c r="ER11" s="402">
        <f>IF(AND(144&gt;=$NR$11,144&lt;=$NS$11),IF($NP$11="Single_Point",IF(144=$NR$11,$NN$11,0),IF($NP$11="Bell_Curve",$NN$11*(144-$NR$11+1)*($NS$11-144+1)/$NU$11,$NN$11/$NT$11)),0)</f>
        <v/>
      </c>
      <c r="ES11" s="402">
        <f>IF(AND(145&gt;=$NR$11,145&lt;=$NS$11),IF($NP$11="Single_Point",IF(145=$NR$11,$NN$11,0),IF($NP$11="Bell_Curve",$NN$11*(145-$NR$11+1)*($NS$11-145+1)/$NU$11,$NN$11/$NT$11)),0)</f>
        <v/>
      </c>
      <c r="ET11" s="402">
        <f>IF(AND(146&gt;=$NR$11,146&lt;=$NS$11),IF($NP$11="Single_Point",IF(146=$NR$11,$NN$11,0),IF($NP$11="Bell_Curve",$NN$11*(146-$NR$11+1)*($NS$11-146+1)/$NU$11,$NN$11/$NT$11)),0)</f>
        <v/>
      </c>
      <c r="EU11" s="402">
        <f>IF(AND(147&gt;=$NR$11,147&lt;=$NS$11),IF($NP$11="Single_Point",IF(147=$NR$11,$NN$11,0),IF($NP$11="Bell_Curve",$NN$11*(147-$NR$11+1)*($NS$11-147+1)/$NU$11,$NN$11/$NT$11)),0)</f>
        <v/>
      </c>
      <c r="EV11" s="402">
        <f>IF(AND(148&gt;=$NR$11,148&lt;=$NS$11),IF($NP$11="Single_Point",IF(148=$NR$11,$NN$11,0),IF($NP$11="Bell_Curve",$NN$11*(148-$NR$11+1)*($NS$11-148+1)/$NU$11,$NN$11/$NT$11)),0)</f>
        <v/>
      </c>
      <c r="EW11" s="402">
        <f>IF(AND(149&gt;=$NR$11,149&lt;=$NS$11),IF($NP$11="Single_Point",IF(149=$NR$11,$NN$11,0),IF($NP$11="Bell_Curve",$NN$11*(149-$NR$11+1)*($NS$11-149+1)/$NU$11,$NN$11/$NT$11)),0)</f>
        <v/>
      </c>
      <c r="EX11" s="402">
        <f>IF(AND(150&gt;=$NR$11,150&lt;=$NS$11),IF($NP$11="Single_Point",IF(150=$NR$11,$NN$11,0),IF($NP$11="Bell_Curve",$NN$11*(150-$NR$11+1)*($NS$11-150+1)/$NU$11,$NN$11/$NT$11)),0)</f>
        <v/>
      </c>
      <c r="EY11" s="402">
        <f>IF(AND(151&gt;=$NR$11,151&lt;=$NS$11),IF($NP$11="Single_Point",IF(151=$NR$11,$NN$11,0),IF($NP$11="Bell_Curve",$NN$11*(151-$NR$11+1)*($NS$11-151+1)/$NU$11,$NN$11/$NT$11)),0)</f>
        <v/>
      </c>
      <c r="EZ11" s="402">
        <f>IF(AND(152&gt;=$NR$11,152&lt;=$NS$11),IF($NP$11="Single_Point",IF(152=$NR$11,$NN$11,0),IF($NP$11="Bell_Curve",$NN$11*(152-$NR$11+1)*($NS$11-152+1)/$NU$11,$NN$11/$NT$11)),0)</f>
        <v/>
      </c>
      <c r="FA11" s="402">
        <f>IF(AND(153&gt;=$NR$11,153&lt;=$NS$11),IF($NP$11="Single_Point",IF(153=$NR$11,$NN$11,0),IF($NP$11="Bell_Curve",$NN$11*(153-$NR$11+1)*($NS$11-153+1)/$NU$11,$NN$11/$NT$11)),0)</f>
        <v/>
      </c>
      <c r="FB11" s="402">
        <f>IF(AND(154&gt;=$NR$11,154&lt;=$NS$11),IF($NP$11="Single_Point",IF(154=$NR$11,$NN$11,0),IF($NP$11="Bell_Curve",$NN$11*(154-$NR$11+1)*($NS$11-154+1)/$NU$11,$NN$11/$NT$11)),0)</f>
        <v/>
      </c>
      <c r="FC11" s="402">
        <f>IF(AND(155&gt;=$NR$11,155&lt;=$NS$11),IF($NP$11="Single_Point",IF(155=$NR$11,$NN$11,0),IF($NP$11="Bell_Curve",$NN$11*(155-$NR$11+1)*($NS$11-155+1)/$NU$11,$NN$11/$NT$11)),0)</f>
        <v/>
      </c>
      <c r="FD11" s="402">
        <f>IF(AND(156&gt;=$NR$11,156&lt;=$NS$11),IF($NP$11="Single_Point",IF(156=$NR$11,$NN$11,0),IF($NP$11="Bell_Curve",$NN$11*(156-$NR$11+1)*($NS$11-156+1)/$NU$11,$NN$11/$NT$11)),0)</f>
        <v/>
      </c>
      <c r="FE11" s="402">
        <f>IF(AND(157&gt;=$NR$11,157&lt;=$NS$11),IF($NP$11="Single_Point",IF(157=$NR$11,$NN$11,0),IF($NP$11="Bell_Curve",$NN$11*(157-$NR$11+1)*($NS$11-157+1)/$NU$11,$NN$11/$NT$11)),0)</f>
        <v/>
      </c>
      <c r="FF11" s="402">
        <f>IF(AND(158&gt;=$NR$11,158&lt;=$NS$11),IF($NP$11="Single_Point",IF(158=$NR$11,$NN$11,0),IF($NP$11="Bell_Curve",$NN$11*(158-$NR$11+1)*($NS$11-158+1)/$NU$11,$NN$11/$NT$11)),0)</f>
        <v/>
      </c>
      <c r="FG11" s="402">
        <f>IF(AND(159&gt;=$NR$11,159&lt;=$NS$11),IF($NP$11="Single_Point",IF(159=$NR$11,$NN$11,0),IF($NP$11="Bell_Curve",$NN$11*(159-$NR$11+1)*($NS$11-159+1)/$NU$11,$NN$11/$NT$11)),0)</f>
        <v/>
      </c>
      <c r="FH11" s="402">
        <f>IF(AND(160&gt;=$NR$11,160&lt;=$NS$11),IF($NP$11="Single_Point",IF(160=$NR$11,$NN$11,0),IF($NP$11="Bell_Curve",$NN$11*(160-$NR$11+1)*($NS$11-160+1)/$NU$11,$NN$11/$NT$11)),0)</f>
        <v/>
      </c>
      <c r="FI11" s="402">
        <f>IF(AND(161&gt;=$NR$11,161&lt;=$NS$11),IF($NP$11="Single_Point",IF(161=$NR$11,$NN$11,0),IF($NP$11="Bell_Curve",$NN$11*(161-$NR$11+1)*($NS$11-161+1)/$NU$11,$NN$11/$NT$11)),0)</f>
        <v/>
      </c>
      <c r="FJ11" s="402">
        <f>IF(AND(162&gt;=$NR$11,162&lt;=$NS$11),IF($NP$11="Single_Point",IF(162=$NR$11,$NN$11,0),IF($NP$11="Bell_Curve",$NN$11*(162-$NR$11+1)*($NS$11-162+1)/$NU$11,$NN$11/$NT$11)),0)</f>
        <v/>
      </c>
      <c r="FK11" s="402">
        <f>IF(AND(163&gt;=$NR$11,163&lt;=$NS$11),IF($NP$11="Single_Point",IF(163=$NR$11,$NN$11,0),IF($NP$11="Bell_Curve",$NN$11*(163-$NR$11+1)*($NS$11-163+1)/$NU$11,$NN$11/$NT$11)),0)</f>
        <v/>
      </c>
      <c r="FL11" s="402">
        <f>IF(AND(164&gt;=$NR$11,164&lt;=$NS$11),IF($NP$11="Single_Point",IF(164=$NR$11,$NN$11,0),IF($NP$11="Bell_Curve",$NN$11*(164-$NR$11+1)*($NS$11-164+1)/$NU$11,$NN$11/$NT$11)),0)</f>
        <v/>
      </c>
      <c r="FM11" s="402">
        <f>IF(AND(165&gt;=$NR$11,165&lt;=$NS$11),IF($NP$11="Single_Point",IF(165=$NR$11,$NN$11,0),IF($NP$11="Bell_Curve",$NN$11*(165-$NR$11+1)*($NS$11-165+1)/$NU$11,$NN$11/$NT$11)),0)</f>
        <v/>
      </c>
      <c r="FN11" s="402">
        <f>IF(AND(166&gt;=$NR$11,166&lt;=$NS$11),IF($NP$11="Single_Point",IF(166=$NR$11,$NN$11,0),IF($NP$11="Bell_Curve",$NN$11*(166-$NR$11+1)*($NS$11-166+1)/$NU$11,$NN$11/$NT$11)),0)</f>
        <v/>
      </c>
      <c r="FO11" s="402">
        <f>IF(AND(167&gt;=$NR$11,167&lt;=$NS$11),IF($NP$11="Single_Point",IF(167=$NR$11,$NN$11,0),IF($NP$11="Bell_Curve",$NN$11*(167-$NR$11+1)*($NS$11-167+1)/$NU$11,$NN$11/$NT$11)),0)</f>
        <v/>
      </c>
      <c r="FP11" s="402">
        <f>IF(AND(168&gt;=$NR$11,168&lt;=$NS$11),IF($NP$11="Single_Point",IF(168=$NR$11,$NN$11,0),IF($NP$11="Bell_Curve",$NN$11*(168-$NR$11+1)*($NS$11-168+1)/$NU$11,$NN$11/$NT$11)),0)</f>
        <v/>
      </c>
      <c r="FQ11" s="402">
        <f>IF(AND(169&gt;=$NR$11,169&lt;=$NS$11),IF($NP$11="Single_Point",IF(169=$NR$11,$NN$11,0),IF($NP$11="Bell_Curve",$NN$11*(169-$NR$11+1)*($NS$11-169+1)/$NU$11,$NN$11/$NT$11)),0)</f>
        <v/>
      </c>
      <c r="FR11" s="402">
        <f>IF(AND(170&gt;=$NR$11,170&lt;=$NS$11),IF($NP$11="Single_Point",IF(170=$NR$11,$NN$11,0),IF($NP$11="Bell_Curve",$NN$11*(170-$NR$11+1)*($NS$11-170+1)/$NU$11,$NN$11/$NT$11)),0)</f>
        <v/>
      </c>
      <c r="FS11" s="402">
        <f>IF(AND(171&gt;=$NR$11,171&lt;=$NS$11),IF($NP$11="Single_Point",IF(171=$NR$11,$NN$11,0),IF($NP$11="Bell_Curve",$NN$11*(171-$NR$11+1)*($NS$11-171+1)/$NU$11,$NN$11/$NT$11)),0)</f>
        <v/>
      </c>
      <c r="FT11" s="402">
        <f>IF(AND(172&gt;=$NR$11,172&lt;=$NS$11),IF($NP$11="Single_Point",IF(172=$NR$11,$NN$11,0),IF($NP$11="Bell_Curve",$NN$11*(172-$NR$11+1)*($NS$11-172+1)/$NU$11,$NN$11/$NT$11)),0)</f>
        <v/>
      </c>
      <c r="FU11" s="402">
        <f>IF(AND(173&gt;=$NR$11,173&lt;=$NS$11),IF($NP$11="Single_Point",IF(173=$NR$11,$NN$11,0),IF($NP$11="Bell_Curve",$NN$11*(173-$NR$11+1)*($NS$11-173+1)/$NU$11,$NN$11/$NT$11)),0)</f>
        <v/>
      </c>
      <c r="FV11" s="402">
        <f>IF(AND(174&gt;=$NR$11,174&lt;=$NS$11),IF($NP$11="Single_Point",IF(174=$NR$11,$NN$11,0),IF($NP$11="Bell_Curve",$NN$11*(174-$NR$11+1)*($NS$11-174+1)/$NU$11,$NN$11/$NT$11)),0)</f>
        <v/>
      </c>
      <c r="FW11" s="402">
        <f>IF(AND(175&gt;=$NR$11,175&lt;=$NS$11),IF($NP$11="Single_Point",IF(175=$NR$11,$NN$11,0),IF($NP$11="Bell_Curve",$NN$11*(175-$NR$11+1)*($NS$11-175+1)/$NU$11,$NN$11/$NT$11)),0)</f>
        <v/>
      </c>
      <c r="FX11" s="402">
        <f>IF(AND(176&gt;=$NR$11,176&lt;=$NS$11),IF($NP$11="Single_Point",IF(176=$NR$11,$NN$11,0),IF($NP$11="Bell_Curve",$NN$11*(176-$NR$11+1)*($NS$11-176+1)/$NU$11,$NN$11/$NT$11)),0)</f>
        <v/>
      </c>
      <c r="FY11" s="402">
        <f>IF(AND(177&gt;=$NR$11,177&lt;=$NS$11),IF($NP$11="Single_Point",IF(177=$NR$11,$NN$11,0),IF($NP$11="Bell_Curve",$NN$11*(177-$NR$11+1)*($NS$11-177+1)/$NU$11,$NN$11/$NT$11)),0)</f>
        <v/>
      </c>
      <c r="FZ11" s="402">
        <f>IF(AND(178&gt;=$NR$11,178&lt;=$NS$11),IF($NP$11="Single_Point",IF(178=$NR$11,$NN$11,0),IF($NP$11="Bell_Curve",$NN$11*(178-$NR$11+1)*($NS$11-178+1)/$NU$11,$NN$11/$NT$11)),0)</f>
        <v/>
      </c>
      <c r="GA11" s="402">
        <f>IF(AND(179&gt;=$NR$11,179&lt;=$NS$11),IF($NP$11="Single_Point",IF(179=$NR$11,$NN$11,0),IF($NP$11="Bell_Curve",$NN$11*(179-$NR$11+1)*($NS$11-179+1)/$NU$11,$NN$11/$NT$11)),0)</f>
        <v/>
      </c>
      <c r="GB11" s="402">
        <f>IF(AND(180&gt;=$NR$11,180&lt;=$NS$11),IF($NP$11="Single_Point",IF(180=$NR$11,$NN$11,0),IF($NP$11="Bell_Curve",$NN$11*(180-$NR$11+1)*($NS$11-180+1)/$NU$11,$NN$11/$NT$11)),0)</f>
        <v/>
      </c>
      <c r="GC11" s="402">
        <f>IF(AND(181&gt;=$NR$11,181&lt;=$NS$11),IF($NP$11="Single_Point",IF(181=$NR$11,$NN$11,0),IF($NP$11="Bell_Curve",$NN$11*(181-$NR$11+1)*($NS$11-181+1)/$NU$11,$NN$11/$NT$11)),0)</f>
        <v/>
      </c>
      <c r="GD11" s="402">
        <f>IF(AND(182&gt;=$NR$11,182&lt;=$NS$11),IF($NP$11="Single_Point",IF(182=$NR$11,$NN$11,0),IF($NP$11="Bell_Curve",$NN$11*(182-$NR$11+1)*($NS$11-182+1)/$NU$11,$NN$11/$NT$11)),0)</f>
        <v/>
      </c>
      <c r="GE11" s="402">
        <f>IF(AND(183&gt;=$NR$11,183&lt;=$NS$11),IF($NP$11="Single_Point",IF(183=$NR$11,$NN$11,0),IF($NP$11="Bell_Curve",$NN$11*(183-$NR$11+1)*($NS$11-183+1)/$NU$11,$NN$11/$NT$11)),0)</f>
        <v/>
      </c>
      <c r="GF11" s="402">
        <f>IF(AND(184&gt;=$NR$11,184&lt;=$NS$11),IF($NP$11="Single_Point",IF(184=$NR$11,$NN$11,0),IF($NP$11="Bell_Curve",$NN$11*(184-$NR$11+1)*($NS$11-184+1)/$NU$11,$NN$11/$NT$11)),0)</f>
        <v/>
      </c>
      <c r="GG11" s="402">
        <f>IF(AND(185&gt;=$NR$11,185&lt;=$NS$11),IF($NP$11="Single_Point",IF(185=$NR$11,$NN$11,0),IF($NP$11="Bell_Curve",$NN$11*(185-$NR$11+1)*($NS$11-185+1)/$NU$11,$NN$11/$NT$11)),0)</f>
        <v/>
      </c>
      <c r="GH11" s="402">
        <f>IF(AND(186&gt;=$NR$11,186&lt;=$NS$11),IF($NP$11="Single_Point",IF(186=$NR$11,$NN$11,0),IF($NP$11="Bell_Curve",$NN$11*(186-$NR$11+1)*($NS$11-186+1)/$NU$11,$NN$11/$NT$11)),0)</f>
        <v/>
      </c>
      <c r="GI11" s="402">
        <f>IF(AND(187&gt;=$NR$11,187&lt;=$NS$11),IF($NP$11="Single_Point",IF(187=$NR$11,$NN$11,0),IF($NP$11="Bell_Curve",$NN$11*(187-$NR$11+1)*($NS$11-187+1)/$NU$11,$NN$11/$NT$11)),0)</f>
        <v/>
      </c>
      <c r="GJ11" s="402">
        <f>IF(AND(188&gt;=$NR$11,188&lt;=$NS$11),IF($NP$11="Single_Point",IF(188=$NR$11,$NN$11,0),IF($NP$11="Bell_Curve",$NN$11*(188-$NR$11+1)*($NS$11-188+1)/$NU$11,$NN$11/$NT$11)),0)</f>
        <v/>
      </c>
      <c r="GK11" s="402">
        <f>IF(AND(189&gt;=$NR$11,189&lt;=$NS$11),IF($NP$11="Single_Point",IF(189=$NR$11,$NN$11,0),IF($NP$11="Bell_Curve",$NN$11*(189-$NR$11+1)*($NS$11-189+1)/$NU$11,$NN$11/$NT$11)),0)</f>
        <v/>
      </c>
      <c r="GL11" s="402">
        <f>IF(AND(190&gt;=$NR$11,190&lt;=$NS$11),IF($NP$11="Single_Point",IF(190=$NR$11,$NN$11,0),IF($NP$11="Bell_Curve",$NN$11*(190-$NR$11+1)*($NS$11-190+1)/$NU$11,$NN$11/$NT$11)),0)</f>
        <v/>
      </c>
      <c r="GM11" s="402">
        <f>IF(AND(191&gt;=$NR$11,191&lt;=$NS$11),IF($NP$11="Single_Point",IF(191=$NR$11,$NN$11,0),IF($NP$11="Bell_Curve",$NN$11*(191-$NR$11+1)*($NS$11-191+1)/$NU$11,$NN$11/$NT$11)),0)</f>
        <v/>
      </c>
      <c r="GN11" s="402">
        <f>IF(AND(192&gt;=$NR$11,192&lt;=$NS$11),IF($NP$11="Single_Point",IF(192=$NR$11,$NN$11,0),IF($NP$11="Bell_Curve",$NN$11*(192-$NR$11+1)*($NS$11-192+1)/$NU$11,$NN$11/$NT$11)),0)</f>
        <v/>
      </c>
      <c r="GO11" s="402">
        <f>IF(AND(193&gt;=$NR$11,193&lt;=$NS$11),IF($NP$11="Single_Point",IF(193=$NR$11,$NN$11,0),IF($NP$11="Bell_Curve",$NN$11*(193-$NR$11+1)*($NS$11-193+1)/$NU$11,$NN$11/$NT$11)),0)</f>
        <v/>
      </c>
      <c r="GP11" s="402">
        <f>IF(AND(194&gt;=$NR$11,194&lt;=$NS$11),IF($NP$11="Single_Point",IF(194=$NR$11,$NN$11,0),IF($NP$11="Bell_Curve",$NN$11*(194-$NR$11+1)*($NS$11-194+1)/$NU$11,$NN$11/$NT$11)),0)</f>
        <v/>
      </c>
      <c r="GQ11" s="402">
        <f>IF(AND(195&gt;=$NR$11,195&lt;=$NS$11),IF($NP$11="Single_Point",IF(195=$NR$11,$NN$11,0),IF($NP$11="Bell_Curve",$NN$11*(195-$NR$11+1)*($NS$11-195+1)/$NU$11,$NN$11/$NT$11)),0)</f>
        <v/>
      </c>
      <c r="GR11" s="402">
        <f>IF(AND(196&gt;=$NR$11,196&lt;=$NS$11),IF($NP$11="Single_Point",IF(196=$NR$11,$NN$11,0),IF($NP$11="Bell_Curve",$NN$11*(196-$NR$11+1)*($NS$11-196+1)/$NU$11,$NN$11/$NT$11)),0)</f>
        <v/>
      </c>
      <c r="GS11" s="402">
        <f>IF(AND(197&gt;=$NR$11,197&lt;=$NS$11),IF($NP$11="Single_Point",IF(197=$NR$11,$NN$11,0),IF($NP$11="Bell_Curve",$NN$11*(197-$NR$11+1)*($NS$11-197+1)/$NU$11,$NN$11/$NT$11)),0)</f>
        <v/>
      </c>
      <c r="GT11" s="402">
        <f>IF(AND(198&gt;=$NR$11,198&lt;=$NS$11),IF($NP$11="Single_Point",IF(198=$NR$11,$NN$11,0),IF($NP$11="Bell_Curve",$NN$11*(198-$NR$11+1)*($NS$11-198+1)/$NU$11,$NN$11/$NT$11)),0)</f>
        <v/>
      </c>
      <c r="GU11" s="402">
        <f>IF(AND(199&gt;=$NR$11,199&lt;=$NS$11),IF($NP$11="Single_Point",IF(199=$NR$11,$NN$11,0),IF($NP$11="Bell_Curve",$NN$11*(199-$NR$11+1)*($NS$11-199+1)/$NU$11,$NN$11/$NT$11)),0)</f>
        <v/>
      </c>
      <c r="GV11" s="402">
        <f>IF(AND(200&gt;=$NR$11,200&lt;=$NS$11),IF($NP$11="Single_Point",IF(200=$NR$11,$NN$11,0),IF($NP$11="Bell_Curve",$NN$11*(200-$NR$11+1)*($NS$11-200+1)/$NU$11,$NN$11/$NT$11)),0)</f>
        <v/>
      </c>
      <c r="GW11" s="402">
        <f>IF(AND(201&gt;=$NR$11,201&lt;=$NS$11),IF($NP$11="Single_Point",IF(201=$NR$11,$NN$11,0),IF($NP$11="Bell_Curve",$NN$11*(201-$NR$11+1)*($NS$11-201+1)/$NU$11,$NN$11/$NT$11)),0)</f>
        <v/>
      </c>
      <c r="GX11" s="402">
        <f>IF(AND(202&gt;=$NR$11,202&lt;=$NS$11),IF($NP$11="Single_Point",IF(202=$NR$11,$NN$11,0),IF($NP$11="Bell_Curve",$NN$11*(202-$NR$11+1)*($NS$11-202+1)/$NU$11,$NN$11/$NT$11)),0)</f>
        <v/>
      </c>
      <c r="GY11" s="402">
        <f>IF(AND(203&gt;=$NR$11,203&lt;=$NS$11),IF($NP$11="Single_Point",IF(203=$NR$11,$NN$11,0),IF($NP$11="Bell_Curve",$NN$11*(203-$NR$11+1)*($NS$11-203+1)/$NU$11,$NN$11/$NT$11)),0)</f>
        <v/>
      </c>
      <c r="GZ11" s="402">
        <f>IF(AND(204&gt;=$NR$11,204&lt;=$NS$11),IF($NP$11="Single_Point",IF(204=$NR$11,$NN$11,0),IF($NP$11="Bell_Curve",$NN$11*(204-$NR$11+1)*($NS$11-204+1)/$NU$11,$NN$11/$NT$11)),0)</f>
        <v/>
      </c>
      <c r="HA11" s="402">
        <f>IF(AND(205&gt;=$NR$11,205&lt;=$NS$11),IF($NP$11="Single_Point",IF(205=$NR$11,$NN$11,0),IF($NP$11="Bell_Curve",$NN$11*(205-$NR$11+1)*($NS$11-205+1)/$NU$11,$NN$11/$NT$11)),0)</f>
        <v/>
      </c>
      <c r="HB11" s="402">
        <f>IF(AND(206&gt;=$NR$11,206&lt;=$NS$11),IF($NP$11="Single_Point",IF(206=$NR$11,$NN$11,0),IF($NP$11="Bell_Curve",$NN$11*(206-$NR$11+1)*($NS$11-206+1)/$NU$11,$NN$11/$NT$11)),0)</f>
        <v/>
      </c>
      <c r="HC11" s="402">
        <f>IF(AND(207&gt;=$NR$11,207&lt;=$NS$11),IF($NP$11="Single_Point",IF(207=$NR$11,$NN$11,0),IF($NP$11="Bell_Curve",$NN$11*(207-$NR$11+1)*($NS$11-207+1)/$NU$11,$NN$11/$NT$11)),0)</f>
        <v/>
      </c>
      <c r="HD11" s="402">
        <f>IF(AND(208&gt;=$NR$11,208&lt;=$NS$11),IF($NP$11="Single_Point",IF(208=$NR$11,$NN$11,0),IF($NP$11="Bell_Curve",$NN$11*(208-$NR$11+1)*($NS$11-208+1)/$NU$11,$NN$11/$NT$11)),0)</f>
        <v/>
      </c>
      <c r="HE11" s="402">
        <f>IF(AND(209&gt;=$NR$11,209&lt;=$NS$11),IF($NP$11="Single_Point",IF(209=$NR$11,$NN$11,0),IF($NP$11="Bell_Curve",$NN$11*(209-$NR$11+1)*($NS$11-209+1)/$NU$11,$NN$11/$NT$11)),0)</f>
        <v/>
      </c>
      <c r="HF11" s="402">
        <f>IF(AND(210&gt;=$NR$11,210&lt;=$NS$11),IF($NP$11="Single_Point",IF(210=$NR$11,$NN$11,0),IF($NP$11="Bell_Curve",$NN$11*(210-$NR$11+1)*($NS$11-210+1)/$NU$11,$NN$11/$NT$11)),0)</f>
        <v/>
      </c>
      <c r="HG11" s="402">
        <f>IF(AND(211&gt;=$NR$11,211&lt;=$NS$11),IF($NP$11="Single_Point",IF(211=$NR$11,$NN$11,0),IF($NP$11="Bell_Curve",$NN$11*(211-$NR$11+1)*($NS$11-211+1)/$NU$11,$NN$11/$NT$11)),0)</f>
        <v/>
      </c>
      <c r="HH11" s="402">
        <f>IF(AND(212&gt;=$NR$11,212&lt;=$NS$11),IF($NP$11="Single_Point",IF(212=$NR$11,$NN$11,0),IF($NP$11="Bell_Curve",$NN$11*(212-$NR$11+1)*($NS$11-212+1)/$NU$11,$NN$11/$NT$11)),0)</f>
        <v/>
      </c>
      <c r="HI11" s="402">
        <f>IF(AND(213&gt;=$NR$11,213&lt;=$NS$11),IF($NP$11="Single_Point",IF(213=$NR$11,$NN$11,0),IF($NP$11="Bell_Curve",$NN$11*(213-$NR$11+1)*($NS$11-213+1)/$NU$11,$NN$11/$NT$11)),0)</f>
        <v/>
      </c>
      <c r="HJ11" s="402">
        <f>IF(AND(214&gt;=$NR$11,214&lt;=$NS$11),IF($NP$11="Single_Point",IF(214=$NR$11,$NN$11,0),IF($NP$11="Bell_Curve",$NN$11*(214-$NR$11+1)*($NS$11-214+1)/$NU$11,$NN$11/$NT$11)),0)</f>
        <v/>
      </c>
      <c r="HK11" s="402">
        <f>IF(AND(215&gt;=$NR$11,215&lt;=$NS$11),IF($NP$11="Single_Point",IF(215=$NR$11,$NN$11,0),IF($NP$11="Bell_Curve",$NN$11*(215-$NR$11+1)*($NS$11-215+1)/$NU$11,$NN$11/$NT$11)),0)</f>
        <v/>
      </c>
      <c r="HL11" s="402">
        <f>IF(AND(216&gt;=$NR$11,216&lt;=$NS$11),IF($NP$11="Single_Point",IF(216=$NR$11,$NN$11,0),IF($NP$11="Bell_Curve",$NN$11*(216-$NR$11+1)*($NS$11-216+1)/$NU$11,$NN$11/$NT$11)),0)</f>
        <v/>
      </c>
      <c r="HM11" s="402">
        <f>IF(AND(217&gt;=$NR$11,217&lt;=$NS$11),IF($NP$11="Single_Point",IF(217=$NR$11,$NN$11,0),IF($NP$11="Bell_Curve",$NN$11*(217-$NR$11+1)*($NS$11-217+1)/$NU$11,$NN$11/$NT$11)),0)</f>
        <v/>
      </c>
      <c r="HN11" s="402">
        <f>IF(AND(218&gt;=$NR$11,218&lt;=$NS$11),IF($NP$11="Single_Point",IF(218=$NR$11,$NN$11,0),IF($NP$11="Bell_Curve",$NN$11*(218-$NR$11+1)*($NS$11-218+1)/$NU$11,$NN$11/$NT$11)),0)</f>
        <v/>
      </c>
      <c r="HO11" s="402">
        <f>IF(AND(219&gt;=$NR$11,219&lt;=$NS$11),IF($NP$11="Single_Point",IF(219=$NR$11,$NN$11,0),IF($NP$11="Bell_Curve",$NN$11*(219-$NR$11+1)*($NS$11-219+1)/$NU$11,$NN$11/$NT$11)),0)</f>
        <v/>
      </c>
      <c r="HP11" s="402">
        <f>IF(AND(220&gt;=$NR$11,220&lt;=$NS$11),IF($NP$11="Single_Point",IF(220=$NR$11,$NN$11,0),IF($NP$11="Bell_Curve",$NN$11*(220-$NR$11+1)*($NS$11-220+1)/$NU$11,$NN$11/$NT$11)),0)</f>
        <v/>
      </c>
      <c r="HQ11" s="402">
        <f>IF(AND(221&gt;=$NR$11,221&lt;=$NS$11),IF($NP$11="Single_Point",IF(221=$NR$11,$NN$11,0),IF($NP$11="Bell_Curve",$NN$11*(221-$NR$11+1)*($NS$11-221+1)/$NU$11,$NN$11/$NT$11)),0)</f>
        <v/>
      </c>
      <c r="HR11" s="402">
        <f>IF(AND(222&gt;=$NR$11,222&lt;=$NS$11),IF($NP$11="Single_Point",IF(222=$NR$11,$NN$11,0),IF($NP$11="Bell_Curve",$NN$11*(222-$NR$11+1)*($NS$11-222+1)/$NU$11,$NN$11/$NT$11)),0)</f>
        <v/>
      </c>
      <c r="HS11" s="402">
        <f>IF(AND(223&gt;=$NR$11,223&lt;=$NS$11),IF($NP$11="Single_Point",IF(223=$NR$11,$NN$11,0),IF($NP$11="Bell_Curve",$NN$11*(223-$NR$11+1)*($NS$11-223+1)/$NU$11,$NN$11/$NT$11)),0)</f>
        <v/>
      </c>
      <c r="HT11" s="402">
        <f>IF(AND(224&gt;=$NR$11,224&lt;=$NS$11),IF($NP$11="Single_Point",IF(224=$NR$11,$NN$11,0),IF($NP$11="Bell_Curve",$NN$11*(224-$NR$11+1)*($NS$11-224+1)/$NU$11,$NN$11/$NT$11)),0)</f>
        <v/>
      </c>
      <c r="HU11" s="402">
        <f>IF(AND(225&gt;=$NR$11,225&lt;=$NS$11),IF($NP$11="Single_Point",IF(225=$NR$11,$NN$11,0),IF($NP$11="Bell_Curve",$NN$11*(225-$NR$11+1)*($NS$11-225+1)/$NU$11,$NN$11/$NT$11)),0)</f>
        <v/>
      </c>
      <c r="HV11" s="402">
        <f>IF(AND(226&gt;=$NR$11,226&lt;=$NS$11),IF($NP$11="Single_Point",IF(226=$NR$11,$NN$11,0),IF($NP$11="Bell_Curve",$NN$11*(226-$NR$11+1)*($NS$11-226+1)/$NU$11,$NN$11/$NT$11)),0)</f>
        <v/>
      </c>
      <c r="HW11" s="402">
        <f>IF(AND(227&gt;=$NR$11,227&lt;=$NS$11),IF($NP$11="Single_Point",IF(227=$NR$11,$NN$11,0),IF($NP$11="Bell_Curve",$NN$11*(227-$NR$11+1)*($NS$11-227+1)/$NU$11,$NN$11/$NT$11)),0)</f>
        <v/>
      </c>
      <c r="HX11" s="402">
        <f>IF(AND(228&gt;=$NR$11,228&lt;=$NS$11),IF($NP$11="Single_Point",IF(228=$NR$11,$NN$11,0),IF($NP$11="Bell_Curve",$NN$11*(228-$NR$11+1)*($NS$11-228+1)/$NU$11,$NN$11/$NT$11)),0)</f>
        <v/>
      </c>
      <c r="HY11" s="402">
        <f>IF(AND(229&gt;=$NR$11,229&lt;=$NS$11),IF($NP$11="Single_Point",IF(229=$NR$11,$NN$11,0),IF($NP$11="Bell_Curve",$NN$11*(229-$NR$11+1)*($NS$11-229+1)/$NU$11,$NN$11/$NT$11)),0)</f>
        <v/>
      </c>
      <c r="HZ11" s="402">
        <f>IF(AND(230&gt;=$NR$11,230&lt;=$NS$11),IF($NP$11="Single_Point",IF(230=$NR$11,$NN$11,0),IF($NP$11="Bell_Curve",$NN$11*(230-$NR$11+1)*($NS$11-230+1)/$NU$11,$NN$11/$NT$11)),0)</f>
        <v/>
      </c>
      <c r="IA11" s="402">
        <f>IF(AND(231&gt;=$NR$11,231&lt;=$NS$11),IF($NP$11="Single_Point",IF(231=$NR$11,$NN$11,0),IF($NP$11="Bell_Curve",$NN$11*(231-$NR$11+1)*($NS$11-231+1)/$NU$11,$NN$11/$NT$11)),0)</f>
        <v/>
      </c>
      <c r="IB11" s="402">
        <f>IF(AND(232&gt;=$NR$11,232&lt;=$NS$11),IF($NP$11="Single_Point",IF(232=$NR$11,$NN$11,0),IF($NP$11="Bell_Curve",$NN$11*(232-$NR$11+1)*($NS$11-232+1)/$NU$11,$NN$11/$NT$11)),0)</f>
        <v/>
      </c>
      <c r="IC11" s="402">
        <f>IF(AND(233&gt;=$NR$11,233&lt;=$NS$11),IF($NP$11="Single_Point",IF(233=$NR$11,$NN$11,0),IF($NP$11="Bell_Curve",$NN$11*(233-$NR$11+1)*($NS$11-233+1)/$NU$11,$NN$11/$NT$11)),0)</f>
        <v/>
      </c>
      <c r="ID11" s="402">
        <f>IF(AND(234&gt;=$NR$11,234&lt;=$NS$11),IF($NP$11="Single_Point",IF(234=$NR$11,$NN$11,0),IF($NP$11="Bell_Curve",$NN$11*(234-$NR$11+1)*($NS$11-234+1)/$NU$11,$NN$11/$NT$11)),0)</f>
        <v/>
      </c>
      <c r="IE11" s="402">
        <f>IF(AND(235&gt;=$NR$11,235&lt;=$NS$11),IF($NP$11="Single_Point",IF(235=$NR$11,$NN$11,0),IF($NP$11="Bell_Curve",$NN$11*(235-$NR$11+1)*($NS$11-235+1)/$NU$11,$NN$11/$NT$11)),0)</f>
        <v/>
      </c>
      <c r="IF11" s="402">
        <f>IF(AND(236&gt;=$NR$11,236&lt;=$NS$11),IF($NP$11="Single_Point",IF(236=$NR$11,$NN$11,0),IF($NP$11="Bell_Curve",$NN$11*(236-$NR$11+1)*($NS$11-236+1)/$NU$11,$NN$11/$NT$11)),0)</f>
        <v/>
      </c>
      <c r="IG11" s="402">
        <f>IF(AND(237&gt;=$NR$11,237&lt;=$NS$11),IF($NP$11="Single_Point",IF(237=$NR$11,$NN$11,0),IF($NP$11="Bell_Curve",$NN$11*(237-$NR$11+1)*($NS$11-237+1)/$NU$11,$NN$11/$NT$11)),0)</f>
        <v/>
      </c>
      <c r="IH11" s="402">
        <f>IF(AND(238&gt;=$NR$11,238&lt;=$NS$11),IF($NP$11="Single_Point",IF(238=$NR$11,$NN$11,0),IF($NP$11="Bell_Curve",$NN$11*(238-$NR$11+1)*($NS$11-238+1)/$NU$11,$NN$11/$NT$11)),0)</f>
        <v/>
      </c>
      <c r="II11" s="402">
        <f>IF(AND(239&gt;=$NR$11,239&lt;=$NS$11),IF($NP$11="Single_Point",IF(239=$NR$11,$NN$11,0),IF($NP$11="Bell_Curve",$NN$11*(239-$NR$11+1)*($NS$11-239+1)/$NU$11,$NN$11/$NT$11)),0)</f>
        <v/>
      </c>
      <c r="IJ11" s="402">
        <f>IF(AND(240&gt;=$NR$11,240&lt;=$NS$11),IF($NP$11="Single_Point",IF(240=$NR$11,$NN$11,0),IF($NP$11="Bell_Curve",$NN$11*(240-$NR$11+1)*($NS$11-240+1)/$NU$11,$NN$11/$NT$11)),0)</f>
        <v/>
      </c>
      <c r="IK11" s="402">
        <f>IF(AND(241&gt;=$NR$11,241&lt;=$NS$11),IF($NP$11="Single_Point",IF(241=$NR$11,$NN$11,0),IF($NP$11="Bell_Curve",$NN$11*(241-$NR$11+1)*($NS$11-241+1)/$NU$11,$NN$11/$NT$11)),0)</f>
        <v/>
      </c>
      <c r="IL11" s="402">
        <f>IF(AND(242&gt;=$NR$11,242&lt;=$NS$11),IF($NP$11="Single_Point",IF(242=$NR$11,$NN$11,0),IF($NP$11="Bell_Curve",$NN$11*(242-$NR$11+1)*($NS$11-242+1)/$NU$11,$NN$11/$NT$11)),0)</f>
        <v/>
      </c>
      <c r="IM11" s="402">
        <f>IF(AND(243&gt;=$NR$11,243&lt;=$NS$11),IF($NP$11="Single_Point",IF(243=$NR$11,$NN$11,0),IF($NP$11="Bell_Curve",$NN$11*(243-$NR$11+1)*($NS$11-243+1)/$NU$11,$NN$11/$NT$11)),0)</f>
        <v/>
      </c>
      <c r="IN11" s="402">
        <f>IF(AND(244&gt;=$NR$11,244&lt;=$NS$11),IF($NP$11="Single_Point",IF(244=$NR$11,$NN$11,0),IF($NP$11="Bell_Curve",$NN$11*(244-$NR$11+1)*($NS$11-244+1)/$NU$11,$NN$11/$NT$11)),0)</f>
        <v/>
      </c>
      <c r="IO11" s="402">
        <f>IF(AND(245&gt;=$NR$11,245&lt;=$NS$11),IF($NP$11="Single_Point",IF(245=$NR$11,$NN$11,0),IF($NP$11="Bell_Curve",$NN$11*(245-$NR$11+1)*($NS$11-245+1)/$NU$11,$NN$11/$NT$11)),0)</f>
        <v/>
      </c>
      <c r="IP11" s="402">
        <f>IF(AND(246&gt;=$NR$11,246&lt;=$NS$11),IF($NP$11="Single_Point",IF(246=$NR$11,$NN$11,0),IF($NP$11="Bell_Curve",$NN$11*(246-$NR$11+1)*($NS$11-246+1)/$NU$11,$NN$11/$NT$11)),0)</f>
        <v/>
      </c>
      <c r="IQ11" s="402">
        <f>IF(AND(247&gt;=$NR$11,247&lt;=$NS$11),IF($NP$11="Single_Point",IF(247=$NR$11,$NN$11,0),IF($NP$11="Bell_Curve",$NN$11*(247-$NR$11+1)*($NS$11-247+1)/$NU$11,$NN$11/$NT$11)),0)</f>
        <v/>
      </c>
      <c r="IR11" s="402">
        <f>IF(AND(248&gt;=$NR$11,248&lt;=$NS$11),IF($NP$11="Single_Point",IF(248=$NR$11,$NN$11,0),IF($NP$11="Bell_Curve",$NN$11*(248-$NR$11+1)*($NS$11-248+1)/$NU$11,$NN$11/$NT$11)),0)</f>
        <v/>
      </c>
      <c r="IS11" s="402">
        <f>IF(AND(249&gt;=$NR$11,249&lt;=$NS$11),IF($NP$11="Single_Point",IF(249=$NR$11,$NN$11,0),IF($NP$11="Bell_Curve",$NN$11*(249-$NR$11+1)*($NS$11-249+1)/$NU$11,$NN$11/$NT$11)),0)</f>
        <v/>
      </c>
      <c r="IT11" s="402">
        <f>IF(AND(250&gt;=$NR$11,250&lt;=$NS$11),IF($NP$11="Single_Point",IF(250=$NR$11,$NN$11,0),IF($NP$11="Bell_Curve",$NN$11*(250-$NR$11+1)*($NS$11-250+1)/$NU$11,$NN$11/$NT$11)),0)</f>
        <v/>
      </c>
      <c r="IU11" s="402">
        <f>IF(AND(251&gt;=$NR$11,251&lt;=$NS$11),IF($NP$11="Single_Point",IF(251=$NR$11,$NN$11,0),IF($NP$11="Bell_Curve",$NN$11*(251-$NR$11+1)*($NS$11-251+1)/$NU$11,$NN$11/$NT$11)),0)</f>
        <v/>
      </c>
      <c r="IV11" s="402">
        <f>IF(AND(252&gt;=$NR$11,252&lt;=$NS$11),IF($NP$11="Single_Point",IF(252=$NR$11,$NN$11,0),IF($NP$11="Bell_Curve",$NN$11*(252-$NR$11+1)*($NS$11-252+1)/$NU$11,$NN$11/$NT$11)),0)</f>
        <v/>
      </c>
      <c r="IW11" s="402">
        <f>IF(AND(253&gt;=$NR$11,253&lt;=$NS$11),IF($NP$11="Single_Point",IF(253=$NR$11,$NN$11,0),IF($NP$11="Bell_Curve",$NN$11*(253-$NR$11+1)*($NS$11-253+1)/$NU$11,$NN$11/$NT$11)),0)</f>
        <v/>
      </c>
      <c r="IX11" s="402">
        <f>IF(AND(254&gt;=$NR$11,254&lt;=$NS$11),IF($NP$11="Single_Point",IF(254=$NR$11,$NN$11,0),IF($NP$11="Bell_Curve",$NN$11*(254-$NR$11+1)*($NS$11-254+1)/$NU$11,$NN$11/$NT$11)),0)</f>
        <v/>
      </c>
      <c r="IY11" s="402">
        <f>IF(AND(255&gt;=$NR$11,255&lt;=$NS$11),IF($NP$11="Single_Point",IF(255=$NR$11,$NN$11,0),IF($NP$11="Bell_Curve",$NN$11*(255-$NR$11+1)*($NS$11-255+1)/$NU$11,$NN$11/$NT$11)),0)</f>
        <v/>
      </c>
      <c r="IZ11" s="402">
        <f>IF(AND(256&gt;=$NR$11,256&lt;=$NS$11),IF($NP$11="Single_Point",IF(256=$NR$11,$NN$11,0),IF($NP$11="Bell_Curve",$NN$11*(256-$NR$11+1)*($NS$11-256+1)/$NU$11,$NN$11/$NT$11)),0)</f>
        <v/>
      </c>
      <c r="JA11" s="402">
        <f>IF(AND(257&gt;=$NR$11,257&lt;=$NS$11),IF($NP$11="Single_Point",IF(257=$NR$11,$NN$11,0),IF($NP$11="Bell_Curve",$NN$11*(257-$NR$11+1)*($NS$11-257+1)/$NU$11,$NN$11/$NT$11)),0)</f>
        <v/>
      </c>
      <c r="JB11" s="402">
        <f>IF(AND(258&gt;=$NR$11,258&lt;=$NS$11),IF($NP$11="Single_Point",IF(258=$NR$11,$NN$11,0),IF($NP$11="Bell_Curve",$NN$11*(258-$NR$11+1)*($NS$11-258+1)/$NU$11,$NN$11/$NT$11)),0)</f>
        <v/>
      </c>
      <c r="JC11" s="402">
        <f>IF(AND(259&gt;=$NR$11,259&lt;=$NS$11),IF($NP$11="Single_Point",IF(259=$NR$11,$NN$11,0),IF($NP$11="Bell_Curve",$NN$11*(259-$NR$11+1)*($NS$11-259+1)/$NU$11,$NN$11/$NT$11)),0)</f>
        <v/>
      </c>
      <c r="JD11" s="402">
        <f>IF(AND(260&gt;=$NR$11,260&lt;=$NS$11),IF($NP$11="Single_Point",IF(260=$NR$11,$NN$11,0),IF($NP$11="Bell_Curve",$NN$11*(260-$NR$11+1)*($NS$11-260+1)/$NU$11,$NN$11/$NT$11)),0)</f>
        <v/>
      </c>
      <c r="JE11" s="402">
        <f>IF(AND(261&gt;=$NR$11,261&lt;=$NS$11),IF($NP$11="Single_Point",IF(261=$NR$11,$NN$11,0),IF($NP$11="Bell_Curve",$NN$11*(261-$NR$11+1)*($NS$11-261+1)/$NU$11,$NN$11/$NT$11)),0)</f>
        <v/>
      </c>
      <c r="JF11" s="402">
        <f>IF(AND(262&gt;=$NR$11,262&lt;=$NS$11),IF($NP$11="Single_Point",IF(262=$NR$11,$NN$11,0),IF($NP$11="Bell_Curve",$NN$11*(262-$NR$11+1)*($NS$11-262+1)/$NU$11,$NN$11/$NT$11)),0)</f>
        <v/>
      </c>
      <c r="JG11" s="402">
        <f>IF(AND(263&gt;=$NR$11,263&lt;=$NS$11),IF($NP$11="Single_Point",IF(263=$NR$11,$NN$11,0),IF($NP$11="Bell_Curve",$NN$11*(263-$NR$11+1)*($NS$11-263+1)/$NU$11,$NN$11/$NT$11)),0)</f>
        <v/>
      </c>
      <c r="JH11" s="402">
        <f>IF(AND(264&gt;=$NR$11,264&lt;=$NS$11),IF($NP$11="Single_Point",IF(264=$NR$11,$NN$11,0),IF($NP$11="Bell_Curve",$NN$11*(264-$NR$11+1)*($NS$11-264+1)/$NU$11,$NN$11/$NT$11)),0)</f>
        <v/>
      </c>
      <c r="JI11" s="402">
        <f>IF(AND(265&gt;=$NR$11,265&lt;=$NS$11),IF($NP$11="Single_Point",IF(265=$NR$11,$NN$11,0),IF($NP$11="Bell_Curve",$NN$11*(265-$NR$11+1)*($NS$11-265+1)/$NU$11,$NN$11/$NT$11)),0)</f>
        <v/>
      </c>
      <c r="JJ11" s="402">
        <f>IF(AND(266&gt;=$NR$11,266&lt;=$NS$11),IF($NP$11="Single_Point",IF(266=$NR$11,$NN$11,0),IF($NP$11="Bell_Curve",$NN$11*(266-$NR$11+1)*($NS$11-266+1)/$NU$11,$NN$11/$NT$11)),0)</f>
        <v/>
      </c>
      <c r="JK11" s="402">
        <f>IF(AND(267&gt;=$NR$11,267&lt;=$NS$11),IF($NP$11="Single_Point",IF(267=$NR$11,$NN$11,0),IF($NP$11="Bell_Curve",$NN$11*(267-$NR$11+1)*($NS$11-267+1)/$NU$11,$NN$11/$NT$11)),0)</f>
        <v/>
      </c>
      <c r="JL11" s="402">
        <f>IF(AND(268&gt;=$NR$11,268&lt;=$NS$11),IF($NP$11="Single_Point",IF(268=$NR$11,$NN$11,0),IF($NP$11="Bell_Curve",$NN$11*(268-$NR$11+1)*($NS$11-268+1)/$NU$11,$NN$11/$NT$11)),0)</f>
        <v/>
      </c>
      <c r="JM11" s="402">
        <f>IF(AND(269&gt;=$NR$11,269&lt;=$NS$11),IF($NP$11="Single_Point",IF(269=$NR$11,$NN$11,0),IF($NP$11="Bell_Curve",$NN$11*(269-$NR$11+1)*($NS$11-269+1)/$NU$11,$NN$11/$NT$11)),0)</f>
        <v/>
      </c>
      <c r="JN11" s="402">
        <f>IF(AND(270&gt;=$NR$11,270&lt;=$NS$11),IF($NP$11="Single_Point",IF(270=$NR$11,$NN$11,0),IF($NP$11="Bell_Curve",$NN$11*(270-$NR$11+1)*($NS$11-270+1)/$NU$11,$NN$11/$NT$11)),0)</f>
        <v/>
      </c>
      <c r="JO11" s="402">
        <f>IF(AND(271&gt;=$NR$11,271&lt;=$NS$11),IF($NP$11="Single_Point",IF(271=$NR$11,$NN$11,0),IF($NP$11="Bell_Curve",$NN$11*(271-$NR$11+1)*($NS$11-271+1)/$NU$11,$NN$11/$NT$11)),0)</f>
        <v/>
      </c>
      <c r="JP11" s="402">
        <f>IF(AND(272&gt;=$NR$11,272&lt;=$NS$11),IF($NP$11="Single_Point",IF(272=$NR$11,$NN$11,0),IF($NP$11="Bell_Curve",$NN$11*(272-$NR$11+1)*($NS$11-272+1)/$NU$11,$NN$11/$NT$11)),0)</f>
        <v/>
      </c>
      <c r="JQ11" s="402">
        <f>IF(AND(273&gt;=$NR$11,273&lt;=$NS$11),IF($NP$11="Single_Point",IF(273=$NR$11,$NN$11,0),IF($NP$11="Bell_Curve",$NN$11*(273-$NR$11+1)*($NS$11-273+1)/$NU$11,$NN$11/$NT$11)),0)</f>
        <v/>
      </c>
      <c r="JR11" s="402">
        <f>IF(AND(274&gt;=$NR$11,274&lt;=$NS$11),IF($NP$11="Single_Point",IF(274=$NR$11,$NN$11,0),IF($NP$11="Bell_Curve",$NN$11*(274-$NR$11+1)*($NS$11-274+1)/$NU$11,$NN$11/$NT$11)),0)</f>
        <v/>
      </c>
      <c r="JS11" s="402">
        <f>IF(AND(275&gt;=$NR$11,275&lt;=$NS$11),IF($NP$11="Single_Point",IF(275=$NR$11,$NN$11,0),IF($NP$11="Bell_Curve",$NN$11*(275-$NR$11+1)*($NS$11-275+1)/$NU$11,$NN$11/$NT$11)),0)</f>
        <v/>
      </c>
      <c r="JT11" s="402">
        <f>IF(AND(276&gt;=$NR$11,276&lt;=$NS$11),IF($NP$11="Single_Point",IF(276=$NR$11,$NN$11,0),IF($NP$11="Bell_Curve",$NN$11*(276-$NR$11+1)*($NS$11-276+1)/$NU$11,$NN$11/$NT$11)),0)</f>
        <v/>
      </c>
      <c r="JU11" s="402">
        <f>IF(AND(277&gt;=$NR$11,277&lt;=$NS$11),IF($NP$11="Single_Point",IF(277=$NR$11,$NN$11,0),IF($NP$11="Bell_Curve",$NN$11*(277-$NR$11+1)*($NS$11-277+1)/$NU$11,$NN$11/$NT$11)),0)</f>
        <v/>
      </c>
      <c r="JV11" s="402">
        <f>IF(AND(278&gt;=$NR$11,278&lt;=$NS$11),IF($NP$11="Single_Point",IF(278=$NR$11,$NN$11,0),IF($NP$11="Bell_Curve",$NN$11*(278-$NR$11+1)*($NS$11-278+1)/$NU$11,$NN$11/$NT$11)),0)</f>
        <v/>
      </c>
      <c r="JW11" s="402">
        <f>IF(AND(279&gt;=$NR$11,279&lt;=$NS$11),IF($NP$11="Single_Point",IF(279=$NR$11,$NN$11,0),IF($NP$11="Bell_Curve",$NN$11*(279-$NR$11+1)*($NS$11-279+1)/$NU$11,$NN$11/$NT$11)),0)</f>
        <v/>
      </c>
      <c r="JX11" s="402">
        <f>IF(AND(280&gt;=$NR$11,280&lt;=$NS$11),IF($NP$11="Single_Point",IF(280=$NR$11,$NN$11,0),IF($NP$11="Bell_Curve",$NN$11*(280-$NR$11+1)*($NS$11-280+1)/$NU$11,$NN$11/$NT$11)),0)</f>
        <v/>
      </c>
      <c r="JY11" s="402">
        <f>IF(AND(281&gt;=$NR$11,281&lt;=$NS$11),IF($NP$11="Single_Point",IF(281=$NR$11,$NN$11,0),IF($NP$11="Bell_Curve",$NN$11*(281-$NR$11+1)*($NS$11-281+1)/$NU$11,$NN$11/$NT$11)),0)</f>
        <v/>
      </c>
      <c r="JZ11" s="402">
        <f>IF(AND(282&gt;=$NR$11,282&lt;=$NS$11),IF($NP$11="Single_Point",IF(282=$NR$11,$NN$11,0),IF($NP$11="Bell_Curve",$NN$11*(282-$NR$11+1)*($NS$11-282+1)/$NU$11,$NN$11/$NT$11)),0)</f>
        <v/>
      </c>
      <c r="KA11" s="402">
        <f>IF(AND(283&gt;=$NR$11,283&lt;=$NS$11),IF($NP$11="Single_Point",IF(283=$NR$11,$NN$11,0),IF($NP$11="Bell_Curve",$NN$11*(283-$NR$11+1)*($NS$11-283+1)/$NU$11,$NN$11/$NT$11)),0)</f>
        <v/>
      </c>
      <c r="KB11" s="402">
        <f>IF(AND(284&gt;=$NR$11,284&lt;=$NS$11),IF($NP$11="Single_Point",IF(284=$NR$11,$NN$11,0),IF($NP$11="Bell_Curve",$NN$11*(284-$NR$11+1)*($NS$11-284+1)/$NU$11,$NN$11/$NT$11)),0)</f>
        <v/>
      </c>
      <c r="KC11" s="402">
        <f>IF(AND(285&gt;=$NR$11,285&lt;=$NS$11),IF($NP$11="Single_Point",IF(285=$NR$11,$NN$11,0),IF($NP$11="Bell_Curve",$NN$11*(285-$NR$11+1)*($NS$11-285+1)/$NU$11,$NN$11/$NT$11)),0)</f>
        <v/>
      </c>
      <c r="KD11" s="402">
        <f>IF(AND(286&gt;=$NR$11,286&lt;=$NS$11),IF($NP$11="Single_Point",IF(286=$NR$11,$NN$11,0),IF($NP$11="Bell_Curve",$NN$11*(286-$NR$11+1)*($NS$11-286+1)/$NU$11,$NN$11/$NT$11)),0)</f>
        <v/>
      </c>
      <c r="KE11" s="402">
        <f>IF(AND(287&gt;=$NR$11,287&lt;=$NS$11),IF($NP$11="Single_Point",IF(287=$NR$11,$NN$11,0),IF($NP$11="Bell_Curve",$NN$11*(287-$NR$11+1)*($NS$11-287+1)/$NU$11,$NN$11/$NT$11)),0)</f>
        <v/>
      </c>
      <c r="KF11" s="402">
        <f>IF(AND(288&gt;=$NR$11,288&lt;=$NS$11),IF($NP$11="Single_Point",IF(288=$NR$11,$NN$11,0),IF($NP$11="Bell_Curve",$NN$11*(288-$NR$11+1)*($NS$11-288+1)/$NU$11,$NN$11/$NT$11)),0)</f>
        <v/>
      </c>
      <c r="KG11" s="402">
        <f>IF(AND(289&gt;=$NR$11,289&lt;=$NS$11),IF($NP$11="Single_Point",IF(289=$NR$11,$NN$11,0),IF($NP$11="Bell_Curve",$NN$11*(289-$NR$11+1)*($NS$11-289+1)/$NU$11,$NN$11/$NT$11)),0)</f>
        <v/>
      </c>
      <c r="KH11" s="402">
        <f>IF(AND(290&gt;=$NR$11,290&lt;=$NS$11),IF($NP$11="Single_Point",IF(290=$NR$11,$NN$11,0),IF($NP$11="Bell_Curve",$NN$11*(290-$NR$11+1)*($NS$11-290+1)/$NU$11,$NN$11/$NT$11)),0)</f>
        <v/>
      </c>
      <c r="KI11" s="402">
        <f>IF(AND(291&gt;=$NR$11,291&lt;=$NS$11),IF($NP$11="Single_Point",IF(291=$NR$11,$NN$11,0),IF($NP$11="Bell_Curve",$NN$11*(291-$NR$11+1)*($NS$11-291+1)/$NU$11,$NN$11/$NT$11)),0)</f>
        <v/>
      </c>
      <c r="KJ11" s="402">
        <f>IF(AND(292&gt;=$NR$11,292&lt;=$NS$11),IF($NP$11="Single_Point",IF(292=$NR$11,$NN$11,0),IF($NP$11="Bell_Curve",$NN$11*(292-$NR$11+1)*($NS$11-292+1)/$NU$11,$NN$11/$NT$11)),0)</f>
        <v/>
      </c>
      <c r="KK11" s="402">
        <f>IF(AND(293&gt;=$NR$11,293&lt;=$NS$11),IF($NP$11="Single_Point",IF(293=$NR$11,$NN$11,0),IF($NP$11="Bell_Curve",$NN$11*(293-$NR$11+1)*($NS$11-293+1)/$NU$11,$NN$11/$NT$11)),0)</f>
        <v/>
      </c>
      <c r="KL11" s="402">
        <f>IF(AND(294&gt;=$NR$11,294&lt;=$NS$11),IF($NP$11="Single_Point",IF(294=$NR$11,$NN$11,0),IF($NP$11="Bell_Curve",$NN$11*(294-$NR$11+1)*($NS$11-294+1)/$NU$11,$NN$11/$NT$11)),0)</f>
        <v/>
      </c>
      <c r="KM11" s="402">
        <f>IF(AND(295&gt;=$NR$11,295&lt;=$NS$11),IF($NP$11="Single_Point",IF(295=$NR$11,$NN$11,0),IF($NP$11="Bell_Curve",$NN$11*(295-$NR$11+1)*($NS$11-295+1)/$NU$11,$NN$11/$NT$11)),0)</f>
        <v/>
      </c>
      <c r="KN11" s="402">
        <f>IF(AND(296&gt;=$NR$11,296&lt;=$NS$11),IF($NP$11="Single_Point",IF(296=$NR$11,$NN$11,0),IF($NP$11="Bell_Curve",$NN$11*(296-$NR$11+1)*($NS$11-296+1)/$NU$11,$NN$11/$NT$11)),0)</f>
        <v/>
      </c>
      <c r="KO11" s="402">
        <f>IF(AND(297&gt;=$NR$11,297&lt;=$NS$11),IF($NP$11="Single_Point",IF(297=$NR$11,$NN$11,0),IF($NP$11="Bell_Curve",$NN$11*(297-$NR$11+1)*($NS$11-297+1)/$NU$11,$NN$11/$NT$11)),0)</f>
        <v/>
      </c>
      <c r="KP11" s="402">
        <f>IF(AND(298&gt;=$NR$11,298&lt;=$NS$11),IF($NP$11="Single_Point",IF(298=$NR$11,$NN$11,0),IF($NP$11="Bell_Curve",$NN$11*(298-$NR$11+1)*($NS$11-298+1)/$NU$11,$NN$11/$NT$11)),0)</f>
        <v/>
      </c>
      <c r="KQ11" s="402">
        <f>IF(AND(299&gt;=$NR$11,299&lt;=$NS$11),IF($NP$11="Single_Point",IF(299=$NR$11,$NN$11,0),IF($NP$11="Bell_Curve",$NN$11*(299-$NR$11+1)*($NS$11-299+1)/$NU$11,$NN$11/$NT$11)),0)</f>
        <v/>
      </c>
      <c r="KR11" s="402">
        <f>IF(AND(300&gt;=$NR$11,300&lt;=$NS$11),IF($NP$11="Single_Point",IF(300=$NR$11,$NN$11,0),IF($NP$11="Bell_Curve",$NN$11*(300-$NR$11+1)*($NS$11-300+1)/$NU$11,$NN$11/$NT$11)),0)</f>
        <v/>
      </c>
      <c r="KS11" s="402">
        <f>IF(AND(301&gt;=$NR$11,301&lt;=$NS$11),IF($NP$11="Single_Point",IF(301=$NR$11,$NN$11,0),IF($NP$11="Bell_Curve",$NN$11*(301-$NR$11+1)*($NS$11-301+1)/$NU$11,$NN$11/$NT$11)),0)</f>
        <v/>
      </c>
      <c r="KT11" s="402">
        <f>IF(AND(302&gt;=$NR$11,302&lt;=$NS$11),IF($NP$11="Single_Point",IF(302=$NR$11,$NN$11,0),IF($NP$11="Bell_Curve",$NN$11*(302-$NR$11+1)*($NS$11-302+1)/$NU$11,$NN$11/$NT$11)),0)</f>
        <v/>
      </c>
      <c r="KU11" s="402">
        <f>IF(AND(303&gt;=$NR$11,303&lt;=$NS$11),IF($NP$11="Single_Point",IF(303=$NR$11,$NN$11,0),IF($NP$11="Bell_Curve",$NN$11*(303-$NR$11+1)*($NS$11-303+1)/$NU$11,$NN$11/$NT$11)),0)</f>
        <v/>
      </c>
      <c r="KV11" s="402">
        <f>IF(AND(304&gt;=$NR$11,304&lt;=$NS$11),IF($NP$11="Single_Point",IF(304=$NR$11,$NN$11,0),IF($NP$11="Bell_Curve",$NN$11*(304-$NR$11+1)*($NS$11-304+1)/$NU$11,$NN$11/$NT$11)),0)</f>
        <v/>
      </c>
      <c r="KW11" s="402">
        <f>IF(AND(305&gt;=$NR$11,305&lt;=$NS$11),IF($NP$11="Single_Point",IF(305=$NR$11,$NN$11,0),IF($NP$11="Bell_Curve",$NN$11*(305-$NR$11+1)*($NS$11-305+1)/$NU$11,$NN$11/$NT$11)),0)</f>
        <v/>
      </c>
      <c r="KX11" s="402">
        <f>IF(AND(306&gt;=$NR$11,306&lt;=$NS$11),IF($NP$11="Single_Point",IF(306=$NR$11,$NN$11,0),IF($NP$11="Bell_Curve",$NN$11*(306-$NR$11+1)*($NS$11-306+1)/$NU$11,$NN$11/$NT$11)),0)</f>
        <v/>
      </c>
      <c r="KY11" s="402">
        <f>IF(AND(307&gt;=$NR$11,307&lt;=$NS$11),IF($NP$11="Single_Point",IF(307=$NR$11,$NN$11,0),IF($NP$11="Bell_Curve",$NN$11*(307-$NR$11+1)*($NS$11-307+1)/$NU$11,$NN$11/$NT$11)),0)</f>
        <v/>
      </c>
      <c r="KZ11" s="402">
        <f>IF(AND(308&gt;=$NR$11,308&lt;=$NS$11),IF($NP$11="Single_Point",IF(308=$NR$11,$NN$11,0),IF($NP$11="Bell_Curve",$NN$11*(308-$NR$11+1)*($NS$11-308+1)/$NU$11,$NN$11/$NT$11)),0)</f>
        <v/>
      </c>
      <c r="LA11" s="402">
        <f>IF(AND(309&gt;=$NR$11,309&lt;=$NS$11),IF($NP$11="Single_Point",IF(309=$NR$11,$NN$11,0),IF($NP$11="Bell_Curve",$NN$11*(309-$NR$11+1)*($NS$11-309+1)/$NU$11,$NN$11/$NT$11)),0)</f>
        <v/>
      </c>
      <c r="LB11" s="402">
        <f>IF(AND(310&gt;=$NR$11,310&lt;=$NS$11),IF($NP$11="Single_Point",IF(310=$NR$11,$NN$11,0),IF($NP$11="Bell_Curve",$NN$11*(310-$NR$11+1)*($NS$11-310+1)/$NU$11,$NN$11/$NT$11)),0)</f>
        <v/>
      </c>
      <c r="LC11" s="402">
        <f>IF(AND(311&gt;=$NR$11,311&lt;=$NS$11),IF($NP$11="Single_Point",IF(311=$NR$11,$NN$11,0),IF($NP$11="Bell_Curve",$NN$11*(311-$NR$11+1)*($NS$11-311+1)/$NU$11,$NN$11/$NT$11)),0)</f>
        <v/>
      </c>
      <c r="LD11" s="402">
        <f>IF(AND(312&gt;=$NR$11,312&lt;=$NS$11),IF($NP$11="Single_Point",IF(312=$NR$11,$NN$11,0),IF($NP$11="Bell_Curve",$NN$11*(312-$NR$11+1)*($NS$11-312+1)/$NU$11,$NN$11/$NT$11)),0)</f>
        <v/>
      </c>
      <c r="LE11" s="402">
        <f>IF(AND(313&gt;=$NR$11,313&lt;=$NS$11),IF($NP$11="Single_Point",IF(313=$NR$11,$NN$11,0),IF($NP$11="Bell_Curve",$NN$11*(313-$NR$11+1)*($NS$11-313+1)/$NU$11,$NN$11/$NT$11)),0)</f>
        <v/>
      </c>
      <c r="LF11" s="402">
        <f>IF(AND(314&gt;=$NR$11,314&lt;=$NS$11),IF($NP$11="Single_Point",IF(314=$NR$11,$NN$11,0),IF($NP$11="Bell_Curve",$NN$11*(314-$NR$11+1)*($NS$11-314+1)/$NU$11,$NN$11/$NT$11)),0)</f>
        <v/>
      </c>
      <c r="LG11" s="402">
        <f>IF(AND(315&gt;=$NR$11,315&lt;=$NS$11),IF($NP$11="Single_Point",IF(315=$NR$11,$NN$11,0),IF($NP$11="Bell_Curve",$NN$11*(315-$NR$11+1)*($NS$11-315+1)/$NU$11,$NN$11/$NT$11)),0)</f>
        <v/>
      </c>
      <c r="LH11" s="402">
        <f>IF(AND(316&gt;=$NR$11,316&lt;=$NS$11),IF($NP$11="Single_Point",IF(316=$NR$11,$NN$11,0),IF($NP$11="Bell_Curve",$NN$11*(316-$NR$11+1)*($NS$11-316+1)/$NU$11,$NN$11/$NT$11)),0)</f>
        <v/>
      </c>
      <c r="LI11" s="402">
        <f>IF(AND(317&gt;=$NR$11,317&lt;=$NS$11),IF($NP$11="Single_Point",IF(317=$NR$11,$NN$11,0),IF($NP$11="Bell_Curve",$NN$11*(317-$NR$11+1)*($NS$11-317+1)/$NU$11,$NN$11/$NT$11)),0)</f>
        <v/>
      </c>
      <c r="LJ11" s="402">
        <f>IF(AND(318&gt;=$NR$11,318&lt;=$NS$11),IF($NP$11="Single_Point",IF(318=$NR$11,$NN$11,0),IF($NP$11="Bell_Curve",$NN$11*(318-$NR$11+1)*($NS$11-318+1)/$NU$11,$NN$11/$NT$11)),0)</f>
        <v/>
      </c>
      <c r="LK11" s="402">
        <f>IF(AND(319&gt;=$NR$11,319&lt;=$NS$11),IF($NP$11="Single_Point",IF(319=$NR$11,$NN$11,0),IF($NP$11="Bell_Curve",$NN$11*(319-$NR$11+1)*($NS$11-319+1)/$NU$11,$NN$11/$NT$11)),0)</f>
        <v/>
      </c>
      <c r="LL11" s="402">
        <f>IF(AND(320&gt;=$NR$11,320&lt;=$NS$11),IF($NP$11="Single_Point",IF(320=$NR$11,$NN$11,0),IF($NP$11="Bell_Curve",$NN$11*(320-$NR$11+1)*($NS$11-320+1)/$NU$11,$NN$11/$NT$11)),0)</f>
        <v/>
      </c>
      <c r="LM11" s="402">
        <f>IF(AND(321&gt;=$NR$11,321&lt;=$NS$11),IF($NP$11="Single_Point",IF(321=$NR$11,$NN$11,0),IF($NP$11="Bell_Curve",$NN$11*(321-$NR$11+1)*($NS$11-321+1)/$NU$11,$NN$11/$NT$11)),0)</f>
        <v/>
      </c>
      <c r="LN11" s="402">
        <f>IF(AND(322&gt;=$NR$11,322&lt;=$NS$11),IF($NP$11="Single_Point",IF(322=$NR$11,$NN$11,0),IF($NP$11="Bell_Curve",$NN$11*(322-$NR$11+1)*($NS$11-322+1)/$NU$11,$NN$11/$NT$11)),0)</f>
        <v/>
      </c>
      <c r="LO11" s="402">
        <f>IF(AND(323&gt;=$NR$11,323&lt;=$NS$11),IF($NP$11="Single_Point",IF(323=$NR$11,$NN$11,0),IF($NP$11="Bell_Curve",$NN$11*(323-$NR$11+1)*($NS$11-323+1)/$NU$11,$NN$11/$NT$11)),0)</f>
        <v/>
      </c>
      <c r="LP11" s="402">
        <f>IF(AND(324&gt;=$NR$11,324&lt;=$NS$11),IF($NP$11="Single_Point",IF(324=$NR$11,$NN$11,0),IF($NP$11="Bell_Curve",$NN$11*(324-$NR$11+1)*($NS$11-324+1)/$NU$11,$NN$11/$NT$11)),0)</f>
        <v/>
      </c>
      <c r="LQ11" s="402">
        <f>IF(AND(325&gt;=$NR$11,325&lt;=$NS$11),IF($NP$11="Single_Point",IF(325=$NR$11,$NN$11,0),IF($NP$11="Bell_Curve",$NN$11*(325-$NR$11+1)*($NS$11-325+1)/$NU$11,$NN$11/$NT$11)),0)</f>
        <v/>
      </c>
      <c r="LR11" s="402">
        <f>IF(AND(326&gt;=$NR$11,326&lt;=$NS$11),IF($NP$11="Single_Point",IF(326=$NR$11,$NN$11,0),IF($NP$11="Bell_Curve",$NN$11*(326-$NR$11+1)*($NS$11-326+1)/$NU$11,$NN$11/$NT$11)),0)</f>
        <v/>
      </c>
      <c r="LS11" s="402">
        <f>IF(AND(327&gt;=$NR$11,327&lt;=$NS$11),IF($NP$11="Single_Point",IF(327=$NR$11,$NN$11,0),IF($NP$11="Bell_Curve",$NN$11*(327-$NR$11+1)*($NS$11-327+1)/$NU$11,$NN$11/$NT$11)),0)</f>
        <v/>
      </c>
      <c r="LT11" s="402">
        <f>IF(AND(328&gt;=$NR$11,328&lt;=$NS$11),IF($NP$11="Single_Point",IF(328=$NR$11,$NN$11,0),IF($NP$11="Bell_Curve",$NN$11*(328-$NR$11+1)*($NS$11-328+1)/$NU$11,$NN$11/$NT$11)),0)</f>
        <v/>
      </c>
      <c r="LU11" s="402">
        <f>IF(AND(329&gt;=$NR$11,329&lt;=$NS$11),IF($NP$11="Single_Point",IF(329=$NR$11,$NN$11,0),IF($NP$11="Bell_Curve",$NN$11*(329-$NR$11+1)*($NS$11-329+1)/$NU$11,$NN$11/$NT$11)),0)</f>
        <v/>
      </c>
      <c r="LV11" s="402">
        <f>IF(AND(330&gt;=$NR$11,330&lt;=$NS$11),IF($NP$11="Single_Point",IF(330=$NR$11,$NN$11,0),IF($NP$11="Bell_Curve",$NN$11*(330-$NR$11+1)*($NS$11-330+1)/$NU$11,$NN$11/$NT$11)),0)</f>
        <v/>
      </c>
      <c r="LW11" s="402">
        <f>IF(AND(331&gt;=$NR$11,331&lt;=$NS$11),IF($NP$11="Single_Point",IF(331=$NR$11,$NN$11,0),IF($NP$11="Bell_Curve",$NN$11*(331-$NR$11+1)*($NS$11-331+1)/$NU$11,$NN$11/$NT$11)),0)</f>
        <v/>
      </c>
      <c r="LX11" s="402">
        <f>IF(AND(332&gt;=$NR$11,332&lt;=$NS$11),IF($NP$11="Single_Point",IF(332=$NR$11,$NN$11,0),IF($NP$11="Bell_Curve",$NN$11*(332-$NR$11+1)*($NS$11-332+1)/$NU$11,$NN$11/$NT$11)),0)</f>
        <v/>
      </c>
      <c r="LY11" s="402">
        <f>IF(AND(333&gt;=$NR$11,333&lt;=$NS$11),IF($NP$11="Single_Point",IF(333=$NR$11,$NN$11,0),IF($NP$11="Bell_Curve",$NN$11*(333-$NR$11+1)*($NS$11-333+1)/$NU$11,$NN$11/$NT$11)),0)</f>
        <v/>
      </c>
      <c r="LZ11" s="402">
        <f>IF(AND(334&gt;=$NR$11,334&lt;=$NS$11),IF($NP$11="Single_Point",IF(334=$NR$11,$NN$11,0),IF($NP$11="Bell_Curve",$NN$11*(334-$NR$11+1)*($NS$11-334+1)/$NU$11,$NN$11/$NT$11)),0)</f>
        <v/>
      </c>
      <c r="MA11" s="402">
        <f>IF(AND(335&gt;=$NR$11,335&lt;=$NS$11),IF($NP$11="Single_Point",IF(335=$NR$11,$NN$11,0),IF($NP$11="Bell_Curve",$NN$11*(335-$NR$11+1)*($NS$11-335+1)/$NU$11,$NN$11/$NT$11)),0)</f>
        <v/>
      </c>
      <c r="MB11" s="402">
        <f>IF(AND(336&gt;=$NR$11,336&lt;=$NS$11),IF($NP$11="Single_Point",IF(336=$NR$11,$NN$11,0),IF($NP$11="Bell_Curve",$NN$11*(336-$NR$11+1)*($NS$11-336+1)/$NU$11,$NN$11/$NT$11)),0)</f>
        <v/>
      </c>
      <c r="MC11" s="402">
        <f>IF(AND(337&gt;=$NR$11,337&lt;=$NS$11),IF($NP$11="Single_Point",IF(337=$NR$11,$NN$11,0),IF($NP$11="Bell_Curve",$NN$11*(337-$NR$11+1)*($NS$11-337+1)/$NU$11,$NN$11/$NT$11)),0)</f>
        <v/>
      </c>
      <c r="MD11" s="402">
        <f>IF(AND(338&gt;=$NR$11,338&lt;=$NS$11),IF($NP$11="Single_Point",IF(338=$NR$11,$NN$11,0),IF($NP$11="Bell_Curve",$NN$11*(338-$NR$11+1)*($NS$11-338+1)/$NU$11,$NN$11/$NT$11)),0)</f>
        <v/>
      </c>
      <c r="ME11" s="402">
        <f>IF(AND(339&gt;=$NR$11,339&lt;=$NS$11),IF($NP$11="Single_Point",IF(339=$NR$11,$NN$11,0),IF($NP$11="Bell_Curve",$NN$11*(339-$NR$11+1)*($NS$11-339+1)/$NU$11,$NN$11/$NT$11)),0)</f>
        <v/>
      </c>
      <c r="MF11" s="402">
        <f>IF(AND(340&gt;=$NR$11,340&lt;=$NS$11),IF($NP$11="Single_Point",IF(340=$NR$11,$NN$11,0),IF($NP$11="Bell_Curve",$NN$11*(340-$NR$11+1)*($NS$11-340+1)/$NU$11,$NN$11/$NT$11)),0)</f>
        <v/>
      </c>
      <c r="MG11" s="402">
        <f>IF(AND(341&gt;=$NR$11,341&lt;=$NS$11),IF($NP$11="Single_Point",IF(341=$NR$11,$NN$11,0),IF($NP$11="Bell_Curve",$NN$11*(341-$NR$11+1)*($NS$11-341+1)/$NU$11,$NN$11/$NT$11)),0)</f>
        <v/>
      </c>
      <c r="MH11" s="402">
        <f>IF(AND(342&gt;=$NR$11,342&lt;=$NS$11),IF($NP$11="Single_Point",IF(342=$NR$11,$NN$11,0),IF($NP$11="Bell_Curve",$NN$11*(342-$NR$11+1)*($NS$11-342+1)/$NU$11,$NN$11/$NT$11)),0)</f>
        <v/>
      </c>
      <c r="MI11" s="402">
        <f>IF(AND(343&gt;=$NR$11,343&lt;=$NS$11),IF($NP$11="Single_Point",IF(343=$NR$11,$NN$11,0),IF($NP$11="Bell_Curve",$NN$11*(343-$NR$11+1)*($NS$11-343+1)/$NU$11,$NN$11/$NT$11)),0)</f>
        <v/>
      </c>
      <c r="MJ11" s="402">
        <f>IF(AND(344&gt;=$NR$11,344&lt;=$NS$11),IF($NP$11="Single_Point",IF(344=$NR$11,$NN$11,0),IF($NP$11="Bell_Curve",$NN$11*(344-$NR$11+1)*($NS$11-344+1)/$NU$11,$NN$11/$NT$11)),0)</f>
        <v/>
      </c>
      <c r="MK11" s="402">
        <f>IF(AND(345&gt;=$NR$11,345&lt;=$NS$11),IF($NP$11="Single_Point",IF(345=$NR$11,$NN$11,0),IF($NP$11="Bell_Curve",$NN$11*(345-$NR$11+1)*($NS$11-345+1)/$NU$11,$NN$11/$NT$11)),0)</f>
        <v/>
      </c>
      <c r="ML11" s="402">
        <f>IF(AND(346&gt;=$NR$11,346&lt;=$NS$11),IF($NP$11="Single_Point",IF(346=$NR$11,$NN$11,0),IF($NP$11="Bell_Curve",$NN$11*(346-$NR$11+1)*($NS$11-346+1)/$NU$11,$NN$11/$NT$11)),0)</f>
        <v/>
      </c>
      <c r="MM11" s="402">
        <f>IF(AND(347&gt;=$NR$11,347&lt;=$NS$11),IF($NP$11="Single_Point",IF(347=$NR$11,$NN$11,0),IF($NP$11="Bell_Curve",$NN$11*(347-$NR$11+1)*($NS$11-347+1)/$NU$11,$NN$11/$NT$11)),0)</f>
        <v/>
      </c>
      <c r="MN11" s="402">
        <f>IF(AND(348&gt;=$NR$11,348&lt;=$NS$11),IF($NP$11="Single_Point",IF(348=$NR$11,$NN$11,0),IF($NP$11="Bell_Curve",$NN$11*(348-$NR$11+1)*($NS$11-348+1)/$NU$11,$NN$11/$NT$11)),0)</f>
        <v/>
      </c>
      <c r="MO11" s="402">
        <f>IF(AND(349&gt;=$NR$11,349&lt;=$NS$11),IF($NP$11="Single_Point",IF(349=$NR$11,$NN$11,0),IF($NP$11="Bell_Curve",$NN$11*(349-$NR$11+1)*($NS$11-349+1)/$NU$11,$NN$11/$NT$11)),0)</f>
        <v/>
      </c>
      <c r="MP11" s="402">
        <f>IF(AND(350&gt;=$NR$11,350&lt;=$NS$11),IF($NP$11="Single_Point",IF(350=$NR$11,$NN$11,0),IF($NP$11="Bell_Curve",$NN$11*(350-$NR$11+1)*($NS$11-350+1)/$NU$11,$NN$11/$NT$11)),0)</f>
        <v/>
      </c>
      <c r="MQ11" s="402">
        <f>IF(AND(351&gt;=$NR$11,351&lt;=$NS$11),IF($NP$11="Single_Point",IF(351=$NR$11,$NN$11,0),IF($NP$11="Bell_Curve",$NN$11*(351-$NR$11+1)*($NS$11-351+1)/$NU$11,$NN$11/$NT$11)),0)</f>
        <v/>
      </c>
      <c r="MR11" s="402">
        <f>IF(AND(352&gt;=$NR$11,352&lt;=$NS$11),IF($NP$11="Single_Point",IF(352=$NR$11,$NN$11,0),IF($NP$11="Bell_Curve",$NN$11*(352-$NR$11+1)*($NS$11-352+1)/$NU$11,$NN$11/$NT$11)),0)</f>
        <v/>
      </c>
      <c r="MS11" s="402">
        <f>IF(AND(353&gt;=$NR$11,353&lt;=$NS$11),IF($NP$11="Single_Point",IF(353=$NR$11,$NN$11,0),IF($NP$11="Bell_Curve",$NN$11*(353-$NR$11+1)*($NS$11-353+1)/$NU$11,$NN$11/$NT$11)),0)</f>
        <v/>
      </c>
      <c r="MT11" s="402">
        <f>IF(AND(354&gt;=$NR$11,354&lt;=$NS$11),IF($NP$11="Single_Point",IF(354=$NR$11,$NN$11,0),IF($NP$11="Bell_Curve",$NN$11*(354-$NR$11+1)*($NS$11-354+1)/$NU$11,$NN$11/$NT$11)),0)</f>
        <v/>
      </c>
      <c r="MU11" s="402">
        <f>IF(AND(355&gt;=$NR$11,355&lt;=$NS$11),IF($NP$11="Single_Point",IF(355=$NR$11,$NN$11,0),IF($NP$11="Bell_Curve",$NN$11*(355-$NR$11+1)*($NS$11-355+1)/$NU$11,$NN$11/$NT$11)),0)</f>
        <v/>
      </c>
      <c r="MV11" s="402">
        <f>IF(AND(356&gt;=$NR$11,356&lt;=$NS$11),IF($NP$11="Single_Point",IF(356=$NR$11,$NN$11,0),IF($NP$11="Bell_Curve",$NN$11*(356-$NR$11+1)*($NS$11-356+1)/$NU$11,$NN$11/$NT$11)),0)</f>
        <v/>
      </c>
      <c r="MW11" s="402">
        <f>IF(AND(357&gt;=$NR$11,357&lt;=$NS$11),IF($NP$11="Single_Point",IF(357=$NR$11,$NN$11,0),IF($NP$11="Bell_Curve",$NN$11*(357-$NR$11+1)*($NS$11-357+1)/$NU$11,$NN$11/$NT$11)),0)</f>
        <v/>
      </c>
      <c r="MX11" s="402">
        <f>IF(AND(358&gt;=$NR$11,358&lt;=$NS$11),IF($NP$11="Single_Point",IF(358=$NR$11,$NN$11,0),IF($NP$11="Bell_Curve",$NN$11*(358-$NR$11+1)*($NS$11-358+1)/$NU$11,$NN$11/$NT$11)),0)</f>
        <v/>
      </c>
      <c r="MY11" s="402">
        <f>IF(AND(359&gt;=$NR$11,359&lt;=$NS$11),IF($NP$11="Single_Point",IF(359=$NR$11,$NN$11,0),IF($NP$11="Bell_Curve",$NN$11*(359-$NR$11+1)*($NS$11-359+1)/$NU$11,$NN$11/$NT$11)),0)</f>
        <v/>
      </c>
      <c r="MZ11" s="402">
        <f>IF(AND(360&gt;=$NR$11,360&lt;=$NS$11),IF($NP$11="Single_Point",IF(360=$NR$11,$NN$11,0),IF($NP$11="Bell_Curve",$NN$11*(360-$NR$11+1)*($NS$11-360+1)/$NU$11,$NN$11/$NT$11)),0)</f>
        <v/>
      </c>
      <c r="NA11" s="402">
        <f>IF(AND(361&gt;=$NR$11,361&lt;=$NS$11),IF($NP$11="Single_Point",IF(361=$NR$11,$NN$11,0),IF($NP$11="Bell_Curve",$NN$11*(361-$NR$11+1)*($NS$11-361+1)/$NU$11,$NN$11/$NT$11)),0)</f>
        <v/>
      </c>
      <c r="NB11" s="402">
        <f>IF(AND(362&gt;=$NR$11,362&lt;=$NS$11),IF($NP$11="Single_Point",IF(362=$NR$11,$NN$11,0),IF($NP$11="Bell_Curve",$NN$11*(362-$NR$11+1)*($NS$11-362+1)/$NU$11,$NN$11/$NT$11)),0)</f>
        <v/>
      </c>
      <c r="NC11" s="402">
        <f>IF(AND(363&gt;=$NR$11,363&lt;=$NS$11),IF($NP$11="Single_Point",IF(363=$NR$11,$NN$11,0),IF($NP$11="Bell_Curve",$NN$11*(363-$NR$11+1)*($NS$11-363+1)/$NU$11,$NN$11/$NT$11)),0)</f>
        <v/>
      </c>
      <c r="ND11" s="402">
        <f>IF(AND(364&gt;=$NR$11,364&lt;=$NS$11),IF($NP$11="Single_Point",IF(364=$NR$11,$NN$11,0),IF($NP$11="Bell_Curve",$NN$11*(364-$NR$11+1)*($NS$11-364+1)/$NU$11,$NN$11/$NT$11)),0)</f>
        <v/>
      </c>
      <c r="NE11" s="402">
        <f>IF(AND(365&gt;=$NR$11,365&lt;=$NS$11),IF($NP$11="Single_Point",IF(365=$NR$11,$NN$11,0),IF($NP$11="Bell_Curve",$NN$11*(365-$NR$11+1)*($NS$11-365+1)/$NU$11,$NN$11/$NT$11)),0)</f>
        <v/>
      </c>
      <c r="NF11" s="402">
        <f>IF(AND(366&gt;=$NR$11,366&lt;=$NS$11),IF($NP$11="Single_Point",IF(366=$NR$11,$NN$11,0),IF($NP$11="Bell_Curve",$NN$11*(366-$NR$11+1)*($NS$11-366+1)/$NU$11,$NN$11/$NT$11)),0)</f>
        <v/>
      </c>
      <c r="NG11" s="402">
        <f>IF(AND(367&gt;=$NR$11,367&lt;=$NS$11),IF($NP$11="Single_Point",IF(367=$NR$11,$NN$11,0),IF($NP$11="Bell_Curve",$NN$11*(367-$NR$11+1)*($NS$11-367+1)/$NU$11,$NN$11/$NT$11)),0)</f>
        <v/>
      </c>
      <c r="NH11" s="402">
        <f>IF(AND(368&gt;=$NR$11,368&lt;=$NS$11),IF($NP$11="Single_Point",IF(368=$NR$11,$NN$11,0),IF($NP$11="Bell_Curve",$NN$11*(368-$NR$11+1)*($NS$11-368+1)/$NU$11,$NN$11/$NT$11)),0)</f>
        <v/>
      </c>
      <c r="NI11" s="402">
        <f>IF(AND(369&gt;=$NR$11,369&lt;=$NS$11),IF($NP$11="Single_Point",IF(369=$NR$11,$NN$11,0),IF($NP$11="Bell_Curve",$NN$11*(369-$NR$11+1)*($NS$11-369+1)/$NU$11,$NN$11/$NT$11)),0)</f>
        <v/>
      </c>
      <c r="NJ11" s="402">
        <f>IF(AND(370&gt;=$NR$11,370&lt;=$NS$11),IF($NP$11="Single_Point",IF(370=$NR$11,$NN$11,0),IF($NP$11="Bell_Curve",$NN$11*(370-$NR$11+1)*($NS$11-370+1)/$NU$11,$NN$11/$NT$11)),0)</f>
        <v/>
      </c>
      <c r="NK11" s="402">
        <f>IF(AND(371&gt;=$NR$11,371&lt;=$NS$11),IF($NP$11="Single_Point",IF(371=$NR$11,$NN$11,0),IF($NP$11="Bell_Curve",$NN$11*(371-$NR$11+1)*($NS$11-371+1)/$NU$11,$NN$11/$NT$11)),0)</f>
        <v/>
      </c>
      <c r="NL11" s="426">
        <f>IF(AND(372&gt;=$NR$11,372&lt;=$NS$11),IF($NP$11="Single_Point",IF(372=$NR$11,$NN$11,0),IF($NP$11="Bell_Curve",$NN$11*(372-$NR$11+1)*($NS$11-372+1)/$NU$11,$NN$11/$NT$11)),0)</f>
        <v/>
      </c>
      <c r="NM11">
        <f>Budget!C10</f>
        <v/>
      </c>
      <c r="NN11" s="218">
        <f>Budget!J10</f>
        <v/>
      </c>
      <c r="NO11" s="144">
        <f>Budget!G10</f>
        <v/>
      </c>
      <c r="NP11" s="144">
        <f>Budget!H10</f>
        <v/>
      </c>
      <c r="NQ11" s="85">
        <f>Budget!I10</f>
        <v/>
      </c>
      <c r="NR11" s="248">
        <f>MAX(1,MIN(372,INDEX(MilestoneStart,MATCH(NO11,MilestoneNames,0))+NQ11))</f>
        <v/>
      </c>
      <c r="NS11" s="248">
        <f>MAX(NR11,MIN(372,INDEX(MilestoneEnd,MATCH(NO11,MilestoneNames,0))+NQ11))</f>
        <v/>
      </c>
      <c r="NT11" s="85">
        <f>NS11-NR11+1</f>
        <v/>
      </c>
      <c r="NU11" s="85">
        <f>NT11*(NT11+1)*(NT11+2)/6</f>
        <v/>
      </c>
    </row>
    <row r="12">
      <c r="B12" s="296">
        <f>Budget!B11</f>
        <v/>
      </c>
      <c r="D12" s="425">
        <f>SUM(E12:NL12)</f>
        <v/>
      </c>
      <c r="E12" s="402">
        <f>IF(AND(1&gt;=$NR$12,1&lt;=$NS$12),IF($NP$12="Single_Point",IF(1=$NR$12,$NN$12,0),IF($NP$12="Bell_Curve",$NN$12*(1-$NR$12+1)*($NS$12-1+1)/$NU$12,$NN$12/$NT$12)),0)</f>
        <v/>
      </c>
      <c r="F12" s="402">
        <f>IF(AND(2&gt;=$NR$12,2&lt;=$NS$12),IF($NP$12="Single_Point",IF(2=$NR$12,$NN$12,0),IF($NP$12="Bell_Curve",$NN$12*(2-$NR$12+1)*($NS$12-2+1)/$NU$12,$NN$12/$NT$12)),0)</f>
        <v/>
      </c>
      <c r="G12" s="402">
        <f>IF(AND(3&gt;=$NR$12,3&lt;=$NS$12),IF($NP$12="Single_Point",IF(3=$NR$12,$NN$12,0),IF($NP$12="Bell_Curve",$NN$12*(3-$NR$12+1)*($NS$12-3+1)/$NU$12,$NN$12/$NT$12)),0)</f>
        <v/>
      </c>
      <c r="H12" s="402">
        <f>IF(AND(4&gt;=$NR$12,4&lt;=$NS$12),IF($NP$12="Single_Point",IF(4=$NR$12,$NN$12,0),IF($NP$12="Bell_Curve",$NN$12*(4-$NR$12+1)*($NS$12-4+1)/$NU$12,$NN$12/$NT$12)),0)</f>
        <v/>
      </c>
      <c r="I12" s="402">
        <f>IF(AND(5&gt;=$NR$12,5&lt;=$NS$12),IF($NP$12="Single_Point",IF(5=$NR$12,$NN$12,0),IF($NP$12="Bell_Curve",$NN$12*(5-$NR$12+1)*($NS$12-5+1)/$NU$12,$NN$12/$NT$12)),0)</f>
        <v/>
      </c>
      <c r="J12" s="402">
        <f>IF(AND(6&gt;=$NR$12,6&lt;=$NS$12),IF($NP$12="Single_Point",IF(6=$NR$12,$NN$12,0),IF($NP$12="Bell_Curve",$NN$12*(6-$NR$12+1)*($NS$12-6+1)/$NU$12,$NN$12/$NT$12)),0)</f>
        <v/>
      </c>
      <c r="K12" s="402">
        <f>IF(AND(7&gt;=$NR$12,7&lt;=$NS$12),IF($NP$12="Single_Point",IF(7=$NR$12,$NN$12,0),IF($NP$12="Bell_Curve",$NN$12*(7-$NR$12+1)*($NS$12-7+1)/$NU$12,$NN$12/$NT$12)),0)</f>
        <v/>
      </c>
      <c r="L12" s="402">
        <f>IF(AND(8&gt;=$NR$12,8&lt;=$NS$12),IF($NP$12="Single_Point",IF(8=$NR$12,$NN$12,0),IF($NP$12="Bell_Curve",$NN$12*(8-$NR$12+1)*($NS$12-8+1)/$NU$12,$NN$12/$NT$12)),0)</f>
        <v/>
      </c>
      <c r="M12" s="402">
        <f>IF(AND(9&gt;=$NR$12,9&lt;=$NS$12),IF($NP$12="Single_Point",IF(9=$NR$12,$NN$12,0),IF($NP$12="Bell_Curve",$NN$12*(9-$NR$12+1)*($NS$12-9+1)/$NU$12,$NN$12/$NT$12)),0)</f>
        <v/>
      </c>
      <c r="N12" s="402">
        <f>IF(AND(10&gt;=$NR$12,10&lt;=$NS$12),IF($NP$12="Single_Point",IF(10=$NR$12,$NN$12,0),IF($NP$12="Bell_Curve",$NN$12*(10-$NR$12+1)*($NS$12-10+1)/$NU$12,$NN$12/$NT$12)),0)</f>
        <v/>
      </c>
      <c r="O12" s="402">
        <f>IF(AND(11&gt;=$NR$12,11&lt;=$NS$12),IF($NP$12="Single_Point",IF(11=$NR$12,$NN$12,0),IF($NP$12="Bell_Curve",$NN$12*(11-$NR$12+1)*($NS$12-11+1)/$NU$12,$NN$12/$NT$12)),0)</f>
        <v/>
      </c>
      <c r="P12" s="402">
        <f>IF(AND(12&gt;=$NR$12,12&lt;=$NS$12),IF($NP$12="Single_Point",IF(12=$NR$12,$NN$12,0),IF($NP$12="Bell_Curve",$NN$12*(12-$NR$12+1)*($NS$12-12+1)/$NU$12,$NN$12/$NT$12)),0)</f>
        <v/>
      </c>
      <c r="Q12" s="402">
        <f>IF(AND(13&gt;=$NR$12,13&lt;=$NS$12),IF($NP$12="Single_Point",IF(13=$NR$12,$NN$12,0),IF($NP$12="Bell_Curve",$NN$12*(13-$NR$12+1)*($NS$12-13+1)/$NU$12,$NN$12/$NT$12)),0)</f>
        <v/>
      </c>
      <c r="R12" s="402">
        <f>IF(AND(14&gt;=$NR$12,14&lt;=$NS$12),IF($NP$12="Single_Point",IF(14=$NR$12,$NN$12,0),IF($NP$12="Bell_Curve",$NN$12*(14-$NR$12+1)*($NS$12-14+1)/$NU$12,$NN$12/$NT$12)),0)</f>
        <v/>
      </c>
      <c r="S12" s="402">
        <f>IF(AND(15&gt;=$NR$12,15&lt;=$NS$12),IF($NP$12="Single_Point",IF(15=$NR$12,$NN$12,0),IF($NP$12="Bell_Curve",$NN$12*(15-$NR$12+1)*($NS$12-15+1)/$NU$12,$NN$12/$NT$12)),0)</f>
        <v/>
      </c>
      <c r="T12" s="402">
        <f>IF(AND(16&gt;=$NR$12,16&lt;=$NS$12),IF($NP$12="Single_Point",IF(16=$NR$12,$NN$12,0),IF($NP$12="Bell_Curve",$NN$12*(16-$NR$12+1)*($NS$12-16+1)/$NU$12,$NN$12/$NT$12)),0)</f>
        <v/>
      </c>
      <c r="U12" s="402">
        <f>IF(AND(17&gt;=$NR$12,17&lt;=$NS$12),IF($NP$12="Single_Point",IF(17=$NR$12,$NN$12,0),IF($NP$12="Bell_Curve",$NN$12*(17-$NR$12+1)*($NS$12-17+1)/$NU$12,$NN$12/$NT$12)),0)</f>
        <v/>
      </c>
      <c r="V12" s="402">
        <f>IF(AND(18&gt;=$NR$12,18&lt;=$NS$12),IF($NP$12="Single_Point",IF(18=$NR$12,$NN$12,0),IF($NP$12="Bell_Curve",$NN$12*(18-$NR$12+1)*($NS$12-18+1)/$NU$12,$NN$12/$NT$12)),0)</f>
        <v/>
      </c>
      <c r="W12" s="402">
        <f>IF(AND(19&gt;=$NR$12,19&lt;=$NS$12),IF($NP$12="Single_Point",IF(19=$NR$12,$NN$12,0),IF($NP$12="Bell_Curve",$NN$12*(19-$NR$12+1)*($NS$12-19+1)/$NU$12,$NN$12/$NT$12)),0)</f>
        <v/>
      </c>
      <c r="X12" s="402">
        <f>IF(AND(20&gt;=$NR$12,20&lt;=$NS$12),IF($NP$12="Single_Point",IF(20=$NR$12,$NN$12,0),IF($NP$12="Bell_Curve",$NN$12*(20-$NR$12+1)*($NS$12-20+1)/$NU$12,$NN$12/$NT$12)),0)</f>
        <v/>
      </c>
      <c r="Y12" s="402">
        <f>IF(AND(21&gt;=$NR$12,21&lt;=$NS$12),IF($NP$12="Single_Point",IF(21=$NR$12,$NN$12,0),IF($NP$12="Bell_Curve",$NN$12*(21-$NR$12+1)*($NS$12-21+1)/$NU$12,$NN$12/$NT$12)),0)</f>
        <v/>
      </c>
      <c r="Z12" s="402">
        <f>IF(AND(22&gt;=$NR$12,22&lt;=$NS$12),IF($NP$12="Single_Point",IF(22=$NR$12,$NN$12,0),IF($NP$12="Bell_Curve",$NN$12*(22-$NR$12+1)*($NS$12-22+1)/$NU$12,$NN$12/$NT$12)),0)</f>
        <v/>
      </c>
      <c r="AA12" s="402">
        <f>IF(AND(23&gt;=$NR$12,23&lt;=$NS$12),IF($NP$12="Single_Point",IF(23=$NR$12,$NN$12,0),IF($NP$12="Bell_Curve",$NN$12*(23-$NR$12+1)*($NS$12-23+1)/$NU$12,$NN$12/$NT$12)),0)</f>
        <v/>
      </c>
      <c r="AB12" s="402">
        <f>IF(AND(24&gt;=$NR$12,24&lt;=$NS$12),IF($NP$12="Single_Point",IF(24=$NR$12,$NN$12,0),IF($NP$12="Bell_Curve",$NN$12*(24-$NR$12+1)*($NS$12-24+1)/$NU$12,$NN$12/$NT$12)),0)</f>
        <v/>
      </c>
      <c r="AC12" s="402">
        <f>IF(AND(25&gt;=$NR$12,25&lt;=$NS$12),IF($NP$12="Single_Point",IF(25=$NR$12,$NN$12,0),IF($NP$12="Bell_Curve",$NN$12*(25-$NR$12+1)*($NS$12-25+1)/$NU$12,$NN$12/$NT$12)),0)</f>
        <v/>
      </c>
      <c r="AD12" s="402">
        <f>IF(AND(26&gt;=$NR$12,26&lt;=$NS$12),IF($NP$12="Single_Point",IF(26=$NR$12,$NN$12,0),IF($NP$12="Bell_Curve",$NN$12*(26-$NR$12+1)*($NS$12-26+1)/$NU$12,$NN$12/$NT$12)),0)</f>
        <v/>
      </c>
      <c r="AE12" s="402">
        <f>IF(AND(27&gt;=$NR$12,27&lt;=$NS$12),IF($NP$12="Single_Point",IF(27=$NR$12,$NN$12,0),IF($NP$12="Bell_Curve",$NN$12*(27-$NR$12+1)*($NS$12-27+1)/$NU$12,$NN$12/$NT$12)),0)</f>
        <v/>
      </c>
      <c r="AF12" s="402">
        <f>IF(AND(28&gt;=$NR$12,28&lt;=$NS$12),IF($NP$12="Single_Point",IF(28=$NR$12,$NN$12,0),IF($NP$12="Bell_Curve",$NN$12*(28-$NR$12+1)*($NS$12-28+1)/$NU$12,$NN$12/$NT$12)),0)</f>
        <v/>
      </c>
      <c r="AG12" s="402">
        <f>IF(AND(29&gt;=$NR$12,29&lt;=$NS$12),IF($NP$12="Single_Point",IF(29=$NR$12,$NN$12,0),IF($NP$12="Bell_Curve",$NN$12*(29-$NR$12+1)*($NS$12-29+1)/$NU$12,$NN$12/$NT$12)),0)</f>
        <v/>
      </c>
      <c r="AH12" s="402">
        <f>IF(AND(30&gt;=$NR$12,30&lt;=$NS$12),IF($NP$12="Single_Point",IF(30=$NR$12,$NN$12,0),IF($NP$12="Bell_Curve",$NN$12*(30-$NR$12+1)*($NS$12-30+1)/$NU$12,$NN$12/$NT$12)),0)</f>
        <v/>
      </c>
      <c r="AI12" s="402">
        <f>IF(AND(31&gt;=$NR$12,31&lt;=$NS$12),IF($NP$12="Single_Point",IF(31=$NR$12,$NN$12,0),IF($NP$12="Bell_Curve",$NN$12*(31-$NR$12+1)*($NS$12-31+1)/$NU$12,$NN$12/$NT$12)),0)</f>
        <v/>
      </c>
      <c r="AJ12" s="402">
        <f>IF(AND(32&gt;=$NR$12,32&lt;=$NS$12),IF($NP$12="Single_Point",IF(32=$NR$12,$NN$12,0),IF($NP$12="Bell_Curve",$NN$12*(32-$NR$12+1)*($NS$12-32+1)/$NU$12,$NN$12/$NT$12)),0)</f>
        <v/>
      </c>
      <c r="AK12" s="402">
        <f>IF(AND(33&gt;=$NR$12,33&lt;=$NS$12),IF($NP$12="Single_Point",IF(33=$NR$12,$NN$12,0),IF($NP$12="Bell_Curve",$NN$12*(33-$NR$12+1)*($NS$12-33+1)/$NU$12,$NN$12/$NT$12)),0)</f>
        <v/>
      </c>
      <c r="AL12" s="402">
        <f>IF(AND(34&gt;=$NR$12,34&lt;=$NS$12),IF($NP$12="Single_Point",IF(34=$NR$12,$NN$12,0),IF($NP$12="Bell_Curve",$NN$12*(34-$NR$12+1)*($NS$12-34+1)/$NU$12,$NN$12/$NT$12)),0)</f>
        <v/>
      </c>
      <c r="AM12" s="402">
        <f>IF(AND(35&gt;=$NR$12,35&lt;=$NS$12),IF($NP$12="Single_Point",IF(35=$NR$12,$NN$12,0),IF($NP$12="Bell_Curve",$NN$12*(35-$NR$12+1)*($NS$12-35+1)/$NU$12,$NN$12/$NT$12)),0)</f>
        <v/>
      </c>
      <c r="AN12" s="402">
        <f>IF(AND(36&gt;=$NR$12,36&lt;=$NS$12),IF($NP$12="Single_Point",IF(36=$NR$12,$NN$12,0),IF($NP$12="Bell_Curve",$NN$12*(36-$NR$12+1)*($NS$12-36+1)/$NU$12,$NN$12/$NT$12)),0)</f>
        <v/>
      </c>
      <c r="AO12" s="402">
        <f>IF(AND(37&gt;=$NR$12,37&lt;=$NS$12),IF($NP$12="Single_Point",IF(37=$NR$12,$NN$12,0),IF($NP$12="Bell_Curve",$NN$12*(37-$NR$12+1)*($NS$12-37+1)/$NU$12,$NN$12/$NT$12)),0)</f>
        <v/>
      </c>
      <c r="AP12" s="402">
        <f>IF(AND(38&gt;=$NR$12,38&lt;=$NS$12),IF($NP$12="Single_Point",IF(38=$NR$12,$NN$12,0),IF($NP$12="Bell_Curve",$NN$12*(38-$NR$12+1)*($NS$12-38+1)/$NU$12,$NN$12/$NT$12)),0)</f>
        <v/>
      </c>
      <c r="AQ12" s="402">
        <f>IF(AND(39&gt;=$NR$12,39&lt;=$NS$12),IF($NP$12="Single_Point",IF(39=$NR$12,$NN$12,0),IF($NP$12="Bell_Curve",$NN$12*(39-$NR$12+1)*($NS$12-39+1)/$NU$12,$NN$12/$NT$12)),0)</f>
        <v/>
      </c>
      <c r="AR12" s="402">
        <f>IF(AND(40&gt;=$NR$12,40&lt;=$NS$12),IF($NP$12="Single_Point",IF(40=$NR$12,$NN$12,0),IF($NP$12="Bell_Curve",$NN$12*(40-$NR$12+1)*($NS$12-40+1)/$NU$12,$NN$12/$NT$12)),0)</f>
        <v/>
      </c>
      <c r="AS12" s="402">
        <f>IF(AND(41&gt;=$NR$12,41&lt;=$NS$12),IF($NP$12="Single_Point",IF(41=$NR$12,$NN$12,0),IF($NP$12="Bell_Curve",$NN$12*(41-$NR$12+1)*($NS$12-41+1)/$NU$12,$NN$12/$NT$12)),0)</f>
        <v/>
      </c>
      <c r="AT12" s="402">
        <f>IF(AND(42&gt;=$NR$12,42&lt;=$NS$12),IF($NP$12="Single_Point",IF(42=$NR$12,$NN$12,0),IF($NP$12="Bell_Curve",$NN$12*(42-$NR$12+1)*($NS$12-42+1)/$NU$12,$NN$12/$NT$12)),0)</f>
        <v/>
      </c>
      <c r="AU12" s="402">
        <f>IF(AND(43&gt;=$NR$12,43&lt;=$NS$12),IF($NP$12="Single_Point",IF(43=$NR$12,$NN$12,0),IF($NP$12="Bell_Curve",$NN$12*(43-$NR$12+1)*($NS$12-43+1)/$NU$12,$NN$12/$NT$12)),0)</f>
        <v/>
      </c>
      <c r="AV12" s="402">
        <f>IF(AND(44&gt;=$NR$12,44&lt;=$NS$12),IF($NP$12="Single_Point",IF(44=$NR$12,$NN$12,0),IF($NP$12="Bell_Curve",$NN$12*(44-$NR$12+1)*($NS$12-44+1)/$NU$12,$NN$12/$NT$12)),0)</f>
        <v/>
      </c>
      <c r="AW12" s="402">
        <f>IF(AND(45&gt;=$NR$12,45&lt;=$NS$12),IF($NP$12="Single_Point",IF(45=$NR$12,$NN$12,0),IF($NP$12="Bell_Curve",$NN$12*(45-$NR$12+1)*($NS$12-45+1)/$NU$12,$NN$12/$NT$12)),0)</f>
        <v/>
      </c>
      <c r="AX12" s="402">
        <f>IF(AND(46&gt;=$NR$12,46&lt;=$NS$12),IF($NP$12="Single_Point",IF(46=$NR$12,$NN$12,0),IF($NP$12="Bell_Curve",$NN$12*(46-$NR$12+1)*($NS$12-46+1)/$NU$12,$NN$12/$NT$12)),0)</f>
        <v/>
      </c>
      <c r="AY12" s="402">
        <f>IF(AND(47&gt;=$NR$12,47&lt;=$NS$12),IF($NP$12="Single_Point",IF(47=$NR$12,$NN$12,0),IF($NP$12="Bell_Curve",$NN$12*(47-$NR$12+1)*($NS$12-47+1)/$NU$12,$NN$12/$NT$12)),0)</f>
        <v/>
      </c>
      <c r="AZ12" s="402">
        <f>IF(AND(48&gt;=$NR$12,48&lt;=$NS$12),IF($NP$12="Single_Point",IF(48=$NR$12,$NN$12,0),IF($NP$12="Bell_Curve",$NN$12*(48-$NR$12+1)*($NS$12-48+1)/$NU$12,$NN$12/$NT$12)),0)</f>
        <v/>
      </c>
      <c r="BA12" s="402">
        <f>IF(AND(49&gt;=$NR$12,49&lt;=$NS$12),IF($NP$12="Single_Point",IF(49=$NR$12,$NN$12,0),IF($NP$12="Bell_Curve",$NN$12*(49-$NR$12+1)*($NS$12-49+1)/$NU$12,$NN$12/$NT$12)),0)</f>
        <v/>
      </c>
      <c r="BB12" s="402">
        <f>IF(AND(50&gt;=$NR$12,50&lt;=$NS$12),IF($NP$12="Single_Point",IF(50=$NR$12,$NN$12,0),IF($NP$12="Bell_Curve",$NN$12*(50-$NR$12+1)*($NS$12-50+1)/$NU$12,$NN$12/$NT$12)),0)</f>
        <v/>
      </c>
      <c r="BC12" s="402">
        <f>IF(AND(51&gt;=$NR$12,51&lt;=$NS$12),IF($NP$12="Single_Point",IF(51=$NR$12,$NN$12,0),IF($NP$12="Bell_Curve",$NN$12*(51-$NR$12+1)*($NS$12-51+1)/$NU$12,$NN$12/$NT$12)),0)</f>
        <v/>
      </c>
      <c r="BD12" s="402">
        <f>IF(AND(52&gt;=$NR$12,52&lt;=$NS$12),IF($NP$12="Single_Point",IF(52=$NR$12,$NN$12,0),IF($NP$12="Bell_Curve",$NN$12*(52-$NR$12+1)*($NS$12-52+1)/$NU$12,$NN$12/$NT$12)),0)</f>
        <v/>
      </c>
      <c r="BE12" s="402">
        <f>IF(AND(53&gt;=$NR$12,53&lt;=$NS$12),IF($NP$12="Single_Point",IF(53=$NR$12,$NN$12,0),IF($NP$12="Bell_Curve",$NN$12*(53-$NR$12+1)*($NS$12-53+1)/$NU$12,$NN$12/$NT$12)),0)</f>
        <v/>
      </c>
      <c r="BF12" s="402">
        <f>IF(AND(54&gt;=$NR$12,54&lt;=$NS$12),IF($NP$12="Single_Point",IF(54=$NR$12,$NN$12,0),IF($NP$12="Bell_Curve",$NN$12*(54-$NR$12+1)*($NS$12-54+1)/$NU$12,$NN$12/$NT$12)),0)</f>
        <v/>
      </c>
      <c r="BG12" s="402">
        <f>IF(AND(55&gt;=$NR$12,55&lt;=$NS$12),IF($NP$12="Single_Point",IF(55=$NR$12,$NN$12,0),IF($NP$12="Bell_Curve",$NN$12*(55-$NR$12+1)*($NS$12-55+1)/$NU$12,$NN$12/$NT$12)),0)</f>
        <v/>
      </c>
      <c r="BH12" s="402">
        <f>IF(AND(56&gt;=$NR$12,56&lt;=$NS$12),IF($NP$12="Single_Point",IF(56=$NR$12,$NN$12,0),IF($NP$12="Bell_Curve",$NN$12*(56-$NR$12+1)*($NS$12-56+1)/$NU$12,$NN$12/$NT$12)),0)</f>
        <v/>
      </c>
      <c r="BI12" s="402">
        <f>IF(AND(57&gt;=$NR$12,57&lt;=$NS$12),IF($NP$12="Single_Point",IF(57=$NR$12,$NN$12,0),IF($NP$12="Bell_Curve",$NN$12*(57-$NR$12+1)*($NS$12-57+1)/$NU$12,$NN$12/$NT$12)),0)</f>
        <v/>
      </c>
      <c r="BJ12" s="402">
        <f>IF(AND(58&gt;=$NR$12,58&lt;=$NS$12),IF($NP$12="Single_Point",IF(58=$NR$12,$NN$12,0),IF($NP$12="Bell_Curve",$NN$12*(58-$NR$12+1)*($NS$12-58+1)/$NU$12,$NN$12/$NT$12)),0)</f>
        <v/>
      </c>
      <c r="BK12" s="402">
        <f>IF(AND(59&gt;=$NR$12,59&lt;=$NS$12),IF($NP$12="Single_Point",IF(59=$NR$12,$NN$12,0),IF($NP$12="Bell_Curve",$NN$12*(59-$NR$12+1)*($NS$12-59+1)/$NU$12,$NN$12/$NT$12)),0)</f>
        <v/>
      </c>
      <c r="BL12" s="402">
        <f>IF(AND(60&gt;=$NR$12,60&lt;=$NS$12),IF($NP$12="Single_Point",IF(60=$NR$12,$NN$12,0),IF($NP$12="Bell_Curve",$NN$12*(60-$NR$12+1)*($NS$12-60+1)/$NU$12,$NN$12/$NT$12)),0)</f>
        <v/>
      </c>
      <c r="BM12" s="402">
        <f>IF(AND(61&gt;=$NR$12,61&lt;=$NS$12),IF($NP$12="Single_Point",IF(61=$NR$12,$NN$12,0),IF($NP$12="Bell_Curve",$NN$12*(61-$NR$12+1)*($NS$12-61+1)/$NU$12,$NN$12/$NT$12)),0)</f>
        <v/>
      </c>
      <c r="BN12" s="402">
        <f>IF(AND(62&gt;=$NR$12,62&lt;=$NS$12),IF($NP$12="Single_Point",IF(62=$NR$12,$NN$12,0),IF($NP$12="Bell_Curve",$NN$12*(62-$NR$12+1)*($NS$12-62+1)/$NU$12,$NN$12/$NT$12)),0)</f>
        <v/>
      </c>
      <c r="BO12" s="402">
        <f>IF(AND(63&gt;=$NR$12,63&lt;=$NS$12),IF($NP$12="Single_Point",IF(63=$NR$12,$NN$12,0),IF($NP$12="Bell_Curve",$NN$12*(63-$NR$12+1)*($NS$12-63+1)/$NU$12,$NN$12/$NT$12)),0)</f>
        <v/>
      </c>
      <c r="BP12" s="402">
        <f>IF(AND(64&gt;=$NR$12,64&lt;=$NS$12),IF($NP$12="Single_Point",IF(64=$NR$12,$NN$12,0),IF($NP$12="Bell_Curve",$NN$12*(64-$NR$12+1)*($NS$12-64+1)/$NU$12,$NN$12/$NT$12)),0)</f>
        <v/>
      </c>
      <c r="BQ12" s="402">
        <f>IF(AND(65&gt;=$NR$12,65&lt;=$NS$12),IF($NP$12="Single_Point",IF(65=$NR$12,$NN$12,0),IF($NP$12="Bell_Curve",$NN$12*(65-$NR$12+1)*($NS$12-65+1)/$NU$12,$NN$12/$NT$12)),0)</f>
        <v/>
      </c>
      <c r="BR12" s="402">
        <f>IF(AND(66&gt;=$NR$12,66&lt;=$NS$12),IF($NP$12="Single_Point",IF(66=$NR$12,$NN$12,0),IF($NP$12="Bell_Curve",$NN$12*(66-$NR$12+1)*($NS$12-66+1)/$NU$12,$NN$12/$NT$12)),0)</f>
        <v/>
      </c>
      <c r="BS12" s="402">
        <f>IF(AND(67&gt;=$NR$12,67&lt;=$NS$12),IF($NP$12="Single_Point",IF(67=$NR$12,$NN$12,0),IF($NP$12="Bell_Curve",$NN$12*(67-$NR$12+1)*($NS$12-67+1)/$NU$12,$NN$12/$NT$12)),0)</f>
        <v/>
      </c>
      <c r="BT12" s="402">
        <f>IF(AND(68&gt;=$NR$12,68&lt;=$NS$12),IF($NP$12="Single_Point",IF(68=$NR$12,$NN$12,0),IF($NP$12="Bell_Curve",$NN$12*(68-$NR$12+1)*($NS$12-68+1)/$NU$12,$NN$12/$NT$12)),0)</f>
        <v/>
      </c>
      <c r="BU12" s="402">
        <f>IF(AND(69&gt;=$NR$12,69&lt;=$NS$12),IF($NP$12="Single_Point",IF(69=$NR$12,$NN$12,0),IF($NP$12="Bell_Curve",$NN$12*(69-$NR$12+1)*($NS$12-69+1)/$NU$12,$NN$12/$NT$12)),0)</f>
        <v/>
      </c>
      <c r="BV12" s="402">
        <f>IF(AND(70&gt;=$NR$12,70&lt;=$NS$12),IF($NP$12="Single_Point",IF(70=$NR$12,$NN$12,0),IF($NP$12="Bell_Curve",$NN$12*(70-$NR$12+1)*($NS$12-70+1)/$NU$12,$NN$12/$NT$12)),0)</f>
        <v/>
      </c>
      <c r="BW12" s="402">
        <f>IF(AND(71&gt;=$NR$12,71&lt;=$NS$12),IF($NP$12="Single_Point",IF(71=$NR$12,$NN$12,0),IF($NP$12="Bell_Curve",$NN$12*(71-$NR$12+1)*($NS$12-71+1)/$NU$12,$NN$12/$NT$12)),0)</f>
        <v/>
      </c>
      <c r="BX12" s="402">
        <f>IF(AND(72&gt;=$NR$12,72&lt;=$NS$12),IF($NP$12="Single_Point",IF(72=$NR$12,$NN$12,0),IF($NP$12="Bell_Curve",$NN$12*(72-$NR$12+1)*($NS$12-72+1)/$NU$12,$NN$12/$NT$12)),0)</f>
        <v/>
      </c>
      <c r="BY12" s="402">
        <f>IF(AND(73&gt;=$NR$12,73&lt;=$NS$12),IF($NP$12="Single_Point",IF(73=$NR$12,$NN$12,0),IF($NP$12="Bell_Curve",$NN$12*(73-$NR$12+1)*($NS$12-73+1)/$NU$12,$NN$12/$NT$12)),0)</f>
        <v/>
      </c>
      <c r="BZ12" s="402">
        <f>IF(AND(74&gt;=$NR$12,74&lt;=$NS$12),IF($NP$12="Single_Point",IF(74=$NR$12,$NN$12,0),IF($NP$12="Bell_Curve",$NN$12*(74-$NR$12+1)*($NS$12-74+1)/$NU$12,$NN$12/$NT$12)),0)</f>
        <v/>
      </c>
      <c r="CA12" s="402">
        <f>IF(AND(75&gt;=$NR$12,75&lt;=$NS$12),IF($NP$12="Single_Point",IF(75=$NR$12,$NN$12,0),IF($NP$12="Bell_Curve",$NN$12*(75-$NR$12+1)*($NS$12-75+1)/$NU$12,$NN$12/$NT$12)),0)</f>
        <v/>
      </c>
      <c r="CB12" s="402">
        <f>IF(AND(76&gt;=$NR$12,76&lt;=$NS$12),IF($NP$12="Single_Point",IF(76=$NR$12,$NN$12,0),IF($NP$12="Bell_Curve",$NN$12*(76-$NR$12+1)*($NS$12-76+1)/$NU$12,$NN$12/$NT$12)),0)</f>
        <v/>
      </c>
      <c r="CC12" s="402">
        <f>IF(AND(77&gt;=$NR$12,77&lt;=$NS$12),IF($NP$12="Single_Point",IF(77=$NR$12,$NN$12,0),IF($NP$12="Bell_Curve",$NN$12*(77-$NR$12+1)*($NS$12-77+1)/$NU$12,$NN$12/$NT$12)),0)</f>
        <v/>
      </c>
      <c r="CD12" s="402">
        <f>IF(AND(78&gt;=$NR$12,78&lt;=$NS$12),IF($NP$12="Single_Point",IF(78=$NR$12,$NN$12,0),IF($NP$12="Bell_Curve",$NN$12*(78-$NR$12+1)*($NS$12-78+1)/$NU$12,$NN$12/$NT$12)),0)</f>
        <v/>
      </c>
      <c r="CE12" s="402">
        <f>IF(AND(79&gt;=$NR$12,79&lt;=$NS$12),IF($NP$12="Single_Point",IF(79=$NR$12,$NN$12,0),IF($NP$12="Bell_Curve",$NN$12*(79-$NR$12+1)*($NS$12-79+1)/$NU$12,$NN$12/$NT$12)),0)</f>
        <v/>
      </c>
      <c r="CF12" s="402">
        <f>IF(AND(80&gt;=$NR$12,80&lt;=$NS$12),IF($NP$12="Single_Point",IF(80=$NR$12,$NN$12,0),IF($NP$12="Bell_Curve",$NN$12*(80-$NR$12+1)*($NS$12-80+1)/$NU$12,$NN$12/$NT$12)),0)</f>
        <v/>
      </c>
      <c r="CG12" s="402">
        <f>IF(AND(81&gt;=$NR$12,81&lt;=$NS$12),IF($NP$12="Single_Point",IF(81=$NR$12,$NN$12,0),IF($NP$12="Bell_Curve",$NN$12*(81-$NR$12+1)*($NS$12-81+1)/$NU$12,$NN$12/$NT$12)),0)</f>
        <v/>
      </c>
      <c r="CH12" s="402">
        <f>IF(AND(82&gt;=$NR$12,82&lt;=$NS$12),IF($NP$12="Single_Point",IF(82=$NR$12,$NN$12,0),IF($NP$12="Bell_Curve",$NN$12*(82-$NR$12+1)*($NS$12-82+1)/$NU$12,$NN$12/$NT$12)),0)</f>
        <v/>
      </c>
      <c r="CI12" s="402">
        <f>IF(AND(83&gt;=$NR$12,83&lt;=$NS$12),IF($NP$12="Single_Point",IF(83=$NR$12,$NN$12,0),IF($NP$12="Bell_Curve",$NN$12*(83-$NR$12+1)*($NS$12-83+1)/$NU$12,$NN$12/$NT$12)),0)</f>
        <v/>
      </c>
      <c r="CJ12" s="402">
        <f>IF(AND(84&gt;=$NR$12,84&lt;=$NS$12),IF($NP$12="Single_Point",IF(84=$NR$12,$NN$12,0),IF($NP$12="Bell_Curve",$NN$12*(84-$NR$12+1)*($NS$12-84+1)/$NU$12,$NN$12/$NT$12)),0)</f>
        <v/>
      </c>
      <c r="CK12" s="402">
        <f>IF(AND(85&gt;=$NR$12,85&lt;=$NS$12),IF($NP$12="Single_Point",IF(85=$NR$12,$NN$12,0),IF($NP$12="Bell_Curve",$NN$12*(85-$NR$12+1)*($NS$12-85+1)/$NU$12,$NN$12/$NT$12)),0)</f>
        <v/>
      </c>
      <c r="CL12" s="402">
        <f>IF(AND(86&gt;=$NR$12,86&lt;=$NS$12),IF($NP$12="Single_Point",IF(86=$NR$12,$NN$12,0),IF($NP$12="Bell_Curve",$NN$12*(86-$NR$12+1)*($NS$12-86+1)/$NU$12,$NN$12/$NT$12)),0)</f>
        <v/>
      </c>
      <c r="CM12" s="402">
        <f>IF(AND(87&gt;=$NR$12,87&lt;=$NS$12),IF($NP$12="Single_Point",IF(87=$NR$12,$NN$12,0),IF($NP$12="Bell_Curve",$NN$12*(87-$NR$12+1)*($NS$12-87+1)/$NU$12,$NN$12/$NT$12)),0)</f>
        <v/>
      </c>
      <c r="CN12" s="402">
        <f>IF(AND(88&gt;=$NR$12,88&lt;=$NS$12),IF($NP$12="Single_Point",IF(88=$NR$12,$NN$12,0),IF($NP$12="Bell_Curve",$NN$12*(88-$NR$12+1)*($NS$12-88+1)/$NU$12,$NN$12/$NT$12)),0)</f>
        <v/>
      </c>
      <c r="CO12" s="402">
        <f>IF(AND(89&gt;=$NR$12,89&lt;=$NS$12),IF($NP$12="Single_Point",IF(89=$NR$12,$NN$12,0),IF($NP$12="Bell_Curve",$NN$12*(89-$NR$12+1)*($NS$12-89+1)/$NU$12,$NN$12/$NT$12)),0)</f>
        <v/>
      </c>
      <c r="CP12" s="402">
        <f>IF(AND(90&gt;=$NR$12,90&lt;=$NS$12),IF($NP$12="Single_Point",IF(90=$NR$12,$NN$12,0),IF($NP$12="Bell_Curve",$NN$12*(90-$NR$12+1)*($NS$12-90+1)/$NU$12,$NN$12/$NT$12)),0)</f>
        <v/>
      </c>
      <c r="CQ12" s="402">
        <f>IF(AND(91&gt;=$NR$12,91&lt;=$NS$12),IF($NP$12="Single_Point",IF(91=$NR$12,$NN$12,0),IF($NP$12="Bell_Curve",$NN$12*(91-$NR$12+1)*($NS$12-91+1)/$NU$12,$NN$12/$NT$12)),0)</f>
        <v/>
      </c>
      <c r="CR12" s="402">
        <f>IF(AND(92&gt;=$NR$12,92&lt;=$NS$12),IF($NP$12="Single_Point",IF(92=$NR$12,$NN$12,0),IF($NP$12="Bell_Curve",$NN$12*(92-$NR$12+1)*($NS$12-92+1)/$NU$12,$NN$12/$NT$12)),0)</f>
        <v/>
      </c>
      <c r="CS12" s="402">
        <f>IF(AND(93&gt;=$NR$12,93&lt;=$NS$12),IF($NP$12="Single_Point",IF(93=$NR$12,$NN$12,0),IF($NP$12="Bell_Curve",$NN$12*(93-$NR$12+1)*($NS$12-93+1)/$NU$12,$NN$12/$NT$12)),0)</f>
        <v/>
      </c>
      <c r="CT12" s="402">
        <f>IF(AND(94&gt;=$NR$12,94&lt;=$NS$12),IF($NP$12="Single_Point",IF(94=$NR$12,$NN$12,0),IF($NP$12="Bell_Curve",$NN$12*(94-$NR$12+1)*($NS$12-94+1)/$NU$12,$NN$12/$NT$12)),0)</f>
        <v/>
      </c>
      <c r="CU12" s="402">
        <f>IF(AND(95&gt;=$NR$12,95&lt;=$NS$12),IF($NP$12="Single_Point",IF(95=$NR$12,$NN$12,0),IF($NP$12="Bell_Curve",$NN$12*(95-$NR$12+1)*($NS$12-95+1)/$NU$12,$NN$12/$NT$12)),0)</f>
        <v/>
      </c>
      <c r="CV12" s="402">
        <f>IF(AND(96&gt;=$NR$12,96&lt;=$NS$12),IF($NP$12="Single_Point",IF(96=$NR$12,$NN$12,0),IF($NP$12="Bell_Curve",$NN$12*(96-$NR$12+1)*($NS$12-96+1)/$NU$12,$NN$12/$NT$12)),0)</f>
        <v/>
      </c>
      <c r="CW12" s="402">
        <f>IF(AND(97&gt;=$NR$12,97&lt;=$NS$12),IF($NP$12="Single_Point",IF(97=$NR$12,$NN$12,0),IF($NP$12="Bell_Curve",$NN$12*(97-$NR$12+1)*($NS$12-97+1)/$NU$12,$NN$12/$NT$12)),0)</f>
        <v/>
      </c>
      <c r="CX12" s="402">
        <f>IF(AND(98&gt;=$NR$12,98&lt;=$NS$12),IF($NP$12="Single_Point",IF(98=$NR$12,$NN$12,0),IF($NP$12="Bell_Curve",$NN$12*(98-$NR$12+1)*($NS$12-98+1)/$NU$12,$NN$12/$NT$12)),0)</f>
        <v/>
      </c>
      <c r="CY12" s="402">
        <f>IF(AND(99&gt;=$NR$12,99&lt;=$NS$12),IF($NP$12="Single_Point",IF(99=$NR$12,$NN$12,0),IF($NP$12="Bell_Curve",$NN$12*(99-$NR$12+1)*($NS$12-99+1)/$NU$12,$NN$12/$NT$12)),0)</f>
        <v/>
      </c>
      <c r="CZ12" s="402">
        <f>IF(AND(100&gt;=$NR$12,100&lt;=$NS$12),IF($NP$12="Single_Point",IF(100=$NR$12,$NN$12,0),IF($NP$12="Bell_Curve",$NN$12*(100-$NR$12+1)*($NS$12-100+1)/$NU$12,$NN$12/$NT$12)),0)</f>
        <v/>
      </c>
      <c r="DA12" s="402">
        <f>IF(AND(101&gt;=$NR$12,101&lt;=$NS$12),IF($NP$12="Single_Point",IF(101=$NR$12,$NN$12,0),IF($NP$12="Bell_Curve",$NN$12*(101-$NR$12+1)*($NS$12-101+1)/$NU$12,$NN$12/$NT$12)),0)</f>
        <v/>
      </c>
      <c r="DB12" s="402">
        <f>IF(AND(102&gt;=$NR$12,102&lt;=$NS$12),IF($NP$12="Single_Point",IF(102=$NR$12,$NN$12,0),IF($NP$12="Bell_Curve",$NN$12*(102-$NR$12+1)*($NS$12-102+1)/$NU$12,$NN$12/$NT$12)),0)</f>
        <v/>
      </c>
      <c r="DC12" s="402">
        <f>IF(AND(103&gt;=$NR$12,103&lt;=$NS$12),IF($NP$12="Single_Point",IF(103=$NR$12,$NN$12,0),IF($NP$12="Bell_Curve",$NN$12*(103-$NR$12+1)*($NS$12-103+1)/$NU$12,$NN$12/$NT$12)),0)</f>
        <v/>
      </c>
      <c r="DD12" s="402">
        <f>IF(AND(104&gt;=$NR$12,104&lt;=$NS$12),IF($NP$12="Single_Point",IF(104=$NR$12,$NN$12,0),IF($NP$12="Bell_Curve",$NN$12*(104-$NR$12+1)*($NS$12-104+1)/$NU$12,$NN$12/$NT$12)),0)</f>
        <v/>
      </c>
      <c r="DE12" s="402">
        <f>IF(AND(105&gt;=$NR$12,105&lt;=$NS$12),IF($NP$12="Single_Point",IF(105=$NR$12,$NN$12,0),IF($NP$12="Bell_Curve",$NN$12*(105-$NR$12+1)*($NS$12-105+1)/$NU$12,$NN$12/$NT$12)),0)</f>
        <v/>
      </c>
      <c r="DF12" s="402">
        <f>IF(AND(106&gt;=$NR$12,106&lt;=$NS$12),IF($NP$12="Single_Point",IF(106=$NR$12,$NN$12,0),IF($NP$12="Bell_Curve",$NN$12*(106-$NR$12+1)*($NS$12-106+1)/$NU$12,$NN$12/$NT$12)),0)</f>
        <v/>
      </c>
      <c r="DG12" s="402">
        <f>IF(AND(107&gt;=$NR$12,107&lt;=$NS$12),IF($NP$12="Single_Point",IF(107=$NR$12,$NN$12,0),IF($NP$12="Bell_Curve",$NN$12*(107-$NR$12+1)*($NS$12-107+1)/$NU$12,$NN$12/$NT$12)),0)</f>
        <v/>
      </c>
      <c r="DH12" s="402">
        <f>IF(AND(108&gt;=$NR$12,108&lt;=$NS$12),IF($NP$12="Single_Point",IF(108=$NR$12,$NN$12,0),IF($NP$12="Bell_Curve",$NN$12*(108-$NR$12+1)*($NS$12-108+1)/$NU$12,$NN$12/$NT$12)),0)</f>
        <v/>
      </c>
      <c r="DI12" s="402">
        <f>IF(AND(109&gt;=$NR$12,109&lt;=$NS$12),IF($NP$12="Single_Point",IF(109=$NR$12,$NN$12,0),IF($NP$12="Bell_Curve",$NN$12*(109-$NR$12+1)*($NS$12-109+1)/$NU$12,$NN$12/$NT$12)),0)</f>
        <v/>
      </c>
      <c r="DJ12" s="402">
        <f>IF(AND(110&gt;=$NR$12,110&lt;=$NS$12),IF($NP$12="Single_Point",IF(110=$NR$12,$NN$12,0),IF($NP$12="Bell_Curve",$NN$12*(110-$NR$12+1)*($NS$12-110+1)/$NU$12,$NN$12/$NT$12)),0)</f>
        <v/>
      </c>
      <c r="DK12" s="402">
        <f>IF(AND(111&gt;=$NR$12,111&lt;=$NS$12),IF($NP$12="Single_Point",IF(111=$NR$12,$NN$12,0),IF($NP$12="Bell_Curve",$NN$12*(111-$NR$12+1)*($NS$12-111+1)/$NU$12,$NN$12/$NT$12)),0)</f>
        <v/>
      </c>
      <c r="DL12" s="402">
        <f>IF(AND(112&gt;=$NR$12,112&lt;=$NS$12),IF($NP$12="Single_Point",IF(112=$NR$12,$NN$12,0),IF($NP$12="Bell_Curve",$NN$12*(112-$NR$12+1)*($NS$12-112+1)/$NU$12,$NN$12/$NT$12)),0)</f>
        <v/>
      </c>
      <c r="DM12" s="402">
        <f>IF(AND(113&gt;=$NR$12,113&lt;=$NS$12),IF($NP$12="Single_Point",IF(113=$NR$12,$NN$12,0),IF($NP$12="Bell_Curve",$NN$12*(113-$NR$12+1)*($NS$12-113+1)/$NU$12,$NN$12/$NT$12)),0)</f>
        <v/>
      </c>
      <c r="DN12" s="402">
        <f>IF(AND(114&gt;=$NR$12,114&lt;=$NS$12),IF($NP$12="Single_Point",IF(114=$NR$12,$NN$12,0),IF($NP$12="Bell_Curve",$NN$12*(114-$NR$12+1)*($NS$12-114+1)/$NU$12,$NN$12/$NT$12)),0)</f>
        <v/>
      </c>
      <c r="DO12" s="402">
        <f>IF(AND(115&gt;=$NR$12,115&lt;=$NS$12),IF($NP$12="Single_Point",IF(115=$NR$12,$NN$12,0),IF($NP$12="Bell_Curve",$NN$12*(115-$NR$12+1)*($NS$12-115+1)/$NU$12,$NN$12/$NT$12)),0)</f>
        <v/>
      </c>
      <c r="DP12" s="402">
        <f>IF(AND(116&gt;=$NR$12,116&lt;=$NS$12),IF($NP$12="Single_Point",IF(116=$NR$12,$NN$12,0),IF($NP$12="Bell_Curve",$NN$12*(116-$NR$12+1)*($NS$12-116+1)/$NU$12,$NN$12/$NT$12)),0)</f>
        <v/>
      </c>
      <c r="DQ12" s="402">
        <f>IF(AND(117&gt;=$NR$12,117&lt;=$NS$12),IF($NP$12="Single_Point",IF(117=$NR$12,$NN$12,0),IF($NP$12="Bell_Curve",$NN$12*(117-$NR$12+1)*($NS$12-117+1)/$NU$12,$NN$12/$NT$12)),0)</f>
        <v/>
      </c>
      <c r="DR12" s="402">
        <f>IF(AND(118&gt;=$NR$12,118&lt;=$NS$12),IF($NP$12="Single_Point",IF(118=$NR$12,$NN$12,0),IF($NP$12="Bell_Curve",$NN$12*(118-$NR$12+1)*($NS$12-118+1)/$NU$12,$NN$12/$NT$12)),0)</f>
        <v/>
      </c>
      <c r="DS12" s="402">
        <f>IF(AND(119&gt;=$NR$12,119&lt;=$NS$12),IF($NP$12="Single_Point",IF(119=$NR$12,$NN$12,0),IF($NP$12="Bell_Curve",$NN$12*(119-$NR$12+1)*($NS$12-119+1)/$NU$12,$NN$12/$NT$12)),0)</f>
        <v/>
      </c>
      <c r="DT12" s="402">
        <f>IF(AND(120&gt;=$NR$12,120&lt;=$NS$12),IF($NP$12="Single_Point",IF(120=$NR$12,$NN$12,0),IF($NP$12="Bell_Curve",$NN$12*(120-$NR$12+1)*($NS$12-120+1)/$NU$12,$NN$12/$NT$12)),0)</f>
        <v/>
      </c>
      <c r="DU12" s="402">
        <f>IF(AND(121&gt;=$NR$12,121&lt;=$NS$12),IF($NP$12="Single_Point",IF(121=$NR$12,$NN$12,0),IF($NP$12="Bell_Curve",$NN$12*(121-$NR$12+1)*($NS$12-121+1)/$NU$12,$NN$12/$NT$12)),0)</f>
        <v/>
      </c>
      <c r="DV12" s="402">
        <f>IF(AND(122&gt;=$NR$12,122&lt;=$NS$12),IF($NP$12="Single_Point",IF(122=$NR$12,$NN$12,0),IF($NP$12="Bell_Curve",$NN$12*(122-$NR$12+1)*($NS$12-122+1)/$NU$12,$NN$12/$NT$12)),0)</f>
        <v/>
      </c>
      <c r="DW12" s="402">
        <f>IF(AND(123&gt;=$NR$12,123&lt;=$NS$12),IF($NP$12="Single_Point",IF(123=$NR$12,$NN$12,0),IF($NP$12="Bell_Curve",$NN$12*(123-$NR$12+1)*($NS$12-123+1)/$NU$12,$NN$12/$NT$12)),0)</f>
        <v/>
      </c>
      <c r="DX12" s="402">
        <f>IF(AND(124&gt;=$NR$12,124&lt;=$NS$12),IF($NP$12="Single_Point",IF(124=$NR$12,$NN$12,0),IF($NP$12="Bell_Curve",$NN$12*(124-$NR$12+1)*($NS$12-124+1)/$NU$12,$NN$12/$NT$12)),0)</f>
        <v/>
      </c>
      <c r="DY12" s="402">
        <f>IF(AND(125&gt;=$NR$12,125&lt;=$NS$12),IF($NP$12="Single_Point",IF(125=$NR$12,$NN$12,0),IF($NP$12="Bell_Curve",$NN$12*(125-$NR$12+1)*($NS$12-125+1)/$NU$12,$NN$12/$NT$12)),0)</f>
        <v/>
      </c>
      <c r="DZ12" s="402">
        <f>IF(AND(126&gt;=$NR$12,126&lt;=$NS$12),IF($NP$12="Single_Point",IF(126=$NR$12,$NN$12,0),IF($NP$12="Bell_Curve",$NN$12*(126-$NR$12+1)*($NS$12-126+1)/$NU$12,$NN$12/$NT$12)),0)</f>
        <v/>
      </c>
      <c r="EA12" s="402">
        <f>IF(AND(127&gt;=$NR$12,127&lt;=$NS$12),IF($NP$12="Single_Point",IF(127=$NR$12,$NN$12,0),IF($NP$12="Bell_Curve",$NN$12*(127-$NR$12+1)*($NS$12-127+1)/$NU$12,$NN$12/$NT$12)),0)</f>
        <v/>
      </c>
      <c r="EB12" s="402">
        <f>IF(AND(128&gt;=$NR$12,128&lt;=$NS$12),IF($NP$12="Single_Point",IF(128=$NR$12,$NN$12,0),IF($NP$12="Bell_Curve",$NN$12*(128-$NR$12+1)*($NS$12-128+1)/$NU$12,$NN$12/$NT$12)),0)</f>
        <v/>
      </c>
      <c r="EC12" s="402">
        <f>IF(AND(129&gt;=$NR$12,129&lt;=$NS$12),IF($NP$12="Single_Point",IF(129=$NR$12,$NN$12,0),IF($NP$12="Bell_Curve",$NN$12*(129-$NR$12+1)*($NS$12-129+1)/$NU$12,$NN$12/$NT$12)),0)</f>
        <v/>
      </c>
      <c r="ED12" s="402">
        <f>IF(AND(130&gt;=$NR$12,130&lt;=$NS$12),IF($NP$12="Single_Point",IF(130=$NR$12,$NN$12,0),IF($NP$12="Bell_Curve",$NN$12*(130-$NR$12+1)*($NS$12-130+1)/$NU$12,$NN$12/$NT$12)),0)</f>
        <v/>
      </c>
      <c r="EE12" s="402">
        <f>IF(AND(131&gt;=$NR$12,131&lt;=$NS$12),IF($NP$12="Single_Point",IF(131=$NR$12,$NN$12,0),IF($NP$12="Bell_Curve",$NN$12*(131-$NR$12+1)*($NS$12-131+1)/$NU$12,$NN$12/$NT$12)),0)</f>
        <v/>
      </c>
      <c r="EF12" s="402">
        <f>IF(AND(132&gt;=$NR$12,132&lt;=$NS$12),IF($NP$12="Single_Point",IF(132=$NR$12,$NN$12,0),IF($NP$12="Bell_Curve",$NN$12*(132-$NR$12+1)*($NS$12-132+1)/$NU$12,$NN$12/$NT$12)),0)</f>
        <v/>
      </c>
      <c r="EG12" s="402">
        <f>IF(AND(133&gt;=$NR$12,133&lt;=$NS$12),IF($NP$12="Single_Point",IF(133=$NR$12,$NN$12,0),IF($NP$12="Bell_Curve",$NN$12*(133-$NR$12+1)*($NS$12-133+1)/$NU$12,$NN$12/$NT$12)),0)</f>
        <v/>
      </c>
      <c r="EH12" s="402">
        <f>IF(AND(134&gt;=$NR$12,134&lt;=$NS$12),IF($NP$12="Single_Point",IF(134=$NR$12,$NN$12,0),IF($NP$12="Bell_Curve",$NN$12*(134-$NR$12+1)*($NS$12-134+1)/$NU$12,$NN$12/$NT$12)),0)</f>
        <v/>
      </c>
      <c r="EI12" s="402">
        <f>IF(AND(135&gt;=$NR$12,135&lt;=$NS$12),IF($NP$12="Single_Point",IF(135=$NR$12,$NN$12,0),IF($NP$12="Bell_Curve",$NN$12*(135-$NR$12+1)*($NS$12-135+1)/$NU$12,$NN$12/$NT$12)),0)</f>
        <v/>
      </c>
      <c r="EJ12" s="402">
        <f>IF(AND(136&gt;=$NR$12,136&lt;=$NS$12),IF($NP$12="Single_Point",IF(136=$NR$12,$NN$12,0),IF($NP$12="Bell_Curve",$NN$12*(136-$NR$12+1)*($NS$12-136+1)/$NU$12,$NN$12/$NT$12)),0)</f>
        <v/>
      </c>
      <c r="EK12" s="402">
        <f>IF(AND(137&gt;=$NR$12,137&lt;=$NS$12),IF($NP$12="Single_Point",IF(137=$NR$12,$NN$12,0),IF($NP$12="Bell_Curve",$NN$12*(137-$NR$12+1)*($NS$12-137+1)/$NU$12,$NN$12/$NT$12)),0)</f>
        <v/>
      </c>
      <c r="EL12" s="402">
        <f>IF(AND(138&gt;=$NR$12,138&lt;=$NS$12),IF($NP$12="Single_Point",IF(138=$NR$12,$NN$12,0),IF($NP$12="Bell_Curve",$NN$12*(138-$NR$12+1)*($NS$12-138+1)/$NU$12,$NN$12/$NT$12)),0)</f>
        <v/>
      </c>
      <c r="EM12" s="402">
        <f>IF(AND(139&gt;=$NR$12,139&lt;=$NS$12),IF($NP$12="Single_Point",IF(139=$NR$12,$NN$12,0),IF($NP$12="Bell_Curve",$NN$12*(139-$NR$12+1)*($NS$12-139+1)/$NU$12,$NN$12/$NT$12)),0)</f>
        <v/>
      </c>
      <c r="EN12" s="402">
        <f>IF(AND(140&gt;=$NR$12,140&lt;=$NS$12),IF($NP$12="Single_Point",IF(140=$NR$12,$NN$12,0),IF($NP$12="Bell_Curve",$NN$12*(140-$NR$12+1)*($NS$12-140+1)/$NU$12,$NN$12/$NT$12)),0)</f>
        <v/>
      </c>
      <c r="EO12" s="402">
        <f>IF(AND(141&gt;=$NR$12,141&lt;=$NS$12),IF($NP$12="Single_Point",IF(141=$NR$12,$NN$12,0),IF($NP$12="Bell_Curve",$NN$12*(141-$NR$12+1)*($NS$12-141+1)/$NU$12,$NN$12/$NT$12)),0)</f>
        <v/>
      </c>
      <c r="EP12" s="402">
        <f>IF(AND(142&gt;=$NR$12,142&lt;=$NS$12),IF($NP$12="Single_Point",IF(142=$NR$12,$NN$12,0),IF($NP$12="Bell_Curve",$NN$12*(142-$NR$12+1)*($NS$12-142+1)/$NU$12,$NN$12/$NT$12)),0)</f>
        <v/>
      </c>
      <c r="EQ12" s="402">
        <f>IF(AND(143&gt;=$NR$12,143&lt;=$NS$12),IF($NP$12="Single_Point",IF(143=$NR$12,$NN$12,0),IF($NP$12="Bell_Curve",$NN$12*(143-$NR$12+1)*($NS$12-143+1)/$NU$12,$NN$12/$NT$12)),0)</f>
        <v/>
      </c>
      <c r="ER12" s="402">
        <f>IF(AND(144&gt;=$NR$12,144&lt;=$NS$12),IF($NP$12="Single_Point",IF(144=$NR$12,$NN$12,0),IF($NP$12="Bell_Curve",$NN$12*(144-$NR$12+1)*($NS$12-144+1)/$NU$12,$NN$12/$NT$12)),0)</f>
        <v/>
      </c>
      <c r="ES12" s="402">
        <f>IF(AND(145&gt;=$NR$12,145&lt;=$NS$12),IF($NP$12="Single_Point",IF(145=$NR$12,$NN$12,0),IF($NP$12="Bell_Curve",$NN$12*(145-$NR$12+1)*($NS$12-145+1)/$NU$12,$NN$12/$NT$12)),0)</f>
        <v/>
      </c>
      <c r="ET12" s="402">
        <f>IF(AND(146&gt;=$NR$12,146&lt;=$NS$12),IF($NP$12="Single_Point",IF(146=$NR$12,$NN$12,0),IF($NP$12="Bell_Curve",$NN$12*(146-$NR$12+1)*($NS$12-146+1)/$NU$12,$NN$12/$NT$12)),0)</f>
        <v/>
      </c>
      <c r="EU12" s="402">
        <f>IF(AND(147&gt;=$NR$12,147&lt;=$NS$12),IF($NP$12="Single_Point",IF(147=$NR$12,$NN$12,0),IF($NP$12="Bell_Curve",$NN$12*(147-$NR$12+1)*($NS$12-147+1)/$NU$12,$NN$12/$NT$12)),0)</f>
        <v/>
      </c>
      <c r="EV12" s="402">
        <f>IF(AND(148&gt;=$NR$12,148&lt;=$NS$12),IF($NP$12="Single_Point",IF(148=$NR$12,$NN$12,0),IF($NP$12="Bell_Curve",$NN$12*(148-$NR$12+1)*($NS$12-148+1)/$NU$12,$NN$12/$NT$12)),0)</f>
        <v/>
      </c>
      <c r="EW12" s="402">
        <f>IF(AND(149&gt;=$NR$12,149&lt;=$NS$12),IF($NP$12="Single_Point",IF(149=$NR$12,$NN$12,0),IF($NP$12="Bell_Curve",$NN$12*(149-$NR$12+1)*($NS$12-149+1)/$NU$12,$NN$12/$NT$12)),0)</f>
        <v/>
      </c>
      <c r="EX12" s="402">
        <f>IF(AND(150&gt;=$NR$12,150&lt;=$NS$12),IF($NP$12="Single_Point",IF(150=$NR$12,$NN$12,0),IF($NP$12="Bell_Curve",$NN$12*(150-$NR$12+1)*($NS$12-150+1)/$NU$12,$NN$12/$NT$12)),0)</f>
        <v/>
      </c>
      <c r="EY12" s="402">
        <f>IF(AND(151&gt;=$NR$12,151&lt;=$NS$12),IF($NP$12="Single_Point",IF(151=$NR$12,$NN$12,0),IF($NP$12="Bell_Curve",$NN$12*(151-$NR$12+1)*($NS$12-151+1)/$NU$12,$NN$12/$NT$12)),0)</f>
        <v/>
      </c>
      <c r="EZ12" s="402">
        <f>IF(AND(152&gt;=$NR$12,152&lt;=$NS$12),IF($NP$12="Single_Point",IF(152=$NR$12,$NN$12,0),IF($NP$12="Bell_Curve",$NN$12*(152-$NR$12+1)*($NS$12-152+1)/$NU$12,$NN$12/$NT$12)),0)</f>
        <v/>
      </c>
      <c r="FA12" s="402">
        <f>IF(AND(153&gt;=$NR$12,153&lt;=$NS$12),IF($NP$12="Single_Point",IF(153=$NR$12,$NN$12,0),IF($NP$12="Bell_Curve",$NN$12*(153-$NR$12+1)*($NS$12-153+1)/$NU$12,$NN$12/$NT$12)),0)</f>
        <v/>
      </c>
      <c r="FB12" s="402">
        <f>IF(AND(154&gt;=$NR$12,154&lt;=$NS$12),IF($NP$12="Single_Point",IF(154=$NR$12,$NN$12,0),IF($NP$12="Bell_Curve",$NN$12*(154-$NR$12+1)*($NS$12-154+1)/$NU$12,$NN$12/$NT$12)),0)</f>
        <v/>
      </c>
      <c r="FC12" s="402">
        <f>IF(AND(155&gt;=$NR$12,155&lt;=$NS$12),IF($NP$12="Single_Point",IF(155=$NR$12,$NN$12,0),IF($NP$12="Bell_Curve",$NN$12*(155-$NR$12+1)*($NS$12-155+1)/$NU$12,$NN$12/$NT$12)),0)</f>
        <v/>
      </c>
      <c r="FD12" s="402">
        <f>IF(AND(156&gt;=$NR$12,156&lt;=$NS$12),IF($NP$12="Single_Point",IF(156=$NR$12,$NN$12,0),IF($NP$12="Bell_Curve",$NN$12*(156-$NR$12+1)*($NS$12-156+1)/$NU$12,$NN$12/$NT$12)),0)</f>
        <v/>
      </c>
      <c r="FE12" s="402">
        <f>IF(AND(157&gt;=$NR$12,157&lt;=$NS$12),IF($NP$12="Single_Point",IF(157=$NR$12,$NN$12,0),IF($NP$12="Bell_Curve",$NN$12*(157-$NR$12+1)*($NS$12-157+1)/$NU$12,$NN$12/$NT$12)),0)</f>
        <v/>
      </c>
      <c r="FF12" s="402">
        <f>IF(AND(158&gt;=$NR$12,158&lt;=$NS$12),IF($NP$12="Single_Point",IF(158=$NR$12,$NN$12,0),IF($NP$12="Bell_Curve",$NN$12*(158-$NR$12+1)*($NS$12-158+1)/$NU$12,$NN$12/$NT$12)),0)</f>
        <v/>
      </c>
      <c r="FG12" s="402">
        <f>IF(AND(159&gt;=$NR$12,159&lt;=$NS$12),IF($NP$12="Single_Point",IF(159=$NR$12,$NN$12,0),IF($NP$12="Bell_Curve",$NN$12*(159-$NR$12+1)*($NS$12-159+1)/$NU$12,$NN$12/$NT$12)),0)</f>
        <v/>
      </c>
      <c r="FH12" s="402">
        <f>IF(AND(160&gt;=$NR$12,160&lt;=$NS$12),IF($NP$12="Single_Point",IF(160=$NR$12,$NN$12,0),IF($NP$12="Bell_Curve",$NN$12*(160-$NR$12+1)*($NS$12-160+1)/$NU$12,$NN$12/$NT$12)),0)</f>
        <v/>
      </c>
      <c r="FI12" s="402">
        <f>IF(AND(161&gt;=$NR$12,161&lt;=$NS$12),IF($NP$12="Single_Point",IF(161=$NR$12,$NN$12,0),IF($NP$12="Bell_Curve",$NN$12*(161-$NR$12+1)*($NS$12-161+1)/$NU$12,$NN$12/$NT$12)),0)</f>
        <v/>
      </c>
      <c r="FJ12" s="402">
        <f>IF(AND(162&gt;=$NR$12,162&lt;=$NS$12),IF($NP$12="Single_Point",IF(162=$NR$12,$NN$12,0),IF($NP$12="Bell_Curve",$NN$12*(162-$NR$12+1)*($NS$12-162+1)/$NU$12,$NN$12/$NT$12)),0)</f>
        <v/>
      </c>
      <c r="FK12" s="402">
        <f>IF(AND(163&gt;=$NR$12,163&lt;=$NS$12),IF($NP$12="Single_Point",IF(163=$NR$12,$NN$12,0),IF($NP$12="Bell_Curve",$NN$12*(163-$NR$12+1)*($NS$12-163+1)/$NU$12,$NN$12/$NT$12)),0)</f>
        <v/>
      </c>
      <c r="FL12" s="402">
        <f>IF(AND(164&gt;=$NR$12,164&lt;=$NS$12),IF($NP$12="Single_Point",IF(164=$NR$12,$NN$12,0),IF($NP$12="Bell_Curve",$NN$12*(164-$NR$12+1)*($NS$12-164+1)/$NU$12,$NN$12/$NT$12)),0)</f>
        <v/>
      </c>
      <c r="FM12" s="402">
        <f>IF(AND(165&gt;=$NR$12,165&lt;=$NS$12),IF($NP$12="Single_Point",IF(165=$NR$12,$NN$12,0),IF($NP$12="Bell_Curve",$NN$12*(165-$NR$12+1)*($NS$12-165+1)/$NU$12,$NN$12/$NT$12)),0)</f>
        <v/>
      </c>
      <c r="FN12" s="402">
        <f>IF(AND(166&gt;=$NR$12,166&lt;=$NS$12),IF($NP$12="Single_Point",IF(166=$NR$12,$NN$12,0),IF($NP$12="Bell_Curve",$NN$12*(166-$NR$12+1)*($NS$12-166+1)/$NU$12,$NN$12/$NT$12)),0)</f>
        <v/>
      </c>
      <c r="FO12" s="402">
        <f>IF(AND(167&gt;=$NR$12,167&lt;=$NS$12),IF($NP$12="Single_Point",IF(167=$NR$12,$NN$12,0),IF($NP$12="Bell_Curve",$NN$12*(167-$NR$12+1)*($NS$12-167+1)/$NU$12,$NN$12/$NT$12)),0)</f>
        <v/>
      </c>
      <c r="FP12" s="402">
        <f>IF(AND(168&gt;=$NR$12,168&lt;=$NS$12),IF($NP$12="Single_Point",IF(168=$NR$12,$NN$12,0),IF($NP$12="Bell_Curve",$NN$12*(168-$NR$12+1)*($NS$12-168+1)/$NU$12,$NN$12/$NT$12)),0)</f>
        <v/>
      </c>
      <c r="FQ12" s="402">
        <f>IF(AND(169&gt;=$NR$12,169&lt;=$NS$12),IF($NP$12="Single_Point",IF(169=$NR$12,$NN$12,0),IF($NP$12="Bell_Curve",$NN$12*(169-$NR$12+1)*($NS$12-169+1)/$NU$12,$NN$12/$NT$12)),0)</f>
        <v/>
      </c>
      <c r="FR12" s="402">
        <f>IF(AND(170&gt;=$NR$12,170&lt;=$NS$12),IF($NP$12="Single_Point",IF(170=$NR$12,$NN$12,0),IF($NP$12="Bell_Curve",$NN$12*(170-$NR$12+1)*($NS$12-170+1)/$NU$12,$NN$12/$NT$12)),0)</f>
        <v/>
      </c>
      <c r="FS12" s="402">
        <f>IF(AND(171&gt;=$NR$12,171&lt;=$NS$12),IF($NP$12="Single_Point",IF(171=$NR$12,$NN$12,0),IF($NP$12="Bell_Curve",$NN$12*(171-$NR$12+1)*($NS$12-171+1)/$NU$12,$NN$12/$NT$12)),0)</f>
        <v/>
      </c>
      <c r="FT12" s="402">
        <f>IF(AND(172&gt;=$NR$12,172&lt;=$NS$12),IF($NP$12="Single_Point",IF(172=$NR$12,$NN$12,0),IF($NP$12="Bell_Curve",$NN$12*(172-$NR$12+1)*($NS$12-172+1)/$NU$12,$NN$12/$NT$12)),0)</f>
        <v/>
      </c>
      <c r="FU12" s="402">
        <f>IF(AND(173&gt;=$NR$12,173&lt;=$NS$12),IF($NP$12="Single_Point",IF(173=$NR$12,$NN$12,0),IF($NP$12="Bell_Curve",$NN$12*(173-$NR$12+1)*($NS$12-173+1)/$NU$12,$NN$12/$NT$12)),0)</f>
        <v/>
      </c>
      <c r="FV12" s="402">
        <f>IF(AND(174&gt;=$NR$12,174&lt;=$NS$12),IF($NP$12="Single_Point",IF(174=$NR$12,$NN$12,0),IF($NP$12="Bell_Curve",$NN$12*(174-$NR$12+1)*($NS$12-174+1)/$NU$12,$NN$12/$NT$12)),0)</f>
        <v/>
      </c>
      <c r="FW12" s="402">
        <f>IF(AND(175&gt;=$NR$12,175&lt;=$NS$12),IF($NP$12="Single_Point",IF(175=$NR$12,$NN$12,0),IF($NP$12="Bell_Curve",$NN$12*(175-$NR$12+1)*($NS$12-175+1)/$NU$12,$NN$12/$NT$12)),0)</f>
        <v/>
      </c>
      <c r="FX12" s="402">
        <f>IF(AND(176&gt;=$NR$12,176&lt;=$NS$12),IF($NP$12="Single_Point",IF(176=$NR$12,$NN$12,0),IF($NP$12="Bell_Curve",$NN$12*(176-$NR$12+1)*($NS$12-176+1)/$NU$12,$NN$12/$NT$12)),0)</f>
        <v/>
      </c>
      <c r="FY12" s="402">
        <f>IF(AND(177&gt;=$NR$12,177&lt;=$NS$12),IF($NP$12="Single_Point",IF(177=$NR$12,$NN$12,0),IF($NP$12="Bell_Curve",$NN$12*(177-$NR$12+1)*($NS$12-177+1)/$NU$12,$NN$12/$NT$12)),0)</f>
        <v/>
      </c>
      <c r="FZ12" s="402">
        <f>IF(AND(178&gt;=$NR$12,178&lt;=$NS$12),IF($NP$12="Single_Point",IF(178=$NR$12,$NN$12,0),IF($NP$12="Bell_Curve",$NN$12*(178-$NR$12+1)*($NS$12-178+1)/$NU$12,$NN$12/$NT$12)),0)</f>
        <v/>
      </c>
      <c r="GA12" s="402">
        <f>IF(AND(179&gt;=$NR$12,179&lt;=$NS$12),IF($NP$12="Single_Point",IF(179=$NR$12,$NN$12,0),IF($NP$12="Bell_Curve",$NN$12*(179-$NR$12+1)*($NS$12-179+1)/$NU$12,$NN$12/$NT$12)),0)</f>
        <v/>
      </c>
      <c r="GB12" s="402">
        <f>IF(AND(180&gt;=$NR$12,180&lt;=$NS$12),IF($NP$12="Single_Point",IF(180=$NR$12,$NN$12,0),IF($NP$12="Bell_Curve",$NN$12*(180-$NR$12+1)*($NS$12-180+1)/$NU$12,$NN$12/$NT$12)),0)</f>
        <v/>
      </c>
      <c r="GC12" s="402">
        <f>IF(AND(181&gt;=$NR$12,181&lt;=$NS$12),IF($NP$12="Single_Point",IF(181=$NR$12,$NN$12,0),IF($NP$12="Bell_Curve",$NN$12*(181-$NR$12+1)*($NS$12-181+1)/$NU$12,$NN$12/$NT$12)),0)</f>
        <v/>
      </c>
      <c r="GD12" s="402">
        <f>IF(AND(182&gt;=$NR$12,182&lt;=$NS$12),IF($NP$12="Single_Point",IF(182=$NR$12,$NN$12,0),IF($NP$12="Bell_Curve",$NN$12*(182-$NR$12+1)*($NS$12-182+1)/$NU$12,$NN$12/$NT$12)),0)</f>
        <v/>
      </c>
      <c r="GE12" s="402">
        <f>IF(AND(183&gt;=$NR$12,183&lt;=$NS$12),IF($NP$12="Single_Point",IF(183=$NR$12,$NN$12,0),IF($NP$12="Bell_Curve",$NN$12*(183-$NR$12+1)*($NS$12-183+1)/$NU$12,$NN$12/$NT$12)),0)</f>
        <v/>
      </c>
      <c r="GF12" s="402">
        <f>IF(AND(184&gt;=$NR$12,184&lt;=$NS$12),IF($NP$12="Single_Point",IF(184=$NR$12,$NN$12,0),IF($NP$12="Bell_Curve",$NN$12*(184-$NR$12+1)*($NS$12-184+1)/$NU$12,$NN$12/$NT$12)),0)</f>
        <v/>
      </c>
      <c r="GG12" s="402">
        <f>IF(AND(185&gt;=$NR$12,185&lt;=$NS$12),IF($NP$12="Single_Point",IF(185=$NR$12,$NN$12,0),IF($NP$12="Bell_Curve",$NN$12*(185-$NR$12+1)*($NS$12-185+1)/$NU$12,$NN$12/$NT$12)),0)</f>
        <v/>
      </c>
      <c r="GH12" s="402">
        <f>IF(AND(186&gt;=$NR$12,186&lt;=$NS$12),IF($NP$12="Single_Point",IF(186=$NR$12,$NN$12,0),IF($NP$12="Bell_Curve",$NN$12*(186-$NR$12+1)*($NS$12-186+1)/$NU$12,$NN$12/$NT$12)),0)</f>
        <v/>
      </c>
      <c r="GI12" s="402">
        <f>IF(AND(187&gt;=$NR$12,187&lt;=$NS$12),IF($NP$12="Single_Point",IF(187=$NR$12,$NN$12,0),IF($NP$12="Bell_Curve",$NN$12*(187-$NR$12+1)*($NS$12-187+1)/$NU$12,$NN$12/$NT$12)),0)</f>
        <v/>
      </c>
      <c r="GJ12" s="402">
        <f>IF(AND(188&gt;=$NR$12,188&lt;=$NS$12),IF($NP$12="Single_Point",IF(188=$NR$12,$NN$12,0),IF($NP$12="Bell_Curve",$NN$12*(188-$NR$12+1)*($NS$12-188+1)/$NU$12,$NN$12/$NT$12)),0)</f>
        <v/>
      </c>
      <c r="GK12" s="402">
        <f>IF(AND(189&gt;=$NR$12,189&lt;=$NS$12),IF($NP$12="Single_Point",IF(189=$NR$12,$NN$12,0),IF($NP$12="Bell_Curve",$NN$12*(189-$NR$12+1)*($NS$12-189+1)/$NU$12,$NN$12/$NT$12)),0)</f>
        <v/>
      </c>
      <c r="GL12" s="402">
        <f>IF(AND(190&gt;=$NR$12,190&lt;=$NS$12),IF($NP$12="Single_Point",IF(190=$NR$12,$NN$12,0),IF($NP$12="Bell_Curve",$NN$12*(190-$NR$12+1)*($NS$12-190+1)/$NU$12,$NN$12/$NT$12)),0)</f>
        <v/>
      </c>
      <c r="GM12" s="402">
        <f>IF(AND(191&gt;=$NR$12,191&lt;=$NS$12),IF($NP$12="Single_Point",IF(191=$NR$12,$NN$12,0),IF($NP$12="Bell_Curve",$NN$12*(191-$NR$12+1)*($NS$12-191+1)/$NU$12,$NN$12/$NT$12)),0)</f>
        <v/>
      </c>
      <c r="GN12" s="402">
        <f>IF(AND(192&gt;=$NR$12,192&lt;=$NS$12),IF($NP$12="Single_Point",IF(192=$NR$12,$NN$12,0),IF($NP$12="Bell_Curve",$NN$12*(192-$NR$12+1)*($NS$12-192+1)/$NU$12,$NN$12/$NT$12)),0)</f>
        <v/>
      </c>
      <c r="GO12" s="402">
        <f>IF(AND(193&gt;=$NR$12,193&lt;=$NS$12),IF($NP$12="Single_Point",IF(193=$NR$12,$NN$12,0),IF($NP$12="Bell_Curve",$NN$12*(193-$NR$12+1)*($NS$12-193+1)/$NU$12,$NN$12/$NT$12)),0)</f>
        <v/>
      </c>
      <c r="GP12" s="402">
        <f>IF(AND(194&gt;=$NR$12,194&lt;=$NS$12),IF($NP$12="Single_Point",IF(194=$NR$12,$NN$12,0),IF($NP$12="Bell_Curve",$NN$12*(194-$NR$12+1)*($NS$12-194+1)/$NU$12,$NN$12/$NT$12)),0)</f>
        <v/>
      </c>
      <c r="GQ12" s="402">
        <f>IF(AND(195&gt;=$NR$12,195&lt;=$NS$12),IF($NP$12="Single_Point",IF(195=$NR$12,$NN$12,0),IF($NP$12="Bell_Curve",$NN$12*(195-$NR$12+1)*($NS$12-195+1)/$NU$12,$NN$12/$NT$12)),0)</f>
        <v/>
      </c>
      <c r="GR12" s="402">
        <f>IF(AND(196&gt;=$NR$12,196&lt;=$NS$12),IF($NP$12="Single_Point",IF(196=$NR$12,$NN$12,0),IF($NP$12="Bell_Curve",$NN$12*(196-$NR$12+1)*($NS$12-196+1)/$NU$12,$NN$12/$NT$12)),0)</f>
        <v/>
      </c>
      <c r="GS12" s="402">
        <f>IF(AND(197&gt;=$NR$12,197&lt;=$NS$12),IF($NP$12="Single_Point",IF(197=$NR$12,$NN$12,0),IF($NP$12="Bell_Curve",$NN$12*(197-$NR$12+1)*($NS$12-197+1)/$NU$12,$NN$12/$NT$12)),0)</f>
        <v/>
      </c>
      <c r="GT12" s="402">
        <f>IF(AND(198&gt;=$NR$12,198&lt;=$NS$12),IF($NP$12="Single_Point",IF(198=$NR$12,$NN$12,0),IF($NP$12="Bell_Curve",$NN$12*(198-$NR$12+1)*($NS$12-198+1)/$NU$12,$NN$12/$NT$12)),0)</f>
        <v/>
      </c>
      <c r="GU12" s="402">
        <f>IF(AND(199&gt;=$NR$12,199&lt;=$NS$12),IF($NP$12="Single_Point",IF(199=$NR$12,$NN$12,0),IF($NP$12="Bell_Curve",$NN$12*(199-$NR$12+1)*($NS$12-199+1)/$NU$12,$NN$12/$NT$12)),0)</f>
        <v/>
      </c>
      <c r="GV12" s="402">
        <f>IF(AND(200&gt;=$NR$12,200&lt;=$NS$12),IF($NP$12="Single_Point",IF(200=$NR$12,$NN$12,0),IF($NP$12="Bell_Curve",$NN$12*(200-$NR$12+1)*($NS$12-200+1)/$NU$12,$NN$12/$NT$12)),0)</f>
        <v/>
      </c>
      <c r="GW12" s="402">
        <f>IF(AND(201&gt;=$NR$12,201&lt;=$NS$12),IF($NP$12="Single_Point",IF(201=$NR$12,$NN$12,0),IF($NP$12="Bell_Curve",$NN$12*(201-$NR$12+1)*($NS$12-201+1)/$NU$12,$NN$12/$NT$12)),0)</f>
        <v/>
      </c>
      <c r="GX12" s="402">
        <f>IF(AND(202&gt;=$NR$12,202&lt;=$NS$12),IF($NP$12="Single_Point",IF(202=$NR$12,$NN$12,0),IF($NP$12="Bell_Curve",$NN$12*(202-$NR$12+1)*($NS$12-202+1)/$NU$12,$NN$12/$NT$12)),0)</f>
        <v/>
      </c>
      <c r="GY12" s="402">
        <f>IF(AND(203&gt;=$NR$12,203&lt;=$NS$12),IF($NP$12="Single_Point",IF(203=$NR$12,$NN$12,0),IF($NP$12="Bell_Curve",$NN$12*(203-$NR$12+1)*($NS$12-203+1)/$NU$12,$NN$12/$NT$12)),0)</f>
        <v/>
      </c>
      <c r="GZ12" s="402">
        <f>IF(AND(204&gt;=$NR$12,204&lt;=$NS$12),IF($NP$12="Single_Point",IF(204=$NR$12,$NN$12,0),IF($NP$12="Bell_Curve",$NN$12*(204-$NR$12+1)*($NS$12-204+1)/$NU$12,$NN$12/$NT$12)),0)</f>
        <v/>
      </c>
      <c r="HA12" s="402">
        <f>IF(AND(205&gt;=$NR$12,205&lt;=$NS$12),IF($NP$12="Single_Point",IF(205=$NR$12,$NN$12,0),IF($NP$12="Bell_Curve",$NN$12*(205-$NR$12+1)*($NS$12-205+1)/$NU$12,$NN$12/$NT$12)),0)</f>
        <v/>
      </c>
      <c r="HB12" s="402">
        <f>IF(AND(206&gt;=$NR$12,206&lt;=$NS$12),IF($NP$12="Single_Point",IF(206=$NR$12,$NN$12,0),IF($NP$12="Bell_Curve",$NN$12*(206-$NR$12+1)*($NS$12-206+1)/$NU$12,$NN$12/$NT$12)),0)</f>
        <v/>
      </c>
      <c r="HC12" s="402">
        <f>IF(AND(207&gt;=$NR$12,207&lt;=$NS$12),IF($NP$12="Single_Point",IF(207=$NR$12,$NN$12,0),IF($NP$12="Bell_Curve",$NN$12*(207-$NR$12+1)*($NS$12-207+1)/$NU$12,$NN$12/$NT$12)),0)</f>
        <v/>
      </c>
      <c r="HD12" s="402">
        <f>IF(AND(208&gt;=$NR$12,208&lt;=$NS$12),IF($NP$12="Single_Point",IF(208=$NR$12,$NN$12,0),IF($NP$12="Bell_Curve",$NN$12*(208-$NR$12+1)*($NS$12-208+1)/$NU$12,$NN$12/$NT$12)),0)</f>
        <v/>
      </c>
      <c r="HE12" s="402">
        <f>IF(AND(209&gt;=$NR$12,209&lt;=$NS$12),IF($NP$12="Single_Point",IF(209=$NR$12,$NN$12,0),IF($NP$12="Bell_Curve",$NN$12*(209-$NR$12+1)*($NS$12-209+1)/$NU$12,$NN$12/$NT$12)),0)</f>
        <v/>
      </c>
      <c r="HF12" s="402">
        <f>IF(AND(210&gt;=$NR$12,210&lt;=$NS$12),IF($NP$12="Single_Point",IF(210=$NR$12,$NN$12,0),IF($NP$12="Bell_Curve",$NN$12*(210-$NR$12+1)*($NS$12-210+1)/$NU$12,$NN$12/$NT$12)),0)</f>
        <v/>
      </c>
      <c r="HG12" s="402">
        <f>IF(AND(211&gt;=$NR$12,211&lt;=$NS$12),IF($NP$12="Single_Point",IF(211=$NR$12,$NN$12,0),IF($NP$12="Bell_Curve",$NN$12*(211-$NR$12+1)*($NS$12-211+1)/$NU$12,$NN$12/$NT$12)),0)</f>
        <v/>
      </c>
      <c r="HH12" s="402">
        <f>IF(AND(212&gt;=$NR$12,212&lt;=$NS$12),IF($NP$12="Single_Point",IF(212=$NR$12,$NN$12,0),IF($NP$12="Bell_Curve",$NN$12*(212-$NR$12+1)*($NS$12-212+1)/$NU$12,$NN$12/$NT$12)),0)</f>
        <v/>
      </c>
      <c r="HI12" s="402">
        <f>IF(AND(213&gt;=$NR$12,213&lt;=$NS$12),IF($NP$12="Single_Point",IF(213=$NR$12,$NN$12,0),IF($NP$12="Bell_Curve",$NN$12*(213-$NR$12+1)*($NS$12-213+1)/$NU$12,$NN$12/$NT$12)),0)</f>
        <v/>
      </c>
      <c r="HJ12" s="402">
        <f>IF(AND(214&gt;=$NR$12,214&lt;=$NS$12),IF($NP$12="Single_Point",IF(214=$NR$12,$NN$12,0),IF($NP$12="Bell_Curve",$NN$12*(214-$NR$12+1)*($NS$12-214+1)/$NU$12,$NN$12/$NT$12)),0)</f>
        <v/>
      </c>
      <c r="HK12" s="402">
        <f>IF(AND(215&gt;=$NR$12,215&lt;=$NS$12),IF($NP$12="Single_Point",IF(215=$NR$12,$NN$12,0),IF($NP$12="Bell_Curve",$NN$12*(215-$NR$12+1)*($NS$12-215+1)/$NU$12,$NN$12/$NT$12)),0)</f>
        <v/>
      </c>
      <c r="HL12" s="402">
        <f>IF(AND(216&gt;=$NR$12,216&lt;=$NS$12),IF($NP$12="Single_Point",IF(216=$NR$12,$NN$12,0),IF($NP$12="Bell_Curve",$NN$12*(216-$NR$12+1)*($NS$12-216+1)/$NU$12,$NN$12/$NT$12)),0)</f>
        <v/>
      </c>
      <c r="HM12" s="402">
        <f>IF(AND(217&gt;=$NR$12,217&lt;=$NS$12),IF($NP$12="Single_Point",IF(217=$NR$12,$NN$12,0),IF($NP$12="Bell_Curve",$NN$12*(217-$NR$12+1)*($NS$12-217+1)/$NU$12,$NN$12/$NT$12)),0)</f>
        <v/>
      </c>
      <c r="HN12" s="402">
        <f>IF(AND(218&gt;=$NR$12,218&lt;=$NS$12),IF($NP$12="Single_Point",IF(218=$NR$12,$NN$12,0),IF($NP$12="Bell_Curve",$NN$12*(218-$NR$12+1)*($NS$12-218+1)/$NU$12,$NN$12/$NT$12)),0)</f>
        <v/>
      </c>
      <c r="HO12" s="402">
        <f>IF(AND(219&gt;=$NR$12,219&lt;=$NS$12),IF($NP$12="Single_Point",IF(219=$NR$12,$NN$12,0),IF($NP$12="Bell_Curve",$NN$12*(219-$NR$12+1)*($NS$12-219+1)/$NU$12,$NN$12/$NT$12)),0)</f>
        <v/>
      </c>
      <c r="HP12" s="402">
        <f>IF(AND(220&gt;=$NR$12,220&lt;=$NS$12),IF($NP$12="Single_Point",IF(220=$NR$12,$NN$12,0),IF($NP$12="Bell_Curve",$NN$12*(220-$NR$12+1)*($NS$12-220+1)/$NU$12,$NN$12/$NT$12)),0)</f>
        <v/>
      </c>
      <c r="HQ12" s="402">
        <f>IF(AND(221&gt;=$NR$12,221&lt;=$NS$12),IF($NP$12="Single_Point",IF(221=$NR$12,$NN$12,0),IF($NP$12="Bell_Curve",$NN$12*(221-$NR$12+1)*($NS$12-221+1)/$NU$12,$NN$12/$NT$12)),0)</f>
        <v/>
      </c>
      <c r="HR12" s="402">
        <f>IF(AND(222&gt;=$NR$12,222&lt;=$NS$12),IF($NP$12="Single_Point",IF(222=$NR$12,$NN$12,0),IF($NP$12="Bell_Curve",$NN$12*(222-$NR$12+1)*($NS$12-222+1)/$NU$12,$NN$12/$NT$12)),0)</f>
        <v/>
      </c>
      <c r="HS12" s="402">
        <f>IF(AND(223&gt;=$NR$12,223&lt;=$NS$12),IF($NP$12="Single_Point",IF(223=$NR$12,$NN$12,0),IF($NP$12="Bell_Curve",$NN$12*(223-$NR$12+1)*($NS$12-223+1)/$NU$12,$NN$12/$NT$12)),0)</f>
        <v/>
      </c>
      <c r="HT12" s="402">
        <f>IF(AND(224&gt;=$NR$12,224&lt;=$NS$12),IF($NP$12="Single_Point",IF(224=$NR$12,$NN$12,0),IF($NP$12="Bell_Curve",$NN$12*(224-$NR$12+1)*($NS$12-224+1)/$NU$12,$NN$12/$NT$12)),0)</f>
        <v/>
      </c>
      <c r="HU12" s="402">
        <f>IF(AND(225&gt;=$NR$12,225&lt;=$NS$12),IF($NP$12="Single_Point",IF(225=$NR$12,$NN$12,0),IF($NP$12="Bell_Curve",$NN$12*(225-$NR$12+1)*($NS$12-225+1)/$NU$12,$NN$12/$NT$12)),0)</f>
        <v/>
      </c>
      <c r="HV12" s="402">
        <f>IF(AND(226&gt;=$NR$12,226&lt;=$NS$12),IF($NP$12="Single_Point",IF(226=$NR$12,$NN$12,0),IF($NP$12="Bell_Curve",$NN$12*(226-$NR$12+1)*($NS$12-226+1)/$NU$12,$NN$12/$NT$12)),0)</f>
        <v/>
      </c>
      <c r="HW12" s="402">
        <f>IF(AND(227&gt;=$NR$12,227&lt;=$NS$12),IF($NP$12="Single_Point",IF(227=$NR$12,$NN$12,0),IF($NP$12="Bell_Curve",$NN$12*(227-$NR$12+1)*($NS$12-227+1)/$NU$12,$NN$12/$NT$12)),0)</f>
        <v/>
      </c>
      <c r="HX12" s="402">
        <f>IF(AND(228&gt;=$NR$12,228&lt;=$NS$12),IF($NP$12="Single_Point",IF(228=$NR$12,$NN$12,0),IF($NP$12="Bell_Curve",$NN$12*(228-$NR$12+1)*($NS$12-228+1)/$NU$12,$NN$12/$NT$12)),0)</f>
        <v/>
      </c>
      <c r="HY12" s="402">
        <f>IF(AND(229&gt;=$NR$12,229&lt;=$NS$12),IF($NP$12="Single_Point",IF(229=$NR$12,$NN$12,0),IF($NP$12="Bell_Curve",$NN$12*(229-$NR$12+1)*($NS$12-229+1)/$NU$12,$NN$12/$NT$12)),0)</f>
        <v/>
      </c>
      <c r="HZ12" s="402">
        <f>IF(AND(230&gt;=$NR$12,230&lt;=$NS$12),IF($NP$12="Single_Point",IF(230=$NR$12,$NN$12,0),IF($NP$12="Bell_Curve",$NN$12*(230-$NR$12+1)*($NS$12-230+1)/$NU$12,$NN$12/$NT$12)),0)</f>
        <v/>
      </c>
      <c r="IA12" s="402">
        <f>IF(AND(231&gt;=$NR$12,231&lt;=$NS$12),IF($NP$12="Single_Point",IF(231=$NR$12,$NN$12,0),IF($NP$12="Bell_Curve",$NN$12*(231-$NR$12+1)*($NS$12-231+1)/$NU$12,$NN$12/$NT$12)),0)</f>
        <v/>
      </c>
      <c r="IB12" s="402">
        <f>IF(AND(232&gt;=$NR$12,232&lt;=$NS$12),IF($NP$12="Single_Point",IF(232=$NR$12,$NN$12,0),IF($NP$12="Bell_Curve",$NN$12*(232-$NR$12+1)*($NS$12-232+1)/$NU$12,$NN$12/$NT$12)),0)</f>
        <v/>
      </c>
      <c r="IC12" s="402">
        <f>IF(AND(233&gt;=$NR$12,233&lt;=$NS$12),IF($NP$12="Single_Point",IF(233=$NR$12,$NN$12,0),IF($NP$12="Bell_Curve",$NN$12*(233-$NR$12+1)*($NS$12-233+1)/$NU$12,$NN$12/$NT$12)),0)</f>
        <v/>
      </c>
      <c r="ID12" s="402">
        <f>IF(AND(234&gt;=$NR$12,234&lt;=$NS$12),IF($NP$12="Single_Point",IF(234=$NR$12,$NN$12,0),IF($NP$12="Bell_Curve",$NN$12*(234-$NR$12+1)*($NS$12-234+1)/$NU$12,$NN$12/$NT$12)),0)</f>
        <v/>
      </c>
      <c r="IE12" s="402">
        <f>IF(AND(235&gt;=$NR$12,235&lt;=$NS$12),IF($NP$12="Single_Point",IF(235=$NR$12,$NN$12,0),IF($NP$12="Bell_Curve",$NN$12*(235-$NR$12+1)*($NS$12-235+1)/$NU$12,$NN$12/$NT$12)),0)</f>
        <v/>
      </c>
      <c r="IF12" s="402">
        <f>IF(AND(236&gt;=$NR$12,236&lt;=$NS$12),IF($NP$12="Single_Point",IF(236=$NR$12,$NN$12,0),IF($NP$12="Bell_Curve",$NN$12*(236-$NR$12+1)*($NS$12-236+1)/$NU$12,$NN$12/$NT$12)),0)</f>
        <v/>
      </c>
      <c r="IG12" s="402">
        <f>IF(AND(237&gt;=$NR$12,237&lt;=$NS$12),IF($NP$12="Single_Point",IF(237=$NR$12,$NN$12,0),IF($NP$12="Bell_Curve",$NN$12*(237-$NR$12+1)*($NS$12-237+1)/$NU$12,$NN$12/$NT$12)),0)</f>
        <v/>
      </c>
      <c r="IH12" s="402">
        <f>IF(AND(238&gt;=$NR$12,238&lt;=$NS$12),IF($NP$12="Single_Point",IF(238=$NR$12,$NN$12,0),IF($NP$12="Bell_Curve",$NN$12*(238-$NR$12+1)*($NS$12-238+1)/$NU$12,$NN$12/$NT$12)),0)</f>
        <v/>
      </c>
      <c r="II12" s="402">
        <f>IF(AND(239&gt;=$NR$12,239&lt;=$NS$12),IF($NP$12="Single_Point",IF(239=$NR$12,$NN$12,0),IF($NP$12="Bell_Curve",$NN$12*(239-$NR$12+1)*($NS$12-239+1)/$NU$12,$NN$12/$NT$12)),0)</f>
        <v/>
      </c>
      <c r="IJ12" s="402">
        <f>IF(AND(240&gt;=$NR$12,240&lt;=$NS$12),IF($NP$12="Single_Point",IF(240=$NR$12,$NN$12,0),IF($NP$12="Bell_Curve",$NN$12*(240-$NR$12+1)*($NS$12-240+1)/$NU$12,$NN$12/$NT$12)),0)</f>
        <v/>
      </c>
      <c r="IK12" s="402">
        <f>IF(AND(241&gt;=$NR$12,241&lt;=$NS$12),IF($NP$12="Single_Point",IF(241=$NR$12,$NN$12,0),IF($NP$12="Bell_Curve",$NN$12*(241-$NR$12+1)*($NS$12-241+1)/$NU$12,$NN$12/$NT$12)),0)</f>
        <v/>
      </c>
      <c r="IL12" s="402">
        <f>IF(AND(242&gt;=$NR$12,242&lt;=$NS$12),IF($NP$12="Single_Point",IF(242=$NR$12,$NN$12,0),IF($NP$12="Bell_Curve",$NN$12*(242-$NR$12+1)*($NS$12-242+1)/$NU$12,$NN$12/$NT$12)),0)</f>
        <v/>
      </c>
      <c r="IM12" s="402">
        <f>IF(AND(243&gt;=$NR$12,243&lt;=$NS$12),IF($NP$12="Single_Point",IF(243=$NR$12,$NN$12,0),IF($NP$12="Bell_Curve",$NN$12*(243-$NR$12+1)*($NS$12-243+1)/$NU$12,$NN$12/$NT$12)),0)</f>
        <v/>
      </c>
      <c r="IN12" s="402">
        <f>IF(AND(244&gt;=$NR$12,244&lt;=$NS$12),IF($NP$12="Single_Point",IF(244=$NR$12,$NN$12,0),IF($NP$12="Bell_Curve",$NN$12*(244-$NR$12+1)*($NS$12-244+1)/$NU$12,$NN$12/$NT$12)),0)</f>
        <v/>
      </c>
      <c r="IO12" s="402">
        <f>IF(AND(245&gt;=$NR$12,245&lt;=$NS$12),IF($NP$12="Single_Point",IF(245=$NR$12,$NN$12,0),IF($NP$12="Bell_Curve",$NN$12*(245-$NR$12+1)*($NS$12-245+1)/$NU$12,$NN$12/$NT$12)),0)</f>
        <v/>
      </c>
      <c r="IP12" s="402">
        <f>IF(AND(246&gt;=$NR$12,246&lt;=$NS$12),IF($NP$12="Single_Point",IF(246=$NR$12,$NN$12,0),IF($NP$12="Bell_Curve",$NN$12*(246-$NR$12+1)*($NS$12-246+1)/$NU$12,$NN$12/$NT$12)),0)</f>
        <v/>
      </c>
      <c r="IQ12" s="402">
        <f>IF(AND(247&gt;=$NR$12,247&lt;=$NS$12),IF($NP$12="Single_Point",IF(247=$NR$12,$NN$12,0),IF($NP$12="Bell_Curve",$NN$12*(247-$NR$12+1)*($NS$12-247+1)/$NU$12,$NN$12/$NT$12)),0)</f>
        <v/>
      </c>
      <c r="IR12" s="402">
        <f>IF(AND(248&gt;=$NR$12,248&lt;=$NS$12),IF($NP$12="Single_Point",IF(248=$NR$12,$NN$12,0),IF($NP$12="Bell_Curve",$NN$12*(248-$NR$12+1)*($NS$12-248+1)/$NU$12,$NN$12/$NT$12)),0)</f>
        <v/>
      </c>
      <c r="IS12" s="402">
        <f>IF(AND(249&gt;=$NR$12,249&lt;=$NS$12),IF($NP$12="Single_Point",IF(249=$NR$12,$NN$12,0),IF($NP$12="Bell_Curve",$NN$12*(249-$NR$12+1)*($NS$12-249+1)/$NU$12,$NN$12/$NT$12)),0)</f>
        <v/>
      </c>
      <c r="IT12" s="402">
        <f>IF(AND(250&gt;=$NR$12,250&lt;=$NS$12),IF($NP$12="Single_Point",IF(250=$NR$12,$NN$12,0),IF($NP$12="Bell_Curve",$NN$12*(250-$NR$12+1)*($NS$12-250+1)/$NU$12,$NN$12/$NT$12)),0)</f>
        <v/>
      </c>
      <c r="IU12" s="402">
        <f>IF(AND(251&gt;=$NR$12,251&lt;=$NS$12),IF($NP$12="Single_Point",IF(251=$NR$12,$NN$12,0),IF($NP$12="Bell_Curve",$NN$12*(251-$NR$12+1)*($NS$12-251+1)/$NU$12,$NN$12/$NT$12)),0)</f>
        <v/>
      </c>
      <c r="IV12" s="402">
        <f>IF(AND(252&gt;=$NR$12,252&lt;=$NS$12),IF($NP$12="Single_Point",IF(252=$NR$12,$NN$12,0),IF($NP$12="Bell_Curve",$NN$12*(252-$NR$12+1)*($NS$12-252+1)/$NU$12,$NN$12/$NT$12)),0)</f>
        <v/>
      </c>
      <c r="IW12" s="402">
        <f>IF(AND(253&gt;=$NR$12,253&lt;=$NS$12),IF($NP$12="Single_Point",IF(253=$NR$12,$NN$12,0),IF($NP$12="Bell_Curve",$NN$12*(253-$NR$12+1)*($NS$12-253+1)/$NU$12,$NN$12/$NT$12)),0)</f>
        <v/>
      </c>
      <c r="IX12" s="402">
        <f>IF(AND(254&gt;=$NR$12,254&lt;=$NS$12),IF($NP$12="Single_Point",IF(254=$NR$12,$NN$12,0),IF($NP$12="Bell_Curve",$NN$12*(254-$NR$12+1)*($NS$12-254+1)/$NU$12,$NN$12/$NT$12)),0)</f>
        <v/>
      </c>
      <c r="IY12" s="402">
        <f>IF(AND(255&gt;=$NR$12,255&lt;=$NS$12),IF($NP$12="Single_Point",IF(255=$NR$12,$NN$12,0),IF($NP$12="Bell_Curve",$NN$12*(255-$NR$12+1)*($NS$12-255+1)/$NU$12,$NN$12/$NT$12)),0)</f>
        <v/>
      </c>
      <c r="IZ12" s="402">
        <f>IF(AND(256&gt;=$NR$12,256&lt;=$NS$12),IF($NP$12="Single_Point",IF(256=$NR$12,$NN$12,0),IF($NP$12="Bell_Curve",$NN$12*(256-$NR$12+1)*($NS$12-256+1)/$NU$12,$NN$12/$NT$12)),0)</f>
        <v/>
      </c>
      <c r="JA12" s="402">
        <f>IF(AND(257&gt;=$NR$12,257&lt;=$NS$12),IF($NP$12="Single_Point",IF(257=$NR$12,$NN$12,0),IF($NP$12="Bell_Curve",$NN$12*(257-$NR$12+1)*($NS$12-257+1)/$NU$12,$NN$12/$NT$12)),0)</f>
        <v/>
      </c>
      <c r="JB12" s="402">
        <f>IF(AND(258&gt;=$NR$12,258&lt;=$NS$12),IF($NP$12="Single_Point",IF(258=$NR$12,$NN$12,0),IF($NP$12="Bell_Curve",$NN$12*(258-$NR$12+1)*($NS$12-258+1)/$NU$12,$NN$12/$NT$12)),0)</f>
        <v/>
      </c>
      <c r="JC12" s="402">
        <f>IF(AND(259&gt;=$NR$12,259&lt;=$NS$12),IF($NP$12="Single_Point",IF(259=$NR$12,$NN$12,0),IF($NP$12="Bell_Curve",$NN$12*(259-$NR$12+1)*($NS$12-259+1)/$NU$12,$NN$12/$NT$12)),0)</f>
        <v/>
      </c>
      <c r="JD12" s="402">
        <f>IF(AND(260&gt;=$NR$12,260&lt;=$NS$12),IF($NP$12="Single_Point",IF(260=$NR$12,$NN$12,0),IF($NP$12="Bell_Curve",$NN$12*(260-$NR$12+1)*($NS$12-260+1)/$NU$12,$NN$12/$NT$12)),0)</f>
        <v/>
      </c>
      <c r="JE12" s="402">
        <f>IF(AND(261&gt;=$NR$12,261&lt;=$NS$12),IF($NP$12="Single_Point",IF(261=$NR$12,$NN$12,0),IF($NP$12="Bell_Curve",$NN$12*(261-$NR$12+1)*($NS$12-261+1)/$NU$12,$NN$12/$NT$12)),0)</f>
        <v/>
      </c>
      <c r="JF12" s="402">
        <f>IF(AND(262&gt;=$NR$12,262&lt;=$NS$12),IF($NP$12="Single_Point",IF(262=$NR$12,$NN$12,0),IF($NP$12="Bell_Curve",$NN$12*(262-$NR$12+1)*($NS$12-262+1)/$NU$12,$NN$12/$NT$12)),0)</f>
        <v/>
      </c>
      <c r="JG12" s="402">
        <f>IF(AND(263&gt;=$NR$12,263&lt;=$NS$12),IF($NP$12="Single_Point",IF(263=$NR$12,$NN$12,0),IF($NP$12="Bell_Curve",$NN$12*(263-$NR$12+1)*($NS$12-263+1)/$NU$12,$NN$12/$NT$12)),0)</f>
        <v/>
      </c>
      <c r="JH12" s="402">
        <f>IF(AND(264&gt;=$NR$12,264&lt;=$NS$12),IF($NP$12="Single_Point",IF(264=$NR$12,$NN$12,0),IF($NP$12="Bell_Curve",$NN$12*(264-$NR$12+1)*($NS$12-264+1)/$NU$12,$NN$12/$NT$12)),0)</f>
        <v/>
      </c>
      <c r="JI12" s="402">
        <f>IF(AND(265&gt;=$NR$12,265&lt;=$NS$12),IF($NP$12="Single_Point",IF(265=$NR$12,$NN$12,0),IF($NP$12="Bell_Curve",$NN$12*(265-$NR$12+1)*($NS$12-265+1)/$NU$12,$NN$12/$NT$12)),0)</f>
        <v/>
      </c>
      <c r="JJ12" s="402">
        <f>IF(AND(266&gt;=$NR$12,266&lt;=$NS$12),IF($NP$12="Single_Point",IF(266=$NR$12,$NN$12,0),IF($NP$12="Bell_Curve",$NN$12*(266-$NR$12+1)*($NS$12-266+1)/$NU$12,$NN$12/$NT$12)),0)</f>
        <v/>
      </c>
      <c r="JK12" s="402">
        <f>IF(AND(267&gt;=$NR$12,267&lt;=$NS$12),IF($NP$12="Single_Point",IF(267=$NR$12,$NN$12,0),IF($NP$12="Bell_Curve",$NN$12*(267-$NR$12+1)*($NS$12-267+1)/$NU$12,$NN$12/$NT$12)),0)</f>
        <v/>
      </c>
      <c r="JL12" s="402">
        <f>IF(AND(268&gt;=$NR$12,268&lt;=$NS$12),IF($NP$12="Single_Point",IF(268=$NR$12,$NN$12,0),IF($NP$12="Bell_Curve",$NN$12*(268-$NR$12+1)*($NS$12-268+1)/$NU$12,$NN$12/$NT$12)),0)</f>
        <v/>
      </c>
      <c r="JM12" s="402">
        <f>IF(AND(269&gt;=$NR$12,269&lt;=$NS$12),IF($NP$12="Single_Point",IF(269=$NR$12,$NN$12,0),IF($NP$12="Bell_Curve",$NN$12*(269-$NR$12+1)*($NS$12-269+1)/$NU$12,$NN$12/$NT$12)),0)</f>
        <v/>
      </c>
      <c r="JN12" s="402">
        <f>IF(AND(270&gt;=$NR$12,270&lt;=$NS$12),IF($NP$12="Single_Point",IF(270=$NR$12,$NN$12,0),IF($NP$12="Bell_Curve",$NN$12*(270-$NR$12+1)*($NS$12-270+1)/$NU$12,$NN$12/$NT$12)),0)</f>
        <v/>
      </c>
      <c r="JO12" s="402">
        <f>IF(AND(271&gt;=$NR$12,271&lt;=$NS$12),IF($NP$12="Single_Point",IF(271=$NR$12,$NN$12,0),IF($NP$12="Bell_Curve",$NN$12*(271-$NR$12+1)*($NS$12-271+1)/$NU$12,$NN$12/$NT$12)),0)</f>
        <v/>
      </c>
      <c r="JP12" s="402">
        <f>IF(AND(272&gt;=$NR$12,272&lt;=$NS$12),IF($NP$12="Single_Point",IF(272=$NR$12,$NN$12,0),IF($NP$12="Bell_Curve",$NN$12*(272-$NR$12+1)*($NS$12-272+1)/$NU$12,$NN$12/$NT$12)),0)</f>
        <v/>
      </c>
      <c r="JQ12" s="402">
        <f>IF(AND(273&gt;=$NR$12,273&lt;=$NS$12),IF($NP$12="Single_Point",IF(273=$NR$12,$NN$12,0),IF($NP$12="Bell_Curve",$NN$12*(273-$NR$12+1)*($NS$12-273+1)/$NU$12,$NN$12/$NT$12)),0)</f>
        <v/>
      </c>
      <c r="JR12" s="402">
        <f>IF(AND(274&gt;=$NR$12,274&lt;=$NS$12),IF($NP$12="Single_Point",IF(274=$NR$12,$NN$12,0),IF($NP$12="Bell_Curve",$NN$12*(274-$NR$12+1)*($NS$12-274+1)/$NU$12,$NN$12/$NT$12)),0)</f>
        <v/>
      </c>
      <c r="JS12" s="402">
        <f>IF(AND(275&gt;=$NR$12,275&lt;=$NS$12),IF($NP$12="Single_Point",IF(275=$NR$12,$NN$12,0),IF($NP$12="Bell_Curve",$NN$12*(275-$NR$12+1)*($NS$12-275+1)/$NU$12,$NN$12/$NT$12)),0)</f>
        <v/>
      </c>
      <c r="JT12" s="402">
        <f>IF(AND(276&gt;=$NR$12,276&lt;=$NS$12),IF($NP$12="Single_Point",IF(276=$NR$12,$NN$12,0),IF($NP$12="Bell_Curve",$NN$12*(276-$NR$12+1)*($NS$12-276+1)/$NU$12,$NN$12/$NT$12)),0)</f>
        <v/>
      </c>
      <c r="JU12" s="402">
        <f>IF(AND(277&gt;=$NR$12,277&lt;=$NS$12),IF($NP$12="Single_Point",IF(277=$NR$12,$NN$12,0),IF($NP$12="Bell_Curve",$NN$12*(277-$NR$12+1)*($NS$12-277+1)/$NU$12,$NN$12/$NT$12)),0)</f>
        <v/>
      </c>
      <c r="JV12" s="402">
        <f>IF(AND(278&gt;=$NR$12,278&lt;=$NS$12),IF($NP$12="Single_Point",IF(278=$NR$12,$NN$12,0),IF($NP$12="Bell_Curve",$NN$12*(278-$NR$12+1)*($NS$12-278+1)/$NU$12,$NN$12/$NT$12)),0)</f>
        <v/>
      </c>
      <c r="JW12" s="402">
        <f>IF(AND(279&gt;=$NR$12,279&lt;=$NS$12),IF($NP$12="Single_Point",IF(279=$NR$12,$NN$12,0),IF($NP$12="Bell_Curve",$NN$12*(279-$NR$12+1)*($NS$12-279+1)/$NU$12,$NN$12/$NT$12)),0)</f>
        <v/>
      </c>
      <c r="JX12" s="402">
        <f>IF(AND(280&gt;=$NR$12,280&lt;=$NS$12),IF($NP$12="Single_Point",IF(280=$NR$12,$NN$12,0),IF($NP$12="Bell_Curve",$NN$12*(280-$NR$12+1)*($NS$12-280+1)/$NU$12,$NN$12/$NT$12)),0)</f>
        <v/>
      </c>
      <c r="JY12" s="402">
        <f>IF(AND(281&gt;=$NR$12,281&lt;=$NS$12),IF($NP$12="Single_Point",IF(281=$NR$12,$NN$12,0),IF($NP$12="Bell_Curve",$NN$12*(281-$NR$12+1)*($NS$12-281+1)/$NU$12,$NN$12/$NT$12)),0)</f>
        <v/>
      </c>
      <c r="JZ12" s="402">
        <f>IF(AND(282&gt;=$NR$12,282&lt;=$NS$12),IF($NP$12="Single_Point",IF(282=$NR$12,$NN$12,0),IF($NP$12="Bell_Curve",$NN$12*(282-$NR$12+1)*($NS$12-282+1)/$NU$12,$NN$12/$NT$12)),0)</f>
        <v/>
      </c>
      <c r="KA12" s="402">
        <f>IF(AND(283&gt;=$NR$12,283&lt;=$NS$12),IF($NP$12="Single_Point",IF(283=$NR$12,$NN$12,0),IF($NP$12="Bell_Curve",$NN$12*(283-$NR$12+1)*($NS$12-283+1)/$NU$12,$NN$12/$NT$12)),0)</f>
        <v/>
      </c>
      <c r="KB12" s="402">
        <f>IF(AND(284&gt;=$NR$12,284&lt;=$NS$12),IF($NP$12="Single_Point",IF(284=$NR$12,$NN$12,0),IF($NP$12="Bell_Curve",$NN$12*(284-$NR$12+1)*($NS$12-284+1)/$NU$12,$NN$12/$NT$12)),0)</f>
        <v/>
      </c>
      <c r="KC12" s="402">
        <f>IF(AND(285&gt;=$NR$12,285&lt;=$NS$12),IF($NP$12="Single_Point",IF(285=$NR$12,$NN$12,0),IF($NP$12="Bell_Curve",$NN$12*(285-$NR$12+1)*($NS$12-285+1)/$NU$12,$NN$12/$NT$12)),0)</f>
        <v/>
      </c>
      <c r="KD12" s="402">
        <f>IF(AND(286&gt;=$NR$12,286&lt;=$NS$12),IF($NP$12="Single_Point",IF(286=$NR$12,$NN$12,0),IF($NP$12="Bell_Curve",$NN$12*(286-$NR$12+1)*($NS$12-286+1)/$NU$12,$NN$12/$NT$12)),0)</f>
        <v/>
      </c>
      <c r="KE12" s="402">
        <f>IF(AND(287&gt;=$NR$12,287&lt;=$NS$12),IF($NP$12="Single_Point",IF(287=$NR$12,$NN$12,0),IF($NP$12="Bell_Curve",$NN$12*(287-$NR$12+1)*($NS$12-287+1)/$NU$12,$NN$12/$NT$12)),0)</f>
        <v/>
      </c>
      <c r="KF12" s="402">
        <f>IF(AND(288&gt;=$NR$12,288&lt;=$NS$12),IF($NP$12="Single_Point",IF(288=$NR$12,$NN$12,0),IF($NP$12="Bell_Curve",$NN$12*(288-$NR$12+1)*($NS$12-288+1)/$NU$12,$NN$12/$NT$12)),0)</f>
        <v/>
      </c>
      <c r="KG12" s="402">
        <f>IF(AND(289&gt;=$NR$12,289&lt;=$NS$12),IF($NP$12="Single_Point",IF(289=$NR$12,$NN$12,0),IF($NP$12="Bell_Curve",$NN$12*(289-$NR$12+1)*($NS$12-289+1)/$NU$12,$NN$12/$NT$12)),0)</f>
        <v/>
      </c>
      <c r="KH12" s="402">
        <f>IF(AND(290&gt;=$NR$12,290&lt;=$NS$12),IF($NP$12="Single_Point",IF(290=$NR$12,$NN$12,0),IF($NP$12="Bell_Curve",$NN$12*(290-$NR$12+1)*($NS$12-290+1)/$NU$12,$NN$12/$NT$12)),0)</f>
        <v/>
      </c>
      <c r="KI12" s="402">
        <f>IF(AND(291&gt;=$NR$12,291&lt;=$NS$12),IF($NP$12="Single_Point",IF(291=$NR$12,$NN$12,0),IF($NP$12="Bell_Curve",$NN$12*(291-$NR$12+1)*($NS$12-291+1)/$NU$12,$NN$12/$NT$12)),0)</f>
        <v/>
      </c>
      <c r="KJ12" s="402">
        <f>IF(AND(292&gt;=$NR$12,292&lt;=$NS$12),IF($NP$12="Single_Point",IF(292=$NR$12,$NN$12,0),IF($NP$12="Bell_Curve",$NN$12*(292-$NR$12+1)*($NS$12-292+1)/$NU$12,$NN$12/$NT$12)),0)</f>
        <v/>
      </c>
      <c r="KK12" s="402">
        <f>IF(AND(293&gt;=$NR$12,293&lt;=$NS$12),IF($NP$12="Single_Point",IF(293=$NR$12,$NN$12,0),IF($NP$12="Bell_Curve",$NN$12*(293-$NR$12+1)*($NS$12-293+1)/$NU$12,$NN$12/$NT$12)),0)</f>
        <v/>
      </c>
      <c r="KL12" s="402">
        <f>IF(AND(294&gt;=$NR$12,294&lt;=$NS$12),IF($NP$12="Single_Point",IF(294=$NR$12,$NN$12,0),IF($NP$12="Bell_Curve",$NN$12*(294-$NR$12+1)*($NS$12-294+1)/$NU$12,$NN$12/$NT$12)),0)</f>
        <v/>
      </c>
      <c r="KM12" s="402">
        <f>IF(AND(295&gt;=$NR$12,295&lt;=$NS$12),IF($NP$12="Single_Point",IF(295=$NR$12,$NN$12,0),IF($NP$12="Bell_Curve",$NN$12*(295-$NR$12+1)*($NS$12-295+1)/$NU$12,$NN$12/$NT$12)),0)</f>
        <v/>
      </c>
      <c r="KN12" s="402">
        <f>IF(AND(296&gt;=$NR$12,296&lt;=$NS$12),IF($NP$12="Single_Point",IF(296=$NR$12,$NN$12,0),IF($NP$12="Bell_Curve",$NN$12*(296-$NR$12+1)*($NS$12-296+1)/$NU$12,$NN$12/$NT$12)),0)</f>
        <v/>
      </c>
      <c r="KO12" s="402">
        <f>IF(AND(297&gt;=$NR$12,297&lt;=$NS$12),IF($NP$12="Single_Point",IF(297=$NR$12,$NN$12,0),IF($NP$12="Bell_Curve",$NN$12*(297-$NR$12+1)*($NS$12-297+1)/$NU$12,$NN$12/$NT$12)),0)</f>
        <v/>
      </c>
      <c r="KP12" s="402">
        <f>IF(AND(298&gt;=$NR$12,298&lt;=$NS$12),IF($NP$12="Single_Point",IF(298=$NR$12,$NN$12,0),IF($NP$12="Bell_Curve",$NN$12*(298-$NR$12+1)*($NS$12-298+1)/$NU$12,$NN$12/$NT$12)),0)</f>
        <v/>
      </c>
      <c r="KQ12" s="402">
        <f>IF(AND(299&gt;=$NR$12,299&lt;=$NS$12),IF($NP$12="Single_Point",IF(299=$NR$12,$NN$12,0),IF($NP$12="Bell_Curve",$NN$12*(299-$NR$12+1)*($NS$12-299+1)/$NU$12,$NN$12/$NT$12)),0)</f>
        <v/>
      </c>
      <c r="KR12" s="402">
        <f>IF(AND(300&gt;=$NR$12,300&lt;=$NS$12),IF($NP$12="Single_Point",IF(300=$NR$12,$NN$12,0),IF($NP$12="Bell_Curve",$NN$12*(300-$NR$12+1)*($NS$12-300+1)/$NU$12,$NN$12/$NT$12)),0)</f>
        <v/>
      </c>
      <c r="KS12" s="402">
        <f>IF(AND(301&gt;=$NR$12,301&lt;=$NS$12),IF($NP$12="Single_Point",IF(301=$NR$12,$NN$12,0),IF($NP$12="Bell_Curve",$NN$12*(301-$NR$12+1)*($NS$12-301+1)/$NU$12,$NN$12/$NT$12)),0)</f>
        <v/>
      </c>
      <c r="KT12" s="402">
        <f>IF(AND(302&gt;=$NR$12,302&lt;=$NS$12),IF($NP$12="Single_Point",IF(302=$NR$12,$NN$12,0),IF($NP$12="Bell_Curve",$NN$12*(302-$NR$12+1)*($NS$12-302+1)/$NU$12,$NN$12/$NT$12)),0)</f>
        <v/>
      </c>
      <c r="KU12" s="402">
        <f>IF(AND(303&gt;=$NR$12,303&lt;=$NS$12),IF($NP$12="Single_Point",IF(303=$NR$12,$NN$12,0),IF($NP$12="Bell_Curve",$NN$12*(303-$NR$12+1)*($NS$12-303+1)/$NU$12,$NN$12/$NT$12)),0)</f>
        <v/>
      </c>
      <c r="KV12" s="402">
        <f>IF(AND(304&gt;=$NR$12,304&lt;=$NS$12),IF($NP$12="Single_Point",IF(304=$NR$12,$NN$12,0),IF($NP$12="Bell_Curve",$NN$12*(304-$NR$12+1)*($NS$12-304+1)/$NU$12,$NN$12/$NT$12)),0)</f>
        <v/>
      </c>
      <c r="KW12" s="402">
        <f>IF(AND(305&gt;=$NR$12,305&lt;=$NS$12),IF($NP$12="Single_Point",IF(305=$NR$12,$NN$12,0),IF($NP$12="Bell_Curve",$NN$12*(305-$NR$12+1)*($NS$12-305+1)/$NU$12,$NN$12/$NT$12)),0)</f>
        <v/>
      </c>
      <c r="KX12" s="402">
        <f>IF(AND(306&gt;=$NR$12,306&lt;=$NS$12),IF($NP$12="Single_Point",IF(306=$NR$12,$NN$12,0),IF($NP$12="Bell_Curve",$NN$12*(306-$NR$12+1)*($NS$12-306+1)/$NU$12,$NN$12/$NT$12)),0)</f>
        <v/>
      </c>
      <c r="KY12" s="402">
        <f>IF(AND(307&gt;=$NR$12,307&lt;=$NS$12),IF($NP$12="Single_Point",IF(307=$NR$12,$NN$12,0),IF($NP$12="Bell_Curve",$NN$12*(307-$NR$12+1)*($NS$12-307+1)/$NU$12,$NN$12/$NT$12)),0)</f>
        <v/>
      </c>
      <c r="KZ12" s="402">
        <f>IF(AND(308&gt;=$NR$12,308&lt;=$NS$12),IF($NP$12="Single_Point",IF(308=$NR$12,$NN$12,0),IF($NP$12="Bell_Curve",$NN$12*(308-$NR$12+1)*($NS$12-308+1)/$NU$12,$NN$12/$NT$12)),0)</f>
        <v/>
      </c>
      <c r="LA12" s="402">
        <f>IF(AND(309&gt;=$NR$12,309&lt;=$NS$12),IF($NP$12="Single_Point",IF(309=$NR$12,$NN$12,0),IF($NP$12="Bell_Curve",$NN$12*(309-$NR$12+1)*($NS$12-309+1)/$NU$12,$NN$12/$NT$12)),0)</f>
        <v/>
      </c>
      <c r="LB12" s="402">
        <f>IF(AND(310&gt;=$NR$12,310&lt;=$NS$12),IF($NP$12="Single_Point",IF(310=$NR$12,$NN$12,0),IF($NP$12="Bell_Curve",$NN$12*(310-$NR$12+1)*($NS$12-310+1)/$NU$12,$NN$12/$NT$12)),0)</f>
        <v/>
      </c>
      <c r="LC12" s="402">
        <f>IF(AND(311&gt;=$NR$12,311&lt;=$NS$12),IF($NP$12="Single_Point",IF(311=$NR$12,$NN$12,0),IF($NP$12="Bell_Curve",$NN$12*(311-$NR$12+1)*($NS$12-311+1)/$NU$12,$NN$12/$NT$12)),0)</f>
        <v/>
      </c>
      <c r="LD12" s="402">
        <f>IF(AND(312&gt;=$NR$12,312&lt;=$NS$12),IF($NP$12="Single_Point",IF(312=$NR$12,$NN$12,0),IF($NP$12="Bell_Curve",$NN$12*(312-$NR$12+1)*($NS$12-312+1)/$NU$12,$NN$12/$NT$12)),0)</f>
        <v/>
      </c>
      <c r="LE12" s="402">
        <f>IF(AND(313&gt;=$NR$12,313&lt;=$NS$12),IF($NP$12="Single_Point",IF(313=$NR$12,$NN$12,0),IF($NP$12="Bell_Curve",$NN$12*(313-$NR$12+1)*($NS$12-313+1)/$NU$12,$NN$12/$NT$12)),0)</f>
        <v/>
      </c>
      <c r="LF12" s="402">
        <f>IF(AND(314&gt;=$NR$12,314&lt;=$NS$12),IF($NP$12="Single_Point",IF(314=$NR$12,$NN$12,0),IF($NP$12="Bell_Curve",$NN$12*(314-$NR$12+1)*($NS$12-314+1)/$NU$12,$NN$12/$NT$12)),0)</f>
        <v/>
      </c>
      <c r="LG12" s="402">
        <f>IF(AND(315&gt;=$NR$12,315&lt;=$NS$12),IF($NP$12="Single_Point",IF(315=$NR$12,$NN$12,0),IF($NP$12="Bell_Curve",$NN$12*(315-$NR$12+1)*($NS$12-315+1)/$NU$12,$NN$12/$NT$12)),0)</f>
        <v/>
      </c>
      <c r="LH12" s="402">
        <f>IF(AND(316&gt;=$NR$12,316&lt;=$NS$12),IF($NP$12="Single_Point",IF(316=$NR$12,$NN$12,0),IF($NP$12="Bell_Curve",$NN$12*(316-$NR$12+1)*($NS$12-316+1)/$NU$12,$NN$12/$NT$12)),0)</f>
        <v/>
      </c>
      <c r="LI12" s="402">
        <f>IF(AND(317&gt;=$NR$12,317&lt;=$NS$12),IF($NP$12="Single_Point",IF(317=$NR$12,$NN$12,0),IF($NP$12="Bell_Curve",$NN$12*(317-$NR$12+1)*($NS$12-317+1)/$NU$12,$NN$12/$NT$12)),0)</f>
        <v/>
      </c>
      <c r="LJ12" s="402">
        <f>IF(AND(318&gt;=$NR$12,318&lt;=$NS$12),IF($NP$12="Single_Point",IF(318=$NR$12,$NN$12,0),IF($NP$12="Bell_Curve",$NN$12*(318-$NR$12+1)*($NS$12-318+1)/$NU$12,$NN$12/$NT$12)),0)</f>
        <v/>
      </c>
      <c r="LK12" s="402">
        <f>IF(AND(319&gt;=$NR$12,319&lt;=$NS$12),IF($NP$12="Single_Point",IF(319=$NR$12,$NN$12,0),IF($NP$12="Bell_Curve",$NN$12*(319-$NR$12+1)*($NS$12-319+1)/$NU$12,$NN$12/$NT$12)),0)</f>
        <v/>
      </c>
      <c r="LL12" s="402">
        <f>IF(AND(320&gt;=$NR$12,320&lt;=$NS$12),IF($NP$12="Single_Point",IF(320=$NR$12,$NN$12,0),IF($NP$12="Bell_Curve",$NN$12*(320-$NR$12+1)*($NS$12-320+1)/$NU$12,$NN$12/$NT$12)),0)</f>
        <v/>
      </c>
      <c r="LM12" s="402">
        <f>IF(AND(321&gt;=$NR$12,321&lt;=$NS$12),IF($NP$12="Single_Point",IF(321=$NR$12,$NN$12,0),IF($NP$12="Bell_Curve",$NN$12*(321-$NR$12+1)*($NS$12-321+1)/$NU$12,$NN$12/$NT$12)),0)</f>
        <v/>
      </c>
      <c r="LN12" s="402">
        <f>IF(AND(322&gt;=$NR$12,322&lt;=$NS$12),IF($NP$12="Single_Point",IF(322=$NR$12,$NN$12,0),IF($NP$12="Bell_Curve",$NN$12*(322-$NR$12+1)*($NS$12-322+1)/$NU$12,$NN$12/$NT$12)),0)</f>
        <v/>
      </c>
      <c r="LO12" s="402">
        <f>IF(AND(323&gt;=$NR$12,323&lt;=$NS$12),IF($NP$12="Single_Point",IF(323=$NR$12,$NN$12,0),IF($NP$12="Bell_Curve",$NN$12*(323-$NR$12+1)*($NS$12-323+1)/$NU$12,$NN$12/$NT$12)),0)</f>
        <v/>
      </c>
      <c r="LP12" s="402">
        <f>IF(AND(324&gt;=$NR$12,324&lt;=$NS$12),IF($NP$12="Single_Point",IF(324=$NR$12,$NN$12,0),IF($NP$12="Bell_Curve",$NN$12*(324-$NR$12+1)*($NS$12-324+1)/$NU$12,$NN$12/$NT$12)),0)</f>
        <v/>
      </c>
      <c r="LQ12" s="402">
        <f>IF(AND(325&gt;=$NR$12,325&lt;=$NS$12),IF($NP$12="Single_Point",IF(325=$NR$12,$NN$12,0),IF($NP$12="Bell_Curve",$NN$12*(325-$NR$12+1)*($NS$12-325+1)/$NU$12,$NN$12/$NT$12)),0)</f>
        <v/>
      </c>
      <c r="LR12" s="402">
        <f>IF(AND(326&gt;=$NR$12,326&lt;=$NS$12),IF($NP$12="Single_Point",IF(326=$NR$12,$NN$12,0),IF($NP$12="Bell_Curve",$NN$12*(326-$NR$12+1)*($NS$12-326+1)/$NU$12,$NN$12/$NT$12)),0)</f>
        <v/>
      </c>
      <c r="LS12" s="402">
        <f>IF(AND(327&gt;=$NR$12,327&lt;=$NS$12),IF($NP$12="Single_Point",IF(327=$NR$12,$NN$12,0),IF($NP$12="Bell_Curve",$NN$12*(327-$NR$12+1)*($NS$12-327+1)/$NU$12,$NN$12/$NT$12)),0)</f>
        <v/>
      </c>
      <c r="LT12" s="402">
        <f>IF(AND(328&gt;=$NR$12,328&lt;=$NS$12),IF($NP$12="Single_Point",IF(328=$NR$12,$NN$12,0),IF($NP$12="Bell_Curve",$NN$12*(328-$NR$12+1)*($NS$12-328+1)/$NU$12,$NN$12/$NT$12)),0)</f>
        <v/>
      </c>
      <c r="LU12" s="402">
        <f>IF(AND(329&gt;=$NR$12,329&lt;=$NS$12),IF($NP$12="Single_Point",IF(329=$NR$12,$NN$12,0),IF($NP$12="Bell_Curve",$NN$12*(329-$NR$12+1)*($NS$12-329+1)/$NU$12,$NN$12/$NT$12)),0)</f>
        <v/>
      </c>
      <c r="LV12" s="402">
        <f>IF(AND(330&gt;=$NR$12,330&lt;=$NS$12),IF($NP$12="Single_Point",IF(330=$NR$12,$NN$12,0),IF($NP$12="Bell_Curve",$NN$12*(330-$NR$12+1)*($NS$12-330+1)/$NU$12,$NN$12/$NT$12)),0)</f>
        <v/>
      </c>
      <c r="LW12" s="402">
        <f>IF(AND(331&gt;=$NR$12,331&lt;=$NS$12),IF($NP$12="Single_Point",IF(331=$NR$12,$NN$12,0),IF($NP$12="Bell_Curve",$NN$12*(331-$NR$12+1)*($NS$12-331+1)/$NU$12,$NN$12/$NT$12)),0)</f>
        <v/>
      </c>
      <c r="LX12" s="402">
        <f>IF(AND(332&gt;=$NR$12,332&lt;=$NS$12),IF($NP$12="Single_Point",IF(332=$NR$12,$NN$12,0),IF($NP$12="Bell_Curve",$NN$12*(332-$NR$12+1)*($NS$12-332+1)/$NU$12,$NN$12/$NT$12)),0)</f>
        <v/>
      </c>
      <c r="LY12" s="402">
        <f>IF(AND(333&gt;=$NR$12,333&lt;=$NS$12),IF($NP$12="Single_Point",IF(333=$NR$12,$NN$12,0),IF($NP$12="Bell_Curve",$NN$12*(333-$NR$12+1)*($NS$12-333+1)/$NU$12,$NN$12/$NT$12)),0)</f>
        <v/>
      </c>
      <c r="LZ12" s="402">
        <f>IF(AND(334&gt;=$NR$12,334&lt;=$NS$12),IF($NP$12="Single_Point",IF(334=$NR$12,$NN$12,0),IF($NP$12="Bell_Curve",$NN$12*(334-$NR$12+1)*($NS$12-334+1)/$NU$12,$NN$12/$NT$12)),0)</f>
        <v/>
      </c>
      <c r="MA12" s="402">
        <f>IF(AND(335&gt;=$NR$12,335&lt;=$NS$12),IF($NP$12="Single_Point",IF(335=$NR$12,$NN$12,0),IF($NP$12="Bell_Curve",$NN$12*(335-$NR$12+1)*($NS$12-335+1)/$NU$12,$NN$12/$NT$12)),0)</f>
        <v/>
      </c>
      <c r="MB12" s="402">
        <f>IF(AND(336&gt;=$NR$12,336&lt;=$NS$12),IF($NP$12="Single_Point",IF(336=$NR$12,$NN$12,0),IF($NP$12="Bell_Curve",$NN$12*(336-$NR$12+1)*($NS$12-336+1)/$NU$12,$NN$12/$NT$12)),0)</f>
        <v/>
      </c>
      <c r="MC12" s="402">
        <f>IF(AND(337&gt;=$NR$12,337&lt;=$NS$12),IF($NP$12="Single_Point",IF(337=$NR$12,$NN$12,0),IF($NP$12="Bell_Curve",$NN$12*(337-$NR$12+1)*($NS$12-337+1)/$NU$12,$NN$12/$NT$12)),0)</f>
        <v/>
      </c>
      <c r="MD12" s="402">
        <f>IF(AND(338&gt;=$NR$12,338&lt;=$NS$12),IF($NP$12="Single_Point",IF(338=$NR$12,$NN$12,0),IF($NP$12="Bell_Curve",$NN$12*(338-$NR$12+1)*($NS$12-338+1)/$NU$12,$NN$12/$NT$12)),0)</f>
        <v/>
      </c>
      <c r="ME12" s="402">
        <f>IF(AND(339&gt;=$NR$12,339&lt;=$NS$12),IF($NP$12="Single_Point",IF(339=$NR$12,$NN$12,0),IF($NP$12="Bell_Curve",$NN$12*(339-$NR$12+1)*($NS$12-339+1)/$NU$12,$NN$12/$NT$12)),0)</f>
        <v/>
      </c>
      <c r="MF12" s="402">
        <f>IF(AND(340&gt;=$NR$12,340&lt;=$NS$12),IF($NP$12="Single_Point",IF(340=$NR$12,$NN$12,0),IF($NP$12="Bell_Curve",$NN$12*(340-$NR$12+1)*($NS$12-340+1)/$NU$12,$NN$12/$NT$12)),0)</f>
        <v/>
      </c>
      <c r="MG12" s="402">
        <f>IF(AND(341&gt;=$NR$12,341&lt;=$NS$12),IF($NP$12="Single_Point",IF(341=$NR$12,$NN$12,0),IF($NP$12="Bell_Curve",$NN$12*(341-$NR$12+1)*($NS$12-341+1)/$NU$12,$NN$12/$NT$12)),0)</f>
        <v/>
      </c>
      <c r="MH12" s="402">
        <f>IF(AND(342&gt;=$NR$12,342&lt;=$NS$12),IF($NP$12="Single_Point",IF(342=$NR$12,$NN$12,0),IF($NP$12="Bell_Curve",$NN$12*(342-$NR$12+1)*($NS$12-342+1)/$NU$12,$NN$12/$NT$12)),0)</f>
        <v/>
      </c>
      <c r="MI12" s="402">
        <f>IF(AND(343&gt;=$NR$12,343&lt;=$NS$12),IF($NP$12="Single_Point",IF(343=$NR$12,$NN$12,0),IF($NP$12="Bell_Curve",$NN$12*(343-$NR$12+1)*($NS$12-343+1)/$NU$12,$NN$12/$NT$12)),0)</f>
        <v/>
      </c>
      <c r="MJ12" s="402">
        <f>IF(AND(344&gt;=$NR$12,344&lt;=$NS$12),IF($NP$12="Single_Point",IF(344=$NR$12,$NN$12,0),IF($NP$12="Bell_Curve",$NN$12*(344-$NR$12+1)*($NS$12-344+1)/$NU$12,$NN$12/$NT$12)),0)</f>
        <v/>
      </c>
      <c r="MK12" s="402">
        <f>IF(AND(345&gt;=$NR$12,345&lt;=$NS$12),IF($NP$12="Single_Point",IF(345=$NR$12,$NN$12,0),IF($NP$12="Bell_Curve",$NN$12*(345-$NR$12+1)*($NS$12-345+1)/$NU$12,$NN$12/$NT$12)),0)</f>
        <v/>
      </c>
      <c r="ML12" s="402">
        <f>IF(AND(346&gt;=$NR$12,346&lt;=$NS$12),IF($NP$12="Single_Point",IF(346=$NR$12,$NN$12,0),IF($NP$12="Bell_Curve",$NN$12*(346-$NR$12+1)*($NS$12-346+1)/$NU$12,$NN$12/$NT$12)),0)</f>
        <v/>
      </c>
      <c r="MM12" s="402">
        <f>IF(AND(347&gt;=$NR$12,347&lt;=$NS$12),IF($NP$12="Single_Point",IF(347=$NR$12,$NN$12,0),IF($NP$12="Bell_Curve",$NN$12*(347-$NR$12+1)*($NS$12-347+1)/$NU$12,$NN$12/$NT$12)),0)</f>
        <v/>
      </c>
      <c r="MN12" s="402">
        <f>IF(AND(348&gt;=$NR$12,348&lt;=$NS$12),IF($NP$12="Single_Point",IF(348=$NR$12,$NN$12,0),IF($NP$12="Bell_Curve",$NN$12*(348-$NR$12+1)*($NS$12-348+1)/$NU$12,$NN$12/$NT$12)),0)</f>
        <v/>
      </c>
      <c r="MO12" s="402">
        <f>IF(AND(349&gt;=$NR$12,349&lt;=$NS$12),IF($NP$12="Single_Point",IF(349=$NR$12,$NN$12,0),IF($NP$12="Bell_Curve",$NN$12*(349-$NR$12+1)*($NS$12-349+1)/$NU$12,$NN$12/$NT$12)),0)</f>
        <v/>
      </c>
      <c r="MP12" s="402">
        <f>IF(AND(350&gt;=$NR$12,350&lt;=$NS$12),IF($NP$12="Single_Point",IF(350=$NR$12,$NN$12,0),IF($NP$12="Bell_Curve",$NN$12*(350-$NR$12+1)*($NS$12-350+1)/$NU$12,$NN$12/$NT$12)),0)</f>
        <v/>
      </c>
      <c r="MQ12" s="402">
        <f>IF(AND(351&gt;=$NR$12,351&lt;=$NS$12),IF($NP$12="Single_Point",IF(351=$NR$12,$NN$12,0),IF($NP$12="Bell_Curve",$NN$12*(351-$NR$12+1)*($NS$12-351+1)/$NU$12,$NN$12/$NT$12)),0)</f>
        <v/>
      </c>
      <c r="MR12" s="402">
        <f>IF(AND(352&gt;=$NR$12,352&lt;=$NS$12),IF($NP$12="Single_Point",IF(352=$NR$12,$NN$12,0),IF($NP$12="Bell_Curve",$NN$12*(352-$NR$12+1)*($NS$12-352+1)/$NU$12,$NN$12/$NT$12)),0)</f>
        <v/>
      </c>
      <c r="MS12" s="402">
        <f>IF(AND(353&gt;=$NR$12,353&lt;=$NS$12),IF($NP$12="Single_Point",IF(353=$NR$12,$NN$12,0),IF($NP$12="Bell_Curve",$NN$12*(353-$NR$12+1)*($NS$12-353+1)/$NU$12,$NN$12/$NT$12)),0)</f>
        <v/>
      </c>
      <c r="MT12" s="402">
        <f>IF(AND(354&gt;=$NR$12,354&lt;=$NS$12),IF($NP$12="Single_Point",IF(354=$NR$12,$NN$12,0),IF($NP$12="Bell_Curve",$NN$12*(354-$NR$12+1)*($NS$12-354+1)/$NU$12,$NN$12/$NT$12)),0)</f>
        <v/>
      </c>
      <c r="MU12" s="402">
        <f>IF(AND(355&gt;=$NR$12,355&lt;=$NS$12),IF($NP$12="Single_Point",IF(355=$NR$12,$NN$12,0),IF($NP$12="Bell_Curve",$NN$12*(355-$NR$12+1)*($NS$12-355+1)/$NU$12,$NN$12/$NT$12)),0)</f>
        <v/>
      </c>
      <c r="MV12" s="402">
        <f>IF(AND(356&gt;=$NR$12,356&lt;=$NS$12),IF($NP$12="Single_Point",IF(356=$NR$12,$NN$12,0),IF($NP$12="Bell_Curve",$NN$12*(356-$NR$12+1)*($NS$12-356+1)/$NU$12,$NN$12/$NT$12)),0)</f>
        <v/>
      </c>
      <c r="MW12" s="402">
        <f>IF(AND(357&gt;=$NR$12,357&lt;=$NS$12),IF($NP$12="Single_Point",IF(357=$NR$12,$NN$12,0),IF($NP$12="Bell_Curve",$NN$12*(357-$NR$12+1)*($NS$12-357+1)/$NU$12,$NN$12/$NT$12)),0)</f>
        <v/>
      </c>
      <c r="MX12" s="402">
        <f>IF(AND(358&gt;=$NR$12,358&lt;=$NS$12),IF($NP$12="Single_Point",IF(358=$NR$12,$NN$12,0),IF($NP$12="Bell_Curve",$NN$12*(358-$NR$12+1)*($NS$12-358+1)/$NU$12,$NN$12/$NT$12)),0)</f>
        <v/>
      </c>
      <c r="MY12" s="402">
        <f>IF(AND(359&gt;=$NR$12,359&lt;=$NS$12),IF($NP$12="Single_Point",IF(359=$NR$12,$NN$12,0),IF($NP$12="Bell_Curve",$NN$12*(359-$NR$12+1)*($NS$12-359+1)/$NU$12,$NN$12/$NT$12)),0)</f>
        <v/>
      </c>
      <c r="MZ12" s="402">
        <f>IF(AND(360&gt;=$NR$12,360&lt;=$NS$12),IF($NP$12="Single_Point",IF(360=$NR$12,$NN$12,0),IF($NP$12="Bell_Curve",$NN$12*(360-$NR$12+1)*($NS$12-360+1)/$NU$12,$NN$12/$NT$12)),0)</f>
        <v/>
      </c>
      <c r="NA12" s="402">
        <f>IF(AND(361&gt;=$NR$12,361&lt;=$NS$12),IF($NP$12="Single_Point",IF(361=$NR$12,$NN$12,0),IF($NP$12="Bell_Curve",$NN$12*(361-$NR$12+1)*($NS$12-361+1)/$NU$12,$NN$12/$NT$12)),0)</f>
        <v/>
      </c>
      <c r="NB12" s="402">
        <f>IF(AND(362&gt;=$NR$12,362&lt;=$NS$12),IF($NP$12="Single_Point",IF(362=$NR$12,$NN$12,0),IF($NP$12="Bell_Curve",$NN$12*(362-$NR$12+1)*($NS$12-362+1)/$NU$12,$NN$12/$NT$12)),0)</f>
        <v/>
      </c>
      <c r="NC12" s="402">
        <f>IF(AND(363&gt;=$NR$12,363&lt;=$NS$12),IF($NP$12="Single_Point",IF(363=$NR$12,$NN$12,0),IF($NP$12="Bell_Curve",$NN$12*(363-$NR$12+1)*($NS$12-363+1)/$NU$12,$NN$12/$NT$12)),0)</f>
        <v/>
      </c>
      <c r="ND12" s="402">
        <f>IF(AND(364&gt;=$NR$12,364&lt;=$NS$12),IF($NP$12="Single_Point",IF(364=$NR$12,$NN$12,0),IF($NP$12="Bell_Curve",$NN$12*(364-$NR$12+1)*($NS$12-364+1)/$NU$12,$NN$12/$NT$12)),0)</f>
        <v/>
      </c>
      <c r="NE12" s="402">
        <f>IF(AND(365&gt;=$NR$12,365&lt;=$NS$12),IF($NP$12="Single_Point",IF(365=$NR$12,$NN$12,0),IF($NP$12="Bell_Curve",$NN$12*(365-$NR$12+1)*($NS$12-365+1)/$NU$12,$NN$12/$NT$12)),0)</f>
        <v/>
      </c>
      <c r="NF12" s="402">
        <f>IF(AND(366&gt;=$NR$12,366&lt;=$NS$12),IF($NP$12="Single_Point",IF(366=$NR$12,$NN$12,0),IF($NP$12="Bell_Curve",$NN$12*(366-$NR$12+1)*($NS$12-366+1)/$NU$12,$NN$12/$NT$12)),0)</f>
        <v/>
      </c>
      <c r="NG12" s="402">
        <f>IF(AND(367&gt;=$NR$12,367&lt;=$NS$12),IF($NP$12="Single_Point",IF(367=$NR$12,$NN$12,0),IF($NP$12="Bell_Curve",$NN$12*(367-$NR$12+1)*($NS$12-367+1)/$NU$12,$NN$12/$NT$12)),0)</f>
        <v/>
      </c>
      <c r="NH12" s="402">
        <f>IF(AND(368&gt;=$NR$12,368&lt;=$NS$12),IF($NP$12="Single_Point",IF(368=$NR$12,$NN$12,0),IF($NP$12="Bell_Curve",$NN$12*(368-$NR$12+1)*($NS$12-368+1)/$NU$12,$NN$12/$NT$12)),0)</f>
        <v/>
      </c>
      <c r="NI12" s="402">
        <f>IF(AND(369&gt;=$NR$12,369&lt;=$NS$12),IF($NP$12="Single_Point",IF(369=$NR$12,$NN$12,0),IF($NP$12="Bell_Curve",$NN$12*(369-$NR$12+1)*($NS$12-369+1)/$NU$12,$NN$12/$NT$12)),0)</f>
        <v/>
      </c>
      <c r="NJ12" s="402">
        <f>IF(AND(370&gt;=$NR$12,370&lt;=$NS$12),IF($NP$12="Single_Point",IF(370=$NR$12,$NN$12,0),IF($NP$12="Bell_Curve",$NN$12*(370-$NR$12+1)*($NS$12-370+1)/$NU$12,$NN$12/$NT$12)),0)</f>
        <v/>
      </c>
      <c r="NK12" s="402">
        <f>IF(AND(371&gt;=$NR$12,371&lt;=$NS$12),IF($NP$12="Single_Point",IF(371=$NR$12,$NN$12,0),IF($NP$12="Bell_Curve",$NN$12*(371-$NR$12+1)*($NS$12-371+1)/$NU$12,$NN$12/$NT$12)),0)</f>
        <v/>
      </c>
      <c r="NL12" s="426">
        <f>IF(AND(372&gt;=$NR$12,372&lt;=$NS$12),IF($NP$12="Single_Point",IF(372=$NR$12,$NN$12,0),IF($NP$12="Bell_Curve",$NN$12*(372-$NR$12+1)*($NS$12-372+1)/$NU$12,$NN$12/$NT$12)),0)</f>
        <v/>
      </c>
      <c r="NM12">
        <f>Budget!C11</f>
        <v/>
      </c>
      <c r="NN12" s="218">
        <f>Budget!J11</f>
        <v/>
      </c>
      <c r="NO12" s="144">
        <f>Budget!G11</f>
        <v/>
      </c>
      <c r="NP12" s="144">
        <f>Budget!H11</f>
        <v/>
      </c>
      <c r="NQ12" s="85">
        <f>Budget!I11</f>
        <v/>
      </c>
      <c r="NR12" s="248">
        <f>MAX(1,MIN(372,INDEX(MilestoneStart,MATCH(NO12,MilestoneNames,0))+NQ12))</f>
        <v/>
      </c>
      <c r="NS12" s="248">
        <f>MAX(NR12,MIN(372,INDEX(MilestoneEnd,MATCH(NO12,MilestoneNames,0))+NQ12))</f>
        <v/>
      </c>
      <c r="NT12" s="85">
        <f>NS12-NR12+1</f>
        <v/>
      </c>
      <c r="NU12" s="85">
        <f>NT12*(NT12+1)*(NT12+2)/6</f>
        <v/>
      </c>
    </row>
    <row r="13">
      <c r="B13" s="296">
        <f>Budget!B12</f>
        <v/>
      </c>
      <c r="D13" s="425">
        <f>SUM(E13:NL13)</f>
        <v/>
      </c>
      <c r="E13" s="402">
        <f>IF(AND(1&gt;=$NR$13,1&lt;=$NS$13),IF($NP$13="Single_Point",IF(1=$NR$13,$NN$13,0),IF($NP$13="Bell_Curve",$NN$13*(1-$NR$13+1)*($NS$13-1+1)/$NU$13,$NN$13/$NT$13)),0)</f>
        <v/>
      </c>
      <c r="F13" s="402">
        <f>IF(AND(2&gt;=$NR$13,2&lt;=$NS$13),IF($NP$13="Single_Point",IF(2=$NR$13,$NN$13,0),IF($NP$13="Bell_Curve",$NN$13*(2-$NR$13+1)*($NS$13-2+1)/$NU$13,$NN$13/$NT$13)),0)</f>
        <v/>
      </c>
      <c r="G13" s="402">
        <f>IF(AND(3&gt;=$NR$13,3&lt;=$NS$13),IF($NP$13="Single_Point",IF(3=$NR$13,$NN$13,0),IF($NP$13="Bell_Curve",$NN$13*(3-$NR$13+1)*($NS$13-3+1)/$NU$13,$NN$13/$NT$13)),0)</f>
        <v/>
      </c>
      <c r="H13" s="402">
        <f>IF(AND(4&gt;=$NR$13,4&lt;=$NS$13),IF($NP$13="Single_Point",IF(4=$NR$13,$NN$13,0),IF($NP$13="Bell_Curve",$NN$13*(4-$NR$13+1)*($NS$13-4+1)/$NU$13,$NN$13/$NT$13)),0)</f>
        <v/>
      </c>
      <c r="I13" s="402">
        <f>IF(AND(5&gt;=$NR$13,5&lt;=$NS$13),IF($NP$13="Single_Point",IF(5=$NR$13,$NN$13,0),IF($NP$13="Bell_Curve",$NN$13*(5-$NR$13+1)*($NS$13-5+1)/$NU$13,$NN$13/$NT$13)),0)</f>
        <v/>
      </c>
      <c r="J13" s="402">
        <f>IF(AND(6&gt;=$NR$13,6&lt;=$NS$13),IF($NP$13="Single_Point",IF(6=$NR$13,$NN$13,0),IF($NP$13="Bell_Curve",$NN$13*(6-$NR$13+1)*($NS$13-6+1)/$NU$13,$NN$13/$NT$13)),0)</f>
        <v/>
      </c>
      <c r="K13" s="402">
        <f>IF(AND(7&gt;=$NR$13,7&lt;=$NS$13),IF($NP$13="Single_Point",IF(7=$NR$13,$NN$13,0),IF($NP$13="Bell_Curve",$NN$13*(7-$NR$13+1)*($NS$13-7+1)/$NU$13,$NN$13/$NT$13)),0)</f>
        <v/>
      </c>
      <c r="L13" s="402">
        <f>IF(AND(8&gt;=$NR$13,8&lt;=$NS$13),IF($NP$13="Single_Point",IF(8=$NR$13,$NN$13,0),IF($NP$13="Bell_Curve",$NN$13*(8-$NR$13+1)*($NS$13-8+1)/$NU$13,$NN$13/$NT$13)),0)</f>
        <v/>
      </c>
      <c r="M13" s="402">
        <f>IF(AND(9&gt;=$NR$13,9&lt;=$NS$13),IF($NP$13="Single_Point",IF(9=$NR$13,$NN$13,0),IF($NP$13="Bell_Curve",$NN$13*(9-$NR$13+1)*($NS$13-9+1)/$NU$13,$NN$13/$NT$13)),0)</f>
        <v/>
      </c>
      <c r="N13" s="402">
        <f>IF(AND(10&gt;=$NR$13,10&lt;=$NS$13),IF($NP$13="Single_Point",IF(10=$NR$13,$NN$13,0),IF($NP$13="Bell_Curve",$NN$13*(10-$NR$13+1)*($NS$13-10+1)/$NU$13,$NN$13/$NT$13)),0)</f>
        <v/>
      </c>
      <c r="O13" s="402">
        <f>IF(AND(11&gt;=$NR$13,11&lt;=$NS$13),IF($NP$13="Single_Point",IF(11=$NR$13,$NN$13,0),IF($NP$13="Bell_Curve",$NN$13*(11-$NR$13+1)*($NS$13-11+1)/$NU$13,$NN$13/$NT$13)),0)</f>
        <v/>
      </c>
      <c r="P13" s="402">
        <f>IF(AND(12&gt;=$NR$13,12&lt;=$NS$13),IF($NP$13="Single_Point",IF(12=$NR$13,$NN$13,0),IF($NP$13="Bell_Curve",$NN$13*(12-$NR$13+1)*($NS$13-12+1)/$NU$13,$NN$13/$NT$13)),0)</f>
        <v/>
      </c>
      <c r="Q13" s="402">
        <f>IF(AND(13&gt;=$NR$13,13&lt;=$NS$13),IF($NP$13="Single_Point",IF(13=$NR$13,$NN$13,0),IF($NP$13="Bell_Curve",$NN$13*(13-$NR$13+1)*($NS$13-13+1)/$NU$13,$NN$13/$NT$13)),0)</f>
        <v/>
      </c>
      <c r="R13" s="402">
        <f>IF(AND(14&gt;=$NR$13,14&lt;=$NS$13),IF($NP$13="Single_Point",IF(14=$NR$13,$NN$13,0),IF($NP$13="Bell_Curve",$NN$13*(14-$NR$13+1)*($NS$13-14+1)/$NU$13,$NN$13/$NT$13)),0)</f>
        <v/>
      </c>
      <c r="S13" s="402">
        <f>IF(AND(15&gt;=$NR$13,15&lt;=$NS$13),IF($NP$13="Single_Point",IF(15=$NR$13,$NN$13,0),IF($NP$13="Bell_Curve",$NN$13*(15-$NR$13+1)*($NS$13-15+1)/$NU$13,$NN$13/$NT$13)),0)</f>
        <v/>
      </c>
      <c r="T13" s="402">
        <f>IF(AND(16&gt;=$NR$13,16&lt;=$NS$13),IF($NP$13="Single_Point",IF(16=$NR$13,$NN$13,0),IF($NP$13="Bell_Curve",$NN$13*(16-$NR$13+1)*($NS$13-16+1)/$NU$13,$NN$13/$NT$13)),0)</f>
        <v/>
      </c>
      <c r="U13" s="402">
        <f>IF(AND(17&gt;=$NR$13,17&lt;=$NS$13),IF($NP$13="Single_Point",IF(17=$NR$13,$NN$13,0),IF($NP$13="Bell_Curve",$NN$13*(17-$NR$13+1)*($NS$13-17+1)/$NU$13,$NN$13/$NT$13)),0)</f>
        <v/>
      </c>
      <c r="V13" s="402">
        <f>IF(AND(18&gt;=$NR$13,18&lt;=$NS$13),IF($NP$13="Single_Point",IF(18=$NR$13,$NN$13,0),IF($NP$13="Bell_Curve",$NN$13*(18-$NR$13+1)*($NS$13-18+1)/$NU$13,$NN$13/$NT$13)),0)</f>
        <v/>
      </c>
      <c r="W13" s="402">
        <f>IF(AND(19&gt;=$NR$13,19&lt;=$NS$13),IF($NP$13="Single_Point",IF(19=$NR$13,$NN$13,0),IF($NP$13="Bell_Curve",$NN$13*(19-$NR$13+1)*($NS$13-19+1)/$NU$13,$NN$13/$NT$13)),0)</f>
        <v/>
      </c>
      <c r="X13" s="402">
        <f>IF(AND(20&gt;=$NR$13,20&lt;=$NS$13),IF($NP$13="Single_Point",IF(20=$NR$13,$NN$13,0),IF($NP$13="Bell_Curve",$NN$13*(20-$NR$13+1)*($NS$13-20+1)/$NU$13,$NN$13/$NT$13)),0)</f>
        <v/>
      </c>
      <c r="Y13" s="402">
        <f>IF(AND(21&gt;=$NR$13,21&lt;=$NS$13),IF($NP$13="Single_Point",IF(21=$NR$13,$NN$13,0),IF($NP$13="Bell_Curve",$NN$13*(21-$NR$13+1)*($NS$13-21+1)/$NU$13,$NN$13/$NT$13)),0)</f>
        <v/>
      </c>
      <c r="Z13" s="402">
        <f>IF(AND(22&gt;=$NR$13,22&lt;=$NS$13),IF($NP$13="Single_Point",IF(22=$NR$13,$NN$13,0),IF($NP$13="Bell_Curve",$NN$13*(22-$NR$13+1)*($NS$13-22+1)/$NU$13,$NN$13/$NT$13)),0)</f>
        <v/>
      </c>
      <c r="AA13" s="402">
        <f>IF(AND(23&gt;=$NR$13,23&lt;=$NS$13),IF($NP$13="Single_Point",IF(23=$NR$13,$NN$13,0),IF($NP$13="Bell_Curve",$NN$13*(23-$NR$13+1)*($NS$13-23+1)/$NU$13,$NN$13/$NT$13)),0)</f>
        <v/>
      </c>
      <c r="AB13" s="402">
        <f>IF(AND(24&gt;=$NR$13,24&lt;=$NS$13),IF($NP$13="Single_Point",IF(24=$NR$13,$NN$13,0),IF($NP$13="Bell_Curve",$NN$13*(24-$NR$13+1)*($NS$13-24+1)/$NU$13,$NN$13/$NT$13)),0)</f>
        <v/>
      </c>
      <c r="AC13" s="402">
        <f>IF(AND(25&gt;=$NR$13,25&lt;=$NS$13),IF($NP$13="Single_Point",IF(25=$NR$13,$NN$13,0),IF($NP$13="Bell_Curve",$NN$13*(25-$NR$13+1)*($NS$13-25+1)/$NU$13,$NN$13/$NT$13)),0)</f>
        <v/>
      </c>
      <c r="AD13" s="402">
        <f>IF(AND(26&gt;=$NR$13,26&lt;=$NS$13),IF($NP$13="Single_Point",IF(26=$NR$13,$NN$13,0),IF($NP$13="Bell_Curve",$NN$13*(26-$NR$13+1)*($NS$13-26+1)/$NU$13,$NN$13/$NT$13)),0)</f>
        <v/>
      </c>
      <c r="AE13" s="402">
        <f>IF(AND(27&gt;=$NR$13,27&lt;=$NS$13),IF($NP$13="Single_Point",IF(27=$NR$13,$NN$13,0),IF($NP$13="Bell_Curve",$NN$13*(27-$NR$13+1)*($NS$13-27+1)/$NU$13,$NN$13/$NT$13)),0)</f>
        <v/>
      </c>
      <c r="AF13" s="402">
        <f>IF(AND(28&gt;=$NR$13,28&lt;=$NS$13),IF($NP$13="Single_Point",IF(28=$NR$13,$NN$13,0),IF($NP$13="Bell_Curve",$NN$13*(28-$NR$13+1)*($NS$13-28+1)/$NU$13,$NN$13/$NT$13)),0)</f>
        <v/>
      </c>
      <c r="AG13" s="402">
        <f>IF(AND(29&gt;=$NR$13,29&lt;=$NS$13),IF($NP$13="Single_Point",IF(29=$NR$13,$NN$13,0),IF($NP$13="Bell_Curve",$NN$13*(29-$NR$13+1)*($NS$13-29+1)/$NU$13,$NN$13/$NT$13)),0)</f>
        <v/>
      </c>
      <c r="AH13" s="402">
        <f>IF(AND(30&gt;=$NR$13,30&lt;=$NS$13),IF($NP$13="Single_Point",IF(30=$NR$13,$NN$13,0),IF($NP$13="Bell_Curve",$NN$13*(30-$NR$13+1)*($NS$13-30+1)/$NU$13,$NN$13/$NT$13)),0)</f>
        <v/>
      </c>
      <c r="AI13" s="402">
        <f>IF(AND(31&gt;=$NR$13,31&lt;=$NS$13),IF($NP$13="Single_Point",IF(31=$NR$13,$NN$13,0),IF($NP$13="Bell_Curve",$NN$13*(31-$NR$13+1)*($NS$13-31+1)/$NU$13,$NN$13/$NT$13)),0)</f>
        <v/>
      </c>
      <c r="AJ13" s="402">
        <f>IF(AND(32&gt;=$NR$13,32&lt;=$NS$13),IF($NP$13="Single_Point",IF(32=$NR$13,$NN$13,0),IF($NP$13="Bell_Curve",$NN$13*(32-$NR$13+1)*($NS$13-32+1)/$NU$13,$NN$13/$NT$13)),0)</f>
        <v/>
      </c>
      <c r="AK13" s="402">
        <f>IF(AND(33&gt;=$NR$13,33&lt;=$NS$13),IF($NP$13="Single_Point",IF(33=$NR$13,$NN$13,0),IF($NP$13="Bell_Curve",$NN$13*(33-$NR$13+1)*($NS$13-33+1)/$NU$13,$NN$13/$NT$13)),0)</f>
        <v/>
      </c>
      <c r="AL13" s="402">
        <f>IF(AND(34&gt;=$NR$13,34&lt;=$NS$13),IF($NP$13="Single_Point",IF(34=$NR$13,$NN$13,0),IF($NP$13="Bell_Curve",$NN$13*(34-$NR$13+1)*($NS$13-34+1)/$NU$13,$NN$13/$NT$13)),0)</f>
        <v/>
      </c>
      <c r="AM13" s="402">
        <f>IF(AND(35&gt;=$NR$13,35&lt;=$NS$13),IF($NP$13="Single_Point",IF(35=$NR$13,$NN$13,0),IF($NP$13="Bell_Curve",$NN$13*(35-$NR$13+1)*($NS$13-35+1)/$NU$13,$NN$13/$NT$13)),0)</f>
        <v/>
      </c>
      <c r="AN13" s="402">
        <f>IF(AND(36&gt;=$NR$13,36&lt;=$NS$13),IF($NP$13="Single_Point",IF(36=$NR$13,$NN$13,0),IF($NP$13="Bell_Curve",$NN$13*(36-$NR$13+1)*($NS$13-36+1)/$NU$13,$NN$13/$NT$13)),0)</f>
        <v/>
      </c>
      <c r="AO13" s="402">
        <f>IF(AND(37&gt;=$NR$13,37&lt;=$NS$13),IF($NP$13="Single_Point",IF(37=$NR$13,$NN$13,0),IF($NP$13="Bell_Curve",$NN$13*(37-$NR$13+1)*($NS$13-37+1)/$NU$13,$NN$13/$NT$13)),0)</f>
        <v/>
      </c>
      <c r="AP13" s="402">
        <f>IF(AND(38&gt;=$NR$13,38&lt;=$NS$13),IF($NP$13="Single_Point",IF(38=$NR$13,$NN$13,0),IF($NP$13="Bell_Curve",$NN$13*(38-$NR$13+1)*($NS$13-38+1)/$NU$13,$NN$13/$NT$13)),0)</f>
        <v/>
      </c>
      <c r="AQ13" s="402">
        <f>IF(AND(39&gt;=$NR$13,39&lt;=$NS$13),IF($NP$13="Single_Point",IF(39=$NR$13,$NN$13,0),IF($NP$13="Bell_Curve",$NN$13*(39-$NR$13+1)*($NS$13-39+1)/$NU$13,$NN$13/$NT$13)),0)</f>
        <v/>
      </c>
      <c r="AR13" s="402">
        <f>IF(AND(40&gt;=$NR$13,40&lt;=$NS$13),IF($NP$13="Single_Point",IF(40=$NR$13,$NN$13,0),IF($NP$13="Bell_Curve",$NN$13*(40-$NR$13+1)*($NS$13-40+1)/$NU$13,$NN$13/$NT$13)),0)</f>
        <v/>
      </c>
      <c r="AS13" s="402">
        <f>IF(AND(41&gt;=$NR$13,41&lt;=$NS$13),IF($NP$13="Single_Point",IF(41=$NR$13,$NN$13,0),IF($NP$13="Bell_Curve",$NN$13*(41-$NR$13+1)*($NS$13-41+1)/$NU$13,$NN$13/$NT$13)),0)</f>
        <v/>
      </c>
      <c r="AT13" s="402">
        <f>IF(AND(42&gt;=$NR$13,42&lt;=$NS$13),IF($NP$13="Single_Point",IF(42=$NR$13,$NN$13,0),IF($NP$13="Bell_Curve",$NN$13*(42-$NR$13+1)*($NS$13-42+1)/$NU$13,$NN$13/$NT$13)),0)</f>
        <v/>
      </c>
      <c r="AU13" s="402">
        <f>IF(AND(43&gt;=$NR$13,43&lt;=$NS$13),IF($NP$13="Single_Point",IF(43=$NR$13,$NN$13,0),IF($NP$13="Bell_Curve",$NN$13*(43-$NR$13+1)*($NS$13-43+1)/$NU$13,$NN$13/$NT$13)),0)</f>
        <v/>
      </c>
      <c r="AV13" s="402">
        <f>IF(AND(44&gt;=$NR$13,44&lt;=$NS$13),IF($NP$13="Single_Point",IF(44=$NR$13,$NN$13,0),IF($NP$13="Bell_Curve",$NN$13*(44-$NR$13+1)*($NS$13-44+1)/$NU$13,$NN$13/$NT$13)),0)</f>
        <v/>
      </c>
      <c r="AW13" s="402">
        <f>IF(AND(45&gt;=$NR$13,45&lt;=$NS$13),IF($NP$13="Single_Point",IF(45=$NR$13,$NN$13,0),IF($NP$13="Bell_Curve",$NN$13*(45-$NR$13+1)*($NS$13-45+1)/$NU$13,$NN$13/$NT$13)),0)</f>
        <v/>
      </c>
      <c r="AX13" s="402">
        <f>IF(AND(46&gt;=$NR$13,46&lt;=$NS$13),IF($NP$13="Single_Point",IF(46=$NR$13,$NN$13,0),IF($NP$13="Bell_Curve",$NN$13*(46-$NR$13+1)*($NS$13-46+1)/$NU$13,$NN$13/$NT$13)),0)</f>
        <v/>
      </c>
      <c r="AY13" s="402">
        <f>IF(AND(47&gt;=$NR$13,47&lt;=$NS$13),IF($NP$13="Single_Point",IF(47=$NR$13,$NN$13,0),IF($NP$13="Bell_Curve",$NN$13*(47-$NR$13+1)*($NS$13-47+1)/$NU$13,$NN$13/$NT$13)),0)</f>
        <v/>
      </c>
      <c r="AZ13" s="402">
        <f>IF(AND(48&gt;=$NR$13,48&lt;=$NS$13),IF($NP$13="Single_Point",IF(48=$NR$13,$NN$13,0),IF($NP$13="Bell_Curve",$NN$13*(48-$NR$13+1)*($NS$13-48+1)/$NU$13,$NN$13/$NT$13)),0)</f>
        <v/>
      </c>
      <c r="BA13" s="402">
        <f>IF(AND(49&gt;=$NR$13,49&lt;=$NS$13),IF($NP$13="Single_Point",IF(49=$NR$13,$NN$13,0),IF($NP$13="Bell_Curve",$NN$13*(49-$NR$13+1)*($NS$13-49+1)/$NU$13,$NN$13/$NT$13)),0)</f>
        <v/>
      </c>
      <c r="BB13" s="402">
        <f>IF(AND(50&gt;=$NR$13,50&lt;=$NS$13),IF($NP$13="Single_Point",IF(50=$NR$13,$NN$13,0),IF($NP$13="Bell_Curve",$NN$13*(50-$NR$13+1)*($NS$13-50+1)/$NU$13,$NN$13/$NT$13)),0)</f>
        <v/>
      </c>
      <c r="BC13" s="402">
        <f>IF(AND(51&gt;=$NR$13,51&lt;=$NS$13),IF($NP$13="Single_Point",IF(51=$NR$13,$NN$13,0),IF($NP$13="Bell_Curve",$NN$13*(51-$NR$13+1)*($NS$13-51+1)/$NU$13,$NN$13/$NT$13)),0)</f>
        <v/>
      </c>
      <c r="BD13" s="402">
        <f>IF(AND(52&gt;=$NR$13,52&lt;=$NS$13),IF($NP$13="Single_Point",IF(52=$NR$13,$NN$13,0),IF($NP$13="Bell_Curve",$NN$13*(52-$NR$13+1)*($NS$13-52+1)/$NU$13,$NN$13/$NT$13)),0)</f>
        <v/>
      </c>
      <c r="BE13" s="402">
        <f>IF(AND(53&gt;=$NR$13,53&lt;=$NS$13),IF($NP$13="Single_Point",IF(53=$NR$13,$NN$13,0),IF($NP$13="Bell_Curve",$NN$13*(53-$NR$13+1)*($NS$13-53+1)/$NU$13,$NN$13/$NT$13)),0)</f>
        <v/>
      </c>
      <c r="BF13" s="402">
        <f>IF(AND(54&gt;=$NR$13,54&lt;=$NS$13),IF($NP$13="Single_Point",IF(54=$NR$13,$NN$13,0),IF($NP$13="Bell_Curve",$NN$13*(54-$NR$13+1)*($NS$13-54+1)/$NU$13,$NN$13/$NT$13)),0)</f>
        <v/>
      </c>
      <c r="BG13" s="402">
        <f>IF(AND(55&gt;=$NR$13,55&lt;=$NS$13),IF($NP$13="Single_Point",IF(55=$NR$13,$NN$13,0),IF($NP$13="Bell_Curve",$NN$13*(55-$NR$13+1)*($NS$13-55+1)/$NU$13,$NN$13/$NT$13)),0)</f>
        <v/>
      </c>
      <c r="BH13" s="402">
        <f>IF(AND(56&gt;=$NR$13,56&lt;=$NS$13),IF($NP$13="Single_Point",IF(56=$NR$13,$NN$13,0),IF($NP$13="Bell_Curve",$NN$13*(56-$NR$13+1)*($NS$13-56+1)/$NU$13,$NN$13/$NT$13)),0)</f>
        <v/>
      </c>
      <c r="BI13" s="402">
        <f>IF(AND(57&gt;=$NR$13,57&lt;=$NS$13),IF($NP$13="Single_Point",IF(57=$NR$13,$NN$13,0),IF($NP$13="Bell_Curve",$NN$13*(57-$NR$13+1)*($NS$13-57+1)/$NU$13,$NN$13/$NT$13)),0)</f>
        <v/>
      </c>
      <c r="BJ13" s="402">
        <f>IF(AND(58&gt;=$NR$13,58&lt;=$NS$13),IF($NP$13="Single_Point",IF(58=$NR$13,$NN$13,0),IF($NP$13="Bell_Curve",$NN$13*(58-$NR$13+1)*($NS$13-58+1)/$NU$13,$NN$13/$NT$13)),0)</f>
        <v/>
      </c>
      <c r="BK13" s="402">
        <f>IF(AND(59&gt;=$NR$13,59&lt;=$NS$13),IF($NP$13="Single_Point",IF(59=$NR$13,$NN$13,0),IF($NP$13="Bell_Curve",$NN$13*(59-$NR$13+1)*($NS$13-59+1)/$NU$13,$NN$13/$NT$13)),0)</f>
        <v/>
      </c>
      <c r="BL13" s="402">
        <f>IF(AND(60&gt;=$NR$13,60&lt;=$NS$13),IF($NP$13="Single_Point",IF(60=$NR$13,$NN$13,0),IF($NP$13="Bell_Curve",$NN$13*(60-$NR$13+1)*($NS$13-60+1)/$NU$13,$NN$13/$NT$13)),0)</f>
        <v/>
      </c>
      <c r="BM13" s="402">
        <f>IF(AND(61&gt;=$NR$13,61&lt;=$NS$13),IF($NP$13="Single_Point",IF(61=$NR$13,$NN$13,0),IF($NP$13="Bell_Curve",$NN$13*(61-$NR$13+1)*($NS$13-61+1)/$NU$13,$NN$13/$NT$13)),0)</f>
        <v/>
      </c>
      <c r="BN13" s="402">
        <f>IF(AND(62&gt;=$NR$13,62&lt;=$NS$13),IF($NP$13="Single_Point",IF(62=$NR$13,$NN$13,0),IF($NP$13="Bell_Curve",$NN$13*(62-$NR$13+1)*($NS$13-62+1)/$NU$13,$NN$13/$NT$13)),0)</f>
        <v/>
      </c>
      <c r="BO13" s="402">
        <f>IF(AND(63&gt;=$NR$13,63&lt;=$NS$13),IF($NP$13="Single_Point",IF(63=$NR$13,$NN$13,0),IF($NP$13="Bell_Curve",$NN$13*(63-$NR$13+1)*($NS$13-63+1)/$NU$13,$NN$13/$NT$13)),0)</f>
        <v/>
      </c>
      <c r="BP13" s="402">
        <f>IF(AND(64&gt;=$NR$13,64&lt;=$NS$13),IF($NP$13="Single_Point",IF(64=$NR$13,$NN$13,0),IF($NP$13="Bell_Curve",$NN$13*(64-$NR$13+1)*($NS$13-64+1)/$NU$13,$NN$13/$NT$13)),0)</f>
        <v/>
      </c>
      <c r="BQ13" s="402">
        <f>IF(AND(65&gt;=$NR$13,65&lt;=$NS$13),IF($NP$13="Single_Point",IF(65=$NR$13,$NN$13,0),IF($NP$13="Bell_Curve",$NN$13*(65-$NR$13+1)*($NS$13-65+1)/$NU$13,$NN$13/$NT$13)),0)</f>
        <v/>
      </c>
      <c r="BR13" s="402">
        <f>IF(AND(66&gt;=$NR$13,66&lt;=$NS$13),IF($NP$13="Single_Point",IF(66=$NR$13,$NN$13,0),IF($NP$13="Bell_Curve",$NN$13*(66-$NR$13+1)*($NS$13-66+1)/$NU$13,$NN$13/$NT$13)),0)</f>
        <v/>
      </c>
      <c r="BS13" s="402">
        <f>IF(AND(67&gt;=$NR$13,67&lt;=$NS$13),IF($NP$13="Single_Point",IF(67=$NR$13,$NN$13,0),IF($NP$13="Bell_Curve",$NN$13*(67-$NR$13+1)*($NS$13-67+1)/$NU$13,$NN$13/$NT$13)),0)</f>
        <v/>
      </c>
      <c r="BT13" s="402">
        <f>IF(AND(68&gt;=$NR$13,68&lt;=$NS$13),IF($NP$13="Single_Point",IF(68=$NR$13,$NN$13,0),IF($NP$13="Bell_Curve",$NN$13*(68-$NR$13+1)*($NS$13-68+1)/$NU$13,$NN$13/$NT$13)),0)</f>
        <v/>
      </c>
      <c r="BU13" s="402">
        <f>IF(AND(69&gt;=$NR$13,69&lt;=$NS$13),IF($NP$13="Single_Point",IF(69=$NR$13,$NN$13,0),IF($NP$13="Bell_Curve",$NN$13*(69-$NR$13+1)*($NS$13-69+1)/$NU$13,$NN$13/$NT$13)),0)</f>
        <v/>
      </c>
      <c r="BV13" s="402">
        <f>IF(AND(70&gt;=$NR$13,70&lt;=$NS$13),IF($NP$13="Single_Point",IF(70=$NR$13,$NN$13,0),IF($NP$13="Bell_Curve",$NN$13*(70-$NR$13+1)*($NS$13-70+1)/$NU$13,$NN$13/$NT$13)),0)</f>
        <v/>
      </c>
      <c r="BW13" s="402">
        <f>IF(AND(71&gt;=$NR$13,71&lt;=$NS$13),IF($NP$13="Single_Point",IF(71=$NR$13,$NN$13,0),IF($NP$13="Bell_Curve",$NN$13*(71-$NR$13+1)*($NS$13-71+1)/$NU$13,$NN$13/$NT$13)),0)</f>
        <v/>
      </c>
      <c r="BX13" s="402">
        <f>IF(AND(72&gt;=$NR$13,72&lt;=$NS$13),IF($NP$13="Single_Point",IF(72=$NR$13,$NN$13,0),IF($NP$13="Bell_Curve",$NN$13*(72-$NR$13+1)*($NS$13-72+1)/$NU$13,$NN$13/$NT$13)),0)</f>
        <v/>
      </c>
      <c r="BY13" s="402">
        <f>IF(AND(73&gt;=$NR$13,73&lt;=$NS$13),IF($NP$13="Single_Point",IF(73=$NR$13,$NN$13,0),IF($NP$13="Bell_Curve",$NN$13*(73-$NR$13+1)*($NS$13-73+1)/$NU$13,$NN$13/$NT$13)),0)</f>
        <v/>
      </c>
      <c r="BZ13" s="402">
        <f>IF(AND(74&gt;=$NR$13,74&lt;=$NS$13),IF($NP$13="Single_Point",IF(74=$NR$13,$NN$13,0),IF($NP$13="Bell_Curve",$NN$13*(74-$NR$13+1)*($NS$13-74+1)/$NU$13,$NN$13/$NT$13)),0)</f>
        <v/>
      </c>
      <c r="CA13" s="402">
        <f>IF(AND(75&gt;=$NR$13,75&lt;=$NS$13),IF($NP$13="Single_Point",IF(75=$NR$13,$NN$13,0),IF($NP$13="Bell_Curve",$NN$13*(75-$NR$13+1)*($NS$13-75+1)/$NU$13,$NN$13/$NT$13)),0)</f>
        <v/>
      </c>
      <c r="CB13" s="402">
        <f>IF(AND(76&gt;=$NR$13,76&lt;=$NS$13),IF($NP$13="Single_Point",IF(76=$NR$13,$NN$13,0),IF($NP$13="Bell_Curve",$NN$13*(76-$NR$13+1)*($NS$13-76+1)/$NU$13,$NN$13/$NT$13)),0)</f>
        <v/>
      </c>
      <c r="CC13" s="402">
        <f>IF(AND(77&gt;=$NR$13,77&lt;=$NS$13),IF($NP$13="Single_Point",IF(77=$NR$13,$NN$13,0),IF($NP$13="Bell_Curve",$NN$13*(77-$NR$13+1)*($NS$13-77+1)/$NU$13,$NN$13/$NT$13)),0)</f>
        <v/>
      </c>
      <c r="CD13" s="402">
        <f>IF(AND(78&gt;=$NR$13,78&lt;=$NS$13),IF($NP$13="Single_Point",IF(78=$NR$13,$NN$13,0),IF($NP$13="Bell_Curve",$NN$13*(78-$NR$13+1)*($NS$13-78+1)/$NU$13,$NN$13/$NT$13)),0)</f>
        <v/>
      </c>
      <c r="CE13" s="402">
        <f>IF(AND(79&gt;=$NR$13,79&lt;=$NS$13),IF($NP$13="Single_Point",IF(79=$NR$13,$NN$13,0),IF($NP$13="Bell_Curve",$NN$13*(79-$NR$13+1)*($NS$13-79+1)/$NU$13,$NN$13/$NT$13)),0)</f>
        <v/>
      </c>
      <c r="CF13" s="402">
        <f>IF(AND(80&gt;=$NR$13,80&lt;=$NS$13),IF($NP$13="Single_Point",IF(80=$NR$13,$NN$13,0),IF($NP$13="Bell_Curve",$NN$13*(80-$NR$13+1)*($NS$13-80+1)/$NU$13,$NN$13/$NT$13)),0)</f>
        <v/>
      </c>
      <c r="CG13" s="402">
        <f>IF(AND(81&gt;=$NR$13,81&lt;=$NS$13),IF($NP$13="Single_Point",IF(81=$NR$13,$NN$13,0),IF($NP$13="Bell_Curve",$NN$13*(81-$NR$13+1)*($NS$13-81+1)/$NU$13,$NN$13/$NT$13)),0)</f>
        <v/>
      </c>
      <c r="CH13" s="402">
        <f>IF(AND(82&gt;=$NR$13,82&lt;=$NS$13),IF($NP$13="Single_Point",IF(82=$NR$13,$NN$13,0),IF($NP$13="Bell_Curve",$NN$13*(82-$NR$13+1)*($NS$13-82+1)/$NU$13,$NN$13/$NT$13)),0)</f>
        <v/>
      </c>
      <c r="CI13" s="402">
        <f>IF(AND(83&gt;=$NR$13,83&lt;=$NS$13),IF($NP$13="Single_Point",IF(83=$NR$13,$NN$13,0),IF($NP$13="Bell_Curve",$NN$13*(83-$NR$13+1)*($NS$13-83+1)/$NU$13,$NN$13/$NT$13)),0)</f>
        <v/>
      </c>
      <c r="CJ13" s="402">
        <f>IF(AND(84&gt;=$NR$13,84&lt;=$NS$13),IF($NP$13="Single_Point",IF(84=$NR$13,$NN$13,0),IF($NP$13="Bell_Curve",$NN$13*(84-$NR$13+1)*($NS$13-84+1)/$NU$13,$NN$13/$NT$13)),0)</f>
        <v/>
      </c>
      <c r="CK13" s="402">
        <f>IF(AND(85&gt;=$NR$13,85&lt;=$NS$13),IF($NP$13="Single_Point",IF(85=$NR$13,$NN$13,0),IF($NP$13="Bell_Curve",$NN$13*(85-$NR$13+1)*($NS$13-85+1)/$NU$13,$NN$13/$NT$13)),0)</f>
        <v/>
      </c>
      <c r="CL13" s="402">
        <f>IF(AND(86&gt;=$NR$13,86&lt;=$NS$13),IF($NP$13="Single_Point",IF(86=$NR$13,$NN$13,0),IF($NP$13="Bell_Curve",$NN$13*(86-$NR$13+1)*($NS$13-86+1)/$NU$13,$NN$13/$NT$13)),0)</f>
        <v/>
      </c>
      <c r="CM13" s="402">
        <f>IF(AND(87&gt;=$NR$13,87&lt;=$NS$13),IF($NP$13="Single_Point",IF(87=$NR$13,$NN$13,0),IF($NP$13="Bell_Curve",$NN$13*(87-$NR$13+1)*($NS$13-87+1)/$NU$13,$NN$13/$NT$13)),0)</f>
        <v/>
      </c>
      <c r="CN13" s="402">
        <f>IF(AND(88&gt;=$NR$13,88&lt;=$NS$13),IF($NP$13="Single_Point",IF(88=$NR$13,$NN$13,0),IF($NP$13="Bell_Curve",$NN$13*(88-$NR$13+1)*($NS$13-88+1)/$NU$13,$NN$13/$NT$13)),0)</f>
        <v/>
      </c>
      <c r="CO13" s="402">
        <f>IF(AND(89&gt;=$NR$13,89&lt;=$NS$13),IF($NP$13="Single_Point",IF(89=$NR$13,$NN$13,0),IF($NP$13="Bell_Curve",$NN$13*(89-$NR$13+1)*($NS$13-89+1)/$NU$13,$NN$13/$NT$13)),0)</f>
        <v/>
      </c>
      <c r="CP13" s="402">
        <f>IF(AND(90&gt;=$NR$13,90&lt;=$NS$13),IF($NP$13="Single_Point",IF(90=$NR$13,$NN$13,0),IF($NP$13="Bell_Curve",$NN$13*(90-$NR$13+1)*($NS$13-90+1)/$NU$13,$NN$13/$NT$13)),0)</f>
        <v/>
      </c>
      <c r="CQ13" s="402">
        <f>IF(AND(91&gt;=$NR$13,91&lt;=$NS$13),IF($NP$13="Single_Point",IF(91=$NR$13,$NN$13,0),IF($NP$13="Bell_Curve",$NN$13*(91-$NR$13+1)*($NS$13-91+1)/$NU$13,$NN$13/$NT$13)),0)</f>
        <v/>
      </c>
      <c r="CR13" s="402">
        <f>IF(AND(92&gt;=$NR$13,92&lt;=$NS$13),IF($NP$13="Single_Point",IF(92=$NR$13,$NN$13,0),IF($NP$13="Bell_Curve",$NN$13*(92-$NR$13+1)*($NS$13-92+1)/$NU$13,$NN$13/$NT$13)),0)</f>
        <v/>
      </c>
      <c r="CS13" s="402">
        <f>IF(AND(93&gt;=$NR$13,93&lt;=$NS$13),IF($NP$13="Single_Point",IF(93=$NR$13,$NN$13,0),IF($NP$13="Bell_Curve",$NN$13*(93-$NR$13+1)*($NS$13-93+1)/$NU$13,$NN$13/$NT$13)),0)</f>
        <v/>
      </c>
      <c r="CT13" s="402">
        <f>IF(AND(94&gt;=$NR$13,94&lt;=$NS$13),IF($NP$13="Single_Point",IF(94=$NR$13,$NN$13,0),IF($NP$13="Bell_Curve",$NN$13*(94-$NR$13+1)*($NS$13-94+1)/$NU$13,$NN$13/$NT$13)),0)</f>
        <v/>
      </c>
      <c r="CU13" s="402">
        <f>IF(AND(95&gt;=$NR$13,95&lt;=$NS$13),IF($NP$13="Single_Point",IF(95=$NR$13,$NN$13,0),IF($NP$13="Bell_Curve",$NN$13*(95-$NR$13+1)*($NS$13-95+1)/$NU$13,$NN$13/$NT$13)),0)</f>
        <v/>
      </c>
      <c r="CV13" s="402">
        <f>IF(AND(96&gt;=$NR$13,96&lt;=$NS$13),IF($NP$13="Single_Point",IF(96=$NR$13,$NN$13,0),IF($NP$13="Bell_Curve",$NN$13*(96-$NR$13+1)*($NS$13-96+1)/$NU$13,$NN$13/$NT$13)),0)</f>
        <v/>
      </c>
      <c r="CW13" s="402">
        <f>IF(AND(97&gt;=$NR$13,97&lt;=$NS$13),IF($NP$13="Single_Point",IF(97=$NR$13,$NN$13,0),IF($NP$13="Bell_Curve",$NN$13*(97-$NR$13+1)*($NS$13-97+1)/$NU$13,$NN$13/$NT$13)),0)</f>
        <v/>
      </c>
      <c r="CX13" s="402">
        <f>IF(AND(98&gt;=$NR$13,98&lt;=$NS$13),IF($NP$13="Single_Point",IF(98=$NR$13,$NN$13,0),IF($NP$13="Bell_Curve",$NN$13*(98-$NR$13+1)*($NS$13-98+1)/$NU$13,$NN$13/$NT$13)),0)</f>
        <v/>
      </c>
      <c r="CY13" s="402">
        <f>IF(AND(99&gt;=$NR$13,99&lt;=$NS$13),IF($NP$13="Single_Point",IF(99=$NR$13,$NN$13,0),IF($NP$13="Bell_Curve",$NN$13*(99-$NR$13+1)*($NS$13-99+1)/$NU$13,$NN$13/$NT$13)),0)</f>
        <v/>
      </c>
      <c r="CZ13" s="402">
        <f>IF(AND(100&gt;=$NR$13,100&lt;=$NS$13),IF($NP$13="Single_Point",IF(100=$NR$13,$NN$13,0),IF($NP$13="Bell_Curve",$NN$13*(100-$NR$13+1)*($NS$13-100+1)/$NU$13,$NN$13/$NT$13)),0)</f>
        <v/>
      </c>
      <c r="DA13" s="402">
        <f>IF(AND(101&gt;=$NR$13,101&lt;=$NS$13),IF($NP$13="Single_Point",IF(101=$NR$13,$NN$13,0),IF($NP$13="Bell_Curve",$NN$13*(101-$NR$13+1)*($NS$13-101+1)/$NU$13,$NN$13/$NT$13)),0)</f>
        <v/>
      </c>
      <c r="DB13" s="402">
        <f>IF(AND(102&gt;=$NR$13,102&lt;=$NS$13),IF($NP$13="Single_Point",IF(102=$NR$13,$NN$13,0),IF($NP$13="Bell_Curve",$NN$13*(102-$NR$13+1)*($NS$13-102+1)/$NU$13,$NN$13/$NT$13)),0)</f>
        <v/>
      </c>
      <c r="DC13" s="402">
        <f>IF(AND(103&gt;=$NR$13,103&lt;=$NS$13),IF($NP$13="Single_Point",IF(103=$NR$13,$NN$13,0),IF($NP$13="Bell_Curve",$NN$13*(103-$NR$13+1)*($NS$13-103+1)/$NU$13,$NN$13/$NT$13)),0)</f>
        <v/>
      </c>
      <c r="DD13" s="402">
        <f>IF(AND(104&gt;=$NR$13,104&lt;=$NS$13),IF($NP$13="Single_Point",IF(104=$NR$13,$NN$13,0),IF($NP$13="Bell_Curve",$NN$13*(104-$NR$13+1)*($NS$13-104+1)/$NU$13,$NN$13/$NT$13)),0)</f>
        <v/>
      </c>
      <c r="DE13" s="402">
        <f>IF(AND(105&gt;=$NR$13,105&lt;=$NS$13),IF($NP$13="Single_Point",IF(105=$NR$13,$NN$13,0),IF($NP$13="Bell_Curve",$NN$13*(105-$NR$13+1)*($NS$13-105+1)/$NU$13,$NN$13/$NT$13)),0)</f>
        <v/>
      </c>
      <c r="DF13" s="402">
        <f>IF(AND(106&gt;=$NR$13,106&lt;=$NS$13),IF($NP$13="Single_Point",IF(106=$NR$13,$NN$13,0),IF($NP$13="Bell_Curve",$NN$13*(106-$NR$13+1)*($NS$13-106+1)/$NU$13,$NN$13/$NT$13)),0)</f>
        <v/>
      </c>
      <c r="DG13" s="402">
        <f>IF(AND(107&gt;=$NR$13,107&lt;=$NS$13),IF($NP$13="Single_Point",IF(107=$NR$13,$NN$13,0),IF($NP$13="Bell_Curve",$NN$13*(107-$NR$13+1)*($NS$13-107+1)/$NU$13,$NN$13/$NT$13)),0)</f>
        <v/>
      </c>
      <c r="DH13" s="402">
        <f>IF(AND(108&gt;=$NR$13,108&lt;=$NS$13),IF($NP$13="Single_Point",IF(108=$NR$13,$NN$13,0),IF($NP$13="Bell_Curve",$NN$13*(108-$NR$13+1)*($NS$13-108+1)/$NU$13,$NN$13/$NT$13)),0)</f>
        <v/>
      </c>
      <c r="DI13" s="402">
        <f>IF(AND(109&gt;=$NR$13,109&lt;=$NS$13),IF($NP$13="Single_Point",IF(109=$NR$13,$NN$13,0),IF($NP$13="Bell_Curve",$NN$13*(109-$NR$13+1)*($NS$13-109+1)/$NU$13,$NN$13/$NT$13)),0)</f>
        <v/>
      </c>
      <c r="DJ13" s="402">
        <f>IF(AND(110&gt;=$NR$13,110&lt;=$NS$13),IF($NP$13="Single_Point",IF(110=$NR$13,$NN$13,0),IF($NP$13="Bell_Curve",$NN$13*(110-$NR$13+1)*($NS$13-110+1)/$NU$13,$NN$13/$NT$13)),0)</f>
        <v/>
      </c>
      <c r="DK13" s="402">
        <f>IF(AND(111&gt;=$NR$13,111&lt;=$NS$13),IF($NP$13="Single_Point",IF(111=$NR$13,$NN$13,0),IF($NP$13="Bell_Curve",$NN$13*(111-$NR$13+1)*($NS$13-111+1)/$NU$13,$NN$13/$NT$13)),0)</f>
        <v/>
      </c>
      <c r="DL13" s="402">
        <f>IF(AND(112&gt;=$NR$13,112&lt;=$NS$13),IF($NP$13="Single_Point",IF(112=$NR$13,$NN$13,0),IF($NP$13="Bell_Curve",$NN$13*(112-$NR$13+1)*($NS$13-112+1)/$NU$13,$NN$13/$NT$13)),0)</f>
        <v/>
      </c>
      <c r="DM13" s="402">
        <f>IF(AND(113&gt;=$NR$13,113&lt;=$NS$13),IF($NP$13="Single_Point",IF(113=$NR$13,$NN$13,0),IF($NP$13="Bell_Curve",$NN$13*(113-$NR$13+1)*($NS$13-113+1)/$NU$13,$NN$13/$NT$13)),0)</f>
        <v/>
      </c>
      <c r="DN13" s="402">
        <f>IF(AND(114&gt;=$NR$13,114&lt;=$NS$13),IF($NP$13="Single_Point",IF(114=$NR$13,$NN$13,0),IF($NP$13="Bell_Curve",$NN$13*(114-$NR$13+1)*($NS$13-114+1)/$NU$13,$NN$13/$NT$13)),0)</f>
        <v/>
      </c>
      <c r="DO13" s="402">
        <f>IF(AND(115&gt;=$NR$13,115&lt;=$NS$13),IF($NP$13="Single_Point",IF(115=$NR$13,$NN$13,0),IF($NP$13="Bell_Curve",$NN$13*(115-$NR$13+1)*($NS$13-115+1)/$NU$13,$NN$13/$NT$13)),0)</f>
        <v/>
      </c>
      <c r="DP13" s="402">
        <f>IF(AND(116&gt;=$NR$13,116&lt;=$NS$13),IF($NP$13="Single_Point",IF(116=$NR$13,$NN$13,0),IF($NP$13="Bell_Curve",$NN$13*(116-$NR$13+1)*($NS$13-116+1)/$NU$13,$NN$13/$NT$13)),0)</f>
        <v/>
      </c>
      <c r="DQ13" s="402">
        <f>IF(AND(117&gt;=$NR$13,117&lt;=$NS$13),IF($NP$13="Single_Point",IF(117=$NR$13,$NN$13,0),IF($NP$13="Bell_Curve",$NN$13*(117-$NR$13+1)*($NS$13-117+1)/$NU$13,$NN$13/$NT$13)),0)</f>
        <v/>
      </c>
      <c r="DR13" s="402">
        <f>IF(AND(118&gt;=$NR$13,118&lt;=$NS$13),IF($NP$13="Single_Point",IF(118=$NR$13,$NN$13,0),IF($NP$13="Bell_Curve",$NN$13*(118-$NR$13+1)*($NS$13-118+1)/$NU$13,$NN$13/$NT$13)),0)</f>
        <v/>
      </c>
      <c r="DS13" s="402">
        <f>IF(AND(119&gt;=$NR$13,119&lt;=$NS$13),IF($NP$13="Single_Point",IF(119=$NR$13,$NN$13,0),IF($NP$13="Bell_Curve",$NN$13*(119-$NR$13+1)*($NS$13-119+1)/$NU$13,$NN$13/$NT$13)),0)</f>
        <v/>
      </c>
      <c r="DT13" s="402">
        <f>IF(AND(120&gt;=$NR$13,120&lt;=$NS$13),IF($NP$13="Single_Point",IF(120=$NR$13,$NN$13,0),IF($NP$13="Bell_Curve",$NN$13*(120-$NR$13+1)*($NS$13-120+1)/$NU$13,$NN$13/$NT$13)),0)</f>
        <v/>
      </c>
      <c r="DU13" s="402">
        <f>IF(AND(121&gt;=$NR$13,121&lt;=$NS$13),IF($NP$13="Single_Point",IF(121=$NR$13,$NN$13,0),IF($NP$13="Bell_Curve",$NN$13*(121-$NR$13+1)*($NS$13-121+1)/$NU$13,$NN$13/$NT$13)),0)</f>
        <v/>
      </c>
      <c r="DV13" s="402">
        <f>IF(AND(122&gt;=$NR$13,122&lt;=$NS$13),IF($NP$13="Single_Point",IF(122=$NR$13,$NN$13,0),IF($NP$13="Bell_Curve",$NN$13*(122-$NR$13+1)*($NS$13-122+1)/$NU$13,$NN$13/$NT$13)),0)</f>
        <v/>
      </c>
      <c r="DW13" s="402">
        <f>IF(AND(123&gt;=$NR$13,123&lt;=$NS$13),IF($NP$13="Single_Point",IF(123=$NR$13,$NN$13,0),IF($NP$13="Bell_Curve",$NN$13*(123-$NR$13+1)*($NS$13-123+1)/$NU$13,$NN$13/$NT$13)),0)</f>
        <v/>
      </c>
      <c r="DX13" s="402">
        <f>IF(AND(124&gt;=$NR$13,124&lt;=$NS$13),IF($NP$13="Single_Point",IF(124=$NR$13,$NN$13,0),IF($NP$13="Bell_Curve",$NN$13*(124-$NR$13+1)*($NS$13-124+1)/$NU$13,$NN$13/$NT$13)),0)</f>
        <v/>
      </c>
      <c r="DY13" s="402">
        <f>IF(AND(125&gt;=$NR$13,125&lt;=$NS$13),IF($NP$13="Single_Point",IF(125=$NR$13,$NN$13,0),IF($NP$13="Bell_Curve",$NN$13*(125-$NR$13+1)*($NS$13-125+1)/$NU$13,$NN$13/$NT$13)),0)</f>
        <v/>
      </c>
      <c r="DZ13" s="402">
        <f>IF(AND(126&gt;=$NR$13,126&lt;=$NS$13),IF($NP$13="Single_Point",IF(126=$NR$13,$NN$13,0),IF($NP$13="Bell_Curve",$NN$13*(126-$NR$13+1)*($NS$13-126+1)/$NU$13,$NN$13/$NT$13)),0)</f>
        <v/>
      </c>
      <c r="EA13" s="402">
        <f>IF(AND(127&gt;=$NR$13,127&lt;=$NS$13),IF($NP$13="Single_Point",IF(127=$NR$13,$NN$13,0),IF($NP$13="Bell_Curve",$NN$13*(127-$NR$13+1)*($NS$13-127+1)/$NU$13,$NN$13/$NT$13)),0)</f>
        <v/>
      </c>
      <c r="EB13" s="402">
        <f>IF(AND(128&gt;=$NR$13,128&lt;=$NS$13),IF($NP$13="Single_Point",IF(128=$NR$13,$NN$13,0),IF($NP$13="Bell_Curve",$NN$13*(128-$NR$13+1)*($NS$13-128+1)/$NU$13,$NN$13/$NT$13)),0)</f>
        <v/>
      </c>
      <c r="EC13" s="402">
        <f>IF(AND(129&gt;=$NR$13,129&lt;=$NS$13),IF($NP$13="Single_Point",IF(129=$NR$13,$NN$13,0),IF($NP$13="Bell_Curve",$NN$13*(129-$NR$13+1)*($NS$13-129+1)/$NU$13,$NN$13/$NT$13)),0)</f>
        <v/>
      </c>
      <c r="ED13" s="402">
        <f>IF(AND(130&gt;=$NR$13,130&lt;=$NS$13),IF($NP$13="Single_Point",IF(130=$NR$13,$NN$13,0),IF($NP$13="Bell_Curve",$NN$13*(130-$NR$13+1)*($NS$13-130+1)/$NU$13,$NN$13/$NT$13)),0)</f>
        <v/>
      </c>
      <c r="EE13" s="402">
        <f>IF(AND(131&gt;=$NR$13,131&lt;=$NS$13),IF($NP$13="Single_Point",IF(131=$NR$13,$NN$13,0),IF($NP$13="Bell_Curve",$NN$13*(131-$NR$13+1)*($NS$13-131+1)/$NU$13,$NN$13/$NT$13)),0)</f>
        <v/>
      </c>
      <c r="EF13" s="402">
        <f>IF(AND(132&gt;=$NR$13,132&lt;=$NS$13),IF($NP$13="Single_Point",IF(132=$NR$13,$NN$13,0),IF($NP$13="Bell_Curve",$NN$13*(132-$NR$13+1)*($NS$13-132+1)/$NU$13,$NN$13/$NT$13)),0)</f>
        <v/>
      </c>
      <c r="EG13" s="402">
        <f>IF(AND(133&gt;=$NR$13,133&lt;=$NS$13),IF($NP$13="Single_Point",IF(133=$NR$13,$NN$13,0),IF($NP$13="Bell_Curve",$NN$13*(133-$NR$13+1)*($NS$13-133+1)/$NU$13,$NN$13/$NT$13)),0)</f>
        <v/>
      </c>
      <c r="EH13" s="402">
        <f>IF(AND(134&gt;=$NR$13,134&lt;=$NS$13),IF($NP$13="Single_Point",IF(134=$NR$13,$NN$13,0),IF($NP$13="Bell_Curve",$NN$13*(134-$NR$13+1)*($NS$13-134+1)/$NU$13,$NN$13/$NT$13)),0)</f>
        <v/>
      </c>
      <c r="EI13" s="402">
        <f>IF(AND(135&gt;=$NR$13,135&lt;=$NS$13),IF($NP$13="Single_Point",IF(135=$NR$13,$NN$13,0),IF($NP$13="Bell_Curve",$NN$13*(135-$NR$13+1)*($NS$13-135+1)/$NU$13,$NN$13/$NT$13)),0)</f>
        <v/>
      </c>
      <c r="EJ13" s="402">
        <f>IF(AND(136&gt;=$NR$13,136&lt;=$NS$13),IF($NP$13="Single_Point",IF(136=$NR$13,$NN$13,0),IF($NP$13="Bell_Curve",$NN$13*(136-$NR$13+1)*($NS$13-136+1)/$NU$13,$NN$13/$NT$13)),0)</f>
        <v/>
      </c>
      <c r="EK13" s="402">
        <f>IF(AND(137&gt;=$NR$13,137&lt;=$NS$13),IF($NP$13="Single_Point",IF(137=$NR$13,$NN$13,0),IF($NP$13="Bell_Curve",$NN$13*(137-$NR$13+1)*($NS$13-137+1)/$NU$13,$NN$13/$NT$13)),0)</f>
        <v/>
      </c>
      <c r="EL13" s="402">
        <f>IF(AND(138&gt;=$NR$13,138&lt;=$NS$13),IF($NP$13="Single_Point",IF(138=$NR$13,$NN$13,0),IF($NP$13="Bell_Curve",$NN$13*(138-$NR$13+1)*($NS$13-138+1)/$NU$13,$NN$13/$NT$13)),0)</f>
        <v/>
      </c>
      <c r="EM13" s="402">
        <f>IF(AND(139&gt;=$NR$13,139&lt;=$NS$13),IF($NP$13="Single_Point",IF(139=$NR$13,$NN$13,0),IF($NP$13="Bell_Curve",$NN$13*(139-$NR$13+1)*($NS$13-139+1)/$NU$13,$NN$13/$NT$13)),0)</f>
        <v/>
      </c>
      <c r="EN13" s="402">
        <f>IF(AND(140&gt;=$NR$13,140&lt;=$NS$13),IF($NP$13="Single_Point",IF(140=$NR$13,$NN$13,0),IF($NP$13="Bell_Curve",$NN$13*(140-$NR$13+1)*($NS$13-140+1)/$NU$13,$NN$13/$NT$13)),0)</f>
        <v/>
      </c>
      <c r="EO13" s="402">
        <f>IF(AND(141&gt;=$NR$13,141&lt;=$NS$13),IF($NP$13="Single_Point",IF(141=$NR$13,$NN$13,0),IF($NP$13="Bell_Curve",$NN$13*(141-$NR$13+1)*($NS$13-141+1)/$NU$13,$NN$13/$NT$13)),0)</f>
        <v/>
      </c>
      <c r="EP13" s="402">
        <f>IF(AND(142&gt;=$NR$13,142&lt;=$NS$13),IF($NP$13="Single_Point",IF(142=$NR$13,$NN$13,0),IF($NP$13="Bell_Curve",$NN$13*(142-$NR$13+1)*($NS$13-142+1)/$NU$13,$NN$13/$NT$13)),0)</f>
        <v/>
      </c>
      <c r="EQ13" s="402">
        <f>IF(AND(143&gt;=$NR$13,143&lt;=$NS$13),IF($NP$13="Single_Point",IF(143=$NR$13,$NN$13,0),IF($NP$13="Bell_Curve",$NN$13*(143-$NR$13+1)*($NS$13-143+1)/$NU$13,$NN$13/$NT$13)),0)</f>
        <v/>
      </c>
      <c r="ER13" s="402">
        <f>IF(AND(144&gt;=$NR$13,144&lt;=$NS$13),IF($NP$13="Single_Point",IF(144=$NR$13,$NN$13,0),IF($NP$13="Bell_Curve",$NN$13*(144-$NR$13+1)*($NS$13-144+1)/$NU$13,$NN$13/$NT$13)),0)</f>
        <v/>
      </c>
      <c r="ES13" s="402">
        <f>IF(AND(145&gt;=$NR$13,145&lt;=$NS$13),IF($NP$13="Single_Point",IF(145=$NR$13,$NN$13,0),IF($NP$13="Bell_Curve",$NN$13*(145-$NR$13+1)*($NS$13-145+1)/$NU$13,$NN$13/$NT$13)),0)</f>
        <v/>
      </c>
      <c r="ET13" s="402">
        <f>IF(AND(146&gt;=$NR$13,146&lt;=$NS$13),IF($NP$13="Single_Point",IF(146=$NR$13,$NN$13,0),IF($NP$13="Bell_Curve",$NN$13*(146-$NR$13+1)*($NS$13-146+1)/$NU$13,$NN$13/$NT$13)),0)</f>
        <v/>
      </c>
      <c r="EU13" s="402">
        <f>IF(AND(147&gt;=$NR$13,147&lt;=$NS$13),IF($NP$13="Single_Point",IF(147=$NR$13,$NN$13,0),IF($NP$13="Bell_Curve",$NN$13*(147-$NR$13+1)*($NS$13-147+1)/$NU$13,$NN$13/$NT$13)),0)</f>
        <v/>
      </c>
      <c r="EV13" s="402">
        <f>IF(AND(148&gt;=$NR$13,148&lt;=$NS$13),IF($NP$13="Single_Point",IF(148=$NR$13,$NN$13,0),IF($NP$13="Bell_Curve",$NN$13*(148-$NR$13+1)*($NS$13-148+1)/$NU$13,$NN$13/$NT$13)),0)</f>
        <v/>
      </c>
      <c r="EW13" s="402">
        <f>IF(AND(149&gt;=$NR$13,149&lt;=$NS$13),IF($NP$13="Single_Point",IF(149=$NR$13,$NN$13,0),IF($NP$13="Bell_Curve",$NN$13*(149-$NR$13+1)*($NS$13-149+1)/$NU$13,$NN$13/$NT$13)),0)</f>
        <v/>
      </c>
      <c r="EX13" s="402">
        <f>IF(AND(150&gt;=$NR$13,150&lt;=$NS$13),IF($NP$13="Single_Point",IF(150=$NR$13,$NN$13,0),IF($NP$13="Bell_Curve",$NN$13*(150-$NR$13+1)*($NS$13-150+1)/$NU$13,$NN$13/$NT$13)),0)</f>
        <v/>
      </c>
      <c r="EY13" s="402">
        <f>IF(AND(151&gt;=$NR$13,151&lt;=$NS$13),IF($NP$13="Single_Point",IF(151=$NR$13,$NN$13,0),IF($NP$13="Bell_Curve",$NN$13*(151-$NR$13+1)*($NS$13-151+1)/$NU$13,$NN$13/$NT$13)),0)</f>
        <v/>
      </c>
      <c r="EZ13" s="402">
        <f>IF(AND(152&gt;=$NR$13,152&lt;=$NS$13),IF($NP$13="Single_Point",IF(152=$NR$13,$NN$13,0),IF($NP$13="Bell_Curve",$NN$13*(152-$NR$13+1)*($NS$13-152+1)/$NU$13,$NN$13/$NT$13)),0)</f>
        <v/>
      </c>
      <c r="FA13" s="402">
        <f>IF(AND(153&gt;=$NR$13,153&lt;=$NS$13),IF($NP$13="Single_Point",IF(153=$NR$13,$NN$13,0),IF($NP$13="Bell_Curve",$NN$13*(153-$NR$13+1)*($NS$13-153+1)/$NU$13,$NN$13/$NT$13)),0)</f>
        <v/>
      </c>
      <c r="FB13" s="402">
        <f>IF(AND(154&gt;=$NR$13,154&lt;=$NS$13),IF($NP$13="Single_Point",IF(154=$NR$13,$NN$13,0),IF($NP$13="Bell_Curve",$NN$13*(154-$NR$13+1)*($NS$13-154+1)/$NU$13,$NN$13/$NT$13)),0)</f>
        <v/>
      </c>
      <c r="FC13" s="402">
        <f>IF(AND(155&gt;=$NR$13,155&lt;=$NS$13),IF($NP$13="Single_Point",IF(155=$NR$13,$NN$13,0),IF($NP$13="Bell_Curve",$NN$13*(155-$NR$13+1)*($NS$13-155+1)/$NU$13,$NN$13/$NT$13)),0)</f>
        <v/>
      </c>
      <c r="FD13" s="402">
        <f>IF(AND(156&gt;=$NR$13,156&lt;=$NS$13),IF($NP$13="Single_Point",IF(156=$NR$13,$NN$13,0),IF($NP$13="Bell_Curve",$NN$13*(156-$NR$13+1)*($NS$13-156+1)/$NU$13,$NN$13/$NT$13)),0)</f>
        <v/>
      </c>
      <c r="FE13" s="402">
        <f>IF(AND(157&gt;=$NR$13,157&lt;=$NS$13),IF($NP$13="Single_Point",IF(157=$NR$13,$NN$13,0),IF($NP$13="Bell_Curve",$NN$13*(157-$NR$13+1)*($NS$13-157+1)/$NU$13,$NN$13/$NT$13)),0)</f>
        <v/>
      </c>
      <c r="FF13" s="402">
        <f>IF(AND(158&gt;=$NR$13,158&lt;=$NS$13),IF($NP$13="Single_Point",IF(158=$NR$13,$NN$13,0),IF($NP$13="Bell_Curve",$NN$13*(158-$NR$13+1)*($NS$13-158+1)/$NU$13,$NN$13/$NT$13)),0)</f>
        <v/>
      </c>
      <c r="FG13" s="402">
        <f>IF(AND(159&gt;=$NR$13,159&lt;=$NS$13),IF($NP$13="Single_Point",IF(159=$NR$13,$NN$13,0),IF($NP$13="Bell_Curve",$NN$13*(159-$NR$13+1)*($NS$13-159+1)/$NU$13,$NN$13/$NT$13)),0)</f>
        <v/>
      </c>
      <c r="FH13" s="402">
        <f>IF(AND(160&gt;=$NR$13,160&lt;=$NS$13),IF($NP$13="Single_Point",IF(160=$NR$13,$NN$13,0),IF($NP$13="Bell_Curve",$NN$13*(160-$NR$13+1)*($NS$13-160+1)/$NU$13,$NN$13/$NT$13)),0)</f>
        <v/>
      </c>
      <c r="FI13" s="402">
        <f>IF(AND(161&gt;=$NR$13,161&lt;=$NS$13),IF($NP$13="Single_Point",IF(161=$NR$13,$NN$13,0),IF($NP$13="Bell_Curve",$NN$13*(161-$NR$13+1)*($NS$13-161+1)/$NU$13,$NN$13/$NT$13)),0)</f>
        <v/>
      </c>
      <c r="FJ13" s="402">
        <f>IF(AND(162&gt;=$NR$13,162&lt;=$NS$13),IF($NP$13="Single_Point",IF(162=$NR$13,$NN$13,0),IF($NP$13="Bell_Curve",$NN$13*(162-$NR$13+1)*($NS$13-162+1)/$NU$13,$NN$13/$NT$13)),0)</f>
        <v/>
      </c>
      <c r="FK13" s="402">
        <f>IF(AND(163&gt;=$NR$13,163&lt;=$NS$13),IF($NP$13="Single_Point",IF(163=$NR$13,$NN$13,0),IF($NP$13="Bell_Curve",$NN$13*(163-$NR$13+1)*($NS$13-163+1)/$NU$13,$NN$13/$NT$13)),0)</f>
        <v/>
      </c>
      <c r="FL13" s="402">
        <f>IF(AND(164&gt;=$NR$13,164&lt;=$NS$13),IF($NP$13="Single_Point",IF(164=$NR$13,$NN$13,0),IF($NP$13="Bell_Curve",$NN$13*(164-$NR$13+1)*($NS$13-164+1)/$NU$13,$NN$13/$NT$13)),0)</f>
        <v/>
      </c>
      <c r="FM13" s="402">
        <f>IF(AND(165&gt;=$NR$13,165&lt;=$NS$13),IF($NP$13="Single_Point",IF(165=$NR$13,$NN$13,0),IF($NP$13="Bell_Curve",$NN$13*(165-$NR$13+1)*($NS$13-165+1)/$NU$13,$NN$13/$NT$13)),0)</f>
        <v/>
      </c>
      <c r="FN13" s="402">
        <f>IF(AND(166&gt;=$NR$13,166&lt;=$NS$13),IF($NP$13="Single_Point",IF(166=$NR$13,$NN$13,0),IF($NP$13="Bell_Curve",$NN$13*(166-$NR$13+1)*($NS$13-166+1)/$NU$13,$NN$13/$NT$13)),0)</f>
        <v/>
      </c>
      <c r="FO13" s="402">
        <f>IF(AND(167&gt;=$NR$13,167&lt;=$NS$13),IF($NP$13="Single_Point",IF(167=$NR$13,$NN$13,0),IF($NP$13="Bell_Curve",$NN$13*(167-$NR$13+1)*($NS$13-167+1)/$NU$13,$NN$13/$NT$13)),0)</f>
        <v/>
      </c>
      <c r="FP13" s="402">
        <f>IF(AND(168&gt;=$NR$13,168&lt;=$NS$13),IF($NP$13="Single_Point",IF(168=$NR$13,$NN$13,0),IF($NP$13="Bell_Curve",$NN$13*(168-$NR$13+1)*($NS$13-168+1)/$NU$13,$NN$13/$NT$13)),0)</f>
        <v/>
      </c>
      <c r="FQ13" s="402">
        <f>IF(AND(169&gt;=$NR$13,169&lt;=$NS$13),IF($NP$13="Single_Point",IF(169=$NR$13,$NN$13,0),IF($NP$13="Bell_Curve",$NN$13*(169-$NR$13+1)*($NS$13-169+1)/$NU$13,$NN$13/$NT$13)),0)</f>
        <v/>
      </c>
      <c r="FR13" s="402">
        <f>IF(AND(170&gt;=$NR$13,170&lt;=$NS$13),IF($NP$13="Single_Point",IF(170=$NR$13,$NN$13,0),IF($NP$13="Bell_Curve",$NN$13*(170-$NR$13+1)*($NS$13-170+1)/$NU$13,$NN$13/$NT$13)),0)</f>
        <v/>
      </c>
      <c r="FS13" s="402">
        <f>IF(AND(171&gt;=$NR$13,171&lt;=$NS$13),IF($NP$13="Single_Point",IF(171=$NR$13,$NN$13,0),IF($NP$13="Bell_Curve",$NN$13*(171-$NR$13+1)*($NS$13-171+1)/$NU$13,$NN$13/$NT$13)),0)</f>
        <v/>
      </c>
      <c r="FT13" s="402">
        <f>IF(AND(172&gt;=$NR$13,172&lt;=$NS$13),IF($NP$13="Single_Point",IF(172=$NR$13,$NN$13,0),IF($NP$13="Bell_Curve",$NN$13*(172-$NR$13+1)*($NS$13-172+1)/$NU$13,$NN$13/$NT$13)),0)</f>
        <v/>
      </c>
      <c r="FU13" s="402">
        <f>IF(AND(173&gt;=$NR$13,173&lt;=$NS$13),IF($NP$13="Single_Point",IF(173=$NR$13,$NN$13,0),IF($NP$13="Bell_Curve",$NN$13*(173-$NR$13+1)*($NS$13-173+1)/$NU$13,$NN$13/$NT$13)),0)</f>
        <v/>
      </c>
      <c r="FV13" s="402">
        <f>IF(AND(174&gt;=$NR$13,174&lt;=$NS$13),IF($NP$13="Single_Point",IF(174=$NR$13,$NN$13,0),IF($NP$13="Bell_Curve",$NN$13*(174-$NR$13+1)*($NS$13-174+1)/$NU$13,$NN$13/$NT$13)),0)</f>
        <v/>
      </c>
      <c r="FW13" s="402">
        <f>IF(AND(175&gt;=$NR$13,175&lt;=$NS$13),IF($NP$13="Single_Point",IF(175=$NR$13,$NN$13,0),IF($NP$13="Bell_Curve",$NN$13*(175-$NR$13+1)*($NS$13-175+1)/$NU$13,$NN$13/$NT$13)),0)</f>
        <v/>
      </c>
      <c r="FX13" s="402">
        <f>IF(AND(176&gt;=$NR$13,176&lt;=$NS$13),IF($NP$13="Single_Point",IF(176=$NR$13,$NN$13,0),IF($NP$13="Bell_Curve",$NN$13*(176-$NR$13+1)*($NS$13-176+1)/$NU$13,$NN$13/$NT$13)),0)</f>
        <v/>
      </c>
      <c r="FY13" s="402">
        <f>IF(AND(177&gt;=$NR$13,177&lt;=$NS$13),IF($NP$13="Single_Point",IF(177=$NR$13,$NN$13,0),IF($NP$13="Bell_Curve",$NN$13*(177-$NR$13+1)*($NS$13-177+1)/$NU$13,$NN$13/$NT$13)),0)</f>
        <v/>
      </c>
      <c r="FZ13" s="402">
        <f>IF(AND(178&gt;=$NR$13,178&lt;=$NS$13),IF($NP$13="Single_Point",IF(178=$NR$13,$NN$13,0),IF($NP$13="Bell_Curve",$NN$13*(178-$NR$13+1)*($NS$13-178+1)/$NU$13,$NN$13/$NT$13)),0)</f>
        <v/>
      </c>
      <c r="GA13" s="402">
        <f>IF(AND(179&gt;=$NR$13,179&lt;=$NS$13),IF($NP$13="Single_Point",IF(179=$NR$13,$NN$13,0),IF($NP$13="Bell_Curve",$NN$13*(179-$NR$13+1)*($NS$13-179+1)/$NU$13,$NN$13/$NT$13)),0)</f>
        <v/>
      </c>
      <c r="GB13" s="402">
        <f>IF(AND(180&gt;=$NR$13,180&lt;=$NS$13),IF($NP$13="Single_Point",IF(180=$NR$13,$NN$13,0),IF($NP$13="Bell_Curve",$NN$13*(180-$NR$13+1)*($NS$13-180+1)/$NU$13,$NN$13/$NT$13)),0)</f>
        <v/>
      </c>
      <c r="GC13" s="402">
        <f>IF(AND(181&gt;=$NR$13,181&lt;=$NS$13),IF($NP$13="Single_Point",IF(181=$NR$13,$NN$13,0),IF($NP$13="Bell_Curve",$NN$13*(181-$NR$13+1)*($NS$13-181+1)/$NU$13,$NN$13/$NT$13)),0)</f>
        <v/>
      </c>
      <c r="GD13" s="402">
        <f>IF(AND(182&gt;=$NR$13,182&lt;=$NS$13),IF($NP$13="Single_Point",IF(182=$NR$13,$NN$13,0),IF($NP$13="Bell_Curve",$NN$13*(182-$NR$13+1)*($NS$13-182+1)/$NU$13,$NN$13/$NT$13)),0)</f>
        <v/>
      </c>
      <c r="GE13" s="402">
        <f>IF(AND(183&gt;=$NR$13,183&lt;=$NS$13),IF($NP$13="Single_Point",IF(183=$NR$13,$NN$13,0),IF($NP$13="Bell_Curve",$NN$13*(183-$NR$13+1)*($NS$13-183+1)/$NU$13,$NN$13/$NT$13)),0)</f>
        <v/>
      </c>
      <c r="GF13" s="402">
        <f>IF(AND(184&gt;=$NR$13,184&lt;=$NS$13),IF($NP$13="Single_Point",IF(184=$NR$13,$NN$13,0),IF($NP$13="Bell_Curve",$NN$13*(184-$NR$13+1)*($NS$13-184+1)/$NU$13,$NN$13/$NT$13)),0)</f>
        <v/>
      </c>
      <c r="GG13" s="402">
        <f>IF(AND(185&gt;=$NR$13,185&lt;=$NS$13),IF($NP$13="Single_Point",IF(185=$NR$13,$NN$13,0),IF($NP$13="Bell_Curve",$NN$13*(185-$NR$13+1)*($NS$13-185+1)/$NU$13,$NN$13/$NT$13)),0)</f>
        <v/>
      </c>
      <c r="GH13" s="402">
        <f>IF(AND(186&gt;=$NR$13,186&lt;=$NS$13),IF($NP$13="Single_Point",IF(186=$NR$13,$NN$13,0),IF($NP$13="Bell_Curve",$NN$13*(186-$NR$13+1)*($NS$13-186+1)/$NU$13,$NN$13/$NT$13)),0)</f>
        <v/>
      </c>
      <c r="GI13" s="402">
        <f>IF(AND(187&gt;=$NR$13,187&lt;=$NS$13),IF($NP$13="Single_Point",IF(187=$NR$13,$NN$13,0),IF($NP$13="Bell_Curve",$NN$13*(187-$NR$13+1)*($NS$13-187+1)/$NU$13,$NN$13/$NT$13)),0)</f>
        <v/>
      </c>
      <c r="GJ13" s="402">
        <f>IF(AND(188&gt;=$NR$13,188&lt;=$NS$13),IF($NP$13="Single_Point",IF(188=$NR$13,$NN$13,0),IF($NP$13="Bell_Curve",$NN$13*(188-$NR$13+1)*($NS$13-188+1)/$NU$13,$NN$13/$NT$13)),0)</f>
        <v/>
      </c>
      <c r="GK13" s="402">
        <f>IF(AND(189&gt;=$NR$13,189&lt;=$NS$13),IF($NP$13="Single_Point",IF(189=$NR$13,$NN$13,0),IF($NP$13="Bell_Curve",$NN$13*(189-$NR$13+1)*($NS$13-189+1)/$NU$13,$NN$13/$NT$13)),0)</f>
        <v/>
      </c>
      <c r="GL13" s="402">
        <f>IF(AND(190&gt;=$NR$13,190&lt;=$NS$13),IF($NP$13="Single_Point",IF(190=$NR$13,$NN$13,0),IF($NP$13="Bell_Curve",$NN$13*(190-$NR$13+1)*($NS$13-190+1)/$NU$13,$NN$13/$NT$13)),0)</f>
        <v/>
      </c>
      <c r="GM13" s="402">
        <f>IF(AND(191&gt;=$NR$13,191&lt;=$NS$13),IF($NP$13="Single_Point",IF(191=$NR$13,$NN$13,0),IF($NP$13="Bell_Curve",$NN$13*(191-$NR$13+1)*($NS$13-191+1)/$NU$13,$NN$13/$NT$13)),0)</f>
        <v/>
      </c>
      <c r="GN13" s="402">
        <f>IF(AND(192&gt;=$NR$13,192&lt;=$NS$13),IF($NP$13="Single_Point",IF(192=$NR$13,$NN$13,0),IF($NP$13="Bell_Curve",$NN$13*(192-$NR$13+1)*($NS$13-192+1)/$NU$13,$NN$13/$NT$13)),0)</f>
        <v/>
      </c>
      <c r="GO13" s="402">
        <f>IF(AND(193&gt;=$NR$13,193&lt;=$NS$13),IF($NP$13="Single_Point",IF(193=$NR$13,$NN$13,0),IF($NP$13="Bell_Curve",$NN$13*(193-$NR$13+1)*($NS$13-193+1)/$NU$13,$NN$13/$NT$13)),0)</f>
        <v/>
      </c>
      <c r="GP13" s="402">
        <f>IF(AND(194&gt;=$NR$13,194&lt;=$NS$13),IF($NP$13="Single_Point",IF(194=$NR$13,$NN$13,0),IF($NP$13="Bell_Curve",$NN$13*(194-$NR$13+1)*($NS$13-194+1)/$NU$13,$NN$13/$NT$13)),0)</f>
        <v/>
      </c>
      <c r="GQ13" s="402">
        <f>IF(AND(195&gt;=$NR$13,195&lt;=$NS$13),IF($NP$13="Single_Point",IF(195=$NR$13,$NN$13,0),IF($NP$13="Bell_Curve",$NN$13*(195-$NR$13+1)*($NS$13-195+1)/$NU$13,$NN$13/$NT$13)),0)</f>
        <v/>
      </c>
      <c r="GR13" s="402">
        <f>IF(AND(196&gt;=$NR$13,196&lt;=$NS$13),IF($NP$13="Single_Point",IF(196=$NR$13,$NN$13,0),IF($NP$13="Bell_Curve",$NN$13*(196-$NR$13+1)*($NS$13-196+1)/$NU$13,$NN$13/$NT$13)),0)</f>
        <v/>
      </c>
      <c r="GS13" s="402">
        <f>IF(AND(197&gt;=$NR$13,197&lt;=$NS$13),IF($NP$13="Single_Point",IF(197=$NR$13,$NN$13,0),IF($NP$13="Bell_Curve",$NN$13*(197-$NR$13+1)*($NS$13-197+1)/$NU$13,$NN$13/$NT$13)),0)</f>
        <v/>
      </c>
      <c r="GT13" s="402">
        <f>IF(AND(198&gt;=$NR$13,198&lt;=$NS$13),IF($NP$13="Single_Point",IF(198=$NR$13,$NN$13,0),IF($NP$13="Bell_Curve",$NN$13*(198-$NR$13+1)*($NS$13-198+1)/$NU$13,$NN$13/$NT$13)),0)</f>
        <v/>
      </c>
      <c r="GU13" s="402">
        <f>IF(AND(199&gt;=$NR$13,199&lt;=$NS$13),IF($NP$13="Single_Point",IF(199=$NR$13,$NN$13,0),IF($NP$13="Bell_Curve",$NN$13*(199-$NR$13+1)*($NS$13-199+1)/$NU$13,$NN$13/$NT$13)),0)</f>
        <v/>
      </c>
      <c r="GV13" s="402">
        <f>IF(AND(200&gt;=$NR$13,200&lt;=$NS$13),IF($NP$13="Single_Point",IF(200=$NR$13,$NN$13,0),IF($NP$13="Bell_Curve",$NN$13*(200-$NR$13+1)*($NS$13-200+1)/$NU$13,$NN$13/$NT$13)),0)</f>
        <v/>
      </c>
      <c r="GW13" s="402">
        <f>IF(AND(201&gt;=$NR$13,201&lt;=$NS$13),IF($NP$13="Single_Point",IF(201=$NR$13,$NN$13,0),IF($NP$13="Bell_Curve",$NN$13*(201-$NR$13+1)*($NS$13-201+1)/$NU$13,$NN$13/$NT$13)),0)</f>
        <v/>
      </c>
      <c r="GX13" s="402">
        <f>IF(AND(202&gt;=$NR$13,202&lt;=$NS$13),IF($NP$13="Single_Point",IF(202=$NR$13,$NN$13,0),IF($NP$13="Bell_Curve",$NN$13*(202-$NR$13+1)*($NS$13-202+1)/$NU$13,$NN$13/$NT$13)),0)</f>
        <v/>
      </c>
      <c r="GY13" s="402">
        <f>IF(AND(203&gt;=$NR$13,203&lt;=$NS$13),IF($NP$13="Single_Point",IF(203=$NR$13,$NN$13,0),IF($NP$13="Bell_Curve",$NN$13*(203-$NR$13+1)*($NS$13-203+1)/$NU$13,$NN$13/$NT$13)),0)</f>
        <v/>
      </c>
      <c r="GZ13" s="402">
        <f>IF(AND(204&gt;=$NR$13,204&lt;=$NS$13),IF($NP$13="Single_Point",IF(204=$NR$13,$NN$13,0),IF($NP$13="Bell_Curve",$NN$13*(204-$NR$13+1)*($NS$13-204+1)/$NU$13,$NN$13/$NT$13)),0)</f>
        <v/>
      </c>
      <c r="HA13" s="402">
        <f>IF(AND(205&gt;=$NR$13,205&lt;=$NS$13),IF($NP$13="Single_Point",IF(205=$NR$13,$NN$13,0),IF($NP$13="Bell_Curve",$NN$13*(205-$NR$13+1)*($NS$13-205+1)/$NU$13,$NN$13/$NT$13)),0)</f>
        <v/>
      </c>
      <c r="HB13" s="402">
        <f>IF(AND(206&gt;=$NR$13,206&lt;=$NS$13),IF($NP$13="Single_Point",IF(206=$NR$13,$NN$13,0),IF($NP$13="Bell_Curve",$NN$13*(206-$NR$13+1)*($NS$13-206+1)/$NU$13,$NN$13/$NT$13)),0)</f>
        <v/>
      </c>
      <c r="HC13" s="402">
        <f>IF(AND(207&gt;=$NR$13,207&lt;=$NS$13),IF($NP$13="Single_Point",IF(207=$NR$13,$NN$13,0),IF($NP$13="Bell_Curve",$NN$13*(207-$NR$13+1)*($NS$13-207+1)/$NU$13,$NN$13/$NT$13)),0)</f>
        <v/>
      </c>
      <c r="HD13" s="402">
        <f>IF(AND(208&gt;=$NR$13,208&lt;=$NS$13),IF($NP$13="Single_Point",IF(208=$NR$13,$NN$13,0),IF($NP$13="Bell_Curve",$NN$13*(208-$NR$13+1)*($NS$13-208+1)/$NU$13,$NN$13/$NT$13)),0)</f>
        <v/>
      </c>
      <c r="HE13" s="402">
        <f>IF(AND(209&gt;=$NR$13,209&lt;=$NS$13),IF($NP$13="Single_Point",IF(209=$NR$13,$NN$13,0),IF($NP$13="Bell_Curve",$NN$13*(209-$NR$13+1)*($NS$13-209+1)/$NU$13,$NN$13/$NT$13)),0)</f>
        <v/>
      </c>
      <c r="HF13" s="402">
        <f>IF(AND(210&gt;=$NR$13,210&lt;=$NS$13),IF($NP$13="Single_Point",IF(210=$NR$13,$NN$13,0),IF($NP$13="Bell_Curve",$NN$13*(210-$NR$13+1)*($NS$13-210+1)/$NU$13,$NN$13/$NT$13)),0)</f>
        <v/>
      </c>
      <c r="HG13" s="402">
        <f>IF(AND(211&gt;=$NR$13,211&lt;=$NS$13),IF($NP$13="Single_Point",IF(211=$NR$13,$NN$13,0),IF($NP$13="Bell_Curve",$NN$13*(211-$NR$13+1)*($NS$13-211+1)/$NU$13,$NN$13/$NT$13)),0)</f>
        <v/>
      </c>
      <c r="HH13" s="402">
        <f>IF(AND(212&gt;=$NR$13,212&lt;=$NS$13),IF($NP$13="Single_Point",IF(212=$NR$13,$NN$13,0),IF($NP$13="Bell_Curve",$NN$13*(212-$NR$13+1)*($NS$13-212+1)/$NU$13,$NN$13/$NT$13)),0)</f>
        <v/>
      </c>
      <c r="HI13" s="402">
        <f>IF(AND(213&gt;=$NR$13,213&lt;=$NS$13),IF($NP$13="Single_Point",IF(213=$NR$13,$NN$13,0),IF($NP$13="Bell_Curve",$NN$13*(213-$NR$13+1)*($NS$13-213+1)/$NU$13,$NN$13/$NT$13)),0)</f>
        <v/>
      </c>
      <c r="HJ13" s="402">
        <f>IF(AND(214&gt;=$NR$13,214&lt;=$NS$13),IF($NP$13="Single_Point",IF(214=$NR$13,$NN$13,0),IF($NP$13="Bell_Curve",$NN$13*(214-$NR$13+1)*($NS$13-214+1)/$NU$13,$NN$13/$NT$13)),0)</f>
        <v/>
      </c>
      <c r="HK13" s="402">
        <f>IF(AND(215&gt;=$NR$13,215&lt;=$NS$13),IF($NP$13="Single_Point",IF(215=$NR$13,$NN$13,0),IF($NP$13="Bell_Curve",$NN$13*(215-$NR$13+1)*($NS$13-215+1)/$NU$13,$NN$13/$NT$13)),0)</f>
        <v/>
      </c>
      <c r="HL13" s="402">
        <f>IF(AND(216&gt;=$NR$13,216&lt;=$NS$13),IF($NP$13="Single_Point",IF(216=$NR$13,$NN$13,0),IF($NP$13="Bell_Curve",$NN$13*(216-$NR$13+1)*($NS$13-216+1)/$NU$13,$NN$13/$NT$13)),0)</f>
        <v/>
      </c>
      <c r="HM13" s="402">
        <f>IF(AND(217&gt;=$NR$13,217&lt;=$NS$13),IF($NP$13="Single_Point",IF(217=$NR$13,$NN$13,0),IF($NP$13="Bell_Curve",$NN$13*(217-$NR$13+1)*($NS$13-217+1)/$NU$13,$NN$13/$NT$13)),0)</f>
        <v/>
      </c>
      <c r="HN13" s="402">
        <f>IF(AND(218&gt;=$NR$13,218&lt;=$NS$13),IF($NP$13="Single_Point",IF(218=$NR$13,$NN$13,0),IF($NP$13="Bell_Curve",$NN$13*(218-$NR$13+1)*($NS$13-218+1)/$NU$13,$NN$13/$NT$13)),0)</f>
        <v/>
      </c>
      <c r="HO13" s="402">
        <f>IF(AND(219&gt;=$NR$13,219&lt;=$NS$13),IF($NP$13="Single_Point",IF(219=$NR$13,$NN$13,0),IF($NP$13="Bell_Curve",$NN$13*(219-$NR$13+1)*($NS$13-219+1)/$NU$13,$NN$13/$NT$13)),0)</f>
        <v/>
      </c>
      <c r="HP13" s="402">
        <f>IF(AND(220&gt;=$NR$13,220&lt;=$NS$13),IF($NP$13="Single_Point",IF(220=$NR$13,$NN$13,0),IF($NP$13="Bell_Curve",$NN$13*(220-$NR$13+1)*($NS$13-220+1)/$NU$13,$NN$13/$NT$13)),0)</f>
        <v/>
      </c>
      <c r="HQ13" s="402">
        <f>IF(AND(221&gt;=$NR$13,221&lt;=$NS$13),IF($NP$13="Single_Point",IF(221=$NR$13,$NN$13,0),IF($NP$13="Bell_Curve",$NN$13*(221-$NR$13+1)*($NS$13-221+1)/$NU$13,$NN$13/$NT$13)),0)</f>
        <v/>
      </c>
      <c r="HR13" s="402">
        <f>IF(AND(222&gt;=$NR$13,222&lt;=$NS$13),IF($NP$13="Single_Point",IF(222=$NR$13,$NN$13,0),IF($NP$13="Bell_Curve",$NN$13*(222-$NR$13+1)*($NS$13-222+1)/$NU$13,$NN$13/$NT$13)),0)</f>
        <v/>
      </c>
      <c r="HS13" s="402">
        <f>IF(AND(223&gt;=$NR$13,223&lt;=$NS$13),IF($NP$13="Single_Point",IF(223=$NR$13,$NN$13,0),IF($NP$13="Bell_Curve",$NN$13*(223-$NR$13+1)*($NS$13-223+1)/$NU$13,$NN$13/$NT$13)),0)</f>
        <v/>
      </c>
      <c r="HT13" s="402">
        <f>IF(AND(224&gt;=$NR$13,224&lt;=$NS$13),IF($NP$13="Single_Point",IF(224=$NR$13,$NN$13,0),IF($NP$13="Bell_Curve",$NN$13*(224-$NR$13+1)*($NS$13-224+1)/$NU$13,$NN$13/$NT$13)),0)</f>
        <v/>
      </c>
      <c r="HU13" s="402">
        <f>IF(AND(225&gt;=$NR$13,225&lt;=$NS$13),IF($NP$13="Single_Point",IF(225=$NR$13,$NN$13,0),IF($NP$13="Bell_Curve",$NN$13*(225-$NR$13+1)*($NS$13-225+1)/$NU$13,$NN$13/$NT$13)),0)</f>
        <v/>
      </c>
      <c r="HV13" s="402">
        <f>IF(AND(226&gt;=$NR$13,226&lt;=$NS$13),IF($NP$13="Single_Point",IF(226=$NR$13,$NN$13,0),IF($NP$13="Bell_Curve",$NN$13*(226-$NR$13+1)*($NS$13-226+1)/$NU$13,$NN$13/$NT$13)),0)</f>
        <v/>
      </c>
      <c r="HW13" s="402">
        <f>IF(AND(227&gt;=$NR$13,227&lt;=$NS$13),IF($NP$13="Single_Point",IF(227=$NR$13,$NN$13,0),IF($NP$13="Bell_Curve",$NN$13*(227-$NR$13+1)*($NS$13-227+1)/$NU$13,$NN$13/$NT$13)),0)</f>
        <v/>
      </c>
      <c r="HX13" s="402">
        <f>IF(AND(228&gt;=$NR$13,228&lt;=$NS$13),IF($NP$13="Single_Point",IF(228=$NR$13,$NN$13,0),IF($NP$13="Bell_Curve",$NN$13*(228-$NR$13+1)*($NS$13-228+1)/$NU$13,$NN$13/$NT$13)),0)</f>
        <v/>
      </c>
      <c r="HY13" s="402">
        <f>IF(AND(229&gt;=$NR$13,229&lt;=$NS$13),IF($NP$13="Single_Point",IF(229=$NR$13,$NN$13,0),IF($NP$13="Bell_Curve",$NN$13*(229-$NR$13+1)*($NS$13-229+1)/$NU$13,$NN$13/$NT$13)),0)</f>
        <v/>
      </c>
      <c r="HZ13" s="402">
        <f>IF(AND(230&gt;=$NR$13,230&lt;=$NS$13),IF($NP$13="Single_Point",IF(230=$NR$13,$NN$13,0),IF($NP$13="Bell_Curve",$NN$13*(230-$NR$13+1)*($NS$13-230+1)/$NU$13,$NN$13/$NT$13)),0)</f>
        <v/>
      </c>
      <c r="IA13" s="402">
        <f>IF(AND(231&gt;=$NR$13,231&lt;=$NS$13),IF($NP$13="Single_Point",IF(231=$NR$13,$NN$13,0),IF($NP$13="Bell_Curve",$NN$13*(231-$NR$13+1)*($NS$13-231+1)/$NU$13,$NN$13/$NT$13)),0)</f>
        <v/>
      </c>
      <c r="IB13" s="402">
        <f>IF(AND(232&gt;=$NR$13,232&lt;=$NS$13),IF($NP$13="Single_Point",IF(232=$NR$13,$NN$13,0),IF($NP$13="Bell_Curve",$NN$13*(232-$NR$13+1)*($NS$13-232+1)/$NU$13,$NN$13/$NT$13)),0)</f>
        <v/>
      </c>
      <c r="IC13" s="402">
        <f>IF(AND(233&gt;=$NR$13,233&lt;=$NS$13),IF($NP$13="Single_Point",IF(233=$NR$13,$NN$13,0),IF($NP$13="Bell_Curve",$NN$13*(233-$NR$13+1)*($NS$13-233+1)/$NU$13,$NN$13/$NT$13)),0)</f>
        <v/>
      </c>
      <c r="ID13" s="402">
        <f>IF(AND(234&gt;=$NR$13,234&lt;=$NS$13),IF($NP$13="Single_Point",IF(234=$NR$13,$NN$13,0),IF($NP$13="Bell_Curve",$NN$13*(234-$NR$13+1)*($NS$13-234+1)/$NU$13,$NN$13/$NT$13)),0)</f>
        <v/>
      </c>
      <c r="IE13" s="402">
        <f>IF(AND(235&gt;=$NR$13,235&lt;=$NS$13),IF($NP$13="Single_Point",IF(235=$NR$13,$NN$13,0),IF($NP$13="Bell_Curve",$NN$13*(235-$NR$13+1)*($NS$13-235+1)/$NU$13,$NN$13/$NT$13)),0)</f>
        <v/>
      </c>
      <c r="IF13" s="402">
        <f>IF(AND(236&gt;=$NR$13,236&lt;=$NS$13),IF($NP$13="Single_Point",IF(236=$NR$13,$NN$13,0),IF($NP$13="Bell_Curve",$NN$13*(236-$NR$13+1)*($NS$13-236+1)/$NU$13,$NN$13/$NT$13)),0)</f>
        <v/>
      </c>
      <c r="IG13" s="402">
        <f>IF(AND(237&gt;=$NR$13,237&lt;=$NS$13),IF($NP$13="Single_Point",IF(237=$NR$13,$NN$13,0),IF($NP$13="Bell_Curve",$NN$13*(237-$NR$13+1)*($NS$13-237+1)/$NU$13,$NN$13/$NT$13)),0)</f>
        <v/>
      </c>
      <c r="IH13" s="402">
        <f>IF(AND(238&gt;=$NR$13,238&lt;=$NS$13),IF($NP$13="Single_Point",IF(238=$NR$13,$NN$13,0),IF($NP$13="Bell_Curve",$NN$13*(238-$NR$13+1)*($NS$13-238+1)/$NU$13,$NN$13/$NT$13)),0)</f>
        <v/>
      </c>
      <c r="II13" s="402">
        <f>IF(AND(239&gt;=$NR$13,239&lt;=$NS$13),IF($NP$13="Single_Point",IF(239=$NR$13,$NN$13,0),IF($NP$13="Bell_Curve",$NN$13*(239-$NR$13+1)*($NS$13-239+1)/$NU$13,$NN$13/$NT$13)),0)</f>
        <v/>
      </c>
      <c r="IJ13" s="402">
        <f>IF(AND(240&gt;=$NR$13,240&lt;=$NS$13),IF($NP$13="Single_Point",IF(240=$NR$13,$NN$13,0),IF($NP$13="Bell_Curve",$NN$13*(240-$NR$13+1)*($NS$13-240+1)/$NU$13,$NN$13/$NT$13)),0)</f>
        <v/>
      </c>
      <c r="IK13" s="402">
        <f>IF(AND(241&gt;=$NR$13,241&lt;=$NS$13),IF($NP$13="Single_Point",IF(241=$NR$13,$NN$13,0),IF($NP$13="Bell_Curve",$NN$13*(241-$NR$13+1)*($NS$13-241+1)/$NU$13,$NN$13/$NT$13)),0)</f>
        <v/>
      </c>
      <c r="IL13" s="402">
        <f>IF(AND(242&gt;=$NR$13,242&lt;=$NS$13),IF($NP$13="Single_Point",IF(242=$NR$13,$NN$13,0),IF($NP$13="Bell_Curve",$NN$13*(242-$NR$13+1)*($NS$13-242+1)/$NU$13,$NN$13/$NT$13)),0)</f>
        <v/>
      </c>
      <c r="IM13" s="402">
        <f>IF(AND(243&gt;=$NR$13,243&lt;=$NS$13),IF($NP$13="Single_Point",IF(243=$NR$13,$NN$13,0),IF($NP$13="Bell_Curve",$NN$13*(243-$NR$13+1)*($NS$13-243+1)/$NU$13,$NN$13/$NT$13)),0)</f>
        <v/>
      </c>
      <c r="IN13" s="402">
        <f>IF(AND(244&gt;=$NR$13,244&lt;=$NS$13),IF($NP$13="Single_Point",IF(244=$NR$13,$NN$13,0),IF($NP$13="Bell_Curve",$NN$13*(244-$NR$13+1)*($NS$13-244+1)/$NU$13,$NN$13/$NT$13)),0)</f>
        <v/>
      </c>
      <c r="IO13" s="402">
        <f>IF(AND(245&gt;=$NR$13,245&lt;=$NS$13),IF($NP$13="Single_Point",IF(245=$NR$13,$NN$13,0),IF($NP$13="Bell_Curve",$NN$13*(245-$NR$13+1)*($NS$13-245+1)/$NU$13,$NN$13/$NT$13)),0)</f>
        <v/>
      </c>
      <c r="IP13" s="402">
        <f>IF(AND(246&gt;=$NR$13,246&lt;=$NS$13),IF($NP$13="Single_Point",IF(246=$NR$13,$NN$13,0),IF($NP$13="Bell_Curve",$NN$13*(246-$NR$13+1)*($NS$13-246+1)/$NU$13,$NN$13/$NT$13)),0)</f>
        <v/>
      </c>
      <c r="IQ13" s="402">
        <f>IF(AND(247&gt;=$NR$13,247&lt;=$NS$13),IF($NP$13="Single_Point",IF(247=$NR$13,$NN$13,0),IF($NP$13="Bell_Curve",$NN$13*(247-$NR$13+1)*($NS$13-247+1)/$NU$13,$NN$13/$NT$13)),0)</f>
        <v/>
      </c>
      <c r="IR13" s="402">
        <f>IF(AND(248&gt;=$NR$13,248&lt;=$NS$13),IF($NP$13="Single_Point",IF(248=$NR$13,$NN$13,0),IF($NP$13="Bell_Curve",$NN$13*(248-$NR$13+1)*($NS$13-248+1)/$NU$13,$NN$13/$NT$13)),0)</f>
        <v/>
      </c>
      <c r="IS13" s="402">
        <f>IF(AND(249&gt;=$NR$13,249&lt;=$NS$13),IF($NP$13="Single_Point",IF(249=$NR$13,$NN$13,0),IF($NP$13="Bell_Curve",$NN$13*(249-$NR$13+1)*($NS$13-249+1)/$NU$13,$NN$13/$NT$13)),0)</f>
        <v/>
      </c>
      <c r="IT13" s="402">
        <f>IF(AND(250&gt;=$NR$13,250&lt;=$NS$13),IF($NP$13="Single_Point",IF(250=$NR$13,$NN$13,0),IF($NP$13="Bell_Curve",$NN$13*(250-$NR$13+1)*($NS$13-250+1)/$NU$13,$NN$13/$NT$13)),0)</f>
        <v/>
      </c>
      <c r="IU13" s="402">
        <f>IF(AND(251&gt;=$NR$13,251&lt;=$NS$13),IF($NP$13="Single_Point",IF(251=$NR$13,$NN$13,0),IF($NP$13="Bell_Curve",$NN$13*(251-$NR$13+1)*($NS$13-251+1)/$NU$13,$NN$13/$NT$13)),0)</f>
        <v/>
      </c>
      <c r="IV13" s="402">
        <f>IF(AND(252&gt;=$NR$13,252&lt;=$NS$13),IF($NP$13="Single_Point",IF(252=$NR$13,$NN$13,0),IF($NP$13="Bell_Curve",$NN$13*(252-$NR$13+1)*($NS$13-252+1)/$NU$13,$NN$13/$NT$13)),0)</f>
        <v/>
      </c>
      <c r="IW13" s="402">
        <f>IF(AND(253&gt;=$NR$13,253&lt;=$NS$13),IF($NP$13="Single_Point",IF(253=$NR$13,$NN$13,0),IF($NP$13="Bell_Curve",$NN$13*(253-$NR$13+1)*($NS$13-253+1)/$NU$13,$NN$13/$NT$13)),0)</f>
        <v/>
      </c>
      <c r="IX13" s="402">
        <f>IF(AND(254&gt;=$NR$13,254&lt;=$NS$13),IF($NP$13="Single_Point",IF(254=$NR$13,$NN$13,0),IF($NP$13="Bell_Curve",$NN$13*(254-$NR$13+1)*($NS$13-254+1)/$NU$13,$NN$13/$NT$13)),0)</f>
        <v/>
      </c>
      <c r="IY13" s="402">
        <f>IF(AND(255&gt;=$NR$13,255&lt;=$NS$13),IF($NP$13="Single_Point",IF(255=$NR$13,$NN$13,0),IF($NP$13="Bell_Curve",$NN$13*(255-$NR$13+1)*($NS$13-255+1)/$NU$13,$NN$13/$NT$13)),0)</f>
        <v/>
      </c>
      <c r="IZ13" s="402">
        <f>IF(AND(256&gt;=$NR$13,256&lt;=$NS$13),IF($NP$13="Single_Point",IF(256=$NR$13,$NN$13,0),IF($NP$13="Bell_Curve",$NN$13*(256-$NR$13+1)*($NS$13-256+1)/$NU$13,$NN$13/$NT$13)),0)</f>
        <v/>
      </c>
      <c r="JA13" s="402">
        <f>IF(AND(257&gt;=$NR$13,257&lt;=$NS$13),IF($NP$13="Single_Point",IF(257=$NR$13,$NN$13,0),IF($NP$13="Bell_Curve",$NN$13*(257-$NR$13+1)*($NS$13-257+1)/$NU$13,$NN$13/$NT$13)),0)</f>
        <v/>
      </c>
      <c r="JB13" s="402">
        <f>IF(AND(258&gt;=$NR$13,258&lt;=$NS$13),IF($NP$13="Single_Point",IF(258=$NR$13,$NN$13,0),IF($NP$13="Bell_Curve",$NN$13*(258-$NR$13+1)*($NS$13-258+1)/$NU$13,$NN$13/$NT$13)),0)</f>
        <v/>
      </c>
      <c r="JC13" s="402">
        <f>IF(AND(259&gt;=$NR$13,259&lt;=$NS$13),IF($NP$13="Single_Point",IF(259=$NR$13,$NN$13,0),IF($NP$13="Bell_Curve",$NN$13*(259-$NR$13+1)*($NS$13-259+1)/$NU$13,$NN$13/$NT$13)),0)</f>
        <v/>
      </c>
      <c r="JD13" s="402">
        <f>IF(AND(260&gt;=$NR$13,260&lt;=$NS$13),IF($NP$13="Single_Point",IF(260=$NR$13,$NN$13,0),IF($NP$13="Bell_Curve",$NN$13*(260-$NR$13+1)*($NS$13-260+1)/$NU$13,$NN$13/$NT$13)),0)</f>
        <v/>
      </c>
      <c r="JE13" s="402">
        <f>IF(AND(261&gt;=$NR$13,261&lt;=$NS$13),IF($NP$13="Single_Point",IF(261=$NR$13,$NN$13,0),IF($NP$13="Bell_Curve",$NN$13*(261-$NR$13+1)*($NS$13-261+1)/$NU$13,$NN$13/$NT$13)),0)</f>
        <v/>
      </c>
      <c r="JF13" s="402">
        <f>IF(AND(262&gt;=$NR$13,262&lt;=$NS$13),IF($NP$13="Single_Point",IF(262=$NR$13,$NN$13,0),IF($NP$13="Bell_Curve",$NN$13*(262-$NR$13+1)*($NS$13-262+1)/$NU$13,$NN$13/$NT$13)),0)</f>
        <v/>
      </c>
      <c r="JG13" s="402">
        <f>IF(AND(263&gt;=$NR$13,263&lt;=$NS$13),IF($NP$13="Single_Point",IF(263=$NR$13,$NN$13,0),IF($NP$13="Bell_Curve",$NN$13*(263-$NR$13+1)*($NS$13-263+1)/$NU$13,$NN$13/$NT$13)),0)</f>
        <v/>
      </c>
      <c r="JH13" s="402">
        <f>IF(AND(264&gt;=$NR$13,264&lt;=$NS$13),IF($NP$13="Single_Point",IF(264=$NR$13,$NN$13,0),IF($NP$13="Bell_Curve",$NN$13*(264-$NR$13+1)*($NS$13-264+1)/$NU$13,$NN$13/$NT$13)),0)</f>
        <v/>
      </c>
      <c r="JI13" s="402">
        <f>IF(AND(265&gt;=$NR$13,265&lt;=$NS$13),IF($NP$13="Single_Point",IF(265=$NR$13,$NN$13,0),IF($NP$13="Bell_Curve",$NN$13*(265-$NR$13+1)*($NS$13-265+1)/$NU$13,$NN$13/$NT$13)),0)</f>
        <v/>
      </c>
      <c r="JJ13" s="402">
        <f>IF(AND(266&gt;=$NR$13,266&lt;=$NS$13),IF($NP$13="Single_Point",IF(266=$NR$13,$NN$13,0),IF($NP$13="Bell_Curve",$NN$13*(266-$NR$13+1)*($NS$13-266+1)/$NU$13,$NN$13/$NT$13)),0)</f>
        <v/>
      </c>
      <c r="JK13" s="402">
        <f>IF(AND(267&gt;=$NR$13,267&lt;=$NS$13),IF($NP$13="Single_Point",IF(267=$NR$13,$NN$13,0),IF($NP$13="Bell_Curve",$NN$13*(267-$NR$13+1)*($NS$13-267+1)/$NU$13,$NN$13/$NT$13)),0)</f>
        <v/>
      </c>
      <c r="JL13" s="402">
        <f>IF(AND(268&gt;=$NR$13,268&lt;=$NS$13),IF($NP$13="Single_Point",IF(268=$NR$13,$NN$13,0),IF($NP$13="Bell_Curve",$NN$13*(268-$NR$13+1)*($NS$13-268+1)/$NU$13,$NN$13/$NT$13)),0)</f>
        <v/>
      </c>
      <c r="JM13" s="402">
        <f>IF(AND(269&gt;=$NR$13,269&lt;=$NS$13),IF($NP$13="Single_Point",IF(269=$NR$13,$NN$13,0),IF($NP$13="Bell_Curve",$NN$13*(269-$NR$13+1)*($NS$13-269+1)/$NU$13,$NN$13/$NT$13)),0)</f>
        <v/>
      </c>
      <c r="JN13" s="402">
        <f>IF(AND(270&gt;=$NR$13,270&lt;=$NS$13),IF($NP$13="Single_Point",IF(270=$NR$13,$NN$13,0),IF($NP$13="Bell_Curve",$NN$13*(270-$NR$13+1)*($NS$13-270+1)/$NU$13,$NN$13/$NT$13)),0)</f>
        <v/>
      </c>
      <c r="JO13" s="402">
        <f>IF(AND(271&gt;=$NR$13,271&lt;=$NS$13),IF($NP$13="Single_Point",IF(271=$NR$13,$NN$13,0),IF($NP$13="Bell_Curve",$NN$13*(271-$NR$13+1)*($NS$13-271+1)/$NU$13,$NN$13/$NT$13)),0)</f>
        <v/>
      </c>
      <c r="JP13" s="402">
        <f>IF(AND(272&gt;=$NR$13,272&lt;=$NS$13),IF($NP$13="Single_Point",IF(272=$NR$13,$NN$13,0),IF($NP$13="Bell_Curve",$NN$13*(272-$NR$13+1)*($NS$13-272+1)/$NU$13,$NN$13/$NT$13)),0)</f>
        <v/>
      </c>
      <c r="JQ13" s="402">
        <f>IF(AND(273&gt;=$NR$13,273&lt;=$NS$13),IF($NP$13="Single_Point",IF(273=$NR$13,$NN$13,0),IF($NP$13="Bell_Curve",$NN$13*(273-$NR$13+1)*($NS$13-273+1)/$NU$13,$NN$13/$NT$13)),0)</f>
        <v/>
      </c>
      <c r="JR13" s="402">
        <f>IF(AND(274&gt;=$NR$13,274&lt;=$NS$13),IF($NP$13="Single_Point",IF(274=$NR$13,$NN$13,0),IF($NP$13="Bell_Curve",$NN$13*(274-$NR$13+1)*($NS$13-274+1)/$NU$13,$NN$13/$NT$13)),0)</f>
        <v/>
      </c>
      <c r="JS13" s="402">
        <f>IF(AND(275&gt;=$NR$13,275&lt;=$NS$13),IF($NP$13="Single_Point",IF(275=$NR$13,$NN$13,0),IF($NP$13="Bell_Curve",$NN$13*(275-$NR$13+1)*($NS$13-275+1)/$NU$13,$NN$13/$NT$13)),0)</f>
        <v/>
      </c>
      <c r="JT13" s="402">
        <f>IF(AND(276&gt;=$NR$13,276&lt;=$NS$13),IF($NP$13="Single_Point",IF(276=$NR$13,$NN$13,0),IF($NP$13="Bell_Curve",$NN$13*(276-$NR$13+1)*($NS$13-276+1)/$NU$13,$NN$13/$NT$13)),0)</f>
        <v/>
      </c>
      <c r="JU13" s="402">
        <f>IF(AND(277&gt;=$NR$13,277&lt;=$NS$13),IF($NP$13="Single_Point",IF(277=$NR$13,$NN$13,0),IF($NP$13="Bell_Curve",$NN$13*(277-$NR$13+1)*($NS$13-277+1)/$NU$13,$NN$13/$NT$13)),0)</f>
        <v/>
      </c>
      <c r="JV13" s="402">
        <f>IF(AND(278&gt;=$NR$13,278&lt;=$NS$13),IF($NP$13="Single_Point",IF(278=$NR$13,$NN$13,0),IF($NP$13="Bell_Curve",$NN$13*(278-$NR$13+1)*($NS$13-278+1)/$NU$13,$NN$13/$NT$13)),0)</f>
        <v/>
      </c>
      <c r="JW13" s="402">
        <f>IF(AND(279&gt;=$NR$13,279&lt;=$NS$13),IF($NP$13="Single_Point",IF(279=$NR$13,$NN$13,0),IF($NP$13="Bell_Curve",$NN$13*(279-$NR$13+1)*($NS$13-279+1)/$NU$13,$NN$13/$NT$13)),0)</f>
        <v/>
      </c>
      <c r="JX13" s="402">
        <f>IF(AND(280&gt;=$NR$13,280&lt;=$NS$13),IF($NP$13="Single_Point",IF(280=$NR$13,$NN$13,0),IF($NP$13="Bell_Curve",$NN$13*(280-$NR$13+1)*($NS$13-280+1)/$NU$13,$NN$13/$NT$13)),0)</f>
        <v/>
      </c>
      <c r="JY13" s="402">
        <f>IF(AND(281&gt;=$NR$13,281&lt;=$NS$13),IF($NP$13="Single_Point",IF(281=$NR$13,$NN$13,0),IF($NP$13="Bell_Curve",$NN$13*(281-$NR$13+1)*($NS$13-281+1)/$NU$13,$NN$13/$NT$13)),0)</f>
        <v/>
      </c>
      <c r="JZ13" s="402">
        <f>IF(AND(282&gt;=$NR$13,282&lt;=$NS$13),IF($NP$13="Single_Point",IF(282=$NR$13,$NN$13,0),IF($NP$13="Bell_Curve",$NN$13*(282-$NR$13+1)*($NS$13-282+1)/$NU$13,$NN$13/$NT$13)),0)</f>
        <v/>
      </c>
      <c r="KA13" s="402">
        <f>IF(AND(283&gt;=$NR$13,283&lt;=$NS$13),IF($NP$13="Single_Point",IF(283=$NR$13,$NN$13,0),IF($NP$13="Bell_Curve",$NN$13*(283-$NR$13+1)*($NS$13-283+1)/$NU$13,$NN$13/$NT$13)),0)</f>
        <v/>
      </c>
      <c r="KB13" s="402">
        <f>IF(AND(284&gt;=$NR$13,284&lt;=$NS$13),IF($NP$13="Single_Point",IF(284=$NR$13,$NN$13,0),IF($NP$13="Bell_Curve",$NN$13*(284-$NR$13+1)*($NS$13-284+1)/$NU$13,$NN$13/$NT$13)),0)</f>
        <v/>
      </c>
      <c r="KC13" s="402">
        <f>IF(AND(285&gt;=$NR$13,285&lt;=$NS$13),IF($NP$13="Single_Point",IF(285=$NR$13,$NN$13,0),IF($NP$13="Bell_Curve",$NN$13*(285-$NR$13+1)*($NS$13-285+1)/$NU$13,$NN$13/$NT$13)),0)</f>
        <v/>
      </c>
      <c r="KD13" s="402">
        <f>IF(AND(286&gt;=$NR$13,286&lt;=$NS$13),IF($NP$13="Single_Point",IF(286=$NR$13,$NN$13,0),IF($NP$13="Bell_Curve",$NN$13*(286-$NR$13+1)*($NS$13-286+1)/$NU$13,$NN$13/$NT$13)),0)</f>
        <v/>
      </c>
      <c r="KE13" s="402">
        <f>IF(AND(287&gt;=$NR$13,287&lt;=$NS$13),IF($NP$13="Single_Point",IF(287=$NR$13,$NN$13,0),IF($NP$13="Bell_Curve",$NN$13*(287-$NR$13+1)*($NS$13-287+1)/$NU$13,$NN$13/$NT$13)),0)</f>
        <v/>
      </c>
      <c r="KF13" s="402">
        <f>IF(AND(288&gt;=$NR$13,288&lt;=$NS$13),IF($NP$13="Single_Point",IF(288=$NR$13,$NN$13,0),IF($NP$13="Bell_Curve",$NN$13*(288-$NR$13+1)*($NS$13-288+1)/$NU$13,$NN$13/$NT$13)),0)</f>
        <v/>
      </c>
      <c r="KG13" s="402">
        <f>IF(AND(289&gt;=$NR$13,289&lt;=$NS$13),IF($NP$13="Single_Point",IF(289=$NR$13,$NN$13,0),IF($NP$13="Bell_Curve",$NN$13*(289-$NR$13+1)*($NS$13-289+1)/$NU$13,$NN$13/$NT$13)),0)</f>
        <v/>
      </c>
      <c r="KH13" s="402">
        <f>IF(AND(290&gt;=$NR$13,290&lt;=$NS$13),IF($NP$13="Single_Point",IF(290=$NR$13,$NN$13,0),IF($NP$13="Bell_Curve",$NN$13*(290-$NR$13+1)*($NS$13-290+1)/$NU$13,$NN$13/$NT$13)),0)</f>
        <v/>
      </c>
      <c r="KI13" s="402">
        <f>IF(AND(291&gt;=$NR$13,291&lt;=$NS$13),IF($NP$13="Single_Point",IF(291=$NR$13,$NN$13,0),IF($NP$13="Bell_Curve",$NN$13*(291-$NR$13+1)*($NS$13-291+1)/$NU$13,$NN$13/$NT$13)),0)</f>
        <v/>
      </c>
      <c r="KJ13" s="402">
        <f>IF(AND(292&gt;=$NR$13,292&lt;=$NS$13),IF($NP$13="Single_Point",IF(292=$NR$13,$NN$13,0),IF($NP$13="Bell_Curve",$NN$13*(292-$NR$13+1)*($NS$13-292+1)/$NU$13,$NN$13/$NT$13)),0)</f>
        <v/>
      </c>
      <c r="KK13" s="402">
        <f>IF(AND(293&gt;=$NR$13,293&lt;=$NS$13),IF($NP$13="Single_Point",IF(293=$NR$13,$NN$13,0),IF($NP$13="Bell_Curve",$NN$13*(293-$NR$13+1)*($NS$13-293+1)/$NU$13,$NN$13/$NT$13)),0)</f>
        <v/>
      </c>
      <c r="KL13" s="402">
        <f>IF(AND(294&gt;=$NR$13,294&lt;=$NS$13),IF($NP$13="Single_Point",IF(294=$NR$13,$NN$13,0),IF($NP$13="Bell_Curve",$NN$13*(294-$NR$13+1)*($NS$13-294+1)/$NU$13,$NN$13/$NT$13)),0)</f>
        <v/>
      </c>
      <c r="KM13" s="402">
        <f>IF(AND(295&gt;=$NR$13,295&lt;=$NS$13),IF($NP$13="Single_Point",IF(295=$NR$13,$NN$13,0),IF($NP$13="Bell_Curve",$NN$13*(295-$NR$13+1)*($NS$13-295+1)/$NU$13,$NN$13/$NT$13)),0)</f>
        <v/>
      </c>
      <c r="KN13" s="402">
        <f>IF(AND(296&gt;=$NR$13,296&lt;=$NS$13),IF($NP$13="Single_Point",IF(296=$NR$13,$NN$13,0),IF($NP$13="Bell_Curve",$NN$13*(296-$NR$13+1)*($NS$13-296+1)/$NU$13,$NN$13/$NT$13)),0)</f>
        <v/>
      </c>
      <c r="KO13" s="402">
        <f>IF(AND(297&gt;=$NR$13,297&lt;=$NS$13),IF($NP$13="Single_Point",IF(297=$NR$13,$NN$13,0),IF($NP$13="Bell_Curve",$NN$13*(297-$NR$13+1)*($NS$13-297+1)/$NU$13,$NN$13/$NT$13)),0)</f>
        <v/>
      </c>
      <c r="KP13" s="402">
        <f>IF(AND(298&gt;=$NR$13,298&lt;=$NS$13),IF($NP$13="Single_Point",IF(298=$NR$13,$NN$13,0),IF($NP$13="Bell_Curve",$NN$13*(298-$NR$13+1)*($NS$13-298+1)/$NU$13,$NN$13/$NT$13)),0)</f>
        <v/>
      </c>
      <c r="KQ13" s="402">
        <f>IF(AND(299&gt;=$NR$13,299&lt;=$NS$13),IF($NP$13="Single_Point",IF(299=$NR$13,$NN$13,0),IF($NP$13="Bell_Curve",$NN$13*(299-$NR$13+1)*($NS$13-299+1)/$NU$13,$NN$13/$NT$13)),0)</f>
        <v/>
      </c>
      <c r="KR13" s="402">
        <f>IF(AND(300&gt;=$NR$13,300&lt;=$NS$13),IF($NP$13="Single_Point",IF(300=$NR$13,$NN$13,0),IF($NP$13="Bell_Curve",$NN$13*(300-$NR$13+1)*($NS$13-300+1)/$NU$13,$NN$13/$NT$13)),0)</f>
        <v/>
      </c>
      <c r="KS13" s="402">
        <f>IF(AND(301&gt;=$NR$13,301&lt;=$NS$13),IF($NP$13="Single_Point",IF(301=$NR$13,$NN$13,0),IF($NP$13="Bell_Curve",$NN$13*(301-$NR$13+1)*($NS$13-301+1)/$NU$13,$NN$13/$NT$13)),0)</f>
        <v/>
      </c>
      <c r="KT13" s="402">
        <f>IF(AND(302&gt;=$NR$13,302&lt;=$NS$13),IF($NP$13="Single_Point",IF(302=$NR$13,$NN$13,0),IF($NP$13="Bell_Curve",$NN$13*(302-$NR$13+1)*($NS$13-302+1)/$NU$13,$NN$13/$NT$13)),0)</f>
        <v/>
      </c>
      <c r="KU13" s="402">
        <f>IF(AND(303&gt;=$NR$13,303&lt;=$NS$13),IF($NP$13="Single_Point",IF(303=$NR$13,$NN$13,0),IF($NP$13="Bell_Curve",$NN$13*(303-$NR$13+1)*($NS$13-303+1)/$NU$13,$NN$13/$NT$13)),0)</f>
        <v/>
      </c>
      <c r="KV13" s="402">
        <f>IF(AND(304&gt;=$NR$13,304&lt;=$NS$13),IF($NP$13="Single_Point",IF(304=$NR$13,$NN$13,0),IF($NP$13="Bell_Curve",$NN$13*(304-$NR$13+1)*($NS$13-304+1)/$NU$13,$NN$13/$NT$13)),0)</f>
        <v/>
      </c>
      <c r="KW13" s="402">
        <f>IF(AND(305&gt;=$NR$13,305&lt;=$NS$13),IF($NP$13="Single_Point",IF(305=$NR$13,$NN$13,0),IF($NP$13="Bell_Curve",$NN$13*(305-$NR$13+1)*($NS$13-305+1)/$NU$13,$NN$13/$NT$13)),0)</f>
        <v/>
      </c>
      <c r="KX13" s="402">
        <f>IF(AND(306&gt;=$NR$13,306&lt;=$NS$13),IF($NP$13="Single_Point",IF(306=$NR$13,$NN$13,0),IF($NP$13="Bell_Curve",$NN$13*(306-$NR$13+1)*($NS$13-306+1)/$NU$13,$NN$13/$NT$13)),0)</f>
        <v/>
      </c>
      <c r="KY13" s="402">
        <f>IF(AND(307&gt;=$NR$13,307&lt;=$NS$13),IF($NP$13="Single_Point",IF(307=$NR$13,$NN$13,0),IF($NP$13="Bell_Curve",$NN$13*(307-$NR$13+1)*($NS$13-307+1)/$NU$13,$NN$13/$NT$13)),0)</f>
        <v/>
      </c>
      <c r="KZ13" s="402">
        <f>IF(AND(308&gt;=$NR$13,308&lt;=$NS$13),IF($NP$13="Single_Point",IF(308=$NR$13,$NN$13,0),IF($NP$13="Bell_Curve",$NN$13*(308-$NR$13+1)*($NS$13-308+1)/$NU$13,$NN$13/$NT$13)),0)</f>
        <v/>
      </c>
      <c r="LA13" s="402">
        <f>IF(AND(309&gt;=$NR$13,309&lt;=$NS$13),IF($NP$13="Single_Point",IF(309=$NR$13,$NN$13,0),IF($NP$13="Bell_Curve",$NN$13*(309-$NR$13+1)*($NS$13-309+1)/$NU$13,$NN$13/$NT$13)),0)</f>
        <v/>
      </c>
      <c r="LB13" s="402">
        <f>IF(AND(310&gt;=$NR$13,310&lt;=$NS$13),IF($NP$13="Single_Point",IF(310=$NR$13,$NN$13,0),IF($NP$13="Bell_Curve",$NN$13*(310-$NR$13+1)*($NS$13-310+1)/$NU$13,$NN$13/$NT$13)),0)</f>
        <v/>
      </c>
      <c r="LC13" s="402">
        <f>IF(AND(311&gt;=$NR$13,311&lt;=$NS$13),IF($NP$13="Single_Point",IF(311=$NR$13,$NN$13,0),IF($NP$13="Bell_Curve",$NN$13*(311-$NR$13+1)*($NS$13-311+1)/$NU$13,$NN$13/$NT$13)),0)</f>
        <v/>
      </c>
      <c r="LD13" s="402">
        <f>IF(AND(312&gt;=$NR$13,312&lt;=$NS$13),IF($NP$13="Single_Point",IF(312=$NR$13,$NN$13,0),IF($NP$13="Bell_Curve",$NN$13*(312-$NR$13+1)*($NS$13-312+1)/$NU$13,$NN$13/$NT$13)),0)</f>
        <v/>
      </c>
      <c r="LE13" s="402">
        <f>IF(AND(313&gt;=$NR$13,313&lt;=$NS$13),IF($NP$13="Single_Point",IF(313=$NR$13,$NN$13,0),IF($NP$13="Bell_Curve",$NN$13*(313-$NR$13+1)*($NS$13-313+1)/$NU$13,$NN$13/$NT$13)),0)</f>
        <v/>
      </c>
      <c r="LF13" s="402">
        <f>IF(AND(314&gt;=$NR$13,314&lt;=$NS$13),IF($NP$13="Single_Point",IF(314=$NR$13,$NN$13,0),IF($NP$13="Bell_Curve",$NN$13*(314-$NR$13+1)*($NS$13-314+1)/$NU$13,$NN$13/$NT$13)),0)</f>
        <v/>
      </c>
      <c r="LG13" s="402">
        <f>IF(AND(315&gt;=$NR$13,315&lt;=$NS$13),IF($NP$13="Single_Point",IF(315=$NR$13,$NN$13,0),IF($NP$13="Bell_Curve",$NN$13*(315-$NR$13+1)*($NS$13-315+1)/$NU$13,$NN$13/$NT$13)),0)</f>
        <v/>
      </c>
      <c r="LH13" s="402">
        <f>IF(AND(316&gt;=$NR$13,316&lt;=$NS$13),IF($NP$13="Single_Point",IF(316=$NR$13,$NN$13,0),IF($NP$13="Bell_Curve",$NN$13*(316-$NR$13+1)*($NS$13-316+1)/$NU$13,$NN$13/$NT$13)),0)</f>
        <v/>
      </c>
      <c r="LI13" s="402">
        <f>IF(AND(317&gt;=$NR$13,317&lt;=$NS$13),IF($NP$13="Single_Point",IF(317=$NR$13,$NN$13,0),IF($NP$13="Bell_Curve",$NN$13*(317-$NR$13+1)*($NS$13-317+1)/$NU$13,$NN$13/$NT$13)),0)</f>
        <v/>
      </c>
      <c r="LJ13" s="402">
        <f>IF(AND(318&gt;=$NR$13,318&lt;=$NS$13),IF($NP$13="Single_Point",IF(318=$NR$13,$NN$13,0),IF($NP$13="Bell_Curve",$NN$13*(318-$NR$13+1)*($NS$13-318+1)/$NU$13,$NN$13/$NT$13)),0)</f>
        <v/>
      </c>
      <c r="LK13" s="402">
        <f>IF(AND(319&gt;=$NR$13,319&lt;=$NS$13),IF($NP$13="Single_Point",IF(319=$NR$13,$NN$13,0),IF($NP$13="Bell_Curve",$NN$13*(319-$NR$13+1)*($NS$13-319+1)/$NU$13,$NN$13/$NT$13)),0)</f>
        <v/>
      </c>
      <c r="LL13" s="402">
        <f>IF(AND(320&gt;=$NR$13,320&lt;=$NS$13),IF($NP$13="Single_Point",IF(320=$NR$13,$NN$13,0),IF($NP$13="Bell_Curve",$NN$13*(320-$NR$13+1)*($NS$13-320+1)/$NU$13,$NN$13/$NT$13)),0)</f>
        <v/>
      </c>
      <c r="LM13" s="402">
        <f>IF(AND(321&gt;=$NR$13,321&lt;=$NS$13),IF($NP$13="Single_Point",IF(321=$NR$13,$NN$13,0),IF($NP$13="Bell_Curve",$NN$13*(321-$NR$13+1)*($NS$13-321+1)/$NU$13,$NN$13/$NT$13)),0)</f>
        <v/>
      </c>
      <c r="LN13" s="402">
        <f>IF(AND(322&gt;=$NR$13,322&lt;=$NS$13),IF($NP$13="Single_Point",IF(322=$NR$13,$NN$13,0),IF($NP$13="Bell_Curve",$NN$13*(322-$NR$13+1)*($NS$13-322+1)/$NU$13,$NN$13/$NT$13)),0)</f>
        <v/>
      </c>
      <c r="LO13" s="402">
        <f>IF(AND(323&gt;=$NR$13,323&lt;=$NS$13),IF($NP$13="Single_Point",IF(323=$NR$13,$NN$13,0),IF($NP$13="Bell_Curve",$NN$13*(323-$NR$13+1)*($NS$13-323+1)/$NU$13,$NN$13/$NT$13)),0)</f>
        <v/>
      </c>
      <c r="LP13" s="402">
        <f>IF(AND(324&gt;=$NR$13,324&lt;=$NS$13),IF($NP$13="Single_Point",IF(324=$NR$13,$NN$13,0),IF($NP$13="Bell_Curve",$NN$13*(324-$NR$13+1)*($NS$13-324+1)/$NU$13,$NN$13/$NT$13)),0)</f>
        <v/>
      </c>
      <c r="LQ13" s="402">
        <f>IF(AND(325&gt;=$NR$13,325&lt;=$NS$13),IF($NP$13="Single_Point",IF(325=$NR$13,$NN$13,0),IF($NP$13="Bell_Curve",$NN$13*(325-$NR$13+1)*($NS$13-325+1)/$NU$13,$NN$13/$NT$13)),0)</f>
        <v/>
      </c>
      <c r="LR13" s="402">
        <f>IF(AND(326&gt;=$NR$13,326&lt;=$NS$13),IF($NP$13="Single_Point",IF(326=$NR$13,$NN$13,0),IF($NP$13="Bell_Curve",$NN$13*(326-$NR$13+1)*($NS$13-326+1)/$NU$13,$NN$13/$NT$13)),0)</f>
        <v/>
      </c>
      <c r="LS13" s="402">
        <f>IF(AND(327&gt;=$NR$13,327&lt;=$NS$13),IF($NP$13="Single_Point",IF(327=$NR$13,$NN$13,0),IF($NP$13="Bell_Curve",$NN$13*(327-$NR$13+1)*($NS$13-327+1)/$NU$13,$NN$13/$NT$13)),0)</f>
        <v/>
      </c>
      <c r="LT13" s="402">
        <f>IF(AND(328&gt;=$NR$13,328&lt;=$NS$13),IF($NP$13="Single_Point",IF(328=$NR$13,$NN$13,0),IF($NP$13="Bell_Curve",$NN$13*(328-$NR$13+1)*($NS$13-328+1)/$NU$13,$NN$13/$NT$13)),0)</f>
        <v/>
      </c>
      <c r="LU13" s="402">
        <f>IF(AND(329&gt;=$NR$13,329&lt;=$NS$13),IF($NP$13="Single_Point",IF(329=$NR$13,$NN$13,0),IF($NP$13="Bell_Curve",$NN$13*(329-$NR$13+1)*($NS$13-329+1)/$NU$13,$NN$13/$NT$13)),0)</f>
        <v/>
      </c>
      <c r="LV13" s="402">
        <f>IF(AND(330&gt;=$NR$13,330&lt;=$NS$13),IF($NP$13="Single_Point",IF(330=$NR$13,$NN$13,0),IF($NP$13="Bell_Curve",$NN$13*(330-$NR$13+1)*($NS$13-330+1)/$NU$13,$NN$13/$NT$13)),0)</f>
        <v/>
      </c>
      <c r="LW13" s="402">
        <f>IF(AND(331&gt;=$NR$13,331&lt;=$NS$13),IF($NP$13="Single_Point",IF(331=$NR$13,$NN$13,0),IF($NP$13="Bell_Curve",$NN$13*(331-$NR$13+1)*($NS$13-331+1)/$NU$13,$NN$13/$NT$13)),0)</f>
        <v/>
      </c>
      <c r="LX13" s="402">
        <f>IF(AND(332&gt;=$NR$13,332&lt;=$NS$13),IF($NP$13="Single_Point",IF(332=$NR$13,$NN$13,0),IF($NP$13="Bell_Curve",$NN$13*(332-$NR$13+1)*($NS$13-332+1)/$NU$13,$NN$13/$NT$13)),0)</f>
        <v/>
      </c>
      <c r="LY13" s="402">
        <f>IF(AND(333&gt;=$NR$13,333&lt;=$NS$13),IF($NP$13="Single_Point",IF(333=$NR$13,$NN$13,0),IF($NP$13="Bell_Curve",$NN$13*(333-$NR$13+1)*($NS$13-333+1)/$NU$13,$NN$13/$NT$13)),0)</f>
        <v/>
      </c>
      <c r="LZ13" s="402">
        <f>IF(AND(334&gt;=$NR$13,334&lt;=$NS$13),IF($NP$13="Single_Point",IF(334=$NR$13,$NN$13,0),IF($NP$13="Bell_Curve",$NN$13*(334-$NR$13+1)*($NS$13-334+1)/$NU$13,$NN$13/$NT$13)),0)</f>
        <v/>
      </c>
      <c r="MA13" s="402">
        <f>IF(AND(335&gt;=$NR$13,335&lt;=$NS$13),IF($NP$13="Single_Point",IF(335=$NR$13,$NN$13,0),IF($NP$13="Bell_Curve",$NN$13*(335-$NR$13+1)*($NS$13-335+1)/$NU$13,$NN$13/$NT$13)),0)</f>
        <v/>
      </c>
      <c r="MB13" s="402">
        <f>IF(AND(336&gt;=$NR$13,336&lt;=$NS$13),IF($NP$13="Single_Point",IF(336=$NR$13,$NN$13,0),IF($NP$13="Bell_Curve",$NN$13*(336-$NR$13+1)*($NS$13-336+1)/$NU$13,$NN$13/$NT$13)),0)</f>
        <v/>
      </c>
      <c r="MC13" s="402">
        <f>IF(AND(337&gt;=$NR$13,337&lt;=$NS$13),IF($NP$13="Single_Point",IF(337=$NR$13,$NN$13,0),IF($NP$13="Bell_Curve",$NN$13*(337-$NR$13+1)*($NS$13-337+1)/$NU$13,$NN$13/$NT$13)),0)</f>
        <v/>
      </c>
      <c r="MD13" s="402">
        <f>IF(AND(338&gt;=$NR$13,338&lt;=$NS$13),IF($NP$13="Single_Point",IF(338=$NR$13,$NN$13,0),IF($NP$13="Bell_Curve",$NN$13*(338-$NR$13+1)*($NS$13-338+1)/$NU$13,$NN$13/$NT$13)),0)</f>
        <v/>
      </c>
      <c r="ME13" s="402">
        <f>IF(AND(339&gt;=$NR$13,339&lt;=$NS$13),IF($NP$13="Single_Point",IF(339=$NR$13,$NN$13,0),IF($NP$13="Bell_Curve",$NN$13*(339-$NR$13+1)*($NS$13-339+1)/$NU$13,$NN$13/$NT$13)),0)</f>
        <v/>
      </c>
      <c r="MF13" s="402">
        <f>IF(AND(340&gt;=$NR$13,340&lt;=$NS$13),IF($NP$13="Single_Point",IF(340=$NR$13,$NN$13,0),IF($NP$13="Bell_Curve",$NN$13*(340-$NR$13+1)*($NS$13-340+1)/$NU$13,$NN$13/$NT$13)),0)</f>
        <v/>
      </c>
      <c r="MG13" s="402">
        <f>IF(AND(341&gt;=$NR$13,341&lt;=$NS$13),IF($NP$13="Single_Point",IF(341=$NR$13,$NN$13,0),IF($NP$13="Bell_Curve",$NN$13*(341-$NR$13+1)*($NS$13-341+1)/$NU$13,$NN$13/$NT$13)),0)</f>
        <v/>
      </c>
      <c r="MH13" s="402">
        <f>IF(AND(342&gt;=$NR$13,342&lt;=$NS$13),IF($NP$13="Single_Point",IF(342=$NR$13,$NN$13,0),IF($NP$13="Bell_Curve",$NN$13*(342-$NR$13+1)*($NS$13-342+1)/$NU$13,$NN$13/$NT$13)),0)</f>
        <v/>
      </c>
      <c r="MI13" s="402">
        <f>IF(AND(343&gt;=$NR$13,343&lt;=$NS$13),IF($NP$13="Single_Point",IF(343=$NR$13,$NN$13,0),IF($NP$13="Bell_Curve",$NN$13*(343-$NR$13+1)*($NS$13-343+1)/$NU$13,$NN$13/$NT$13)),0)</f>
        <v/>
      </c>
      <c r="MJ13" s="402">
        <f>IF(AND(344&gt;=$NR$13,344&lt;=$NS$13),IF($NP$13="Single_Point",IF(344=$NR$13,$NN$13,0),IF($NP$13="Bell_Curve",$NN$13*(344-$NR$13+1)*($NS$13-344+1)/$NU$13,$NN$13/$NT$13)),0)</f>
        <v/>
      </c>
      <c r="MK13" s="402">
        <f>IF(AND(345&gt;=$NR$13,345&lt;=$NS$13),IF($NP$13="Single_Point",IF(345=$NR$13,$NN$13,0),IF($NP$13="Bell_Curve",$NN$13*(345-$NR$13+1)*($NS$13-345+1)/$NU$13,$NN$13/$NT$13)),0)</f>
        <v/>
      </c>
      <c r="ML13" s="402">
        <f>IF(AND(346&gt;=$NR$13,346&lt;=$NS$13),IF($NP$13="Single_Point",IF(346=$NR$13,$NN$13,0),IF($NP$13="Bell_Curve",$NN$13*(346-$NR$13+1)*($NS$13-346+1)/$NU$13,$NN$13/$NT$13)),0)</f>
        <v/>
      </c>
      <c r="MM13" s="402">
        <f>IF(AND(347&gt;=$NR$13,347&lt;=$NS$13),IF($NP$13="Single_Point",IF(347=$NR$13,$NN$13,0),IF($NP$13="Bell_Curve",$NN$13*(347-$NR$13+1)*($NS$13-347+1)/$NU$13,$NN$13/$NT$13)),0)</f>
        <v/>
      </c>
      <c r="MN13" s="402">
        <f>IF(AND(348&gt;=$NR$13,348&lt;=$NS$13),IF($NP$13="Single_Point",IF(348=$NR$13,$NN$13,0),IF($NP$13="Bell_Curve",$NN$13*(348-$NR$13+1)*($NS$13-348+1)/$NU$13,$NN$13/$NT$13)),0)</f>
        <v/>
      </c>
      <c r="MO13" s="402">
        <f>IF(AND(349&gt;=$NR$13,349&lt;=$NS$13),IF($NP$13="Single_Point",IF(349=$NR$13,$NN$13,0),IF($NP$13="Bell_Curve",$NN$13*(349-$NR$13+1)*($NS$13-349+1)/$NU$13,$NN$13/$NT$13)),0)</f>
        <v/>
      </c>
      <c r="MP13" s="402">
        <f>IF(AND(350&gt;=$NR$13,350&lt;=$NS$13),IF($NP$13="Single_Point",IF(350=$NR$13,$NN$13,0),IF($NP$13="Bell_Curve",$NN$13*(350-$NR$13+1)*($NS$13-350+1)/$NU$13,$NN$13/$NT$13)),0)</f>
        <v/>
      </c>
      <c r="MQ13" s="402">
        <f>IF(AND(351&gt;=$NR$13,351&lt;=$NS$13),IF($NP$13="Single_Point",IF(351=$NR$13,$NN$13,0),IF($NP$13="Bell_Curve",$NN$13*(351-$NR$13+1)*($NS$13-351+1)/$NU$13,$NN$13/$NT$13)),0)</f>
        <v/>
      </c>
      <c r="MR13" s="402">
        <f>IF(AND(352&gt;=$NR$13,352&lt;=$NS$13),IF($NP$13="Single_Point",IF(352=$NR$13,$NN$13,0),IF($NP$13="Bell_Curve",$NN$13*(352-$NR$13+1)*($NS$13-352+1)/$NU$13,$NN$13/$NT$13)),0)</f>
        <v/>
      </c>
      <c r="MS13" s="402">
        <f>IF(AND(353&gt;=$NR$13,353&lt;=$NS$13),IF($NP$13="Single_Point",IF(353=$NR$13,$NN$13,0),IF($NP$13="Bell_Curve",$NN$13*(353-$NR$13+1)*($NS$13-353+1)/$NU$13,$NN$13/$NT$13)),0)</f>
        <v/>
      </c>
      <c r="MT13" s="402">
        <f>IF(AND(354&gt;=$NR$13,354&lt;=$NS$13),IF($NP$13="Single_Point",IF(354=$NR$13,$NN$13,0),IF($NP$13="Bell_Curve",$NN$13*(354-$NR$13+1)*($NS$13-354+1)/$NU$13,$NN$13/$NT$13)),0)</f>
        <v/>
      </c>
      <c r="MU13" s="402">
        <f>IF(AND(355&gt;=$NR$13,355&lt;=$NS$13),IF($NP$13="Single_Point",IF(355=$NR$13,$NN$13,0),IF($NP$13="Bell_Curve",$NN$13*(355-$NR$13+1)*($NS$13-355+1)/$NU$13,$NN$13/$NT$13)),0)</f>
        <v/>
      </c>
      <c r="MV13" s="402">
        <f>IF(AND(356&gt;=$NR$13,356&lt;=$NS$13),IF($NP$13="Single_Point",IF(356=$NR$13,$NN$13,0),IF($NP$13="Bell_Curve",$NN$13*(356-$NR$13+1)*($NS$13-356+1)/$NU$13,$NN$13/$NT$13)),0)</f>
        <v/>
      </c>
      <c r="MW13" s="402">
        <f>IF(AND(357&gt;=$NR$13,357&lt;=$NS$13),IF($NP$13="Single_Point",IF(357=$NR$13,$NN$13,0),IF($NP$13="Bell_Curve",$NN$13*(357-$NR$13+1)*($NS$13-357+1)/$NU$13,$NN$13/$NT$13)),0)</f>
        <v/>
      </c>
      <c r="MX13" s="402">
        <f>IF(AND(358&gt;=$NR$13,358&lt;=$NS$13),IF($NP$13="Single_Point",IF(358=$NR$13,$NN$13,0),IF($NP$13="Bell_Curve",$NN$13*(358-$NR$13+1)*($NS$13-358+1)/$NU$13,$NN$13/$NT$13)),0)</f>
        <v/>
      </c>
      <c r="MY13" s="402">
        <f>IF(AND(359&gt;=$NR$13,359&lt;=$NS$13),IF($NP$13="Single_Point",IF(359=$NR$13,$NN$13,0),IF($NP$13="Bell_Curve",$NN$13*(359-$NR$13+1)*($NS$13-359+1)/$NU$13,$NN$13/$NT$13)),0)</f>
        <v/>
      </c>
      <c r="MZ13" s="402">
        <f>IF(AND(360&gt;=$NR$13,360&lt;=$NS$13),IF($NP$13="Single_Point",IF(360=$NR$13,$NN$13,0),IF($NP$13="Bell_Curve",$NN$13*(360-$NR$13+1)*($NS$13-360+1)/$NU$13,$NN$13/$NT$13)),0)</f>
        <v/>
      </c>
      <c r="NA13" s="402">
        <f>IF(AND(361&gt;=$NR$13,361&lt;=$NS$13),IF($NP$13="Single_Point",IF(361=$NR$13,$NN$13,0),IF($NP$13="Bell_Curve",$NN$13*(361-$NR$13+1)*($NS$13-361+1)/$NU$13,$NN$13/$NT$13)),0)</f>
        <v/>
      </c>
      <c r="NB13" s="402">
        <f>IF(AND(362&gt;=$NR$13,362&lt;=$NS$13),IF($NP$13="Single_Point",IF(362=$NR$13,$NN$13,0),IF($NP$13="Bell_Curve",$NN$13*(362-$NR$13+1)*($NS$13-362+1)/$NU$13,$NN$13/$NT$13)),0)</f>
        <v/>
      </c>
      <c r="NC13" s="402">
        <f>IF(AND(363&gt;=$NR$13,363&lt;=$NS$13),IF($NP$13="Single_Point",IF(363=$NR$13,$NN$13,0),IF($NP$13="Bell_Curve",$NN$13*(363-$NR$13+1)*($NS$13-363+1)/$NU$13,$NN$13/$NT$13)),0)</f>
        <v/>
      </c>
      <c r="ND13" s="402">
        <f>IF(AND(364&gt;=$NR$13,364&lt;=$NS$13),IF($NP$13="Single_Point",IF(364=$NR$13,$NN$13,0),IF($NP$13="Bell_Curve",$NN$13*(364-$NR$13+1)*($NS$13-364+1)/$NU$13,$NN$13/$NT$13)),0)</f>
        <v/>
      </c>
      <c r="NE13" s="402">
        <f>IF(AND(365&gt;=$NR$13,365&lt;=$NS$13),IF($NP$13="Single_Point",IF(365=$NR$13,$NN$13,0),IF($NP$13="Bell_Curve",$NN$13*(365-$NR$13+1)*($NS$13-365+1)/$NU$13,$NN$13/$NT$13)),0)</f>
        <v/>
      </c>
      <c r="NF13" s="402">
        <f>IF(AND(366&gt;=$NR$13,366&lt;=$NS$13),IF($NP$13="Single_Point",IF(366=$NR$13,$NN$13,0),IF($NP$13="Bell_Curve",$NN$13*(366-$NR$13+1)*($NS$13-366+1)/$NU$13,$NN$13/$NT$13)),0)</f>
        <v/>
      </c>
      <c r="NG13" s="402">
        <f>IF(AND(367&gt;=$NR$13,367&lt;=$NS$13),IF($NP$13="Single_Point",IF(367=$NR$13,$NN$13,0),IF($NP$13="Bell_Curve",$NN$13*(367-$NR$13+1)*($NS$13-367+1)/$NU$13,$NN$13/$NT$13)),0)</f>
        <v/>
      </c>
      <c r="NH13" s="402">
        <f>IF(AND(368&gt;=$NR$13,368&lt;=$NS$13),IF($NP$13="Single_Point",IF(368=$NR$13,$NN$13,0),IF($NP$13="Bell_Curve",$NN$13*(368-$NR$13+1)*($NS$13-368+1)/$NU$13,$NN$13/$NT$13)),0)</f>
        <v/>
      </c>
      <c r="NI13" s="402">
        <f>IF(AND(369&gt;=$NR$13,369&lt;=$NS$13),IF($NP$13="Single_Point",IF(369=$NR$13,$NN$13,0),IF($NP$13="Bell_Curve",$NN$13*(369-$NR$13+1)*($NS$13-369+1)/$NU$13,$NN$13/$NT$13)),0)</f>
        <v/>
      </c>
      <c r="NJ13" s="402">
        <f>IF(AND(370&gt;=$NR$13,370&lt;=$NS$13),IF($NP$13="Single_Point",IF(370=$NR$13,$NN$13,0),IF($NP$13="Bell_Curve",$NN$13*(370-$NR$13+1)*($NS$13-370+1)/$NU$13,$NN$13/$NT$13)),0)</f>
        <v/>
      </c>
      <c r="NK13" s="402">
        <f>IF(AND(371&gt;=$NR$13,371&lt;=$NS$13),IF($NP$13="Single_Point",IF(371=$NR$13,$NN$13,0),IF($NP$13="Bell_Curve",$NN$13*(371-$NR$13+1)*($NS$13-371+1)/$NU$13,$NN$13/$NT$13)),0)</f>
        <v/>
      </c>
      <c r="NL13" s="426">
        <f>IF(AND(372&gt;=$NR$13,372&lt;=$NS$13),IF($NP$13="Single_Point",IF(372=$NR$13,$NN$13,0),IF($NP$13="Bell_Curve",$NN$13*(372-$NR$13+1)*($NS$13-372+1)/$NU$13,$NN$13/$NT$13)),0)</f>
        <v/>
      </c>
      <c r="NM13">
        <f>Budget!C12</f>
        <v/>
      </c>
      <c r="NN13" s="218">
        <f>Budget!J12</f>
        <v/>
      </c>
      <c r="NO13" s="144">
        <f>Budget!G12</f>
        <v/>
      </c>
      <c r="NP13" s="144">
        <f>Budget!H12</f>
        <v/>
      </c>
      <c r="NQ13" s="85">
        <f>Budget!I12</f>
        <v/>
      </c>
      <c r="NR13" s="248">
        <f>MAX(1,MIN(372,INDEX(MilestoneStart,MATCH(NO13,MilestoneNames,0))+NQ13))</f>
        <v/>
      </c>
      <c r="NS13" s="248">
        <f>MAX(NR13,MIN(372,INDEX(MilestoneEnd,MATCH(NO13,MilestoneNames,0))+NQ13))</f>
        <v/>
      </c>
      <c r="NT13" s="85">
        <f>NS13-NR13+1</f>
        <v/>
      </c>
      <c r="NU13" s="85">
        <f>NT13*(NT13+1)*(NT13+2)/6</f>
        <v/>
      </c>
    </row>
    <row r="14">
      <c r="B14" s="296">
        <f>Budget!B13</f>
        <v/>
      </c>
      <c r="D14" s="425">
        <f>SUM(E14:NL14)</f>
        <v/>
      </c>
      <c r="E14" s="402">
        <f>IF(AND(1&gt;=$NR$14,1&lt;=$NS$14),IF($NP$14="Single_Point",IF(1=$NR$14,$NN$14,0),IF($NP$14="Bell_Curve",$NN$14*(1-$NR$14+1)*($NS$14-1+1)/$NU$14,$NN$14/$NT$14)),0)</f>
        <v/>
      </c>
      <c r="F14" s="402">
        <f>IF(AND(2&gt;=$NR$14,2&lt;=$NS$14),IF($NP$14="Single_Point",IF(2=$NR$14,$NN$14,0),IF($NP$14="Bell_Curve",$NN$14*(2-$NR$14+1)*($NS$14-2+1)/$NU$14,$NN$14/$NT$14)),0)</f>
        <v/>
      </c>
      <c r="G14" s="402">
        <f>IF(AND(3&gt;=$NR$14,3&lt;=$NS$14),IF($NP$14="Single_Point",IF(3=$NR$14,$NN$14,0),IF($NP$14="Bell_Curve",$NN$14*(3-$NR$14+1)*($NS$14-3+1)/$NU$14,$NN$14/$NT$14)),0)</f>
        <v/>
      </c>
      <c r="H14" s="402">
        <f>IF(AND(4&gt;=$NR$14,4&lt;=$NS$14),IF($NP$14="Single_Point",IF(4=$NR$14,$NN$14,0),IF($NP$14="Bell_Curve",$NN$14*(4-$NR$14+1)*($NS$14-4+1)/$NU$14,$NN$14/$NT$14)),0)</f>
        <v/>
      </c>
      <c r="I14" s="402">
        <f>IF(AND(5&gt;=$NR$14,5&lt;=$NS$14),IF($NP$14="Single_Point",IF(5=$NR$14,$NN$14,0),IF($NP$14="Bell_Curve",$NN$14*(5-$NR$14+1)*($NS$14-5+1)/$NU$14,$NN$14/$NT$14)),0)</f>
        <v/>
      </c>
      <c r="J14" s="402">
        <f>IF(AND(6&gt;=$NR$14,6&lt;=$NS$14),IF($NP$14="Single_Point",IF(6=$NR$14,$NN$14,0),IF($NP$14="Bell_Curve",$NN$14*(6-$NR$14+1)*($NS$14-6+1)/$NU$14,$NN$14/$NT$14)),0)</f>
        <v/>
      </c>
      <c r="K14" s="402">
        <f>IF(AND(7&gt;=$NR$14,7&lt;=$NS$14),IF($NP$14="Single_Point",IF(7=$NR$14,$NN$14,0),IF($NP$14="Bell_Curve",$NN$14*(7-$NR$14+1)*($NS$14-7+1)/$NU$14,$NN$14/$NT$14)),0)</f>
        <v/>
      </c>
      <c r="L14" s="402">
        <f>IF(AND(8&gt;=$NR$14,8&lt;=$NS$14),IF($NP$14="Single_Point",IF(8=$NR$14,$NN$14,0),IF($NP$14="Bell_Curve",$NN$14*(8-$NR$14+1)*($NS$14-8+1)/$NU$14,$NN$14/$NT$14)),0)</f>
        <v/>
      </c>
      <c r="M14" s="402">
        <f>IF(AND(9&gt;=$NR$14,9&lt;=$NS$14),IF($NP$14="Single_Point",IF(9=$NR$14,$NN$14,0),IF($NP$14="Bell_Curve",$NN$14*(9-$NR$14+1)*($NS$14-9+1)/$NU$14,$NN$14/$NT$14)),0)</f>
        <v/>
      </c>
      <c r="N14" s="402">
        <f>IF(AND(10&gt;=$NR$14,10&lt;=$NS$14),IF($NP$14="Single_Point",IF(10=$NR$14,$NN$14,0),IF($NP$14="Bell_Curve",$NN$14*(10-$NR$14+1)*($NS$14-10+1)/$NU$14,$NN$14/$NT$14)),0)</f>
        <v/>
      </c>
      <c r="O14" s="402">
        <f>IF(AND(11&gt;=$NR$14,11&lt;=$NS$14),IF($NP$14="Single_Point",IF(11=$NR$14,$NN$14,0),IF($NP$14="Bell_Curve",$NN$14*(11-$NR$14+1)*($NS$14-11+1)/$NU$14,$NN$14/$NT$14)),0)</f>
        <v/>
      </c>
      <c r="P14" s="402">
        <f>IF(AND(12&gt;=$NR$14,12&lt;=$NS$14),IF($NP$14="Single_Point",IF(12=$NR$14,$NN$14,0),IF($NP$14="Bell_Curve",$NN$14*(12-$NR$14+1)*($NS$14-12+1)/$NU$14,$NN$14/$NT$14)),0)</f>
        <v/>
      </c>
      <c r="Q14" s="402">
        <f>IF(AND(13&gt;=$NR$14,13&lt;=$NS$14),IF($NP$14="Single_Point",IF(13=$NR$14,$NN$14,0),IF($NP$14="Bell_Curve",$NN$14*(13-$NR$14+1)*($NS$14-13+1)/$NU$14,$NN$14/$NT$14)),0)</f>
        <v/>
      </c>
      <c r="R14" s="402">
        <f>IF(AND(14&gt;=$NR$14,14&lt;=$NS$14),IF($NP$14="Single_Point",IF(14=$NR$14,$NN$14,0),IF($NP$14="Bell_Curve",$NN$14*(14-$NR$14+1)*($NS$14-14+1)/$NU$14,$NN$14/$NT$14)),0)</f>
        <v/>
      </c>
      <c r="S14" s="402">
        <f>IF(AND(15&gt;=$NR$14,15&lt;=$NS$14),IF($NP$14="Single_Point",IF(15=$NR$14,$NN$14,0),IF($NP$14="Bell_Curve",$NN$14*(15-$NR$14+1)*($NS$14-15+1)/$NU$14,$NN$14/$NT$14)),0)</f>
        <v/>
      </c>
      <c r="T14" s="402">
        <f>IF(AND(16&gt;=$NR$14,16&lt;=$NS$14),IF($NP$14="Single_Point",IF(16=$NR$14,$NN$14,0),IF($NP$14="Bell_Curve",$NN$14*(16-$NR$14+1)*($NS$14-16+1)/$NU$14,$NN$14/$NT$14)),0)</f>
        <v/>
      </c>
      <c r="U14" s="402">
        <f>IF(AND(17&gt;=$NR$14,17&lt;=$NS$14),IF($NP$14="Single_Point",IF(17=$NR$14,$NN$14,0),IF($NP$14="Bell_Curve",$NN$14*(17-$NR$14+1)*($NS$14-17+1)/$NU$14,$NN$14/$NT$14)),0)</f>
        <v/>
      </c>
      <c r="V14" s="402">
        <f>IF(AND(18&gt;=$NR$14,18&lt;=$NS$14),IF($NP$14="Single_Point",IF(18=$NR$14,$NN$14,0),IF($NP$14="Bell_Curve",$NN$14*(18-$NR$14+1)*($NS$14-18+1)/$NU$14,$NN$14/$NT$14)),0)</f>
        <v/>
      </c>
      <c r="W14" s="402">
        <f>IF(AND(19&gt;=$NR$14,19&lt;=$NS$14),IF($NP$14="Single_Point",IF(19=$NR$14,$NN$14,0),IF($NP$14="Bell_Curve",$NN$14*(19-$NR$14+1)*($NS$14-19+1)/$NU$14,$NN$14/$NT$14)),0)</f>
        <v/>
      </c>
      <c r="X14" s="402">
        <f>IF(AND(20&gt;=$NR$14,20&lt;=$NS$14),IF($NP$14="Single_Point",IF(20=$NR$14,$NN$14,0),IF($NP$14="Bell_Curve",$NN$14*(20-$NR$14+1)*($NS$14-20+1)/$NU$14,$NN$14/$NT$14)),0)</f>
        <v/>
      </c>
      <c r="Y14" s="402">
        <f>IF(AND(21&gt;=$NR$14,21&lt;=$NS$14),IF($NP$14="Single_Point",IF(21=$NR$14,$NN$14,0),IF($NP$14="Bell_Curve",$NN$14*(21-$NR$14+1)*($NS$14-21+1)/$NU$14,$NN$14/$NT$14)),0)</f>
        <v/>
      </c>
      <c r="Z14" s="402">
        <f>IF(AND(22&gt;=$NR$14,22&lt;=$NS$14),IF($NP$14="Single_Point",IF(22=$NR$14,$NN$14,0),IF($NP$14="Bell_Curve",$NN$14*(22-$NR$14+1)*($NS$14-22+1)/$NU$14,$NN$14/$NT$14)),0)</f>
        <v/>
      </c>
      <c r="AA14" s="402">
        <f>IF(AND(23&gt;=$NR$14,23&lt;=$NS$14),IF($NP$14="Single_Point",IF(23=$NR$14,$NN$14,0),IF($NP$14="Bell_Curve",$NN$14*(23-$NR$14+1)*($NS$14-23+1)/$NU$14,$NN$14/$NT$14)),0)</f>
        <v/>
      </c>
      <c r="AB14" s="402">
        <f>IF(AND(24&gt;=$NR$14,24&lt;=$NS$14),IF($NP$14="Single_Point",IF(24=$NR$14,$NN$14,0),IF($NP$14="Bell_Curve",$NN$14*(24-$NR$14+1)*($NS$14-24+1)/$NU$14,$NN$14/$NT$14)),0)</f>
        <v/>
      </c>
      <c r="AC14" s="402">
        <f>IF(AND(25&gt;=$NR$14,25&lt;=$NS$14),IF($NP$14="Single_Point",IF(25=$NR$14,$NN$14,0),IF($NP$14="Bell_Curve",$NN$14*(25-$NR$14+1)*($NS$14-25+1)/$NU$14,$NN$14/$NT$14)),0)</f>
        <v/>
      </c>
      <c r="AD14" s="402">
        <f>IF(AND(26&gt;=$NR$14,26&lt;=$NS$14),IF($NP$14="Single_Point",IF(26=$NR$14,$NN$14,0),IF($NP$14="Bell_Curve",$NN$14*(26-$NR$14+1)*($NS$14-26+1)/$NU$14,$NN$14/$NT$14)),0)</f>
        <v/>
      </c>
      <c r="AE14" s="402">
        <f>IF(AND(27&gt;=$NR$14,27&lt;=$NS$14),IF($NP$14="Single_Point",IF(27=$NR$14,$NN$14,0),IF($NP$14="Bell_Curve",$NN$14*(27-$NR$14+1)*($NS$14-27+1)/$NU$14,$NN$14/$NT$14)),0)</f>
        <v/>
      </c>
      <c r="AF14" s="402">
        <f>IF(AND(28&gt;=$NR$14,28&lt;=$NS$14),IF($NP$14="Single_Point",IF(28=$NR$14,$NN$14,0),IF($NP$14="Bell_Curve",$NN$14*(28-$NR$14+1)*($NS$14-28+1)/$NU$14,$NN$14/$NT$14)),0)</f>
        <v/>
      </c>
      <c r="AG14" s="402">
        <f>IF(AND(29&gt;=$NR$14,29&lt;=$NS$14),IF($NP$14="Single_Point",IF(29=$NR$14,$NN$14,0),IF($NP$14="Bell_Curve",$NN$14*(29-$NR$14+1)*($NS$14-29+1)/$NU$14,$NN$14/$NT$14)),0)</f>
        <v/>
      </c>
      <c r="AH14" s="402">
        <f>IF(AND(30&gt;=$NR$14,30&lt;=$NS$14),IF($NP$14="Single_Point",IF(30=$NR$14,$NN$14,0),IF($NP$14="Bell_Curve",$NN$14*(30-$NR$14+1)*($NS$14-30+1)/$NU$14,$NN$14/$NT$14)),0)</f>
        <v/>
      </c>
      <c r="AI14" s="402">
        <f>IF(AND(31&gt;=$NR$14,31&lt;=$NS$14),IF($NP$14="Single_Point",IF(31=$NR$14,$NN$14,0),IF($NP$14="Bell_Curve",$NN$14*(31-$NR$14+1)*($NS$14-31+1)/$NU$14,$NN$14/$NT$14)),0)</f>
        <v/>
      </c>
      <c r="AJ14" s="402">
        <f>IF(AND(32&gt;=$NR$14,32&lt;=$NS$14),IF($NP$14="Single_Point",IF(32=$NR$14,$NN$14,0),IF($NP$14="Bell_Curve",$NN$14*(32-$NR$14+1)*($NS$14-32+1)/$NU$14,$NN$14/$NT$14)),0)</f>
        <v/>
      </c>
      <c r="AK14" s="402">
        <f>IF(AND(33&gt;=$NR$14,33&lt;=$NS$14),IF($NP$14="Single_Point",IF(33=$NR$14,$NN$14,0),IF($NP$14="Bell_Curve",$NN$14*(33-$NR$14+1)*($NS$14-33+1)/$NU$14,$NN$14/$NT$14)),0)</f>
        <v/>
      </c>
      <c r="AL14" s="402">
        <f>IF(AND(34&gt;=$NR$14,34&lt;=$NS$14),IF($NP$14="Single_Point",IF(34=$NR$14,$NN$14,0),IF($NP$14="Bell_Curve",$NN$14*(34-$NR$14+1)*($NS$14-34+1)/$NU$14,$NN$14/$NT$14)),0)</f>
        <v/>
      </c>
      <c r="AM14" s="402">
        <f>IF(AND(35&gt;=$NR$14,35&lt;=$NS$14),IF($NP$14="Single_Point",IF(35=$NR$14,$NN$14,0),IF($NP$14="Bell_Curve",$NN$14*(35-$NR$14+1)*($NS$14-35+1)/$NU$14,$NN$14/$NT$14)),0)</f>
        <v/>
      </c>
      <c r="AN14" s="402">
        <f>IF(AND(36&gt;=$NR$14,36&lt;=$NS$14),IF($NP$14="Single_Point",IF(36=$NR$14,$NN$14,0),IF($NP$14="Bell_Curve",$NN$14*(36-$NR$14+1)*($NS$14-36+1)/$NU$14,$NN$14/$NT$14)),0)</f>
        <v/>
      </c>
      <c r="AO14" s="402">
        <f>IF(AND(37&gt;=$NR$14,37&lt;=$NS$14),IF($NP$14="Single_Point",IF(37=$NR$14,$NN$14,0),IF($NP$14="Bell_Curve",$NN$14*(37-$NR$14+1)*($NS$14-37+1)/$NU$14,$NN$14/$NT$14)),0)</f>
        <v/>
      </c>
      <c r="AP14" s="402">
        <f>IF(AND(38&gt;=$NR$14,38&lt;=$NS$14),IF($NP$14="Single_Point",IF(38=$NR$14,$NN$14,0),IF($NP$14="Bell_Curve",$NN$14*(38-$NR$14+1)*($NS$14-38+1)/$NU$14,$NN$14/$NT$14)),0)</f>
        <v/>
      </c>
      <c r="AQ14" s="402">
        <f>IF(AND(39&gt;=$NR$14,39&lt;=$NS$14),IF($NP$14="Single_Point",IF(39=$NR$14,$NN$14,0),IF($NP$14="Bell_Curve",$NN$14*(39-$NR$14+1)*($NS$14-39+1)/$NU$14,$NN$14/$NT$14)),0)</f>
        <v/>
      </c>
      <c r="AR14" s="402">
        <f>IF(AND(40&gt;=$NR$14,40&lt;=$NS$14),IF($NP$14="Single_Point",IF(40=$NR$14,$NN$14,0),IF($NP$14="Bell_Curve",$NN$14*(40-$NR$14+1)*($NS$14-40+1)/$NU$14,$NN$14/$NT$14)),0)</f>
        <v/>
      </c>
      <c r="AS14" s="402">
        <f>IF(AND(41&gt;=$NR$14,41&lt;=$NS$14),IF($NP$14="Single_Point",IF(41=$NR$14,$NN$14,0),IF($NP$14="Bell_Curve",$NN$14*(41-$NR$14+1)*($NS$14-41+1)/$NU$14,$NN$14/$NT$14)),0)</f>
        <v/>
      </c>
      <c r="AT14" s="402">
        <f>IF(AND(42&gt;=$NR$14,42&lt;=$NS$14),IF($NP$14="Single_Point",IF(42=$NR$14,$NN$14,0),IF($NP$14="Bell_Curve",$NN$14*(42-$NR$14+1)*($NS$14-42+1)/$NU$14,$NN$14/$NT$14)),0)</f>
        <v/>
      </c>
      <c r="AU14" s="402">
        <f>IF(AND(43&gt;=$NR$14,43&lt;=$NS$14),IF($NP$14="Single_Point",IF(43=$NR$14,$NN$14,0),IF($NP$14="Bell_Curve",$NN$14*(43-$NR$14+1)*($NS$14-43+1)/$NU$14,$NN$14/$NT$14)),0)</f>
        <v/>
      </c>
      <c r="AV14" s="402">
        <f>IF(AND(44&gt;=$NR$14,44&lt;=$NS$14),IF($NP$14="Single_Point",IF(44=$NR$14,$NN$14,0),IF($NP$14="Bell_Curve",$NN$14*(44-$NR$14+1)*($NS$14-44+1)/$NU$14,$NN$14/$NT$14)),0)</f>
        <v/>
      </c>
      <c r="AW14" s="402">
        <f>IF(AND(45&gt;=$NR$14,45&lt;=$NS$14),IF($NP$14="Single_Point",IF(45=$NR$14,$NN$14,0),IF($NP$14="Bell_Curve",$NN$14*(45-$NR$14+1)*($NS$14-45+1)/$NU$14,$NN$14/$NT$14)),0)</f>
        <v/>
      </c>
      <c r="AX14" s="402">
        <f>IF(AND(46&gt;=$NR$14,46&lt;=$NS$14),IF($NP$14="Single_Point",IF(46=$NR$14,$NN$14,0),IF($NP$14="Bell_Curve",$NN$14*(46-$NR$14+1)*($NS$14-46+1)/$NU$14,$NN$14/$NT$14)),0)</f>
        <v/>
      </c>
      <c r="AY14" s="402">
        <f>IF(AND(47&gt;=$NR$14,47&lt;=$NS$14),IF($NP$14="Single_Point",IF(47=$NR$14,$NN$14,0),IF($NP$14="Bell_Curve",$NN$14*(47-$NR$14+1)*($NS$14-47+1)/$NU$14,$NN$14/$NT$14)),0)</f>
        <v/>
      </c>
      <c r="AZ14" s="402">
        <f>IF(AND(48&gt;=$NR$14,48&lt;=$NS$14),IF($NP$14="Single_Point",IF(48=$NR$14,$NN$14,0),IF($NP$14="Bell_Curve",$NN$14*(48-$NR$14+1)*($NS$14-48+1)/$NU$14,$NN$14/$NT$14)),0)</f>
        <v/>
      </c>
      <c r="BA14" s="402">
        <f>IF(AND(49&gt;=$NR$14,49&lt;=$NS$14),IF($NP$14="Single_Point",IF(49=$NR$14,$NN$14,0),IF($NP$14="Bell_Curve",$NN$14*(49-$NR$14+1)*($NS$14-49+1)/$NU$14,$NN$14/$NT$14)),0)</f>
        <v/>
      </c>
      <c r="BB14" s="402">
        <f>IF(AND(50&gt;=$NR$14,50&lt;=$NS$14),IF($NP$14="Single_Point",IF(50=$NR$14,$NN$14,0),IF($NP$14="Bell_Curve",$NN$14*(50-$NR$14+1)*($NS$14-50+1)/$NU$14,$NN$14/$NT$14)),0)</f>
        <v/>
      </c>
      <c r="BC14" s="402">
        <f>IF(AND(51&gt;=$NR$14,51&lt;=$NS$14),IF($NP$14="Single_Point",IF(51=$NR$14,$NN$14,0),IF($NP$14="Bell_Curve",$NN$14*(51-$NR$14+1)*($NS$14-51+1)/$NU$14,$NN$14/$NT$14)),0)</f>
        <v/>
      </c>
      <c r="BD14" s="402">
        <f>IF(AND(52&gt;=$NR$14,52&lt;=$NS$14),IF($NP$14="Single_Point",IF(52=$NR$14,$NN$14,0),IF($NP$14="Bell_Curve",$NN$14*(52-$NR$14+1)*($NS$14-52+1)/$NU$14,$NN$14/$NT$14)),0)</f>
        <v/>
      </c>
      <c r="BE14" s="402">
        <f>IF(AND(53&gt;=$NR$14,53&lt;=$NS$14),IF($NP$14="Single_Point",IF(53=$NR$14,$NN$14,0),IF($NP$14="Bell_Curve",$NN$14*(53-$NR$14+1)*($NS$14-53+1)/$NU$14,$NN$14/$NT$14)),0)</f>
        <v/>
      </c>
      <c r="BF14" s="402">
        <f>IF(AND(54&gt;=$NR$14,54&lt;=$NS$14),IF($NP$14="Single_Point",IF(54=$NR$14,$NN$14,0),IF($NP$14="Bell_Curve",$NN$14*(54-$NR$14+1)*($NS$14-54+1)/$NU$14,$NN$14/$NT$14)),0)</f>
        <v/>
      </c>
      <c r="BG14" s="402">
        <f>IF(AND(55&gt;=$NR$14,55&lt;=$NS$14),IF($NP$14="Single_Point",IF(55=$NR$14,$NN$14,0),IF($NP$14="Bell_Curve",$NN$14*(55-$NR$14+1)*($NS$14-55+1)/$NU$14,$NN$14/$NT$14)),0)</f>
        <v/>
      </c>
      <c r="BH14" s="402">
        <f>IF(AND(56&gt;=$NR$14,56&lt;=$NS$14),IF($NP$14="Single_Point",IF(56=$NR$14,$NN$14,0),IF($NP$14="Bell_Curve",$NN$14*(56-$NR$14+1)*($NS$14-56+1)/$NU$14,$NN$14/$NT$14)),0)</f>
        <v/>
      </c>
      <c r="BI14" s="402">
        <f>IF(AND(57&gt;=$NR$14,57&lt;=$NS$14),IF($NP$14="Single_Point",IF(57=$NR$14,$NN$14,0),IF($NP$14="Bell_Curve",$NN$14*(57-$NR$14+1)*($NS$14-57+1)/$NU$14,$NN$14/$NT$14)),0)</f>
        <v/>
      </c>
      <c r="BJ14" s="402">
        <f>IF(AND(58&gt;=$NR$14,58&lt;=$NS$14),IF($NP$14="Single_Point",IF(58=$NR$14,$NN$14,0),IF($NP$14="Bell_Curve",$NN$14*(58-$NR$14+1)*($NS$14-58+1)/$NU$14,$NN$14/$NT$14)),0)</f>
        <v/>
      </c>
      <c r="BK14" s="402">
        <f>IF(AND(59&gt;=$NR$14,59&lt;=$NS$14),IF($NP$14="Single_Point",IF(59=$NR$14,$NN$14,0),IF($NP$14="Bell_Curve",$NN$14*(59-$NR$14+1)*($NS$14-59+1)/$NU$14,$NN$14/$NT$14)),0)</f>
        <v/>
      </c>
      <c r="BL14" s="402">
        <f>IF(AND(60&gt;=$NR$14,60&lt;=$NS$14),IF($NP$14="Single_Point",IF(60=$NR$14,$NN$14,0),IF($NP$14="Bell_Curve",$NN$14*(60-$NR$14+1)*($NS$14-60+1)/$NU$14,$NN$14/$NT$14)),0)</f>
        <v/>
      </c>
      <c r="BM14" s="402">
        <f>IF(AND(61&gt;=$NR$14,61&lt;=$NS$14),IF($NP$14="Single_Point",IF(61=$NR$14,$NN$14,0),IF($NP$14="Bell_Curve",$NN$14*(61-$NR$14+1)*($NS$14-61+1)/$NU$14,$NN$14/$NT$14)),0)</f>
        <v/>
      </c>
      <c r="BN14" s="402">
        <f>IF(AND(62&gt;=$NR$14,62&lt;=$NS$14),IF($NP$14="Single_Point",IF(62=$NR$14,$NN$14,0),IF($NP$14="Bell_Curve",$NN$14*(62-$NR$14+1)*($NS$14-62+1)/$NU$14,$NN$14/$NT$14)),0)</f>
        <v/>
      </c>
      <c r="BO14" s="402">
        <f>IF(AND(63&gt;=$NR$14,63&lt;=$NS$14),IF($NP$14="Single_Point",IF(63=$NR$14,$NN$14,0),IF($NP$14="Bell_Curve",$NN$14*(63-$NR$14+1)*($NS$14-63+1)/$NU$14,$NN$14/$NT$14)),0)</f>
        <v/>
      </c>
      <c r="BP14" s="402">
        <f>IF(AND(64&gt;=$NR$14,64&lt;=$NS$14),IF($NP$14="Single_Point",IF(64=$NR$14,$NN$14,0),IF($NP$14="Bell_Curve",$NN$14*(64-$NR$14+1)*($NS$14-64+1)/$NU$14,$NN$14/$NT$14)),0)</f>
        <v/>
      </c>
      <c r="BQ14" s="402">
        <f>IF(AND(65&gt;=$NR$14,65&lt;=$NS$14),IF($NP$14="Single_Point",IF(65=$NR$14,$NN$14,0),IF($NP$14="Bell_Curve",$NN$14*(65-$NR$14+1)*($NS$14-65+1)/$NU$14,$NN$14/$NT$14)),0)</f>
        <v/>
      </c>
      <c r="BR14" s="402">
        <f>IF(AND(66&gt;=$NR$14,66&lt;=$NS$14),IF($NP$14="Single_Point",IF(66=$NR$14,$NN$14,0),IF($NP$14="Bell_Curve",$NN$14*(66-$NR$14+1)*($NS$14-66+1)/$NU$14,$NN$14/$NT$14)),0)</f>
        <v/>
      </c>
      <c r="BS14" s="402">
        <f>IF(AND(67&gt;=$NR$14,67&lt;=$NS$14),IF($NP$14="Single_Point",IF(67=$NR$14,$NN$14,0),IF($NP$14="Bell_Curve",$NN$14*(67-$NR$14+1)*($NS$14-67+1)/$NU$14,$NN$14/$NT$14)),0)</f>
        <v/>
      </c>
      <c r="BT14" s="402">
        <f>IF(AND(68&gt;=$NR$14,68&lt;=$NS$14),IF($NP$14="Single_Point",IF(68=$NR$14,$NN$14,0),IF($NP$14="Bell_Curve",$NN$14*(68-$NR$14+1)*($NS$14-68+1)/$NU$14,$NN$14/$NT$14)),0)</f>
        <v/>
      </c>
      <c r="BU14" s="402">
        <f>IF(AND(69&gt;=$NR$14,69&lt;=$NS$14),IF($NP$14="Single_Point",IF(69=$NR$14,$NN$14,0),IF($NP$14="Bell_Curve",$NN$14*(69-$NR$14+1)*($NS$14-69+1)/$NU$14,$NN$14/$NT$14)),0)</f>
        <v/>
      </c>
      <c r="BV14" s="402">
        <f>IF(AND(70&gt;=$NR$14,70&lt;=$NS$14),IF($NP$14="Single_Point",IF(70=$NR$14,$NN$14,0),IF($NP$14="Bell_Curve",$NN$14*(70-$NR$14+1)*($NS$14-70+1)/$NU$14,$NN$14/$NT$14)),0)</f>
        <v/>
      </c>
      <c r="BW14" s="402">
        <f>IF(AND(71&gt;=$NR$14,71&lt;=$NS$14),IF($NP$14="Single_Point",IF(71=$NR$14,$NN$14,0),IF($NP$14="Bell_Curve",$NN$14*(71-$NR$14+1)*($NS$14-71+1)/$NU$14,$NN$14/$NT$14)),0)</f>
        <v/>
      </c>
      <c r="BX14" s="402">
        <f>IF(AND(72&gt;=$NR$14,72&lt;=$NS$14),IF($NP$14="Single_Point",IF(72=$NR$14,$NN$14,0),IF($NP$14="Bell_Curve",$NN$14*(72-$NR$14+1)*($NS$14-72+1)/$NU$14,$NN$14/$NT$14)),0)</f>
        <v/>
      </c>
      <c r="BY14" s="402">
        <f>IF(AND(73&gt;=$NR$14,73&lt;=$NS$14),IF($NP$14="Single_Point",IF(73=$NR$14,$NN$14,0),IF($NP$14="Bell_Curve",$NN$14*(73-$NR$14+1)*($NS$14-73+1)/$NU$14,$NN$14/$NT$14)),0)</f>
        <v/>
      </c>
      <c r="BZ14" s="402">
        <f>IF(AND(74&gt;=$NR$14,74&lt;=$NS$14),IF($NP$14="Single_Point",IF(74=$NR$14,$NN$14,0),IF($NP$14="Bell_Curve",$NN$14*(74-$NR$14+1)*($NS$14-74+1)/$NU$14,$NN$14/$NT$14)),0)</f>
        <v/>
      </c>
      <c r="CA14" s="402">
        <f>IF(AND(75&gt;=$NR$14,75&lt;=$NS$14),IF($NP$14="Single_Point",IF(75=$NR$14,$NN$14,0),IF($NP$14="Bell_Curve",$NN$14*(75-$NR$14+1)*($NS$14-75+1)/$NU$14,$NN$14/$NT$14)),0)</f>
        <v/>
      </c>
      <c r="CB14" s="402">
        <f>IF(AND(76&gt;=$NR$14,76&lt;=$NS$14),IF($NP$14="Single_Point",IF(76=$NR$14,$NN$14,0),IF($NP$14="Bell_Curve",$NN$14*(76-$NR$14+1)*($NS$14-76+1)/$NU$14,$NN$14/$NT$14)),0)</f>
        <v/>
      </c>
      <c r="CC14" s="402">
        <f>IF(AND(77&gt;=$NR$14,77&lt;=$NS$14),IF($NP$14="Single_Point",IF(77=$NR$14,$NN$14,0),IF($NP$14="Bell_Curve",$NN$14*(77-$NR$14+1)*($NS$14-77+1)/$NU$14,$NN$14/$NT$14)),0)</f>
        <v/>
      </c>
      <c r="CD14" s="402">
        <f>IF(AND(78&gt;=$NR$14,78&lt;=$NS$14),IF($NP$14="Single_Point",IF(78=$NR$14,$NN$14,0),IF($NP$14="Bell_Curve",$NN$14*(78-$NR$14+1)*($NS$14-78+1)/$NU$14,$NN$14/$NT$14)),0)</f>
        <v/>
      </c>
      <c r="CE14" s="402">
        <f>IF(AND(79&gt;=$NR$14,79&lt;=$NS$14),IF($NP$14="Single_Point",IF(79=$NR$14,$NN$14,0),IF($NP$14="Bell_Curve",$NN$14*(79-$NR$14+1)*($NS$14-79+1)/$NU$14,$NN$14/$NT$14)),0)</f>
        <v/>
      </c>
      <c r="CF14" s="402">
        <f>IF(AND(80&gt;=$NR$14,80&lt;=$NS$14),IF($NP$14="Single_Point",IF(80=$NR$14,$NN$14,0),IF($NP$14="Bell_Curve",$NN$14*(80-$NR$14+1)*($NS$14-80+1)/$NU$14,$NN$14/$NT$14)),0)</f>
        <v/>
      </c>
      <c r="CG14" s="402">
        <f>IF(AND(81&gt;=$NR$14,81&lt;=$NS$14),IF($NP$14="Single_Point",IF(81=$NR$14,$NN$14,0),IF($NP$14="Bell_Curve",$NN$14*(81-$NR$14+1)*($NS$14-81+1)/$NU$14,$NN$14/$NT$14)),0)</f>
        <v/>
      </c>
      <c r="CH14" s="402">
        <f>IF(AND(82&gt;=$NR$14,82&lt;=$NS$14),IF($NP$14="Single_Point",IF(82=$NR$14,$NN$14,0),IF($NP$14="Bell_Curve",$NN$14*(82-$NR$14+1)*($NS$14-82+1)/$NU$14,$NN$14/$NT$14)),0)</f>
        <v/>
      </c>
      <c r="CI14" s="402">
        <f>IF(AND(83&gt;=$NR$14,83&lt;=$NS$14),IF($NP$14="Single_Point",IF(83=$NR$14,$NN$14,0),IF($NP$14="Bell_Curve",$NN$14*(83-$NR$14+1)*($NS$14-83+1)/$NU$14,$NN$14/$NT$14)),0)</f>
        <v/>
      </c>
      <c r="CJ14" s="402">
        <f>IF(AND(84&gt;=$NR$14,84&lt;=$NS$14),IF($NP$14="Single_Point",IF(84=$NR$14,$NN$14,0),IF($NP$14="Bell_Curve",$NN$14*(84-$NR$14+1)*($NS$14-84+1)/$NU$14,$NN$14/$NT$14)),0)</f>
        <v/>
      </c>
      <c r="CK14" s="402">
        <f>IF(AND(85&gt;=$NR$14,85&lt;=$NS$14),IF($NP$14="Single_Point",IF(85=$NR$14,$NN$14,0),IF($NP$14="Bell_Curve",$NN$14*(85-$NR$14+1)*($NS$14-85+1)/$NU$14,$NN$14/$NT$14)),0)</f>
        <v/>
      </c>
      <c r="CL14" s="402">
        <f>IF(AND(86&gt;=$NR$14,86&lt;=$NS$14),IF($NP$14="Single_Point",IF(86=$NR$14,$NN$14,0),IF($NP$14="Bell_Curve",$NN$14*(86-$NR$14+1)*($NS$14-86+1)/$NU$14,$NN$14/$NT$14)),0)</f>
        <v/>
      </c>
      <c r="CM14" s="402">
        <f>IF(AND(87&gt;=$NR$14,87&lt;=$NS$14),IF($NP$14="Single_Point",IF(87=$NR$14,$NN$14,0),IF($NP$14="Bell_Curve",$NN$14*(87-$NR$14+1)*($NS$14-87+1)/$NU$14,$NN$14/$NT$14)),0)</f>
        <v/>
      </c>
      <c r="CN14" s="402">
        <f>IF(AND(88&gt;=$NR$14,88&lt;=$NS$14),IF($NP$14="Single_Point",IF(88=$NR$14,$NN$14,0),IF($NP$14="Bell_Curve",$NN$14*(88-$NR$14+1)*($NS$14-88+1)/$NU$14,$NN$14/$NT$14)),0)</f>
        <v/>
      </c>
      <c r="CO14" s="402">
        <f>IF(AND(89&gt;=$NR$14,89&lt;=$NS$14),IF($NP$14="Single_Point",IF(89=$NR$14,$NN$14,0),IF($NP$14="Bell_Curve",$NN$14*(89-$NR$14+1)*($NS$14-89+1)/$NU$14,$NN$14/$NT$14)),0)</f>
        <v/>
      </c>
      <c r="CP14" s="402">
        <f>IF(AND(90&gt;=$NR$14,90&lt;=$NS$14),IF($NP$14="Single_Point",IF(90=$NR$14,$NN$14,0),IF($NP$14="Bell_Curve",$NN$14*(90-$NR$14+1)*($NS$14-90+1)/$NU$14,$NN$14/$NT$14)),0)</f>
        <v/>
      </c>
      <c r="CQ14" s="402">
        <f>IF(AND(91&gt;=$NR$14,91&lt;=$NS$14),IF($NP$14="Single_Point",IF(91=$NR$14,$NN$14,0),IF($NP$14="Bell_Curve",$NN$14*(91-$NR$14+1)*($NS$14-91+1)/$NU$14,$NN$14/$NT$14)),0)</f>
        <v/>
      </c>
      <c r="CR14" s="402">
        <f>IF(AND(92&gt;=$NR$14,92&lt;=$NS$14),IF($NP$14="Single_Point",IF(92=$NR$14,$NN$14,0),IF($NP$14="Bell_Curve",$NN$14*(92-$NR$14+1)*($NS$14-92+1)/$NU$14,$NN$14/$NT$14)),0)</f>
        <v/>
      </c>
      <c r="CS14" s="402">
        <f>IF(AND(93&gt;=$NR$14,93&lt;=$NS$14),IF($NP$14="Single_Point",IF(93=$NR$14,$NN$14,0),IF($NP$14="Bell_Curve",$NN$14*(93-$NR$14+1)*($NS$14-93+1)/$NU$14,$NN$14/$NT$14)),0)</f>
        <v/>
      </c>
      <c r="CT14" s="402">
        <f>IF(AND(94&gt;=$NR$14,94&lt;=$NS$14),IF($NP$14="Single_Point",IF(94=$NR$14,$NN$14,0),IF($NP$14="Bell_Curve",$NN$14*(94-$NR$14+1)*($NS$14-94+1)/$NU$14,$NN$14/$NT$14)),0)</f>
        <v/>
      </c>
      <c r="CU14" s="402">
        <f>IF(AND(95&gt;=$NR$14,95&lt;=$NS$14),IF($NP$14="Single_Point",IF(95=$NR$14,$NN$14,0),IF($NP$14="Bell_Curve",$NN$14*(95-$NR$14+1)*($NS$14-95+1)/$NU$14,$NN$14/$NT$14)),0)</f>
        <v/>
      </c>
      <c r="CV14" s="402">
        <f>IF(AND(96&gt;=$NR$14,96&lt;=$NS$14),IF($NP$14="Single_Point",IF(96=$NR$14,$NN$14,0),IF($NP$14="Bell_Curve",$NN$14*(96-$NR$14+1)*($NS$14-96+1)/$NU$14,$NN$14/$NT$14)),0)</f>
        <v/>
      </c>
      <c r="CW14" s="402">
        <f>IF(AND(97&gt;=$NR$14,97&lt;=$NS$14),IF($NP$14="Single_Point",IF(97=$NR$14,$NN$14,0),IF($NP$14="Bell_Curve",$NN$14*(97-$NR$14+1)*($NS$14-97+1)/$NU$14,$NN$14/$NT$14)),0)</f>
        <v/>
      </c>
      <c r="CX14" s="402">
        <f>IF(AND(98&gt;=$NR$14,98&lt;=$NS$14),IF($NP$14="Single_Point",IF(98=$NR$14,$NN$14,0),IF($NP$14="Bell_Curve",$NN$14*(98-$NR$14+1)*($NS$14-98+1)/$NU$14,$NN$14/$NT$14)),0)</f>
        <v/>
      </c>
      <c r="CY14" s="402">
        <f>IF(AND(99&gt;=$NR$14,99&lt;=$NS$14),IF($NP$14="Single_Point",IF(99=$NR$14,$NN$14,0),IF($NP$14="Bell_Curve",$NN$14*(99-$NR$14+1)*($NS$14-99+1)/$NU$14,$NN$14/$NT$14)),0)</f>
        <v/>
      </c>
      <c r="CZ14" s="402">
        <f>IF(AND(100&gt;=$NR$14,100&lt;=$NS$14),IF($NP$14="Single_Point",IF(100=$NR$14,$NN$14,0),IF($NP$14="Bell_Curve",$NN$14*(100-$NR$14+1)*($NS$14-100+1)/$NU$14,$NN$14/$NT$14)),0)</f>
        <v/>
      </c>
      <c r="DA14" s="402">
        <f>IF(AND(101&gt;=$NR$14,101&lt;=$NS$14),IF($NP$14="Single_Point",IF(101=$NR$14,$NN$14,0),IF($NP$14="Bell_Curve",$NN$14*(101-$NR$14+1)*($NS$14-101+1)/$NU$14,$NN$14/$NT$14)),0)</f>
        <v/>
      </c>
      <c r="DB14" s="402">
        <f>IF(AND(102&gt;=$NR$14,102&lt;=$NS$14),IF($NP$14="Single_Point",IF(102=$NR$14,$NN$14,0),IF($NP$14="Bell_Curve",$NN$14*(102-$NR$14+1)*($NS$14-102+1)/$NU$14,$NN$14/$NT$14)),0)</f>
        <v/>
      </c>
      <c r="DC14" s="402">
        <f>IF(AND(103&gt;=$NR$14,103&lt;=$NS$14),IF($NP$14="Single_Point",IF(103=$NR$14,$NN$14,0),IF($NP$14="Bell_Curve",$NN$14*(103-$NR$14+1)*($NS$14-103+1)/$NU$14,$NN$14/$NT$14)),0)</f>
        <v/>
      </c>
      <c r="DD14" s="402">
        <f>IF(AND(104&gt;=$NR$14,104&lt;=$NS$14),IF($NP$14="Single_Point",IF(104=$NR$14,$NN$14,0),IF($NP$14="Bell_Curve",$NN$14*(104-$NR$14+1)*($NS$14-104+1)/$NU$14,$NN$14/$NT$14)),0)</f>
        <v/>
      </c>
      <c r="DE14" s="402">
        <f>IF(AND(105&gt;=$NR$14,105&lt;=$NS$14),IF($NP$14="Single_Point",IF(105=$NR$14,$NN$14,0),IF($NP$14="Bell_Curve",$NN$14*(105-$NR$14+1)*($NS$14-105+1)/$NU$14,$NN$14/$NT$14)),0)</f>
        <v/>
      </c>
      <c r="DF14" s="402">
        <f>IF(AND(106&gt;=$NR$14,106&lt;=$NS$14),IF($NP$14="Single_Point",IF(106=$NR$14,$NN$14,0),IF($NP$14="Bell_Curve",$NN$14*(106-$NR$14+1)*($NS$14-106+1)/$NU$14,$NN$14/$NT$14)),0)</f>
        <v/>
      </c>
      <c r="DG14" s="402">
        <f>IF(AND(107&gt;=$NR$14,107&lt;=$NS$14),IF($NP$14="Single_Point",IF(107=$NR$14,$NN$14,0),IF($NP$14="Bell_Curve",$NN$14*(107-$NR$14+1)*($NS$14-107+1)/$NU$14,$NN$14/$NT$14)),0)</f>
        <v/>
      </c>
      <c r="DH14" s="402">
        <f>IF(AND(108&gt;=$NR$14,108&lt;=$NS$14),IF($NP$14="Single_Point",IF(108=$NR$14,$NN$14,0),IF($NP$14="Bell_Curve",$NN$14*(108-$NR$14+1)*($NS$14-108+1)/$NU$14,$NN$14/$NT$14)),0)</f>
        <v/>
      </c>
      <c r="DI14" s="402">
        <f>IF(AND(109&gt;=$NR$14,109&lt;=$NS$14),IF($NP$14="Single_Point",IF(109=$NR$14,$NN$14,0),IF($NP$14="Bell_Curve",$NN$14*(109-$NR$14+1)*($NS$14-109+1)/$NU$14,$NN$14/$NT$14)),0)</f>
        <v/>
      </c>
      <c r="DJ14" s="402">
        <f>IF(AND(110&gt;=$NR$14,110&lt;=$NS$14),IF($NP$14="Single_Point",IF(110=$NR$14,$NN$14,0),IF($NP$14="Bell_Curve",$NN$14*(110-$NR$14+1)*($NS$14-110+1)/$NU$14,$NN$14/$NT$14)),0)</f>
        <v/>
      </c>
      <c r="DK14" s="402">
        <f>IF(AND(111&gt;=$NR$14,111&lt;=$NS$14),IF($NP$14="Single_Point",IF(111=$NR$14,$NN$14,0),IF($NP$14="Bell_Curve",$NN$14*(111-$NR$14+1)*($NS$14-111+1)/$NU$14,$NN$14/$NT$14)),0)</f>
        <v/>
      </c>
      <c r="DL14" s="402">
        <f>IF(AND(112&gt;=$NR$14,112&lt;=$NS$14),IF($NP$14="Single_Point",IF(112=$NR$14,$NN$14,0),IF($NP$14="Bell_Curve",$NN$14*(112-$NR$14+1)*($NS$14-112+1)/$NU$14,$NN$14/$NT$14)),0)</f>
        <v/>
      </c>
      <c r="DM14" s="402">
        <f>IF(AND(113&gt;=$NR$14,113&lt;=$NS$14),IF($NP$14="Single_Point",IF(113=$NR$14,$NN$14,0),IF($NP$14="Bell_Curve",$NN$14*(113-$NR$14+1)*($NS$14-113+1)/$NU$14,$NN$14/$NT$14)),0)</f>
        <v/>
      </c>
      <c r="DN14" s="402">
        <f>IF(AND(114&gt;=$NR$14,114&lt;=$NS$14),IF($NP$14="Single_Point",IF(114=$NR$14,$NN$14,0),IF($NP$14="Bell_Curve",$NN$14*(114-$NR$14+1)*($NS$14-114+1)/$NU$14,$NN$14/$NT$14)),0)</f>
        <v/>
      </c>
      <c r="DO14" s="402">
        <f>IF(AND(115&gt;=$NR$14,115&lt;=$NS$14),IF($NP$14="Single_Point",IF(115=$NR$14,$NN$14,0),IF($NP$14="Bell_Curve",$NN$14*(115-$NR$14+1)*($NS$14-115+1)/$NU$14,$NN$14/$NT$14)),0)</f>
        <v/>
      </c>
      <c r="DP14" s="402">
        <f>IF(AND(116&gt;=$NR$14,116&lt;=$NS$14),IF($NP$14="Single_Point",IF(116=$NR$14,$NN$14,0),IF($NP$14="Bell_Curve",$NN$14*(116-$NR$14+1)*($NS$14-116+1)/$NU$14,$NN$14/$NT$14)),0)</f>
        <v/>
      </c>
      <c r="DQ14" s="402">
        <f>IF(AND(117&gt;=$NR$14,117&lt;=$NS$14),IF($NP$14="Single_Point",IF(117=$NR$14,$NN$14,0),IF($NP$14="Bell_Curve",$NN$14*(117-$NR$14+1)*($NS$14-117+1)/$NU$14,$NN$14/$NT$14)),0)</f>
        <v/>
      </c>
      <c r="DR14" s="402">
        <f>IF(AND(118&gt;=$NR$14,118&lt;=$NS$14),IF($NP$14="Single_Point",IF(118=$NR$14,$NN$14,0),IF($NP$14="Bell_Curve",$NN$14*(118-$NR$14+1)*($NS$14-118+1)/$NU$14,$NN$14/$NT$14)),0)</f>
        <v/>
      </c>
      <c r="DS14" s="402">
        <f>IF(AND(119&gt;=$NR$14,119&lt;=$NS$14),IF($NP$14="Single_Point",IF(119=$NR$14,$NN$14,0),IF($NP$14="Bell_Curve",$NN$14*(119-$NR$14+1)*($NS$14-119+1)/$NU$14,$NN$14/$NT$14)),0)</f>
        <v/>
      </c>
      <c r="DT14" s="402">
        <f>IF(AND(120&gt;=$NR$14,120&lt;=$NS$14),IF($NP$14="Single_Point",IF(120=$NR$14,$NN$14,0),IF($NP$14="Bell_Curve",$NN$14*(120-$NR$14+1)*($NS$14-120+1)/$NU$14,$NN$14/$NT$14)),0)</f>
        <v/>
      </c>
      <c r="DU14" s="402">
        <f>IF(AND(121&gt;=$NR$14,121&lt;=$NS$14),IF($NP$14="Single_Point",IF(121=$NR$14,$NN$14,0),IF($NP$14="Bell_Curve",$NN$14*(121-$NR$14+1)*($NS$14-121+1)/$NU$14,$NN$14/$NT$14)),0)</f>
        <v/>
      </c>
      <c r="DV14" s="402">
        <f>IF(AND(122&gt;=$NR$14,122&lt;=$NS$14),IF($NP$14="Single_Point",IF(122=$NR$14,$NN$14,0),IF($NP$14="Bell_Curve",$NN$14*(122-$NR$14+1)*($NS$14-122+1)/$NU$14,$NN$14/$NT$14)),0)</f>
        <v/>
      </c>
      <c r="DW14" s="402">
        <f>IF(AND(123&gt;=$NR$14,123&lt;=$NS$14),IF($NP$14="Single_Point",IF(123=$NR$14,$NN$14,0),IF($NP$14="Bell_Curve",$NN$14*(123-$NR$14+1)*($NS$14-123+1)/$NU$14,$NN$14/$NT$14)),0)</f>
        <v/>
      </c>
      <c r="DX14" s="402">
        <f>IF(AND(124&gt;=$NR$14,124&lt;=$NS$14),IF($NP$14="Single_Point",IF(124=$NR$14,$NN$14,0),IF($NP$14="Bell_Curve",$NN$14*(124-$NR$14+1)*($NS$14-124+1)/$NU$14,$NN$14/$NT$14)),0)</f>
        <v/>
      </c>
      <c r="DY14" s="402">
        <f>IF(AND(125&gt;=$NR$14,125&lt;=$NS$14),IF($NP$14="Single_Point",IF(125=$NR$14,$NN$14,0),IF($NP$14="Bell_Curve",$NN$14*(125-$NR$14+1)*($NS$14-125+1)/$NU$14,$NN$14/$NT$14)),0)</f>
        <v/>
      </c>
      <c r="DZ14" s="402">
        <f>IF(AND(126&gt;=$NR$14,126&lt;=$NS$14),IF($NP$14="Single_Point",IF(126=$NR$14,$NN$14,0),IF($NP$14="Bell_Curve",$NN$14*(126-$NR$14+1)*($NS$14-126+1)/$NU$14,$NN$14/$NT$14)),0)</f>
        <v/>
      </c>
      <c r="EA14" s="402">
        <f>IF(AND(127&gt;=$NR$14,127&lt;=$NS$14),IF($NP$14="Single_Point",IF(127=$NR$14,$NN$14,0),IF($NP$14="Bell_Curve",$NN$14*(127-$NR$14+1)*($NS$14-127+1)/$NU$14,$NN$14/$NT$14)),0)</f>
        <v/>
      </c>
      <c r="EB14" s="402">
        <f>IF(AND(128&gt;=$NR$14,128&lt;=$NS$14),IF($NP$14="Single_Point",IF(128=$NR$14,$NN$14,0),IF($NP$14="Bell_Curve",$NN$14*(128-$NR$14+1)*($NS$14-128+1)/$NU$14,$NN$14/$NT$14)),0)</f>
        <v/>
      </c>
      <c r="EC14" s="402">
        <f>IF(AND(129&gt;=$NR$14,129&lt;=$NS$14),IF($NP$14="Single_Point",IF(129=$NR$14,$NN$14,0),IF($NP$14="Bell_Curve",$NN$14*(129-$NR$14+1)*($NS$14-129+1)/$NU$14,$NN$14/$NT$14)),0)</f>
        <v/>
      </c>
      <c r="ED14" s="402">
        <f>IF(AND(130&gt;=$NR$14,130&lt;=$NS$14),IF($NP$14="Single_Point",IF(130=$NR$14,$NN$14,0),IF($NP$14="Bell_Curve",$NN$14*(130-$NR$14+1)*($NS$14-130+1)/$NU$14,$NN$14/$NT$14)),0)</f>
        <v/>
      </c>
      <c r="EE14" s="402">
        <f>IF(AND(131&gt;=$NR$14,131&lt;=$NS$14),IF($NP$14="Single_Point",IF(131=$NR$14,$NN$14,0),IF($NP$14="Bell_Curve",$NN$14*(131-$NR$14+1)*($NS$14-131+1)/$NU$14,$NN$14/$NT$14)),0)</f>
        <v/>
      </c>
      <c r="EF14" s="402">
        <f>IF(AND(132&gt;=$NR$14,132&lt;=$NS$14),IF($NP$14="Single_Point",IF(132=$NR$14,$NN$14,0),IF($NP$14="Bell_Curve",$NN$14*(132-$NR$14+1)*($NS$14-132+1)/$NU$14,$NN$14/$NT$14)),0)</f>
        <v/>
      </c>
      <c r="EG14" s="402">
        <f>IF(AND(133&gt;=$NR$14,133&lt;=$NS$14),IF($NP$14="Single_Point",IF(133=$NR$14,$NN$14,0),IF($NP$14="Bell_Curve",$NN$14*(133-$NR$14+1)*($NS$14-133+1)/$NU$14,$NN$14/$NT$14)),0)</f>
        <v/>
      </c>
      <c r="EH14" s="402">
        <f>IF(AND(134&gt;=$NR$14,134&lt;=$NS$14),IF($NP$14="Single_Point",IF(134=$NR$14,$NN$14,0),IF($NP$14="Bell_Curve",$NN$14*(134-$NR$14+1)*($NS$14-134+1)/$NU$14,$NN$14/$NT$14)),0)</f>
        <v/>
      </c>
      <c r="EI14" s="402">
        <f>IF(AND(135&gt;=$NR$14,135&lt;=$NS$14),IF($NP$14="Single_Point",IF(135=$NR$14,$NN$14,0),IF($NP$14="Bell_Curve",$NN$14*(135-$NR$14+1)*($NS$14-135+1)/$NU$14,$NN$14/$NT$14)),0)</f>
        <v/>
      </c>
      <c r="EJ14" s="402">
        <f>IF(AND(136&gt;=$NR$14,136&lt;=$NS$14),IF($NP$14="Single_Point",IF(136=$NR$14,$NN$14,0),IF($NP$14="Bell_Curve",$NN$14*(136-$NR$14+1)*($NS$14-136+1)/$NU$14,$NN$14/$NT$14)),0)</f>
        <v/>
      </c>
      <c r="EK14" s="402">
        <f>IF(AND(137&gt;=$NR$14,137&lt;=$NS$14),IF($NP$14="Single_Point",IF(137=$NR$14,$NN$14,0),IF($NP$14="Bell_Curve",$NN$14*(137-$NR$14+1)*($NS$14-137+1)/$NU$14,$NN$14/$NT$14)),0)</f>
        <v/>
      </c>
      <c r="EL14" s="402">
        <f>IF(AND(138&gt;=$NR$14,138&lt;=$NS$14),IF($NP$14="Single_Point",IF(138=$NR$14,$NN$14,0),IF($NP$14="Bell_Curve",$NN$14*(138-$NR$14+1)*($NS$14-138+1)/$NU$14,$NN$14/$NT$14)),0)</f>
        <v/>
      </c>
      <c r="EM14" s="402">
        <f>IF(AND(139&gt;=$NR$14,139&lt;=$NS$14),IF($NP$14="Single_Point",IF(139=$NR$14,$NN$14,0),IF($NP$14="Bell_Curve",$NN$14*(139-$NR$14+1)*($NS$14-139+1)/$NU$14,$NN$14/$NT$14)),0)</f>
        <v/>
      </c>
      <c r="EN14" s="402">
        <f>IF(AND(140&gt;=$NR$14,140&lt;=$NS$14),IF($NP$14="Single_Point",IF(140=$NR$14,$NN$14,0),IF($NP$14="Bell_Curve",$NN$14*(140-$NR$14+1)*($NS$14-140+1)/$NU$14,$NN$14/$NT$14)),0)</f>
        <v/>
      </c>
      <c r="EO14" s="402">
        <f>IF(AND(141&gt;=$NR$14,141&lt;=$NS$14),IF($NP$14="Single_Point",IF(141=$NR$14,$NN$14,0),IF($NP$14="Bell_Curve",$NN$14*(141-$NR$14+1)*($NS$14-141+1)/$NU$14,$NN$14/$NT$14)),0)</f>
        <v/>
      </c>
      <c r="EP14" s="402">
        <f>IF(AND(142&gt;=$NR$14,142&lt;=$NS$14),IF($NP$14="Single_Point",IF(142=$NR$14,$NN$14,0),IF($NP$14="Bell_Curve",$NN$14*(142-$NR$14+1)*($NS$14-142+1)/$NU$14,$NN$14/$NT$14)),0)</f>
        <v/>
      </c>
      <c r="EQ14" s="402">
        <f>IF(AND(143&gt;=$NR$14,143&lt;=$NS$14),IF($NP$14="Single_Point",IF(143=$NR$14,$NN$14,0),IF($NP$14="Bell_Curve",$NN$14*(143-$NR$14+1)*($NS$14-143+1)/$NU$14,$NN$14/$NT$14)),0)</f>
        <v/>
      </c>
      <c r="ER14" s="402">
        <f>IF(AND(144&gt;=$NR$14,144&lt;=$NS$14),IF($NP$14="Single_Point",IF(144=$NR$14,$NN$14,0),IF($NP$14="Bell_Curve",$NN$14*(144-$NR$14+1)*($NS$14-144+1)/$NU$14,$NN$14/$NT$14)),0)</f>
        <v/>
      </c>
      <c r="ES14" s="402">
        <f>IF(AND(145&gt;=$NR$14,145&lt;=$NS$14),IF($NP$14="Single_Point",IF(145=$NR$14,$NN$14,0),IF($NP$14="Bell_Curve",$NN$14*(145-$NR$14+1)*($NS$14-145+1)/$NU$14,$NN$14/$NT$14)),0)</f>
        <v/>
      </c>
      <c r="ET14" s="402">
        <f>IF(AND(146&gt;=$NR$14,146&lt;=$NS$14),IF($NP$14="Single_Point",IF(146=$NR$14,$NN$14,0),IF($NP$14="Bell_Curve",$NN$14*(146-$NR$14+1)*($NS$14-146+1)/$NU$14,$NN$14/$NT$14)),0)</f>
        <v/>
      </c>
      <c r="EU14" s="402">
        <f>IF(AND(147&gt;=$NR$14,147&lt;=$NS$14),IF($NP$14="Single_Point",IF(147=$NR$14,$NN$14,0),IF($NP$14="Bell_Curve",$NN$14*(147-$NR$14+1)*($NS$14-147+1)/$NU$14,$NN$14/$NT$14)),0)</f>
        <v/>
      </c>
      <c r="EV14" s="402">
        <f>IF(AND(148&gt;=$NR$14,148&lt;=$NS$14),IF($NP$14="Single_Point",IF(148=$NR$14,$NN$14,0),IF($NP$14="Bell_Curve",$NN$14*(148-$NR$14+1)*($NS$14-148+1)/$NU$14,$NN$14/$NT$14)),0)</f>
        <v/>
      </c>
      <c r="EW14" s="402">
        <f>IF(AND(149&gt;=$NR$14,149&lt;=$NS$14),IF($NP$14="Single_Point",IF(149=$NR$14,$NN$14,0),IF($NP$14="Bell_Curve",$NN$14*(149-$NR$14+1)*($NS$14-149+1)/$NU$14,$NN$14/$NT$14)),0)</f>
        <v/>
      </c>
      <c r="EX14" s="402">
        <f>IF(AND(150&gt;=$NR$14,150&lt;=$NS$14),IF($NP$14="Single_Point",IF(150=$NR$14,$NN$14,0),IF($NP$14="Bell_Curve",$NN$14*(150-$NR$14+1)*($NS$14-150+1)/$NU$14,$NN$14/$NT$14)),0)</f>
        <v/>
      </c>
      <c r="EY14" s="402">
        <f>IF(AND(151&gt;=$NR$14,151&lt;=$NS$14),IF($NP$14="Single_Point",IF(151=$NR$14,$NN$14,0),IF($NP$14="Bell_Curve",$NN$14*(151-$NR$14+1)*($NS$14-151+1)/$NU$14,$NN$14/$NT$14)),0)</f>
        <v/>
      </c>
      <c r="EZ14" s="402">
        <f>IF(AND(152&gt;=$NR$14,152&lt;=$NS$14),IF($NP$14="Single_Point",IF(152=$NR$14,$NN$14,0),IF($NP$14="Bell_Curve",$NN$14*(152-$NR$14+1)*($NS$14-152+1)/$NU$14,$NN$14/$NT$14)),0)</f>
        <v/>
      </c>
      <c r="FA14" s="402">
        <f>IF(AND(153&gt;=$NR$14,153&lt;=$NS$14),IF($NP$14="Single_Point",IF(153=$NR$14,$NN$14,0),IF($NP$14="Bell_Curve",$NN$14*(153-$NR$14+1)*($NS$14-153+1)/$NU$14,$NN$14/$NT$14)),0)</f>
        <v/>
      </c>
      <c r="FB14" s="402">
        <f>IF(AND(154&gt;=$NR$14,154&lt;=$NS$14),IF($NP$14="Single_Point",IF(154=$NR$14,$NN$14,0),IF($NP$14="Bell_Curve",$NN$14*(154-$NR$14+1)*($NS$14-154+1)/$NU$14,$NN$14/$NT$14)),0)</f>
        <v/>
      </c>
      <c r="FC14" s="402">
        <f>IF(AND(155&gt;=$NR$14,155&lt;=$NS$14),IF($NP$14="Single_Point",IF(155=$NR$14,$NN$14,0),IF($NP$14="Bell_Curve",$NN$14*(155-$NR$14+1)*($NS$14-155+1)/$NU$14,$NN$14/$NT$14)),0)</f>
        <v/>
      </c>
      <c r="FD14" s="402">
        <f>IF(AND(156&gt;=$NR$14,156&lt;=$NS$14),IF($NP$14="Single_Point",IF(156=$NR$14,$NN$14,0),IF($NP$14="Bell_Curve",$NN$14*(156-$NR$14+1)*($NS$14-156+1)/$NU$14,$NN$14/$NT$14)),0)</f>
        <v/>
      </c>
      <c r="FE14" s="402">
        <f>IF(AND(157&gt;=$NR$14,157&lt;=$NS$14),IF($NP$14="Single_Point",IF(157=$NR$14,$NN$14,0),IF($NP$14="Bell_Curve",$NN$14*(157-$NR$14+1)*($NS$14-157+1)/$NU$14,$NN$14/$NT$14)),0)</f>
        <v/>
      </c>
      <c r="FF14" s="402">
        <f>IF(AND(158&gt;=$NR$14,158&lt;=$NS$14),IF($NP$14="Single_Point",IF(158=$NR$14,$NN$14,0),IF($NP$14="Bell_Curve",$NN$14*(158-$NR$14+1)*($NS$14-158+1)/$NU$14,$NN$14/$NT$14)),0)</f>
        <v/>
      </c>
      <c r="FG14" s="402">
        <f>IF(AND(159&gt;=$NR$14,159&lt;=$NS$14),IF($NP$14="Single_Point",IF(159=$NR$14,$NN$14,0),IF($NP$14="Bell_Curve",$NN$14*(159-$NR$14+1)*($NS$14-159+1)/$NU$14,$NN$14/$NT$14)),0)</f>
        <v/>
      </c>
      <c r="FH14" s="402">
        <f>IF(AND(160&gt;=$NR$14,160&lt;=$NS$14),IF($NP$14="Single_Point",IF(160=$NR$14,$NN$14,0),IF($NP$14="Bell_Curve",$NN$14*(160-$NR$14+1)*($NS$14-160+1)/$NU$14,$NN$14/$NT$14)),0)</f>
        <v/>
      </c>
      <c r="FI14" s="402">
        <f>IF(AND(161&gt;=$NR$14,161&lt;=$NS$14),IF($NP$14="Single_Point",IF(161=$NR$14,$NN$14,0),IF($NP$14="Bell_Curve",$NN$14*(161-$NR$14+1)*($NS$14-161+1)/$NU$14,$NN$14/$NT$14)),0)</f>
        <v/>
      </c>
      <c r="FJ14" s="402">
        <f>IF(AND(162&gt;=$NR$14,162&lt;=$NS$14),IF($NP$14="Single_Point",IF(162=$NR$14,$NN$14,0),IF($NP$14="Bell_Curve",$NN$14*(162-$NR$14+1)*($NS$14-162+1)/$NU$14,$NN$14/$NT$14)),0)</f>
        <v/>
      </c>
      <c r="FK14" s="402">
        <f>IF(AND(163&gt;=$NR$14,163&lt;=$NS$14),IF($NP$14="Single_Point",IF(163=$NR$14,$NN$14,0),IF($NP$14="Bell_Curve",$NN$14*(163-$NR$14+1)*($NS$14-163+1)/$NU$14,$NN$14/$NT$14)),0)</f>
        <v/>
      </c>
      <c r="FL14" s="402">
        <f>IF(AND(164&gt;=$NR$14,164&lt;=$NS$14),IF($NP$14="Single_Point",IF(164=$NR$14,$NN$14,0),IF($NP$14="Bell_Curve",$NN$14*(164-$NR$14+1)*($NS$14-164+1)/$NU$14,$NN$14/$NT$14)),0)</f>
        <v/>
      </c>
      <c r="FM14" s="402">
        <f>IF(AND(165&gt;=$NR$14,165&lt;=$NS$14),IF($NP$14="Single_Point",IF(165=$NR$14,$NN$14,0),IF($NP$14="Bell_Curve",$NN$14*(165-$NR$14+1)*($NS$14-165+1)/$NU$14,$NN$14/$NT$14)),0)</f>
        <v/>
      </c>
      <c r="FN14" s="402">
        <f>IF(AND(166&gt;=$NR$14,166&lt;=$NS$14),IF($NP$14="Single_Point",IF(166=$NR$14,$NN$14,0),IF($NP$14="Bell_Curve",$NN$14*(166-$NR$14+1)*($NS$14-166+1)/$NU$14,$NN$14/$NT$14)),0)</f>
        <v/>
      </c>
      <c r="FO14" s="402">
        <f>IF(AND(167&gt;=$NR$14,167&lt;=$NS$14),IF($NP$14="Single_Point",IF(167=$NR$14,$NN$14,0),IF($NP$14="Bell_Curve",$NN$14*(167-$NR$14+1)*($NS$14-167+1)/$NU$14,$NN$14/$NT$14)),0)</f>
        <v/>
      </c>
      <c r="FP14" s="402">
        <f>IF(AND(168&gt;=$NR$14,168&lt;=$NS$14),IF($NP$14="Single_Point",IF(168=$NR$14,$NN$14,0),IF($NP$14="Bell_Curve",$NN$14*(168-$NR$14+1)*($NS$14-168+1)/$NU$14,$NN$14/$NT$14)),0)</f>
        <v/>
      </c>
      <c r="FQ14" s="402">
        <f>IF(AND(169&gt;=$NR$14,169&lt;=$NS$14),IF($NP$14="Single_Point",IF(169=$NR$14,$NN$14,0),IF($NP$14="Bell_Curve",$NN$14*(169-$NR$14+1)*($NS$14-169+1)/$NU$14,$NN$14/$NT$14)),0)</f>
        <v/>
      </c>
      <c r="FR14" s="402">
        <f>IF(AND(170&gt;=$NR$14,170&lt;=$NS$14),IF($NP$14="Single_Point",IF(170=$NR$14,$NN$14,0),IF($NP$14="Bell_Curve",$NN$14*(170-$NR$14+1)*($NS$14-170+1)/$NU$14,$NN$14/$NT$14)),0)</f>
        <v/>
      </c>
      <c r="FS14" s="402">
        <f>IF(AND(171&gt;=$NR$14,171&lt;=$NS$14),IF($NP$14="Single_Point",IF(171=$NR$14,$NN$14,0),IF($NP$14="Bell_Curve",$NN$14*(171-$NR$14+1)*($NS$14-171+1)/$NU$14,$NN$14/$NT$14)),0)</f>
        <v/>
      </c>
      <c r="FT14" s="402">
        <f>IF(AND(172&gt;=$NR$14,172&lt;=$NS$14),IF($NP$14="Single_Point",IF(172=$NR$14,$NN$14,0),IF($NP$14="Bell_Curve",$NN$14*(172-$NR$14+1)*($NS$14-172+1)/$NU$14,$NN$14/$NT$14)),0)</f>
        <v/>
      </c>
      <c r="FU14" s="402">
        <f>IF(AND(173&gt;=$NR$14,173&lt;=$NS$14),IF($NP$14="Single_Point",IF(173=$NR$14,$NN$14,0),IF($NP$14="Bell_Curve",$NN$14*(173-$NR$14+1)*($NS$14-173+1)/$NU$14,$NN$14/$NT$14)),0)</f>
        <v/>
      </c>
      <c r="FV14" s="402">
        <f>IF(AND(174&gt;=$NR$14,174&lt;=$NS$14),IF($NP$14="Single_Point",IF(174=$NR$14,$NN$14,0),IF($NP$14="Bell_Curve",$NN$14*(174-$NR$14+1)*($NS$14-174+1)/$NU$14,$NN$14/$NT$14)),0)</f>
        <v/>
      </c>
      <c r="FW14" s="402">
        <f>IF(AND(175&gt;=$NR$14,175&lt;=$NS$14),IF($NP$14="Single_Point",IF(175=$NR$14,$NN$14,0),IF($NP$14="Bell_Curve",$NN$14*(175-$NR$14+1)*($NS$14-175+1)/$NU$14,$NN$14/$NT$14)),0)</f>
        <v/>
      </c>
      <c r="FX14" s="402">
        <f>IF(AND(176&gt;=$NR$14,176&lt;=$NS$14),IF($NP$14="Single_Point",IF(176=$NR$14,$NN$14,0),IF($NP$14="Bell_Curve",$NN$14*(176-$NR$14+1)*($NS$14-176+1)/$NU$14,$NN$14/$NT$14)),0)</f>
        <v/>
      </c>
      <c r="FY14" s="402">
        <f>IF(AND(177&gt;=$NR$14,177&lt;=$NS$14),IF($NP$14="Single_Point",IF(177=$NR$14,$NN$14,0),IF($NP$14="Bell_Curve",$NN$14*(177-$NR$14+1)*($NS$14-177+1)/$NU$14,$NN$14/$NT$14)),0)</f>
        <v/>
      </c>
      <c r="FZ14" s="402">
        <f>IF(AND(178&gt;=$NR$14,178&lt;=$NS$14),IF($NP$14="Single_Point",IF(178=$NR$14,$NN$14,0),IF($NP$14="Bell_Curve",$NN$14*(178-$NR$14+1)*($NS$14-178+1)/$NU$14,$NN$14/$NT$14)),0)</f>
        <v/>
      </c>
      <c r="GA14" s="402">
        <f>IF(AND(179&gt;=$NR$14,179&lt;=$NS$14),IF($NP$14="Single_Point",IF(179=$NR$14,$NN$14,0),IF($NP$14="Bell_Curve",$NN$14*(179-$NR$14+1)*($NS$14-179+1)/$NU$14,$NN$14/$NT$14)),0)</f>
        <v/>
      </c>
      <c r="GB14" s="402">
        <f>IF(AND(180&gt;=$NR$14,180&lt;=$NS$14),IF($NP$14="Single_Point",IF(180=$NR$14,$NN$14,0),IF($NP$14="Bell_Curve",$NN$14*(180-$NR$14+1)*($NS$14-180+1)/$NU$14,$NN$14/$NT$14)),0)</f>
        <v/>
      </c>
      <c r="GC14" s="402">
        <f>IF(AND(181&gt;=$NR$14,181&lt;=$NS$14),IF($NP$14="Single_Point",IF(181=$NR$14,$NN$14,0),IF($NP$14="Bell_Curve",$NN$14*(181-$NR$14+1)*($NS$14-181+1)/$NU$14,$NN$14/$NT$14)),0)</f>
        <v/>
      </c>
      <c r="GD14" s="402">
        <f>IF(AND(182&gt;=$NR$14,182&lt;=$NS$14),IF($NP$14="Single_Point",IF(182=$NR$14,$NN$14,0),IF($NP$14="Bell_Curve",$NN$14*(182-$NR$14+1)*($NS$14-182+1)/$NU$14,$NN$14/$NT$14)),0)</f>
        <v/>
      </c>
      <c r="GE14" s="402">
        <f>IF(AND(183&gt;=$NR$14,183&lt;=$NS$14),IF($NP$14="Single_Point",IF(183=$NR$14,$NN$14,0),IF($NP$14="Bell_Curve",$NN$14*(183-$NR$14+1)*($NS$14-183+1)/$NU$14,$NN$14/$NT$14)),0)</f>
        <v/>
      </c>
      <c r="GF14" s="402">
        <f>IF(AND(184&gt;=$NR$14,184&lt;=$NS$14),IF($NP$14="Single_Point",IF(184=$NR$14,$NN$14,0),IF($NP$14="Bell_Curve",$NN$14*(184-$NR$14+1)*($NS$14-184+1)/$NU$14,$NN$14/$NT$14)),0)</f>
        <v/>
      </c>
      <c r="GG14" s="402">
        <f>IF(AND(185&gt;=$NR$14,185&lt;=$NS$14),IF($NP$14="Single_Point",IF(185=$NR$14,$NN$14,0),IF($NP$14="Bell_Curve",$NN$14*(185-$NR$14+1)*($NS$14-185+1)/$NU$14,$NN$14/$NT$14)),0)</f>
        <v/>
      </c>
      <c r="GH14" s="402">
        <f>IF(AND(186&gt;=$NR$14,186&lt;=$NS$14),IF($NP$14="Single_Point",IF(186=$NR$14,$NN$14,0),IF($NP$14="Bell_Curve",$NN$14*(186-$NR$14+1)*($NS$14-186+1)/$NU$14,$NN$14/$NT$14)),0)</f>
        <v/>
      </c>
      <c r="GI14" s="402">
        <f>IF(AND(187&gt;=$NR$14,187&lt;=$NS$14),IF($NP$14="Single_Point",IF(187=$NR$14,$NN$14,0),IF($NP$14="Bell_Curve",$NN$14*(187-$NR$14+1)*($NS$14-187+1)/$NU$14,$NN$14/$NT$14)),0)</f>
        <v/>
      </c>
      <c r="GJ14" s="402">
        <f>IF(AND(188&gt;=$NR$14,188&lt;=$NS$14),IF($NP$14="Single_Point",IF(188=$NR$14,$NN$14,0),IF($NP$14="Bell_Curve",$NN$14*(188-$NR$14+1)*($NS$14-188+1)/$NU$14,$NN$14/$NT$14)),0)</f>
        <v/>
      </c>
      <c r="GK14" s="402">
        <f>IF(AND(189&gt;=$NR$14,189&lt;=$NS$14),IF($NP$14="Single_Point",IF(189=$NR$14,$NN$14,0),IF($NP$14="Bell_Curve",$NN$14*(189-$NR$14+1)*($NS$14-189+1)/$NU$14,$NN$14/$NT$14)),0)</f>
        <v/>
      </c>
      <c r="GL14" s="402">
        <f>IF(AND(190&gt;=$NR$14,190&lt;=$NS$14),IF($NP$14="Single_Point",IF(190=$NR$14,$NN$14,0),IF($NP$14="Bell_Curve",$NN$14*(190-$NR$14+1)*($NS$14-190+1)/$NU$14,$NN$14/$NT$14)),0)</f>
        <v/>
      </c>
      <c r="GM14" s="402">
        <f>IF(AND(191&gt;=$NR$14,191&lt;=$NS$14),IF($NP$14="Single_Point",IF(191=$NR$14,$NN$14,0),IF($NP$14="Bell_Curve",$NN$14*(191-$NR$14+1)*($NS$14-191+1)/$NU$14,$NN$14/$NT$14)),0)</f>
        <v/>
      </c>
      <c r="GN14" s="402">
        <f>IF(AND(192&gt;=$NR$14,192&lt;=$NS$14),IF($NP$14="Single_Point",IF(192=$NR$14,$NN$14,0),IF($NP$14="Bell_Curve",$NN$14*(192-$NR$14+1)*($NS$14-192+1)/$NU$14,$NN$14/$NT$14)),0)</f>
        <v/>
      </c>
      <c r="GO14" s="402">
        <f>IF(AND(193&gt;=$NR$14,193&lt;=$NS$14),IF($NP$14="Single_Point",IF(193=$NR$14,$NN$14,0),IF($NP$14="Bell_Curve",$NN$14*(193-$NR$14+1)*($NS$14-193+1)/$NU$14,$NN$14/$NT$14)),0)</f>
        <v/>
      </c>
      <c r="GP14" s="402">
        <f>IF(AND(194&gt;=$NR$14,194&lt;=$NS$14),IF($NP$14="Single_Point",IF(194=$NR$14,$NN$14,0),IF($NP$14="Bell_Curve",$NN$14*(194-$NR$14+1)*($NS$14-194+1)/$NU$14,$NN$14/$NT$14)),0)</f>
        <v/>
      </c>
      <c r="GQ14" s="402">
        <f>IF(AND(195&gt;=$NR$14,195&lt;=$NS$14),IF($NP$14="Single_Point",IF(195=$NR$14,$NN$14,0),IF($NP$14="Bell_Curve",$NN$14*(195-$NR$14+1)*($NS$14-195+1)/$NU$14,$NN$14/$NT$14)),0)</f>
        <v/>
      </c>
      <c r="GR14" s="402">
        <f>IF(AND(196&gt;=$NR$14,196&lt;=$NS$14),IF($NP$14="Single_Point",IF(196=$NR$14,$NN$14,0),IF($NP$14="Bell_Curve",$NN$14*(196-$NR$14+1)*($NS$14-196+1)/$NU$14,$NN$14/$NT$14)),0)</f>
        <v/>
      </c>
      <c r="GS14" s="402">
        <f>IF(AND(197&gt;=$NR$14,197&lt;=$NS$14),IF($NP$14="Single_Point",IF(197=$NR$14,$NN$14,0),IF($NP$14="Bell_Curve",$NN$14*(197-$NR$14+1)*($NS$14-197+1)/$NU$14,$NN$14/$NT$14)),0)</f>
        <v/>
      </c>
      <c r="GT14" s="402">
        <f>IF(AND(198&gt;=$NR$14,198&lt;=$NS$14),IF($NP$14="Single_Point",IF(198=$NR$14,$NN$14,0),IF($NP$14="Bell_Curve",$NN$14*(198-$NR$14+1)*($NS$14-198+1)/$NU$14,$NN$14/$NT$14)),0)</f>
        <v/>
      </c>
      <c r="GU14" s="402">
        <f>IF(AND(199&gt;=$NR$14,199&lt;=$NS$14),IF($NP$14="Single_Point",IF(199=$NR$14,$NN$14,0),IF($NP$14="Bell_Curve",$NN$14*(199-$NR$14+1)*($NS$14-199+1)/$NU$14,$NN$14/$NT$14)),0)</f>
        <v/>
      </c>
      <c r="GV14" s="402">
        <f>IF(AND(200&gt;=$NR$14,200&lt;=$NS$14),IF($NP$14="Single_Point",IF(200=$NR$14,$NN$14,0),IF($NP$14="Bell_Curve",$NN$14*(200-$NR$14+1)*($NS$14-200+1)/$NU$14,$NN$14/$NT$14)),0)</f>
        <v/>
      </c>
      <c r="GW14" s="402">
        <f>IF(AND(201&gt;=$NR$14,201&lt;=$NS$14),IF($NP$14="Single_Point",IF(201=$NR$14,$NN$14,0),IF($NP$14="Bell_Curve",$NN$14*(201-$NR$14+1)*($NS$14-201+1)/$NU$14,$NN$14/$NT$14)),0)</f>
        <v/>
      </c>
      <c r="GX14" s="402">
        <f>IF(AND(202&gt;=$NR$14,202&lt;=$NS$14),IF($NP$14="Single_Point",IF(202=$NR$14,$NN$14,0),IF($NP$14="Bell_Curve",$NN$14*(202-$NR$14+1)*($NS$14-202+1)/$NU$14,$NN$14/$NT$14)),0)</f>
        <v/>
      </c>
      <c r="GY14" s="402">
        <f>IF(AND(203&gt;=$NR$14,203&lt;=$NS$14),IF($NP$14="Single_Point",IF(203=$NR$14,$NN$14,0),IF($NP$14="Bell_Curve",$NN$14*(203-$NR$14+1)*($NS$14-203+1)/$NU$14,$NN$14/$NT$14)),0)</f>
        <v/>
      </c>
      <c r="GZ14" s="402">
        <f>IF(AND(204&gt;=$NR$14,204&lt;=$NS$14),IF($NP$14="Single_Point",IF(204=$NR$14,$NN$14,0),IF($NP$14="Bell_Curve",$NN$14*(204-$NR$14+1)*($NS$14-204+1)/$NU$14,$NN$14/$NT$14)),0)</f>
        <v/>
      </c>
      <c r="HA14" s="402">
        <f>IF(AND(205&gt;=$NR$14,205&lt;=$NS$14),IF($NP$14="Single_Point",IF(205=$NR$14,$NN$14,0),IF($NP$14="Bell_Curve",$NN$14*(205-$NR$14+1)*($NS$14-205+1)/$NU$14,$NN$14/$NT$14)),0)</f>
        <v/>
      </c>
      <c r="HB14" s="402">
        <f>IF(AND(206&gt;=$NR$14,206&lt;=$NS$14),IF($NP$14="Single_Point",IF(206=$NR$14,$NN$14,0),IF($NP$14="Bell_Curve",$NN$14*(206-$NR$14+1)*($NS$14-206+1)/$NU$14,$NN$14/$NT$14)),0)</f>
        <v/>
      </c>
      <c r="HC14" s="402">
        <f>IF(AND(207&gt;=$NR$14,207&lt;=$NS$14),IF($NP$14="Single_Point",IF(207=$NR$14,$NN$14,0),IF($NP$14="Bell_Curve",$NN$14*(207-$NR$14+1)*($NS$14-207+1)/$NU$14,$NN$14/$NT$14)),0)</f>
        <v/>
      </c>
      <c r="HD14" s="402">
        <f>IF(AND(208&gt;=$NR$14,208&lt;=$NS$14),IF($NP$14="Single_Point",IF(208=$NR$14,$NN$14,0),IF($NP$14="Bell_Curve",$NN$14*(208-$NR$14+1)*($NS$14-208+1)/$NU$14,$NN$14/$NT$14)),0)</f>
        <v/>
      </c>
      <c r="HE14" s="402">
        <f>IF(AND(209&gt;=$NR$14,209&lt;=$NS$14),IF($NP$14="Single_Point",IF(209=$NR$14,$NN$14,0),IF($NP$14="Bell_Curve",$NN$14*(209-$NR$14+1)*($NS$14-209+1)/$NU$14,$NN$14/$NT$14)),0)</f>
        <v/>
      </c>
      <c r="HF14" s="402">
        <f>IF(AND(210&gt;=$NR$14,210&lt;=$NS$14),IF($NP$14="Single_Point",IF(210=$NR$14,$NN$14,0),IF($NP$14="Bell_Curve",$NN$14*(210-$NR$14+1)*($NS$14-210+1)/$NU$14,$NN$14/$NT$14)),0)</f>
        <v/>
      </c>
      <c r="HG14" s="402">
        <f>IF(AND(211&gt;=$NR$14,211&lt;=$NS$14),IF($NP$14="Single_Point",IF(211=$NR$14,$NN$14,0),IF($NP$14="Bell_Curve",$NN$14*(211-$NR$14+1)*($NS$14-211+1)/$NU$14,$NN$14/$NT$14)),0)</f>
        <v/>
      </c>
      <c r="HH14" s="402">
        <f>IF(AND(212&gt;=$NR$14,212&lt;=$NS$14),IF($NP$14="Single_Point",IF(212=$NR$14,$NN$14,0),IF($NP$14="Bell_Curve",$NN$14*(212-$NR$14+1)*($NS$14-212+1)/$NU$14,$NN$14/$NT$14)),0)</f>
        <v/>
      </c>
      <c r="HI14" s="402">
        <f>IF(AND(213&gt;=$NR$14,213&lt;=$NS$14),IF($NP$14="Single_Point",IF(213=$NR$14,$NN$14,0),IF($NP$14="Bell_Curve",$NN$14*(213-$NR$14+1)*($NS$14-213+1)/$NU$14,$NN$14/$NT$14)),0)</f>
        <v/>
      </c>
      <c r="HJ14" s="402">
        <f>IF(AND(214&gt;=$NR$14,214&lt;=$NS$14),IF($NP$14="Single_Point",IF(214=$NR$14,$NN$14,0),IF($NP$14="Bell_Curve",$NN$14*(214-$NR$14+1)*($NS$14-214+1)/$NU$14,$NN$14/$NT$14)),0)</f>
        <v/>
      </c>
      <c r="HK14" s="402">
        <f>IF(AND(215&gt;=$NR$14,215&lt;=$NS$14),IF($NP$14="Single_Point",IF(215=$NR$14,$NN$14,0),IF($NP$14="Bell_Curve",$NN$14*(215-$NR$14+1)*($NS$14-215+1)/$NU$14,$NN$14/$NT$14)),0)</f>
        <v/>
      </c>
      <c r="HL14" s="402">
        <f>IF(AND(216&gt;=$NR$14,216&lt;=$NS$14),IF($NP$14="Single_Point",IF(216=$NR$14,$NN$14,0),IF($NP$14="Bell_Curve",$NN$14*(216-$NR$14+1)*($NS$14-216+1)/$NU$14,$NN$14/$NT$14)),0)</f>
        <v/>
      </c>
      <c r="HM14" s="402">
        <f>IF(AND(217&gt;=$NR$14,217&lt;=$NS$14),IF($NP$14="Single_Point",IF(217=$NR$14,$NN$14,0),IF($NP$14="Bell_Curve",$NN$14*(217-$NR$14+1)*($NS$14-217+1)/$NU$14,$NN$14/$NT$14)),0)</f>
        <v/>
      </c>
      <c r="HN14" s="402">
        <f>IF(AND(218&gt;=$NR$14,218&lt;=$NS$14),IF($NP$14="Single_Point",IF(218=$NR$14,$NN$14,0),IF($NP$14="Bell_Curve",$NN$14*(218-$NR$14+1)*($NS$14-218+1)/$NU$14,$NN$14/$NT$14)),0)</f>
        <v/>
      </c>
      <c r="HO14" s="402">
        <f>IF(AND(219&gt;=$NR$14,219&lt;=$NS$14),IF($NP$14="Single_Point",IF(219=$NR$14,$NN$14,0),IF($NP$14="Bell_Curve",$NN$14*(219-$NR$14+1)*($NS$14-219+1)/$NU$14,$NN$14/$NT$14)),0)</f>
        <v/>
      </c>
      <c r="HP14" s="402">
        <f>IF(AND(220&gt;=$NR$14,220&lt;=$NS$14),IF($NP$14="Single_Point",IF(220=$NR$14,$NN$14,0),IF($NP$14="Bell_Curve",$NN$14*(220-$NR$14+1)*($NS$14-220+1)/$NU$14,$NN$14/$NT$14)),0)</f>
        <v/>
      </c>
      <c r="HQ14" s="402">
        <f>IF(AND(221&gt;=$NR$14,221&lt;=$NS$14),IF($NP$14="Single_Point",IF(221=$NR$14,$NN$14,0),IF($NP$14="Bell_Curve",$NN$14*(221-$NR$14+1)*($NS$14-221+1)/$NU$14,$NN$14/$NT$14)),0)</f>
        <v/>
      </c>
      <c r="HR14" s="402">
        <f>IF(AND(222&gt;=$NR$14,222&lt;=$NS$14),IF($NP$14="Single_Point",IF(222=$NR$14,$NN$14,0),IF($NP$14="Bell_Curve",$NN$14*(222-$NR$14+1)*($NS$14-222+1)/$NU$14,$NN$14/$NT$14)),0)</f>
        <v/>
      </c>
      <c r="HS14" s="402">
        <f>IF(AND(223&gt;=$NR$14,223&lt;=$NS$14),IF($NP$14="Single_Point",IF(223=$NR$14,$NN$14,0),IF($NP$14="Bell_Curve",$NN$14*(223-$NR$14+1)*($NS$14-223+1)/$NU$14,$NN$14/$NT$14)),0)</f>
        <v/>
      </c>
      <c r="HT14" s="402">
        <f>IF(AND(224&gt;=$NR$14,224&lt;=$NS$14),IF($NP$14="Single_Point",IF(224=$NR$14,$NN$14,0),IF($NP$14="Bell_Curve",$NN$14*(224-$NR$14+1)*($NS$14-224+1)/$NU$14,$NN$14/$NT$14)),0)</f>
        <v/>
      </c>
      <c r="HU14" s="402">
        <f>IF(AND(225&gt;=$NR$14,225&lt;=$NS$14),IF($NP$14="Single_Point",IF(225=$NR$14,$NN$14,0),IF($NP$14="Bell_Curve",$NN$14*(225-$NR$14+1)*($NS$14-225+1)/$NU$14,$NN$14/$NT$14)),0)</f>
        <v/>
      </c>
      <c r="HV14" s="402">
        <f>IF(AND(226&gt;=$NR$14,226&lt;=$NS$14),IF($NP$14="Single_Point",IF(226=$NR$14,$NN$14,0),IF($NP$14="Bell_Curve",$NN$14*(226-$NR$14+1)*($NS$14-226+1)/$NU$14,$NN$14/$NT$14)),0)</f>
        <v/>
      </c>
      <c r="HW14" s="402">
        <f>IF(AND(227&gt;=$NR$14,227&lt;=$NS$14),IF($NP$14="Single_Point",IF(227=$NR$14,$NN$14,0),IF($NP$14="Bell_Curve",$NN$14*(227-$NR$14+1)*($NS$14-227+1)/$NU$14,$NN$14/$NT$14)),0)</f>
        <v/>
      </c>
      <c r="HX14" s="402">
        <f>IF(AND(228&gt;=$NR$14,228&lt;=$NS$14),IF($NP$14="Single_Point",IF(228=$NR$14,$NN$14,0),IF($NP$14="Bell_Curve",$NN$14*(228-$NR$14+1)*($NS$14-228+1)/$NU$14,$NN$14/$NT$14)),0)</f>
        <v/>
      </c>
      <c r="HY14" s="402">
        <f>IF(AND(229&gt;=$NR$14,229&lt;=$NS$14),IF($NP$14="Single_Point",IF(229=$NR$14,$NN$14,0),IF($NP$14="Bell_Curve",$NN$14*(229-$NR$14+1)*($NS$14-229+1)/$NU$14,$NN$14/$NT$14)),0)</f>
        <v/>
      </c>
      <c r="HZ14" s="402">
        <f>IF(AND(230&gt;=$NR$14,230&lt;=$NS$14),IF($NP$14="Single_Point",IF(230=$NR$14,$NN$14,0),IF($NP$14="Bell_Curve",$NN$14*(230-$NR$14+1)*($NS$14-230+1)/$NU$14,$NN$14/$NT$14)),0)</f>
        <v/>
      </c>
      <c r="IA14" s="402">
        <f>IF(AND(231&gt;=$NR$14,231&lt;=$NS$14),IF($NP$14="Single_Point",IF(231=$NR$14,$NN$14,0),IF($NP$14="Bell_Curve",$NN$14*(231-$NR$14+1)*($NS$14-231+1)/$NU$14,$NN$14/$NT$14)),0)</f>
        <v/>
      </c>
      <c r="IB14" s="402">
        <f>IF(AND(232&gt;=$NR$14,232&lt;=$NS$14),IF($NP$14="Single_Point",IF(232=$NR$14,$NN$14,0),IF($NP$14="Bell_Curve",$NN$14*(232-$NR$14+1)*($NS$14-232+1)/$NU$14,$NN$14/$NT$14)),0)</f>
        <v/>
      </c>
      <c r="IC14" s="402">
        <f>IF(AND(233&gt;=$NR$14,233&lt;=$NS$14),IF($NP$14="Single_Point",IF(233=$NR$14,$NN$14,0),IF($NP$14="Bell_Curve",$NN$14*(233-$NR$14+1)*($NS$14-233+1)/$NU$14,$NN$14/$NT$14)),0)</f>
        <v/>
      </c>
      <c r="ID14" s="402">
        <f>IF(AND(234&gt;=$NR$14,234&lt;=$NS$14),IF($NP$14="Single_Point",IF(234=$NR$14,$NN$14,0),IF($NP$14="Bell_Curve",$NN$14*(234-$NR$14+1)*($NS$14-234+1)/$NU$14,$NN$14/$NT$14)),0)</f>
        <v/>
      </c>
      <c r="IE14" s="402">
        <f>IF(AND(235&gt;=$NR$14,235&lt;=$NS$14),IF($NP$14="Single_Point",IF(235=$NR$14,$NN$14,0),IF($NP$14="Bell_Curve",$NN$14*(235-$NR$14+1)*($NS$14-235+1)/$NU$14,$NN$14/$NT$14)),0)</f>
        <v/>
      </c>
      <c r="IF14" s="402">
        <f>IF(AND(236&gt;=$NR$14,236&lt;=$NS$14),IF($NP$14="Single_Point",IF(236=$NR$14,$NN$14,0),IF($NP$14="Bell_Curve",$NN$14*(236-$NR$14+1)*($NS$14-236+1)/$NU$14,$NN$14/$NT$14)),0)</f>
        <v/>
      </c>
      <c r="IG14" s="402">
        <f>IF(AND(237&gt;=$NR$14,237&lt;=$NS$14),IF($NP$14="Single_Point",IF(237=$NR$14,$NN$14,0),IF($NP$14="Bell_Curve",$NN$14*(237-$NR$14+1)*($NS$14-237+1)/$NU$14,$NN$14/$NT$14)),0)</f>
        <v/>
      </c>
      <c r="IH14" s="402">
        <f>IF(AND(238&gt;=$NR$14,238&lt;=$NS$14),IF($NP$14="Single_Point",IF(238=$NR$14,$NN$14,0),IF($NP$14="Bell_Curve",$NN$14*(238-$NR$14+1)*($NS$14-238+1)/$NU$14,$NN$14/$NT$14)),0)</f>
        <v/>
      </c>
      <c r="II14" s="402">
        <f>IF(AND(239&gt;=$NR$14,239&lt;=$NS$14),IF($NP$14="Single_Point",IF(239=$NR$14,$NN$14,0),IF($NP$14="Bell_Curve",$NN$14*(239-$NR$14+1)*($NS$14-239+1)/$NU$14,$NN$14/$NT$14)),0)</f>
        <v/>
      </c>
      <c r="IJ14" s="402">
        <f>IF(AND(240&gt;=$NR$14,240&lt;=$NS$14),IF($NP$14="Single_Point",IF(240=$NR$14,$NN$14,0),IF($NP$14="Bell_Curve",$NN$14*(240-$NR$14+1)*($NS$14-240+1)/$NU$14,$NN$14/$NT$14)),0)</f>
        <v/>
      </c>
      <c r="IK14" s="402">
        <f>IF(AND(241&gt;=$NR$14,241&lt;=$NS$14),IF($NP$14="Single_Point",IF(241=$NR$14,$NN$14,0),IF($NP$14="Bell_Curve",$NN$14*(241-$NR$14+1)*($NS$14-241+1)/$NU$14,$NN$14/$NT$14)),0)</f>
        <v/>
      </c>
      <c r="IL14" s="402">
        <f>IF(AND(242&gt;=$NR$14,242&lt;=$NS$14),IF($NP$14="Single_Point",IF(242=$NR$14,$NN$14,0),IF($NP$14="Bell_Curve",$NN$14*(242-$NR$14+1)*($NS$14-242+1)/$NU$14,$NN$14/$NT$14)),0)</f>
        <v/>
      </c>
      <c r="IM14" s="402">
        <f>IF(AND(243&gt;=$NR$14,243&lt;=$NS$14),IF($NP$14="Single_Point",IF(243=$NR$14,$NN$14,0),IF($NP$14="Bell_Curve",$NN$14*(243-$NR$14+1)*($NS$14-243+1)/$NU$14,$NN$14/$NT$14)),0)</f>
        <v/>
      </c>
      <c r="IN14" s="402">
        <f>IF(AND(244&gt;=$NR$14,244&lt;=$NS$14),IF($NP$14="Single_Point",IF(244=$NR$14,$NN$14,0),IF($NP$14="Bell_Curve",$NN$14*(244-$NR$14+1)*($NS$14-244+1)/$NU$14,$NN$14/$NT$14)),0)</f>
        <v/>
      </c>
      <c r="IO14" s="402">
        <f>IF(AND(245&gt;=$NR$14,245&lt;=$NS$14),IF($NP$14="Single_Point",IF(245=$NR$14,$NN$14,0),IF($NP$14="Bell_Curve",$NN$14*(245-$NR$14+1)*($NS$14-245+1)/$NU$14,$NN$14/$NT$14)),0)</f>
        <v/>
      </c>
      <c r="IP14" s="402">
        <f>IF(AND(246&gt;=$NR$14,246&lt;=$NS$14),IF($NP$14="Single_Point",IF(246=$NR$14,$NN$14,0),IF($NP$14="Bell_Curve",$NN$14*(246-$NR$14+1)*($NS$14-246+1)/$NU$14,$NN$14/$NT$14)),0)</f>
        <v/>
      </c>
      <c r="IQ14" s="402">
        <f>IF(AND(247&gt;=$NR$14,247&lt;=$NS$14),IF($NP$14="Single_Point",IF(247=$NR$14,$NN$14,0),IF($NP$14="Bell_Curve",$NN$14*(247-$NR$14+1)*($NS$14-247+1)/$NU$14,$NN$14/$NT$14)),0)</f>
        <v/>
      </c>
      <c r="IR14" s="402">
        <f>IF(AND(248&gt;=$NR$14,248&lt;=$NS$14),IF($NP$14="Single_Point",IF(248=$NR$14,$NN$14,0),IF($NP$14="Bell_Curve",$NN$14*(248-$NR$14+1)*($NS$14-248+1)/$NU$14,$NN$14/$NT$14)),0)</f>
        <v/>
      </c>
      <c r="IS14" s="402">
        <f>IF(AND(249&gt;=$NR$14,249&lt;=$NS$14),IF($NP$14="Single_Point",IF(249=$NR$14,$NN$14,0),IF($NP$14="Bell_Curve",$NN$14*(249-$NR$14+1)*($NS$14-249+1)/$NU$14,$NN$14/$NT$14)),0)</f>
        <v/>
      </c>
      <c r="IT14" s="402">
        <f>IF(AND(250&gt;=$NR$14,250&lt;=$NS$14),IF($NP$14="Single_Point",IF(250=$NR$14,$NN$14,0),IF($NP$14="Bell_Curve",$NN$14*(250-$NR$14+1)*($NS$14-250+1)/$NU$14,$NN$14/$NT$14)),0)</f>
        <v/>
      </c>
      <c r="IU14" s="402">
        <f>IF(AND(251&gt;=$NR$14,251&lt;=$NS$14),IF($NP$14="Single_Point",IF(251=$NR$14,$NN$14,0),IF($NP$14="Bell_Curve",$NN$14*(251-$NR$14+1)*($NS$14-251+1)/$NU$14,$NN$14/$NT$14)),0)</f>
        <v/>
      </c>
      <c r="IV14" s="402">
        <f>IF(AND(252&gt;=$NR$14,252&lt;=$NS$14),IF($NP$14="Single_Point",IF(252=$NR$14,$NN$14,0),IF($NP$14="Bell_Curve",$NN$14*(252-$NR$14+1)*($NS$14-252+1)/$NU$14,$NN$14/$NT$14)),0)</f>
        <v/>
      </c>
      <c r="IW14" s="402">
        <f>IF(AND(253&gt;=$NR$14,253&lt;=$NS$14),IF($NP$14="Single_Point",IF(253=$NR$14,$NN$14,0),IF($NP$14="Bell_Curve",$NN$14*(253-$NR$14+1)*($NS$14-253+1)/$NU$14,$NN$14/$NT$14)),0)</f>
        <v/>
      </c>
      <c r="IX14" s="402">
        <f>IF(AND(254&gt;=$NR$14,254&lt;=$NS$14),IF($NP$14="Single_Point",IF(254=$NR$14,$NN$14,0),IF($NP$14="Bell_Curve",$NN$14*(254-$NR$14+1)*($NS$14-254+1)/$NU$14,$NN$14/$NT$14)),0)</f>
        <v/>
      </c>
      <c r="IY14" s="402">
        <f>IF(AND(255&gt;=$NR$14,255&lt;=$NS$14),IF($NP$14="Single_Point",IF(255=$NR$14,$NN$14,0),IF($NP$14="Bell_Curve",$NN$14*(255-$NR$14+1)*($NS$14-255+1)/$NU$14,$NN$14/$NT$14)),0)</f>
        <v/>
      </c>
      <c r="IZ14" s="402">
        <f>IF(AND(256&gt;=$NR$14,256&lt;=$NS$14),IF($NP$14="Single_Point",IF(256=$NR$14,$NN$14,0),IF($NP$14="Bell_Curve",$NN$14*(256-$NR$14+1)*($NS$14-256+1)/$NU$14,$NN$14/$NT$14)),0)</f>
        <v/>
      </c>
      <c r="JA14" s="402">
        <f>IF(AND(257&gt;=$NR$14,257&lt;=$NS$14),IF($NP$14="Single_Point",IF(257=$NR$14,$NN$14,0),IF($NP$14="Bell_Curve",$NN$14*(257-$NR$14+1)*($NS$14-257+1)/$NU$14,$NN$14/$NT$14)),0)</f>
        <v/>
      </c>
      <c r="JB14" s="402">
        <f>IF(AND(258&gt;=$NR$14,258&lt;=$NS$14),IF($NP$14="Single_Point",IF(258=$NR$14,$NN$14,0),IF($NP$14="Bell_Curve",$NN$14*(258-$NR$14+1)*($NS$14-258+1)/$NU$14,$NN$14/$NT$14)),0)</f>
        <v/>
      </c>
      <c r="JC14" s="402">
        <f>IF(AND(259&gt;=$NR$14,259&lt;=$NS$14),IF($NP$14="Single_Point",IF(259=$NR$14,$NN$14,0),IF($NP$14="Bell_Curve",$NN$14*(259-$NR$14+1)*($NS$14-259+1)/$NU$14,$NN$14/$NT$14)),0)</f>
        <v/>
      </c>
      <c r="JD14" s="402">
        <f>IF(AND(260&gt;=$NR$14,260&lt;=$NS$14),IF($NP$14="Single_Point",IF(260=$NR$14,$NN$14,0),IF($NP$14="Bell_Curve",$NN$14*(260-$NR$14+1)*($NS$14-260+1)/$NU$14,$NN$14/$NT$14)),0)</f>
        <v/>
      </c>
      <c r="JE14" s="402">
        <f>IF(AND(261&gt;=$NR$14,261&lt;=$NS$14),IF($NP$14="Single_Point",IF(261=$NR$14,$NN$14,0),IF($NP$14="Bell_Curve",$NN$14*(261-$NR$14+1)*($NS$14-261+1)/$NU$14,$NN$14/$NT$14)),0)</f>
        <v/>
      </c>
      <c r="JF14" s="402">
        <f>IF(AND(262&gt;=$NR$14,262&lt;=$NS$14),IF($NP$14="Single_Point",IF(262=$NR$14,$NN$14,0),IF($NP$14="Bell_Curve",$NN$14*(262-$NR$14+1)*($NS$14-262+1)/$NU$14,$NN$14/$NT$14)),0)</f>
        <v/>
      </c>
      <c r="JG14" s="402">
        <f>IF(AND(263&gt;=$NR$14,263&lt;=$NS$14),IF($NP$14="Single_Point",IF(263=$NR$14,$NN$14,0),IF($NP$14="Bell_Curve",$NN$14*(263-$NR$14+1)*($NS$14-263+1)/$NU$14,$NN$14/$NT$14)),0)</f>
        <v/>
      </c>
      <c r="JH14" s="402">
        <f>IF(AND(264&gt;=$NR$14,264&lt;=$NS$14),IF($NP$14="Single_Point",IF(264=$NR$14,$NN$14,0),IF($NP$14="Bell_Curve",$NN$14*(264-$NR$14+1)*($NS$14-264+1)/$NU$14,$NN$14/$NT$14)),0)</f>
        <v/>
      </c>
      <c r="JI14" s="402">
        <f>IF(AND(265&gt;=$NR$14,265&lt;=$NS$14),IF($NP$14="Single_Point",IF(265=$NR$14,$NN$14,0),IF($NP$14="Bell_Curve",$NN$14*(265-$NR$14+1)*($NS$14-265+1)/$NU$14,$NN$14/$NT$14)),0)</f>
        <v/>
      </c>
      <c r="JJ14" s="402">
        <f>IF(AND(266&gt;=$NR$14,266&lt;=$NS$14),IF($NP$14="Single_Point",IF(266=$NR$14,$NN$14,0),IF($NP$14="Bell_Curve",$NN$14*(266-$NR$14+1)*($NS$14-266+1)/$NU$14,$NN$14/$NT$14)),0)</f>
        <v/>
      </c>
      <c r="JK14" s="402">
        <f>IF(AND(267&gt;=$NR$14,267&lt;=$NS$14),IF($NP$14="Single_Point",IF(267=$NR$14,$NN$14,0),IF($NP$14="Bell_Curve",$NN$14*(267-$NR$14+1)*($NS$14-267+1)/$NU$14,$NN$14/$NT$14)),0)</f>
        <v/>
      </c>
      <c r="JL14" s="402">
        <f>IF(AND(268&gt;=$NR$14,268&lt;=$NS$14),IF($NP$14="Single_Point",IF(268=$NR$14,$NN$14,0),IF($NP$14="Bell_Curve",$NN$14*(268-$NR$14+1)*($NS$14-268+1)/$NU$14,$NN$14/$NT$14)),0)</f>
        <v/>
      </c>
      <c r="JM14" s="402">
        <f>IF(AND(269&gt;=$NR$14,269&lt;=$NS$14),IF($NP$14="Single_Point",IF(269=$NR$14,$NN$14,0),IF($NP$14="Bell_Curve",$NN$14*(269-$NR$14+1)*($NS$14-269+1)/$NU$14,$NN$14/$NT$14)),0)</f>
        <v/>
      </c>
      <c r="JN14" s="402">
        <f>IF(AND(270&gt;=$NR$14,270&lt;=$NS$14),IF($NP$14="Single_Point",IF(270=$NR$14,$NN$14,0),IF($NP$14="Bell_Curve",$NN$14*(270-$NR$14+1)*($NS$14-270+1)/$NU$14,$NN$14/$NT$14)),0)</f>
        <v/>
      </c>
      <c r="JO14" s="402">
        <f>IF(AND(271&gt;=$NR$14,271&lt;=$NS$14),IF($NP$14="Single_Point",IF(271=$NR$14,$NN$14,0),IF($NP$14="Bell_Curve",$NN$14*(271-$NR$14+1)*($NS$14-271+1)/$NU$14,$NN$14/$NT$14)),0)</f>
        <v/>
      </c>
      <c r="JP14" s="402">
        <f>IF(AND(272&gt;=$NR$14,272&lt;=$NS$14),IF($NP$14="Single_Point",IF(272=$NR$14,$NN$14,0),IF($NP$14="Bell_Curve",$NN$14*(272-$NR$14+1)*($NS$14-272+1)/$NU$14,$NN$14/$NT$14)),0)</f>
        <v/>
      </c>
      <c r="JQ14" s="402">
        <f>IF(AND(273&gt;=$NR$14,273&lt;=$NS$14),IF($NP$14="Single_Point",IF(273=$NR$14,$NN$14,0),IF($NP$14="Bell_Curve",$NN$14*(273-$NR$14+1)*($NS$14-273+1)/$NU$14,$NN$14/$NT$14)),0)</f>
        <v/>
      </c>
      <c r="JR14" s="402">
        <f>IF(AND(274&gt;=$NR$14,274&lt;=$NS$14),IF($NP$14="Single_Point",IF(274=$NR$14,$NN$14,0),IF($NP$14="Bell_Curve",$NN$14*(274-$NR$14+1)*($NS$14-274+1)/$NU$14,$NN$14/$NT$14)),0)</f>
        <v/>
      </c>
      <c r="JS14" s="402">
        <f>IF(AND(275&gt;=$NR$14,275&lt;=$NS$14),IF($NP$14="Single_Point",IF(275=$NR$14,$NN$14,0),IF($NP$14="Bell_Curve",$NN$14*(275-$NR$14+1)*($NS$14-275+1)/$NU$14,$NN$14/$NT$14)),0)</f>
        <v/>
      </c>
      <c r="JT14" s="402">
        <f>IF(AND(276&gt;=$NR$14,276&lt;=$NS$14),IF($NP$14="Single_Point",IF(276=$NR$14,$NN$14,0),IF($NP$14="Bell_Curve",$NN$14*(276-$NR$14+1)*($NS$14-276+1)/$NU$14,$NN$14/$NT$14)),0)</f>
        <v/>
      </c>
      <c r="JU14" s="402">
        <f>IF(AND(277&gt;=$NR$14,277&lt;=$NS$14),IF($NP$14="Single_Point",IF(277=$NR$14,$NN$14,0),IF($NP$14="Bell_Curve",$NN$14*(277-$NR$14+1)*($NS$14-277+1)/$NU$14,$NN$14/$NT$14)),0)</f>
        <v/>
      </c>
      <c r="JV14" s="402">
        <f>IF(AND(278&gt;=$NR$14,278&lt;=$NS$14),IF($NP$14="Single_Point",IF(278=$NR$14,$NN$14,0),IF($NP$14="Bell_Curve",$NN$14*(278-$NR$14+1)*($NS$14-278+1)/$NU$14,$NN$14/$NT$14)),0)</f>
        <v/>
      </c>
      <c r="JW14" s="402">
        <f>IF(AND(279&gt;=$NR$14,279&lt;=$NS$14),IF($NP$14="Single_Point",IF(279=$NR$14,$NN$14,0),IF($NP$14="Bell_Curve",$NN$14*(279-$NR$14+1)*($NS$14-279+1)/$NU$14,$NN$14/$NT$14)),0)</f>
        <v/>
      </c>
      <c r="JX14" s="402">
        <f>IF(AND(280&gt;=$NR$14,280&lt;=$NS$14),IF($NP$14="Single_Point",IF(280=$NR$14,$NN$14,0),IF($NP$14="Bell_Curve",$NN$14*(280-$NR$14+1)*($NS$14-280+1)/$NU$14,$NN$14/$NT$14)),0)</f>
        <v/>
      </c>
      <c r="JY14" s="402">
        <f>IF(AND(281&gt;=$NR$14,281&lt;=$NS$14),IF($NP$14="Single_Point",IF(281=$NR$14,$NN$14,0),IF($NP$14="Bell_Curve",$NN$14*(281-$NR$14+1)*($NS$14-281+1)/$NU$14,$NN$14/$NT$14)),0)</f>
        <v/>
      </c>
      <c r="JZ14" s="402">
        <f>IF(AND(282&gt;=$NR$14,282&lt;=$NS$14),IF($NP$14="Single_Point",IF(282=$NR$14,$NN$14,0),IF($NP$14="Bell_Curve",$NN$14*(282-$NR$14+1)*($NS$14-282+1)/$NU$14,$NN$14/$NT$14)),0)</f>
        <v/>
      </c>
      <c r="KA14" s="402">
        <f>IF(AND(283&gt;=$NR$14,283&lt;=$NS$14),IF($NP$14="Single_Point",IF(283=$NR$14,$NN$14,0),IF($NP$14="Bell_Curve",$NN$14*(283-$NR$14+1)*($NS$14-283+1)/$NU$14,$NN$14/$NT$14)),0)</f>
        <v/>
      </c>
      <c r="KB14" s="402">
        <f>IF(AND(284&gt;=$NR$14,284&lt;=$NS$14),IF($NP$14="Single_Point",IF(284=$NR$14,$NN$14,0),IF($NP$14="Bell_Curve",$NN$14*(284-$NR$14+1)*($NS$14-284+1)/$NU$14,$NN$14/$NT$14)),0)</f>
        <v/>
      </c>
      <c r="KC14" s="402">
        <f>IF(AND(285&gt;=$NR$14,285&lt;=$NS$14),IF($NP$14="Single_Point",IF(285=$NR$14,$NN$14,0),IF($NP$14="Bell_Curve",$NN$14*(285-$NR$14+1)*($NS$14-285+1)/$NU$14,$NN$14/$NT$14)),0)</f>
        <v/>
      </c>
      <c r="KD14" s="402">
        <f>IF(AND(286&gt;=$NR$14,286&lt;=$NS$14),IF($NP$14="Single_Point",IF(286=$NR$14,$NN$14,0),IF($NP$14="Bell_Curve",$NN$14*(286-$NR$14+1)*($NS$14-286+1)/$NU$14,$NN$14/$NT$14)),0)</f>
        <v/>
      </c>
      <c r="KE14" s="402">
        <f>IF(AND(287&gt;=$NR$14,287&lt;=$NS$14),IF($NP$14="Single_Point",IF(287=$NR$14,$NN$14,0),IF($NP$14="Bell_Curve",$NN$14*(287-$NR$14+1)*($NS$14-287+1)/$NU$14,$NN$14/$NT$14)),0)</f>
        <v/>
      </c>
      <c r="KF14" s="402">
        <f>IF(AND(288&gt;=$NR$14,288&lt;=$NS$14),IF($NP$14="Single_Point",IF(288=$NR$14,$NN$14,0),IF($NP$14="Bell_Curve",$NN$14*(288-$NR$14+1)*($NS$14-288+1)/$NU$14,$NN$14/$NT$14)),0)</f>
        <v/>
      </c>
      <c r="KG14" s="402">
        <f>IF(AND(289&gt;=$NR$14,289&lt;=$NS$14),IF($NP$14="Single_Point",IF(289=$NR$14,$NN$14,0),IF($NP$14="Bell_Curve",$NN$14*(289-$NR$14+1)*($NS$14-289+1)/$NU$14,$NN$14/$NT$14)),0)</f>
        <v/>
      </c>
      <c r="KH14" s="402">
        <f>IF(AND(290&gt;=$NR$14,290&lt;=$NS$14),IF($NP$14="Single_Point",IF(290=$NR$14,$NN$14,0),IF($NP$14="Bell_Curve",$NN$14*(290-$NR$14+1)*($NS$14-290+1)/$NU$14,$NN$14/$NT$14)),0)</f>
        <v/>
      </c>
      <c r="KI14" s="402">
        <f>IF(AND(291&gt;=$NR$14,291&lt;=$NS$14),IF($NP$14="Single_Point",IF(291=$NR$14,$NN$14,0),IF($NP$14="Bell_Curve",$NN$14*(291-$NR$14+1)*($NS$14-291+1)/$NU$14,$NN$14/$NT$14)),0)</f>
        <v/>
      </c>
      <c r="KJ14" s="402">
        <f>IF(AND(292&gt;=$NR$14,292&lt;=$NS$14),IF($NP$14="Single_Point",IF(292=$NR$14,$NN$14,0),IF($NP$14="Bell_Curve",$NN$14*(292-$NR$14+1)*($NS$14-292+1)/$NU$14,$NN$14/$NT$14)),0)</f>
        <v/>
      </c>
      <c r="KK14" s="402">
        <f>IF(AND(293&gt;=$NR$14,293&lt;=$NS$14),IF($NP$14="Single_Point",IF(293=$NR$14,$NN$14,0),IF($NP$14="Bell_Curve",$NN$14*(293-$NR$14+1)*($NS$14-293+1)/$NU$14,$NN$14/$NT$14)),0)</f>
        <v/>
      </c>
      <c r="KL14" s="402">
        <f>IF(AND(294&gt;=$NR$14,294&lt;=$NS$14),IF($NP$14="Single_Point",IF(294=$NR$14,$NN$14,0),IF($NP$14="Bell_Curve",$NN$14*(294-$NR$14+1)*($NS$14-294+1)/$NU$14,$NN$14/$NT$14)),0)</f>
        <v/>
      </c>
      <c r="KM14" s="402">
        <f>IF(AND(295&gt;=$NR$14,295&lt;=$NS$14),IF($NP$14="Single_Point",IF(295=$NR$14,$NN$14,0),IF($NP$14="Bell_Curve",$NN$14*(295-$NR$14+1)*($NS$14-295+1)/$NU$14,$NN$14/$NT$14)),0)</f>
        <v/>
      </c>
      <c r="KN14" s="402">
        <f>IF(AND(296&gt;=$NR$14,296&lt;=$NS$14),IF($NP$14="Single_Point",IF(296=$NR$14,$NN$14,0),IF($NP$14="Bell_Curve",$NN$14*(296-$NR$14+1)*($NS$14-296+1)/$NU$14,$NN$14/$NT$14)),0)</f>
        <v/>
      </c>
      <c r="KO14" s="402">
        <f>IF(AND(297&gt;=$NR$14,297&lt;=$NS$14),IF($NP$14="Single_Point",IF(297=$NR$14,$NN$14,0),IF($NP$14="Bell_Curve",$NN$14*(297-$NR$14+1)*($NS$14-297+1)/$NU$14,$NN$14/$NT$14)),0)</f>
        <v/>
      </c>
      <c r="KP14" s="402">
        <f>IF(AND(298&gt;=$NR$14,298&lt;=$NS$14),IF($NP$14="Single_Point",IF(298=$NR$14,$NN$14,0),IF($NP$14="Bell_Curve",$NN$14*(298-$NR$14+1)*($NS$14-298+1)/$NU$14,$NN$14/$NT$14)),0)</f>
        <v/>
      </c>
      <c r="KQ14" s="402">
        <f>IF(AND(299&gt;=$NR$14,299&lt;=$NS$14),IF($NP$14="Single_Point",IF(299=$NR$14,$NN$14,0),IF($NP$14="Bell_Curve",$NN$14*(299-$NR$14+1)*($NS$14-299+1)/$NU$14,$NN$14/$NT$14)),0)</f>
        <v/>
      </c>
      <c r="KR14" s="402">
        <f>IF(AND(300&gt;=$NR$14,300&lt;=$NS$14),IF($NP$14="Single_Point",IF(300=$NR$14,$NN$14,0),IF($NP$14="Bell_Curve",$NN$14*(300-$NR$14+1)*($NS$14-300+1)/$NU$14,$NN$14/$NT$14)),0)</f>
        <v/>
      </c>
      <c r="KS14" s="402">
        <f>IF(AND(301&gt;=$NR$14,301&lt;=$NS$14),IF($NP$14="Single_Point",IF(301=$NR$14,$NN$14,0),IF($NP$14="Bell_Curve",$NN$14*(301-$NR$14+1)*($NS$14-301+1)/$NU$14,$NN$14/$NT$14)),0)</f>
        <v/>
      </c>
      <c r="KT14" s="402">
        <f>IF(AND(302&gt;=$NR$14,302&lt;=$NS$14),IF($NP$14="Single_Point",IF(302=$NR$14,$NN$14,0),IF($NP$14="Bell_Curve",$NN$14*(302-$NR$14+1)*($NS$14-302+1)/$NU$14,$NN$14/$NT$14)),0)</f>
        <v/>
      </c>
      <c r="KU14" s="402">
        <f>IF(AND(303&gt;=$NR$14,303&lt;=$NS$14),IF($NP$14="Single_Point",IF(303=$NR$14,$NN$14,0),IF($NP$14="Bell_Curve",$NN$14*(303-$NR$14+1)*($NS$14-303+1)/$NU$14,$NN$14/$NT$14)),0)</f>
        <v/>
      </c>
      <c r="KV14" s="402">
        <f>IF(AND(304&gt;=$NR$14,304&lt;=$NS$14),IF($NP$14="Single_Point",IF(304=$NR$14,$NN$14,0),IF($NP$14="Bell_Curve",$NN$14*(304-$NR$14+1)*($NS$14-304+1)/$NU$14,$NN$14/$NT$14)),0)</f>
        <v/>
      </c>
      <c r="KW14" s="402">
        <f>IF(AND(305&gt;=$NR$14,305&lt;=$NS$14),IF($NP$14="Single_Point",IF(305=$NR$14,$NN$14,0),IF($NP$14="Bell_Curve",$NN$14*(305-$NR$14+1)*($NS$14-305+1)/$NU$14,$NN$14/$NT$14)),0)</f>
        <v/>
      </c>
      <c r="KX14" s="402">
        <f>IF(AND(306&gt;=$NR$14,306&lt;=$NS$14),IF($NP$14="Single_Point",IF(306=$NR$14,$NN$14,0),IF($NP$14="Bell_Curve",$NN$14*(306-$NR$14+1)*($NS$14-306+1)/$NU$14,$NN$14/$NT$14)),0)</f>
        <v/>
      </c>
      <c r="KY14" s="402">
        <f>IF(AND(307&gt;=$NR$14,307&lt;=$NS$14),IF($NP$14="Single_Point",IF(307=$NR$14,$NN$14,0),IF($NP$14="Bell_Curve",$NN$14*(307-$NR$14+1)*($NS$14-307+1)/$NU$14,$NN$14/$NT$14)),0)</f>
        <v/>
      </c>
      <c r="KZ14" s="402">
        <f>IF(AND(308&gt;=$NR$14,308&lt;=$NS$14),IF($NP$14="Single_Point",IF(308=$NR$14,$NN$14,0),IF($NP$14="Bell_Curve",$NN$14*(308-$NR$14+1)*($NS$14-308+1)/$NU$14,$NN$14/$NT$14)),0)</f>
        <v/>
      </c>
      <c r="LA14" s="402">
        <f>IF(AND(309&gt;=$NR$14,309&lt;=$NS$14),IF($NP$14="Single_Point",IF(309=$NR$14,$NN$14,0),IF($NP$14="Bell_Curve",$NN$14*(309-$NR$14+1)*($NS$14-309+1)/$NU$14,$NN$14/$NT$14)),0)</f>
        <v/>
      </c>
      <c r="LB14" s="402">
        <f>IF(AND(310&gt;=$NR$14,310&lt;=$NS$14),IF($NP$14="Single_Point",IF(310=$NR$14,$NN$14,0),IF($NP$14="Bell_Curve",$NN$14*(310-$NR$14+1)*($NS$14-310+1)/$NU$14,$NN$14/$NT$14)),0)</f>
        <v/>
      </c>
      <c r="LC14" s="402">
        <f>IF(AND(311&gt;=$NR$14,311&lt;=$NS$14),IF($NP$14="Single_Point",IF(311=$NR$14,$NN$14,0),IF($NP$14="Bell_Curve",$NN$14*(311-$NR$14+1)*($NS$14-311+1)/$NU$14,$NN$14/$NT$14)),0)</f>
        <v/>
      </c>
      <c r="LD14" s="402">
        <f>IF(AND(312&gt;=$NR$14,312&lt;=$NS$14),IF($NP$14="Single_Point",IF(312=$NR$14,$NN$14,0),IF($NP$14="Bell_Curve",$NN$14*(312-$NR$14+1)*($NS$14-312+1)/$NU$14,$NN$14/$NT$14)),0)</f>
        <v/>
      </c>
      <c r="LE14" s="402">
        <f>IF(AND(313&gt;=$NR$14,313&lt;=$NS$14),IF($NP$14="Single_Point",IF(313=$NR$14,$NN$14,0),IF($NP$14="Bell_Curve",$NN$14*(313-$NR$14+1)*($NS$14-313+1)/$NU$14,$NN$14/$NT$14)),0)</f>
        <v/>
      </c>
      <c r="LF14" s="402">
        <f>IF(AND(314&gt;=$NR$14,314&lt;=$NS$14),IF($NP$14="Single_Point",IF(314=$NR$14,$NN$14,0),IF($NP$14="Bell_Curve",$NN$14*(314-$NR$14+1)*($NS$14-314+1)/$NU$14,$NN$14/$NT$14)),0)</f>
        <v/>
      </c>
      <c r="LG14" s="402">
        <f>IF(AND(315&gt;=$NR$14,315&lt;=$NS$14),IF($NP$14="Single_Point",IF(315=$NR$14,$NN$14,0),IF($NP$14="Bell_Curve",$NN$14*(315-$NR$14+1)*($NS$14-315+1)/$NU$14,$NN$14/$NT$14)),0)</f>
        <v/>
      </c>
      <c r="LH14" s="402">
        <f>IF(AND(316&gt;=$NR$14,316&lt;=$NS$14),IF($NP$14="Single_Point",IF(316=$NR$14,$NN$14,0),IF($NP$14="Bell_Curve",$NN$14*(316-$NR$14+1)*($NS$14-316+1)/$NU$14,$NN$14/$NT$14)),0)</f>
        <v/>
      </c>
      <c r="LI14" s="402">
        <f>IF(AND(317&gt;=$NR$14,317&lt;=$NS$14),IF($NP$14="Single_Point",IF(317=$NR$14,$NN$14,0),IF($NP$14="Bell_Curve",$NN$14*(317-$NR$14+1)*($NS$14-317+1)/$NU$14,$NN$14/$NT$14)),0)</f>
        <v/>
      </c>
      <c r="LJ14" s="402">
        <f>IF(AND(318&gt;=$NR$14,318&lt;=$NS$14),IF($NP$14="Single_Point",IF(318=$NR$14,$NN$14,0),IF($NP$14="Bell_Curve",$NN$14*(318-$NR$14+1)*($NS$14-318+1)/$NU$14,$NN$14/$NT$14)),0)</f>
        <v/>
      </c>
      <c r="LK14" s="402">
        <f>IF(AND(319&gt;=$NR$14,319&lt;=$NS$14),IF($NP$14="Single_Point",IF(319=$NR$14,$NN$14,0),IF($NP$14="Bell_Curve",$NN$14*(319-$NR$14+1)*($NS$14-319+1)/$NU$14,$NN$14/$NT$14)),0)</f>
        <v/>
      </c>
      <c r="LL14" s="402">
        <f>IF(AND(320&gt;=$NR$14,320&lt;=$NS$14),IF($NP$14="Single_Point",IF(320=$NR$14,$NN$14,0),IF($NP$14="Bell_Curve",$NN$14*(320-$NR$14+1)*($NS$14-320+1)/$NU$14,$NN$14/$NT$14)),0)</f>
        <v/>
      </c>
      <c r="LM14" s="402">
        <f>IF(AND(321&gt;=$NR$14,321&lt;=$NS$14),IF($NP$14="Single_Point",IF(321=$NR$14,$NN$14,0),IF($NP$14="Bell_Curve",$NN$14*(321-$NR$14+1)*($NS$14-321+1)/$NU$14,$NN$14/$NT$14)),0)</f>
        <v/>
      </c>
      <c r="LN14" s="402">
        <f>IF(AND(322&gt;=$NR$14,322&lt;=$NS$14),IF($NP$14="Single_Point",IF(322=$NR$14,$NN$14,0),IF($NP$14="Bell_Curve",$NN$14*(322-$NR$14+1)*($NS$14-322+1)/$NU$14,$NN$14/$NT$14)),0)</f>
        <v/>
      </c>
      <c r="LO14" s="402">
        <f>IF(AND(323&gt;=$NR$14,323&lt;=$NS$14),IF($NP$14="Single_Point",IF(323=$NR$14,$NN$14,0),IF($NP$14="Bell_Curve",$NN$14*(323-$NR$14+1)*($NS$14-323+1)/$NU$14,$NN$14/$NT$14)),0)</f>
        <v/>
      </c>
      <c r="LP14" s="402">
        <f>IF(AND(324&gt;=$NR$14,324&lt;=$NS$14),IF($NP$14="Single_Point",IF(324=$NR$14,$NN$14,0),IF($NP$14="Bell_Curve",$NN$14*(324-$NR$14+1)*($NS$14-324+1)/$NU$14,$NN$14/$NT$14)),0)</f>
        <v/>
      </c>
      <c r="LQ14" s="402">
        <f>IF(AND(325&gt;=$NR$14,325&lt;=$NS$14),IF($NP$14="Single_Point",IF(325=$NR$14,$NN$14,0),IF($NP$14="Bell_Curve",$NN$14*(325-$NR$14+1)*($NS$14-325+1)/$NU$14,$NN$14/$NT$14)),0)</f>
        <v/>
      </c>
      <c r="LR14" s="402">
        <f>IF(AND(326&gt;=$NR$14,326&lt;=$NS$14),IF($NP$14="Single_Point",IF(326=$NR$14,$NN$14,0),IF($NP$14="Bell_Curve",$NN$14*(326-$NR$14+1)*($NS$14-326+1)/$NU$14,$NN$14/$NT$14)),0)</f>
        <v/>
      </c>
      <c r="LS14" s="402">
        <f>IF(AND(327&gt;=$NR$14,327&lt;=$NS$14),IF($NP$14="Single_Point",IF(327=$NR$14,$NN$14,0),IF($NP$14="Bell_Curve",$NN$14*(327-$NR$14+1)*($NS$14-327+1)/$NU$14,$NN$14/$NT$14)),0)</f>
        <v/>
      </c>
      <c r="LT14" s="402">
        <f>IF(AND(328&gt;=$NR$14,328&lt;=$NS$14),IF($NP$14="Single_Point",IF(328=$NR$14,$NN$14,0),IF($NP$14="Bell_Curve",$NN$14*(328-$NR$14+1)*($NS$14-328+1)/$NU$14,$NN$14/$NT$14)),0)</f>
        <v/>
      </c>
      <c r="LU14" s="402">
        <f>IF(AND(329&gt;=$NR$14,329&lt;=$NS$14),IF($NP$14="Single_Point",IF(329=$NR$14,$NN$14,0),IF($NP$14="Bell_Curve",$NN$14*(329-$NR$14+1)*($NS$14-329+1)/$NU$14,$NN$14/$NT$14)),0)</f>
        <v/>
      </c>
      <c r="LV14" s="402">
        <f>IF(AND(330&gt;=$NR$14,330&lt;=$NS$14),IF($NP$14="Single_Point",IF(330=$NR$14,$NN$14,0),IF($NP$14="Bell_Curve",$NN$14*(330-$NR$14+1)*($NS$14-330+1)/$NU$14,$NN$14/$NT$14)),0)</f>
        <v/>
      </c>
      <c r="LW14" s="402">
        <f>IF(AND(331&gt;=$NR$14,331&lt;=$NS$14),IF($NP$14="Single_Point",IF(331=$NR$14,$NN$14,0),IF($NP$14="Bell_Curve",$NN$14*(331-$NR$14+1)*($NS$14-331+1)/$NU$14,$NN$14/$NT$14)),0)</f>
        <v/>
      </c>
      <c r="LX14" s="402">
        <f>IF(AND(332&gt;=$NR$14,332&lt;=$NS$14),IF($NP$14="Single_Point",IF(332=$NR$14,$NN$14,0),IF($NP$14="Bell_Curve",$NN$14*(332-$NR$14+1)*($NS$14-332+1)/$NU$14,$NN$14/$NT$14)),0)</f>
        <v/>
      </c>
      <c r="LY14" s="402">
        <f>IF(AND(333&gt;=$NR$14,333&lt;=$NS$14),IF($NP$14="Single_Point",IF(333=$NR$14,$NN$14,0),IF($NP$14="Bell_Curve",$NN$14*(333-$NR$14+1)*($NS$14-333+1)/$NU$14,$NN$14/$NT$14)),0)</f>
        <v/>
      </c>
      <c r="LZ14" s="402">
        <f>IF(AND(334&gt;=$NR$14,334&lt;=$NS$14),IF($NP$14="Single_Point",IF(334=$NR$14,$NN$14,0),IF($NP$14="Bell_Curve",$NN$14*(334-$NR$14+1)*($NS$14-334+1)/$NU$14,$NN$14/$NT$14)),0)</f>
        <v/>
      </c>
      <c r="MA14" s="402">
        <f>IF(AND(335&gt;=$NR$14,335&lt;=$NS$14),IF($NP$14="Single_Point",IF(335=$NR$14,$NN$14,0),IF($NP$14="Bell_Curve",$NN$14*(335-$NR$14+1)*($NS$14-335+1)/$NU$14,$NN$14/$NT$14)),0)</f>
        <v/>
      </c>
      <c r="MB14" s="402">
        <f>IF(AND(336&gt;=$NR$14,336&lt;=$NS$14),IF($NP$14="Single_Point",IF(336=$NR$14,$NN$14,0),IF($NP$14="Bell_Curve",$NN$14*(336-$NR$14+1)*($NS$14-336+1)/$NU$14,$NN$14/$NT$14)),0)</f>
        <v/>
      </c>
      <c r="MC14" s="402">
        <f>IF(AND(337&gt;=$NR$14,337&lt;=$NS$14),IF($NP$14="Single_Point",IF(337=$NR$14,$NN$14,0),IF($NP$14="Bell_Curve",$NN$14*(337-$NR$14+1)*($NS$14-337+1)/$NU$14,$NN$14/$NT$14)),0)</f>
        <v/>
      </c>
      <c r="MD14" s="402">
        <f>IF(AND(338&gt;=$NR$14,338&lt;=$NS$14),IF($NP$14="Single_Point",IF(338=$NR$14,$NN$14,0),IF($NP$14="Bell_Curve",$NN$14*(338-$NR$14+1)*($NS$14-338+1)/$NU$14,$NN$14/$NT$14)),0)</f>
        <v/>
      </c>
      <c r="ME14" s="402">
        <f>IF(AND(339&gt;=$NR$14,339&lt;=$NS$14),IF($NP$14="Single_Point",IF(339=$NR$14,$NN$14,0),IF($NP$14="Bell_Curve",$NN$14*(339-$NR$14+1)*($NS$14-339+1)/$NU$14,$NN$14/$NT$14)),0)</f>
        <v/>
      </c>
      <c r="MF14" s="402">
        <f>IF(AND(340&gt;=$NR$14,340&lt;=$NS$14),IF($NP$14="Single_Point",IF(340=$NR$14,$NN$14,0),IF($NP$14="Bell_Curve",$NN$14*(340-$NR$14+1)*($NS$14-340+1)/$NU$14,$NN$14/$NT$14)),0)</f>
        <v/>
      </c>
      <c r="MG14" s="402">
        <f>IF(AND(341&gt;=$NR$14,341&lt;=$NS$14),IF($NP$14="Single_Point",IF(341=$NR$14,$NN$14,0),IF($NP$14="Bell_Curve",$NN$14*(341-$NR$14+1)*($NS$14-341+1)/$NU$14,$NN$14/$NT$14)),0)</f>
        <v/>
      </c>
      <c r="MH14" s="402">
        <f>IF(AND(342&gt;=$NR$14,342&lt;=$NS$14),IF($NP$14="Single_Point",IF(342=$NR$14,$NN$14,0),IF($NP$14="Bell_Curve",$NN$14*(342-$NR$14+1)*($NS$14-342+1)/$NU$14,$NN$14/$NT$14)),0)</f>
        <v/>
      </c>
      <c r="MI14" s="402">
        <f>IF(AND(343&gt;=$NR$14,343&lt;=$NS$14),IF($NP$14="Single_Point",IF(343=$NR$14,$NN$14,0),IF($NP$14="Bell_Curve",$NN$14*(343-$NR$14+1)*($NS$14-343+1)/$NU$14,$NN$14/$NT$14)),0)</f>
        <v/>
      </c>
      <c r="MJ14" s="402">
        <f>IF(AND(344&gt;=$NR$14,344&lt;=$NS$14),IF($NP$14="Single_Point",IF(344=$NR$14,$NN$14,0),IF($NP$14="Bell_Curve",$NN$14*(344-$NR$14+1)*($NS$14-344+1)/$NU$14,$NN$14/$NT$14)),0)</f>
        <v/>
      </c>
      <c r="MK14" s="402">
        <f>IF(AND(345&gt;=$NR$14,345&lt;=$NS$14),IF($NP$14="Single_Point",IF(345=$NR$14,$NN$14,0),IF($NP$14="Bell_Curve",$NN$14*(345-$NR$14+1)*($NS$14-345+1)/$NU$14,$NN$14/$NT$14)),0)</f>
        <v/>
      </c>
      <c r="ML14" s="402">
        <f>IF(AND(346&gt;=$NR$14,346&lt;=$NS$14),IF($NP$14="Single_Point",IF(346=$NR$14,$NN$14,0),IF($NP$14="Bell_Curve",$NN$14*(346-$NR$14+1)*($NS$14-346+1)/$NU$14,$NN$14/$NT$14)),0)</f>
        <v/>
      </c>
      <c r="MM14" s="402">
        <f>IF(AND(347&gt;=$NR$14,347&lt;=$NS$14),IF($NP$14="Single_Point",IF(347=$NR$14,$NN$14,0),IF($NP$14="Bell_Curve",$NN$14*(347-$NR$14+1)*($NS$14-347+1)/$NU$14,$NN$14/$NT$14)),0)</f>
        <v/>
      </c>
      <c r="MN14" s="402">
        <f>IF(AND(348&gt;=$NR$14,348&lt;=$NS$14),IF($NP$14="Single_Point",IF(348=$NR$14,$NN$14,0),IF($NP$14="Bell_Curve",$NN$14*(348-$NR$14+1)*($NS$14-348+1)/$NU$14,$NN$14/$NT$14)),0)</f>
        <v/>
      </c>
      <c r="MO14" s="402">
        <f>IF(AND(349&gt;=$NR$14,349&lt;=$NS$14),IF($NP$14="Single_Point",IF(349=$NR$14,$NN$14,0),IF($NP$14="Bell_Curve",$NN$14*(349-$NR$14+1)*($NS$14-349+1)/$NU$14,$NN$14/$NT$14)),0)</f>
        <v/>
      </c>
      <c r="MP14" s="402">
        <f>IF(AND(350&gt;=$NR$14,350&lt;=$NS$14),IF($NP$14="Single_Point",IF(350=$NR$14,$NN$14,0),IF($NP$14="Bell_Curve",$NN$14*(350-$NR$14+1)*($NS$14-350+1)/$NU$14,$NN$14/$NT$14)),0)</f>
        <v/>
      </c>
      <c r="MQ14" s="402">
        <f>IF(AND(351&gt;=$NR$14,351&lt;=$NS$14),IF($NP$14="Single_Point",IF(351=$NR$14,$NN$14,0),IF($NP$14="Bell_Curve",$NN$14*(351-$NR$14+1)*($NS$14-351+1)/$NU$14,$NN$14/$NT$14)),0)</f>
        <v/>
      </c>
      <c r="MR14" s="402">
        <f>IF(AND(352&gt;=$NR$14,352&lt;=$NS$14),IF($NP$14="Single_Point",IF(352=$NR$14,$NN$14,0),IF($NP$14="Bell_Curve",$NN$14*(352-$NR$14+1)*($NS$14-352+1)/$NU$14,$NN$14/$NT$14)),0)</f>
        <v/>
      </c>
      <c r="MS14" s="402">
        <f>IF(AND(353&gt;=$NR$14,353&lt;=$NS$14),IF($NP$14="Single_Point",IF(353=$NR$14,$NN$14,0),IF($NP$14="Bell_Curve",$NN$14*(353-$NR$14+1)*($NS$14-353+1)/$NU$14,$NN$14/$NT$14)),0)</f>
        <v/>
      </c>
      <c r="MT14" s="402">
        <f>IF(AND(354&gt;=$NR$14,354&lt;=$NS$14),IF($NP$14="Single_Point",IF(354=$NR$14,$NN$14,0),IF($NP$14="Bell_Curve",$NN$14*(354-$NR$14+1)*($NS$14-354+1)/$NU$14,$NN$14/$NT$14)),0)</f>
        <v/>
      </c>
      <c r="MU14" s="402">
        <f>IF(AND(355&gt;=$NR$14,355&lt;=$NS$14),IF($NP$14="Single_Point",IF(355=$NR$14,$NN$14,0),IF($NP$14="Bell_Curve",$NN$14*(355-$NR$14+1)*($NS$14-355+1)/$NU$14,$NN$14/$NT$14)),0)</f>
        <v/>
      </c>
      <c r="MV14" s="402">
        <f>IF(AND(356&gt;=$NR$14,356&lt;=$NS$14),IF($NP$14="Single_Point",IF(356=$NR$14,$NN$14,0),IF($NP$14="Bell_Curve",$NN$14*(356-$NR$14+1)*($NS$14-356+1)/$NU$14,$NN$14/$NT$14)),0)</f>
        <v/>
      </c>
      <c r="MW14" s="402">
        <f>IF(AND(357&gt;=$NR$14,357&lt;=$NS$14),IF($NP$14="Single_Point",IF(357=$NR$14,$NN$14,0),IF($NP$14="Bell_Curve",$NN$14*(357-$NR$14+1)*($NS$14-357+1)/$NU$14,$NN$14/$NT$14)),0)</f>
        <v/>
      </c>
      <c r="MX14" s="402">
        <f>IF(AND(358&gt;=$NR$14,358&lt;=$NS$14),IF($NP$14="Single_Point",IF(358=$NR$14,$NN$14,0),IF($NP$14="Bell_Curve",$NN$14*(358-$NR$14+1)*($NS$14-358+1)/$NU$14,$NN$14/$NT$14)),0)</f>
        <v/>
      </c>
      <c r="MY14" s="402">
        <f>IF(AND(359&gt;=$NR$14,359&lt;=$NS$14),IF($NP$14="Single_Point",IF(359=$NR$14,$NN$14,0),IF($NP$14="Bell_Curve",$NN$14*(359-$NR$14+1)*($NS$14-359+1)/$NU$14,$NN$14/$NT$14)),0)</f>
        <v/>
      </c>
      <c r="MZ14" s="402">
        <f>IF(AND(360&gt;=$NR$14,360&lt;=$NS$14),IF($NP$14="Single_Point",IF(360=$NR$14,$NN$14,0),IF($NP$14="Bell_Curve",$NN$14*(360-$NR$14+1)*($NS$14-360+1)/$NU$14,$NN$14/$NT$14)),0)</f>
        <v/>
      </c>
      <c r="NA14" s="402">
        <f>IF(AND(361&gt;=$NR$14,361&lt;=$NS$14),IF($NP$14="Single_Point",IF(361=$NR$14,$NN$14,0),IF($NP$14="Bell_Curve",$NN$14*(361-$NR$14+1)*($NS$14-361+1)/$NU$14,$NN$14/$NT$14)),0)</f>
        <v/>
      </c>
      <c r="NB14" s="402">
        <f>IF(AND(362&gt;=$NR$14,362&lt;=$NS$14),IF($NP$14="Single_Point",IF(362=$NR$14,$NN$14,0),IF($NP$14="Bell_Curve",$NN$14*(362-$NR$14+1)*($NS$14-362+1)/$NU$14,$NN$14/$NT$14)),0)</f>
        <v/>
      </c>
      <c r="NC14" s="402">
        <f>IF(AND(363&gt;=$NR$14,363&lt;=$NS$14),IF($NP$14="Single_Point",IF(363=$NR$14,$NN$14,0),IF($NP$14="Bell_Curve",$NN$14*(363-$NR$14+1)*($NS$14-363+1)/$NU$14,$NN$14/$NT$14)),0)</f>
        <v/>
      </c>
      <c r="ND14" s="402">
        <f>IF(AND(364&gt;=$NR$14,364&lt;=$NS$14),IF($NP$14="Single_Point",IF(364=$NR$14,$NN$14,0),IF($NP$14="Bell_Curve",$NN$14*(364-$NR$14+1)*($NS$14-364+1)/$NU$14,$NN$14/$NT$14)),0)</f>
        <v/>
      </c>
      <c r="NE14" s="402">
        <f>IF(AND(365&gt;=$NR$14,365&lt;=$NS$14),IF($NP$14="Single_Point",IF(365=$NR$14,$NN$14,0),IF($NP$14="Bell_Curve",$NN$14*(365-$NR$14+1)*($NS$14-365+1)/$NU$14,$NN$14/$NT$14)),0)</f>
        <v/>
      </c>
      <c r="NF14" s="402">
        <f>IF(AND(366&gt;=$NR$14,366&lt;=$NS$14),IF($NP$14="Single_Point",IF(366=$NR$14,$NN$14,0),IF($NP$14="Bell_Curve",$NN$14*(366-$NR$14+1)*($NS$14-366+1)/$NU$14,$NN$14/$NT$14)),0)</f>
        <v/>
      </c>
      <c r="NG14" s="402">
        <f>IF(AND(367&gt;=$NR$14,367&lt;=$NS$14),IF($NP$14="Single_Point",IF(367=$NR$14,$NN$14,0),IF($NP$14="Bell_Curve",$NN$14*(367-$NR$14+1)*($NS$14-367+1)/$NU$14,$NN$14/$NT$14)),0)</f>
        <v/>
      </c>
      <c r="NH14" s="402">
        <f>IF(AND(368&gt;=$NR$14,368&lt;=$NS$14),IF($NP$14="Single_Point",IF(368=$NR$14,$NN$14,0),IF($NP$14="Bell_Curve",$NN$14*(368-$NR$14+1)*($NS$14-368+1)/$NU$14,$NN$14/$NT$14)),0)</f>
        <v/>
      </c>
      <c r="NI14" s="402">
        <f>IF(AND(369&gt;=$NR$14,369&lt;=$NS$14),IF($NP$14="Single_Point",IF(369=$NR$14,$NN$14,0),IF($NP$14="Bell_Curve",$NN$14*(369-$NR$14+1)*($NS$14-369+1)/$NU$14,$NN$14/$NT$14)),0)</f>
        <v/>
      </c>
      <c r="NJ14" s="402">
        <f>IF(AND(370&gt;=$NR$14,370&lt;=$NS$14),IF($NP$14="Single_Point",IF(370=$NR$14,$NN$14,0),IF($NP$14="Bell_Curve",$NN$14*(370-$NR$14+1)*($NS$14-370+1)/$NU$14,$NN$14/$NT$14)),0)</f>
        <v/>
      </c>
      <c r="NK14" s="402">
        <f>IF(AND(371&gt;=$NR$14,371&lt;=$NS$14),IF($NP$14="Single_Point",IF(371=$NR$14,$NN$14,0),IF($NP$14="Bell_Curve",$NN$14*(371-$NR$14+1)*($NS$14-371+1)/$NU$14,$NN$14/$NT$14)),0)</f>
        <v/>
      </c>
      <c r="NL14" s="426">
        <f>IF(AND(372&gt;=$NR$14,372&lt;=$NS$14),IF($NP$14="Single_Point",IF(372=$NR$14,$NN$14,0),IF($NP$14="Bell_Curve",$NN$14*(372-$NR$14+1)*($NS$14-372+1)/$NU$14,$NN$14/$NT$14)),0)</f>
        <v/>
      </c>
      <c r="NM14">
        <f>Budget!C13</f>
        <v/>
      </c>
      <c r="NN14" s="218">
        <f>Budget!J13</f>
        <v/>
      </c>
      <c r="NO14" s="144">
        <f>Budget!G13</f>
        <v/>
      </c>
      <c r="NP14" s="144">
        <f>Budget!H13</f>
        <v/>
      </c>
      <c r="NQ14" s="85">
        <f>Budget!I13</f>
        <v/>
      </c>
      <c r="NR14" s="248">
        <f>MAX(1,MIN(372,INDEX(MilestoneStart,MATCH(NO14,MilestoneNames,0))+NQ14))</f>
        <v/>
      </c>
      <c r="NS14" s="248">
        <f>MAX(NR14,MIN(372,INDEX(MilestoneEnd,MATCH(NO14,MilestoneNames,0))+NQ14))</f>
        <v/>
      </c>
      <c r="NT14" s="85">
        <f>NS14-NR14+1</f>
        <v/>
      </c>
      <c r="NU14" s="85">
        <f>NT14*(NT14+1)*(NT14+2)/6</f>
        <v/>
      </c>
    </row>
    <row r="15">
      <c r="B15" s="296">
        <f>Budget!B14</f>
        <v/>
      </c>
      <c r="D15" s="425">
        <f>SUM(E15:NL15)</f>
        <v/>
      </c>
      <c r="E15" s="402">
        <f>IF(AND(1&gt;=$NR$15,1&lt;=$NS$15),IF($NP$15="Single_Point",IF(1=$NR$15,$NN$15,0),IF($NP$15="Bell_Curve",$NN$15*(1-$NR$15+1)*($NS$15-1+1)/$NU$15,$NN$15/$NT$15)),0)</f>
        <v/>
      </c>
      <c r="F15" s="402">
        <f>IF(AND(2&gt;=$NR$15,2&lt;=$NS$15),IF($NP$15="Single_Point",IF(2=$NR$15,$NN$15,0),IF($NP$15="Bell_Curve",$NN$15*(2-$NR$15+1)*($NS$15-2+1)/$NU$15,$NN$15/$NT$15)),0)</f>
        <v/>
      </c>
      <c r="G15" s="402">
        <f>IF(AND(3&gt;=$NR$15,3&lt;=$NS$15),IF($NP$15="Single_Point",IF(3=$NR$15,$NN$15,0),IF($NP$15="Bell_Curve",$NN$15*(3-$NR$15+1)*($NS$15-3+1)/$NU$15,$NN$15/$NT$15)),0)</f>
        <v/>
      </c>
      <c r="H15" s="402">
        <f>IF(AND(4&gt;=$NR$15,4&lt;=$NS$15),IF($NP$15="Single_Point",IF(4=$NR$15,$NN$15,0),IF($NP$15="Bell_Curve",$NN$15*(4-$NR$15+1)*($NS$15-4+1)/$NU$15,$NN$15/$NT$15)),0)</f>
        <v/>
      </c>
      <c r="I15" s="402">
        <f>IF(AND(5&gt;=$NR$15,5&lt;=$NS$15),IF($NP$15="Single_Point",IF(5=$NR$15,$NN$15,0),IF($NP$15="Bell_Curve",$NN$15*(5-$NR$15+1)*($NS$15-5+1)/$NU$15,$NN$15/$NT$15)),0)</f>
        <v/>
      </c>
      <c r="J15" s="402">
        <f>IF(AND(6&gt;=$NR$15,6&lt;=$NS$15),IF($NP$15="Single_Point",IF(6=$NR$15,$NN$15,0),IF($NP$15="Bell_Curve",$NN$15*(6-$NR$15+1)*($NS$15-6+1)/$NU$15,$NN$15/$NT$15)),0)</f>
        <v/>
      </c>
      <c r="K15" s="402">
        <f>IF(AND(7&gt;=$NR$15,7&lt;=$NS$15),IF($NP$15="Single_Point",IF(7=$NR$15,$NN$15,0),IF($NP$15="Bell_Curve",$NN$15*(7-$NR$15+1)*($NS$15-7+1)/$NU$15,$NN$15/$NT$15)),0)</f>
        <v/>
      </c>
      <c r="L15" s="402">
        <f>IF(AND(8&gt;=$NR$15,8&lt;=$NS$15),IF($NP$15="Single_Point",IF(8=$NR$15,$NN$15,0),IF($NP$15="Bell_Curve",$NN$15*(8-$NR$15+1)*($NS$15-8+1)/$NU$15,$NN$15/$NT$15)),0)</f>
        <v/>
      </c>
      <c r="M15" s="402">
        <f>IF(AND(9&gt;=$NR$15,9&lt;=$NS$15),IF($NP$15="Single_Point",IF(9=$NR$15,$NN$15,0),IF($NP$15="Bell_Curve",$NN$15*(9-$NR$15+1)*($NS$15-9+1)/$NU$15,$NN$15/$NT$15)),0)</f>
        <v/>
      </c>
      <c r="N15" s="402">
        <f>IF(AND(10&gt;=$NR$15,10&lt;=$NS$15),IF($NP$15="Single_Point",IF(10=$NR$15,$NN$15,0),IF($NP$15="Bell_Curve",$NN$15*(10-$NR$15+1)*($NS$15-10+1)/$NU$15,$NN$15/$NT$15)),0)</f>
        <v/>
      </c>
      <c r="O15" s="402">
        <f>IF(AND(11&gt;=$NR$15,11&lt;=$NS$15),IF($NP$15="Single_Point",IF(11=$NR$15,$NN$15,0),IF($NP$15="Bell_Curve",$NN$15*(11-$NR$15+1)*($NS$15-11+1)/$NU$15,$NN$15/$NT$15)),0)</f>
        <v/>
      </c>
      <c r="P15" s="402">
        <f>IF(AND(12&gt;=$NR$15,12&lt;=$NS$15),IF($NP$15="Single_Point",IF(12=$NR$15,$NN$15,0),IF($NP$15="Bell_Curve",$NN$15*(12-$NR$15+1)*($NS$15-12+1)/$NU$15,$NN$15/$NT$15)),0)</f>
        <v/>
      </c>
      <c r="Q15" s="402">
        <f>IF(AND(13&gt;=$NR$15,13&lt;=$NS$15),IF($NP$15="Single_Point",IF(13=$NR$15,$NN$15,0),IF($NP$15="Bell_Curve",$NN$15*(13-$NR$15+1)*($NS$15-13+1)/$NU$15,$NN$15/$NT$15)),0)</f>
        <v/>
      </c>
      <c r="R15" s="402">
        <f>IF(AND(14&gt;=$NR$15,14&lt;=$NS$15),IF($NP$15="Single_Point",IF(14=$NR$15,$NN$15,0),IF($NP$15="Bell_Curve",$NN$15*(14-$NR$15+1)*($NS$15-14+1)/$NU$15,$NN$15/$NT$15)),0)</f>
        <v/>
      </c>
      <c r="S15" s="402">
        <f>IF(AND(15&gt;=$NR$15,15&lt;=$NS$15),IF($NP$15="Single_Point",IF(15=$NR$15,$NN$15,0),IF($NP$15="Bell_Curve",$NN$15*(15-$NR$15+1)*($NS$15-15+1)/$NU$15,$NN$15/$NT$15)),0)</f>
        <v/>
      </c>
      <c r="T15" s="402">
        <f>IF(AND(16&gt;=$NR$15,16&lt;=$NS$15),IF($NP$15="Single_Point",IF(16=$NR$15,$NN$15,0),IF($NP$15="Bell_Curve",$NN$15*(16-$NR$15+1)*($NS$15-16+1)/$NU$15,$NN$15/$NT$15)),0)</f>
        <v/>
      </c>
      <c r="U15" s="402">
        <f>IF(AND(17&gt;=$NR$15,17&lt;=$NS$15),IF($NP$15="Single_Point",IF(17=$NR$15,$NN$15,0),IF($NP$15="Bell_Curve",$NN$15*(17-$NR$15+1)*($NS$15-17+1)/$NU$15,$NN$15/$NT$15)),0)</f>
        <v/>
      </c>
      <c r="V15" s="402">
        <f>IF(AND(18&gt;=$NR$15,18&lt;=$NS$15),IF($NP$15="Single_Point",IF(18=$NR$15,$NN$15,0),IF($NP$15="Bell_Curve",$NN$15*(18-$NR$15+1)*($NS$15-18+1)/$NU$15,$NN$15/$NT$15)),0)</f>
        <v/>
      </c>
      <c r="W15" s="402">
        <f>IF(AND(19&gt;=$NR$15,19&lt;=$NS$15),IF($NP$15="Single_Point",IF(19=$NR$15,$NN$15,0),IF($NP$15="Bell_Curve",$NN$15*(19-$NR$15+1)*($NS$15-19+1)/$NU$15,$NN$15/$NT$15)),0)</f>
        <v/>
      </c>
      <c r="X15" s="402">
        <f>IF(AND(20&gt;=$NR$15,20&lt;=$NS$15),IF($NP$15="Single_Point",IF(20=$NR$15,$NN$15,0),IF($NP$15="Bell_Curve",$NN$15*(20-$NR$15+1)*($NS$15-20+1)/$NU$15,$NN$15/$NT$15)),0)</f>
        <v/>
      </c>
      <c r="Y15" s="402">
        <f>IF(AND(21&gt;=$NR$15,21&lt;=$NS$15),IF($NP$15="Single_Point",IF(21=$NR$15,$NN$15,0),IF($NP$15="Bell_Curve",$NN$15*(21-$NR$15+1)*($NS$15-21+1)/$NU$15,$NN$15/$NT$15)),0)</f>
        <v/>
      </c>
      <c r="Z15" s="402">
        <f>IF(AND(22&gt;=$NR$15,22&lt;=$NS$15),IF($NP$15="Single_Point",IF(22=$NR$15,$NN$15,0),IF($NP$15="Bell_Curve",$NN$15*(22-$NR$15+1)*($NS$15-22+1)/$NU$15,$NN$15/$NT$15)),0)</f>
        <v/>
      </c>
      <c r="AA15" s="402">
        <f>IF(AND(23&gt;=$NR$15,23&lt;=$NS$15),IF($NP$15="Single_Point",IF(23=$NR$15,$NN$15,0),IF($NP$15="Bell_Curve",$NN$15*(23-$NR$15+1)*($NS$15-23+1)/$NU$15,$NN$15/$NT$15)),0)</f>
        <v/>
      </c>
      <c r="AB15" s="402">
        <f>IF(AND(24&gt;=$NR$15,24&lt;=$NS$15),IF($NP$15="Single_Point",IF(24=$NR$15,$NN$15,0),IF($NP$15="Bell_Curve",$NN$15*(24-$NR$15+1)*($NS$15-24+1)/$NU$15,$NN$15/$NT$15)),0)</f>
        <v/>
      </c>
      <c r="AC15" s="402">
        <f>IF(AND(25&gt;=$NR$15,25&lt;=$NS$15),IF($NP$15="Single_Point",IF(25=$NR$15,$NN$15,0),IF($NP$15="Bell_Curve",$NN$15*(25-$NR$15+1)*($NS$15-25+1)/$NU$15,$NN$15/$NT$15)),0)</f>
        <v/>
      </c>
      <c r="AD15" s="402">
        <f>IF(AND(26&gt;=$NR$15,26&lt;=$NS$15),IF($NP$15="Single_Point",IF(26=$NR$15,$NN$15,0),IF($NP$15="Bell_Curve",$NN$15*(26-$NR$15+1)*($NS$15-26+1)/$NU$15,$NN$15/$NT$15)),0)</f>
        <v/>
      </c>
      <c r="AE15" s="402">
        <f>IF(AND(27&gt;=$NR$15,27&lt;=$NS$15),IF($NP$15="Single_Point",IF(27=$NR$15,$NN$15,0),IF($NP$15="Bell_Curve",$NN$15*(27-$NR$15+1)*($NS$15-27+1)/$NU$15,$NN$15/$NT$15)),0)</f>
        <v/>
      </c>
      <c r="AF15" s="402">
        <f>IF(AND(28&gt;=$NR$15,28&lt;=$NS$15),IF($NP$15="Single_Point",IF(28=$NR$15,$NN$15,0),IF($NP$15="Bell_Curve",$NN$15*(28-$NR$15+1)*($NS$15-28+1)/$NU$15,$NN$15/$NT$15)),0)</f>
        <v/>
      </c>
      <c r="AG15" s="402">
        <f>IF(AND(29&gt;=$NR$15,29&lt;=$NS$15),IF($NP$15="Single_Point",IF(29=$NR$15,$NN$15,0),IF($NP$15="Bell_Curve",$NN$15*(29-$NR$15+1)*($NS$15-29+1)/$NU$15,$NN$15/$NT$15)),0)</f>
        <v/>
      </c>
      <c r="AH15" s="402">
        <f>IF(AND(30&gt;=$NR$15,30&lt;=$NS$15),IF($NP$15="Single_Point",IF(30=$NR$15,$NN$15,0),IF($NP$15="Bell_Curve",$NN$15*(30-$NR$15+1)*($NS$15-30+1)/$NU$15,$NN$15/$NT$15)),0)</f>
        <v/>
      </c>
      <c r="AI15" s="402">
        <f>IF(AND(31&gt;=$NR$15,31&lt;=$NS$15),IF($NP$15="Single_Point",IF(31=$NR$15,$NN$15,0),IF($NP$15="Bell_Curve",$NN$15*(31-$NR$15+1)*($NS$15-31+1)/$NU$15,$NN$15/$NT$15)),0)</f>
        <v/>
      </c>
      <c r="AJ15" s="402">
        <f>IF(AND(32&gt;=$NR$15,32&lt;=$NS$15),IF($NP$15="Single_Point",IF(32=$NR$15,$NN$15,0),IF($NP$15="Bell_Curve",$NN$15*(32-$NR$15+1)*($NS$15-32+1)/$NU$15,$NN$15/$NT$15)),0)</f>
        <v/>
      </c>
      <c r="AK15" s="402">
        <f>IF(AND(33&gt;=$NR$15,33&lt;=$NS$15),IF($NP$15="Single_Point",IF(33=$NR$15,$NN$15,0),IF($NP$15="Bell_Curve",$NN$15*(33-$NR$15+1)*($NS$15-33+1)/$NU$15,$NN$15/$NT$15)),0)</f>
        <v/>
      </c>
      <c r="AL15" s="402">
        <f>IF(AND(34&gt;=$NR$15,34&lt;=$NS$15),IF($NP$15="Single_Point",IF(34=$NR$15,$NN$15,0),IF($NP$15="Bell_Curve",$NN$15*(34-$NR$15+1)*($NS$15-34+1)/$NU$15,$NN$15/$NT$15)),0)</f>
        <v/>
      </c>
      <c r="AM15" s="402">
        <f>IF(AND(35&gt;=$NR$15,35&lt;=$NS$15),IF($NP$15="Single_Point",IF(35=$NR$15,$NN$15,0),IF($NP$15="Bell_Curve",$NN$15*(35-$NR$15+1)*($NS$15-35+1)/$NU$15,$NN$15/$NT$15)),0)</f>
        <v/>
      </c>
      <c r="AN15" s="402">
        <f>IF(AND(36&gt;=$NR$15,36&lt;=$NS$15),IF($NP$15="Single_Point",IF(36=$NR$15,$NN$15,0),IF($NP$15="Bell_Curve",$NN$15*(36-$NR$15+1)*($NS$15-36+1)/$NU$15,$NN$15/$NT$15)),0)</f>
        <v/>
      </c>
      <c r="AO15" s="402">
        <f>IF(AND(37&gt;=$NR$15,37&lt;=$NS$15),IF($NP$15="Single_Point",IF(37=$NR$15,$NN$15,0),IF($NP$15="Bell_Curve",$NN$15*(37-$NR$15+1)*($NS$15-37+1)/$NU$15,$NN$15/$NT$15)),0)</f>
        <v/>
      </c>
      <c r="AP15" s="402">
        <f>IF(AND(38&gt;=$NR$15,38&lt;=$NS$15),IF($NP$15="Single_Point",IF(38=$NR$15,$NN$15,0),IF($NP$15="Bell_Curve",$NN$15*(38-$NR$15+1)*($NS$15-38+1)/$NU$15,$NN$15/$NT$15)),0)</f>
        <v/>
      </c>
      <c r="AQ15" s="402">
        <f>IF(AND(39&gt;=$NR$15,39&lt;=$NS$15),IF($NP$15="Single_Point",IF(39=$NR$15,$NN$15,0),IF($NP$15="Bell_Curve",$NN$15*(39-$NR$15+1)*($NS$15-39+1)/$NU$15,$NN$15/$NT$15)),0)</f>
        <v/>
      </c>
      <c r="AR15" s="402">
        <f>IF(AND(40&gt;=$NR$15,40&lt;=$NS$15),IF($NP$15="Single_Point",IF(40=$NR$15,$NN$15,0),IF($NP$15="Bell_Curve",$NN$15*(40-$NR$15+1)*($NS$15-40+1)/$NU$15,$NN$15/$NT$15)),0)</f>
        <v/>
      </c>
      <c r="AS15" s="402">
        <f>IF(AND(41&gt;=$NR$15,41&lt;=$NS$15),IF($NP$15="Single_Point",IF(41=$NR$15,$NN$15,0),IF($NP$15="Bell_Curve",$NN$15*(41-$NR$15+1)*($NS$15-41+1)/$NU$15,$NN$15/$NT$15)),0)</f>
        <v/>
      </c>
      <c r="AT15" s="402">
        <f>IF(AND(42&gt;=$NR$15,42&lt;=$NS$15),IF($NP$15="Single_Point",IF(42=$NR$15,$NN$15,0),IF($NP$15="Bell_Curve",$NN$15*(42-$NR$15+1)*($NS$15-42+1)/$NU$15,$NN$15/$NT$15)),0)</f>
        <v/>
      </c>
      <c r="AU15" s="402">
        <f>IF(AND(43&gt;=$NR$15,43&lt;=$NS$15),IF($NP$15="Single_Point",IF(43=$NR$15,$NN$15,0),IF($NP$15="Bell_Curve",$NN$15*(43-$NR$15+1)*($NS$15-43+1)/$NU$15,$NN$15/$NT$15)),0)</f>
        <v/>
      </c>
      <c r="AV15" s="402">
        <f>IF(AND(44&gt;=$NR$15,44&lt;=$NS$15),IF($NP$15="Single_Point",IF(44=$NR$15,$NN$15,0),IF($NP$15="Bell_Curve",$NN$15*(44-$NR$15+1)*($NS$15-44+1)/$NU$15,$NN$15/$NT$15)),0)</f>
        <v/>
      </c>
      <c r="AW15" s="402">
        <f>IF(AND(45&gt;=$NR$15,45&lt;=$NS$15),IF($NP$15="Single_Point",IF(45=$NR$15,$NN$15,0),IF($NP$15="Bell_Curve",$NN$15*(45-$NR$15+1)*($NS$15-45+1)/$NU$15,$NN$15/$NT$15)),0)</f>
        <v/>
      </c>
      <c r="AX15" s="402">
        <f>IF(AND(46&gt;=$NR$15,46&lt;=$NS$15),IF($NP$15="Single_Point",IF(46=$NR$15,$NN$15,0),IF($NP$15="Bell_Curve",$NN$15*(46-$NR$15+1)*($NS$15-46+1)/$NU$15,$NN$15/$NT$15)),0)</f>
        <v/>
      </c>
      <c r="AY15" s="402">
        <f>IF(AND(47&gt;=$NR$15,47&lt;=$NS$15),IF($NP$15="Single_Point",IF(47=$NR$15,$NN$15,0),IF($NP$15="Bell_Curve",$NN$15*(47-$NR$15+1)*($NS$15-47+1)/$NU$15,$NN$15/$NT$15)),0)</f>
        <v/>
      </c>
      <c r="AZ15" s="402">
        <f>IF(AND(48&gt;=$NR$15,48&lt;=$NS$15),IF($NP$15="Single_Point",IF(48=$NR$15,$NN$15,0),IF($NP$15="Bell_Curve",$NN$15*(48-$NR$15+1)*($NS$15-48+1)/$NU$15,$NN$15/$NT$15)),0)</f>
        <v/>
      </c>
      <c r="BA15" s="402">
        <f>IF(AND(49&gt;=$NR$15,49&lt;=$NS$15),IF($NP$15="Single_Point",IF(49=$NR$15,$NN$15,0),IF($NP$15="Bell_Curve",$NN$15*(49-$NR$15+1)*($NS$15-49+1)/$NU$15,$NN$15/$NT$15)),0)</f>
        <v/>
      </c>
      <c r="BB15" s="402">
        <f>IF(AND(50&gt;=$NR$15,50&lt;=$NS$15),IF($NP$15="Single_Point",IF(50=$NR$15,$NN$15,0),IF($NP$15="Bell_Curve",$NN$15*(50-$NR$15+1)*($NS$15-50+1)/$NU$15,$NN$15/$NT$15)),0)</f>
        <v/>
      </c>
      <c r="BC15" s="402">
        <f>IF(AND(51&gt;=$NR$15,51&lt;=$NS$15),IF($NP$15="Single_Point",IF(51=$NR$15,$NN$15,0),IF($NP$15="Bell_Curve",$NN$15*(51-$NR$15+1)*($NS$15-51+1)/$NU$15,$NN$15/$NT$15)),0)</f>
        <v/>
      </c>
      <c r="BD15" s="402">
        <f>IF(AND(52&gt;=$NR$15,52&lt;=$NS$15),IF($NP$15="Single_Point",IF(52=$NR$15,$NN$15,0),IF($NP$15="Bell_Curve",$NN$15*(52-$NR$15+1)*($NS$15-52+1)/$NU$15,$NN$15/$NT$15)),0)</f>
        <v/>
      </c>
      <c r="BE15" s="402">
        <f>IF(AND(53&gt;=$NR$15,53&lt;=$NS$15),IF($NP$15="Single_Point",IF(53=$NR$15,$NN$15,0),IF($NP$15="Bell_Curve",$NN$15*(53-$NR$15+1)*($NS$15-53+1)/$NU$15,$NN$15/$NT$15)),0)</f>
        <v/>
      </c>
      <c r="BF15" s="402">
        <f>IF(AND(54&gt;=$NR$15,54&lt;=$NS$15),IF($NP$15="Single_Point",IF(54=$NR$15,$NN$15,0),IF($NP$15="Bell_Curve",$NN$15*(54-$NR$15+1)*($NS$15-54+1)/$NU$15,$NN$15/$NT$15)),0)</f>
        <v/>
      </c>
      <c r="BG15" s="402">
        <f>IF(AND(55&gt;=$NR$15,55&lt;=$NS$15),IF($NP$15="Single_Point",IF(55=$NR$15,$NN$15,0),IF($NP$15="Bell_Curve",$NN$15*(55-$NR$15+1)*($NS$15-55+1)/$NU$15,$NN$15/$NT$15)),0)</f>
        <v/>
      </c>
      <c r="BH15" s="402">
        <f>IF(AND(56&gt;=$NR$15,56&lt;=$NS$15),IF($NP$15="Single_Point",IF(56=$NR$15,$NN$15,0),IF($NP$15="Bell_Curve",$NN$15*(56-$NR$15+1)*($NS$15-56+1)/$NU$15,$NN$15/$NT$15)),0)</f>
        <v/>
      </c>
      <c r="BI15" s="402">
        <f>IF(AND(57&gt;=$NR$15,57&lt;=$NS$15),IF($NP$15="Single_Point",IF(57=$NR$15,$NN$15,0),IF($NP$15="Bell_Curve",$NN$15*(57-$NR$15+1)*($NS$15-57+1)/$NU$15,$NN$15/$NT$15)),0)</f>
        <v/>
      </c>
      <c r="BJ15" s="402">
        <f>IF(AND(58&gt;=$NR$15,58&lt;=$NS$15),IF($NP$15="Single_Point",IF(58=$NR$15,$NN$15,0),IF($NP$15="Bell_Curve",$NN$15*(58-$NR$15+1)*($NS$15-58+1)/$NU$15,$NN$15/$NT$15)),0)</f>
        <v/>
      </c>
      <c r="BK15" s="402">
        <f>IF(AND(59&gt;=$NR$15,59&lt;=$NS$15),IF($NP$15="Single_Point",IF(59=$NR$15,$NN$15,0),IF($NP$15="Bell_Curve",$NN$15*(59-$NR$15+1)*($NS$15-59+1)/$NU$15,$NN$15/$NT$15)),0)</f>
        <v/>
      </c>
      <c r="BL15" s="402">
        <f>IF(AND(60&gt;=$NR$15,60&lt;=$NS$15),IF($NP$15="Single_Point",IF(60=$NR$15,$NN$15,0),IF($NP$15="Bell_Curve",$NN$15*(60-$NR$15+1)*($NS$15-60+1)/$NU$15,$NN$15/$NT$15)),0)</f>
        <v/>
      </c>
      <c r="BM15" s="402">
        <f>IF(AND(61&gt;=$NR$15,61&lt;=$NS$15),IF($NP$15="Single_Point",IF(61=$NR$15,$NN$15,0),IF($NP$15="Bell_Curve",$NN$15*(61-$NR$15+1)*($NS$15-61+1)/$NU$15,$NN$15/$NT$15)),0)</f>
        <v/>
      </c>
      <c r="BN15" s="402">
        <f>IF(AND(62&gt;=$NR$15,62&lt;=$NS$15),IF($NP$15="Single_Point",IF(62=$NR$15,$NN$15,0),IF($NP$15="Bell_Curve",$NN$15*(62-$NR$15+1)*($NS$15-62+1)/$NU$15,$NN$15/$NT$15)),0)</f>
        <v/>
      </c>
      <c r="BO15" s="402">
        <f>IF(AND(63&gt;=$NR$15,63&lt;=$NS$15),IF($NP$15="Single_Point",IF(63=$NR$15,$NN$15,0),IF($NP$15="Bell_Curve",$NN$15*(63-$NR$15+1)*($NS$15-63+1)/$NU$15,$NN$15/$NT$15)),0)</f>
        <v/>
      </c>
      <c r="BP15" s="402">
        <f>IF(AND(64&gt;=$NR$15,64&lt;=$NS$15),IF($NP$15="Single_Point",IF(64=$NR$15,$NN$15,0),IF($NP$15="Bell_Curve",$NN$15*(64-$NR$15+1)*($NS$15-64+1)/$NU$15,$NN$15/$NT$15)),0)</f>
        <v/>
      </c>
      <c r="BQ15" s="402">
        <f>IF(AND(65&gt;=$NR$15,65&lt;=$NS$15),IF($NP$15="Single_Point",IF(65=$NR$15,$NN$15,0),IF($NP$15="Bell_Curve",$NN$15*(65-$NR$15+1)*($NS$15-65+1)/$NU$15,$NN$15/$NT$15)),0)</f>
        <v/>
      </c>
      <c r="BR15" s="402">
        <f>IF(AND(66&gt;=$NR$15,66&lt;=$NS$15),IF($NP$15="Single_Point",IF(66=$NR$15,$NN$15,0),IF($NP$15="Bell_Curve",$NN$15*(66-$NR$15+1)*($NS$15-66+1)/$NU$15,$NN$15/$NT$15)),0)</f>
        <v/>
      </c>
      <c r="BS15" s="402">
        <f>IF(AND(67&gt;=$NR$15,67&lt;=$NS$15),IF($NP$15="Single_Point",IF(67=$NR$15,$NN$15,0),IF($NP$15="Bell_Curve",$NN$15*(67-$NR$15+1)*($NS$15-67+1)/$NU$15,$NN$15/$NT$15)),0)</f>
        <v/>
      </c>
      <c r="BT15" s="402">
        <f>IF(AND(68&gt;=$NR$15,68&lt;=$NS$15),IF($NP$15="Single_Point",IF(68=$NR$15,$NN$15,0),IF($NP$15="Bell_Curve",$NN$15*(68-$NR$15+1)*($NS$15-68+1)/$NU$15,$NN$15/$NT$15)),0)</f>
        <v/>
      </c>
      <c r="BU15" s="402">
        <f>IF(AND(69&gt;=$NR$15,69&lt;=$NS$15),IF($NP$15="Single_Point",IF(69=$NR$15,$NN$15,0),IF($NP$15="Bell_Curve",$NN$15*(69-$NR$15+1)*($NS$15-69+1)/$NU$15,$NN$15/$NT$15)),0)</f>
        <v/>
      </c>
      <c r="BV15" s="402">
        <f>IF(AND(70&gt;=$NR$15,70&lt;=$NS$15),IF($NP$15="Single_Point",IF(70=$NR$15,$NN$15,0),IF($NP$15="Bell_Curve",$NN$15*(70-$NR$15+1)*($NS$15-70+1)/$NU$15,$NN$15/$NT$15)),0)</f>
        <v/>
      </c>
      <c r="BW15" s="402">
        <f>IF(AND(71&gt;=$NR$15,71&lt;=$NS$15),IF($NP$15="Single_Point",IF(71=$NR$15,$NN$15,0),IF($NP$15="Bell_Curve",$NN$15*(71-$NR$15+1)*($NS$15-71+1)/$NU$15,$NN$15/$NT$15)),0)</f>
        <v/>
      </c>
      <c r="BX15" s="402">
        <f>IF(AND(72&gt;=$NR$15,72&lt;=$NS$15),IF($NP$15="Single_Point",IF(72=$NR$15,$NN$15,0),IF($NP$15="Bell_Curve",$NN$15*(72-$NR$15+1)*($NS$15-72+1)/$NU$15,$NN$15/$NT$15)),0)</f>
        <v/>
      </c>
      <c r="BY15" s="402">
        <f>IF(AND(73&gt;=$NR$15,73&lt;=$NS$15),IF($NP$15="Single_Point",IF(73=$NR$15,$NN$15,0),IF($NP$15="Bell_Curve",$NN$15*(73-$NR$15+1)*($NS$15-73+1)/$NU$15,$NN$15/$NT$15)),0)</f>
        <v/>
      </c>
      <c r="BZ15" s="402">
        <f>IF(AND(74&gt;=$NR$15,74&lt;=$NS$15),IF($NP$15="Single_Point",IF(74=$NR$15,$NN$15,0),IF($NP$15="Bell_Curve",$NN$15*(74-$NR$15+1)*($NS$15-74+1)/$NU$15,$NN$15/$NT$15)),0)</f>
        <v/>
      </c>
      <c r="CA15" s="402">
        <f>IF(AND(75&gt;=$NR$15,75&lt;=$NS$15),IF($NP$15="Single_Point",IF(75=$NR$15,$NN$15,0),IF($NP$15="Bell_Curve",$NN$15*(75-$NR$15+1)*($NS$15-75+1)/$NU$15,$NN$15/$NT$15)),0)</f>
        <v/>
      </c>
      <c r="CB15" s="402">
        <f>IF(AND(76&gt;=$NR$15,76&lt;=$NS$15),IF($NP$15="Single_Point",IF(76=$NR$15,$NN$15,0),IF($NP$15="Bell_Curve",$NN$15*(76-$NR$15+1)*($NS$15-76+1)/$NU$15,$NN$15/$NT$15)),0)</f>
        <v/>
      </c>
      <c r="CC15" s="402">
        <f>IF(AND(77&gt;=$NR$15,77&lt;=$NS$15),IF($NP$15="Single_Point",IF(77=$NR$15,$NN$15,0),IF($NP$15="Bell_Curve",$NN$15*(77-$NR$15+1)*($NS$15-77+1)/$NU$15,$NN$15/$NT$15)),0)</f>
        <v/>
      </c>
      <c r="CD15" s="402">
        <f>IF(AND(78&gt;=$NR$15,78&lt;=$NS$15),IF($NP$15="Single_Point",IF(78=$NR$15,$NN$15,0),IF($NP$15="Bell_Curve",$NN$15*(78-$NR$15+1)*($NS$15-78+1)/$NU$15,$NN$15/$NT$15)),0)</f>
        <v/>
      </c>
      <c r="CE15" s="402">
        <f>IF(AND(79&gt;=$NR$15,79&lt;=$NS$15),IF($NP$15="Single_Point",IF(79=$NR$15,$NN$15,0),IF($NP$15="Bell_Curve",$NN$15*(79-$NR$15+1)*($NS$15-79+1)/$NU$15,$NN$15/$NT$15)),0)</f>
        <v/>
      </c>
      <c r="CF15" s="402">
        <f>IF(AND(80&gt;=$NR$15,80&lt;=$NS$15),IF($NP$15="Single_Point",IF(80=$NR$15,$NN$15,0),IF($NP$15="Bell_Curve",$NN$15*(80-$NR$15+1)*($NS$15-80+1)/$NU$15,$NN$15/$NT$15)),0)</f>
        <v/>
      </c>
      <c r="CG15" s="402">
        <f>IF(AND(81&gt;=$NR$15,81&lt;=$NS$15),IF($NP$15="Single_Point",IF(81=$NR$15,$NN$15,0),IF($NP$15="Bell_Curve",$NN$15*(81-$NR$15+1)*($NS$15-81+1)/$NU$15,$NN$15/$NT$15)),0)</f>
        <v/>
      </c>
      <c r="CH15" s="402">
        <f>IF(AND(82&gt;=$NR$15,82&lt;=$NS$15),IF($NP$15="Single_Point",IF(82=$NR$15,$NN$15,0),IF($NP$15="Bell_Curve",$NN$15*(82-$NR$15+1)*($NS$15-82+1)/$NU$15,$NN$15/$NT$15)),0)</f>
        <v/>
      </c>
      <c r="CI15" s="402">
        <f>IF(AND(83&gt;=$NR$15,83&lt;=$NS$15),IF($NP$15="Single_Point",IF(83=$NR$15,$NN$15,0),IF($NP$15="Bell_Curve",$NN$15*(83-$NR$15+1)*($NS$15-83+1)/$NU$15,$NN$15/$NT$15)),0)</f>
        <v/>
      </c>
      <c r="CJ15" s="402">
        <f>IF(AND(84&gt;=$NR$15,84&lt;=$NS$15),IF($NP$15="Single_Point",IF(84=$NR$15,$NN$15,0),IF($NP$15="Bell_Curve",$NN$15*(84-$NR$15+1)*($NS$15-84+1)/$NU$15,$NN$15/$NT$15)),0)</f>
        <v/>
      </c>
      <c r="CK15" s="402">
        <f>IF(AND(85&gt;=$NR$15,85&lt;=$NS$15),IF($NP$15="Single_Point",IF(85=$NR$15,$NN$15,0),IF($NP$15="Bell_Curve",$NN$15*(85-$NR$15+1)*($NS$15-85+1)/$NU$15,$NN$15/$NT$15)),0)</f>
        <v/>
      </c>
      <c r="CL15" s="402">
        <f>IF(AND(86&gt;=$NR$15,86&lt;=$NS$15),IF($NP$15="Single_Point",IF(86=$NR$15,$NN$15,0),IF($NP$15="Bell_Curve",$NN$15*(86-$NR$15+1)*($NS$15-86+1)/$NU$15,$NN$15/$NT$15)),0)</f>
        <v/>
      </c>
      <c r="CM15" s="402">
        <f>IF(AND(87&gt;=$NR$15,87&lt;=$NS$15),IF($NP$15="Single_Point",IF(87=$NR$15,$NN$15,0),IF($NP$15="Bell_Curve",$NN$15*(87-$NR$15+1)*($NS$15-87+1)/$NU$15,$NN$15/$NT$15)),0)</f>
        <v/>
      </c>
      <c r="CN15" s="402">
        <f>IF(AND(88&gt;=$NR$15,88&lt;=$NS$15),IF($NP$15="Single_Point",IF(88=$NR$15,$NN$15,0),IF($NP$15="Bell_Curve",$NN$15*(88-$NR$15+1)*($NS$15-88+1)/$NU$15,$NN$15/$NT$15)),0)</f>
        <v/>
      </c>
      <c r="CO15" s="402">
        <f>IF(AND(89&gt;=$NR$15,89&lt;=$NS$15),IF($NP$15="Single_Point",IF(89=$NR$15,$NN$15,0),IF($NP$15="Bell_Curve",$NN$15*(89-$NR$15+1)*($NS$15-89+1)/$NU$15,$NN$15/$NT$15)),0)</f>
        <v/>
      </c>
      <c r="CP15" s="402">
        <f>IF(AND(90&gt;=$NR$15,90&lt;=$NS$15),IF($NP$15="Single_Point",IF(90=$NR$15,$NN$15,0),IF($NP$15="Bell_Curve",$NN$15*(90-$NR$15+1)*($NS$15-90+1)/$NU$15,$NN$15/$NT$15)),0)</f>
        <v/>
      </c>
      <c r="CQ15" s="402">
        <f>IF(AND(91&gt;=$NR$15,91&lt;=$NS$15),IF($NP$15="Single_Point",IF(91=$NR$15,$NN$15,0),IF($NP$15="Bell_Curve",$NN$15*(91-$NR$15+1)*($NS$15-91+1)/$NU$15,$NN$15/$NT$15)),0)</f>
        <v/>
      </c>
      <c r="CR15" s="402">
        <f>IF(AND(92&gt;=$NR$15,92&lt;=$NS$15),IF($NP$15="Single_Point",IF(92=$NR$15,$NN$15,0),IF($NP$15="Bell_Curve",$NN$15*(92-$NR$15+1)*($NS$15-92+1)/$NU$15,$NN$15/$NT$15)),0)</f>
        <v/>
      </c>
      <c r="CS15" s="402">
        <f>IF(AND(93&gt;=$NR$15,93&lt;=$NS$15),IF($NP$15="Single_Point",IF(93=$NR$15,$NN$15,0),IF($NP$15="Bell_Curve",$NN$15*(93-$NR$15+1)*($NS$15-93+1)/$NU$15,$NN$15/$NT$15)),0)</f>
        <v/>
      </c>
      <c r="CT15" s="402">
        <f>IF(AND(94&gt;=$NR$15,94&lt;=$NS$15),IF($NP$15="Single_Point",IF(94=$NR$15,$NN$15,0),IF($NP$15="Bell_Curve",$NN$15*(94-$NR$15+1)*($NS$15-94+1)/$NU$15,$NN$15/$NT$15)),0)</f>
        <v/>
      </c>
      <c r="CU15" s="402">
        <f>IF(AND(95&gt;=$NR$15,95&lt;=$NS$15),IF($NP$15="Single_Point",IF(95=$NR$15,$NN$15,0),IF($NP$15="Bell_Curve",$NN$15*(95-$NR$15+1)*($NS$15-95+1)/$NU$15,$NN$15/$NT$15)),0)</f>
        <v/>
      </c>
      <c r="CV15" s="402">
        <f>IF(AND(96&gt;=$NR$15,96&lt;=$NS$15),IF($NP$15="Single_Point",IF(96=$NR$15,$NN$15,0),IF($NP$15="Bell_Curve",$NN$15*(96-$NR$15+1)*($NS$15-96+1)/$NU$15,$NN$15/$NT$15)),0)</f>
        <v/>
      </c>
      <c r="CW15" s="402">
        <f>IF(AND(97&gt;=$NR$15,97&lt;=$NS$15),IF($NP$15="Single_Point",IF(97=$NR$15,$NN$15,0),IF($NP$15="Bell_Curve",$NN$15*(97-$NR$15+1)*($NS$15-97+1)/$NU$15,$NN$15/$NT$15)),0)</f>
        <v/>
      </c>
      <c r="CX15" s="402">
        <f>IF(AND(98&gt;=$NR$15,98&lt;=$NS$15),IF($NP$15="Single_Point",IF(98=$NR$15,$NN$15,0),IF($NP$15="Bell_Curve",$NN$15*(98-$NR$15+1)*($NS$15-98+1)/$NU$15,$NN$15/$NT$15)),0)</f>
        <v/>
      </c>
      <c r="CY15" s="402">
        <f>IF(AND(99&gt;=$NR$15,99&lt;=$NS$15),IF($NP$15="Single_Point",IF(99=$NR$15,$NN$15,0),IF($NP$15="Bell_Curve",$NN$15*(99-$NR$15+1)*($NS$15-99+1)/$NU$15,$NN$15/$NT$15)),0)</f>
        <v/>
      </c>
      <c r="CZ15" s="402">
        <f>IF(AND(100&gt;=$NR$15,100&lt;=$NS$15),IF($NP$15="Single_Point",IF(100=$NR$15,$NN$15,0),IF($NP$15="Bell_Curve",$NN$15*(100-$NR$15+1)*($NS$15-100+1)/$NU$15,$NN$15/$NT$15)),0)</f>
        <v/>
      </c>
      <c r="DA15" s="402">
        <f>IF(AND(101&gt;=$NR$15,101&lt;=$NS$15),IF($NP$15="Single_Point",IF(101=$NR$15,$NN$15,0),IF($NP$15="Bell_Curve",$NN$15*(101-$NR$15+1)*($NS$15-101+1)/$NU$15,$NN$15/$NT$15)),0)</f>
        <v/>
      </c>
      <c r="DB15" s="402">
        <f>IF(AND(102&gt;=$NR$15,102&lt;=$NS$15),IF($NP$15="Single_Point",IF(102=$NR$15,$NN$15,0),IF($NP$15="Bell_Curve",$NN$15*(102-$NR$15+1)*($NS$15-102+1)/$NU$15,$NN$15/$NT$15)),0)</f>
        <v/>
      </c>
      <c r="DC15" s="402">
        <f>IF(AND(103&gt;=$NR$15,103&lt;=$NS$15),IF($NP$15="Single_Point",IF(103=$NR$15,$NN$15,0),IF($NP$15="Bell_Curve",$NN$15*(103-$NR$15+1)*($NS$15-103+1)/$NU$15,$NN$15/$NT$15)),0)</f>
        <v/>
      </c>
      <c r="DD15" s="402">
        <f>IF(AND(104&gt;=$NR$15,104&lt;=$NS$15),IF($NP$15="Single_Point",IF(104=$NR$15,$NN$15,0),IF($NP$15="Bell_Curve",$NN$15*(104-$NR$15+1)*($NS$15-104+1)/$NU$15,$NN$15/$NT$15)),0)</f>
        <v/>
      </c>
      <c r="DE15" s="402">
        <f>IF(AND(105&gt;=$NR$15,105&lt;=$NS$15),IF($NP$15="Single_Point",IF(105=$NR$15,$NN$15,0),IF($NP$15="Bell_Curve",$NN$15*(105-$NR$15+1)*($NS$15-105+1)/$NU$15,$NN$15/$NT$15)),0)</f>
        <v/>
      </c>
      <c r="DF15" s="402">
        <f>IF(AND(106&gt;=$NR$15,106&lt;=$NS$15),IF($NP$15="Single_Point",IF(106=$NR$15,$NN$15,0),IF($NP$15="Bell_Curve",$NN$15*(106-$NR$15+1)*($NS$15-106+1)/$NU$15,$NN$15/$NT$15)),0)</f>
        <v/>
      </c>
      <c r="DG15" s="402">
        <f>IF(AND(107&gt;=$NR$15,107&lt;=$NS$15),IF($NP$15="Single_Point",IF(107=$NR$15,$NN$15,0),IF($NP$15="Bell_Curve",$NN$15*(107-$NR$15+1)*($NS$15-107+1)/$NU$15,$NN$15/$NT$15)),0)</f>
        <v/>
      </c>
      <c r="DH15" s="402">
        <f>IF(AND(108&gt;=$NR$15,108&lt;=$NS$15),IF($NP$15="Single_Point",IF(108=$NR$15,$NN$15,0),IF($NP$15="Bell_Curve",$NN$15*(108-$NR$15+1)*($NS$15-108+1)/$NU$15,$NN$15/$NT$15)),0)</f>
        <v/>
      </c>
      <c r="DI15" s="402">
        <f>IF(AND(109&gt;=$NR$15,109&lt;=$NS$15),IF($NP$15="Single_Point",IF(109=$NR$15,$NN$15,0),IF($NP$15="Bell_Curve",$NN$15*(109-$NR$15+1)*($NS$15-109+1)/$NU$15,$NN$15/$NT$15)),0)</f>
        <v/>
      </c>
      <c r="DJ15" s="402">
        <f>IF(AND(110&gt;=$NR$15,110&lt;=$NS$15),IF($NP$15="Single_Point",IF(110=$NR$15,$NN$15,0),IF($NP$15="Bell_Curve",$NN$15*(110-$NR$15+1)*($NS$15-110+1)/$NU$15,$NN$15/$NT$15)),0)</f>
        <v/>
      </c>
      <c r="DK15" s="402">
        <f>IF(AND(111&gt;=$NR$15,111&lt;=$NS$15),IF($NP$15="Single_Point",IF(111=$NR$15,$NN$15,0),IF($NP$15="Bell_Curve",$NN$15*(111-$NR$15+1)*($NS$15-111+1)/$NU$15,$NN$15/$NT$15)),0)</f>
        <v/>
      </c>
      <c r="DL15" s="402">
        <f>IF(AND(112&gt;=$NR$15,112&lt;=$NS$15),IF($NP$15="Single_Point",IF(112=$NR$15,$NN$15,0),IF($NP$15="Bell_Curve",$NN$15*(112-$NR$15+1)*($NS$15-112+1)/$NU$15,$NN$15/$NT$15)),0)</f>
        <v/>
      </c>
      <c r="DM15" s="402">
        <f>IF(AND(113&gt;=$NR$15,113&lt;=$NS$15),IF($NP$15="Single_Point",IF(113=$NR$15,$NN$15,0),IF($NP$15="Bell_Curve",$NN$15*(113-$NR$15+1)*($NS$15-113+1)/$NU$15,$NN$15/$NT$15)),0)</f>
        <v/>
      </c>
      <c r="DN15" s="402">
        <f>IF(AND(114&gt;=$NR$15,114&lt;=$NS$15),IF($NP$15="Single_Point",IF(114=$NR$15,$NN$15,0),IF($NP$15="Bell_Curve",$NN$15*(114-$NR$15+1)*($NS$15-114+1)/$NU$15,$NN$15/$NT$15)),0)</f>
        <v/>
      </c>
      <c r="DO15" s="402">
        <f>IF(AND(115&gt;=$NR$15,115&lt;=$NS$15),IF($NP$15="Single_Point",IF(115=$NR$15,$NN$15,0),IF($NP$15="Bell_Curve",$NN$15*(115-$NR$15+1)*($NS$15-115+1)/$NU$15,$NN$15/$NT$15)),0)</f>
        <v/>
      </c>
      <c r="DP15" s="402">
        <f>IF(AND(116&gt;=$NR$15,116&lt;=$NS$15),IF($NP$15="Single_Point",IF(116=$NR$15,$NN$15,0),IF($NP$15="Bell_Curve",$NN$15*(116-$NR$15+1)*($NS$15-116+1)/$NU$15,$NN$15/$NT$15)),0)</f>
        <v/>
      </c>
      <c r="DQ15" s="402">
        <f>IF(AND(117&gt;=$NR$15,117&lt;=$NS$15),IF($NP$15="Single_Point",IF(117=$NR$15,$NN$15,0),IF($NP$15="Bell_Curve",$NN$15*(117-$NR$15+1)*($NS$15-117+1)/$NU$15,$NN$15/$NT$15)),0)</f>
        <v/>
      </c>
      <c r="DR15" s="402">
        <f>IF(AND(118&gt;=$NR$15,118&lt;=$NS$15),IF($NP$15="Single_Point",IF(118=$NR$15,$NN$15,0),IF($NP$15="Bell_Curve",$NN$15*(118-$NR$15+1)*($NS$15-118+1)/$NU$15,$NN$15/$NT$15)),0)</f>
        <v/>
      </c>
      <c r="DS15" s="402">
        <f>IF(AND(119&gt;=$NR$15,119&lt;=$NS$15),IF($NP$15="Single_Point",IF(119=$NR$15,$NN$15,0),IF($NP$15="Bell_Curve",$NN$15*(119-$NR$15+1)*($NS$15-119+1)/$NU$15,$NN$15/$NT$15)),0)</f>
        <v/>
      </c>
      <c r="DT15" s="402">
        <f>IF(AND(120&gt;=$NR$15,120&lt;=$NS$15),IF($NP$15="Single_Point",IF(120=$NR$15,$NN$15,0),IF($NP$15="Bell_Curve",$NN$15*(120-$NR$15+1)*($NS$15-120+1)/$NU$15,$NN$15/$NT$15)),0)</f>
        <v/>
      </c>
      <c r="DU15" s="402">
        <f>IF(AND(121&gt;=$NR$15,121&lt;=$NS$15),IF($NP$15="Single_Point",IF(121=$NR$15,$NN$15,0),IF($NP$15="Bell_Curve",$NN$15*(121-$NR$15+1)*($NS$15-121+1)/$NU$15,$NN$15/$NT$15)),0)</f>
        <v/>
      </c>
      <c r="DV15" s="402">
        <f>IF(AND(122&gt;=$NR$15,122&lt;=$NS$15),IF($NP$15="Single_Point",IF(122=$NR$15,$NN$15,0),IF($NP$15="Bell_Curve",$NN$15*(122-$NR$15+1)*($NS$15-122+1)/$NU$15,$NN$15/$NT$15)),0)</f>
        <v/>
      </c>
      <c r="DW15" s="402">
        <f>IF(AND(123&gt;=$NR$15,123&lt;=$NS$15),IF($NP$15="Single_Point",IF(123=$NR$15,$NN$15,0),IF($NP$15="Bell_Curve",$NN$15*(123-$NR$15+1)*($NS$15-123+1)/$NU$15,$NN$15/$NT$15)),0)</f>
        <v/>
      </c>
      <c r="DX15" s="402">
        <f>IF(AND(124&gt;=$NR$15,124&lt;=$NS$15),IF($NP$15="Single_Point",IF(124=$NR$15,$NN$15,0),IF($NP$15="Bell_Curve",$NN$15*(124-$NR$15+1)*($NS$15-124+1)/$NU$15,$NN$15/$NT$15)),0)</f>
        <v/>
      </c>
      <c r="DY15" s="402">
        <f>IF(AND(125&gt;=$NR$15,125&lt;=$NS$15),IF($NP$15="Single_Point",IF(125=$NR$15,$NN$15,0),IF($NP$15="Bell_Curve",$NN$15*(125-$NR$15+1)*($NS$15-125+1)/$NU$15,$NN$15/$NT$15)),0)</f>
        <v/>
      </c>
      <c r="DZ15" s="402">
        <f>IF(AND(126&gt;=$NR$15,126&lt;=$NS$15),IF($NP$15="Single_Point",IF(126=$NR$15,$NN$15,0),IF($NP$15="Bell_Curve",$NN$15*(126-$NR$15+1)*($NS$15-126+1)/$NU$15,$NN$15/$NT$15)),0)</f>
        <v/>
      </c>
      <c r="EA15" s="402">
        <f>IF(AND(127&gt;=$NR$15,127&lt;=$NS$15),IF($NP$15="Single_Point",IF(127=$NR$15,$NN$15,0),IF($NP$15="Bell_Curve",$NN$15*(127-$NR$15+1)*($NS$15-127+1)/$NU$15,$NN$15/$NT$15)),0)</f>
        <v/>
      </c>
      <c r="EB15" s="402">
        <f>IF(AND(128&gt;=$NR$15,128&lt;=$NS$15),IF($NP$15="Single_Point",IF(128=$NR$15,$NN$15,0),IF($NP$15="Bell_Curve",$NN$15*(128-$NR$15+1)*($NS$15-128+1)/$NU$15,$NN$15/$NT$15)),0)</f>
        <v/>
      </c>
      <c r="EC15" s="402">
        <f>IF(AND(129&gt;=$NR$15,129&lt;=$NS$15),IF($NP$15="Single_Point",IF(129=$NR$15,$NN$15,0),IF($NP$15="Bell_Curve",$NN$15*(129-$NR$15+1)*($NS$15-129+1)/$NU$15,$NN$15/$NT$15)),0)</f>
        <v/>
      </c>
      <c r="ED15" s="402">
        <f>IF(AND(130&gt;=$NR$15,130&lt;=$NS$15),IF($NP$15="Single_Point",IF(130=$NR$15,$NN$15,0),IF($NP$15="Bell_Curve",$NN$15*(130-$NR$15+1)*($NS$15-130+1)/$NU$15,$NN$15/$NT$15)),0)</f>
        <v/>
      </c>
      <c r="EE15" s="402">
        <f>IF(AND(131&gt;=$NR$15,131&lt;=$NS$15),IF($NP$15="Single_Point",IF(131=$NR$15,$NN$15,0),IF($NP$15="Bell_Curve",$NN$15*(131-$NR$15+1)*($NS$15-131+1)/$NU$15,$NN$15/$NT$15)),0)</f>
        <v/>
      </c>
      <c r="EF15" s="402">
        <f>IF(AND(132&gt;=$NR$15,132&lt;=$NS$15),IF($NP$15="Single_Point",IF(132=$NR$15,$NN$15,0),IF($NP$15="Bell_Curve",$NN$15*(132-$NR$15+1)*($NS$15-132+1)/$NU$15,$NN$15/$NT$15)),0)</f>
        <v/>
      </c>
      <c r="EG15" s="402">
        <f>IF(AND(133&gt;=$NR$15,133&lt;=$NS$15),IF($NP$15="Single_Point",IF(133=$NR$15,$NN$15,0),IF($NP$15="Bell_Curve",$NN$15*(133-$NR$15+1)*($NS$15-133+1)/$NU$15,$NN$15/$NT$15)),0)</f>
        <v/>
      </c>
      <c r="EH15" s="402">
        <f>IF(AND(134&gt;=$NR$15,134&lt;=$NS$15),IF($NP$15="Single_Point",IF(134=$NR$15,$NN$15,0),IF($NP$15="Bell_Curve",$NN$15*(134-$NR$15+1)*($NS$15-134+1)/$NU$15,$NN$15/$NT$15)),0)</f>
        <v/>
      </c>
      <c r="EI15" s="402">
        <f>IF(AND(135&gt;=$NR$15,135&lt;=$NS$15),IF($NP$15="Single_Point",IF(135=$NR$15,$NN$15,0),IF($NP$15="Bell_Curve",$NN$15*(135-$NR$15+1)*($NS$15-135+1)/$NU$15,$NN$15/$NT$15)),0)</f>
        <v/>
      </c>
      <c r="EJ15" s="402">
        <f>IF(AND(136&gt;=$NR$15,136&lt;=$NS$15),IF($NP$15="Single_Point",IF(136=$NR$15,$NN$15,0),IF($NP$15="Bell_Curve",$NN$15*(136-$NR$15+1)*($NS$15-136+1)/$NU$15,$NN$15/$NT$15)),0)</f>
        <v/>
      </c>
      <c r="EK15" s="402">
        <f>IF(AND(137&gt;=$NR$15,137&lt;=$NS$15),IF($NP$15="Single_Point",IF(137=$NR$15,$NN$15,0),IF($NP$15="Bell_Curve",$NN$15*(137-$NR$15+1)*($NS$15-137+1)/$NU$15,$NN$15/$NT$15)),0)</f>
        <v/>
      </c>
      <c r="EL15" s="402">
        <f>IF(AND(138&gt;=$NR$15,138&lt;=$NS$15),IF($NP$15="Single_Point",IF(138=$NR$15,$NN$15,0),IF($NP$15="Bell_Curve",$NN$15*(138-$NR$15+1)*($NS$15-138+1)/$NU$15,$NN$15/$NT$15)),0)</f>
        <v/>
      </c>
      <c r="EM15" s="402">
        <f>IF(AND(139&gt;=$NR$15,139&lt;=$NS$15),IF($NP$15="Single_Point",IF(139=$NR$15,$NN$15,0),IF($NP$15="Bell_Curve",$NN$15*(139-$NR$15+1)*($NS$15-139+1)/$NU$15,$NN$15/$NT$15)),0)</f>
        <v/>
      </c>
      <c r="EN15" s="402">
        <f>IF(AND(140&gt;=$NR$15,140&lt;=$NS$15),IF($NP$15="Single_Point",IF(140=$NR$15,$NN$15,0),IF($NP$15="Bell_Curve",$NN$15*(140-$NR$15+1)*($NS$15-140+1)/$NU$15,$NN$15/$NT$15)),0)</f>
        <v/>
      </c>
      <c r="EO15" s="402">
        <f>IF(AND(141&gt;=$NR$15,141&lt;=$NS$15),IF($NP$15="Single_Point",IF(141=$NR$15,$NN$15,0),IF($NP$15="Bell_Curve",$NN$15*(141-$NR$15+1)*($NS$15-141+1)/$NU$15,$NN$15/$NT$15)),0)</f>
        <v/>
      </c>
      <c r="EP15" s="402">
        <f>IF(AND(142&gt;=$NR$15,142&lt;=$NS$15),IF($NP$15="Single_Point",IF(142=$NR$15,$NN$15,0),IF($NP$15="Bell_Curve",$NN$15*(142-$NR$15+1)*($NS$15-142+1)/$NU$15,$NN$15/$NT$15)),0)</f>
        <v/>
      </c>
      <c r="EQ15" s="402">
        <f>IF(AND(143&gt;=$NR$15,143&lt;=$NS$15),IF($NP$15="Single_Point",IF(143=$NR$15,$NN$15,0),IF($NP$15="Bell_Curve",$NN$15*(143-$NR$15+1)*($NS$15-143+1)/$NU$15,$NN$15/$NT$15)),0)</f>
        <v/>
      </c>
      <c r="ER15" s="402">
        <f>IF(AND(144&gt;=$NR$15,144&lt;=$NS$15),IF($NP$15="Single_Point",IF(144=$NR$15,$NN$15,0),IF($NP$15="Bell_Curve",$NN$15*(144-$NR$15+1)*($NS$15-144+1)/$NU$15,$NN$15/$NT$15)),0)</f>
        <v/>
      </c>
      <c r="ES15" s="402">
        <f>IF(AND(145&gt;=$NR$15,145&lt;=$NS$15),IF($NP$15="Single_Point",IF(145=$NR$15,$NN$15,0),IF($NP$15="Bell_Curve",$NN$15*(145-$NR$15+1)*($NS$15-145+1)/$NU$15,$NN$15/$NT$15)),0)</f>
        <v/>
      </c>
      <c r="ET15" s="402">
        <f>IF(AND(146&gt;=$NR$15,146&lt;=$NS$15),IF($NP$15="Single_Point",IF(146=$NR$15,$NN$15,0),IF($NP$15="Bell_Curve",$NN$15*(146-$NR$15+1)*($NS$15-146+1)/$NU$15,$NN$15/$NT$15)),0)</f>
        <v/>
      </c>
      <c r="EU15" s="402">
        <f>IF(AND(147&gt;=$NR$15,147&lt;=$NS$15),IF($NP$15="Single_Point",IF(147=$NR$15,$NN$15,0),IF($NP$15="Bell_Curve",$NN$15*(147-$NR$15+1)*($NS$15-147+1)/$NU$15,$NN$15/$NT$15)),0)</f>
        <v/>
      </c>
      <c r="EV15" s="402">
        <f>IF(AND(148&gt;=$NR$15,148&lt;=$NS$15),IF($NP$15="Single_Point",IF(148=$NR$15,$NN$15,0),IF($NP$15="Bell_Curve",$NN$15*(148-$NR$15+1)*($NS$15-148+1)/$NU$15,$NN$15/$NT$15)),0)</f>
        <v/>
      </c>
      <c r="EW15" s="402">
        <f>IF(AND(149&gt;=$NR$15,149&lt;=$NS$15),IF($NP$15="Single_Point",IF(149=$NR$15,$NN$15,0),IF($NP$15="Bell_Curve",$NN$15*(149-$NR$15+1)*($NS$15-149+1)/$NU$15,$NN$15/$NT$15)),0)</f>
        <v/>
      </c>
      <c r="EX15" s="402">
        <f>IF(AND(150&gt;=$NR$15,150&lt;=$NS$15),IF($NP$15="Single_Point",IF(150=$NR$15,$NN$15,0),IF($NP$15="Bell_Curve",$NN$15*(150-$NR$15+1)*($NS$15-150+1)/$NU$15,$NN$15/$NT$15)),0)</f>
        <v/>
      </c>
      <c r="EY15" s="402">
        <f>IF(AND(151&gt;=$NR$15,151&lt;=$NS$15),IF($NP$15="Single_Point",IF(151=$NR$15,$NN$15,0),IF($NP$15="Bell_Curve",$NN$15*(151-$NR$15+1)*($NS$15-151+1)/$NU$15,$NN$15/$NT$15)),0)</f>
        <v/>
      </c>
      <c r="EZ15" s="402">
        <f>IF(AND(152&gt;=$NR$15,152&lt;=$NS$15),IF($NP$15="Single_Point",IF(152=$NR$15,$NN$15,0),IF($NP$15="Bell_Curve",$NN$15*(152-$NR$15+1)*($NS$15-152+1)/$NU$15,$NN$15/$NT$15)),0)</f>
        <v/>
      </c>
      <c r="FA15" s="402">
        <f>IF(AND(153&gt;=$NR$15,153&lt;=$NS$15),IF($NP$15="Single_Point",IF(153=$NR$15,$NN$15,0),IF($NP$15="Bell_Curve",$NN$15*(153-$NR$15+1)*($NS$15-153+1)/$NU$15,$NN$15/$NT$15)),0)</f>
        <v/>
      </c>
      <c r="FB15" s="402">
        <f>IF(AND(154&gt;=$NR$15,154&lt;=$NS$15),IF($NP$15="Single_Point",IF(154=$NR$15,$NN$15,0),IF($NP$15="Bell_Curve",$NN$15*(154-$NR$15+1)*($NS$15-154+1)/$NU$15,$NN$15/$NT$15)),0)</f>
        <v/>
      </c>
      <c r="FC15" s="402">
        <f>IF(AND(155&gt;=$NR$15,155&lt;=$NS$15),IF($NP$15="Single_Point",IF(155=$NR$15,$NN$15,0),IF($NP$15="Bell_Curve",$NN$15*(155-$NR$15+1)*($NS$15-155+1)/$NU$15,$NN$15/$NT$15)),0)</f>
        <v/>
      </c>
      <c r="FD15" s="402">
        <f>IF(AND(156&gt;=$NR$15,156&lt;=$NS$15),IF($NP$15="Single_Point",IF(156=$NR$15,$NN$15,0),IF($NP$15="Bell_Curve",$NN$15*(156-$NR$15+1)*($NS$15-156+1)/$NU$15,$NN$15/$NT$15)),0)</f>
        <v/>
      </c>
      <c r="FE15" s="402">
        <f>IF(AND(157&gt;=$NR$15,157&lt;=$NS$15),IF($NP$15="Single_Point",IF(157=$NR$15,$NN$15,0),IF($NP$15="Bell_Curve",$NN$15*(157-$NR$15+1)*($NS$15-157+1)/$NU$15,$NN$15/$NT$15)),0)</f>
        <v/>
      </c>
      <c r="FF15" s="402">
        <f>IF(AND(158&gt;=$NR$15,158&lt;=$NS$15),IF($NP$15="Single_Point",IF(158=$NR$15,$NN$15,0),IF($NP$15="Bell_Curve",$NN$15*(158-$NR$15+1)*($NS$15-158+1)/$NU$15,$NN$15/$NT$15)),0)</f>
        <v/>
      </c>
      <c r="FG15" s="402">
        <f>IF(AND(159&gt;=$NR$15,159&lt;=$NS$15),IF($NP$15="Single_Point",IF(159=$NR$15,$NN$15,0),IF($NP$15="Bell_Curve",$NN$15*(159-$NR$15+1)*($NS$15-159+1)/$NU$15,$NN$15/$NT$15)),0)</f>
        <v/>
      </c>
      <c r="FH15" s="402">
        <f>IF(AND(160&gt;=$NR$15,160&lt;=$NS$15),IF($NP$15="Single_Point",IF(160=$NR$15,$NN$15,0),IF($NP$15="Bell_Curve",$NN$15*(160-$NR$15+1)*($NS$15-160+1)/$NU$15,$NN$15/$NT$15)),0)</f>
        <v/>
      </c>
      <c r="FI15" s="402">
        <f>IF(AND(161&gt;=$NR$15,161&lt;=$NS$15),IF($NP$15="Single_Point",IF(161=$NR$15,$NN$15,0),IF($NP$15="Bell_Curve",$NN$15*(161-$NR$15+1)*($NS$15-161+1)/$NU$15,$NN$15/$NT$15)),0)</f>
        <v/>
      </c>
      <c r="FJ15" s="402">
        <f>IF(AND(162&gt;=$NR$15,162&lt;=$NS$15),IF($NP$15="Single_Point",IF(162=$NR$15,$NN$15,0),IF($NP$15="Bell_Curve",$NN$15*(162-$NR$15+1)*($NS$15-162+1)/$NU$15,$NN$15/$NT$15)),0)</f>
        <v/>
      </c>
      <c r="FK15" s="402">
        <f>IF(AND(163&gt;=$NR$15,163&lt;=$NS$15),IF($NP$15="Single_Point",IF(163=$NR$15,$NN$15,0),IF($NP$15="Bell_Curve",$NN$15*(163-$NR$15+1)*($NS$15-163+1)/$NU$15,$NN$15/$NT$15)),0)</f>
        <v/>
      </c>
      <c r="FL15" s="402">
        <f>IF(AND(164&gt;=$NR$15,164&lt;=$NS$15),IF($NP$15="Single_Point",IF(164=$NR$15,$NN$15,0),IF($NP$15="Bell_Curve",$NN$15*(164-$NR$15+1)*($NS$15-164+1)/$NU$15,$NN$15/$NT$15)),0)</f>
        <v/>
      </c>
      <c r="FM15" s="402">
        <f>IF(AND(165&gt;=$NR$15,165&lt;=$NS$15),IF($NP$15="Single_Point",IF(165=$NR$15,$NN$15,0),IF($NP$15="Bell_Curve",$NN$15*(165-$NR$15+1)*($NS$15-165+1)/$NU$15,$NN$15/$NT$15)),0)</f>
        <v/>
      </c>
      <c r="FN15" s="402">
        <f>IF(AND(166&gt;=$NR$15,166&lt;=$NS$15),IF($NP$15="Single_Point",IF(166=$NR$15,$NN$15,0),IF($NP$15="Bell_Curve",$NN$15*(166-$NR$15+1)*($NS$15-166+1)/$NU$15,$NN$15/$NT$15)),0)</f>
        <v/>
      </c>
      <c r="FO15" s="402">
        <f>IF(AND(167&gt;=$NR$15,167&lt;=$NS$15),IF($NP$15="Single_Point",IF(167=$NR$15,$NN$15,0),IF($NP$15="Bell_Curve",$NN$15*(167-$NR$15+1)*($NS$15-167+1)/$NU$15,$NN$15/$NT$15)),0)</f>
        <v/>
      </c>
      <c r="FP15" s="402">
        <f>IF(AND(168&gt;=$NR$15,168&lt;=$NS$15),IF($NP$15="Single_Point",IF(168=$NR$15,$NN$15,0),IF($NP$15="Bell_Curve",$NN$15*(168-$NR$15+1)*($NS$15-168+1)/$NU$15,$NN$15/$NT$15)),0)</f>
        <v/>
      </c>
      <c r="FQ15" s="402">
        <f>IF(AND(169&gt;=$NR$15,169&lt;=$NS$15),IF($NP$15="Single_Point",IF(169=$NR$15,$NN$15,0),IF($NP$15="Bell_Curve",$NN$15*(169-$NR$15+1)*($NS$15-169+1)/$NU$15,$NN$15/$NT$15)),0)</f>
        <v/>
      </c>
      <c r="FR15" s="402">
        <f>IF(AND(170&gt;=$NR$15,170&lt;=$NS$15),IF($NP$15="Single_Point",IF(170=$NR$15,$NN$15,0),IF($NP$15="Bell_Curve",$NN$15*(170-$NR$15+1)*($NS$15-170+1)/$NU$15,$NN$15/$NT$15)),0)</f>
        <v/>
      </c>
      <c r="FS15" s="402">
        <f>IF(AND(171&gt;=$NR$15,171&lt;=$NS$15),IF($NP$15="Single_Point",IF(171=$NR$15,$NN$15,0),IF($NP$15="Bell_Curve",$NN$15*(171-$NR$15+1)*($NS$15-171+1)/$NU$15,$NN$15/$NT$15)),0)</f>
        <v/>
      </c>
      <c r="FT15" s="402">
        <f>IF(AND(172&gt;=$NR$15,172&lt;=$NS$15),IF($NP$15="Single_Point",IF(172=$NR$15,$NN$15,0),IF($NP$15="Bell_Curve",$NN$15*(172-$NR$15+1)*($NS$15-172+1)/$NU$15,$NN$15/$NT$15)),0)</f>
        <v/>
      </c>
      <c r="FU15" s="402">
        <f>IF(AND(173&gt;=$NR$15,173&lt;=$NS$15),IF($NP$15="Single_Point",IF(173=$NR$15,$NN$15,0),IF($NP$15="Bell_Curve",$NN$15*(173-$NR$15+1)*($NS$15-173+1)/$NU$15,$NN$15/$NT$15)),0)</f>
        <v/>
      </c>
      <c r="FV15" s="402">
        <f>IF(AND(174&gt;=$NR$15,174&lt;=$NS$15),IF($NP$15="Single_Point",IF(174=$NR$15,$NN$15,0),IF($NP$15="Bell_Curve",$NN$15*(174-$NR$15+1)*($NS$15-174+1)/$NU$15,$NN$15/$NT$15)),0)</f>
        <v/>
      </c>
      <c r="FW15" s="402">
        <f>IF(AND(175&gt;=$NR$15,175&lt;=$NS$15),IF($NP$15="Single_Point",IF(175=$NR$15,$NN$15,0),IF($NP$15="Bell_Curve",$NN$15*(175-$NR$15+1)*($NS$15-175+1)/$NU$15,$NN$15/$NT$15)),0)</f>
        <v/>
      </c>
      <c r="FX15" s="402">
        <f>IF(AND(176&gt;=$NR$15,176&lt;=$NS$15),IF($NP$15="Single_Point",IF(176=$NR$15,$NN$15,0),IF($NP$15="Bell_Curve",$NN$15*(176-$NR$15+1)*($NS$15-176+1)/$NU$15,$NN$15/$NT$15)),0)</f>
        <v/>
      </c>
      <c r="FY15" s="402">
        <f>IF(AND(177&gt;=$NR$15,177&lt;=$NS$15),IF($NP$15="Single_Point",IF(177=$NR$15,$NN$15,0),IF($NP$15="Bell_Curve",$NN$15*(177-$NR$15+1)*($NS$15-177+1)/$NU$15,$NN$15/$NT$15)),0)</f>
        <v/>
      </c>
      <c r="FZ15" s="402">
        <f>IF(AND(178&gt;=$NR$15,178&lt;=$NS$15),IF($NP$15="Single_Point",IF(178=$NR$15,$NN$15,0),IF($NP$15="Bell_Curve",$NN$15*(178-$NR$15+1)*($NS$15-178+1)/$NU$15,$NN$15/$NT$15)),0)</f>
        <v/>
      </c>
      <c r="GA15" s="402">
        <f>IF(AND(179&gt;=$NR$15,179&lt;=$NS$15),IF($NP$15="Single_Point",IF(179=$NR$15,$NN$15,0),IF($NP$15="Bell_Curve",$NN$15*(179-$NR$15+1)*($NS$15-179+1)/$NU$15,$NN$15/$NT$15)),0)</f>
        <v/>
      </c>
      <c r="GB15" s="402">
        <f>IF(AND(180&gt;=$NR$15,180&lt;=$NS$15),IF($NP$15="Single_Point",IF(180=$NR$15,$NN$15,0),IF($NP$15="Bell_Curve",$NN$15*(180-$NR$15+1)*($NS$15-180+1)/$NU$15,$NN$15/$NT$15)),0)</f>
        <v/>
      </c>
      <c r="GC15" s="402">
        <f>IF(AND(181&gt;=$NR$15,181&lt;=$NS$15),IF($NP$15="Single_Point",IF(181=$NR$15,$NN$15,0),IF($NP$15="Bell_Curve",$NN$15*(181-$NR$15+1)*($NS$15-181+1)/$NU$15,$NN$15/$NT$15)),0)</f>
        <v/>
      </c>
      <c r="GD15" s="402">
        <f>IF(AND(182&gt;=$NR$15,182&lt;=$NS$15),IF($NP$15="Single_Point",IF(182=$NR$15,$NN$15,0),IF($NP$15="Bell_Curve",$NN$15*(182-$NR$15+1)*($NS$15-182+1)/$NU$15,$NN$15/$NT$15)),0)</f>
        <v/>
      </c>
      <c r="GE15" s="402">
        <f>IF(AND(183&gt;=$NR$15,183&lt;=$NS$15),IF($NP$15="Single_Point",IF(183=$NR$15,$NN$15,0),IF($NP$15="Bell_Curve",$NN$15*(183-$NR$15+1)*($NS$15-183+1)/$NU$15,$NN$15/$NT$15)),0)</f>
        <v/>
      </c>
      <c r="GF15" s="402">
        <f>IF(AND(184&gt;=$NR$15,184&lt;=$NS$15),IF($NP$15="Single_Point",IF(184=$NR$15,$NN$15,0),IF($NP$15="Bell_Curve",$NN$15*(184-$NR$15+1)*($NS$15-184+1)/$NU$15,$NN$15/$NT$15)),0)</f>
        <v/>
      </c>
      <c r="GG15" s="402">
        <f>IF(AND(185&gt;=$NR$15,185&lt;=$NS$15),IF($NP$15="Single_Point",IF(185=$NR$15,$NN$15,0),IF($NP$15="Bell_Curve",$NN$15*(185-$NR$15+1)*($NS$15-185+1)/$NU$15,$NN$15/$NT$15)),0)</f>
        <v/>
      </c>
      <c r="GH15" s="402">
        <f>IF(AND(186&gt;=$NR$15,186&lt;=$NS$15),IF($NP$15="Single_Point",IF(186=$NR$15,$NN$15,0),IF($NP$15="Bell_Curve",$NN$15*(186-$NR$15+1)*($NS$15-186+1)/$NU$15,$NN$15/$NT$15)),0)</f>
        <v/>
      </c>
      <c r="GI15" s="402">
        <f>IF(AND(187&gt;=$NR$15,187&lt;=$NS$15),IF($NP$15="Single_Point",IF(187=$NR$15,$NN$15,0),IF($NP$15="Bell_Curve",$NN$15*(187-$NR$15+1)*($NS$15-187+1)/$NU$15,$NN$15/$NT$15)),0)</f>
        <v/>
      </c>
      <c r="GJ15" s="402">
        <f>IF(AND(188&gt;=$NR$15,188&lt;=$NS$15),IF($NP$15="Single_Point",IF(188=$NR$15,$NN$15,0),IF($NP$15="Bell_Curve",$NN$15*(188-$NR$15+1)*($NS$15-188+1)/$NU$15,$NN$15/$NT$15)),0)</f>
        <v/>
      </c>
      <c r="GK15" s="402">
        <f>IF(AND(189&gt;=$NR$15,189&lt;=$NS$15),IF($NP$15="Single_Point",IF(189=$NR$15,$NN$15,0),IF($NP$15="Bell_Curve",$NN$15*(189-$NR$15+1)*($NS$15-189+1)/$NU$15,$NN$15/$NT$15)),0)</f>
        <v/>
      </c>
      <c r="GL15" s="402">
        <f>IF(AND(190&gt;=$NR$15,190&lt;=$NS$15),IF($NP$15="Single_Point",IF(190=$NR$15,$NN$15,0),IF($NP$15="Bell_Curve",$NN$15*(190-$NR$15+1)*($NS$15-190+1)/$NU$15,$NN$15/$NT$15)),0)</f>
        <v/>
      </c>
      <c r="GM15" s="402">
        <f>IF(AND(191&gt;=$NR$15,191&lt;=$NS$15),IF($NP$15="Single_Point",IF(191=$NR$15,$NN$15,0),IF($NP$15="Bell_Curve",$NN$15*(191-$NR$15+1)*($NS$15-191+1)/$NU$15,$NN$15/$NT$15)),0)</f>
        <v/>
      </c>
      <c r="GN15" s="402">
        <f>IF(AND(192&gt;=$NR$15,192&lt;=$NS$15),IF($NP$15="Single_Point",IF(192=$NR$15,$NN$15,0),IF($NP$15="Bell_Curve",$NN$15*(192-$NR$15+1)*($NS$15-192+1)/$NU$15,$NN$15/$NT$15)),0)</f>
        <v/>
      </c>
      <c r="GO15" s="402">
        <f>IF(AND(193&gt;=$NR$15,193&lt;=$NS$15),IF($NP$15="Single_Point",IF(193=$NR$15,$NN$15,0),IF($NP$15="Bell_Curve",$NN$15*(193-$NR$15+1)*($NS$15-193+1)/$NU$15,$NN$15/$NT$15)),0)</f>
        <v/>
      </c>
      <c r="GP15" s="402">
        <f>IF(AND(194&gt;=$NR$15,194&lt;=$NS$15),IF($NP$15="Single_Point",IF(194=$NR$15,$NN$15,0),IF($NP$15="Bell_Curve",$NN$15*(194-$NR$15+1)*($NS$15-194+1)/$NU$15,$NN$15/$NT$15)),0)</f>
        <v/>
      </c>
      <c r="GQ15" s="402">
        <f>IF(AND(195&gt;=$NR$15,195&lt;=$NS$15),IF($NP$15="Single_Point",IF(195=$NR$15,$NN$15,0),IF($NP$15="Bell_Curve",$NN$15*(195-$NR$15+1)*($NS$15-195+1)/$NU$15,$NN$15/$NT$15)),0)</f>
        <v/>
      </c>
      <c r="GR15" s="402">
        <f>IF(AND(196&gt;=$NR$15,196&lt;=$NS$15),IF($NP$15="Single_Point",IF(196=$NR$15,$NN$15,0),IF($NP$15="Bell_Curve",$NN$15*(196-$NR$15+1)*($NS$15-196+1)/$NU$15,$NN$15/$NT$15)),0)</f>
        <v/>
      </c>
      <c r="GS15" s="402">
        <f>IF(AND(197&gt;=$NR$15,197&lt;=$NS$15),IF($NP$15="Single_Point",IF(197=$NR$15,$NN$15,0),IF($NP$15="Bell_Curve",$NN$15*(197-$NR$15+1)*($NS$15-197+1)/$NU$15,$NN$15/$NT$15)),0)</f>
        <v/>
      </c>
      <c r="GT15" s="402">
        <f>IF(AND(198&gt;=$NR$15,198&lt;=$NS$15),IF($NP$15="Single_Point",IF(198=$NR$15,$NN$15,0),IF($NP$15="Bell_Curve",$NN$15*(198-$NR$15+1)*($NS$15-198+1)/$NU$15,$NN$15/$NT$15)),0)</f>
        <v/>
      </c>
      <c r="GU15" s="402">
        <f>IF(AND(199&gt;=$NR$15,199&lt;=$NS$15),IF($NP$15="Single_Point",IF(199=$NR$15,$NN$15,0),IF($NP$15="Bell_Curve",$NN$15*(199-$NR$15+1)*($NS$15-199+1)/$NU$15,$NN$15/$NT$15)),0)</f>
        <v/>
      </c>
      <c r="GV15" s="402">
        <f>IF(AND(200&gt;=$NR$15,200&lt;=$NS$15),IF($NP$15="Single_Point",IF(200=$NR$15,$NN$15,0),IF($NP$15="Bell_Curve",$NN$15*(200-$NR$15+1)*($NS$15-200+1)/$NU$15,$NN$15/$NT$15)),0)</f>
        <v/>
      </c>
      <c r="GW15" s="402">
        <f>IF(AND(201&gt;=$NR$15,201&lt;=$NS$15),IF($NP$15="Single_Point",IF(201=$NR$15,$NN$15,0),IF($NP$15="Bell_Curve",$NN$15*(201-$NR$15+1)*($NS$15-201+1)/$NU$15,$NN$15/$NT$15)),0)</f>
        <v/>
      </c>
      <c r="GX15" s="402">
        <f>IF(AND(202&gt;=$NR$15,202&lt;=$NS$15),IF($NP$15="Single_Point",IF(202=$NR$15,$NN$15,0),IF($NP$15="Bell_Curve",$NN$15*(202-$NR$15+1)*($NS$15-202+1)/$NU$15,$NN$15/$NT$15)),0)</f>
        <v/>
      </c>
      <c r="GY15" s="402">
        <f>IF(AND(203&gt;=$NR$15,203&lt;=$NS$15),IF($NP$15="Single_Point",IF(203=$NR$15,$NN$15,0),IF($NP$15="Bell_Curve",$NN$15*(203-$NR$15+1)*($NS$15-203+1)/$NU$15,$NN$15/$NT$15)),0)</f>
        <v/>
      </c>
      <c r="GZ15" s="402">
        <f>IF(AND(204&gt;=$NR$15,204&lt;=$NS$15),IF($NP$15="Single_Point",IF(204=$NR$15,$NN$15,0),IF($NP$15="Bell_Curve",$NN$15*(204-$NR$15+1)*($NS$15-204+1)/$NU$15,$NN$15/$NT$15)),0)</f>
        <v/>
      </c>
      <c r="HA15" s="402">
        <f>IF(AND(205&gt;=$NR$15,205&lt;=$NS$15),IF($NP$15="Single_Point",IF(205=$NR$15,$NN$15,0),IF($NP$15="Bell_Curve",$NN$15*(205-$NR$15+1)*($NS$15-205+1)/$NU$15,$NN$15/$NT$15)),0)</f>
        <v/>
      </c>
      <c r="HB15" s="402">
        <f>IF(AND(206&gt;=$NR$15,206&lt;=$NS$15),IF($NP$15="Single_Point",IF(206=$NR$15,$NN$15,0),IF($NP$15="Bell_Curve",$NN$15*(206-$NR$15+1)*($NS$15-206+1)/$NU$15,$NN$15/$NT$15)),0)</f>
        <v/>
      </c>
      <c r="HC15" s="402">
        <f>IF(AND(207&gt;=$NR$15,207&lt;=$NS$15),IF($NP$15="Single_Point",IF(207=$NR$15,$NN$15,0),IF($NP$15="Bell_Curve",$NN$15*(207-$NR$15+1)*($NS$15-207+1)/$NU$15,$NN$15/$NT$15)),0)</f>
        <v/>
      </c>
      <c r="HD15" s="402">
        <f>IF(AND(208&gt;=$NR$15,208&lt;=$NS$15),IF($NP$15="Single_Point",IF(208=$NR$15,$NN$15,0),IF($NP$15="Bell_Curve",$NN$15*(208-$NR$15+1)*($NS$15-208+1)/$NU$15,$NN$15/$NT$15)),0)</f>
        <v/>
      </c>
      <c r="HE15" s="402">
        <f>IF(AND(209&gt;=$NR$15,209&lt;=$NS$15),IF($NP$15="Single_Point",IF(209=$NR$15,$NN$15,0),IF($NP$15="Bell_Curve",$NN$15*(209-$NR$15+1)*($NS$15-209+1)/$NU$15,$NN$15/$NT$15)),0)</f>
        <v/>
      </c>
      <c r="HF15" s="402">
        <f>IF(AND(210&gt;=$NR$15,210&lt;=$NS$15),IF($NP$15="Single_Point",IF(210=$NR$15,$NN$15,0),IF($NP$15="Bell_Curve",$NN$15*(210-$NR$15+1)*($NS$15-210+1)/$NU$15,$NN$15/$NT$15)),0)</f>
        <v/>
      </c>
      <c r="HG15" s="402">
        <f>IF(AND(211&gt;=$NR$15,211&lt;=$NS$15),IF($NP$15="Single_Point",IF(211=$NR$15,$NN$15,0),IF($NP$15="Bell_Curve",$NN$15*(211-$NR$15+1)*($NS$15-211+1)/$NU$15,$NN$15/$NT$15)),0)</f>
        <v/>
      </c>
      <c r="HH15" s="402">
        <f>IF(AND(212&gt;=$NR$15,212&lt;=$NS$15),IF($NP$15="Single_Point",IF(212=$NR$15,$NN$15,0),IF($NP$15="Bell_Curve",$NN$15*(212-$NR$15+1)*($NS$15-212+1)/$NU$15,$NN$15/$NT$15)),0)</f>
        <v/>
      </c>
      <c r="HI15" s="402">
        <f>IF(AND(213&gt;=$NR$15,213&lt;=$NS$15),IF($NP$15="Single_Point",IF(213=$NR$15,$NN$15,0),IF($NP$15="Bell_Curve",$NN$15*(213-$NR$15+1)*($NS$15-213+1)/$NU$15,$NN$15/$NT$15)),0)</f>
        <v/>
      </c>
      <c r="HJ15" s="402">
        <f>IF(AND(214&gt;=$NR$15,214&lt;=$NS$15),IF($NP$15="Single_Point",IF(214=$NR$15,$NN$15,0),IF($NP$15="Bell_Curve",$NN$15*(214-$NR$15+1)*($NS$15-214+1)/$NU$15,$NN$15/$NT$15)),0)</f>
        <v/>
      </c>
      <c r="HK15" s="402">
        <f>IF(AND(215&gt;=$NR$15,215&lt;=$NS$15),IF($NP$15="Single_Point",IF(215=$NR$15,$NN$15,0),IF($NP$15="Bell_Curve",$NN$15*(215-$NR$15+1)*($NS$15-215+1)/$NU$15,$NN$15/$NT$15)),0)</f>
        <v/>
      </c>
      <c r="HL15" s="402">
        <f>IF(AND(216&gt;=$NR$15,216&lt;=$NS$15),IF($NP$15="Single_Point",IF(216=$NR$15,$NN$15,0),IF($NP$15="Bell_Curve",$NN$15*(216-$NR$15+1)*($NS$15-216+1)/$NU$15,$NN$15/$NT$15)),0)</f>
        <v/>
      </c>
      <c r="HM15" s="402">
        <f>IF(AND(217&gt;=$NR$15,217&lt;=$NS$15),IF($NP$15="Single_Point",IF(217=$NR$15,$NN$15,0),IF($NP$15="Bell_Curve",$NN$15*(217-$NR$15+1)*($NS$15-217+1)/$NU$15,$NN$15/$NT$15)),0)</f>
        <v/>
      </c>
      <c r="HN15" s="402">
        <f>IF(AND(218&gt;=$NR$15,218&lt;=$NS$15),IF($NP$15="Single_Point",IF(218=$NR$15,$NN$15,0),IF($NP$15="Bell_Curve",$NN$15*(218-$NR$15+1)*($NS$15-218+1)/$NU$15,$NN$15/$NT$15)),0)</f>
        <v/>
      </c>
      <c r="HO15" s="402">
        <f>IF(AND(219&gt;=$NR$15,219&lt;=$NS$15),IF($NP$15="Single_Point",IF(219=$NR$15,$NN$15,0),IF($NP$15="Bell_Curve",$NN$15*(219-$NR$15+1)*($NS$15-219+1)/$NU$15,$NN$15/$NT$15)),0)</f>
        <v/>
      </c>
      <c r="HP15" s="402">
        <f>IF(AND(220&gt;=$NR$15,220&lt;=$NS$15),IF($NP$15="Single_Point",IF(220=$NR$15,$NN$15,0),IF($NP$15="Bell_Curve",$NN$15*(220-$NR$15+1)*($NS$15-220+1)/$NU$15,$NN$15/$NT$15)),0)</f>
        <v/>
      </c>
      <c r="HQ15" s="402">
        <f>IF(AND(221&gt;=$NR$15,221&lt;=$NS$15),IF($NP$15="Single_Point",IF(221=$NR$15,$NN$15,0),IF($NP$15="Bell_Curve",$NN$15*(221-$NR$15+1)*($NS$15-221+1)/$NU$15,$NN$15/$NT$15)),0)</f>
        <v/>
      </c>
      <c r="HR15" s="402">
        <f>IF(AND(222&gt;=$NR$15,222&lt;=$NS$15),IF($NP$15="Single_Point",IF(222=$NR$15,$NN$15,0),IF($NP$15="Bell_Curve",$NN$15*(222-$NR$15+1)*($NS$15-222+1)/$NU$15,$NN$15/$NT$15)),0)</f>
        <v/>
      </c>
      <c r="HS15" s="402">
        <f>IF(AND(223&gt;=$NR$15,223&lt;=$NS$15),IF($NP$15="Single_Point",IF(223=$NR$15,$NN$15,0),IF($NP$15="Bell_Curve",$NN$15*(223-$NR$15+1)*($NS$15-223+1)/$NU$15,$NN$15/$NT$15)),0)</f>
        <v/>
      </c>
      <c r="HT15" s="402">
        <f>IF(AND(224&gt;=$NR$15,224&lt;=$NS$15),IF($NP$15="Single_Point",IF(224=$NR$15,$NN$15,0),IF($NP$15="Bell_Curve",$NN$15*(224-$NR$15+1)*($NS$15-224+1)/$NU$15,$NN$15/$NT$15)),0)</f>
        <v/>
      </c>
      <c r="HU15" s="402">
        <f>IF(AND(225&gt;=$NR$15,225&lt;=$NS$15),IF($NP$15="Single_Point",IF(225=$NR$15,$NN$15,0),IF($NP$15="Bell_Curve",$NN$15*(225-$NR$15+1)*($NS$15-225+1)/$NU$15,$NN$15/$NT$15)),0)</f>
        <v/>
      </c>
      <c r="HV15" s="402">
        <f>IF(AND(226&gt;=$NR$15,226&lt;=$NS$15),IF($NP$15="Single_Point",IF(226=$NR$15,$NN$15,0),IF($NP$15="Bell_Curve",$NN$15*(226-$NR$15+1)*($NS$15-226+1)/$NU$15,$NN$15/$NT$15)),0)</f>
        <v/>
      </c>
      <c r="HW15" s="402">
        <f>IF(AND(227&gt;=$NR$15,227&lt;=$NS$15),IF($NP$15="Single_Point",IF(227=$NR$15,$NN$15,0),IF($NP$15="Bell_Curve",$NN$15*(227-$NR$15+1)*($NS$15-227+1)/$NU$15,$NN$15/$NT$15)),0)</f>
        <v/>
      </c>
      <c r="HX15" s="402">
        <f>IF(AND(228&gt;=$NR$15,228&lt;=$NS$15),IF($NP$15="Single_Point",IF(228=$NR$15,$NN$15,0),IF($NP$15="Bell_Curve",$NN$15*(228-$NR$15+1)*($NS$15-228+1)/$NU$15,$NN$15/$NT$15)),0)</f>
        <v/>
      </c>
      <c r="HY15" s="402">
        <f>IF(AND(229&gt;=$NR$15,229&lt;=$NS$15),IF($NP$15="Single_Point",IF(229=$NR$15,$NN$15,0),IF($NP$15="Bell_Curve",$NN$15*(229-$NR$15+1)*($NS$15-229+1)/$NU$15,$NN$15/$NT$15)),0)</f>
        <v/>
      </c>
      <c r="HZ15" s="402">
        <f>IF(AND(230&gt;=$NR$15,230&lt;=$NS$15),IF($NP$15="Single_Point",IF(230=$NR$15,$NN$15,0),IF($NP$15="Bell_Curve",$NN$15*(230-$NR$15+1)*($NS$15-230+1)/$NU$15,$NN$15/$NT$15)),0)</f>
        <v/>
      </c>
      <c r="IA15" s="402">
        <f>IF(AND(231&gt;=$NR$15,231&lt;=$NS$15),IF($NP$15="Single_Point",IF(231=$NR$15,$NN$15,0),IF($NP$15="Bell_Curve",$NN$15*(231-$NR$15+1)*($NS$15-231+1)/$NU$15,$NN$15/$NT$15)),0)</f>
        <v/>
      </c>
      <c r="IB15" s="402">
        <f>IF(AND(232&gt;=$NR$15,232&lt;=$NS$15),IF($NP$15="Single_Point",IF(232=$NR$15,$NN$15,0),IF($NP$15="Bell_Curve",$NN$15*(232-$NR$15+1)*($NS$15-232+1)/$NU$15,$NN$15/$NT$15)),0)</f>
        <v/>
      </c>
      <c r="IC15" s="402">
        <f>IF(AND(233&gt;=$NR$15,233&lt;=$NS$15),IF($NP$15="Single_Point",IF(233=$NR$15,$NN$15,0),IF($NP$15="Bell_Curve",$NN$15*(233-$NR$15+1)*($NS$15-233+1)/$NU$15,$NN$15/$NT$15)),0)</f>
        <v/>
      </c>
      <c r="ID15" s="402">
        <f>IF(AND(234&gt;=$NR$15,234&lt;=$NS$15),IF($NP$15="Single_Point",IF(234=$NR$15,$NN$15,0),IF($NP$15="Bell_Curve",$NN$15*(234-$NR$15+1)*($NS$15-234+1)/$NU$15,$NN$15/$NT$15)),0)</f>
        <v/>
      </c>
      <c r="IE15" s="402">
        <f>IF(AND(235&gt;=$NR$15,235&lt;=$NS$15),IF($NP$15="Single_Point",IF(235=$NR$15,$NN$15,0),IF($NP$15="Bell_Curve",$NN$15*(235-$NR$15+1)*($NS$15-235+1)/$NU$15,$NN$15/$NT$15)),0)</f>
        <v/>
      </c>
      <c r="IF15" s="402">
        <f>IF(AND(236&gt;=$NR$15,236&lt;=$NS$15),IF($NP$15="Single_Point",IF(236=$NR$15,$NN$15,0),IF($NP$15="Bell_Curve",$NN$15*(236-$NR$15+1)*($NS$15-236+1)/$NU$15,$NN$15/$NT$15)),0)</f>
        <v/>
      </c>
      <c r="IG15" s="402">
        <f>IF(AND(237&gt;=$NR$15,237&lt;=$NS$15),IF($NP$15="Single_Point",IF(237=$NR$15,$NN$15,0),IF($NP$15="Bell_Curve",$NN$15*(237-$NR$15+1)*($NS$15-237+1)/$NU$15,$NN$15/$NT$15)),0)</f>
        <v/>
      </c>
      <c r="IH15" s="402">
        <f>IF(AND(238&gt;=$NR$15,238&lt;=$NS$15),IF($NP$15="Single_Point",IF(238=$NR$15,$NN$15,0),IF($NP$15="Bell_Curve",$NN$15*(238-$NR$15+1)*($NS$15-238+1)/$NU$15,$NN$15/$NT$15)),0)</f>
        <v/>
      </c>
      <c r="II15" s="402">
        <f>IF(AND(239&gt;=$NR$15,239&lt;=$NS$15),IF($NP$15="Single_Point",IF(239=$NR$15,$NN$15,0),IF($NP$15="Bell_Curve",$NN$15*(239-$NR$15+1)*($NS$15-239+1)/$NU$15,$NN$15/$NT$15)),0)</f>
        <v/>
      </c>
      <c r="IJ15" s="402">
        <f>IF(AND(240&gt;=$NR$15,240&lt;=$NS$15),IF($NP$15="Single_Point",IF(240=$NR$15,$NN$15,0),IF($NP$15="Bell_Curve",$NN$15*(240-$NR$15+1)*($NS$15-240+1)/$NU$15,$NN$15/$NT$15)),0)</f>
        <v/>
      </c>
      <c r="IK15" s="402">
        <f>IF(AND(241&gt;=$NR$15,241&lt;=$NS$15),IF($NP$15="Single_Point",IF(241=$NR$15,$NN$15,0),IF($NP$15="Bell_Curve",$NN$15*(241-$NR$15+1)*($NS$15-241+1)/$NU$15,$NN$15/$NT$15)),0)</f>
        <v/>
      </c>
      <c r="IL15" s="402">
        <f>IF(AND(242&gt;=$NR$15,242&lt;=$NS$15),IF($NP$15="Single_Point",IF(242=$NR$15,$NN$15,0),IF($NP$15="Bell_Curve",$NN$15*(242-$NR$15+1)*($NS$15-242+1)/$NU$15,$NN$15/$NT$15)),0)</f>
        <v/>
      </c>
      <c r="IM15" s="402">
        <f>IF(AND(243&gt;=$NR$15,243&lt;=$NS$15),IF($NP$15="Single_Point",IF(243=$NR$15,$NN$15,0),IF($NP$15="Bell_Curve",$NN$15*(243-$NR$15+1)*($NS$15-243+1)/$NU$15,$NN$15/$NT$15)),0)</f>
        <v/>
      </c>
      <c r="IN15" s="402">
        <f>IF(AND(244&gt;=$NR$15,244&lt;=$NS$15),IF($NP$15="Single_Point",IF(244=$NR$15,$NN$15,0),IF($NP$15="Bell_Curve",$NN$15*(244-$NR$15+1)*($NS$15-244+1)/$NU$15,$NN$15/$NT$15)),0)</f>
        <v/>
      </c>
      <c r="IO15" s="402">
        <f>IF(AND(245&gt;=$NR$15,245&lt;=$NS$15),IF($NP$15="Single_Point",IF(245=$NR$15,$NN$15,0),IF($NP$15="Bell_Curve",$NN$15*(245-$NR$15+1)*($NS$15-245+1)/$NU$15,$NN$15/$NT$15)),0)</f>
        <v/>
      </c>
      <c r="IP15" s="402">
        <f>IF(AND(246&gt;=$NR$15,246&lt;=$NS$15),IF($NP$15="Single_Point",IF(246=$NR$15,$NN$15,0),IF($NP$15="Bell_Curve",$NN$15*(246-$NR$15+1)*($NS$15-246+1)/$NU$15,$NN$15/$NT$15)),0)</f>
        <v/>
      </c>
      <c r="IQ15" s="402">
        <f>IF(AND(247&gt;=$NR$15,247&lt;=$NS$15),IF($NP$15="Single_Point",IF(247=$NR$15,$NN$15,0),IF($NP$15="Bell_Curve",$NN$15*(247-$NR$15+1)*($NS$15-247+1)/$NU$15,$NN$15/$NT$15)),0)</f>
        <v/>
      </c>
      <c r="IR15" s="402">
        <f>IF(AND(248&gt;=$NR$15,248&lt;=$NS$15),IF($NP$15="Single_Point",IF(248=$NR$15,$NN$15,0),IF($NP$15="Bell_Curve",$NN$15*(248-$NR$15+1)*($NS$15-248+1)/$NU$15,$NN$15/$NT$15)),0)</f>
        <v/>
      </c>
      <c r="IS15" s="402">
        <f>IF(AND(249&gt;=$NR$15,249&lt;=$NS$15),IF($NP$15="Single_Point",IF(249=$NR$15,$NN$15,0),IF($NP$15="Bell_Curve",$NN$15*(249-$NR$15+1)*($NS$15-249+1)/$NU$15,$NN$15/$NT$15)),0)</f>
        <v/>
      </c>
      <c r="IT15" s="402">
        <f>IF(AND(250&gt;=$NR$15,250&lt;=$NS$15),IF($NP$15="Single_Point",IF(250=$NR$15,$NN$15,0),IF($NP$15="Bell_Curve",$NN$15*(250-$NR$15+1)*($NS$15-250+1)/$NU$15,$NN$15/$NT$15)),0)</f>
        <v/>
      </c>
      <c r="IU15" s="402">
        <f>IF(AND(251&gt;=$NR$15,251&lt;=$NS$15),IF($NP$15="Single_Point",IF(251=$NR$15,$NN$15,0),IF($NP$15="Bell_Curve",$NN$15*(251-$NR$15+1)*($NS$15-251+1)/$NU$15,$NN$15/$NT$15)),0)</f>
        <v/>
      </c>
      <c r="IV15" s="402">
        <f>IF(AND(252&gt;=$NR$15,252&lt;=$NS$15),IF($NP$15="Single_Point",IF(252=$NR$15,$NN$15,0),IF($NP$15="Bell_Curve",$NN$15*(252-$NR$15+1)*($NS$15-252+1)/$NU$15,$NN$15/$NT$15)),0)</f>
        <v/>
      </c>
      <c r="IW15" s="402">
        <f>IF(AND(253&gt;=$NR$15,253&lt;=$NS$15),IF($NP$15="Single_Point",IF(253=$NR$15,$NN$15,0),IF($NP$15="Bell_Curve",$NN$15*(253-$NR$15+1)*($NS$15-253+1)/$NU$15,$NN$15/$NT$15)),0)</f>
        <v/>
      </c>
      <c r="IX15" s="402">
        <f>IF(AND(254&gt;=$NR$15,254&lt;=$NS$15),IF($NP$15="Single_Point",IF(254=$NR$15,$NN$15,0),IF($NP$15="Bell_Curve",$NN$15*(254-$NR$15+1)*($NS$15-254+1)/$NU$15,$NN$15/$NT$15)),0)</f>
        <v/>
      </c>
      <c r="IY15" s="402">
        <f>IF(AND(255&gt;=$NR$15,255&lt;=$NS$15),IF($NP$15="Single_Point",IF(255=$NR$15,$NN$15,0),IF($NP$15="Bell_Curve",$NN$15*(255-$NR$15+1)*($NS$15-255+1)/$NU$15,$NN$15/$NT$15)),0)</f>
        <v/>
      </c>
      <c r="IZ15" s="402">
        <f>IF(AND(256&gt;=$NR$15,256&lt;=$NS$15),IF($NP$15="Single_Point",IF(256=$NR$15,$NN$15,0),IF($NP$15="Bell_Curve",$NN$15*(256-$NR$15+1)*($NS$15-256+1)/$NU$15,$NN$15/$NT$15)),0)</f>
        <v/>
      </c>
      <c r="JA15" s="402">
        <f>IF(AND(257&gt;=$NR$15,257&lt;=$NS$15),IF($NP$15="Single_Point",IF(257=$NR$15,$NN$15,0),IF($NP$15="Bell_Curve",$NN$15*(257-$NR$15+1)*($NS$15-257+1)/$NU$15,$NN$15/$NT$15)),0)</f>
        <v/>
      </c>
      <c r="JB15" s="402">
        <f>IF(AND(258&gt;=$NR$15,258&lt;=$NS$15),IF($NP$15="Single_Point",IF(258=$NR$15,$NN$15,0),IF($NP$15="Bell_Curve",$NN$15*(258-$NR$15+1)*($NS$15-258+1)/$NU$15,$NN$15/$NT$15)),0)</f>
        <v/>
      </c>
      <c r="JC15" s="402">
        <f>IF(AND(259&gt;=$NR$15,259&lt;=$NS$15),IF($NP$15="Single_Point",IF(259=$NR$15,$NN$15,0),IF($NP$15="Bell_Curve",$NN$15*(259-$NR$15+1)*($NS$15-259+1)/$NU$15,$NN$15/$NT$15)),0)</f>
        <v/>
      </c>
      <c r="JD15" s="402">
        <f>IF(AND(260&gt;=$NR$15,260&lt;=$NS$15),IF($NP$15="Single_Point",IF(260=$NR$15,$NN$15,0),IF($NP$15="Bell_Curve",$NN$15*(260-$NR$15+1)*($NS$15-260+1)/$NU$15,$NN$15/$NT$15)),0)</f>
        <v/>
      </c>
      <c r="JE15" s="402">
        <f>IF(AND(261&gt;=$NR$15,261&lt;=$NS$15),IF($NP$15="Single_Point",IF(261=$NR$15,$NN$15,0),IF($NP$15="Bell_Curve",$NN$15*(261-$NR$15+1)*($NS$15-261+1)/$NU$15,$NN$15/$NT$15)),0)</f>
        <v/>
      </c>
      <c r="JF15" s="402">
        <f>IF(AND(262&gt;=$NR$15,262&lt;=$NS$15),IF($NP$15="Single_Point",IF(262=$NR$15,$NN$15,0),IF($NP$15="Bell_Curve",$NN$15*(262-$NR$15+1)*($NS$15-262+1)/$NU$15,$NN$15/$NT$15)),0)</f>
        <v/>
      </c>
      <c r="JG15" s="402">
        <f>IF(AND(263&gt;=$NR$15,263&lt;=$NS$15),IF($NP$15="Single_Point",IF(263=$NR$15,$NN$15,0),IF($NP$15="Bell_Curve",$NN$15*(263-$NR$15+1)*($NS$15-263+1)/$NU$15,$NN$15/$NT$15)),0)</f>
        <v/>
      </c>
      <c r="JH15" s="402">
        <f>IF(AND(264&gt;=$NR$15,264&lt;=$NS$15),IF($NP$15="Single_Point",IF(264=$NR$15,$NN$15,0),IF($NP$15="Bell_Curve",$NN$15*(264-$NR$15+1)*($NS$15-264+1)/$NU$15,$NN$15/$NT$15)),0)</f>
        <v/>
      </c>
      <c r="JI15" s="402">
        <f>IF(AND(265&gt;=$NR$15,265&lt;=$NS$15),IF($NP$15="Single_Point",IF(265=$NR$15,$NN$15,0),IF($NP$15="Bell_Curve",$NN$15*(265-$NR$15+1)*($NS$15-265+1)/$NU$15,$NN$15/$NT$15)),0)</f>
        <v/>
      </c>
      <c r="JJ15" s="402">
        <f>IF(AND(266&gt;=$NR$15,266&lt;=$NS$15),IF($NP$15="Single_Point",IF(266=$NR$15,$NN$15,0),IF($NP$15="Bell_Curve",$NN$15*(266-$NR$15+1)*($NS$15-266+1)/$NU$15,$NN$15/$NT$15)),0)</f>
        <v/>
      </c>
      <c r="JK15" s="402">
        <f>IF(AND(267&gt;=$NR$15,267&lt;=$NS$15),IF($NP$15="Single_Point",IF(267=$NR$15,$NN$15,0),IF($NP$15="Bell_Curve",$NN$15*(267-$NR$15+1)*($NS$15-267+1)/$NU$15,$NN$15/$NT$15)),0)</f>
        <v/>
      </c>
      <c r="JL15" s="402">
        <f>IF(AND(268&gt;=$NR$15,268&lt;=$NS$15),IF($NP$15="Single_Point",IF(268=$NR$15,$NN$15,0),IF($NP$15="Bell_Curve",$NN$15*(268-$NR$15+1)*($NS$15-268+1)/$NU$15,$NN$15/$NT$15)),0)</f>
        <v/>
      </c>
      <c r="JM15" s="402">
        <f>IF(AND(269&gt;=$NR$15,269&lt;=$NS$15),IF($NP$15="Single_Point",IF(269=$NR$15,$NN$15,0),IF($NP$15="Bell_Curve",$NN$15*(269-$NR$15+1)*($NS$15-269+1)/$NU$15,$NN$15/$NT$15)),0)</f>
        <v/>
      </c>
      <c r="JN15" s="402">
        <f>IF(AND(270&gt;=$NR$15,270&lt;=$NS$15),IF($NP$15="Single_Point",IF(270=$NR$15,$NN$15,0),IF($NP$15="Bell_Curve",$NN$15*(270-$NR$15+1)*($NS$15-270+1)/$NU$15,$NN$15/$NT$15)),0)</f>
        <v/>
      </c>
      <c r="JO15" s="402">
        <f>IF(AND(271&gt;=$NR$15,271&lt;=$NS$15),IF($NP$15="Single_Point",IF(271=$NR$15,$NN$15,0),IF($NP$15="Bell_Curve",$NN$15*(271-$NR$15+1)*($NS$15-271+1)/$NU$15,$NN$15/$NT$15)),0)</f>
        <v/>
      </c>
      <c r="JP15" s="402">
        <f>IF(AND(272&gt;=$NR$15,272&lt;=$NS$15),IF($NP$15="Single_Point",IF(272=$NR$15,$NN$15,0),IF($NP$15="Bell_Curve",$NN$15*(272-$NR$15+1)*($NS$15-272+1)/$NU$15,$NN$15/$NT$15)),0)</f>
        <v/>
      </c>
      <c r="JQ15" s="402">
        <f>IF(AND(273&gt;=$NR$15,273&lt;=$NS$15),IF($NP$15="Single_Point",IF(273=$NR$15,$NN$15,0),IF($NP$15="Bell_Curve",$NN$15*(273-$NR$15+1)*($NS$15-273+1)/$NU$15,$NN$15/$NT$15)),0)</f>
        <v/>
      </c>
      <c r="JR15" s="402">
        <f>IF(AND(274&gt;=$NR$15,274&lt;=$NS$15),IF($NP$15="Single_Point",IF(274=$NR$15,$NN$15,0),IF($NP$15="Bell_Curve",$NN$15*(274-$NR$15+1)*($NS$15-274+1)/$NU$15,$NN$15/$NT$15)),0)</f>
        <v/>
      </c>
      <c r="JS15" s="402">
        <f>IF(AND(275&gt;=$NR$15,275&lt;=$NS$15),IF($NP$15="Single_Point",IF(275=$NR$15,$NN$15,0),IF($NP$15="Bell_Curve",$NN$15*(275-$NR$15+1)*($NS$15-275+1)/$NU$15,$NN$15/$NT$15)),0)</f>
        <v/>
      </c>
      <c r="JT15" s="402">
        <f>IF(AND(276&gt;=$NR$15,276&lt;=$NS$15),IF($NP$15="Single_Point",IF(276=$NR$15,$NN$15,0),IF($NP$15="Bell_Curve",$NN$15*(276-$NR$15+1)*($NS$15-276+1)/$NU$15,$NN$15/$NT$15)),0)</f>
        <v/>
      </c>
      <c r="JU15" s="402">
        <f>IF(AND(277&gt;=$NR$15,277&lt;=$NS$15),IF($NP$15="Single_Point",IF(277=$NR$15,$NN$15,0),IF($NP$15="Bell_Curve",$NN$15*(277-$NR$15+1)*($NS$15-277+1)/$NU$15,$NN$15/$NT$15)),0)</f>
        <v/>
      </c>
      <c r="JV15" s="402">
        <f>IF(AND(278&gt;=$NR$15,278&lt;=$NS$15),IF($NP$15="Single_Point",IF(278=$NR$15,$NN$15,0),IF($NP$15="Bell_Curve",$NN$15*(278-$NR$15+1)*($NS$15-278+1)/$NU$15,$NN$15/$NT$15)),0)</f>
        <v/>
      </c>
      <c r="JW15" s="402">
        <f>IF(AND(279&gt;=$NR$15,279&lt;=$NS$15),IF($NP$15="Single_Point",IF(279=$NR$15,$NN$15,0),IF($NP$15="Bell_Curve",$NN$15*(279-$NR$15+1)*($NS$15-279+1)/$NU$15,$NN$15/$NT$15)),0)</f>
        <v/>
      </c>
      <c r="JX15" s="402">
        <f>IF(AND(280&gt;=$NR$15,280&lt;=$NS$15),IF($NP$15="Single_Point",IF(280=$NR$15,$NN$15,0),IF($NP$15="Bell_Curve",$NN$15*(280-$NR$15+1)*($NS$15-280+1)/$NU$15,$NN$15/$NT$15)),0)</f>
        <v/>
      </c>
      <c r="JY15" s="402">
        <f>IF(AND(281&gt;=$NR$15,281&lt;=$NS$15),IF($NP$15="Single_Point",IF(281=$NR$15,$NN$15,0),IF($NP$15="Bell_Curve",$NN$15*(281-$NR$15+1)*($NS$15-281+1)/$NU$15,$NN$15/$NT$15)),0)</f>
        <v/>
      </c>
      <c r="JZ15" s="402">
        <f>IF(AND(282&gt;=$NR$15,282&lt;=$NS$15),IF($NP$15="Single_Point",IF(282=$NR$15,$NN$15,0),IF($NP$15="Bell_Curve",$NN$15*(282-$NR$15+1)*($NS$15-282+1)/$NU$15,$NN$15/$NT$15)),0)</f>
        <v/>
      </c>
      <c r="KA15" s="402">
        <f>IF(AND(283&gt;=$NR$15,283&lt;=$NS$15),IF($NP$15="Single_Point",IF(283=$NR$15,$NN$15,0),IF($NP$15="Bell_Curve",$NN$15*(283-$NR$15+1)*($NS$15-283+1)/$NU$15,$NN$15/$NT$15)),0)</f>
        <v/>
      </c>
      <c r="KB15" s="402">
        <f>IF(AND(284&gt;=$NR$15,284&lt;=$NS$15),IF($NP$15="Single_Point",IF(284=$NR$15,$NN$15,0),IF($NP$15="Bell_Curve",$NN$15*(284-$NR$15+1)*($NS$15-284+1)/$NU$15,$NN$15/$NT$15)),0)</f>
        <v/>
      </c>
      <c r="KC15" s="402">
        <f>IF(AND(285&gt;=$NR$15,285&lt;=$NS$15),IF($NP$15="Single_Point",IF(285=$NR$15,$NN$15,0),IF($NP$15="Bell_Curve",$NN$15*(285-$NR$15+1)*($NS$15-285+1)/$NU$15,$NN$15/$NT$15)),0)</f>
        <v/>
      </c>
      <c r="KD15" s="402">
        <f>IF(AND(286&gt;=$NR$15,286&lt;=$NS$15),IF($NP$15="Single_Point",IF(286=$NR$15,$NN$15,0),IF($NP$15="Bell_Curve",$NN$15*(286-$NR$15+1)*($NS$15-286+1)/$NU$15,$NN$15/$NT$15)),0)</f>
        <v/>
      </c>
      <c r="KE15" s="402">
        <f>IF(AND(287&gt;=$NR$15,287&lt;=$NS$15),IF($NP$15="Single_Point",IF(287=$NR$15,$NN$15,0),IF($NP$15="Bell_Curve",$NN$15*(287-$NR$15+1)*($NS$15-287+1)/$NU$15,$NN$15/$NT$15)),0)</f>
        <v/>
      </c>
      <c r="KF15" s="402">
        <f>IF(AND(288&gt;=$NR$15,288&lt;=$NS$15),IF($NP$15="Single_Point",IF(288=$NR$15,$NN$15,0),IF($NP$15="Bell_Curve",$NN$15*(288-$NR$15+1)*($NS$15-288+1)/$NU$15,$NN$15/$NT$15)),0)</f>
        <v/>
      </c>
      <c r="KG15" s="402">
        <f>IF(AND(289&gt;=$NR$15,289&lt;=$NS$15),IF($NP$15="Single_Point",IF(289=$NR$15,$NN$15,0),IF($NP$15="Bell_Curve",$NN$15*(289-$NR$15+1)*($NS$15-289+1)/$NU$15,$NN$15/$NT$15)),0)</f>
        <v/>
      </c>
      <c r="KH15" s="402">
        <f>IF(AND(290&gt;=$NR$15,290&lt;=$NS$15),IF($NP$15="Single_Point",IF(290=$NR$15,$NN$15,0),IF($NP$15="Bell_Curve",$NN$15*(290-$NR$15+1)*($NS$15-290+1)/$NU$15,$NN$15/$NT$15)),0)</f>
        <v/>
      </c>
      <c r="KI15" s="402">
        <f>IF(AND(291&gt;=$NR$15,291&lt;=$NS$15),IF($NP$15="Single_Point",IF(291=$NR$15,$NN$15,0),IF($NP$15="Bell_Curve",$NN$15*(291-$NR$15+1)*($NS$15-291+1)/$NU$15,$NN$15/$NT$15)),0)</f>
        <v/>
      </c>
      <c r="KJ15" s="402">
        <f>IF(AND(292&gt;=$NR$15,292&lt;=$NS$15),IF($NP$15="Single_Point",IF(292=$NR$15,$NN$15,0),IF($NP$15="Bell_Curve",$NN$15*(292-$NR$15+1)*($NS$15-292+1)/$NU$15,$NN$15/$NT$15)),0)</f>
        <v/>
      </c>
      <c r="KK15" s="402">
        <f>IF(AND(293&gt;=$NR$15,293&lt;=$NS$15),IF($NP$15="Single_Point",IF(293=$NR$15,$NN$15,0),IF($NP$15="Bell_Curve",$NN$15*(293-$NR$15+1)*($NS$15-293+1)/$NU$15,$NN$15/$NT$15)),0)</f>
        <v/>
      </c>
      <c r="KL15" s="402">
        <f>IF(AND(294&gt;=$NR$15,294&lt;=$NS$15),IF($NP$15="Single_Point",IF(294=$NR$15,$NN$15,0),IF($NP$15="Bell_Curve",$NN$15*(294-$NR$15+1)*($NS$15-294+1)/$NU$15,$NN$15/$NT$15)),0)</f>
        <v/>
      </c>
      <c r="KM15" s="402">
        <f>IF(AND(295&gt;=$NR$15,295&lt;=$NS$15),IF($NP$15="Single_Point",IF(295=$NR$15,$NN$15,0),IF($NP$15="Bell_Curve",$NN$15*(295-$NR$15+1)*($NS$15-295+1)/$NU$15,$NN$15/$NT$15)),0)</f>
        <v/>
      </c>
      <c r="KN15" s="402">
        <f>IF(AND(296&gt;=$NR$15,296&lt;=$NS$15),IF($NP$15="Single_Point",IF(296=$NR$15,$NN$15,0),IF($NP$15="Bell_Curve",$NN$15*(296-$NR$15+1)*($NS$15-296+1)/$NU$15,$NN$15/$NT$15)),0)</f>
        <v/>
      </c>
      <c r="KO15" s="402">
        <f>IF(AND(297&gt;=$NR$15,297&lt;=$NS$15),IF($NP$15="Single_Point",IF(297=$NR$15,$NN$15,0),IF($NP$15="Bell_Curve",$NN$15*(297-$NR$15+1)*($NS$15-297+1)/$NU$15,$NN$15/$NT$15)),0)</f>
        <v/>
      </c>
      <c r="KP15" s="402">
        <f>IF(AND(298&gt;=$NR$15,298&lt;=$NS$15),IF($NP$15="Single_Point",IF(298=$NR$15,$NN$15,0),IF($NP$15="Bell_Curve",$NN$15*(298-$NR$15+1)*($NS$15-298+1)/$NU$15,$NN$15/$NT$15)),0)</f>
        <v/>
      </c>
      <c r="KQ15" s="402">
        <f>IF(AND(299&gt;=$NR$15,299&lt;=$NS$15),IF($NP$15="Single_Point",IF(299=$NR$15,$NN$15,0),IF($NP$15="Bell_Curve",$NN$15*(299-$NR$15+1)*($NS$15-299+1)/$NU$15,$NN$15/$NT$15)),0)</f>
        <v/>
      </c>
      <c r="KR15" s="402">
        <f>IF(AND(300&gt;=$NR$15,300&lt;=$NS$15),IF($NP$15="Single_Point",IF(300=$NR$15,$NN$15,0),IF($NP$15="Bell_Curve",$NN$15*(300-$NR$15+1)*($NS$15-300+1)/$NU$15,$NN$15/$NT$15)),0)</f>
        <v/>
      </c>
      <c r="KS15" s="402">
        <f>IF(AND(301&gt;=$NR$15,301&lt;=$NS$15),IF($NP$15="Single_Point",IF(301=$NR$15,$NN$15,0),IF($NP$15="Bell_Curve",$NN$15*(301-$NR$15+1)*($NS$15-301+1)/$NU$15,$NN$15/$NT$15)),0)</f>
        <v/>
      </c>
      <c r="KT15" s="402">
        <f>IF(AND(302&gt;=$NR$15,302&lt;=$NS$15),IF($NP$15="Single_Point",IF(302=$NR$15,$NN$15,0),IF($NP$15="Bell_Curve",$NN$15*(302-$NR$15+1)*($NS$15-302+1)/$NU$15,$NN$15/$NT$15)),0)</f>
        <v/>
      </c>
      <c r="KU15" s="402">
        <f>IF(AND(303&gt;=$NR$15,303&lt;=$NS$15),IF($NP$15="Single_Point",IF(303=$NR$15,$NN$15,0),IF($NP$15="Bell_Curve",$NN$15*(303-$NR$15+1)*($NS$15-303+1)/$NU$15,$NN$15/$NT$15)),0)</f>
        <v/>
      </c>
      <c r="KV15" s="402">
        <f>IF(AND(304&gt;=$NR$15,304&lt;=$NS$15),IF($NP$15="Single_Point",IF(304=$NR$15,$NN$15,0),IF($NP$15="Bell_Curve",$NN$15*(304-$NR$15+1)*($NS$15-304+1)/$NU$15,$NN$15/$NT$15)),0)</f>
        <v/>
      </c>
      <c r="KW15" s="402">
        <f>IF(AND(305&gt;=$NR$15,305&lt;=$NS$15),IF($NP$15="Single_Point",IF(305=$NR$15,$NN$15,0),IF($NP$15="Bell_Curve",$NN$15*(305-$NR$15+1)*($NS$15-305+1)/$NU$15,$NN$15/$NT$15)),0)</f>
        <v/>
      </c>
      <c r="KX15" s="402">
        <f>IF(AND(306&gt;=$NR$15,306&lt;=$NS$15),IF($NP$15="Single_Point",IF(306=$NR$15,$NN$15,0),IF($NP$15="Bell_Curve",$NN$15*(306-$NR$15+1)*($NS$15-306+1)/$NU$15,$NN$15/$NT$15)),0)</f>
        <v/>
      </c>
      <c r="KY15" s="402">
        <f>IF(AND(307&gt;=$NR$15,307&lt;=$NS$15),IF($NP$15="Single_Point",IF(307=$NR$15,$NN$15,0),IF($NP$15="Bell_Curve",$NN$15*(307-$NR$15+1)*($NS$15-307+1)/$NU$15,$NN$15/$NT$15)),0)</f>
        <v/>
      </c>
      <c r="KZ15" s="402">
        <f>IF(AND(308&gt;=$NR$15,308&lt;=$NS$15),IF($NP$15="Single_Point",IF(308=$NR$15,$NN$15,0),IF($NP$15="Bell_Curve",$NN$15*(308-$NR$15+1)*($NS$15-308+1)/$NU$15,$NN$15/$NT$15)),0)</f>
        <v/>
      </c>
      <c r="LA15" s="402">
        <f>IF(AND(309&gt;=$NR$15,309&lt;=$NS$15),IF($NP$15="Single_Point",IF(309=$NR$15,$NN$15,0),IF($NP$15="Bell_Curve",$NN$15*(309-$NR$15+1)*($NS$15-309+1)/$NU$15,$NN$15/$NT$15)),0)</f>
        <v/>
      </c>
      <c r="LB15" s="402">
        <f>IF(AND(310&gt;=$NR$15,310&lt;=$NS$15),IF($NP$15="Single_Point",IF(310=$NR$15,$NN$15,0),IF($NP$15="Bell_Curve",$NN$15*(310-$NR$15+1)*($NS$15-310+1)/$NU$15,$NN$15/$NT$15)),0)</f>
        <v/>
      </c>
      <c r="LC15" s="402">
        <f>IF(AND(311&gt;=$NR$15,311&lt;=$NS$15),IF($NP$15="Single_Point",IF(311=$NR$15,$NN$15,0),IF($NP$15="Bell_Curve",$NN$15*(311-$NR$15+1)*($NS$15-311+1)/$NU$15,$NN$15/$NT$15)),0)</f>
        <v/>
      </c>
      <c r="LD15" s="402">
        <f>IF(AND(312&gt;=$NR$15,312&lt;=$NS$15),IF($NP$15="Single_Point",IF(312=$NR$15,$NN$15,0),IF($NP$15="Bell_Curve",$NN$15*(312-$NR$15+1)*($NS$15-312+1)/$NU$15,$NN$15/$NT$15)),0)</f>
        <v/>
      </c>
      <c r="LE15" s="402">
        <f>IF(AND(313&gt;=$NR$15,313&lt;=$NS$15),IF($NP$15="Single_Point",IF(313=$NR$15,$NN$15,0),IF($NP$15="Bell_Curve",$NN$15*(313-$NR$15+1)*($NS$15-313+1)/$NU$15,$NN$15/$NT$15)),0)</f>
        <v/>
      </c>
      <c r="LF15" s="402">
        <f>IF(AND(314&gt;=$NR$15,314&lt;=$NS$15),IF($NP$15="Single_Point",IF(314=$NR$15,$NN$15,0),IF($NP$15="Bell_Curve",$NN$15*(314-$NR$15+1)*($NS$15-314+1)/$NU$15,$NN$15/$NT$15)),0)</f>
        <v/>
      </c>
      <c r="LG15" s="402">
        <f>IF(AND(315&gt;=$NR$15,315&lt;=$NS$15),IF($NP$15="Single_Point",IF(315=$NR$15,$NN$15,0),IF($NP$15="Bell_Curve",$NN$15*(315-$NR$15+1)*($NS$15-315+1)/$NU$15,$NN$15/$NT$15)),0)</f>
        <v/>
      </c>
      <c r="LH15" s="402">
        <f>IF(AND(316&gt;=$NR$15,316&lt;=$NS$15),IF($NP$15="Single_Point",IF(316=$NR$15,$NN$15,0),IF($NP$15="Bell_Curve",$NN$15*(316-$NR$15+1)*($NS$15-316+1)/$NU$15,$NN$15/$NT$15)),0)</f>
        <v/>
      </c>
      <c r="LI15" s="402">
        <f>IF(AND(317&gt;=$NR$15,317&lt;=$NS$15),IF($NP$15="Single_Point",IF(317=$NR$15,$NN$15,0),IF($NP$15="Bell_Curve",$NN$15*(317-$NR$15+1)*($NS$15-317+1)/$NU$15,$NN$15/$NT$15)),0)</f>
        <v/>
      </c>
      <c r="LJ15" s="402">
        <f>IF(AND(318&gt;=$NR$15,318&lt;=$NS$15),IF($NP$15="Single_Point",IF(318=$NR$15,$NN$15,0),IF($NP$15="Bell_Curve",$NN$15*(318-$NR$15+1)*($NS$15-318+1)/$NU$15,$NN$15/$NT$15)),0)</f>
        <v/>
      </c>
      <c r="LK15" s="402">
        <f>IF(AND(319&gt;=$NR$15,319&lt;=$NS$15),IF($NP$15="Single_Point",IF(319=$NR$15,$NN$15,0),IF($NP$15="Bell_Curve",$NN$15*(319-$NR$15+1)*($NS$15-319+1)/$NU$15,$NN$15/$NT$15)),0)</f>
        <v/>
      </c>
      <c r="LL15" s="402">
        <f>IF(AND(320&gt;=$NR$15,320&lt;=$NS$15),IF($NP$15="Single_Point",IF(320=$NR$15,$NN$15,0),IF($NP$15="Bell_Curve",$NN$15*(320-$NR$15+1)*($NS$15-320+1)/$NU$15,$NN$15/$NT$15)),0)</f>
        <v/>
      </c>
      <c r="LM15" s="402">
        <f>IF(AND(321&gt;=$NR$15,321&lt;=$NS$15),IF($NP$15="Single_Point",IF(321=$NR$15,$NN$15,0),IF($NP$15="Bell_Curve",$NN$15*(321-$NR$15+1)*($NS$15-321+1)/$NU$15,$NN$15/$NT$15)),0)</f>
        <v/>
      </c>
      <c r="LN15" s="402">
        <f>IF(AND(322&gt;=$NR$15,322&lt;=$NS$15),IF($NP$15="Single_Point",IF(322=$NR$15,$NN$15,0),IF($NP$15="Bell_Curve",$NN$15*(322-$NR$15+1)*($NS$15-322+1)/$NU$15,$NN$15/$NT$15)),0)</f>
        <v/>
      </c>
      <c r="LO15" s="402">
        <f>IF(AND(323&gt;=$NR$15,323&lt;=$NS$15),IF($NP$15="Single_Point",IF(323=$NR$15,$NN$15,0),IF($NP$15="Bell_Curve",$NN$15*(323-$NR$15+1)*($NS$15-323+1)/$NU$15,$NN$15/$NT$15)),0)</f>
        <v/>
      </c>
      <c r="LP15" s="402">
        <f>IF(AND(324&gt;=$NR$15,324&lt;=$NS$15),IF($NP$15="Single_Point",IF(324=$NR$15,$NN$15,0),IF($NP$15="Bell_Curve",$NN$15*(324-$NR$15+1)*($NS$15-324+1)/$NU$15,$NN$15/$NT$15)),0)</f>
        <v/>
      </c>
      <c r="LQ15" s="402">
        <f>IF(AND(325&gt;=$NR$15,325&lt;=$NS$15),IF($NP$15="Single_Point",IF(325=$NR$15,$NN$15,0),IF($NP$15="Bell_Curve",$NN$15*(325-$NR$15+1)*($NS$15-325+1)/$NU$15,$NN$15/$NT$15)),0)</f>
        <v/>
      </c>
      <c r="LR15" s="402">
        <f>IF(AND(326&gt;=$NR$15,326&lt;=$NS$15),IF($NP$15="Single_Point",IF(326=$NR$15,$NN$15,0),IF($NP$15="Bell_Curve",$NN$15*(326-$NR$15+1)*($NS$15-326+1)/$NU$15,$NN$15/$NT$15)),0)</f>
        <v/>
      </c>
      <c r="LS15" s="402">
        <f>IF(AND(327&gt;=$NR$15,327&lt;=$NS$15),IF($NP$15="Single_Point",IF(327=$NR$15,$NN$15,0),IF($NP$15="Bell_Curve",$NN$15*(327-$NR$15+1)*($NS$15-327+1)/$NU$15,$NN$15/$NT$15)),0)</f>
        <v/>
      </c>
      <c r="LT15" s="402">
        <f>IF(AND(328&gt;=$NR$15,328&lt;=$NS$15),IF($NP$15="Single_Point",IF(328=$NR$15,$NN$15,0),IF($NP$15="Bell_Curve",$NN$15*(328-$NR$15+1)*($NS$15-328+1)/$NU$15,$NN$15/$NT$15)),0)</f>
        <v/>
      </c>
      <c r="LU15" s="402">
        <f>IF(AND(329&gt;=$NR$15,329&lt;=$NS$15),IF($NP$15="Single_Point",IF(329=$NR$15,$NN$15,0),IF($NP$15="Bell_Curve",$NN$15*(329-$NR$15+1)*($NS$15-329+1)/$NU$15,$NN$15/$NT$15)),0)</f>
        <v/>
      </c>
      <c r="LV15" s="402">
        <f>IF(AND(330&gt;=$NR$15,330&lt;=$NS$15),IF($NP$15="Single_Point",IF(330=$NR$15,$NN$15,0),IF($NP$15="Bell_Curve",$NN$15*(330-$NR$15+1)*($NS$15-330+1)/$NU$15,$NN$15/$NT$15)),0)</f>
        <v/>
      </c>
      <c r="LW15" s="402">
        <f>IF(AND(331&gt;=$NR$15,331&lt;=$NS$15),IF($NP$15="Single_Point",IF(331=$NR$15,$NN$15,0),IF($NP$15="Bell_Curve",$NN$15*(331-$NR$15+1)*($NS$15-331+1)/$NU$15,$NN$15/$NT$15)),0)</f>
        <v/>
      </c>
      <c r="LX15" s="402">
        <f>IF(AND(332&gt;=$NR$15,332&lt;=$NS$15),IF($NP$15="Single_Point",IF(332=$NR$15,$NN$15,0),IF($NP$15="Bell_Curve",$NN$15*(332-$NR$15+1)*($NS$15-332+1)/$NU$15,$NN$15/$NT$15)),0)</f>
        <v/>
      </c>
      <c r="LY15" s="402">
        <f>IF(AND(333&gt;=$NR$15,333&lt;=$NS$15),IF($NP$15="Single_Point",IF(333=$NR$15,$NN$15,0),IF($NP$15="Bell_Curve",$NN$15*(333-$NR$15+1)*($NS$15-333+1)/$NU$15,$NN$15/$NT$15)),0)</f>
        <v/>
      </c>
      <c r="LZ15" s="402">
        <f>IF(AND(334&gt;=$NR$15,334&lt;=$NS$15),IF($NP$15="Single_Point",IF(334=$NR$15,$NN$15,0),IF($NP$15="Bell_Curve",$NN$15*(334-$NR$15+1)*($NS$15-334+1)/$NU$15,$NN$15/$NT$15)),0)</f>
        <v/>
      </c>
      <c r="MA15" s="402">
        <f>IF(AND(335&gt;=$NR$15,335&lt;=$NS$15),IF($NP$15="Single_Point",IF(335=$NR$15,$NN$15,0),IF($NP$15="Bell_Curve",$NN$15*(335-$NR$15+1)*($NS$15-335+1)/$NU$15,$NN$15/$NT$15)),0)</f>
        <v/>
      </c>
      <c r="MB15" s="402">
        <f>IF(AND(336&gt;=$NR$15,336&lt;=$NS$15),IF($NP$15="Single_Point",IF(336=$NR$15,$NN$15,0),IF($NP$15="Bell_Curve",$NN$15*(336-$NR$15+1)*($NS$15-336+1)/$NU$15,$NN$15/$NT$15)),0)</f>
        <v/>
      </c>
      <c r="MC15" s="402">
        <f>IF(AND(337&gt;=$NR$15,337&lt;=$NS$15),IF($NP$15="Single_Point",IF(337=$NR$15,$NN$15,0),IF($NP$15="Bell_Curve",$NN$15*(337-$NR$15+1)*($NS$15-337+1)/$NU$15,$NN$15/$NT$15)),0)</f>
        <v/>
      </c>
      <c r="MD15" s="402">
        <f>IF(AND(338&gt;=$NR$15,338&lt;=$NS$15),IF($NP$15="Single_Point",IF(338=$NR$15,$NN$15,0),IF($NP$15="Bell_Curve",$NN$15*(338-$NR$15+1)*($NS$15-338+1)/$NU$15,$NN$15/$NT$15)),0)</f>
        <v/>
      </c>
      <c r="ME15" s="402">
        <f>IF(AND(339&gt;=$NR$15,339&lt;=$NS$15),IF($NP$15="Single_Point",IF(339=$NR$15,$NN$15,0),IF($NP$15="Bell_Curve",$NN$15*(339-$NR$15+1)*($NS$15-339+1)/$NU$15,$NN$15/$NT$15)),0)</f>
        <v/>
      </c>
      <c r="MF15" s="402">
        <f>IF(AND(340&gt;=$NR$15,340&lt;=$NS$15),IF($NP$15="Single_Point",IF(340=$NR$15,$NN$15,0),IF($NP$15="Bell_Curve",$NN$15*(340-$NR$15+1)*($NS$15-340+1)/$NU$15,$NN$15/$NT$15)),0)</f>
        <v/>
      </c>
      <c r="MG15" s="402">
        <f>IF(AND(341&gt;=$NR$15,341&lt;=$NS$15),IF($NP$15="Single_Point",IF(341=$NR$15,$NN$15,0),IF($NP$15="Bell_Curve",$NN$15*(341-$NR$15+1)*($NS$15-341+1)/$NU$15,$NN$15/$NT$15)),0)</f>
        <v/>
      </c>
      <c r="MH15" s="402">
        <f>IF(AND(342&gt;=$NR$15,342&lt;=$NS$15),IF($NP$15="Single_Point",IF(342=$NR$15,$NN$15,0),IF($NP$15="Bell_Curve",$NN$15*(342-$NR$15+1)*($NS$15-342+1)/$NU$15,$NN$15/$NT$15)),0)</f>
        <v/>
      </c>
      <c r="MI15" s="402">
        <f>IF(AND(343&gt;=$NR$15,343&lt;=$NS$15),IF($NP$15="Single_Point",IF(343=$NR$15,$NN$15,0),IF($NP$15="Bell_Curve",$NN$15*(343-$NR$15+1)*($NS$15-343+1)/$NU$15,$NN$15/$NT$15)),0)</f>
        <v/>
      </c>
      <c r="MJ15" s="402">
        <f>IF(AND(344&gt;=$NR$15,344&lt;=$NS$15),IF($NP$15="Single_Point",IF(344=$NR$15,$NN$15,0),IF($NP$15="Bell_Curve",$NN$15*(344-$NR$15+1)*($NS$15-344+1)/$NU$15,$NN$15/$NT$15)),0)</f>
        <v/>
      </c>
      <c r="MK15" s="402">
        <f>IF(AND(345&gt;=$NR$15,345&lt;=$NS$15),IF($NP$15="Single_Point",IF(345=$NR$15,$NN$15,0),IF($NP$15="Bell_Curve",$NN$15*(345-$NR$15+1)*($NS$15-345+1)/$NU$15,$NN$15/$NT$15)),0)</f>
        <v/>
      </c>
      <c r="ML15" s="402">
        <f>IF(AND(346&gt;=$NR$15,346&lt;=$NS$15),IF($NP$15="Single_Point",IF(346=$NR$15,$NN$15,0),IF($NP$15="Bell_Curve",$NN$15*(346-$NR$15+1)*($NS$15-346+1)/$NU$15,$NN$15/$NT$15)),0)</f>
        <v/>
      </c>
      <c r="MM15" s="402">
        <f>IF(AND(347&gt;=$NR$15,347&lt;=$NS$15),IF($NP$15="Single_Point",IF(347=$NR$15,$NN$15,0),IF($NP$15="Bell_Curve",$NN$15*(347-$NR$15+1)*($NS$15-347+1)/$NU$15,$NN$15/$NT$15)),0)</f>
        <v/>
      </c>
      <c r="MN15" s="402">
        <f>IF(AND(348&gt;=$NR$15,348&lt;=$NS$15),IF($NP$15="Single_Point",IF(348=$NR$15,$NN$15,0),IF($NP$15="Bell_Curve",$NN$15*(348-$NR$15+1)*($NS$15-348+1)/$NU$15,$NN$15/$NT$15)),0)</f>
        <v/>
      </c>
      <c r="MO15" s="402">
        <f>IF(AND(349&gt;=$NR$15,349&lt;=$NS$15),IF($NP$15="Single_Point",IF(349=$NR$15,$NN$15,0),IF($NP$15="Bell_Curve",$NN$15*(349-$NR$15+1)*($NS$15-349+1)/$NU$15,$NN$15/$NT$15)),0)</f>
        <v/>
      </c>
      <c r="MP15" s="402">
        <f>IF(AND(350&gt;=$NR$15,350&lt;=$NS$15),IF($NP$15="Single_Point",IF(350=$NR$15,$NN$15,0),IF($NP$15="Bell_Curve",$NN$15*(350-$NR$15+1)*($NS$15-350+1)/$NU$15,$NN$15/$NT$15)),0)</f>
        <v/>
      </c>
      <c r="MQ15" s="402">
        <f>IF(AND(351&gt;=$NR$15,351&lt;=$NS$15),IF($NP$15="Single_Point",IF(351=$NR$15,$NN$15,0),IF($NP$15="Bell_Curve",$NN$15*(351-$NR$15+1)*($NS$15-351+1)/$NU$15,$NN$15/$NT$15)),0)</f>
        <v/>
      </c>
      <c r="MR15" s="402">
        <f>IF(AND(352&gt;=$NR$15,352&lt;=$NS$15),IF($NP$15="Single_Point",IF(352=$NR$15,$NN$15,0),IF($NP$15="Bell_Curve",$NN$15*(352-$NR$15+1)*($NS$15-352+1)/$NU$15,$NN$15/$NT$15)),0)</f>
        <v/>
      </c>
      <c r="MS15" s="402">
        <f>IF(AND(353&gt;=$NR$15,353&lt;=$NS$15),IF($NP$15="Single_Point",IF(353=$NR$15,$NN$15,0),IF($NP$15="Bell_Curve",$NN$15*(353-$NR$15+1)*($NS$15-353+1)/$NU$15,$NN$15/$NT$15)),0)</f>
        <v/>
      </c>
      <c r="MT15" s="402">
        <f>IF(AND(354&gt;=$NR$15,354&lt;=$NS$15),IF($NP$15="Single_Point",IF(354=$NR$15,$NN$15,0),IF($NP$15="Bell_Curve",$NN$15*(354-$NR$15+1)*($NS$15-354+1)/$NU$15,$NN$15/$NT$15)),0)</f>
        <v/>
      </c>
      <c r="MU15" s="402">
        <f>IF(AND(355&gt;=$NR$15,355&lt;=$NS$15),IF($NP$15="Single_Point",IF(355=$NR$15,$NN$15,0),IF($NP$15="Bell_Curve",$NN$15*(355-$NR$15+1)*($NS$15-355+1)/$NU$15,$NN$15/$NT$15)),0)</f>
        <v/>
      </c>
      <c r="MV15" s="402">
        <f>IF(AND(356&gt;=$NR$15,356&lt;=$NS$15),IF($NP$15="Single_Point",IF(356=$NR$15,$NN$15,0),IF($NP$15="Bell_Curve",$NN$15*(356-$NR$15+1)*($NS$15-356+1)/$NU$15,$NN$15/$NT$15)),0)</f>
        <v/>
      </c>
      <c r="MW15" s="402">
        <f>IF(AND(357&gt;=$NR$15,357&lt;=$NS$15),IF($NP$15="Single_Point",IF(357=$NR$15,$NN$15,0),IF($NP$15="Bell_Curve",$NN$15*(357-$NR$15+1)*($NS$15-357+1)/$NU$15,$NN$15/$NT$15)),0)</f>
        <v/>
      </c>
      <c r="MX15" s="402">
        <f>IF(AND(358&gt;=$NR$15,358&lt;=$NS$15),IF($NP$15="Single_Point",IF(358=$NR$15,$NN$15,0),IF($NP$15="Bell_Curve",$NN$15*(358-$NR$15+1)*($NS$15-358+1)/$NU$15,$NN$15/$NT$15)),0)</f>
        <v/>
      </c>
      <c r="MY15" s="402">
        <f>IF(AND(359&gt;=$NR$15,359&lt;=$NS$15),IF($NP$15="Single_Point",IF(359=$NR$15,$NN$15,0),IF($NP$15="Bell_Curve",$NN$15*(359-$NR$15+1)*($NS$15-359+1)/$NU$15,$NN$15/$NT$15)),0)</f>
        <v/>
      </c>
      <c r="MZ15" s="402">
        <f>IF(AND(360&gt;=$NR$15,360&lt;=$NS$15),IF($NP$15="Single_Point",IF(360=$NR$15,$NN$15,0),IF($NP$15="Bell_Curve",$NN$15*(360-$NR$15+1)*($NS$15-360+1)/$NU$15,$NN$15/$NT$15)),0)</f>
        <v/>
      </c>
      <c r="NA15" s="402">
        <f>IF(AND(361&gt;=$NR$15,361&lt;=$NS$15),IF($NP$15="Single_Point",IF(361=$NR$15,$NN$15,0),IF($NP$15="Bell_Curve",$NN$15*(361-$NR$15+1)*($NS$15-361+1)/$NU$15,$NN$15/$NT$15)),0)</f>
        <v/>
      </c>
      <c r="NB15" s="402">
        <f>IF(AND(362&gt;=$NR$15,362&lt;=$NS$15),IF($NP$15="Single_Point",IF(362=$NR$15,$NN$15,0),IF($NP$15="Bell_Curve",$NN$15*(362-$NR$15+1)*($NS$15-362+1)/$NU$15,$NN$15/$NT$15)),0)</f>
        <v/>
      </c>
      <c r="NC15" s="402">
        <f>IF(AND(363&gt;=$NR$15,363&lt;=$NS$15),IF($NP$15="Single_Point",IF(363=$NR$15,$NN$15,0),IF($NP$15="Bell_Curve",$NN$15*(363-$NR$15+1)*($NS$15-363+1)/$NU$15,$NN$15/$NT$15)),0)</f>
        <v/>
      </c>
      <c r="ND15" s="402">
        <f>IF(AND(364&gt;=$NR$15,364&lt;=$NS$15),IF($NP$15="Single_Point",IF(364=$NR$15,$NN$15,0),IF($NP$15="Bell_Curve",$NN$15*(364-$NR$15+1)*($NS$15-364+1)/$NU$15,$NN$15/$NT$15)),0)</f>
        <v/>
      </c>
      <c r="NE15" s="402">
        <f>IF(AND(365&gt;=$NR$15,365&lt;=$NS$15),IF($NP$15="Single_Point",IF(365=$NR$15,$NN$15,0),IF($NP$15="Bell_Curve",$NN$15*(365-$NR$15+1)*($NS$15-365+1)/$NU$15,$NN$15/$NT$15)),0)</f>
        <v/>
      </c>
      <c r="NF15" s="402">
        <f>IF(AND(366&gt;=$NR$15,366&lt;=$NS$15),IF($NP$15="Single_Point",IF(366=$NR$15,$NN$15,0),IF($NP$15="Bell_Curve",$NN$15*(366-$NR$15+1)*($NS$15-366+1)/$NU$15,$NN$15/$NT$15)),0)</f>
        <v/>
      </c>
      <c r="NG15" s="402">
        <f>IF(AND(367&gt;=$NR$15,367&lt;=$NS$15),IF($NP$15="Single_Point",IF(367=$NR$15,$NN$15,0),IF($NP$15="Bell_Curve",$NN$15*(367-$NR$15+1)*($NS$15-367+1)/$NU$15,$NN$15/$NT$15)),0)</f>
        <v/>
      </c>
      <c r="NH15" s="402">
        <f>IF(AND(368&gt;=$NR$15,368&lt;=$NS$15),IF($NP$15="Single_Point",IF(368=$NR$15,$NN$15,0),IF($NP$15="Bell_Curve",$NN$15*(368-$NR$15+1)*($NS$15-368+1)/$NU$15,$NN$15/$NT$15)),0)</f>
        <v/>
      </c>
      <c r="NI15" s="402">
        <f>IF(AND(369&gt;=$NR$15,369&lt;=$NS$15),IF($NP$15="Single_Point",IF(369=$NR$15,$NN$15,0),IF($NP$15="Bell_Curve",$NN$15*(369-$NR$15+1)*($NS$15-369+1)/$NU$15,$NN$15/$NT$15)),0)</f>
        <v/>
      </c>
      <c r="NJ15" s="402">
        <f>IF(AND(370&gt;=$NR$15,370&lt;=$NS$15),IF($NP$15="Single_Point",IF(370=$NR$15,$NN$15,0),IF($NP$15="Bell_Curve",$NN$15*(370-$NR$15+1)*($NS$15-370+1)/$NU$15,$NN$15/$NT$15)),0)</f>
        <v/>
      </c>
      <c r="NK15" s="402">
        <f>IF(AND(371&gt;=$NR$15,371&lt;=$NS$15),IF($NP$15="Single_Point",IF(371=$NR$15,$NN$15,0),IF($NP$15="Bell_Curve",$NN$15*(371-$NR$15+1)*($NS$15-371+1)/$NU$15,$NN$15/$NT$15)),0)</f>
        <v/>
      </c>
      <c r="NL15" s="426">
        <f>IF(AND(372&gt;=$NR$15,372&lt;=$NS$15),IF($NP$15="Single_Point",IF(372=$NR$15,$NN$15,0),IF($NP$15="Bell_Curve",$NN$15*(372-$NR$15+1)*($NS$15-372+1)/$NU$15,$NN$15/$NT$15)),0)</f>
        <v/>
      </c>
      <c r="NM15">
        <f>Budget!C14</f>
        <v/>
      </c>
      <c r="NN15" s="218">
        <f>Budget!J14</f>
        <v/>
      </c>
      <c r="NO15" s="144">
        <f>Budget!G14</f>
        <v/>
      </c>
      <c r="NP15" s="144">
        <f>Budget!H14</f>
        <v/>
      </c>
      <c r="NQ15" s="85">
        <f>Budget!I14</f>
        <v/>
      </c>
      <c r="NR15" s="248">
        <f>MAX(1,MIN(372,INDEX(MilestoneStart,MATCH(NO15,MilestoneNames,0))+NQ15))</f>
        <v/>
      </c>
      <c r="NS15" s="248">
        <f>MAX(NR15,MIN(372,INDEX(MilestoneEnd,MATCH(NO15,MilestoneNames,0))+NQ15))</f>
        <v/>
      </c>
      <c r="NT15" s="85">
        <f>NS15-NR15+1</f>
        <v/>
      </c>
      <c r="NU15" s="85">
        <f>NT15*(NT15+1)*(NT15+2)/6</f>
        <v/>
      </c>
    </row>
    <row r="16">
      <c r="B16" s="296">
        <f>Budget!B15</f>
        <v/>
      </c>
      <c r="D16" s="425">
        <f>SUM(E16:NL16)</f>
        <v/>
      </c>
      <c r="E16" s="402">
        <f>IF(AND(1&gt;=$NR$16,1&lt;=$NS$16),IF($NP$16="Single_Point",IF(1=$NR$16,$NN$16,0),IF($NP$16="Bell_Curve",$NN$16*(1-$NR$16+1)*($NS$16-1+1)/$NU$16,$NN$16/$NT$16)),0)</f>
        <v/>
      </c>
      <c r="F16" s="402">
        <f>IF(AND(2&gt;=$NR$16,2&lt;=$NS$16),IF($NP$16="Single_Point",IF(2=$NR$16,$NN$16,0),IF($NP$16="Bell_Curve",$NN$16*(2-$NR$16+1)*($NS$16-2+1)/$NU$16,$NN$16/$NT$16)),0)</f>
        <v/>
      </c>
      <c r="G16" s="402">
        <f>IF(AND(3&gt;=$NR$16,3&lt;=$NS$16),IF($NP$16="Single_Point",IF(3=$NR$16,$NN$16,0),IF($NP$16="Bell_Curve",$NN$16*(3-$NR$16+1)*($NS$16-3+1)/$NU$16,$NN$16/$NT$16)),0)</f>
        <v/>
      </c>
      <c r="H16" s="402">
        <f>IF(AND(4&gt;=$NR$16,4&lt;=$NS$16),IF($NP$16="Single_Point",IF(4=$NR$16,$NN$16,0),IF($NP$16="Bell_Curve",$NN$16*(4-$NR$16+1)*($NS$16-4+1)/$NU$16,$NN$16/$NT$16)),0)</f>
        <v/>
      </c>
      <c r="I16" s="402">
        <f>IF(AND(5&gt;=$NR$16,5&lt;=$NS$16),IF($NP$16="Single_Point",IF(5=$NR$16,$NN$16,0),IF($NP$16="Bell_Curve",$NN$16*(5-$NR$16+1)*($NS$16-5+1)/$NU$16,$NN$16/$NT$16)),0)</f>
        <v/>
      </c>
      <c r="J16" s="402">
        <f>IF(AND(6&gt;=$NR$16,6&lt;=$NS$16),IF($NP$16="Single_Point",IF(6=$NR$16,$NN$16,0),IF($NP$16="Bell_Curve",$NN$16*(6-$NR$16+1)*($NS$16-6+1)/$NU$16,$NN$16/$NT$16)),0)</f>
        <v/>
      </c>
      <c r="K16" s="402">
        <f>IF(AND(7&gt;=$NR$16,7&lt;=$NS$16),IF($NP$16="Single_Point",IF(7=$NR$16,$NN$16,0),IF($NP$16="Bell_Curve",$NN$16*(7-$NR$16+1)*($NS$16-7+1)/$NU$16,$NN$16/$NT$16)),0)</f>
        <v/>
      </c>
      <c r="L16" s="402">
        <f>IF(AND(8&gt;=$NR$16,8&lt;=$NS$16),IF($NP$16="Single_Point",IF(8=$NR$16,$NN$16,0),IF($NP$16="Bell_Curve",$NN$16*(8-$NR$16+1)*($NS$16-8+1)/$NU$16,$NN$16/$NT$16)),0)</f>
        <v/>
      </c>
      <c r="M16" s="402">
        <f>IF(AND(9&gt;=$NR$16,9&lt;=$NS$16),IF($NP$16="Single_Point",IF(9=$NR$16,$NN$16,0),IF($NP$16="Bell_Curve",$NN$16*(9-$NR$16+1)*($NS$16-9+1)/$NU$16,$NN$16/$NT$16)),0)</f>
        <v/>
      </c>
      <c r="N16" s="402">
        <f>IF(AND(10&gt;=$NR$16,10&lt;=$NS$16),IF($NP$16="Single_Point",IF(10=$NR$16,$NN$16,0),IF($NP$16="Bell_Curve",$NN$16*(10-$NR$16+1)*($NS$16-10+1)/$NU$16,$NN$16/$NT$16)),0)</f>
        <v/>
      </c>
      <c r="O16" s="402">
        <f>IF(AND(11&gt;=$NR$16,11&lt;=$NS$16),IF($NP$16="Single_Point",IF(11=$NR$16,$NN$16,0),IF($NP$16="Bell_Curve",$NN$16*(11-$NR$16+1)*($NS$16-11+1)/$NU$16,$NN$16/$NT$16)),0)</f>
        <v/>
      </c>
      <c r="P16" s="402">
        <f>IF(AND(12&gt;=$NR$16,12&lt;=$NS$16),IF($NP$16="Single_Point",IF(12=$NR$16,$NN$16,0),IF($NP$16="Bell_Curve",$NN$16*(12-$NR$16+1)*($NS$16-12+1)/$NU$16,$NN$16/$NT$16)),0)</f>
        <v/>
      </c>
      <c r="Q16" s="402">
        <f>IF(AND(13&gt;=$NR$16,13&lt;=$NS$16),IF($NP$16="Single_Point",IF(13=$NR$16,$NN$16,0),IF($NP$16="Bell_Curve",$NN$16*(13-$NR$16+1)*($NS$16-13+1)/$NU$16,$NN$16/$NT$16)),0)</f>
        <v/>
      </c>
      <c r="R16" s="402">
        <f>IF(AND(14&gt;=$NR$16,14&lt;=$NS$16),IF($NP$16="Single_Point",IF(14=$NR$16,$NN$16,0),IF($NP$16="Bell_Curve",$NN$16*(14-$NR$16+1)*($NS$16-14+1)/$NU$16,$NN$16/$NT$16)),0)</f>
        <v/>
      </c>
      <c r="S16" s="402">
        <f>IF(AND(15&gt;=$NR$16,15&lt;=$NS$16),IF($NP$16="Single_Point",IF(15=$NR$16,$NN$16,0),IF($NP$16="Bell_Curve",$NN$16*(15-$NR$16+1)*($NS$16-15+1)/$NU$16,$NN$16/$NT$16)),0)</f>
        <v/>
      </c>
      <c r="T16" s="402">
        <f>IF(AND(16&gt;=$NR$16,16&lt;=$NS$16),IF($NP$16="Single_Point",IF(16=$NR$16,$NN$16,0),IF($NP$16="Bell_Curve",$NN$16*(16-$NR$16+1)*($NS$16-16+1)/$NU$16,$NN$16/$NT$16)),0)</f>
        <v/>
      </c>
      <c r="U16" s="402">
        <f>IF(AND(17&gt;=$NR$16,17&lt;=$NS$16),IF($NP$16="Single_Point",IF(17=$NR$16,$NN$16,0),IF($NP$16="Bell_Curve",$NN$16*(17-$NR$16+1)*($NS$16-17+1)/$NU$16,$NN$16/$NT$16)),0)</f>
        <v/>
      </c>
      <c r="V16" s="402">
        <f>IF(AND(18&gt;=$NR$16,18&lt;=$NS$16),IF($NP$16="Single_Point",IF(18=$NR$16,$NN$16,0),IF($NP$16="Bell_Curve",$NN$16*(18-$NR$16+1)*($NS$16-18+1)/$NU$16,$NN$16/$NT$16)),0)</f>
        <v/>
      </c>
      <c r="W16" s="402">
        <f>IF(AND(19&gt;=$NR$16,19&lt;=$NS$16),IF($NP$16="Single_Point",IF(19=$NR$16,$NN$16,0),IF($NP$16="Bell_Curve",$NN$16*(19-$NR$16+1)*($NS$16-19+1)/$NU$16,$NN$16/$NT$16)),0)</f>
        <v/>
      </c>
      <c r="X16" s="402">
        <f>IF(AND(20&gt;=$NR$16,20&lt;=$NS$16),IF($NP$16="Single_Point",IF(20=$NR$16,$NN$16,0),IF($NP$16="Bell_Curve",$NN$16*(20-$NR$16+1)*($NS$16-20+1)/$NU$16,$NN$16/$NT$16)),0)</f>
        <v/>
      </c>
      <c r="Y16" s="402">
        <f>IF(AND(21&gt;=$NR$16,21&lt;=$NS$16),IF($NP$16="Single_Point",IF(21=$NR$16,$NN$16,0),IF($NP$16="Bell_Curve",$NN$16*(21-$NR$16+1)*($NS$16-21+1)/$NU$16,$NN$16/$NT$16)),0)</f>
        <v/>
      </c>
      <c r="Z16" s="402">
        <f>IF(AND(22&gt;=$NR$16,22&lt;=$NS$16),IF($NP$16="Single_Point",IF(22=$NR$16,$NN$16,0),IF($NP$16="Bell_Curve",$NN$16*(22-$NR$16+1)*($NS$16-22+1)/$NU$16,$NN$16/$NT$16)),0)</f>
        <v/>
      </c>
      <c r="AA16" s="402">
        <f>IF(AND(23&gt;=$NR$16,23&lt;=$NS$16),IF($NP$16="Single_Point",IF(23=$NR$16,$NN$16,0),IF($NP$16="Bell_Curve",$NN$16*(23-$NR$16+1)*($NS$16-23+1)/$NU$16,$NN$16/$NT$16)),0)</f>
        <v/>
      </c>
      <c r="AB16" s="402">
        <f>IF(AND(24&gt;=$NR$16,24&lt;=$NS$16),IF($NP$16="Single_Point",IF(24=$NR$16,$NN$16,0),IF($NP$16="Bell_Curve",$NN$16*(24-$NR$16+1)*($NS$16-24+1)/$NU$16,$NN$16/$NT$16)),0)</f>
        <v/>
      </c>
      <c r="AC16" s="402">
        <f>IF(AND(25&gt;=$NR$16,25&lt;=$NS$16),IF($NP$16="Single_Point",IF(25=$NR$16,$NN$16,0),IF($NP$16="Bell_Curve",$NN$16*(25-$NR$16+1)*($NS$16-25+1)/$NU$16,$NN$16/$NT$16)),0)</f>
        <v/>
      </c>
      <c r="AD16" s="402">
        <f>IF(AND(26&gt;=$NR$16,26&lt;=$NS$16),IF($NP$16="Single_Point",IF(26=$NR$16,$NN$16,0),IF($NP$16="Bell_Curve",$NN$16*(26-$NR$16+1)*($NS$16-26+1)/$NU$16,$NN$16/$NT$16)),0)</f>
        <v/>
      </c>
      <c r="AE16" s="402">
        <f>IF(AND(27&gt;=$NR$16,27&lt;=$NS$16),IF($NP$16="Single_Point",IF(27=$NR$16,$NN$16,0),IF($NP$16="Bell_Curve",$NN$16*(27-$NR$16+1)*($NS$16-27+1)/$NU$16,$NN$16/$NT$16)),0)</f>
        <v/>
      </c>
      <c r="AF16" s="402">
        <f>IF(AND(28&gt;=$NR$16,28&lt;=$NS$16),IF($NP$16="Single_Point",IF(28=$NR$16,$NN$16,0),IF($NP$16="Bell_Curve",$NN$16*(28-$NR$16+1)*($NS$16-28+1)/$NU$16,$NN$16/$NT$16)),0)</f>
        <v/>
      </c>
      <c r="AG16" s="402">
        <f>IF(AND(29&gt;=$NR$16,29&lt;=$NS$16),IF($NP$16="Single_Point",IF(29=$NR$16,$NN$16,0),IF($NP$16="Bell_Curve",$NN$16*(29-$NR$16+1)*($NS$16-29+1)/$NU$16,$NN$16/$NT$16)),0)</f>
        <v/>
      </c>
      <c r="AH16" s="402">
        <f>IF(AND(30&gt;=$NR$16,30&lt;=$NS$16),IF($NP$16="Single_Point",IF(30=$NR$16,$NN$16,0),IF($NP$16="Bell_Curve",$NN$16*(30-$NR$16+1)*($NS$16-30+1)/$NU$16,$NN$16/$NT$16)),0)</f>
        <v/>
      </c>
      <c r="AI16" s="402">
        <f>IF(AND(31&gt;=$NR$16,31&lt;=$NS$16),IF($NP$16="Single_Point",IF(31=$NR$16,$NN$16,0),IF($NP$16="Bell_Curve",$NN$16*(31-$NR$16+1)*($NS$16-31+1)/$NU$16,$NN$16/$NT$16)),0)</f>
        <v/>
      </c>
      <c r="AJ16" s="402">
        <f>IF(AND(32&gt;=$NR$16,32&lt;=$NS$16),IF($NP$16="Single_Point",IF(32=$NR$16,$NN$16,0),IF($NP$16="Bell_Curve",$NN$16*(32-$NR$16+1)*($NS$16-32+1)/$NU$16,$NN$16/$NT$16)),0)</f>
        <v/>
      </c>
      <c r="AK16" s="402">
        <f>IF(AND(33&gt;=$NR$16,33&lt;=$NS$16),IF($NP$16="Single_Point",IF(33=$NR$16,$NN$16,0),IF($NP$16="Bell_Curve",$NN$16*(33-$NR$16+1)*($NS$16-33+1)/$NU$16,$NN$16/$NT$16)),0)</f>
        <v/>
      </c>
      <c r="AL16" s="402">
        <f>IF(AND(34&gt;=$NR$16,34&lt;=$NS$16),IF($NP$16="Single_Point",IF(34=$NR$16,$NN$16,0),IF($NP$16="Bell_Curve",$NN$16*(34-$NR$16+1)*($NS$16-34+1)/$NU$16,$NN$16/$NT$16)),0)</f>
        <v/>
      </c>
      <c r="AM16" s="402">
        <f>IF(AND(35&gt;=$NR$16,35&lt;=$NS$16),IF($NP$16="Single_Point",IF(35=$NR$16,$NN$16,0),IF($NP$16="Bell_Curve",$NN$16*(35-$NR$16+1)*($NS$16-35+1)/$NU$16,$NN$16/$NT$16)),0)</f>
        <v/>
      </c>
      <c r="AN16" s="402">
        <f>IF(AND(36&gt;=$NR$16,36&lt;=$NS$16),IF($NP$16="Single_Point",IF(36=$NR$16,$NN$16,0),IF($NP$16="Bell_Curve",$NN$16*(36-$NR$16+1)*($NS$16-36+1)/$NU$16,$NN$16/$NT$16)),0)</f>
        <v/>
      </c>
      <c r="AO16" s="402">
        <f>IF(AND(37&gt;=$NR$16,37&lt;=$NS$16),IF($NP$16="Single_Point",IF(37=$NR$16,$NN$16,0),IF($NP$16="Bell_Curve",$NN$16*(37-$NR$16+1)*($NS$16-37+1)/$NU$16,$NN$16/$NT$16)),0)</f>
        <v/>
      </c>
      <c r="AP16" s="402">
        <f>IF(AND(38&gt;=$NR$16,38&lt;=$NS$16),IF($NP$16="Single_Point",IF(38=$NR$16,$NN$16,0),IF($NP$16="Bell_Curve",$NN$16*(38-$NR$16+1)*($NS$16-38+1)/$NU$16,$NN$16/$NT$16)),0)</f>
        <v/>
      </c>
      <c r="AQ16" s="402">
        <f>IF(AND(39&gt;=$NR$16,39&lt;=$NS$16),IF($NP$16="Single_Point",IF(39=$NR$16,$NN$16,0),IF($NP$16="Bell_Curve",$NN$16*(39-$NR$16+1)*($NS$16-39+1)/$NU$16,$NN$16/$NT$16)),0)</f>
        <v/>
      </c>
      <c r="AR16" s="402">
        <f>IF(AND(40&gt;=$NR$16,40&lt;=$NS$16),IF($NP$16="Single_Point",IF(40=$NR$16,$NN$16,0),IF($NP$16="Bell_Curve",$NN$16*(40-$NR$16+1)*($NS$16-40+1)/$NU$16,$NN$16/$NT$16)),0)</f>
        <v/>
      </c>
      <c r="AS16" s="402">
        <f>IF(AND(41&gt;=$NR$16,41&lt;=$NS$16),IF($NP$16="Single_Point",IF(41=$NR$16,$NN$16,0),IF($NP$16="Bell_Curve",$NN$16*(41-$NR$16+1)*($NS$16-41+1)/$NU$16,$NN$16/$NT$16)),0)</f>
        <v/>
      </c>
      <c r="AT16" s="402">
        <f>IF(AND(42&gt;=$NR$16,42&lt;=$NS$16),IF($NP$16="Single_Point",IF(42=$NR$16,$NN$16,0),IF($NP$16="Bell_Curve",$NN$16*(42-$NR$16+1)*($NS$16-42+1)/$NU$16,$NN$16/$NT$16)),0)</f>
        <v/>
      </c>
      <c r="AU16" s="402">
        <f>IF(AND(43&gt;=$NR$16,43&lt;=$NS$16),IF($NP$16="Single_Point",IF(43=$NR$16,$NN$16,0),IF($NP$16="Bell_Curve",$NN$16*(43-$NR$16+1)*($NS$16-43+1)/$NU$16,$NN$16/$NT$16)),0)</f>
        <v/>
      </c>
      <c r="AV16" s="402">
        <f>IF(AND(44&gt;=$NR$16,44&lt;=$NS$16),IF($NP$16="Single_Point",IF(44=$NR$16,$NN$16,0),IF($NP$16="Bell_Curve",$NN$16*(44-$NR$16+1)*($NS$16-44+1)/$NU$16,$NN$16/$NT$16)),0)</f>
        <v/>
      </c>
      <c r="AW16" s="402">
        <f>IF(AND(45&gt;=$NR$16,45&lt;=$NS$16),IF($NP$16="Single_Point",IF(45=$NR$16,$NN$16,0),IF($NP$16="Bell_Curve",$NN$16*(45-$NR$16+1)*($NS$16-45+1)/$NU$16,$NN$16/$NT$16)),0)</f>
        <v/>
      </c>
      <c r="AX16" s="402">
        <f>IF(AND(46&gt;=$NR$16,46&lt;=$NS$16),IF($NP$16="Single_Point",IF(46=$NR$16,$NN$16,0),IF($NP$16="Bell_Curve",$NN$16*(46-$NR$16+1)*($NS$16-46+1)/$NU$16,$NN$16/$NT$16)),0)</f>
        <v/>
      </c>
      <c r="AY16" s="402">
        <f>IF(AND(47&gt;=$NR$16,47&lt;=$NS$16),IF($NP$16="Single_Point",IF(47=$NR$16,$NN$16,0),IF($NP$16="Bell_Curve",$NN$16*(47-$NR$16+1)*($NS$16-47+1)/$NU$16,$NN$16/$NT$16)),0)</f>
        <v/>
      </c>
      <c r="AZ16" s="402">
        <f>IF(AND(48&gt;=$NR$16,48&lt;=$NS$16),IF($NP$16="Single_Point",IF(48=$NR$16,$NN$16,0),IF($NP$16="Bell_Curve",$NN$16*(48-$NR$16+1)*($NS$16-48+1)/$NU$16,$NN$16/$NT$16)),0)</f>
        <v/>
      </c>
      <c r="BA16" s="402">
        <f>IF(AND(49&gt;=$NR$16,49&lt;=$NS$16),IF($NP$16="Single_Point",IF(49=$NR$16,$NN$16,0),IF($NP$16="Bell_Curve",$NN$16*(49-$NR$16+1)*($NS$16-49+1)/$NU$16,$NN$16/$NT$16)),0)</f>
        <v/>
      </c>
      <c r="BB16" s="402">
        <f>IF(AND(50&gt;=$NR$16,50&lt;=$NS$16),IF($NP$16="Single_Point",IF(50=$NR$16,$NN$16,0),IF($NP$16="Bell_Curve",$NN$16*(50-$NR$16+1)*($NS$16-50+1)/$NU$16,$NN$16/$NT$16)),0)</f>
        <v/>
      </c>
      <c r="BC16" s="402">
        <f>IF(AND(51&gt;=$NR$16,51&lt;=$NS$16),IF($NP$16="Single_Point",IF(51=$NR$16,$NN$16,0),IF($NP$16="Bell_Curve",$NN$16*(51-$NR$16+1)*($NS$16-51+1)/$NU$16,$NN$16/$NT$16)),0)</f>
        <v/>
      </c>
      <c r="BD16" s="402">
        <f>IF(AND(52&gt;=$NR$16,52&lt;=$NS$16),IF($NP$16="Single_Point",IF(52=$NR$16,$NN$16,0),IF($NP$16="Bell_Curve",$NN$16*(52-$NR$16+1)*($NS$16-52+1)/$NU$16,$NN$16/$NT$16)),0)</f>
        <v/>
      </c>
      <c r="BE16" s="402">
        <f>IF(AND(53&gt;=$NR$16,53&lt;=$NS$16),IF($NP$16="Single_Point",IF(53=$NR$16,$NN$16,0),IF($NP$16="Bell_Curve",$NN$16*(53-$NR$16+1)*($NS$16-53+1)/$NU$16,$NN$16/$NT$16)),0)</f>
        <v/>
      </c>
      <c r="BF16" s="402">
        <f>IF(AND(54&gt;=$NR$16,54&lt;=$NS$16),IF($NP$16="Single_Point",IF(54=$NR$16,$NN$16,0),IF($NP$16="Bell_Curve",$NN$16*(54-$NR$16+1)*($NS$16-54+1)/$NU$16,$NN$16/$NT$16)),0)</f>
        <v/>
      </c>
      <c r="BG16" s="402">
        <f>IF(AND(55&gt;=$NR$16,55&lt;=$NS$16),IF($NP$16="Single_Point",IF(55=$NR$16,$NN$16,0),IF($NP$16="Bell_Curve",$NN$16*(55-$NR$16+1)*($NS$16-55+1)/$NU$16,$NN$16/$NT$16)),0)</f>
        <v/>
      </c>
      <c r="BH16" s="402">
        <f>IF(AND(56&gt;=$NR$16,56&lt;=$NS$16),IF($NP$16="Single_Point",IF(56=$NR$16,$NN$16,0),IF($NP$16="Bell_Curve",$NN$16*(56-$NR$16+1)*($NS$16-56+1)/$NU$16,$NN$16/$NT$16)),0)</f>
        <v/>
      </c>
      <c r="BI16" s="402">
        <f>IF(AND(57&gt;=$NR$16,57&lt;=$NS$16),IF($NP$16="Single_Point",IF(57=$NR$16,$NN$16,0),IF($NP$16="Bell_Curve",$NN$16*(57-$NR$16+1)*($NS$16-57+1)/$NU$16,$NN$16/$NT$16)),0)</f>
        <v/>
      </c>
      <c r="BJ16" s="402">
        <f>IF(AND(58&gt;=$NR$16,58&lt;=$NS$16),IF($NP$16="Single_Point",IF(58=$NR$16,$NN$16,0),IF($NP$16="Bell_Curve",$NN$16*(58-$NR$16+1)*($NS$16-58+1)/$NU$16,$NN$16/$NT$16)),0)</f>
        <v/>
      </c>
      <c r="BK16" s="402">
        <f>IF(AND(59&gt;=$NR$16,59&lt;=$NS$16),IF($NP$16="Single_Point",IF(59=$NR$16,$NN$16,0),IF($NP$16="Bell_Curve",$NN$16*(59-$NR$16+1)*($NS$16-59+1)/$NU$16,$NN$16/$NT$16)),0)</f>
        <v/>
      </c>
      <c r="BL16" s="402">
        <f>IF(AND(60&gt;=$NR$16,60&lt;=$NS$16),IF($NP$16="Single_Point",IF(60=$NR$16,$NN$16,0),IF($NP$16="Bell_Curve",$NN$16*(60-$NR$16+1)*($NS$16-60+1)/$NU$16,$NN$16/$NT$16)),0)</f>
        <v/>
      </c>
      <c r="BM16" s="402">
        <f>IF(AND(61&gt;=$NR$16,61&lt;=$NS$16),IF($NP$16="Single_Point",IF(61=$NR$16,$NN$16,0),IF($NP$16="Bell_Curve",$NN$16*(61-$NR$16+1)*($NS$16-61+1)/$NU$16,$NN$16/$NT$16)),0)</f>
        <v/>
      </c>
      <c r="BN16" s="402">
        <f>IF(AND(62&gt;=$NR$16,62&lt;=$NS$16),IF($NP$16="Single_Point",IF(62=$NR$16,$NN$16,0),IF($NP$16="Bell_Curve",$NN$16*(62-$NR$16+1)*($NS$16-62+1)/$NU$16,$NN$16/$NT$16)),0)</f>
        <v/>
      </c>
      <c r="BO16" s="402">
        <f>IF(AND(63&gt;=$NR$16,63&lt;=$NS$16),IF($NP$16="Single_Point",IF(63=$NR$16,$NN$16,0),IF($NP$16="Bell_Curve",$NN$16*(63-$NR$16+1)*($NS$16-63+1)/$NU$16,$NN$16/$NT$16)),0)</f>
        <v/>
      </c>
      <c r="BP16" s="402">
        <f>IF(AND(64&gt;=$NR$16,64&lt;=$NS$16),IF($NP$16="Single_Point",IF(64=$NR$16,$NN$16,0),IF($NP$16="Bell_Curve",$NN$16*(64-$NR$16+1)*($NS$16-64+1)/$NU$16,$NN$16/$NT$16)),0)</f>
        <v/>
      </c>
      <c r="BQ16" s="402">
        <f>IF(AND(65&gt;=$NR$16,65&lt;=$NS$16),IF($NP$16="Single_Point",IF(65=$NR$16,$NN$16,0),IF($NP$16="Bell_Curve",$NN$16*(65-$NR$16+1)*($NS$16-65+1)/$NU$16,$NN$16/$NT$16)),0)</f>
        <v/>
      </c>
      <c r="BR16" s="402">
        <f>IF(AND(66&gt;=$NR$16,66&lt;=$NS$16),IF($NP$16="Single_Point",IF(66=$NR$16,$NN$16,0),IF($NP$16="Bell_Curve",$NN$16*(66-$NR$16+1)*($NS$16-66+1)/$NU$16,$NN$16/$NT$16)),0)</f>
        <v/>
      </c>
      <c r="BS16" s="402">
        <f>IF(AND(67&gt;=$NR$16,67&lt;=$NS$16),IF($NP$16="Single_Point",IF(67=$NR$16,$NN$16,0),IF($NP$16="Bell_Curve",$NN$16*(67-$NR$16+1)*($NS$16-67+1)/$NU$16,$NN$16/$NT$16)),0)</f>
        <v/>
      </c>
      <c r="BT16" s="402">
        <f>IF(AND(68&gt;=$NR$16,68&lt;=$NS$16),IF($NP$16="Single_Point",IF(68=$NR$16,$NN$16,0),IF($NP$16="Bell_Curve",$NN$16*(68-$NR$16+1)*($NS$16-68+1)/$NU$16,$NN$16/$NT$16)),0)</f>
        <v/>
      </c>
      <c r="BU16" s="402">
        <f>IF(AND(69&gt;=$NR$16,69&lt;=$NS$16),IF($NP$16="Single_Point",IF(69=$NR$16,$NN$16,0),IF($NP$16="Bell_Curve",$NN$16*(69-$NR$16+1)*($NS$16-69+1)/$NU$16,$NN$16/$NT$16)),0)</f>
        <v/>
      </c>
      <c r="BV16" s="402">
        <f>IF(AND(70&gt;=$NR$16,70&lt;=$NS$16),IF($NP$16="Single_Point",IF(70=$NR$16,$NN$16,0),IF($NP$16="Bell_Curve",$NN$16*(70-$NR$16+1)*($NS$16-70+1)/$NU$16,$NN$16/$NT$16)),0)</f>
        <v/>
      </c>
      <c r="BW16" s="402">
        <f>IF(AND(71&gt;=$NR$16,71&lt;=$NS$16),IF($NP$16="Single_Point",IF(71=$NR$16,$NN$16,0),IF($NP$16="Bell_Curve",$NN$16*(71-$NR$16+1)*($NS$16-71+1)/$NU$16,$NN$16/$NT$16)),0)</f>
        <v/>
      </c>
      <c r="BX16" s="402">
        <f>IF(AND(72&gt;=$NR$16,72&lt;=$NS$16),IF($NP$16="Single_Point",IF(72=$NR$16,$NN$16,0),IF($NP$16="Bell_Curve",$NN$16*(72-$NR$16+1)*($NS$16-72+1)/$NU$16,$NN$16/$NT$16)),0)</f>
        <v/>
      </c>
      <c r="BY16" s="402">
        <f>IF(AND(73&gt;=$NR$16,73&lt;=$NS$16),IF($NP$16="Single_Point",IF(73=$NR$16,$NN$16,0),IF($NP$16="Bell_Curve",$NN$16*(73-$NR$16+1)*($NS$16-73+1)/$NU$16,$NN$16/$NT$16)),0)</f>
        <v/>
      </c>
      <c r="BZ16" s="402">
        <f>IF(AND(74&gt;=$NR$16,74&lt;=$NS$16),IF($NP$16="Single_Point",IF(74=$NR$16,$NN$16,0),IF($NP$16="Bell_Curve",$NN$16*(74-$NR$16+1)*($NS$16-74+1)/$NU$16,$NN$16/$NT$16)),0)</f>
        <v/>
      </c>
      <c r="CA16" s="402">
        <f>IF(AND(75&gt;=$NR$16,75&lt;=$NS$16),IF($NP$16="Single_Point",IF(75=$NR$16,$NN$16,0),IF($NP$16="Bell_Curve",$NN$16*(75-$NR$16+1)*($NS$16-75+1)/$NU$16,$NN$16/$NT$16)),0)</f>
        <v/>
      </c>
      <c r="CB16" s="402">
        <f>IF(AND(76&gt;=$NR$16,76&lt;=$NS$16),IF($NP$16="Single_Point",IF(76=$NR$16,$NN$16,0),IF($NP$16="Bell_Curve",$NN$16*(76-$NR$16+1)*($NS$16-76+1)/$NU$16,$NN$16/$NT$16)),0)</f>
        <v/>
      </c>
      <c r="CC16" s="402">
        <f>IF(AND(77&gt;=$NR$16,77&lt;=$NS$16),IF($NP$16="Single_Point",IF(77=$NR$16,$NN$16,0),IF($NP$16="Bell_Curve",$NN$16*(77-$NR$16+1)*($NS$16-77+1)/$NU$16,$NN$16/$NT$16)),0)</f>
        <v/>
      </c>
      <c r="CD16" s="402">
        <f>IF(AND(78&gt;=$NR$16,78&lt;=$NS$16),IF($NP$16="Single_Point",IF(78=$NR$16,$NN$16,0),IF($NP$16="Bell_Curve",$NN$16*(78-$NR$16+1)*($NS$16-78+1)/$NU$16,$NN$16/$NT$16)),0)</f>
        <v/>
      </c>
      <c r="CE16" s="402">
        <f>IF(AND(79&gt;=$NR$16,79&lt;=$NS$16),IF($NP$16="Single_Point",IF(79=$NR$16,$NN$16,0),IF($NP$16="Bell_Curve",$NN$16*(79-$NR$16+1)*($NS$16-79+1)/$NU$16,$NN$16/$NT$16)),0)</f>
        <v/>
      </c>
      <c r="CF16" s="402">
        <f>IF(AND(80&gt;=$NR$16,80&lt;=$NS$16),IF($NP$16="Single_Point",IF(80=$NR$16,$NN$16,0),IF($NP$16="Bell_Curve",$NN$16*(80-$NR$16+1)*($NS$16-80+1)/$NU$16,$NN$16/$NT$16)),0)</f>
        <v/>
      </c>
      <c r="CG16" s="402">
        <f>IF(AND(81&gt;=$NR$16,81&lt;=$NS$16),IF($NP$16="Single_Point",IF(81=$NR$16,$NN$16,0),IF($NP$16="Bell_Curve",$NN$16*(81-$NR$16+1)*($NS$16-81+1)/$NU$16,$NN$16/$NT$16)),0)</f>
        <v/>
      </c>
      <c r="CH16" s="402">
        <f>IF(AND(82&gt;=$NR$16,82&lt;=$NS$16),IF($NP$16="Single_Point",IF(82=$NR$16,$NN$16,0),IF($NP$16="Bell_Curve",$NN$16*(82-$NR$16+1)*($NS$16-82+1)/$NU$16,$NN$16/$NT$16)),0)</f>
        <v/>
      </c>
      <c r="CI16" s="402">
        <f>IF(AND(83&gt;=$NR$16,83&lt;=$NS$16),IF($NP$16="Single_Point",IF(83=$NR$16,$NN$16,0),IF($NP$16="Bell_Curve",$NN$16*(83-$NR$16+1)*($NS$16-83+1)/$NU$16,$NN$16/$NT$16)),0)</f>
        <v/>
      </c>
      <c r="CJ16" s="402">
        <f>IF(AND(84&gt;=$NR$16,84&lt;=$NS$16),IF($NP$16="Single_Point",IF(84=$NR$16,$NN$16,0),IF($NP$16="Bell_Curve",$NN$16*(84-$NR$16+1)*($NS$16-84+1)/$NU$16,$NN$16/$NT$16)),0)</f>
        <v/>
      </c>
      <c r="CK16" s="402">
        <f>IF(AND(85&gt;=$NR$16,85&lt;=$NS$16),IF($NP$16="Single_Point",IF(85=$NR$16,$NN$16,0),IF($NP$16="Bell_Curve",$NN$16*(85-$NR$16+1)*($NS$16-85+1)/$NU$16,$NN$16/$NT$16)),0)</f>
        <v/>
      </c>
      <c r="CL16" s="402">
        <f>IF(AND(86&gt;=$NR$16,86&lt;=$NS$16),IF($NP$16="Single_Point",IF(86=$NR$16,$NN$16,0),IF($NP$16="Bell_Curve",$NN$16*(86-$NR$16+1)*($NS$16-86+1)/$NU$16,$NN$16/$NT$16)),0)</f>
        <v/>
      </c>
      <c r="CM16" s="402">
        <f>IF(AND(87&gt;=$NR$16,87&lt;=$NS$16),IF($NP$16="Single_Point",IF(87=$NR$16,$NN$16,0),IF($NP$16="Bell_Curve",$NN$16*(87-$NR$16+1)*($NS$16-87+1)/$NU$16,$NN$16/$NT$16)),0)</f>
        <v/>
      </c>
      <c r="CN16" s="402">
        <f>IF(AND(88&gt;=$NR$16,88&lt;=$NS$16),IF($NP$16="Single_Point",IF(88=$NR$16,$NN$16,0),IF($NP$16="Bell_Curve",$NN$16*(88-$NR$16+1)*($NS$16-88+1)/$NU$16,$NN$16/$NT$16)),0)</f>
        <v/>
      </c>
      <c r="CO16" s="402">
        <f>IF(AND(89&gt;=$NR$16,89&lt;=$NS$16),IF($NP$16="Single_Point",IF(89=$NR$16,$NN$16,0),IF($NP$16="Bell_Curve",$NN$16*(89-$NR$16+1)*($NS$16-89+1)/$NU$16,$NN$16/$NT$16)),0)</f>
        <v/>
      </c>
      <c r="CP16" s="402">
        <f>IF(AND(90&gt;=$NR$16,90&lt;=$NS$16),IF($NP$16="Single_Point",IF(90=$NR$16,$NN$16,0),IF($NP$16="Bell_Curve",$NN$16*(90-$NR$16+1)*($NS$16-90+1)/$NU$16,$NN$16/$NT$16)),0)</f>
        <v/>
      </c>
      <c r="CQ16" s="402">
        <f>IF(AND(91&gt;=$NR$16,91&lt;=$NS$16),IF($NP$16="Single_Point",IF(91=$NR$16,$NN$16,0),IF($NP$16="Bell_Curve",$NN$16*(91-$NR$16+1)*($NS$16-91+1)/$NU$16,$NN$16/$NT$16)),0)</f>
        <v/>
      </c>
      <c r="CR16" s="402">
        <f>IF(AND(92&gt;=$NR$16,92&lt;=$NS$16),IF($NP$16="Single_Point",IF(92=$NR$16,$NN$16,0),IF($NP$16="Bell_Curve",$NN$16*(92-$NR$16+1)*($NS$16-92+1)/$NU$16,$NN$16/$NT$16)),0)</f>
        <v/>
      </c>
      <c r="CS16" s="402">
        <f>IF(AND(93&gt;=$NR$16,93&lt;=$NS$16),IF($NP$16="Single_Point",IF(93=$NR$16,$NN$16,0),IF($NP$16="Bell_Curve",$NN$16*(93-$NR$16+1)*($NS$16-93+1)/$NU$16,$NN$16/$NT$16)),0)</f>
        <v/>
      </c>
      <c r="CT16" s="402">
        <f>IF(AND(94&gt;=$NR$16,94&lt;=$NS$16),IF($NP$16="Single_Point",IF(94=$NR$16,$NN$16,0),IF($NP$16="Bell_Curve",$NN$16*(94-$NR$16+1)*($NS$16-94+1)/$NU$16,$NN$16/$NT$16)),0)</f>
        <v/>
      </c>
      <c r="CU16" s="402">
        <f>IF(AND(95&gt;=$NR$16,95&lt;=$NS$16),IF($NP$16="Single_Point",IF(95=$NR$16,$NN$16,0),IF($NP$16="Bell_Curve",$NN$16*(95-$NR$16+1)*($NS$16-95+1)/$NU$16,$NN$16/$NT$16)),0)</f>
        <v/>
      </c>
      <c r="CV16" s="402">
        <f>IF(AND(96&gt;=$NR$16,96&lt;=$NS$16),IF($NP$16="Single_Point",IF(96=$NR$16,$NN$16,0),IF($NP$16="Bell_Curve",$NN$16*(96-$NR$16+1)*($NS$16-96+1)/$NU$16,$NN$16/$NT$16)),0)</f>
        <v/>
      </c>
      <c r="CW16" s="402">
        <f>IF(AND(97&gt;=$NR$16,97&lt;=$NS$16),IF($NP$16="Single_Point",IF(97=$NR$16,$NN$16,0),IF($NP$16="Bell_Curve",$NN$16*(97-$NR$16+1)*($NS$16-97+1)/$NU$16,$NN$16/$NT$16)),0)</f>
        <v/>
      </c>
      <c r="CX16" s="402">
        <f>IF(AND(98&gt;=$NR$16,98&lt;=$NS$16),IF($NP$16="Single_Point",IF(98=$NR$16,$NN$16,0),IF($NP$16="Bell_Curve",$NN$16*(98-$NR$16+1)*($NS$16-98+1)/$NU$16,$NN$16/$NT$16)),0)</f>
        <v/>
      </c>
      <c r="CY16" s="402">
        <f>IF(AND(99&gt;=$NR$16,99&lt;=$NS$16),IF($NP$16="Single_Point",IF(99=$NR$16,$NN$16,0),IF($NP$16="Bell_Curve",$NN$16*(99-$NR$16+1)*($NS$16-99+1)/$NU$16,$NN$16/$NT$16)),0)</f>
        <v/>
      </c>
      <c r="CZ16" s="402">
        <f>IF(AND(100&gt;=$NR$16,100&lt;=$NS$16),IF($NP$16="Single_Point",IF(100=$NR$16,$NN$16,0),IF($NP$16="Bell_Curve",$NN$16*(100-$NR$16+1)*($NS$16-100+1)/$NU$16,$NN$16/$NT$16)),0)</f>
        <v/>
      </c>
      <c r="DA16" s="402">
        <f>IF(AND(101&gt;=$NR$16,101&lt;=$NS$16),IF($NP$16="Single_Point",IF(101=$NR$16,$NN$16,0),IF($NP$16="Bell_Curve",$NN$16*(101-$NR$16+1)*($NS$16-101+1)/$NU$16,$NN$16/$NT$16)),0)</f>
        <v/>
      </c>
      <c r="DB16" s="402">
        <f>IF(AND(102&gt;=$NR$16,102&lt;=$NS$16),IF($NP$16="Single_Point",IF(102=$NR$16,$NN$16,0),IF($NP$16="Bell_Curve",$NN$16*(102-$NR$16+1)*($NS$16-102+1)/$NU$16,$NN$16/$NT$16)),0)</f>
        <v/>
      </c>
      <c r="DC16" s="402">
        <f>IF(AND(103&gt;=$NR$16,103&lt;=$NS$16),IF($NP$16="Single_Point",IF(103=$NR$16,$NN$16,0),IF($NP$16="Bell_Curve",$NN$16*(103-$NR$16+1)*($NS$16-103+1)/$NU$16,$NN$16/$NT$16)),0)</f>
        <v/>
      </c>
      <c r="DD16" s="402">
        <f>IF(AND(104&gt;=$NR$16,104&lt;=$NS$16),IF($NP$16="Single_Point",IF(104=$NR$16,$NN$16,0),IF($NP$16="Bell_Curve",$NN$16*(104-$NR$16+1)*($NS$16-104+1)/$NU$16,$NN$16/$NT$16)),0)</f>
        <v/>
      </c>
      <c r="DE16" s="402">
        <f>IF(AND(105&gt;=$NR$16,105&lt;=$NS$16),IF($NP$16="Single_Point",IF(105=$NR$16,$NN$16,0),IF($NP$16="Bell_Curve",$NN$16*(105-$NR$16+1)*($NS$16-105+1)/$NU$16,$NN$16/$NT$16)),0)</f>
        <v/>
      </c>
      <c r="DF16" s="402">
        <f>IF(AND(106&gt;=$NR$16,106&lt;=$NS$16),IF($NP$16="Single_Point",IF(106=$NR$16,$NN$16,0),IF($NP$16="Bell_Curve",$NN$16*(106-$NR$16+1)*($NS$16-106+1)/$NU$16,$NN$16/$NT$16)),0)</f>
        <v/>
      </c>
      <c r="DG16" s="402">
        <f>IF(AND(107&gt;=$NR$16,107&lt;=$NS$16),IF($NP$16="Single_Point",IF(107=$NR$16,$NN$16,0),IF($NP$16="Bell_Curve",$NN$16*(107-$NR$16+1)*($NS$16-107+1)/$NU$16,$NN$16/$NT$16)),0)</f>
        <v/>
      </c>
      <c r="DH16" s="402">
        <f>IF(AND(108&gt;=$NR$16,108&lt;=$NS$16),IF($NP$16="Single_Point",IF(108=$NR$16,$NN$16,0),IF($NP$16="Bell_Curve",$NN$16*(108-$NR$16+1)*($NS$16-108+1)/$NU$16,$NN$16/$NT$16)),0)</f>
        <v/>
      </c>
      <c r="DI16" s="402">
        <f>IF(AND(109&gt;=$NR$16,109&lt;=$NS$16),IF($NP$16="Single_Point",IF(109=$NR$16,$NN$16,0),IF($NP$16="Bell_Curve",$NN$16*(109-$NR$16+1)*($NS$16-109+1)/$NU$16,$NN$16/$NT$16)),0)</f>
        <v/>
      </c>
      <c r="DJ16" s="402">
        <f>IF(AND(110&gt;=$NR$16,110&lt;=$NS$16),IF($NP$16="Single_Point",IF(110=$NR$16,$NN$16,0),IF($NP$16="Bell_Curve",$NN$16*(110-$NR$16+1)*($NS$16-110+1)/$NU$16,$NN$16/$NT$16)),0)</f>
        <v/>
      </c>
      <c r="DK16" s="402">
        <f>IF(AND(111&gt;=$NR$16,111&lt;=$NS$16),IF($NP$16="Single_Point",IF(111=$NR$16,$NN$16,0),IF($NP$16="Bell_Curve",$NN$16*(111-$NR$16+1)*($NS$16-111+1)/$NU$16,$NN$16/$NT$16)),0)</f>
        <v/>
      </c>
      <c r="DL16" s="402">
        <f>IF(AND(112&gt;=$NR$16,112&lt;=$NS$16),IF($NP$16="Single_Point",IF(112=$NR$16,$NN$16,0),IF($NP$16="Bell_Curve",$NN$16*(112-$NR$16+1)*($NS$16-112+1)/$NU$16,$NN$16/$NT$16)),0)</f>
        <v/>
      </c>
      <c r="DM16" s="402">
        <f>IF(AND(113&gt;=$NR$16,113&lt;=$NS$16),IF($NP$16="Single_Point",IF(113=$NR$16,$NN$16,0),IF($NP$16="Bell_Curve",$NN$16*(113-$NR$16+1)*($NS$16-113+1)/$NU$16,$NN$16/$NT$16)),0)</f>
        <v/>
      </c>
      <c r="DN16" s="402">
        <f>IF(AND(114&gt;=$NR$16,114&lt;=$NS$16),IF($NP$16="Single_Point",IF(114=$NR$16,$NN$16,0),IF($NP$16="Bell_Curve",$NN$16*(114-$NR$16+1)*($NS$16-114+1)/$NU$16,$NN$16/$NT$16)),0)</f>
        <v/>
      </c>
      <c r="DO16" s="402">
        <f>IF(AND(115&gt;=$NR$16,115&lt;=$NS$16),IF($NP$16="Single_Point",IF(115=$NR$16,$NN$16,0),IF($NP$16="Bell_Curve",$NN$16*(115-$NR$16+1)*($NS$16-115+1)/$NU$16,$NN$16/$NT$16)),0)</f>
        <v/>
      </c>
      <c r="DP16" s="402">
        <f>IF(AND(116&gt;=$NR$16,116&lt;=$NS$16),IF($NP$16="Single_Point",IF(116=$NR$16,$NN$16,0),IF($NP$16="Bell_Curve",$NN$16*(116-$NR$16+1)*($NS$16-116+1)/$NU$16,$NN$16/$NT$16)),0)</f>
        <v/>
      </c>
      <c r="DQ16" s="402">
        <f>IF(AND(117&gt;=$NR$16,117&lt;=$NS$16),IF($NP$16="Single_Point",IF(117=$NR$16,$NN$16,0),IF($NP$16="Bell_Curve",$NN$16*(117-$NR$16+1)*($NS$16-117+1)/$NU$16,$NN$16/$NT$16)),0)</f>
        <v/>
      </c>
      <c r="DR16" s="402">
        <f>IF(AND(118&gt;=$NR$16,118&lt;=$NS$16),IF($NP$16="Single_Point",IF(118=$NR$16,$NN$16,0),IF($NP$16="Bell_Curve",$NN$16*(118-$NR$16+1)*($NS$16-118+1)/$NU$16,$NN$16/$NT$16)),0)</f>
        <v/>
      </c>
      <c r="DS16" s="402">
        <f>IF(AND(119&gt;=$NR$16,119&lt;=$NS$16),IF($NP$16="Single_Point",IF(119=$NR$16,$NN$16,0),IF($NP$16="Bell_Curve",$NN$16*(119-$NR$16+1)*($NS$16-119+1)/$NU$16,$NN$16/$NT$16)),0)</f>
        <v/>
      </c>
      <c r="DT16" s="402">
        <f>IF(AND(120&gt;=$NR$16,120&lt;=$NS$16),IF($NP$16="Single_Point",IF(120=$NR$16,$NN$16,0),IF($NP$16="Bell_Curve",$NN$16*(120-$NR$16+1)*($NS$16-120+1)/$NU$16,$NN$16/$NT$16)),0)</f>
        <v/>
      </c>
      <c r="DU16" s="402">
        <f>IF(AND(121&gt;=$NR$16,121&lt;=$NS$16),IF($NP$16="Single_Point",IF(121=$NR$16,$NN$16,0),IF($NP$16="Bell_Curve",$NN$16*(121-$NR$16+1)*($NS$16-121+1)/$NU$16,$NN$16/$NT$16)),0)</f>
        <v/>
      </c>
      <c r="DV16" s="402">
        <f>IF(AND(122&gt;=$NR$16,122&lt;=$NS$16),IF($NP$16="Single_Point",IF(122=$NR$16,$NN$16,0),IF($NP$16="Bell_Curve",$NN$16*(122-$NR$16+1)*($NS$16-122+1)/$NU$16,$NN$16/$NT$16)),0)</f>
        <v/>
      </c>
      <c r="DW16" s="402">
        <f>IF(AND(123&gt;=$NR$16,123&lt;=$NS$16),IF($NP$16="Single_Point",IF(123=$NR$16,$NN$16,0),IF($NP$16="Bell_Curve",$NN$16*(123-$NR$16+1)*($NS$16-123+1)/$NU$16,$NN$16/$NT$16)),0)</f>
        <v/>
      </c>
      <c r="DX16" s="402">
        <f>IF(AND(124&gt;=$NR$16,124&lt;=$NS$16),IF($NP$16="Single_Point",IF(124=$NR$16,$NN$16,0),IF($NP$16="Bell_Curve",$NN$16*(124-$NR$16+1)*($NS$16-124+1)/$NU$16,$NN$16/$NT$16)),0)</f>
        <v/>
      </c>
      <c r="DY16" s="402">
        <f>IF(AND(125&gt;=$NR$16,125&lt;=$NS$16),IF($NP$16="Single_Point",IF(125=$NR$16,$NN$16,0),IF($NP$16="Bell_Curve",$NN$16*(125-$NR$16+1)*($NS$16-125+1)/$NU$16,$NN$16/$NT$16)),0)</f>
        <v/>
      </c>
      <c r="DZ16" s="402">
        <f>IF(AND(126&gt;=$NR$16,126&lt;=$NS$16),IF($NP$16="Single_Point",IF(126=$NR$16,$NN$16,0),IF($NP$16="Bell_Curve",$NN$16*(126-$NR$16+1)*($NS$16-126+1)/$NU$16,$NN$16/$NT$16)),0)</f>
        <v/>
      </c>
      <c r="EA16" s="402">
        <f>IF(AND(127&gt;=$NR$16,127&lt;=$NS$16),IF($NP$16="Single_Point",IF(127=$NR$16,$NN$16,0),IF($NP$16="Bell_Curve",$NN$16*(127-$NR$16+1)*($NS$16-127+1)/$NU$16,$NN$16/$NT$16)),0)</f>
        <v/>
      </c>
      <c r="EB16" s="402">
        <f>IF(AND(128&gt;=$NR$16,128&lt;=$NS$16),IF($NP$16="Single_Point",IF(128=$NR$16,$NN$16,0),IF($NP$16="Bell_Curve",$NN$16*(128-$NR$16+1)*($NS$16-128+1)/$NU$16,$NN$16/$NT$16)),0)</f>
        <v/>
      </c>
      <c r="EC16" s="402">
        <f>IF(AND(129&gt;=$NR$16,129&lt;=$NS$16),IF($NP$16="Single_Point",IF(129=$NR$16,$NN$16,0),IF($NP$16="Bell_Curve",$NN$16*(129-$NR$16+1)*($NS$16-129+1)/$NU$16,$NN$16/$NT$16)),0)</f>
        <v/>
      </c>
      <c r="ED16" s="402">
        <f>IF(AND(130&gt;=$NR$16,130&lt;=$NS$16),IF($NP$16="Single_Point",IF(130=$NR$16,$NN$16,0),IF($NP$16="Bell_Curve",$NN$16*(130-$NR$16+1)*($NS$16-130+1)/$NU$16,$NN$16/$NT$16)),0)</f>
        <v/>
      </c>
      <c r="EE16" s="402">
        <f>IF(AND(131&gt;=$NR$16,131&lt;=$NS$16),IF($NP$16="Single_Point",IF(131=$NR$16,$NN$16,0),IF($NP$16="Bell_Curve",$NN$16*(131-$NR$16+1)*($NS$16-131+1)/$NU$16,$NN$16/$NT$16)),0)</f>
        <v/>
      </c>
      <c r="EF16" s="402">
        <f>IF(AND(132&gt;=$NR$16,132&lt;=$NS$16),IF($NP$16="Single_Point",IF(132=$NR$16,$NN$16,0),IF($NP$16="Bell_Curve",$NN$16*(132-$NR$16+1)*($NS$16-132+1)/$NU$16,$NN$16/$NT$16)),0)</f>
        <v/>
      </c>
      <c r="EG16" s="402">
        <f>IF(AND(133&gt;=$NR$16,133&lt;=$NS$16),IF($NP$16="Single_Point",IF(133=$NR$16,$NN$16,0),IF($NP$16="Bell_Curve",$NN$16*(133-$NR$16+1)*($NS$16-133+1)/$NU$16,$NN$16/$NT$16)),0)</f>
        <v/>
      </c>
      <c r="EH16" s="402">
        <f>IF(AND(134&gt;=$NR$16,134&lt;=$NS$16),IF($NP$16="Single_Point",IF(134=$NR$16,$NN$16,0),IF($NP$16="Bell_Curve",$NN$16*(134-$NR$16+1)*($NS$16-134+1)/$NU$16,$NN$16/$NT$16)),0)</f>
        <v/>
      </c>
      <c r="EI16" s="402">
        <f>IF(AND(135&gt;=$NR$16,135&lt;=$NS$16),IF($NP$16="Single_Point",IF(135=$NR$16,$NN$16,0),IF($NP$16="Bell_Curve",$NN$16*(135-$NR$16+1)*($NS$16-135+1)/$NU$16,$NN$16/$NT$16)),0)</f>
        <v/>
      </c>
      <c r="EJ16" s="402">
        <f>IF(AND(136&gt;=$NR$16,136&lt;=$NS$16),IF($NP$16="Single_Point",IF(136=$NR$16,$NN$16,0),IF($NP$16="Bell_Curve",$NN$16*(136-$NR$16+1)*($NS$16-136+1)/$NU$16,$NN$16/$NT$16)),0)</f>
        <v/>
      </c>
      <c r="EK16" s="402">
        <f>IF(AND(137&gt;=$NR$16,137&lt;=$NS$16),IF($NP$16="Single_Point",IF(137=$NR$16,$NN$16,0),IF($NP$16="Bell_Curve",$NN$16*(137-$NR$16+1)*($NS$16-137+1)/$NU$16,$NN$16/$NT$16)),0)</f>
        <v/>
      </c>
      <c r="EL16" s="402">
        <f>IF(AND(138&gt;=$NR$16,138&lt;=$NS$16),IF($NP$16="Single_Point",IF(138=$NR$16,$NN$16,0),IF($NP$16="Bell_Curve",$NN$16*(138-$NR$16+1)*($NS$16-138+1)/$NU$16,$NN$16/$NT$16)),0)</f>
        <v/>
      </c>
      <c r="EM16" s="402">
        <f>IF(AND(139&gt;=$NR$16,139&lt;=$NS$16),IF($NP$16="Single_Point",IF(139=$NR$16,$NN$16,0),IF($NP$16="Bell_Curve",$NN$16*(139-$NR$16+1)*($NS$16-139+1)/$NU$16,$NN$16/$NT$16)),0)</f>
        <v/>
      </c>
      <c r="EN16" s="402">
        <f>IF(AND(140&gt;=$NR$16,140&lt;=$NS$16),IF($NP$16="Single_Point",IF(140=$NR$16,$NN$16,0),IF($NP$16="Bell_Curve",$NN$16*(140-$NR$16+1)*($NS$16-140+1)/$NU$16,$NN$16/$NT$16)),0)</f>
        <v/>
      </c>
      <c r="EO16" s="402">
        <f>IF(AND(141&gt;=$NR$16,141&lt;=$NS$16),IF($NP$16="Single_Point",IF(141=$NR$16,$NN$16,0),IF($NP$16="Bell_Curve",$NN$16*(141-$NR$16+1)*($NS$16-141+1)/$NU$16,$NN$16/$NT$16)),0)</f>
        <v/>
      </c>
      <c r="EP16" s="402">
        <f>IF(AND(142&gt;=$NR$16,142&lt;=$NS$16),IF($NP$16="Single_Point",IF(142=$NR$16,$NN$16,0),IF($NP$16="Bell_Curve",$NN$16*(142-$NR$16+1)*($NS$16-142+1)/$NU$16,$NN$16/$NT$16)),0)</f>
        <v/>
      </c>
      <c r="EQ16" s="402">
        <f>IF(AND(143&gt;=$NR$16,143&lt;=$NS$16),IF($NP$16="Single_Point",IF(143=$NR$16,$NN$16,0),IF($NP$16="Bell_Curve",$NN$16*(143-$NR$16+1)*($NS$16-143+1)/$NU$16,$NN$16/$NT$16)),0)</f>
        <v/>
      </c>
      <c r="ER16" s="402">
        <f>IF(AND(144&gt;=$NR$16,144&lt;=$NS$16),IF($NP$16="Single_Point",IF(144=$NR$16,$NN$16,0),IF($NP$16="Bell_Curve",$NN$16*(144-$NR$16+1)*($NS$16-144+1)/$NU$16,$NN$16/$NT$16)),0)</f>
        <v/>
      </c>
      <c r="ES16" s="402">
        <f>IF(AND(145&gt;=$NR$16,145&lt;=$NS$16),IF($NP$16="Single_Point",IF(145=$NR$16,$NN$16,0),IF($NP$16="Bell_Curve",$NN$16*(145-$NR$16+1)*($NS$16-145+1)/$NU$16,$NN$16/$NT$16)),0)</f>
        <v/>
      </c>
      <c r="ET16" s="402">
        <f>IF(AND(146&gt;=$NR$16,146&lt;=$NS$16),IF($NP$16="Single_Point",IF(146=$NR$16,$NN$16,0),IF($NP$16="Bell_Curve",$NN$16*(146-$NR$16+1)*($NS$16-146+1)/$NU$16,$NN$16/$NT$16)),0)</f>
        <v/>
      </c>
      <c r="EU16" s="402">
        <f>IF(AND(147&gt;=$NR$16,147&lt;=$NS$16),IF($NP$16="Single_Point",IF(147=$NR$16,$NN$16,0),IF($NP$16="Bell_Curve",$NN$16*(147-$NR$16+1)*($NS$16-147+1)/$NU$16,$NN$16/$NT$16)),0)</f>
        <v/>
      </c>
      <c r="EV16" s="402">
        <f>IF(AND(148&gt;=$NR$16,148&lt;=$NS$16),IF($NP$16="Single_Point",IF(148=$NR$16,$NN$16,0),IF($NP$16="Bell_Curve",$NN$16*(148-$NR$16+1)*($NS$16-148+1)/$NU$16,$NN$16/$NT$16)),0)</f>
        <v/>
      </c>
      <c r="EW16" s="402">
        <f>IF(AND(149&gt;=$NR$16,149&lt;=$NS$16),IF($NP$16="Single_Point",IF(149=$NR$16,$NN$16,0),IF($NP$16="Bell_Curve",$NN$16*(149-$NR$16+1)*($NS$16-149+1)/$NU$16,$NN$16/$NT$16)),0)</f>
        <v/>
      </c>
      <c r="EX16" s="402">
        <f>IF(AND(150&gt;=$NR$16,150&lt;=$NS$16),IF($NP$16="Single_Point",IF(150=$NR$16,$NN$16,0),IF($NP$16="Bell_Curve",$NN$16*(150-$NR$16+1)*($NS$16-150+1)/$NU$16,$NN$16/$NT$16)),0)</f>
        <v/>
      </c>
      <c r="EY16" s="402">
        <f>IF(AND(151&gt;=$NR$16,151&lt;=$NS$16),IF($NP$16="Single_Point",IF(151=$NR$16,$NN$16,0),IF($NP$16="Bell_Curve",$NN$16*(151-$NR$16+1)*($NS$16-151+1)/$NU$16,$NN$16/$NT$16)),0)</f>
        <v/>
      </c>
      <c r="EZ16" s="402">
        <f>IF(AND(152&gt;=$NR$16,152&lt;=$NS$16),IF($NP$16="Single_Point",IF(152=$NR$16,$NN$16,0),IF($NP$16="Bell_Curve",$NN$16*(152-$NR$16+1)*($NS$16-152+1)/$NU$16,$NN$16/$NT$16)),0)</f>
        <v/>
      </c>
      <c r="FA16" s="402">
        <f>IF(AND(153&gt;=$NR$16,153&lt;=$NS$16),IF($NP$16="Single_Point",IF(153=$NR$16,$NN$16,0),IF($NP$16="Bell_Curve",$NN$16*(153-$NR$16+1)*($NS$16-153+1)/$NU$16,$NN$16/$NT$16)),0)</f>
        <v/>
      </c>
      <c r="FB16" s="402">
        <f>IF(AND(154&gt;=$NR$16,154&lt;=$NS$16),IF($NP$16="Single_Point",IF(154=$NR$16,$NN$16,0),IF($NP$16="Bell_Curve",$NN$16*(154-$NR$16+1)*($NS$16-154+1)/$NU$16,$NN$16/$NT$16)),0)</f>
        <v/>
      </c>
      <c r="FC16" s="402">
        <f>IF(AND(155&gt;=$NR$16,155&lt;=$NS$16),IF($NP$16="Single_Point",IF(155=$NR$16,$NN$16,0),IF($NP$16="Bell_Curve",$NN$16*(155-$NR$16+1)*($NS$16-155+1)/$NU$16,$NN$16/$NT$16)),0)</f>
        <v/>
      </c>
      <c r="FD16" s="402">
        <f>IF(AND(156&gt;=$NR$16,156&lt;=$NS$16),IF($NP$16="Single_Point",IF(156=$NR$16,$NN$16,0),IF($NP$16="Bell_Curve",$NN$16*(156-$NR$16+1)*($NS$16-156+1)/$NU$16,$NN$16/$NT$16)),0)</f>
        <v/>
      </c>
      <c r="FE16" s="402">
        <f>IF(AND(157&gt;=$NR$16,157&lt;=$NS$16),IF($NP$16="Single_Point",IF(157=$NR$16,$NN$16,0),IF($NP$16="Bell_Curve",$NN$16*(157-$NR$16+1)*($NS$16-157+1)/$NU$16,$NN$16/$NT$16)),0)</f>
        <v/>
      </c>
      <c r="FF16" s="402">
        <f>IF(AND(158&gt;=$NR$16,158&lt;=$NS$16),IF($NP$16="Single_Point",IF(158=$NR$16,$NN$16,0),IF($NP$16="Bell_Curve",$NN$16*(158-$NR$16+1)*($NS$16-158+1)/$NU$16,$NN$16/$NT$16)),0)</f>
        <v/>
      </c>
      <c r="FG16" s="402">
        <f>IF(AND(159&gt;=$NR$16,159&lt;=$NS$16),IF($NP$16="Single_Point",IF(159=$NR$16,$NN$16,0),IF($NP$16="Bell_Curve",$NN$16*(159-$NR$16+1)*($NS$16-159+1)/$NU$16,$NN$16/$NT$16)),0)</f>
        <v/>
      </c>
      <c r="FH16" s="402">
        <f>IF(AND(160&gt;=$NR$16,160&lt;=$NS$16),IF($NP$16="Single_Point",IF(160=$NR$16,$NN$16,0),IF($NP$16="Bell_Curve",$NN$16*(160-$NR$16+1)*($NS$16-160+1)/$NU$16,$NN$16/$NT$16)),0)</f>
        <v/>
      </c>
      <c r="FI16" s="402">
        <f>IF(AND(161&gt;=$NR$16,161&lt;=$NS$16),IF($NP$16="Single_Point",IF(161=$NR$16,$NN$16,0),IF($NP$16="Bell_Curve",$NN$16*(161-$NR$16+1)*($NS$16-161+1)/$NU$16,$NN$16/$NT$16)),0)</f>
        <v/>
      </c>
      <c r="FJ16" s="402">
        <f>IF(AND(162&gt;=$NR$16,162&lt;=$NS$16),IF($NP$16="Single_Point",IF(162=$NR$16,$NN$16,0),IF($NP$16="Bell_Curve",$NN$16*(162-$NR$16+1)*($NS$16-162+1)/$NU$16,$NN$16/$NT$16)),0)</f>
        <v/>
      </c>
      <c r="FK16" s="402">
        <f>IF(AND(163&gt;=$NR$16,163&lt;=$NS$16),IF($NP$16="Single_Point",IF(163=$NR$16,$NN$16,0),IF($NP$16="Bell_Curve",$NN$16*(163-$NR$16+1)*($NS$16-163+1)/$NU$16,$NN$16/$NT$16)),0)</f>
        <v/>
      </c>
      <c r="FL16" s="402">
        <f>IF(AND(164&gt;=$NR$16,164&lt;=$NS$16),IF($NP$16="Single_Point",IF(164=$NR$16,$NN$16,0),IF($NP$16="Bell_Curve",$NN$16*(164-$NR$16+1)*($NS$16-164+1)/$NU$16,$NN$16/$NT$16)),0)</f>
        <v/>
      </c>
      <c r="FM16" s="402">
        <f>IF(AND(165&gt;=$NR$16,165&lt;=$NS$16),IF($NP$16="Single_Point",IF(165=$NR$16,$NN$16,0),IF($NP$16="Bell_Curve",$NN$16*(165-$NR$16+1)*($NS$16-165+1)/$NU$16,$NN$16/$NT$16)),0)</f>
        <v/>
      </c>
      <c r="FN16" s="402">
        <f>IF(AND(166&gt;=$NR$16,166&lt;=$NS$16),IF($NP$16="Single_Point",IF(166=$NR$16,$NN$16,0),IF($NP$16="Bell_Curve",$NN$16*(166-$NR$16+1)*($NS$16-166+1)/$NU$16,$NN$16/$NT$16)),0)</f>
        <v/>
      </c>
      <c r="FO16" s="402">
        <f>IF(AND(167&gt;=$NR$16,167&lt;=$NS$16),IF($NP$16="Single_Point",IF(167=$NR$16,$NN$16,0),IF($NP$16="Bell_Curve",$NN$16*(167-$NR$16+1)*($NS$16-167+1)/$NU$16,$NN$16/$NT$16)),0)</f>
        <v/>
      </c>
      <c r="FP16" s="402">
        <f>IF(AND(168&gt;=$NR$16,168&lt;=$NS$16),IF($NP$16="Single_Point",IF(168=$NR$16,$NN$16,0),IF($NP$16="Bell_Curve",$NN$16*(168-$NR$16+1)*($NS$16-168+1)/$NU$16,$NN$16/$NT$16)),0)</f>
        <v/>
      </c>
      <c r="FQ16" s="402">
        <f>IF(AND(169&gt;=$NR$16,169&lt;=$NS$16),IF($NP$16="Single_Point",IF(169=$NR$16,$NN$16,0),IF($NP$16="Bell_Curve",$NN$16*(169-$NR$16+1)*($NS$16-169+1)/$NU$16,$NN$16/$NT$16)),0)</f>
        <v/>
      </c>
      <c r="FR16" s="402">
        <f>IF(AND(170&gt;=$NR$16,170&lt;=$NS$16),IF($NP$16="Single_Point",IF(170=$NR$16,$NN$16,0),IF($NP$16="Bell_Curve",$NN$16*(170-$NR$16+1)*($NS$16-170+1)/$NU$16,$NN$16/$NT$16)),0)</f>
        <v/>
      </c>
      <c r="FS16" s="402">
        <f>IF(AND(171&gt;=$NR$16,171&lt;=$NS$16),IF($NP$16="Single_Point",IF(171=$NR$16,$NN$16,0),IF($NP$16="Bell_Curve",$NN$16*(171-$NR$16+1)*($NS$16-171+1)/$NU$16,$NN$16/$NT$16)),0)</f>
        <v/>
      </c>
      <c r="FT16" s="402">
        <f>IF(AND(172&gt;=$NR$16,172&lt;=$NS$16),IF($NP$16="Single_Point",IF(172=$NR$16,$NN$16,0),IF($NP$16="Bell_Curve",$NN$16*(172-$NR$16+1)*($NS$16-172+1)/$NU$16,$NN$16/$NT$16)),0)</f>
        <v/>
      </c>
      <c r="FU16" s="402">
        <f>IF(AND(173&gt;=$NR$16,173&lt;=$NS$16),IF($NP$16="Single_Point",IF(173=$NR$16,$NN$16,0),IF($NP$16="Bell_Curve",$NN$16*(173-$NR$16+1)*($NS$16-173+1)/$NU$16,$NN$16/$NT$16)),0)</f>
        <v/>
      </c>
      <c r="FV16" s="402">
        <f>IF(AND(174&gt;=$NR$16,174&lt;=$NS$16),IF($NP$16="Single_Point",IF(174=$NR$16,$NN$16,0),IF($NP$16="Bell_Curve",$NN$16*(174-$NR$16+1)*($NS$16-174+1)/$NU$16,$NN$16/$NT$16)),0)</f>
        <v/>
      </c>
      <c r="FW16" s="402">
        <f>IF(AND(175&gt;=$NR$16,175&lt;=$NS$16),IF($NP$16="Single_Point",IF(175=$NR$16,$NN$16,0),IF($NP$16="Bell_Curve",$NN$16*(175-$NR$16+1)*($NS$16-175+1)/$NU$16,$NN$16/$NT$16)),0)</f>
        <v/>
      </c>
      <c r="FX16" s="402">
        <f>IF(AND(176&gt;=$NR$16,176&lt;=$NS$16),IF($NP$16="Single_Point",IF(176=$NR$16,$NN$16,0),IF($NP$16="Bell_Curve",$NN$16*(176-$NR$16+1)*($NS$16-176+1)/$NU$16,$NN$16/$NT$16)),0)</f>
        <v/>
      </c>
      <c r="FY16" s="402">
        <f>IF(AND(177&gt;=$NR$16,177&lt;=$NS$16),IF($NP$16="Single_Point",IF(177=$NR$16,$NN$16,0),IF($NP$16="Bell_Curve",$NN$16*(177-$NR$16+1)*($NS$16-177+1)/$NU$16,$NN$16/$NT$16)),0)</f>
        <v/>
      </c>
      <c r="FZ16" s="402">
        <f>IF(AND(178&gt;=$NR$16,178&lt;=$NS$16),IF($NP$16="Single_Point",IF(178=$NR$16,$NN$16,0),IF($NP$16="Bell_Curve",$NN$16*(178-$NR$16+1)*($NS$16-178+1)/$NU$16,$NN$16/$NT$16)),0)</f>
        <v/>
      </c>
      <c r="GA16" s="402">
        <f>IF(AND(179&gt;=$NR$16,179&lt;=$NS$16),IF($NP$16="Single_Point",IF(179=$NR$16,$NN$16,0),IF($NP$16="Bell_Curve",$NN$16*(179-$NR$16+1)*($NS$16-179+1)/$NU$16,$NN$16/$NT$16)),0)</f>
        <v/>
      </c>
      <c r="GB16" s="402">
        <f>IF(AND(180&gt;=$NR$16,180&lt;=$NS$16),IF($NP$16="Single_Point",IF(180=$NR$16,$NN$16,0),IF($NP$16="Bell_Curve",$NN$16*(180-$NR$16+1)*($NS$16-180+1)/$NU$16,$NN$16/$NT$16)),0)</f>
        <v/>
      </c>
      <c r="GC16" s="402">
        <f>IF(AND(181&gt;=$NR$16,181&lt;=$NS$16),IF($NP$16="Single_Point",IF(181=$NR$16,$NN$16,0),IF($NP$16="Bell_Curve",$NN$16*(181-$NR$16+1)*($NS$16-181+1)/$NU$16,$NN$16/$NT$16)),0)</f>
        <v/>
      </c>
      <c r="GD16" s="402">
        <f>IF(AND(182&gt;=$NR$16,182&lt;=$NS$16),IF($NP$16="Single_Point",IF(182=$NR$16,$NN$16,0),IF($NP$16="Bell_Curve",$NN$16*(182-$NR$16+1)*($NS$16-182+1)/$NU$16,$NN$16/$NT$16)),0)</f>
        <v/>
      </c>
      <c r="GE16" s="402">
        <f>IF(AND(183&gt;=$NR$16,183&lt;=$NS$16),IF($NP$16="Single_Point",IF(183=$NR$16,$NN$16,0),IF($NP$16="Bell_Curve",$NN$16*(183-$NR$16+1)*($NS$16-183+1)/$NU$16,$NN$16/$NT$16)),0)</f>
        <v/>
      </c>
      <c r="GF16" s="402">
        <f>IF(AND(184&gt;=$NR$16,184&lt;=$NS$16),IF($NP$16="Single_Point",IF(184=$NR$16,$NN$16,0),IF($NP$16="Bell_Curve",$NN$16*(184-$NR$16+1)*($NS$16-184+1)/$NU$16,$NN$16/$NT$16)),0)</f>
        <v/>
      </c>
      <c r="GG16" s="402">
        <f>IF(AND(185&gt;=$NR$16,185&lt;=$NS$16),IF($NP$16="Single_Point",IF(185=$NR$16,$NN$16,0),IF($NP$16="Bell_Curve",$NN$16*(185-$NR$16+1)*($NS$16-185+1)/$NU$16,$NN$16/$NT$16)),0)</f>
        <v/>
      </c>
      <c r="GH16" s="402">
        <f>IF(AND(186&gt;=$NR$16,186&lt;=$NS$16),IF($NP$16="Single_Point",IF(186=$NR$16,$NN$16,0),IF($NP$16="Bell_Curve",$NN$16*(186-$NR$16+1)*($NS$16-186+1)/$NU$16,$NN$16/$NT$16)),0)</f>
        <v/>
      </c>
      <c r="GI16" s="402">
        <f>IF(AND(187&gt;=$NR$16,187&lt;=$NS$16),IF($NP$16="Single_Point",IF(187=$NR$16,$NN$16,0),IF($NP$16="Bell_Curve",$NN$16*(187-$NR$16+1)*($NS$16-187+1)/$NU$16,$NN$16/$NT$16)),0)</f>
        <v/>
      </c>
      <c r="GJ16" s="402">
        <f>IF(AND(188&gt;=$NR$16,188&lt;=$NS$16),IF($NP$16="Single_Point",IF(188=$NR$16,$NN$16,0),IF($NP$16="Bell_Curve",$NN$16*(188-$NR$16+1)*($NS$16-188+1)/$NU$16,$NN$16/$NT$16)),0)</f>
        <v/>
      </c>
      <c r="GK16" s="402">
        <f>IF(AND(189&gt;=$NR$16,189&lt;=$NS$16),IF($NP$16="Single_Point",IF(189=$NR$16,$NN$16,0),IF($NP$16="Bell_Curve",$NN$16*(189-$NR$16+1)*($NS$16-189+1)/$NU$16,$NN$16/$NT$16)),0)</f>
        <v/>
      </c>
      <c r="GL16" s="402">
        <f>IF(AND(190&gt;=$NR$16,190&lt;=$NS$16),IF($NP$16="Single_Point",IF(190=$NR$16,$NN$16,0),IF($NP$16="Bell_Curve",$NN$16*(190-$NR$16+1)*($NS$16-190+1)/$NU$16,$NN$16/$NT$16)),0)</f>
        <v/>
      </c>
      <c r="GM16" s="402">
        <f>IF(AND(191&gt;=$NR$16,191&lt;=$NS$16),IF($NP$16="Single_Point",IF(191=$NR$16,$NN$16,0),IF($NP$16="Bell_Curve",$NN$16*(191-$NR$16+1)*($NS$16-191+1)/$NU$16,$NN$16/$NT$16)),0)</f>
        <v/>
      </c>
      <c r="GN16" s="402">
        <f>IF(AND(192&gt;=$NR$16,192&lt;=$NS$16),IF($NP$16="Single_Point",IF(192=$NR$16,$NN$16,0),IF($NP$16="Bell_Curve",$NN$16*(192-$NR$16+1)*($NS$16-192+1)/$NU$16,$NN$16/$NT$16)),0)</f>
        <v/>
      </c>
      <c r="GO16" s="402">
        <f>IF(AND(193&gt;=$NR$16,193&lt;=$NS$16),IF($NP$16="Single_Point",IF(193=$NR$16,$NN$16,0),IF($NP$16="Bell_Curve",$NN$16*(193-$NR$16+1)*($NS$16-193+1)/$NU$16,$NN$16/$NT$16)),0)</f>
        <v/>
      </c>
      <c r="GP16" s="402">
        <f>IF(AND(194&gt;=$NR$16,194&lt;=$NS$16),IF($NP$16="Single_Point",IF(194=$NR$16,$NN$16,0),IF($NP$16="Bell_Curve",$NN$16*(194-$NR$16+1)*($NS$16-194+1)/$NU$16,$NN$16/$NT$16)),0)</f>
        <v/>
      </c>
      <c r="GQ16" s="402">
        <f>IF(AND(195&gt;=$NR$16,195&lt;=$NS$16),IF($NP$16="Single_Point",IF(195=$NR$16,$NN$16,0),IF($NP$16="Bell_Curve",$NN$16*(195-$NR$16+1)*($NS$16-195+1)/$NU$16,$NN$16/$NT$16)),0)</f>
        <v/>
      </c>
      <c r="GR16" s="402">
        <f>IF(AND(196&gt;=$NR$16,196&lt;=$NS$16),IF($NP$16="Single_Point",IF(196=$NR$16,$NN$16,0),IF($NP$16="Bell_Curve",$NN$16*(196-$NR$16+1)*($NS$16-196+1)/$NU$16,$NN$16/$NT$16)),0)</f>
        <v/>
      </c>
      <c r="GS16" s="402">
        <f>IF(AND(197&gt;=$NR$16,197&lt;=$NS$16),IF($NP$16="Single_Point",IF(197=$NR$16,$NN$16,0),IF($NP$16="Bell_Curve",$NN$16*(197-$NR$16+1)*($NS$16-197+1)/$NU$16,$NN$16/$NT$16)),0)</f>
        <v/>
      </c>
      <c r="GT16" s="402">
        <f>IF(AND(198&gt;=$NR$16,198&lt;=$NS$16),IF($NP$16="Single_Point",IF(198=$NR$16,$NN$16,0),IF($NP$16="Bell_Curve",$NN$16*(198-$NR$16+1)*($NS$16-198+1)/$NU$16,$NN$16/$NT$16)),0)</f>
        <v/>
      </c>
      <c r="GU16" s="402">
        <f>IF(AND(199&gt;=$NR$16,199&lt;=$NS$16),IF($NP$16="Single_Point",IF(199=$NR$16,$NN$16,0),IF($NP$16="Bell_Curve",$NN$16*(199-$NR$16+1)*($NS$16-199+1)/$NU$16,$NN$16/$NT$16)),0)</f>
        <v/>
      </c>
      <c r="GV16" s="402">
        <f>IF(AND(200&gt;=$NR$16,200&lt;=$NS$16),IF($NP$16="Single_Point",IF(200=$NR$16,$NN$16,0),IF($NP$16="Bell_Curve",$NN$16*(200-$NR$16+1)*($NS$16-200+1)/$NU$16,$NN$16/$NT$16)),0)</f>
        <v/>
      </c>
      <c r="GW16" s="402">
        <f>IF(AND(201&gt;=$NR$16,201&lt;=$NS$16),IF($NP$16="Single_Point",IF(201=$NR$16,$NN$16,0),IF($NP$16="Bell_Curve",$NN$16*(201-$NR$16+1)*($NS$16-201+1)/$NU$16,$NN$16/$NT$16)),0)</f>
        <v/>
      </c>
      <c r="GX16" s="402">
        <f>IF(AND(202&gt;=$NR$16,202&lt;=$NS$16),IF($NP$16="Single_Point",IF(202=$NR$16,$NN$16,0),IF($NP$16="Bell_Curve",$NN$16*(202-$NR$16+1)*($NS$16-202+1)/$NU$16,$NN$16/$NT$16)),0)</f>
        <v/>
      </c>
      <c r="GY16" s="402">
        <f>IF(AND(203&gt;=$NR$16,203&lt;=$NS$16),IF($NP$16="Single_Point",IF(203=$NR$16,$NN$16,0),IF($NP$16="Bell_Curve",$NN$16*(203-$NR$16+1)*($NS$16-203+1)/$NU$16,$NN$16/$NT$16)),0)</f>
        <v/>
      </c>
      <c r="GZ16" s="402">
        <f>IF(AND(204&gt;=$NR$16,204&lt;=$NS$16),IF($NP$16="Single_Point",IF(204=$NR$16,$NN$16,0),IF($NP$16="Bell_Curve",$NN$16*(204-$NR$16+1)*($NS$16-204+1)/$NU$16,$NN$16/$NT$16)),0)</f>
        <v/>
      </c>
      <c r="HA16" s="402">
        <f>IF(AND(205&gt;=$NR$16,205&lt;=$NS$16),IF($NP$16="Single_Point",IF(205=$NR$16,$NN$16,0),IF($NP$16="Bell_Curve",$NN$16*(205-$NR$16+1)*($NS$16-205+1)/$NU$16,$NN$16/$NT$16)),0)</f>
        <v/>
      </c>
      <c r="HB16" s="402">
        <f>IF(AND(206&gt;=$NR$16,206&lt;=$NS$16),IF($NP$16="Single_Point",IF(206=$NR$16,$NN$16,0),IF($NP$16="Bell_Curve",$NN$16*(206-$NR$16+1)*($NS$16-206+1)/$NU$16,$NN$16/$NT$16)),0)</f>
        <v/>
      </c>
      <c r="HC16" s="402">
        <f>IF(AND(207&gt;=$NR$16,207&lt;=$NS$16),IF($NP$16="Single_Point",IF(207=$NR$16,$NN$16,0),IF($NP$16="Bell_Curve",$NN$16*(207-$NR$16+1)*($NS$16-207+1)/$NU$16,$NN$16/$NT$16)),0)</f>
        <v/>
      </c>
      <c r="HD16" s="402">
        <f>IF(AND(208&gt;=$NR$16,208&lt;=$NS$16),IF($NP$16="Single_Point",IF(208=$NR$16,$NN$16,0),IF($NP$16="Bell_Curve",$NN$16*(208-$NR$16+1)*($NS$16-208+1)/$NU$16,$NN$16/$NT$16)),0)</f>
        <v/>
      </c>
      <c r="HE16" s="402">
        <f>IF(AND(209&gt;=$NR$16,209&lt;=$NS$16),IF($NP$16="Single_Point",IF(209=$NR$16,$NN$16,0),IF($NP$16="Bell_Curve",$NN$16*(209-$NR$16+1)*($NS$16-209+1)/$NU$16,$NN$16/$NT$16)),0)</f>
        <v/>
      </c>
      <c r="HF16" s="402">
        <f>IF(AND(210&gt;=$NR$16,210&lt;=$NS$16),IF($NP$16="Single_Point",IF(210=$NR$16,$NN$16,0),IF($NP$16="Bell_Curve",$NN$16*(210-$NR$16+1)*($NS$16-210+1)/$NU$16,$NN$16/$NT$16)),0)</f>
        <v/>
      </c>
      <c r="HG16" s="402">
        <f>IF(AND(211&gt;=$NR$16,211&lt;=$NS$16),IF($NP$16="Single_Point",IF(211=$NR$16,$NN$16,0),IF($NP$16="Bell_Curve",$NN$16*(211-$NR$16+1)*($NS$16-211+1)/$NU$16,$NN$16/$NT$16)),0)</f>
        <v/>
      </c>
      <c r="HH16" s="402">
        <f>IF(AND(212&gt;=$NR$16,212&lt;=$NS$16),IF($NP$16="Single_Point",IF(212=$NR$16,$NN$16,0),IF($NP$16="Bell_Curve",$NN$16*(212-$NR$16+1)*($NS$16-212+1)/$NU$16,$NN$16/$NT$16)),0)</f>
        <v/>
      </c>
      <c r="HI16" s="402">
        <f>IF(AND(213&gt;=$NR$16,213&lt;=$NS$16),IF($NP$16="Single_Point",IF(213=$NR$16,$NN$16,0),IF($NP$16="Bell_Curve",$NN$16*(213-$NR$16+1)*($NS$16-213+1)/$NU$16,$NN$16/$NT$16)),0)</f>
        <v/>
      </c>
      <c r="HJ16" s="402">
        <f>IF(AND(214&gt;=$NR$16,214&lt;=$NS$16),IF($NP$16="Single_Point",IF(214=$NR$16,$NN$16,0),IF($NP$16="Bell_Curve",$NN$16*(214-$NR$16+1)*($NS$16-214+1)/$NU$16,$NN$16/$NT$16)),0)</f>
        <v/>
      </c>
      <c r="HK16" s="402">
        <f>IF(AND(215&gt;=$NR$16,215&lt;=$NS$16),IF($NP$16="Single_Point",IF(215=$NR$16,$NN$16,0),IF($NP$16="Bell_Curve",$NN$16*(215-$NR$16+1)*($NS$16-215+1)/$NU$16,$NN$16/$NT$16)),0)</f>
        <v/>
      </c>
      <c r="HL16" s="402">
        <f>IF(AND(216&gt;=$NR$16,216&lt;=$NS$16),IF($NP$16="Single_Point",IF(216=$NR$16,$NN$16,0),IF($NP$16="Bell_Curve",$NN$16*(216-$NR$16+1)*($NS$16-216+1)/$NU$16,$NN$16/$NT$16)),0)</f>
        <v/>
      </c>
      <c r="HM16" s="402">
        <f>IF(AND(217&gt;=$NR$16,217&lt;=$NS$16),IF($NP$16="Single_Point",IF(217=$NR$16,$NN$16,0),IF($NP$16="Bell_Curve",$NN$16*(217-$NR$16+1)*($NS$16-217+1)/$NU$16,$NN$16/$NT$16)),0)</f>
        <v/>
      </c>
      <c r="HN16" s="402">
        <f>IF(AND(218&gt;=$NR$16,218&lt;=$NS$16),IF($NP$16="Single_Point",IF(218=$NR$16,$NN$16,0),IF($NP$16="Bell_Curve",$NN$16*(218-$NR$16+1)*($NS$16-218+1)/$NU$16,$NN$16/$NT$16)),0)</f>
        <v/>
      </c>
      <c r="HO16" s="402">
        <f>IF(AND(219&gt;=$NR$16,219&lt;=$NS$16),IF($NP$16="Single_Point",IF(219=$NR$16,$NN$16,0),IF($NP$16="Bell_Curve",$NN$16*(219-$NR$16+1)*($NS$16-219+1)/$NU$16,$NN$16/$NT$16)),0)</f>
        <v/>
      </c>
      <c r="HP16" s="402">
        <f>IF(AND(220&gt;=$NR$16,220&lt;=$NS$16),IF($NP$16="Single_Point",IF(220=$NR$16,$NN$16,0),IF($NP$16="Bell_Curve",$NN$16*(220-$NR$16+1)*($NS$16-220+1)/$NU$16,$NN$16/$NT$16)),0)</f>
        <v/>
      </c>
      <c r="HQ16" s="402">
        <f>IF(AND(221&gt;=$NR$16,221&lt;=$NS$16),IF($NP$16="Single_Point",IF(221=$NR$16,$NN$16,0),IF($NP$16="Bell_Curve",$NN$16*(221-$NR$16+1)*($NS$16-221+1)/$NU$16,$NN$16/$NT$16)),0)</f>
        <v/>
      </c>
      <c r="HR16" s="402">
        <f>IF(AND(222&gt;=$NR$16,222&lt;=$NS$16),IF($NP$16="Single_Point",IF(222=$NR$16,$NN$16,0),IF($NP$16="Bell_Curve",$NN$16*(222-$NR$16+1)*($NS$16-222+1)/$NU$16,$NN$16/$NT$16)),0)</f>
        <v/>
      </c>
      <c r="HS16" s="402">
        <f>IF(AND(223&gt;=$NR$16,223&lt;=$NS$16),IF($NP$16="Single_Point",IF(223=$NR$16,$NN$16,0),IF($NP$16="Bell_Curve",$NN$16*(223-$NR$16+1)*($NS$16-223+1)/$NU$16,$NN$16/$NT$16)),0)</f>
        <v/>
      </c>
      <c r="HT16" s="402">
        <f>IF(AND(224&gt;=$NR$16,224&lt;=$NS$16),IF($NP$16="Single_Point",IF(224=$NR$16,$NN$16,0),IF($NP$16="Bell_Curve",$NN$16*(224-$NR$16+1)*($NS$16-224+1)/$NU$16,$NN$16/$NT$16)),0)</f>
        <v/>
      </c>
      <c r="HU16" s="402">
        <f>IF(AND(225&gt;=$NR$16,225&lt;=$NS$16),IF($NP$16="Single_Point",IF(225=$NR$16,$NN$16,0),IF($NP$16="Bell_Curve",$NN$16*(225-$NR$16+1)*($NS$16-225+1)/$NU$16,$NN$16/$NT$16)),0)</f>
        <v/>
      </c>
      <c r="HV16" s="402">
        <f>IF(AND(226&gt;=$NR$16,226&lt;=$NS$16),IF($NP$16="Single_Point",IF(226=$NR$16,$NN$16,0),IF($NP$16="Bell_Curve",$NN$16*(226-$NR$16+1)*($NS$16-226+1)/$NU$16,$NN$16/$NT$16)),0)</f>
        <v/>
      </c>
      <c r="HW16" s="402">
        <f>IF(AND(227&gt;=$NR$16,227&lt;=$NS$16),IF($NP$16="Single_Point",IF(227=$NR$16,$NN$16,0),IF($NP$16="Bell_Curve",$NN$16*(227-$NR$16+1)*($NS$16-227+1)/$NU$16,$NN$16/$NT$16)),0)</f>
        <v/>
      </c>
      <c r="HX16" s="402">
        <f>IF(AND(228&gt;=$NR$16,228&lt;=$NS$16),IF($NP$16="Single_Point",IF(228=$NR$16,$NN$16,0),IF($NP$16="Bell_Curve",$NN$16*(228-$NR$16+1)*($NS$16-228+1)/$NU$16,$NN$16/$NT$16)),0)</f>
        <v/>
      </c>
      <c r="HY16" s="402">
        <f>IF(AND(229&gt;=$NR$16,229&lt;=$NS$16),IF($NP$16="Single_Point",IF(229=$NR$16,$NN$16,0),IF($NP$16="Bell_Curve",$NN$16*(229-$NR$16+1)*($NS$16-229+1)/$NU$16,$NN$16/$NT$16)),0)</f>
        <v/>
      </c>
      <c r="HZ16" s="402">
        <f>IF(AND(230&gt;=$NR$16,230&lt;=$NS$16),IF($NP$16="Single_Point",IF(230=$NR$16,$NN$16,0),IF($NP$16="Bell_Curve",$NN$16*(230-$NR$16+1)*($NS$16-230+1)/$NU$16,$NN$16/$NT$16)),0)</f>
        <v/>
      </c>
      <c r="IA16" s="402">
        <f>IF(AND(231&gt;=$NR$16,231&lt;=$NS$16),IF($NP$16="Single_Point",IF(231=$NR$16,$NN$16,0),IF($NP$16="Bell_Curve",$NN$16*(231-$NR$16+1)*($NS$16-231+1)/$NU$16,$NN$16/$NT$16)),0)</f>
        <v/>
      </c>
      <c r="IB16" s="402">
        <f>IF(AND(232&gt;=$NR$16,232&lt;=$NS$16),IF($NP$16="Single_Point",IF(232=$NR$16,$NN$16,0),IF($NP$16="Bell_Curve",$NN$16*(232-$NR$16+1)*($NS$16-232+1)/$NU$16,$NN$16/$NT$16)),0)</f>
        <v/>
      </c>
      <c r="IC16" s="402">
        <f>IF(AND(233&gt;=$NR$16,233&lt;=$NS$16),IF($NP$16="Single_Point",IF(233=$NR$16,$NN$16,0),IF($NP$16="Bell_Curve",$NN$16*(233-$NR$16+1)*($NS$16-233+1)/$NU$16,$NN$16/$NT$16)),0)</f>
        <v/>
      </c>
      <c r="ID16" s="402">
        <f>IF(AND(234&gt;=$NR$16,234&lt;=$NS$16),IF($NP$16="Single_Point",IF(234=$NR$16,$NN$16,0),IF($NP$16="Bell_Curve",$NN$16*(234-$NR$16+1)*($NS$16-234+1)/$NU$16,$NN$16/$NT$16)),0)</f>
        <v/>
      </c>
      <c r="IE16" s="402">
        <f>IF(AND(235&gt;=$NR$16,235&lt;=$NS$16),IF($NP$16="Single_Point",IF(235=$NR$16,$NN$16,0),IF($NP$16="Bell_Curve",$NN$16*(235-$NR$16+1)*($NS$16-235+1)/$NU$16,$NN$16/$NT$16)),0)</f>
        <v/>
      </c>
      <c r="IF16" s="402">
        <f>IF(AND(236&gt;=$NR$16,236&lt;=$NS$16),IF($NP$16="Single_Point",IF(236=$NR$16,$NN$16,0),IF($NP$16="Bell_Curve",$NN$16*(236-$NR$16+1)*($NS$16-236+1)/$NU$16,$NN$16/$NT$16)),0)</f>
        <v/>
      </c>
      <c r="IG16" s="402">
        <f>IF(AND(237&gt;=$NR$16,237&lt;=$NS$16),IF($NP$16="Single_Point",IF(237=$NR$16,$NN$16,0),IF($NP$16="Bell_Curve",$NN$16*(237-$NR$16+1)*($NS$16-237+1)/$NU$16,$NN$16/$NT$16)),0)</f>
        <v/>
      </c>
      <c r="IH16" s="402">
        <f>IF(AND(238&gt;=$NR$16,238&lt;=$NS$16),IF($NP$16="Single_Point",IF(238=$NR$16,$NN$16,0),IF($NP$16="Bell_Curve",$NN$16*(238-$NR$16+1)*($NS$16-238+1)/$NU$16,$NN$16/$NT$16)),0)</f>
        <v/>
      </c>
      <c r="II16" s="402">
        <f>IF(AND(239&gt;=$NR$16,239&lt;=$NS$16),IF($NP$16="Single_Point",IF(239=$NR$16,$NN$16,0),IF($NP$16="Bell_Curve",$NN$16*(239-$NR$16+1)*($NS$16-239+1)/$NU$16,$NN$16/$NT$16)),0)</f>
        <v/>
      </c>
      <c r="IJ16" s="402">
        <f>IF(AND(240&gt;=$NR$16,240&lt;=$NS$16),IF($NP$16="Single_Point",IF(240=$NR$16,$NN$16,0),IF($NP$16="Bell_Curve",$NN$16*(240-$NR$16+1)*($NS$16-240+1)/$NU$16,$NN$16/$NT$16)),0)</f>
        <v/>
      </c>
      <c r="IK16" s="402">
        <f>IF(AND(241&gt;=$NR$16,241&lt;=$NS$16),IF($NP$16="Single_Point",IF(241=$NR$16,$NN$16,0),IF($NP$16="Bell_Curve",$NN$16*(241-$NR$16+1)*($NS$16-241+1)/$NU$16,$NN$16/$NT$16)),0)</f>
        <v/>
      </c>
      <c r="IL16" s="402">
        <f>IF(AND(242&gt;=$NR$16,242&lt;=$NS$16),IF($NP$16="Single_Point",IF(242=$NR$16,$NN$16,0),IF($NP$16="Bell_Curve",$NN$16*(242-$NR$16+1)*($NS$16-242+1)/$NU$16,$NN$16/$NT$16)),0)</f>
        <v/>
      </c>
      <c r="IM16" s="402">
        <f>IF(AND(243&gt;=$NR$16,243&lt;=$NS$16),IF($NP$16="Single_Point",IF(243=$NR$16,$NN$16,0),IF($NP$16="Bell_Curve",$NN$16*(243-$NR$16+1)*($NS$16-243+1)/$NU$16,$NN$16/$NT$16)),0)</f>
        <v/>
      </c>
      <c r="IN16" s="402">
        <f>IF(AND(244&gt;=$NR$16,244&lt;=$NS$16),IF($NP$16="Single_Point",IF(244=$NR$16,$NN$16,0),IF($NP$16="Bell_Curve",$NN$16*(244-$NR$16+1)*($NS$16-244+1)/$NU$16,$NN$16/$NT$16)),0)</f>
        <v/>
      </c>
      <c r="IO16" s="402">
        <f>IF(AND(245&gt;=$NR$16,245&lt;=$NS$16),IF($NP$16="Single_Point",IF(245=$NR$16,$NN$16,0),IF($NP$16="Bell_Curve",$NN$16*(245-$NR$16+1)*($NS$16-245+1)/$NU$16,$NN$16/$NT$16)),0)</f>
        <v/>
      </c>
      <c r="IP16" s="402">
        <f>IF(AND(246&gt;=$NR$16,246&lt;=$NS$16),IF($NP$16="Single_Point",IF(246=$NR$16,$NN$16,0),IF($NP$16="Bell_Curve",$NN$16*(246-$NR$16+1)*($NS$16-246+1)/$NU$16,$NN$16/$NT$16)),0)</f>
        <v/>
      </c>
      <c r="IQ16" s="402">
        <f>IF(AND(247&gt;=$NR$16,247&lt;=$NS$16),IF($NP$16="Single_Point",IF(247=$NR$16,$NN$16,0),IF($NP$16="Bell_Curve",$NN$16*(247-$NR$16+1)*($NS$16-247+1)/$NU$16,$NN$16/$NT$16)),0)</f>
        <v/>
      </c>
      <c r="IR16" s="402">
        <f>IF(AND(248&gt;=$NR$16,248&lt;=$NS$16),IF($NP$16="Single_Point",IF(248=$NR$16,$NN$16,0),IF($NP$16="Bell_Curve",$NN$16*(248-$NR$16+1)*($NS$16-248+1)/$NU$16,$NN$16/$NT$16)),0)</f>
        <v/>
      </c>
      <c r="IS16" s="402">
        <f>IF(AND(249&gt;=$NR$16,249&lt;=$NS$16),IF($NP$16="Single_Point",IF(249=$NR$16,$NN$16,0),IF($NP$16="Bell_Curve",$NN$16*(249-$NR$16+1)*($NS$16-249+1)/$NU$16,$NN$16/$NT$16)),0)</f>
        <v/>
      </c>
      <c r="IT16" s="402">
        <f>IF(AND(250&gt;=$NR$16,250&lt;=$NS$16),IF($NP$16="Single_Point",IF(250=$NR$16,$NN$16,0),IF($NP$16="Bell_Curve",$NN$16*(250-$NR$16+1)*($NS$16-250+1)/$NU$16,$NN$16/$NT$16)),0)</f>
        <v/>
      </c>
      <c r="IU16" s="402">
        <f>IF(AND(251&gt;=$NR$16,251&lt;=$NS$16),IF($NP$16="Single_Point",IF(251=$NR$16,$NN$16,0),IF($NP$16="Bell_Curve",$NN$16*(251-$NR$16+1)*($NS$16-251+1)/$NU$16,$NN$16/$NT$16)),0)</f>
        <v/>
      </c>
      <c r="IV16" s="402">
        <f>IF(AND(252&gt;=$NR$16,252&lt;=$NS$16),IF($NP$16="Single_Point",IF(252=$NR$16,$NN$16,0),IF($NP$16="Bell_Curve",$NN$16*(252-$NR$16+1)*($NS$16-252+1)/$NU$16,$NN$16/$NT$16)),0)</f>
        <v/>
      </c>
      <c r="IW16" s="402">
        <f>IF(AND(253&gt;=$NR$16,253&lt;=$NS$16),IF($NP$16="Single_Point",IF(253=$NR$16,$NN$16,0),IF($NP$16="Bell_Curve",$NN$16*(253-$NR$16+1)*($NS$16-253+1)/$NU$16,$NN$16/$NT$16)),0)</f>
        <v/>
      </c>
      <c r="IX16" s="402">
        <f>IF(AND(254&gt;=$NR$16,254&lt;=$NS$16),IF($NP$16="Single_Point",IF(254=$NR$16,$NN$16,0),IF($NP$16="Bell_Curve",$NN$16*(254-$NR$16+1)*($NS$16-254+1)/$NU$16,$NN$16/$NT$16)),0)</f>
        <v/>
      </c>
      <c r="IY16" s="402">
        <f>IF(AND(255&gt;=$NR$16,255&lt;=$NS$16),IF($NP$16="Single_Point",IF(255=$NR$16,$NN$16,0),IF($NP$16="Bell_Curve",$NN$16*(255-$NR$16+1)*($NS$16-255+1)/$NU$16,$NN$16/$NT$16)),0)</f>
        <v/>
      </c>
      <c r="IZ16" s="402">
        <f>IF(AND(256&gt;=$NR$16,256&lt;=$NS$16),IF($NP$16="Single_Point",IF(256=$NR$16,$NN$16,0),IF($NP$16="Bell_Curve",$NN$16*(256-$NR$16+1)*($NS$16-256+1)/$NU$16,$NN$16/$NT$16)),0)</f>
        <v/>
      </c>
      <c r="JA16" s="402">
        <f>IF(AND(257&gt;=$NR$16,257&lt;=$NS$16),IF($NP$16="Single_Point",IF(257=$NR$16,$NN$16,0),IF($NP$16="Bell_Curve",$NN$16*(257-$NR$16+1)*($NS$16-257+1)/$NU$16,$NN$16/$NT$16)),0)</f>
        <v/>
      </c>
      <c r="JB16" s="402">
        <f>IF(AND(258&gt;=$NR$16,258&lt;=$NS$16),IF($NP$16="Single_Point",IF(258=$NR$16,$NN$16,0),IF($NP$16="Bell_Curve",$NN$16*(258-$NR$16+1)*($NS$16-258+1)/$NU$16,$NN$16/$NT$16)),0)</f>
        <v/>
      </c>
      <c r="JC16" s="402">
        <f>IF(AND(259&gt;=$NR$16,259&lt;=$NS$16),IF($NP$16="Single_Point",IF(259=$NR$16,$NN$16,0),IF($NP$16="Bell_Curve",$NN$16*(259-$NR$16+1)*($NS$16-259+1)/$NU$16,$NN$16/$NT$16)),0)</f>
        <v/>
      </c>
      <c r="JD16" s="402">
        <f>IF(AND(260&gt;=$NR$16,260&lt;=$NS$16),IF($NP$16="Single_Point",IF(260=$NR$16,$NN$16,0),IF($NP$16="Bell_Curve",$NN$16*(260-$NR$16+1)*($NS$16-260+1)/$NU$16,$NN$16/$NT$16)),0)</f>
        <v/>
      </c>
      <c r="JE16" s="402">
        <f>IF(AND(261&gt;=$NR$16,261&lt;=$NS$16),IF($NP$16="Single_Point",IF(261=$NR$16,$NN$16,0),IF($NP$16="Bell_Curve",$NN$16*(261-$NR$16+1)*($NS$16-261+1)/$NU$16,$NN$16/$NT$16)),0)</f>
        <v/>
      </c>
      <c r="JF16" s="402">
        <f>IF(AND(262&gt;=$NR$16,262&lt;=$NS$16),IF($NP$16="Single_Point",IF(262=$NR$16,$NN$16,0),IF($NP$16="Bell_Curve",$NN$16*(262-$NR$16+1)*($NS$16-262+1)/$NU$16,$NN$16/$NT$16)),0)</f>
        <v/>
      </c>
      <c r="JG16" s="402">
        <f>IF(AND(263&gt;=$NR$16,263&lt;=$NS$16),IF($NP$16="Single_Point",IF(263=$NR$16,$NN$16,0),IF($NP$16="Bell_Curve",$NN$16*(263-$NR$16+1)*($NS$16-263+1)/$NU$16,$NN$16/$NT$16)),0)</f>
        <v/>
      </c>
      <c r="JH16" s="402">
        <f>IF(AND(264&gt;=$NR$16,264&lt;=$NS$16),IF($NP$16="Single_Point",IF(264=$NR$16,$NN$16,0),IF($NP$16="Bell_Curve",$NN$16*(264-$NR$16+1)*($NS$16-264+1)/$NU$16,$NN$16/$NT$16)),0)</f>
        <v/>
      </c>
      <c r="JI16" s="402">
        <f>IF(AND(265&gt;=$NR$16,265&lt;=$NS$16),IF($NP$16="Single_Point",IF(265=$NR$16,$NN$16,0),IF($NP$16="Bell_Curve",$NN$16*(265-$NR$16+1)*($NS$16-265+1)/$NU$16,$NN$16/$NT$16)),0)</f>
        <v/>
      </c>
      <c r="JJ16" s="402">
        <f>IF(AND(266&gt;=$NR$16,266&lt;=$NS$16),IF($NP$16="Single_Point",IF(266=$NR$16,$NN$16,0),IF($NP$16="Bell_Curve",$NN$16*(266-$NR$16+1)*($NS$16-266+1)/$NU$16,$NN$16/$NT$16)),0)</f>
        <v/>
      </c>
      <c r="JK16" s="402">
        <f>IF(AND(267&gt;=$NR$16,267&lt;=$NS$16),IF($NP$16="Single_Point",IF(267=$NR$16,$NN$16,0),IF($NP$16="Bell_Curve",$NN$16*(267-$NR$16+1)*($NS$16-267+1)/$NU$16,$NN$16/$NT$16)),0)</f>
        <v/>
      </c>
      <c r="JL16" s="402">
        <f>IF(AND(268&gt;=$NR$16,268&lt;=$NS$16),IF($NP$16="Single_Point",IF(268=$NR$16,$NN$16,0),IF($NP$16="Bell_Curve",$NN$16*(268-$NR$16+1)*($NS$16-268+1)/$NU$16,$NN$16/$NT$16)),0)</f>
        <v/>
      </c>
      <c r="JM16" s="402">
        <f>IF(AND(269&gt;=$NR$16,269&lt;=$NS$16),IF($NP$16="Single_Point",IF(269=$NR$16,$NN$16,0),IF($NP$16="Bell_Curve",$NN$16*(269-$NR$16+1)*($NS$16-269+1)/$NU$16,$NN$16/$NT$16)),0)</f>
        <v/>
      </c>
      <c r="JN16" s="402">
        <f>IF(AND(270&gt;=$NR$16,270&lt;=$NS$16),IF($NP$16="Single_Point",IF(270=$NR$16,$NN$16,0),IF($NP$16="Bell_Curve",$NN$16*(270-$NR$16+1)*($NS$16-270+1)/$NU$16,$NN$16/$NT$16)),0)</f>
        <v/>
      </c>
      <c r="JO16" s="402">
        <f>IF(AND(271&gt;=$NR$16,271&lt;=$NS$16),IF($NP$16="Single_Point",IF(271=$NR$16,$NN$16,0),IF($NP$16="Bell_Curve",$NN$16*(271-$NR$16+1)*($NS$16-271+1)/$NU$16,$NN$16/$NT$16)),0)</f>
        <v/>
      </c>
      <c r="JP16" s="402">
        <f>IF(AND(272&gt;=$NR$16,272&lt;=$NS$16),IF($NP$16="Single_Point",IF(272=$NR$16,$NN$16,0),IF($NP$16="Bell_Curve",$NN$16*(272-$NR$16+1)*($NS$16-272+1)/$NU$16,$NN$16/$NT$16)),0)</f>
        <v/>
      </c>
      <c r="JQ16" s="402">
        <f>IF(AND(273&gt;=$NR$16,273&lt;=$NS$16),IF($NP$16="Single_Point",IF(273=$NR$16,$NN$16,0),IF($NP$16="Bell_Curve",$NN$16*(273-$NR$16+1)*($NS$16-273+1)/$NU$16,$NN$16/$NT$16)),0)</f>
        <v/>
      </c>
      <c r="JR16" s="402">
        <f>IF(AND(274&gt;=$NR$16,274&lt;=$NS$16),IF($NP$16="Single_Point",IF(274=$NR$16,$NN$16,0),IF($NP$16="Bell_Curve",$NN$16*(274-$NR$16+1)*($NS$16-274+1)/$NU$16,$NN$16/$NT$16)),0)</f>
        <v/>
      </c>
      <c r="JS16" s="402">
        <f>IF(AND(275&gt;=$NR$16,275&lt;=$NS$16),IF($NP$16="Single_Point",IF(275=$NR$16,$NN$16,0),IF($NP$16="Bell_Curve",$NN$16*(275-$NR$16+1)*($NS$16-275+1)/$NU$16,$NN$16/$NT$16)),0)</f>
        <v/>
      </c>
      <c r="JT16" s="402">
        <f>IF(AND(276&gt;=$NR$16,276&lt;=$NS$16),IF($NP$16="Single_Point",IF(276=$NR$16,$NN$16,0),IF($NP$16="Bell_Curve",$NN$16*(276-$NR$16+1)*($NS$16-276+1)/$NU$16,$NN$16/$NT$16)),0)</f>
        <v/>
      </c>
      <c r="JU16" s="402">
        <f>IF(AND(277&gt;=$NR$16,277&lt;=$NS$16),IF($NP$16="Single_Point",IF(277=$NR$16,$NN$16,0),IF($NP$16="Bell_Curve",$NN$16*(277-$NR$16+1)*($NS$16-277+1)/$NU$16,$NN$16/$NT$16)),0)</f>
        <v/>
      </c>
      <c r="JV16" s="402">
        <f>IF(AND(278&gt;=$NR$16,278&lt;=$NS$16),IF($NP$16="Single_Point",IF(278=$NR$16,$NN$16,0),IF($NP$16="Bell_Curve",$NN$16*(278-$NR$16+1)*($NS$16-278+1)/$NU$16,$NN$16/$NT$16)),0)</f>
        <v/>
      </c>
      <c r="JW16" s="402">
        <f>IF(AND(279&gt;=$NR$16,279&lt;=$NS$16),IF($NP$16="Single_Point",IF(279=$NR$16,$NN$16,0),IF($NP$16="Bell_Curve",$NN$16*(279-$NR$16+1)*($NS$16-279+1)/$NU$16,$NN$16/$NT$16)),0)</f>
        <v/>
      </c>
      <c r="JX16" s="402">
        <f>IF(AND(280&gt;=$NR$16,280&lt;=$NS$16),IF($NP$16="Single_Point",IF(280=$NR$16,$NN$16,0),IF($NP$16="Bell_Curve",$NN$16*(280-$NR$16+1)*($NS$16-280+1)/$NU$16,$NN$16/$NT$16)),0)</f>
        <v/>
      </c>
      <c r="JY16" s="402">
        <f>IF(AND(281&gt;=$NR$16,281&lt;=$NS$16),IF($NP$16="Single_Point",IF(281=$NR$16,$NN$16,0),IF($NP$16="Bell_Curve",$NN$16*(281-$NR$16+1)*($NS$16-281+1)/$NU$16,$NN$16/$NT$16)),0)</f>
        <v/>
      </c>
      <c r="JZ16" s="402">
        <f>IF(AND(282&gt;=$NR$16,282&lt;=$NS$16),IF($NP$16="Single_Point",IF(282=$NR$16,$NN$16,0),IF($NP$16="Bell_Curve",$NN$16*(282-$NR$16+1)*($NS$16-282+1)/$NU$16,$NN$16/$NT$16)),0)</f>
        <v/>
      </c>
      <c r="KA16" s="402">
        <f>IF(AND(283&gt;=$NR$16,283&lt;=$NS$16),IF($NP$16="Single_Point",IF(283=$NR$16,$NN$16,0),IF($NP$16="Bell_Curve",$NN$16*(283-$NR$16+1)*($NS$16-283+1)/$NU$16,$NN$16/$NT$16)),0)</f>
        <v/>
      </c>
      <c r="KB16" s="402">
        <f>IF(AND(284&gt;=$NR$16,284&lt;=$NS$16),IF($NP$16="Single_Point",IF(284=$NR$16,$NN$16,0),IF($NP$16="Bell_Curve",$NN$16*(284-$NR$16+1)*($NS$16-284+1)/$NU$16,$NN$16/$NT$16)),0)</f>
        <v/>
      </c>
      <c r="KC16" s="402">
        <f>IF(AND(285&gt;=$NR$16,285&lt;=$NS$16),IF($NP$16="Single_Point",IF(285=$NR$16,$NN$16,0),IF($NP$16="Bell_Curve",$NN$16*(285-$NR$16+1)*($NS$16-285+1)/$NU$16,$NN$16/$NT$16)),0)</f>
        <v/>
      </c>
      <c r="KD16" s="402">
        <f>IF(AND(286&gt;=$NR$16,286&lt;=$NS$16),IF($NP$16="Single_Point",IF(286=$NR$16,$NN$16,0),IF($NP$16="Bell_Curve",$NN$16*(286-$NR$16+1)*($NS$16-286+1)/$NU$16,$NN$16/$NT$16)),0)</f>
        <v/>
      </c>
      <c r="KE16" s="402">
        <f>IF(AND(287&gt;=$NR$16,287&lt;=$NS$16),IF($NP$16="Single_Point",IF(287=$NR$16,$NN$16,0),IF($NP$16="Bell_Curve",$NN$16*(287-$NR$16+1)*($NS$16-287+1)/$NU$16,$NN$16/$NT$16)),0)</f>
        <v/>
      </c>
      <c r="KF16" s="402">
        <f>IF(AND(288&gt;=$NR$16,288&lt;=$NS$16),IF($NP$16="Single_Point",IF(288=$NR$16,$NN$16,0),IF($NP$16="Bell_Curve",$NN$16*(288-$NR$16+1)*($NS$16-288+1)/$NU$16,$NN$16/$NT$16)),0)</f>
        <v/>
      </c>
      <c r="KG16" s="402">
        <f>IF(AND(289&gt;=$NR$16,289&lt;=$NS$16),IF($NP$16="Single_Point",IF(289=$NR$16,$NN$16,0),IF($NP$16="Bell_Curve",$NN$16*(289-$NR$16+1)*($NS$16-289+1)/$NU$16,$NN$16/$NT$16)),0)</f>
        <v/>
      </c>
      <c r="KH16" s="402">
        <f>IF(AND(290&gt;=$NR$16,290&lt;=$NS$16),IF($NP$16="Single_Point",IF(290=$NR$16,$NN$16,0),IF($NP$16="Bell_Curve",$NN$16*(290-$NR$16+1)*($NS$16-290+1)/$NU$16,$NN$16/$NT$16)),0)</f>
        <v/>
      </c>
      <c r="KI16" s="402">
        <f>IF(AND(291&gt;=$NR$16,291&lt;=$NS$16),IF($NP$16="Single_Point",IF(291=$NR$16,$NN$16,0),IF($NP$16="Bell_Curve",$NN$16*(291-$NR$16+1)*($NS$16-291+1)/$NU$16,$NN$16/$NT$16)),0)</f>
        <v/>
      </c>
      <c r="KJ16" s="402">
        <f>IF(AND(292&gt;=$NR$16,292&lt;=$NS$16),IF($NP$16="Single_Point",IF(292=$NR$16,$NN$16,0),IF($NP$16="Bell_Curve",$NN$16*(292-$NR$16+1)*($NS$16-292+1)/$NU$16,$NN$16/$NT$16)),0)</f>
        <v/>
      </c>
      <c r="KK16" s="402">
        <f>IF(AND(293&gt;=$NR$16,293&lt;=$NS$16),IF($NP$16="Single_Point",IF(293=$NR$16,$NN$16,0),IF($NP$16="Bell_Curve",$NN$16*(293-$NR$16+1)*($NS$16-293+1)/$NU$16,$NN$16/$NT$16)),0)</f>
        <v/>
      </c>
      <c r="KL16" s="402">
        <f>IF(AND(294&gt;=$NR$16,294&lt;=$NS$16),IF($NP$16="Single_Point",IF(294=$NR$16,$NN$16,0),IF($NP$16="Bell_Curve",$NN$16*(294-$NR$16+1)*($NS$16-294+1)/$NU$16,$NN$16/$NT$16)),0)</f>
        <v/>
      </c>
      <c r="KM16" s="402">
        <f>IF(AND(295&gt;=$NR$16,295&lt;=$NS$16),IF($NP$16="Single_Point",IF(295=$NR$16,$NN$16,0),IF($NP$16="Bell_Curve",$NN$16*(295-$NR$16+1)*($NS$16-295+1)/$NU$16,$NN$16/$NT$16)),0)</f>
        <v/>
      </c>
      <c r="KN16" s="402">
        <f>IF(AND(296&gt;=$NR$16,296&lt;=$NS$16),IF($NP$16="Single_Point",IF(296=$NR$16,$NN$16,0),IF($NP$16="Bell_Curve",$NN$16*(296-$NR$16+1)*($NS$16-296+1)/$NU$16,$NN$16/$NT$16)),0)</f>
        <v/>
      </c>
      <c r="KO16" s="402">
        <f>IF(AND(297&gt;=$NR$16,297&lt;=$NS$16),IF($NP$16="Single_Point",IF(297=$NR$16,$NN$16,0),IF($NP$16="Bell_Curve",$NN$16*(297-$NR$16+1)*($NS$16-297+1)/$NU$16,$NN$16/$NT$16)),0)</f>
        <v/>
      </c>
      <c r="KP16" s="402">
        <f>IF(AND(298&gt;=$NR$16,298&lt;=$NS$16),IF($NP$16="Single_Point",IF(298=$NR$16,$NN$16,0),IF($NP$16="Bell_Curve",$NN$16*(298-$NR$16+1)*($NS$16-298+1)/$NU$16,$NN$16/$NT$16)),0)</f>
        <v/>
      </c>
      <c r="KQ16" s="402">
        <f>IF(AND(299&gt;=$NR$16,299&lt;=$NS$16),IF($NP$16="Single_Point",IF(299=$NR$16,$NN$16,0),IF($NP$16="Bell_Curve",$NN$16*(299-$NR$16+1)*($NS$16-299+1)/$NU$16,$NN$16/$NT$16)),0)</f>
        <v/>
      </c>
      <c r="KR16" s="402">
        <f>IF(AND(300&gt;=$NR$16,300&lt;=$NS$16),IF($NP$16="Single_Point",IF(300=$NR$16,$NN$16,0),IF($NP$16="Bell_Curve",$NN$16*(300-$NR$16+1)*($NS$16-300+1)/$NU$16,$NN$16/$NT$16)),0)</f>
        <v/>
      </c>
      <c r="KS16" s="402">
        <f>IF(AND(301&gt;=$NR$16,301&lt;=$NS$16),IF($NP$16="Single_Point",IF(301=$NR$16,$NN$16,0),IF($NP$16="Bell_Curve",$NN$16*(301-$NR$16+1)*($NS$16-301+1)/$NU$16,$NN$16/$NT$16)),0)</f>
        <v/>
      </c>
      <c r="KT16" s="402">
        <f>IF(AND(302&gt;=$NR$16,302&lt;=$NS$16),IF($NP$16="Single_Point",IF(302=$NR$16,$NN$16,0),IF($NP$16="Bell_Curve",$NN$16*(302-$NR$16+1)*($NS$16-302+1)/$NU$16,$NN$16/$NT$16)),0)</f>
        <v/>
      </c>
      <c r="KU16" s="402">
        <f>IF(AND(303&gt;=$NR$16,303&lt;=$NS$16),IF($NP$16="Single_Point",IF(303=$NR$16,$NN$16,0),IF($NP$16="Bell_Curve",$NN$16*(303-$NR$16+1)*($NS$16-303+1)/$NU$16,$NN$16/$NT$16)),0)</f>
        <v/>
      </c>
      <c r="KV16" s="402">
        <f>IF(AND(304&gt;=$NR$16,304&lt;=$NS$16),IF($NP$16="Single_Point",IF(304=$NR$16,$NN$16,0),IF($NP$16="Bell_Curve",$NN$16*(304-$NR$16+1)*($NS$16-304+1)/$NU$16,$NN$16/$NT$16)),0)</f>
        <v/>
      </c>
      <c r="KW16" s="402">
        <f>IF(AND(305&gt;=$NR$16,305&lt;=$NS$16),IF($NP$16="Single_Point",IF(305=$NR$16,$NN$16,0),IF($NP$16="Bell_Curve",$NN$16*(305-$NR$16+1)*($NS$16-305+1)/$NU$16,$NN$16/$NT$16)),0)</f>
        <v/>
      </c>
      <c r="KX16" s="402">
        <f>IF(AND(306&gt;=$NR$16,306&lt;=$NS$16),IF($NP$16="Single_Point",IF(306=$NR$16,$NN$16,0),IF($NP$16="Bell_Curve",$NN$16*(306-$NR$16+1)*($NS$16-306+1)/$NU$16,$NN$16/$NT$16)),0)</f>
        <v/>
      </c>
      <c r="KY16" s="402">
        <f>IF(AND(307&gt;=$NR$16,307&lt;=$NS$16),IF($NP$16="Single_Point",IF(307=$NR$16,$NN$16,0),IF($NP$16="Bell_Curve",$NN$16*(307-$NR$16+1)*($NS$16-307+1)/$NU$16,$NN$16/$NT$16)),0)</f>
        <v/>
      </c>
      <c r="KZ16" s="402">
        <f>IF(AND(308&gt;=$NR$16,308&lt;=$NS$16),IF($NP$16="Single_Point",IF(308=$NR$16,$NN$16,0),IF($NP$16="Bell_Curve",$NN$16*(308-$NR$16+1)*($NS$16-308+1)/$NU$16,$NN$16/$NT$16)),0)</f>
        <v/>
      </c>
      <c r="LA16" s="402">
        <f>IF(AND(309&gt;=$NR$16,309&lt;=$NS$16),IF($NP$16="Single_Point",IF(309=$NR$16,$NN$16,0),IF($NP$16="Bell_Curve",$NN$16*(309-$NR$16+1)*($NS$16-309+1)/$NU$16,$NN$16/$NT$16)),0)</f>
        <v/>
      </c>
      <c r="LB16" s="402">
        <f>IF(AND(310&gt;=$NR$16,310&lt;=$NS$16),IF($NP$16="Single_Point",IF(310=$NR$16,$NN$16,0),IF($NP$16="Bell_Curve",$NN$16*(310-$NR$16+1)*($NS$16-310+1)/$NU$16,$NN$16/$NT$16)),0)</f>
        <v/>
      </c>
      <c r="LC16" s="402">
        <f>IF(AND(311&gt;=$NR$16,311&lt;=$NS$16),IF($NP$16="Single_Point",IF(311=$NR$16,$NN$16,0),IF($NP$16="Bell_Curve",$NN$16*(311-$NR$16+1)*($NS$16-311+1)/$NU$16,$NN$16/$NT$16)),0)</f>
        <v/>
      </c>
      <c r="LD16" s="402">
        <f>IF(AND(312&gt;=$NR$16,312&lt;=$NS$16),IF($NP$16="Single_Point",IF(312=$NR$16,$NN$16,0),IF($NP$16="Bell_Curve",$NN$16*(312-$NR$16+1)*($NS$16-312+1)/$NU$16,$NN$16/$NT$16)),0)</f>
        <v/>
      </c>
      <c r="LE16" s="402">
        <f>IF(AND(313&gt;=$NR$16,313&lt;=$NS$16),IF($NP$16="Single_Point",IF(313=$NR$16,$NN$16,0),IF($NP$16="Bell_Curve",$NN$16*(313-$NR$16+1)*($NS$16-313+1)/$NU$16,$NN$16/$NT$16)),0)</f>
        <v/>
      </c>
      <c r="LF16" s="402">
        <f>IF(AND(314&gt;=$NR$16,314&lt;=$NS$16),IF($NP$16="Single_Point",IF(314=$NR$16,$NN$16,0),IF($NP$16="Bell_Curve",$NN$16*(314-$NR$16+1)*($NS$16-314+1)/$NU$16,$NN$16/$NT$16)),0)</f>
        <v/>
      </c>
      <c r="LG16" s="402">
        <f>IF(AND(315&gt;=$NR$16,315&lt;=$NS$16),IF($NP$16="Single_Point",IF(315=$NR$16,$NN$16,0),IF($NP$16="Bell_Curve",$NN$16*(315-$NR$16+1)*($NS$16-315+1)/$NU$16,$NN$16/$NT$16)),0)</f>
        <v/>
      </c>
      <c r="LH16" s="402">
        <f>IF(AND(316&gt;=$NR$16,316&lt;=$NS$16),IF($NP$16="Single_Point",IF(316=$NR$16,$NN$16,0),IF($NP$16="Bell_Curve",$NN$16*(316-$NR$16+1)*($NS$16-316+1)/$NU$16,$NN$16/$NT$16)),0)</f>
        <v/>
      </c>
      <c r="LI16" s="402">
        <f>IF(AND(317&gt;=$NR$16,317&lt;=$NS$16),IF($NP$16="Single_Point",IF(317=$NR$16,$NN$16,0),IF($NP$16="Bell_Curve",$NN$16*(317-$NR$16+1)*($NS$16-317+1)/$NU$16,$NN$16/$NT$16)),0)</f>
        <v/>
      </c>
      <c r="LJ16" s="402">
        <f>IF(AND(318&gt;=$NR$16,318&lt;=$NS$16),IF($NP$16="Single_Point",IF(318=$NR$16,$NN$16,0),IF($NP$16="Bell_Curve",$NN$16*(318-$NR$16+1)*($NS$16-318+1)/$NU$16,$NN$16/$NT$16)),0)</f>
        <v/>
      </c>
      <c r="LK16" s="402">
        <f>IF(AND(319&gt;=$NR$16,319&lt;=$NS$16),IF($NP$16="Single_Point",IF(319=$NR$16,$NN$16,0),IF($NP$16="Bell_Curve",$NN$16*(319-$NR$16+1)*($NS$16-319+1)/$NU$16,$NN$16/$NT$16)),0)</f>
        <v/>
      </c>
      <c r="LL16" s="402">
        <f>IF(AND(320&gt;=$NR$16,320&lt;=$NS$16),IF($NP$16="Single_Point",IF(320=$NR$16,$NN$16,0),IF($NP$16="Bell_Curve",$NN$16*(320-$NR$16+1)*($NS$16-320+1)/$NU$16,$NN$16/$NT$16)),0)</f>
        <v/>
      </c>
      <c r="LM16" s="402">
        <f>IF(AND(321&gt;=$NR$16,321&lt;=$NS$16),IF($NP$16="Single_Point",IF(321=$NR$16,$NN$16,0),IF($NP$16="Bell_Curve",$NN$16*(321-$NR$16+1)*($NS$16-321+1)/$NU$16,$NN$16/$NT$16)),0)</f>
        <v/>
      </c>
      <c r="LN16" s="402">
        <f>IF(AND(322&gt;=$NR$16,322&lt;=$NS$16),IF($NP$16="Single_Point",IF(322=$NR$16,$NN$16,0),IF($NP$16="Bell_Curve",$NN$16*(322-$NR$16+1)*($NS$16-322+1)/$NU$16,$NN$16/$NT$16)),0)</f>
        <v/>
      </c>
      <c r="LO16" s="402">
        <f>IF(AND(323&gt;=$NR$16,323&lt;=$NS$16),IF($NP$16="Single_Point",IF(323=$NR$16,$NN$16,0),IF($NP$16="Bell_Curve",$NN$16*(323-$NR$16+1)*($NS$16-323+1)/$NU$16,$NN$16/$NT$16)),0)</f>
        <v/>
      </c>
      <c r="LP16" s="402">
        <f>IF(AND(324&gt;=$NR$16,324&lt;=$NS$16),IF($NP$16="Single_Point",IF(324=$NR$16,$NN$16,0),IF($NP$16="Bell_Curve",$NN$16*(324-$NR$16+1)*($NS$16-324+1)/$NU$16,$NN$16/$NT$16)),0)</f>
        <v/>
      </c>
      <c r="LQ16" s="402">
        <f>IF(AND(325&gt;=$NR$16,325&lt;=$NS$16),IF($NP$16="Single_Point",IF(325=$NR$16,$NN$16,0),IF($NP$16="Bell_Curve",$NN$16*(325-$NR$16+1)*($NS$16-325+1)/$NU$16,$NN$16/$NT$16)),0)</f>
        <v/>
      </c>
      <c r="LR16" s="402">
        <f>IF(AND(326&gt;=$NR$16,326&lt;=$NS$16),IF($NP$16="Single_Point",IF(326=$NR$16,$NN$16,0),IF($NP$16="Bell_Curve",$NN$16*(326-$NR$16+1)*($NS$16-326+1)/$NU$16,$NN$16/$NT$16)),0)</f>
        <v/>
      </c>
      <c r="LS16" s="402">
        <f>IF(AND(327&gt;=$NR$16,327&lt;=$NS$16),IF($NP$16="Single_Point",IF(327=$NR$16,$NN$16,0),IF($NP$16="Bell_Curve",$NN$16*(327-$NR$16+1)*($NS$16-327+1)/$NU$16,$NN$16/$NT$16)),0)</f>
        <v/>
      </c>
      <c r="LT16" s="402">
        <f>IF(AND(328&gt;=$NR$16,328&lt;=$NS$16),IF($NP$16="Single_Point",IF(328=$NR$16,$NN$16,0),IF($NP$16="Bell_Curve",$NN$16*(328-$NR$16+1)*($NS$16-328+1)/$NU$16,$NN$16/$NT$16)),0)</f>
        <v/>
      </c>
      <c r="LU16" s="402">
        <f>IF(AND(329&gt;=$NR$16,329&lt;=$NS$16),IF($NP$16="Single_Point",IF(329=$NR$16,$NN$16,0),IF($NP$16="Bell_Curve",$NN$16*(329-$NR$16+1)*($NS$16-329+1)/$NU$16,$NN$16/$NT$16)),0)</f>
        <v/>
      </c>
      <c r="LV16" s="402">
        <f>IF(AND(330&gt;=$NR$16,330&lt;=$NS$16),IF($NP$16="Single_Point",IF(330=$NR$16,$NN$16,0),IF($NP$16="Bell_Curve",$NN$16*(330-$NR$16+1)*($NS$16-330+1)/$NU$16,$NN$16/$NT$16)),0)</f>
        <v/>
      </c>
      <c r="LW16" s="402">
        <f>IF(AND(331&gt;=$NR$16,331&lt;=$NS$16),IF($NP$16="Single_Point",IF(331=$NR$16,$NN$16,0),IF($NP$16="Bell_Curve",$NN$16*(331-$NR$16+1)*($NS$16-331+1)/$NU$16,$NN$16/$NT$16)),0)</f>
        <v/>
      </c>
      <c r="LX16" s="402">
        <f>IF(AND(332&gt;=$NR$16,332&lt;=$NS$16),IF($NP$16="Single_Point",IF(332=$NR$16,$NN$16,0),IF($NP$16="Bell_Curve",$NN$16*(332-$NR$16+1)*($NS$16-332+1)/$NU$16,$NN$16/$NT$16)),0)</f>
        <v/>
      </c>
      <c r="LY16" s="402">
        <f>IF(AND(333&gt;=$NR$16,333&lt;=$NS$16),IF($NP$16="Single_Point",IF(333=$NR$16,$NN$16,0),IF($NP$16="Bell_Curve",$NN$16*(333-$NR$16+1)*($NS$16-333+1)/$NU$16,$NN$16/$NT$16)),0)</f>
        <v/>
      </c>
      <c r="LZ16" s="402">
        <f>IF(AND(334&gt;=$NR$16,334&lt;=$NS$16),IF($NP$16="Single_Point",IF(334=$NR$16,$NN$16,0),IF($NP$16="Bell_Curve",$NN$16*(334-$NR$16+1)*($NS$16-334+1)/$NU$16,$NN$16/$NT$16)),0)</f>
        <v/>
      </c>
      <c r="MA16" s="402">
        <f>IF(AND(335&gt;=$NR$16,335&lt;=$NS$16),IF($NP$16="Single_Point",IF(335=$NR$16,$NN$16,0),IF($NP$16="Bell_Curve",$NN$16*(335-$NR$16+1)*($NS$16-335+1)/$NU$16,$NN$16/$NT$16)),0)</f>
        <v/>
      </c>
      <c r="MB16" s="402">
        <f>IF(AND(336&gt;=$NR$16,336&lt;=$NS$16),IF($NP$16="Single_Point",IF(336=$NR$16,$NN$16,0),IF($NP$16="Bell_Curve",$NN$16*(336-$NR$16+1)*($NS$16-336+1)/$NU$16,$NN$16/$NT$16)),0)</f>
        <v/>
      </c>
      <c r="MC16" s="402">
        <f>IF(AND(337&gt;=$NR$16,337&lt;=$NS$16),IF($NP$16="Single_Point",IF(337=$NR$16,$NN$16,0),IF($NP$16="Bell_Curve",$NN$16*(337-$NR$16+1)*($NS$16-337+1)/$NU$16,$NN$16/$NT$16)),0)</f>
        <v/>
      </c>
      <c r="MD16" s="402">
        <f>IF(AND(338&gt;=$NR$16,338&lt;=$NS$16),IF($NP$16="Single_Point",IF(338=$NR$16,$NN$16,0),IF($NP$16="Bell_Curve",$NN$16*(338-$NR$16+1)*($NS$16-338+1)/$NU$16,$NN$16/$NT$16)),0)</f>
        <v/>
      </c>
      <c r="ME16" s="402">
        <f>IF(AND(339&gt;=$NR$16,339&lt;=$NS$16),IF($NP$16="Single_Point",IF(339=$NR$16,$NN$16,0),IF($NP$16="Bell_Curve",$NN$16*(339-$NR$16+1)*($NS$16-339+1)/$NU$16,$NN$16/$NT$16)),0)</f>
        <v/>
      </c>
      <c r="MF16" s="402">
        <f>IF(AND(340&gt;=$NR$16,340&lt;=$NS$16),IF($NP$16="Single_Point",IF(340=$NR$16,$NN$16,0),IF($NP$16="Bell_Curve",$NN$16*(340-$NR$16+1)*($NS$16-340+1)/$NU$16,$NN$16/$NT$16)),0)</f>
        <v/>
      </c>
      <c r="MG16" s="402">
        <f>IF(AND(341&gt;=$NR$16,341&lt;=$NS$16),IF($NP$16="Single_Point",IF(341=$NR$16,$NN$16,0),IF($NP$16="Bell_Curve",$NN$16*(341-$NR$16+1)*($NS$16-341+1)/$NU$16,$NN$16/$NT$16)),0)</f>
        <v/>
      </c>
      <c r="MH16" s="402">
        <f>IF(AND(342&gt;=$NR$16,342&lt;=$NS$16),IF($NP$16="Single_Point",IF(342=$NR$16,$NN$16,0),IF($NP$16="Bell_Curve",$NN$16*(342-$NR$16+1)*($NS$16-342+1)/$NU$16,$NN$16/$NT$16)),0)</f>
        <v/>
      </c>
      <c r="MI16" s="402">
        <f>IF(AND(343&gt;=$NR$16,343&lt;=$NS$16),IF($NP$16="Single_Point",IF(343=$NR$16,$NN$16,0),IF($NP$16="Bell_Curve",$NN$16*(343-$NR$16+1)*($NS$16-343+1)/$NU$16,$NN$16/$NT$16)),0)</f>
        <v/>
      </c>
      <c r="MJ16" s="402">
        <f>IF(AND(344&gt;=$NR$16,344&lt;=$NS$16),IF($NP$16="Single_Point",IF(344=$NR$16,$NN$16,0),IF($NP$16="Bell_Curve",$NN$16*(344-$NR$16+1)*($NS$16-344+1)/$NU$16,$NN$16/$NT$16)),0)</f>
        <v/>
      </c>
      <c r="MK16" s="402">
        <f>IF(AND(345&gt;=$NR$16,345&lt;=$NS$16),IF($NP$16="Single_Point",IF(345=$NR$16,$NN$16,0),IF($NP$16="Bell_Curve",$NN$16*(345-$NR$16+1)*($NS$16-345+1)/$NU$16,$NN$16/$NT$16)),0)</f>
        <v/>
      </c>
      <c r="ML16" s="402">
        <f>IF(AND(346&gt;=$NR$16,346&lt;=$NS$16),IF($NP$16="Single_Point",IF(346=$NR$16,$NN$16,0),IF($NP$16="Bell_Curve",$NN$16*(346-$NR$16+1)*($NS$16-346+1)/$NU$16,$NN$16/$NT$16)),0)</f>
        <v/>
      </c>
      <c r="MM16" s="402">
        <f>IF(AND(347&gt;=$NR$16,347&lt;=$NS$16),IF($NP$16="Single_Point",IF(347=$NR$16,$NN$16,0),IF($NP$16="Bell_Curve",$NN$16*(347-$NR$16+1)*($NS$16-347+1)/$NU$16,$NN$16/$NT$16)),0)</f>
        <v/>
      </c>
      <c r="MN16" s="402">
        <f>IF(AND(348&gt;=$NR$16,348&lt;=$NS$16),IF($NP$16="Single_Point",IF(348=$NR$16,$NN$16,0),IF($NP$16="Bell_Curve",$NN$16*(348-$NR$16+1)*($NS$16-348+1)/$NU$16,$NN$16/$NT$16)),0)</f>
        <v/>
      </c>
      <c r="MO16" s="402">
        <f>IF(AND(349&gt;=$NR$16,349&lt;=$NS$16),IF($NP$16="Single_Point",IF(349=$NR$16,$NN$16,0),IF($NP$16="Bell_Curve",$NN$16*(349-$NR$16+1)*($NS$16-349+1)/$NU$16,$NN$16/$NT$16)),0)</f>
        <v/>
      </c>
      <c r="MP16" s="402">
        <f>IF(AND(350&gt;=$NR$16,350&lt;=$NS$16),IF($NP$16="Single_Point",IF(350=$NR$16,$NN$16,0),IF($NP$16="Bell_Curve",$NN$16*(350-$NR$16+1)*($NS$16-350+1)/$NU$16,$NN$16/$NT$16)),0)</f>
        <v/>
      </c>
      <c r="MQ16" s="402">
        <f>IF(AND(351&gt;=$NR$16,351&lt;=$NS$16),IF($NP$16="Single_Point",IF(351=$NR$16,$NN$16,0),IF($NP$16="Bell_Curve",$NN$16*(351-$NR$16+1)*($NS$16-351+1)/$NU$16,$NN$16/$NT$16)),0)</f>
        <v/>
      </c>
      <c r="MR16" s="402">
        <f>IF(AND(352&gt;=$NR$16,352&lt;=$NS$16),IF($NP$16="Single_Point",IF(352=$NR$16,$NN$16,0),IF($NP$16="Bell_Curve",$NN$16*(352-$NR$16+1)*($NS$16-352+1)/$NU$16,$NN$16/$NT$16)),0)</f>
        <v/>
      </c>
      <c r="MS16" s="402">
        <f>IF(AND(353&gt;=$NR$16,353&lt;=$NS$16),IF($NP$16="Single_Point",IF(353=$NR$16,$NN$16,0),IF($NP$16="Bell_Curve",$NN$16*(353-$NR$16+1)*($NS$16-353+1)/$NU$16,$NN$16/$NT$16)),0)</f>
        <v/>
      </c>
      <c r="MT16" s="402">
        <f>IF(AND(354&gt;=$NR$16,354&lt;=$NS$16),IF($NP$16="Single_Point",IF(354=$NR$16,$NN$16,0),IF($NP$16="Bell_Curve",$NN$16*(354-$NR$16+1)*($NS$16-354+1)/$NU$16,$NN$16/$NT$16)),0)</f>
        <v/>
      </c>
      <c r="MU16" s="402">
        <f>IF(AND(355&gt;=$NR$16,355&lt;=$NS$16),IF($NP$16="Single_Point",IF(355=$NR$16,$NN$16,0),IF($NP$16="Bell_Curve",$NN$16*(355-$NR$16+1)*($NS$16-355+1)/$NU$16,$NN$16/$NT$16)),0)</f>
        <v/>
      </c>
      <c r="MV16" s="402">
        <f>IF(AND(356&gt;=$NR$16,356&lt;=$NS$16),IF($NP$16="Single_Point",IF(356=$NR$16,$NN$16,0),IF($NP$16="Bell_Curve",$NN$16*(356-$NR$16+1)*($NS$16-356+1)/$NU$16,$NN$16/$NT$16)),0)</f>
        <v/>
      </c>
      <c r="MW16" s="402">
        <f>IF(AND(357&gt;=$NR$16,357&lt;=$NS$16),IF($NP$16="Single_Point",IF(357=$NR$16,$NN$16,0),IF($NP$16="Bell_Curve",$NN$16*(357-$NR$16+1)*($NS$16-357+1)/$NU$16,$NN$16/$NT$16)),0)</f>
        <v/>
      </c>
      <c r="MX16" s="402">
        <f>IF(AND(358&gt;=$NR$16,358&lt;=$NS$16),IF($NP$16="Single_Point",IF(358=$NR$16,$NN$16,0),IF($NP$16="Bell_Curve",$NN$16*(358-$NR$16+1)*($NS$16-358+1)/$NU$16,$NN$16/$NT$16)),0)</f>
        <v/>
      </c>
      <c r="MY16" s="402">
        <f>IF(AND(359&gt;=$NR$16,359&lt;=$NS$16),IF($NP$16="Single_Point",IF(359=$NR$16,$NN$16,0),IF($NP$16="Bell_Curve",$NN$16*(359-$NR$16+1)*($NS$16-359+1)/$NU$16,$NN$16/$NT$16)),0)</f>
        <v/>
      </c>
      <c r="MZ16" s="402">
        <f>IF(AND(360&gt;=$NR$16,360&lt;=$NS$16),IF($NP$16="Single_Point",IF(360=$NR$16,$NN$16,0),IF($NP$16="Bell_Curve",$NN$16*(360-$NR$16+1)*($NS$16-360+1)/$NU$16,$NN$16/$NT$16)),0)</f>
        <v/>
      </c>
      <c r="NA16" s="402">
        <f>IF(AND(361&gt;=$NR$16,361&lt;=$NS$16),IF($NP$16="Single_Point",IF(361=$NR$16,$NN$16,0),IF($NP$16="Bell_Curve",$NN$16*(361-$NR$16+1)*($NS$16-361+1)/$NU$16,$NN$16/$NT$16)),0)</f>
        <v/>
      </c>
      <c r="NB16" s="402">
        <f>IF(AND(362&gt;=$NR$16,362&lt;=$NS$16),IF($NP$16="Single_Point",IF(362=$NR$16,$NN$16,0),IF($NP$16="Bell_Curve",$NN$16*(362-$NR$16+1)*($NS$16-362+1)/$NU$16,$NN$16/$NT$16)),0)</f>
        <v/>
      </c>
      <c r="NC16" s="402">
        <f>IF(AND(363&gt;=$NR$16,363&lt;=$NS$16),IF($NP$16="Single_Point",IF(363=$NR$16,$NN$16,0),IF($NP$16="Bell_Curve",$NN$16*(363-$NR$16+1)*($NS$16-363+1)/$NU$16,$NN$16/$NT$16)),0)</f>
        <v/>
      </c>
      <c r="ND16" s="402">
        <f>IF(AND(364&gt;=$NR$16,364&lt;=$NS$16),IF($NP$16="Single_Point",IF(364=$NR$16,$NN$16,0),IF($NP$16="Bell_Curve",$NN$16*(364-$NR$16+1)*($NS$16-364+1)/$NU$16,$NN$16/$NT$16)),0)</f>
        <v/>
      </c>
      <c r="NE16" s="402">
        <f>IF(AND(365&gt;=$NR$16,365&lt;=$NS$16),IF($NP$16="Single_Point",IF(365=$NR$16,$NN$16,0),IF($NP$16="Bell_Curve",$NN$16*(365-$NR$16+1)*($NS$16-365+1)/$NU$16,$NN$16/$NT$16)),0)</f>
        <v/>
      </c>
      <c r="NF16" s="402">
        <f>IF(AND(366&gt;=$NR$16,366&lt;=$NS$16),IF($NP$16="Single_Point",IF(366=$NR$16,$NN$16,0),IF($NP$16="Bell_Curve",$NN$16*(366-$NR$16+1)*($NS$16-366+1)/$NU$16,$NN$16/$NT$16)),0)</f>
        <v/>
      </c>
      <c r="NG16" s="402">
        <f>IF(AND(367&gt;=$NR$16,367&lt;=$NS$16),IF($NP$16="Single_Point",IF(367=$NR$16,$NN$16,0),IF($NP$16="Bell_Curve",$NN$16*(367-$NR$16+1)*($NS$16-367+1)/$NU$16,$NN$16/$NT$16)),0)</f>
        <v/>
      </c>
      <c r="NH16" s="402">
        <f>IF(AND(368&gt;=$NR$16,368&lt;=$NS$16),IF($NP$16="Single_Point",IF(368=$NR$16,$NN$16,0),IF($NP$16="Bell_Curve",$NN$16*(368-$NR$16+1)*($NS$16-368+1)/$NU$16,$NN$16/$NT$16)),0)</f>
        <v/>
      </c>
      <c r="NI16" s="402">
        <f>IF(AND(369&gt;=$NR$16,369&lt;=$NS$16),IF($NP$16="Single_Point",IF(369=$NR$16,$NN$16,0),IF($NP$16="Bell_Curve",$NN$16*(369-$NR$16+1)*($NS$16-369+1)/$NU$16,$NN$16/$NT$16)),0)</f>
        <v/>
      </c>
      <c r="NJ16" s="402">
        <f>IF(AND(370&gt;=$NR$16,370&lt;=$NS$16),IF($NP$16="Single_Point",IF(370=$NR$16,$NN$16,0),IF($NP$16="Bell_Curve",$NN$16*(370-$NR$16+1)*($NS$16-370+1)/$NU$16,$NN$16/$NT$16)),0)</f>
        <v/>
      </c>
      <c r="NK16" s="402">
        <f>IF(AND(371&gt;=$NR$16,371&lt;=$NS$16),IF($NP$16="Single_Point",IF(371=$NR$16,$NN$16,0),IF($NP$16="Bell_Curve",$NN$16*(371-$NR$16+1)*($NS$16-371+1)/$NU$16,$NN$16/$NT$16)),0)</f>
        <v/>
      </c>
      <c r="NL16" s="426">
        <f>IF(AND(372&gt;=$NR$16,372&lt;=$NS$16),IF($NP$16="Single_Point",IF(372=$NR$16,$NN$16,0),IF($NP$16="Bell_Curve",$NN$16*(372-$NR$16+1)*($NS$16-372+1)/$NU$16,$NN$16/$NT$16)),0)</f>
        <v/>
      </c>
      <c r="NM16">
        <f>Budget!C15</f>
        <v/>
      </c>
      <c r="NN16" s="218">
        <f>Budget!J15</f>
        <v/>
      </c>
      <c r="NO16" s="144">
        <f>Budget!G15</f>
        <v/>
      </c>
      <c r="NP16" s="144">
        <f>Budget!H15</f>
        <v/>
      </c>
      <c r="NQ16" s="85">
        <f>Budget!I15</f>
        <v/>
      </c>
      <c r="NR16" s="248">
        <f>MAX(1,MIN(372,INDEX(MilestoneStart,MATCH(NO16,MilestoneNames,0))+NQ16))</f>
        <v/>
      </c>
      <c r="NS16" s="248">
        <f>MAX(NR16,MIN(372,INDEX(MilestoneEnd,MATCH(NO16,MilestoneNames,0))+NQ16))</f>
        <v/>
      </c>
      <c r="NT16" s="85">
        <f>NS16-NR16+1</f>
        <v/>
      </c>
      <c r="NU16" s="85">
        <f>NT16*(NT16+1)*(NT16+2)/6</f>
        <v/>
      </c>
    </row>
    <row r="17">
      <c r="B17" s="296">
        <f>Budget!B16</f>
        <v/>
      </c>
      <c r="D17" s="425">
        <f>SUM(E17:NL17)</f>
        <v/>
      </c>
      <c r="E17" s="402">
        <f>IF(AND(1&gt;=$NR$17,1&lt;=$NS$17),IF($NP$17="Single_Point",IF(1=$NR$17,$NN$17,0),IF($NP$17="Bell_Curve",$NN$17*(1-$NR$17+1)*($NS$17-1+1)/$NU$17,$NN$17/$NT$17)),0)</f>
        <v/>
      </c>
      <c r="F17" s="402">
        <f>IF(AND(2&gt;=$NR$17,2&lt;=$NS$17),IF($NP$17="Single_Point",IF(2=$NR$17,$NN$17,0),IF($NP$17="Bell_Curve",$NN$17*(2-$NR$17+1)*($NS$17-2+1)/$NU$17,$NN$17/$NT$17)),0)</f>
        <v/>
      </c>
      <c r="G17" s="402">
        <f>IF(AND(3&gt;=$NR$17,3&lt;=$NS$17),IF($NP$17="Single_Point",IF(3=$NR$17,$NN$17,0),IF($NP$17="Bell_Curve",$NN$17*(3-$NR$17+1)*($NS$17-3+1)/$NU$17,$NN$17/$NT$17)),0)</f>
        <v/>
      </c>
      <c r="H17" s="402">
        <f>IF(AND(4&gt;=$NR$17,4&lt;=$NS$17),IF($NP$17="Single_Point",IF(4=$NR$17,$NN$17,0),IF($NP$17="Bell_Curve",$NN$17*(4-$NR$17+1)*($NS$17-4+1)/$NU$17,$NN$17/$NT$17)),0)</f>
        <v/>
      </c>
      <c r="I17" s="402">
        <f>IF(AND(5&gt;=$NR$17,5&lt;=$NS$17),IF($NP$17="Single_Point",IF(5=$NR$17,$NN$17,0),IF($NP$17="Bell_Curve",$NN$17*(5-$NR$17+1)*($NS$17-5+1)/$NU$17,$NN$17/$NT$17)),0)</f>
        <v/>
      </c>
      <c r="J17" s="402">
        <f>IF(AND(6&gt;=$NR$17,6&lt;=$NS$17),IF($NP$17="Single_Point",IF(6=$NR$17,$NN$17,0),IF($NP$17="Bell_Curve",$NN$17*(6-$NR$17+1)*($NS$17-6+1)/$NU$17,$NN$17/$NT$17)),0)</f>
        <v/>
      </c>
      <c r="K17" s="402">
        <f>IF(AND(7&gt;=$NR$17,7&lt;=$NS$17),IF($NP$17="Single_Point",IF(7=$NR$17,$NN$17,0),IF($NP$17="Bell_Curve",$NN$17*(7-$NR$17+1)*($NS$17-7+1)/$NU$17,$NN$17/$NT$17)),0)</f>
        <v/>
      </c>
      <c r="L17" s="402">
        <f>IF(AND(8&gt;=$NR$17,8&lt;=$NS$17),IF($NP$17="Single_Point",IF(8=$NR$17,$NN$17,0),IF($NP$17="Bell_Curve",$NN$17*(8-$NR$17+1)*($NS$17-8+1)/$NU$17,$NN$17/$NT$17)),0)</f>
        <v/>
      </c>
      <c r="M17" s="402">
        <f>IF(AND(9&gt;=$NR$17,9&lt;=$NS$17),IF($NP$17="Single_Point",IF(9=$NR$17,$NN$17,0),IF($NP$17="Bell_Curve",$NN$17*(9-$NR$17+1)*($NS$17-9+1)/$NU$17,$NN$17/$NT$17)),0)</f>
        <v/>
      </c>
      <c r="N17" s="402">
        <f>IF(AND(10&gt;=$NR$17,10&lt;=$NS$17),IF($NP$17="Single_Point",IF(10=$NR$17,$NN$17,0),IF($NP$17="Bell_Curve",$NN$17*(10-$NR$17+1)*($NS$17-10+1)/$NU$17,$NN$17/$NT$17)),0)</f>
        <v/>
      </c>
      <c r="O17" s="402">
        <f>IF(AND(11&gt;=$NR$17,11&lt;=$NS$17),IF($NP$17="Single_Point",IF(11=$NR$17,$NN$17,0),IF($NP$17="Bell_Curve",$NN$17*(11-$NR$17+1)*($NS$17-11+1)/$NU$17,$NN$17/$NT$17)),0)</f>
        <v/>
      </c>
      <c r="P17" s="402">
        <f>IF(AND(12&gt;=$NR$17,12&lt;=$NS$17),IF($NP$17="Single_Point",IF(12=$NR$17,$NN$17,0),IF($NP$17="Bell_Curve",$NN$17*(12-$NR$17+1)*($NS$17-12+1)/$NU$17,$NN$17/$NT$17)),0)</f>
        <v/>
      </c>
      <c r="Q17" s="402">
        <f>IF(AND(13&gt;=$NR$17,13&lt;=$NS$17),IF($NP$17="Single_Point",IF(13=$NR$17,$NN$17,0),IF($NP$17="Bell_Curve",$NN$17*(13-$NR$17+1)*($NS$17-13+1)/$NU$17,$NN$17/$NT$17)),0)</f>
        <v/>
      </c>
      <c r="R17" s="402">
        <f>IF(AND(14&gt;=$NR$17,14&lt;=$NS$17),IF($NP$17="Single_Point",IF(14=$NR$17,$NN$17,0),IF($NP$17="Bell_Curve",$NN$17*(14-$NR$17+1)*($NS$17-14+1)/$NU$17,$NN$17/$NT$17)),0)</f>
        <v/>
      </c>
      <c r="S17" s="402">
        <f>IF(AND(15&gt;=$NR$17,15&lt;=$NS$17),IF($NP$17="Single_Point",IF(15=$NR$17,$NN$17,0),IF($NP$17="Bell_Curve",$NN$17*(15-$NR$17+1)*($NS$17-15+1)/$NU$17,$NN$17/$NT$17)),0)</f>
        <v/>
      </c>
      <c r="T17" s="402">
        <f>IF(AND(16&gt;=$NR$17,16&lt;=$NS$17),IF($NP$17="Single_Point",IF(16=$NR$17,$NN$17,0),IF($NP$17="Bell_Curve",$NN$17*(16-$NR$17+1)*($NS$17-16+1)/$NU$17,$NN$17/$NT$17)),0)</f>
        <v/>
      </c>
      <c r="U17" s="402">
        <f>IF(AND(17&gt;=$NR$17,17&lt;=$NS$17),IF($NP$17="Single_Point",IF(17=$NR$17,$NN$17,0),IF($NP$17="Bell_Curve",$NN$17*(17-$NR$17+1)*($NS$17-17+1)/$NU$17,$NN$17/$NT$17)),0)</f>
        <v/>
      </c>
      <c r="V17" s="402">
        <f>IF(AND(18&gt;=$NR$17,18&lt;=$NS$17),IF($NP$17="Single_Point",IF(18=$NR$17,$NN$17,0),IF($NP$17="Bell_Curve",$NN$17*(18-$NR$17+1)*($NS$17-18+1)/$NU$17,$NN$17/$NT$17)),0)</f>
        <v/>
      </c>
      <c r="W17" s="402">
        <f>IF(AND(19&gt;=$NR$17,19&lt;=$NS$17),IF($NP$17="Single_Point",IF(19=$NR$17,$NN$17,0),IF($NP$17="Bell_Curve",$NN$17*(19-$NR$17+1)*($NS$17-19+1)/$NU$17,$NN$17/$NT$17)),0)</f>
        <v/>
      </c>
      <c r="X17" s="402">
        <f>IF(AND(20&gt;=$NR$17,20&lt;=$NS$17),IF($NP$17="Single_Point",IF(20=$NR$17,$NN$17,0),IF($NP$17="Bell_Curve",$NN$17*(20-$NR$17+1)*($NS$17-20+1)/$NU$17,$NN$17/$NT$17)),0)</f>
        <v/>
      </c>
      <c r="Y17" s="402">
        <f>IF(AND(21&gt;=$NR$17,21&lt;=$NS$17),IF($NP$17="Single_Point",IF(21=$NR$17,$NN$17,0),IF($NP$17="Bell_Curve",$NN$17*(21-$NR$17+1)*($NS$17-21+1)/$NU$17,$NN$17/$NT$17)),0)</f>
        <v/>
      </c>
      <c r="Z17" s="402">
        <f>IF(AND(22&gt;=$NR$17,22&lt;=$NS$17),IF($NP$17="Single_Point",IF(22=$NR$17,$NN$17,0),IF($NP$17="Bell_Curve",$NN$17*(22-$NR$17+1)*($NS$17-22+1)/$NU$17,$NN$17/$NT$17)),0)</f>
        <v/>
      </c>
      <c r="AA17" s="402">
        <f>IF(AND(23&gt;=$NR$17,23&lt;=$NS$17),IF($NP$17="Single_Point",IF(23=$NR$17,$NN$17,0),IF($NP$17="Bell_Curve",$NN$17*(23-$NR$17+1)*($NS$17-23+1)/$NU$17,$NN$17/$NT$17)),0)</f>
        <v/>
      </c>
      <c r="AB17" s="402">
        <f>IF(AND(24&gt;=$NR$17,24&lt;=$NS$17),IF($NP$17="Single_Point",IF(24=$NR$17,$NN$17,0),IF($NP$17="Bell_Curve",$NN$17*(24-$NR$17+1)*($NS$17-24+1)/$NU$17,$NN$17/$NT$17)),0)</f>
        <v/>
      </c>
      <c r="AC17" s="402">
        <f>IF(AND(25&gt;=$NR$17,25&lt;=$NS$17),IF($NP$17="Single_Point",IF(25=$NR$17,$NN$17,0),IF($NP$17="Bell_Curve",$NN$17*(25-$NR$17+1)*($NS$17-25+1)/$NU$17,$NN$17/$NT$17)),0)</f>
        <v/>
      </c>
      <c r="AD17" s="402">
        <f>IF(AND(26&gt;=$NR$17,26&lt;=$NS$17),IF($NP$17="Single_Point",IF(26=$NR$17,$NN$17,0),IF($NP$17="Bell_Curve",$NN$17*(26-$NR$17+1)*($NS$17-26+1)/$NU$17,$NN$17/$NT$17)),0)</f>
        <v/>
      </c>
      <c r="AE17" s="402">
        <f>IF(AND(27&gt;=$NR$17,27&lt;=$NS$17),IF($NP$17="Single_Point",IF(27=$NR$17,$NN$17,0),IF($NP$17="Bell_Curve",$NN$17*(27-$NR$17+1)*($NS$17-27+1)/$NU$17,$NN$17/$NT$17)),0)</f>
        <v/>
      </c>
      <c r="AF17" s="402">
        <f>IF(AND(28&gt;=$NR$17,28&lt;=$NS$17),IF($NP$17="Single_Point",IF(28=$NR$17,$NN$17,0),IF($NP$17="Bell_Curve",$NN$17*(28-$NR$17+1)*($NS$17-28+1)/$NU$17,$NN$17/$NT$17)),0)</f>
        <v/>
      </c>
      <c r="AG17" s="402">
        <f>IF(AND(29&gt;=$NR$17,29&lt;=$NS$17),IF($NP$17="Single_Point",IF(29=$NR$17,$NN$17,0),IF($NP$17="Bell_Curve",$NN$17*(29-$NR$17+1)*($NS$17-29+1)/$NU$17,$NN$17/$NT$17)),0)</f>
        <v/>
      </c>
      <c r="AH17" s="402">
        <f>IF(AND(30&gt;=$NR$17,30&lt;=$NS$17),IF($NP$17="Single_Point",IF(30=$NR$17,$NN$17,0),IF($NP$17="Bell_Curve",$NN$17*(30-$NR$17+1)*($NS$17-30+1)/$NU$17,$NN$17/$NT$17)),0)</f>
        <v/>
      </c>
      <c r="AI17" s="402">
        <f>IF(AND(31&gt;=$NR$17,31&lt;=$NS$17),IF($NP$17="Single_Point",IF(31=$NR$17,$NN$17,0),IF($NP$17="Bell_Curve",$NN$17*(31-$NR$17+1)*($NS$17-31+1)/$NU$17,$NN$17/$NT$17)),0)</f>
        <v/>
      </c>
      <c r="AJ17" s="402">
        <f>IF(AND(32&gt;=$NR$17,32&lt;=$NS$17),IF($NP$17="Single_Point",IF(32=$NR$17,$NN$17,0),IF($NP$17="Bell_Curve",$NN$17*(32-$NR$17+1)*($NS$17-32+1)/$NU$17,$NN$17/$NT$17)),0)</f>
        <v/>
      </c>
      <c r="AK17" s="402">
        <f>IF(AND(33&gt;=$NR$17,33&lt;=$NS$17),IF($NP$17="Single_Point",IF(33=$NR$17,$NN$17,0),IF($NP$17="Bell_Curve",$NN$17*(33-$NR$17+1)*($NS$17-33+1)/$NU$17,$NN$17/$NT$17)),0)</f>
        <v/>
      </c>
      <c r="AL17" s="402">
        <f>IF(AND(34&gt;=$NR$17,34&lt;=$NS$17),IF($NP$17="Single_Point",IF(34=$NR$17,$NN$17,0),IF($NP$17="Bell_Curve",$NN$17*(34-$NR$17+1)*($NS$17-34+1)/$NU$17,$NN$17/$NT$17)),0)</f>
        <v/>
      </c>
      <c r="AM17" s="402">
        <f>IF(AND(35&gt;=$NR$17,35&lt;=$NS$17),IF($NP$17="Single_Point",IF(35=$NR$17,$NN$17,0),IF($NP$17="Bell_Curve",$NN$17*(35-$NR$17+1)*($NS$17-35+1)/$NU$17,$NN$17/$NT$17)),0)</f>
        <v/>
      </c>
      <c r="AN17" s="402">
        <f>IF(AND(36&gt;=$NR$17,36&lt;=$NS$17),IF($NP$17="Single_Point",IF(36=$NR$17,$NN$17,0),IF($NP$17="Bell_Curve",$NN$17*(36-$NR$17+1)*($NS$17-36+1)/$NU$17,$NN$17/$NT$17)),0)</f>
        <v/>
      </c>
      <c r="AO17" s="402">
        <f>IF(AND(37&gt;=$NR$17,37&lt;=$NS$17),IF($NP$17="Single_Point",IF(37=$NR$17,$NN$17,0),IF($NP$17="Bell_Curve",$NN$17*(37-$NR$17+1)*($NS$17-37+1)/$NU$17,$NN$17/$NT$17)),0)</f>
        <v/>
      </c>
      <c r="AP17" s="402">
        <f>IF(AND(38&gt;=$NR$17,38&lt;=$NS$17),IF($NP$17="Single_Point",IF(38=$NR$17,$NN$17,0),IF($NP$17="Bell_Curve",$NN$17*(38-$NR$17+1)*($NS$17-38+1)/$NU$17,$NN$17/$NT$17)),0)</f>
        <v/>
      </c>
      <c r="AQ17" s="402">
        <f>IF(AND(39&gt;=$NR$17,39&lt;=$NS$17),IF($NP$17="Single_Point",IF(39=$NR$17,$NN$17,0),IF($NP$17="Bell_Curve",$NN$17*(39-$NR$17+1)*($NS$17-39+1)/$NU$17,$NN$17/$NT$17)),0)</f>
        <v/>
      </c>
      <c r="AR17" s="402">
        <f>IF(AND(40&gt;=$NR$17,40&lt;=$NS$17),IF($NP$17="Single_Point",IF(40=$NR$17,$NN$17,0),IF($NP$17="Bell_Curve",$NN$17*(40-$NR$17+1)*($NS$17-40+1)/$NU$17,$NN$17/$NT$17)),0)</f>
        <v/>
      </c>
      <c r="AS17" s="402">
        <f>IF(AND(41&gt;=$NR$17,41&lt;=$NS$17),IF($NP$17="Single_Point",IF(41=$NR$17,$NN$17,0),IF($NP$17="Bell_Curve",$NN$17*(41-$NR$17+1)*($NS$17-41+1)/$NU$17,$NN$17/$NT$17)),0)</f>
        <v/>
      </c>
      <c r="AT17" s="402">
        <f>IF(AND(42&gt;=$NR$17,42&lt;=$NS$17),IF($NP$17="Single_Point",IF(42=$NR$17,$NN$17,0),IF($NP$17="Bell_Curve",$NN$17*(42-$NR$17+1)*($NS$17-42+1)/$NU$17,$NN$17/$NT$17)),0)</f>
        <v/>
      </c>
      <c r="AU17" s="402">
        <f>IF(AND(43&gt;=$NR$17,43&lt;=$NS$17),IF($NP$17="Single_Point",IF(43=$NR$17,$NN$17,0),IF($NP$17="Bell_Curve",$NN$17*(43-$NR$17+1)*($NS$17-43+1)/$NU$17,$NN$17/$NT$17)),0)</f>
        <v/>
      </c>
      <c r="AV17" s="402">
        <f>IF(AND(44&gt;=$NR$17,44&lt;=$NS$17),IF($NP$17="Single_Point",IF(44=$NR$17,$NN$17,0),IF($NP$17="Bell_Curve",$NN$17*(44-$NR$17+1)*($NS$17-44+1)/$NU$17,$NN$17/$NT$17)),0)</f>
        <v/>
      </c>
      <c r="AW17" s="402">
        <f>IF(AND(45&gt;=$NR$17,45&lt;=$NS$17),IF($NP$17="Single_Point",IF(45=$NR$17,$NN$17,0),IF($NP$17="Bell_Curve",$NN$17*(45-$NR$17+1)*($NS$17-45+1)/$NU$17,$NN$17/$NT$17)),0)</f>
        <v/>
      </c>
      <c r="AX17" s="402">
        <f>IF(AND(46&gt;=$NR$17,46&lt;=$NS$17),IF($NP$17="Single_Point",IF(46=$NR$17,$NN$17,0),IF($NP$17="Bell_Curve",$NN$17*(46-$NR$17+1)*($NS$17-46+1)/$NU$17,$NN$17/$NT$17)),0)</f>
        <v/>
      </c>
      <c r="AY17" s="402">
        <f>IF(AND(47&gt;=$NR$17,47&lt;=$NS$17),IF($NP$17="Single_Point",IF(47=$NR$17,$NN$17,0),IF($NP$17="Bell_Curve",$NN$17*(47-$NR$17+1)*($NS$17-47+1)/$NU$17,$NN$17/$NT$17)),0)</f>
        <v/>
      </c>
      <c r="AZ17" s="402">
        <f>IF(AND(48&gt;=$NR$17,48&lt;=$NS$17),IF($NP$17="Single_Point",IF(48=$NR$17,$NN$17,0),IF($NP$17="Bell_Curve",$NN$17*(48-$NR$17+1)*($NS$17-48+1)/$NU$17,$NN$17/$NT$17)),0)</f>
        <v/>
      </c>
      <c r="BA17" s="402">
        <f>IF(AND(49&gt;=$NR$17,49&lt;=$NS$17),IF($NP$17="Single_Point",IF(49=$NR$17,$NN$17,0),IF($NP$17="Bell_Curve",$NN$17*(49-$NR$17+1)*($NS$17-49+1)/$NU$17,$NN$17/$NT$17)),0)</f>
        <v/>
      </c>
      <c r="BB17" s="402">
        <f>IF(AND(50&gt;=$NR$17,50&lt;=$NS$17),IF($NP$17="Single_Point",IF(50=$NR$17,$NN$17,0),IF($NP$17="Bell_Curve",$NN$17*(50-$NR$17+1)*($NS$17-50+1)/$NU$17,$NN$17/$NT$17)),0)</f>
        <v/>
      </c>
      <c r="BC17" s="402">
        <f>IF(AND(51&gt;=$NR$17,51&lt;=$NS$17),IF($NP$17="Single_Point",IF(51=$NR$17,$NN$17,0),IF($NP$17="Bell_Curve",$NN$17*(51-$NR$17+1)*($NS$17-51+1)/$NU$17,$NN$17/$NT$17)),0)</f>
        <v/>
      </c>
      <c r="BD17" s="402">
        <f>IF(AND(52&gt;=$NR$17,52&lt;=$NS$17),IF($NP$17="Single_Point",IF(52=$NR$17,$NN$17,0),IF($NP$17="Bell_Curve",$NN$17*(52-$NR$17+1)*($NS$17-52+1)/$NU$17,$NN$17/$NT$17)),0)</f>
        <v/>
      </c>
      <c r="BE17" s="402">
        <f>IF(AND(53&gt;=$NR$17,53&lt;=$NS$17),IF($NP$17="Single_Point",IF(53=$NR$17,$NN$17,0),IF($NP$17="Bell_Curve",$NN$17*(53-$NR$17+1)*($NS$17-53+1)/$NU$17,$NN$17/$NT$17)),0)</f>
        <v/>
      </c>
      <c r="BF17" s="402">
        <f>IF(AND(54&gt;=$NR$17,54&lt;=$NS$17),IF($NP$17="Single_Point",IF(54=$NR$17,$NN$17,0),IF($NP$17="Bell_Curve",$NN$17*(54-$NR$17+1)*($NS$17-54+1)/$NU$17,$NN$17/$NT$17)),0)</f>
        <v/>
      </c>
      <c r="BG17" s="402">
        <f>IF(AND(55&gt;=$NR$17,55&lt;=$NS$17),IF($NP$17="Single_Point",IF(55=$NR$17,$NN$17,0),IF($NP$17="Bell_Curve",$NN$17*(55-$NR$17+1)*($NS$17-55+1)/$NU$17,$NN$17/$NT$17)),0)</f>
        <v/>
      </c>
      <c r="BH17" s="402">
        <f>IF(AND(56&gt;=$NR$17,56&lt;=$NS$17),IF($NP$17="Single_Point",IF(56=$NR$17,$NN$17,0),IF($NP$17="Bell_Curve",$NN$17*(56-$NR$17+1)*($NS$17-56+1)/$NU$17,$NN$17/$NT$17)),0)</f>
        <v/>
      </c>
      <c r="BI17" s="402">
        <f>IF(AND(57&gt;=$NR$17,57&lt;=$NS$17),IF($NP$17="Single_Point",IF(57=$NR$17,$NN$17,0),IF($NP$17="Bell_Curve",$NN$17*(57-$NR$17+1)*($NS$17-57+1)/$NU$17,$NN$17/$NT$17)),0)</f>
        <v/>
      </c>
      <c r="BJ17" s="402">
        <f>IF(AND(58&gt;=$NR$17,58&lt;=$NS$17),IF($NP$17="Single_Point",IF(58=$NR$17,$NN$17,0),IF($NP$17="Bell_Curve",$NN$17*(58-$NR$17+1)*($NS$17-58+1)/$NU$17,$NN$17/$NT$17)),0)</f>
        <v/>
      </c>
      <c r="BK17" s="402">
        <f>IF(AND(59&gt;=$NR$17,59&lt;=$NS$17),IF($NP$17="Single_Point",IF(59=$NR$17,$NN$17,0),IF($NP$17="Bell_Curve",$NN$17*(59-$NR$17+1)*($NS$17-59+1)/$NU$17,$NN$17/$NT$17)),0)</f>
        <v/>
      </c>
      <c r="BL17" s="402">
        <f>IF(AND(60&gt;=$NR$17,60&lt;=$NS$17),IF($NP$17="Single_Point",IF(60=$NR$17,$NN$17,0),IF($NP$17="Bell_Curve",$NN$17*(60-$NR$17+1)*($NS$17-60+1)/$NU$17,$NN$17/$NT$17)),0)</f>
        <v/>
      </c>
      <c r="BM17" s="402">
        <f>IF(AND(61&gt;=$NR$17,61&lt;=$NS$17),IF($NP$17="Single_Point",IF(61=$NR$17,$NN$17,0),IF($NP$17="Bell_Curve",$NN$17*(61-$NR$17+1)*($NS$17-61+1)/$NU$17,$NN$17/$NT$17)),0)</f>
        <v/>
      </c>
      <c r="BN17" s="402">
        <f>IF(AND(62&gt;=$NR$17,62&lt;=$NS$17),IF($NP$17="Single_Point",IF(62=$NR$17,$NN$17,0),IF($NP$17="Bell_Curve",$NN$17*(62-$NR$17+1)*($NS$17-62+1)/$NU$17,$NN$17/$NT$17)),0)</f>
        <v/>
      </c>
      <c r="BO17" s="402">
        <f>IF(AND(63&gt;=$NR$17,63&lt;=$NS$17),IF($NP$17="Single_Point",IF(63=$NR$17,$NN$17,0),IF($NP$17="Bell_Curve",$NN$17*(63-$NR$17+1)*($NS$17-63+1)/$NU$17,$NN$17/$NT$17)),0)</f>
        <v/>
      </c>
      <c r="BP17" s="402">
        <f>IF(AND(64&gt;=$NR$17,64&lt;=$NS$17),IF($NP$17="Single_Point",IF(64=$NR$17,$NN$17,0),IF($NP$17="Bell_Curve",$NN$17*(64-$NR$17+1)*($NS$17-64+1)/$NU$17,$NN$17/$NT$17)),0)</f>
        <v/>
      </c>
      <c r="BQ17" s="402">
        <f>IF(AND(65&gt;=$NR$17,65&lt;=$NS$17),IF($NP$17="Single_Point",IF(65=$NR$17,$NN$17,0),IF($NP$17="Bell_Curve",$NN$17*(65-$NR$17+1)*($NS$17-65+1)/$NU$17,$NN$17/$NT$17)),0)</f>
        <v/>
      </c>
      <c r="BR17" s="402">
        <f>IF(AND(66&gt;=$NR$17,66&lt;=$NS$17),IF($NP$17="Single_Point",IF(66=$NR$17,$NN$17,0),IF($NP$17="Bell_Curve",$NN$17*(66-$NR$17+1)*($NS$17-66+1)/$NU$17,$NN$17/$NT$17)),0)</f>
        <v/>
      </c>
      <c r="BS17" s="402">
        <f>IF(AND(67&gt;=$NR$17,67&lt;=$NS$17),IF($NP$17="Single_Point",IF(67=$NR$17,$NN$17,0),IF($NP$17="Bell_Curve",$NN$17*(67-$NR$17+1)*($NS$17-67+1)/$NU$17,$NN$17/$NT$17)),0)</f>
        <v/>
      </c>
      <c r="BT17" s="402">
        <f>IF(AND(68&gt;=$NR$17,68&lt;=$NS$17),IF($NP$17="Single_Point",IF(68=$NR$17,$NN$17,0),IF($NP$17="Bell_Curve",$NN$17*(68-$NR$17+1)*($NS$17-68+1)/$NU$17,$NN$17/$NT$17)),0)</f>
        <v/>
      </c>
      <c r="BU17" s="402">
        <f>IF(AND(69&gt;=$NR$17,69&lt;=$NS$17),IF($NP$17="Single_Point",IF(69=$NR$17,$NN$17,0),IF($NP$17="Bell_Curve",$NN$17*(69-$NR$17+1)*($NS$17-69+1)/$NU$17,$NN$17/$NT$17)),0)</f>
        <v/>
      </c>
      <c r="BV17" s="402">
        <f>IF(AND(70&gt;=$NR$17,70&lt;=$NS$17),IF($NP$17="Single_Point",IF(70=$NR$17,$NN$17,0),IF($NP$17="Bell_Curve",$NN$17*(70-$NR$17+1)*($NS$17-70+1)/$NU$17,$NN$17/$NT$17)),0)</f>
        <v/>
      </c>
      <c r="BW17" s="402">
        <f>IF(AND(71&gt;=$NR$17,71&lt;=$NS$17),IF($NP$17="Single_Point",IF(71=$NR$17,$NN$17,0),IF($NP$17="Bell_Curve",$NN$17*(71-$NR$17+1)*($NS$17-71+1)/$NU$17,$NN$17/$NT$17)),0)</f>
        <v/>
      </c>
      <c r="BX17" s="402">
        <f>IF(AND(72&gt;=$NR$17,72&lt;=$NS$17),IF($NP$17="Single_Point",IF(72=$NR$17,$NN$17,0),IF($NP$17="Bell_Curve",$NN$17*(72-$NR$17+1)*($NS$17-72+1)/$NU$17,$NN$17/$NT$17)),0)</f>
        <v/>
      </c>
      <c r="BY17" s="402">
        <f>IF(AND(73&gt;=$NR$17,73&lt;=$NS$17),IF($NP$17="Single_Point",IF(73=$NR$17,$NN$17,0),IF($NP$17="Bell_Curve",$NN$17*(73-$NR$17+1)*($NS$17-73+1)/$NU$17,$NN$17/$NT$17)),0)</f>
        <v/>
      </c>
      <c r="BZ17" s="402">
        <f>IF(AND(74&gt;=$NR$17,74&lt;=$NS$17),IF($NP$17="Single_Point",IF(74=$NR$17,$NN$17,0),IF($NP$17="Bell_Curve",$NN$17*(74-$NR$17+1)*($NS$17-74+1)/$NU$17,$NN$17/$NT$17)),0)</f>
        <v/>
      </c>
      <c r="CA17" s="402">
        <f>IF(AND(75&gt;=$NR$17,75&lt;=$NS$17),IF($NP$17="Single_Point",IF(75=$NR$17,$NN$17,0),IF($NP$17="Bell_Curve",$NN$17*(75-$NR$17+1)*($NS$17-75+1)/$NU$17,$NN$17/$NT$17)),0)</f>
        <v/>
      </c>
      <c r="CB17" s="402">
        <f>IF(AND(76&gt;=$NR$17,76&lt;=$NS$17),IF($NP$17="Single_Point",IF(76=$NR$17,$NN$17,0),IF($NP$17="Bell_Curve",$NN$17*(76-$NR$17+1)*($NS$17-76+1)/$NU$17,$NN$17/$NT$17)),0)</f>
        <v/>
      </c>
      <c r="CC17" s="402">
        <f>IF(AND(77&gt;=$NR$17,77&lt;=$NS$17),IF($NP$17="Single_Point",IF(77=$NR$17,$NN$17,0),IF($NP$17="Bell_Curve",$NN$17*(77-$NR$17+1)*($NS$17-77+1)/$NU$17,$NN$17/$NT$17)),0)</f>
        <v/>
      </c>
      <c r="CD17" s="402">
        <f>IF(AND(78&gt;=$NR$17,78&lt;=$NS$17),IF($NP$17="Single_Point",IF(78=$NR$17,$NN$17,0),IF($NP$17="Bell_Curve",$NN$17*(78-$NR$17+1)*($NS$17-78+1)/$NU$17,$NN$17/$NT$17)),0)</f>
        <v/>
      </c>
      <c r="CE17" s="402">
        <f>IF(AND(79&gt;=$NR$17,79&lt;=$NS$17),IF($NP$17="Single_Point",IF(79=$NR$17,$NN$17,0),IF($NP$17="Bell_Curve",$NN$17*(79-$NR$17+1)*($NS$17-79+1)/$NU$17,$NN$17/$NT$17)),0)</f>
        <v/>
      </c>
      <c r="CF17" s="402">
        <f>IF(AND(80&gt;=$NR$17,80&lt;=$NS$17),IF($NP$17="Single_Point",IF(80=$NR$17,$NN$17,0),IF($NP$17="Bell_Curve",$NN$17*(80-$NR$17+1)*($NS$17-80+1)/$NU$17,$NN$17/$NT$17)),0)</f>
        <v/>
      </c>
      <c r="CG17" s="402">
        <f>IF(AND(81&gt;=$NR$17,81&lt;=$NS$17),IF($NP$17="Single_Point",IF(81=$NR$17,$NN$17,0),IF($NP$17="Bell_Curve",$NN$17*(81-$NR$17+1)*($NS$17-81+1)/$NU$17,$NN$17/$NT$17)),0)</f>
        <v/>
      </c>
      <c r="CH17" s="402">
        <f>IF(AND(82&gt;=$NR$17,82&lt;=$NS$17),IF($NP$17="Single_Point",IF(82=$NR$17,$NN$17,0),IF($NP$17="Bell_Curve",$NN$17*(82-$NR$17+1)*($NS$17-82+1)/$NU$17,$NN$17/$NT$17)),0)</f>
        <v/>
      </c>
      <c r="CI17" s="402">
        <f>IF(AND(83&gt;=$NR$17,83&lt;=$NS$17),IF($NP$17="Single_Point",IF(83=$NR$17,$NN$17,0),IF($NP$17="Bell_Curve",$NN$17*(83-$NR$17+1)*($NS$17-83+1)/$NU$17,$NN$17/$NT$17)),0)</f>
        <v/>
      </c>
      <c r="CJ17" s="402">
        <f>IF(AND(84&gt;=$NR$17,84&lt;=$NS$17),IF($NP$17="Single_Point",IF(84=$NR$17,$NN$17,0),IF($NP$17="Bell_Curve",$NN$17*(84-$NR$17+1)*($NS$17-84+1)/$NU$17,$NN$17/$NT$17)),0)</f>
        <v/>
      </c>
      <c r="CK17" s="402">
        <f>IF(AND(85&gt;=$NR$17,85&lt;=$NS$17),IF($NP$17="Single_Point",IF(85=$NR$17,$NN$17,0),IF($NP$17="Bell_Curve",$NN$17*(85-$NR$17+1)*($NS$17-85+1)/$NU$17,$NN$17/$NT$17)),0)</f>
        <v/>
      </c>
      <c r="CL17" s="402">
        <f>IF(AND(86&gt;=$NR$17,86&lt;=$NS$17),IF($NP$17="Single_Point",IF(86=$NR$17,$NN$17,0),IF($NP$17="Bell_Curve",$NN$17*(86-$NR$17+1)*($NS$17-86+1)/$NU$17,$NN$17/$NT$17)),0)</f>
        <v/>
      </c>
      <c r="CM17" s="402">
        <f>IF(AND(87&gt;=$NR$17,87&lt;=$NS$17),IF($NP$17="Single_Point",IF(87=$NR$17,$NN$17,0),IF($NP$17="Bell_Curve",$NN$17*(87-$NR$17+1)*($NS$17-87+1)/$NU$17,$NN$17/$NT$17)),0)</f>
        <v/>
      </c>
      <c r="CN17" s="402">
        <f>IF(AND(88&gt;=$NR$17,88&lt;=$NS$17),IF($NP$17="Single_Point",IF(88=$NR$17,$NN$17,0),IF($NP$17="Bell_Curve",$NN$17*(88-$NR$17+1)*($NS$17-88+1)/$NU$17,$NN$17/$NT$17)),0)</f>
        <v/>
      </c>
      <c r="CO17" s="402">
        <f>IF(AND(89&gt;=$NR$17,89&lt;=$NS$17),IF($NP$17="Single_Point",IF(89=$NR$17,$NN$17,0),IF($NP$17="Bell_Curve",$NN$17*(89-$NR$17+1)*($NS$17-89+1)/$NU$17,$NN$17/$NT$17)),0)</f>
        <v/>
      </c>
      <c r="CP17" s="402">
        <f>IF(AND(90&gt;=$NR$17,90&lt;=$NS$17),IF($NP$17="Single_Point",IF(90=$NR$17,$NN$17,0),IF($NP$17="Bell_Curve",$NN$17*(90-$NR$17+1)*($NS$17-90+1)/$NU$17,$NN$17/$NT$17)),0)</f>
        <v/>
      </c>
      <c r="CQ17" s="402">
        <f>IF(AND(91&gt;=$NR$17,91&lt;=$NS$17),IF($NP$17="Single_Point",IF(91=$NR$17,$NN$17,0),IF($NP$17="Bell_Curve",$NN$17*(91-$NR$17+1)*($NS$17-91+1)/$NU$17,$NN$17/$NT$17)),0)</f>
        <v/>
      </c>
      <c r="CR17" s="402">
        <f>IF(AND(92&gt;=$NR$17,92&lt;=$NS$17),IF($NP$17="Single_Point",IF(92=$NR$17,$NN$17,0),IF($NP$17="Bell_Curve",$NN$17*(92-$NR$17+1)*($NS$17-92+1)/$NU$17,$NN$17/$NT$17)),0)</f>
        <v/>
      </c>
      <c r="CS17" s="402">
        <f>IF(AND(93&gt;=$NR$17,93&lt;=$NS$17),IF($NP$17="Single_Point",IF(93=$NR$17,$NN$17,0),IF($NP$17="Bell_Curve",$NN$17*(93-$NR$17+1)*($NS$17-93+1)/$NU$17,$NN$17/$NT$17)),0)</f>
        <v/>
      </c>
      <c r="CT17" s="402">
        <f>IF(AND(94&gt;=$NR$17,94&lt;=$NS$17),IF($NP$17="Single_Point",IF(94=$NR$17,$NN$17,0),IF($NP$17="Bell_Curve",$NN$17*(94-$NR$17+1)*($NS$17-94+1)/$NU$17,$NN$17/$NT$17)),0)</f>
        <v/>
      </c>
      <c r="CU17" s="402">
        <f>IF(AND(95&gt;=$NR$17,95&lt;=$NS$17),IF($NP$17="Single_Point",IF(95=$NR$17,$NN$17,0),IF($NP$17="Bell_Curve",$NN$17*(95-$NR$17+1)*($NS$17-95+1)/$NU$17,$NN$17/$NT$17)),0)</f>
        <v/>
      </c>
      <c r="CV17" s="402">
        <f>IF(AND(96&gt;=$NR$17,96&lt;=$NS$17),IF($NP$17="Single_Point",IF(96=$NR$17,$NN$17,0),IF($NP$17="Bell_Curve",$NN$17*(96-$NR$17+1)*($NS$17-96+1)/$NU$17,$NN$17/$NT$17)),0)</f>
        <v/>
      </c>
      <c r="CW17" s="402">
        <f>IF(AND(97&gt;=$NR$17,97&lt;=$NS$17),IF($NP$17="Single_Point",IF(97=$NR$17,$NN$17,0),IF($NP$17="Bell_Curve",$NN$17*(97-$NR$17+1)*($NS$17-97+1)/$NU$17,$NN$17/$NT$17)),0)</f>
        <v/>
      </c>
      <c r="CX17" s="402">
        <f>IF(AND(98&gt;=$NR$17,98&lt;=$NS$17),IF($NP$17="Single_Point",IF(98=$NR$17,$NN$17,0),IF($NP$17="Bell_Curve",$NN$17*(98-$NR$17+1)*($NS$17-98+1)/$NU$17,$NN$17/$NT$17)),0)</f>
        <v/>
      </c>
      <c r="CY17" s="402">
        <f>IF(AND(99&gt;=$NR$17,99&lt;=$NS$17),IF($NP$17="Single_Point",IF(99=$NR$17,$NN$17,0),IF($NP$17="Bell_Curve",$NN$17*(99-$NR$17+1)*($NS$17-99+1)/$NU$17,$NN$17/$NT$17)),0)</f>
        <v/>
      </c>
      <c r="CZ17" s="402">
        <f>IF(AND(100&gt;=$NR$17,100&lt;=$NS$17),IF($NP$17="Single_Point",IF(100=$NR$17,$NN$17,0),IF($NP$17="Bell_Curve",$NN$17*(100-$NR$17+1)*($NS$17-100+1)/$NU$17,$NN$17/$NT$17)),0)</f>
        <v/>
      </c>
      <c r="DA17" s="402">
        <f>IF(AND(101&gt;=$NR$17,101&lt;=$NS$17),IF($NP$17="Single_Point",IF(101=$NR$17,$NN$17,0),IF($NP$17="Bell_Curve",$NN$17*(101-$NR$17+1)*($NS$17-101+1)/$NU$17,$NN$17/$NT$17)),0)</f>
        <v/>
      </c>
      <c r="DB17" s="402">
        <f>IF(AND(102&gt;=$NR$17,102&lt;=$NS$17),IF($NP$17="Single_Point",IF(102=$NR$17,$NN$17,0),IF($NP$17="Bell_Curve",$NN$17*(102-$NR$17+1)*($NS$17-102+1)/$NU$17,$NN$17/$NT$17)),0)</f>
        <v/>
      </c>
      <c r="DC17" s="402">
        <f>IF(AND(103&gt;=$NR$17,103&lt;=$NS$17),IF($NP$17="Single_Point",IF(103=$NR$17,$NN$17,0),IF($NP$17="Bell_Curve",$NN$17*(103-$NR$17+1)*($NS$17-103+1)/$NU$17,$NN$17/$NT$17)),0)</f>
        <v/>
      </c>
      <c r="DD17" s="402">
        <f>IF(AND(104&gt;=$NR$17,104&lt;=$NS$17),IF($NP$17="Single_Point",IF(104=$NR$17,$NN$17,0),IF($NP$17="Bell_Curve",$NN$17*(104-$NR$17+1)*($NS$17-104+1)/$NU$17,$NN$17/$NT$17)),0)</f>
        <v/>
      </c>
      <c r="DE17" s="402">
        <f>IF(AND(105&gt;=$NR$17,105&lt;=$NS$17),IF($NP$17="Single_Point",IF(105=$NR$17,$NN$17,0),IF($NP$17="Bell_Curve",$NN$17*(105-$NR$17+1)*($NS$17-105+1)/$NU$17,$NN$17/$NT$17)),0)</f>
        <v/>
      </c>
      <c r="DF17" s="402">
        <f>IF(AND(106&gt;=$NR$17,106&lt;=$NS$17),IF($NP$17="Single_Point",IF(106=$NR$17,$NN$17,0),IF($NP$17="Bell_Curve",$NN$17*(106-$NR$17+1)*($NS$17-106+1)/$NU$17,$NN$17/$NT$17)),0)</f>
        <v/>
      </c>
      <c r="DG17" s="402">
        <f>IF(AND(107&gt;=$NR$17,107&lt;=$NS$17),IF($NP$17="Single_Point",IF(107=$NR$17,$NN$17,0),IF($NP$17="Bell_Curve",$NN$17*(107-$NR$17+1)*($NS$17-107+1)/$NU$17,$NN$17/$NT$17)),0)</f>
        <v/>
      </c>
      <c r="DH17" s="402">
        <f>IF(AND(108&gt;=$NR$17,108&lt;=$NS$17),IF($NP$17="Single_Point",IF(108=$NR$17,$NN$17,0),IF($NP$17="Bell_Curve",$NN$17*(108-$NR$17+1)*($NS$17-108+1)/$NU$17,$NN$17/$NT$17)),0)</f>
        <v/>
      </c>
      <c r="DI17" s="402">
        <f>IF(AND(109&gt;=$NR$17,109&lt;=$NS$17),IF($NP$17="Single_Point",IF(109=$NR$17,$NN$17,0),IF($NP$17="Bell_Curve",$NN$17*(109-$NR$17+1)*($NS$17-109+1)/$NU$17,$NN$17/$NT$17)),0)</f>
        <v/>
      </c>
      <c r="DJ17" s="402">
        <f>IF(AND(110&gt;=$NR$17,110&lt;=$NS$17),IF($NP$17="Single_Point",IF(110=$NR$17,$NN$17,0),IF($NP$17="Bell_Curve",$NN$17*(110-$NR$17+1)*($NS$17-110+1)/$NU$17,$NN$17/$NT$17)),0)</f>
        <v/>
      </c>
      <c r="DK17" s="402">
        <f>IF(AND(111&gt;=$NR$17,111&lt;=$NS$17),IF($NP$17="Single_Point",IF(111=$NR$17,$NN$17,0),IF($NP$17="Bell_Curve",$NN$17*(111-$NR$17+1)*($NS$17-111+1)/$NU$17,$NN$17/$NT$17)),0)</f>
        <v/>
      </c>
      <c r="DL17" s="402">
        <f>IF(AND(112&gt;=$NR$17,112&lt;=$NS$17),IF($NP$17="Single_Point",IF(112=$NR$17,$NN$17,0),IF($NP$17="Bell_Curve",$NN$17*(112-$NR$17+1)*($NS$17-112+1)/$NU$17,$NN$17/$NT$17)),0)</f>
        <v/>
      </c>
      <c r="DM17" s="402">
        <f>IF(AND(113&gt;=$NR$17,113&lt;=$NS$17),IF($NP$17="Single_Point",IF(113=$NR$17,$NN$17,0),IF($NP$17="Bell_Curve",$NN$17*(113-$NR$17+1)*($NS$17-113+1)/$NU$17,$NN$17/$NT$17)),0)</f>
        <v/>
      </c>
      <c r="DN17" s="402">
        <f>IF(AND(114&gt;=$NR$17,114&lt;=$NS$17),IF($NP$17="Single_Point",IF(114=$NR$17,$NN$17,0),IF($NP$17="Bell_Curve",$NN$17*(114-$NR$17+1)*($NS$17-114+1)/$NU$17,$NN$17/$NT$17)),0)</f>
        <v/>
      </c>
      <c r="DO17" s="402">
        <f>IF(AND(115&gt;=$NR$17,115&lt;=$NS$17),IF($NP$17="Single_Point",IF(115=$NR$17,$NN$17,0),IF($NP$17="Bell_Curve",$NN$17*(115-$NR$17+1)*($NS$17-115+1)/$NU$17,$NN$17/$NT$17)),0)</f>
        <v/>
      </c>
      <c r="DP17" s="402">
        <f>IF(AND(116&gt;=$NR$17,116&lt;=$NS$17),IF($NP$17="Single_Point",IF(116=$NR$17,$NN$17,0),IF($NP$17="Bell_Curve",$NN$17*(116-$NR$17+1)*($NS$17-116+1)/$NU$17,$NN$17/$NT$17)),0)</f>
        <v/>
      </c>
      <c r="DQ17" s="402">
        <f>IF(AND(117&gt;=$NR$17,117&lt;=$NS$17),IF($NP$17="Single_Point",IF(117=$NR$17,$NN$17,0),IF($NP$17="Bell_Curve",$NN$17*(117-$NR$17+1)*($NS$17-117+1)/$NU$17,$NN$17/$NT$17)),0)</f>
        <v/>
      </c>
      <c r="DR17" s="402">
        <f>IF(AND(118&gt;=$NR$17,118&lt;=$NS$17),IF($NP$17="Single_Point",IF(118=$NR$17,$NN$17,0),IF($NP$17="Bell_Curve",$NN$17*(118-$NR$17+1)*($NS$17-118+1)/$NU$17,$NN$17/$NT$17)),0)</f>
        <v/>
      </c>
      <c r="DS17" s="402">
        <f>IF(AND(119&gt;=$NR$17,119&lt;=$NS$17),IF($NP$17="Single_Point",IF(119=$NR$17,$NN$17,0),IF($NP$17="Bell_Curve",$NN$17*(119-$NR$17+1)*($NS$17-119+1)/$NU$17,$NN$17/$NT$17)),0)</f>
        <v/>
      </c>
      <c r="DT17" s="402">
        <f>IF(AND(120&gt;=$NR$17,120&lt;=$NS$17),IF($NP$17="Single_Point",IF(120=$NR$17,$NN$17,0),IF($NP$17="Bell_Curve",$NN$17*(120-$NR$17+1)*($NS$17-120+1)/$NU$17,$NN$17/$NT$17)),0)</f>
        <v/>
      </c>
      <c r="DU17" s="402">
        <f>IF(AND(121&gt;=$NR$17,121&lt;=$NS$17),IF($NP$17="Single_Point",IF(121=$NR$17,$NN$17,0),IF($NP$17="Bell_Curve",$NN$17*(121-$NR$17+1)*($NS$17-121+1)/$NU$17,$NN$17/$NT$17)),0)</f>
        <v/>
      </c>
      <c r="DV17" s="402">
        <f>IF(AND(122&gt;=$NR$17,122&lt;=$NS$17),IF($NP$17="Single_Point",IF(122=$NR$17,$NN$17,0),IF($NP$17="Bell_Curve",$NN$17*(122-$NR$17+1)*($NS$17-122+1)/$NU$17,$NN$17/$NT$17)),0)</f>
        <v/>
      </c>
      <c r="DW17" s="402">
        <f>IF(AND(123&gt;=$NR$17,123&lt;=$NS$17),IF($NP$17="Single_Point",IF(123=$NR$17,$NN$17,0),IF($NP$17="Bell_Curve",$NN$17*(123-$NR$17+1)*($NS$17-123+1)/$NU$17,$NN$17/$NT$17)),0)</f>
        <v/>
      </c>
      <c r="DX17" s="402">
        <f>IF(AND(124&gt;=$NR$17,124&lt;=$NS$17),IF($NP$17="Single_Point",IF(124=$NR$17,$NN$17,0),IF($NP$17="Bell_Curve",$NN$17*(124-$NR$17+1)*($NS$17-124+1)/$NU$17,$NN$17/$NT$17)),0)</f>
        <v/>
      </c>
      <c r="DY17" s="402">
        <f>IF(AND(125&gt;=$NR$17,125&lt;=$NS$17),IF($NP$17="Single_Point",IF(125=$NR$17,$NN$17,0),IF($NP$17="Bell_Curve",$NN$17*(125-$NR$17+1)*($NS$17-125+1)/$NU$17,$NN$17/$NT$17)),0)</f>
        <v/>
      </c>
      <c r="DZ17" s="402">
        <f>IF(AND(126&gt;=$NR$17,126&lt;=$NS$17),IF($NP$17="Single_Point",IF(126=$NR$17,$NN$17,0),IF($NP$17="Bell_Curve",$NN$17*(126-$NR$17+1)*($NS$17-126+1)/$NU$17,$NN$17/$NT$17)),0)</f>
        <v/>
      </c>
      <c r="EA17" s="402">
        <f>IF(AND(127&gt;=$NR$17,127&lt;=$NS$17),IF($NP$17="Single_Point",IF(127=$NR$17,$NN$17,0),IF($NP$17="Bell_Curve",$NN$17*(127-$NR$17+1)*($NS$17-127+1)/$NU$17,$NN$17/$NT$17)),0)</f>
        <v/>
      </c>
      <c r="EB17" s="402">
        <f>IF(AND(128&gt;=$NR$17,128&lt;=$NS$17),IF($NP$17="Single_Point",IF(128=$NR$17,$NN$17,0),IF($NP$17="Bell_Curve",$NN$17*(128-$NR$17+1)*($NS$17-128+1)/$NU$17,$NN$17/$NT$17)),0)</f>
        <v/>
      </c>
      <c r="EC17" s="402">
        <f>IF(AND(129&gt;=$NR$17,129&lt;=$NS$17),IF($NP$17="Single_Point",IF(129=$NR$17,$NN$17,0),IF($NP$17="Bell_Curve",$NN$17*(129-$NR$17+1)*($NS$17-129+1)/$NU$17,$NN$17/$NT$17)),0)</f>
        <v/>
      </c>
      <c r="ED17" s="402">
        <f>IF(AND(130&gt;=$NR$17,130&lt;=$NS$17),IF($NP$17="Single_Point",IF(130=$NR$17,$NN$17,0),IF($NP$17="Bell_Curve",$NN$17*(130-$NR$17+1)*($NS$17-130+1)/$NU$17,$NN$17/$NT$17)),0)</f>
        <v/>
      </c>
      <c r="EE17" s="402">
        <f>IF(AND(131&gt;=$NR$17,131&lt;=$NS$17),IF($NP$17="Single_Point",IF(131=$NR$17,$NN$17,0),IF($NP$17="Bell_Curve",$NN$17*(131-$NR$17+1)*($NS$17-131+1)/$NU$17,$NN$17/$NT$17)),0)</f>
        <v/>
      </c>
      <c r="EF17" s="402">
        <f>IF(AND(132&gt;=$NR$17,132&lt;=$NS$17),IF($NP$17="Single_Point",IF(132=$NR$17,$NN$17,0),IF($NP$17="Bell_Curve",$NN$17*(132-$NR$17+1)*($NS$17-132+1)/$NU$17,$NN$17/$NT$17)),0)</f>
        <v/>
      </c>
      <c r="EG17" s="402">
        <f>IF(AND(133&gt;=$NR$17,133&lt;=$NS$17),IF($NP$17="Single_Point",IF(133=$NR$17,$NN$17,0),IF($NP$17="Bell_Curve",$NN$17*(133-$NR$17+1)*($NS$17-133+1)/$NU$17,$NN$17/$NT$17)),0)</f>
        <v/>
      </c>
      <c r="EH17" s="402">
        <f>IF(AND(134&gt;=$NR$17,134&lt;=$NS$17),IF($NP$17="Single_Point",IF(134=$NR$17,$NN$17,0),IF($NP$17="Bell_Curve",$NN$17*(134-$NR$17+1)*($NS$17-134+1)/$NU$17,$NN$17/$NT$17)),0)</f>
        <v/>
      </c>
      <c r="EI17" s="402">
        <f>IF(AND(135&gt;=$NR$17,135&lt;=$NS$17),IF($NP$17="Single_Point",IF(135=$NR$17,$NN$17,0),IF($NP$17="Bell_Curve",$NN$17*(135-$NR$17+1)*($NS$17-135+1)/$NU$17,$NN$17/$NT$17)),0)</f>
        <v/>
      </c>
      <c r="EJ17" s="402">
        <f>IF(AND(136&gt;=$NR$17,136&lt;=$NS$17),IF($NP$17="Single_Point",IF(136=$NR$17,$NN$17,0),IF($NP$17="Bell_Curve",$NN$17*(136-$NR$17+1)*($NS$17-136+1)/$NU$17,$NN$17/$NT$17)),0)</f>
        <v/>
      </c>
      <c r="EK17" s="402">
        <f>IF(AND(137&gt;=$NR$17,137&lt;=$NS$17),IF($NP$17="Single_Point",IF(137=$NR$17,$NN$17,0),IF($NP$17="Bell_Curve",$NN$17*(137-$NR$17+1)*($NS$17-137+1)/$NU$17,$NN$17/$NT$17)),0)</f>
        <v/>
      </c>
      <c r="EL17" s="402">
        <f>IF(AND(138&gt;=$NR$17,138&lt;=$NS$17),IF($NP$17="Single_Point",IF(138=$NR$17,$NN$17,0),IF($NP$17="Bell_Curve",$NN$17*(138-$NR$17+1)*($NS$17-138+1)/$NU$17,$NN$17/$NT$17)),0)</f>
        <v/>
      </c>
      <c r="EM17" s="402">
        <f>IF(AND(139&gt;=$NR$17,139&lt;=$NS$17),IF($NP$17="Single_Point",IF(139=$NR$17,$NN$17,0),IF($NP$17="Bell_Curve",$NN$17*(139-$NR$17+1)*($NS$17-139+1)/$NU$17,$NN$17/$NT$17)),0)</f>
        <v/>
      </c>
      <c r="EN17" s="402">
        <f>IF(AND(140&gt;=$NR$17,140&lt;=$NS$17),IF($NP$17="Single_Point",IF(140=$NR$17,$NN$17,0),IF($NP$17="Bell_Curve",$NN$17*(140-$NR$17+1)*($NS$17-140+1)/$NU$17,$NN$17/$NT$17)),0)</f>
        <v/>
      </c>
      <c r="EO17" s="402">
        <f>IF(AND(141&gt;=$NR$17,141&lt;=$NS$17),IF($NP$17="Single_Point",IF(141=$NR$17,$NN$17,0),IF($NP$17="Bell_Curve",$NN$17*(141-$NR$17+1)*($NS$17-141+1)/$NU$17,$NN$17/$NT$17)),0)</f>
        <v/>
      </c>
      <c r="EP17" s="402">
        <f>IF(AND(142&gt;=$NR$17,142&lt;=$NS$17),IF($NP$17="Single_Point",IF(142=$NR$17,$NN$17,0),IF($NP$17="Bell_Curve",$NN$17*(142-$NR$17+1)*($NS$17-142+1)/$NU$17,$NN$17/$NT$17)),0)</f>
        <v/>
      </c>
      <c r="EQ17" s="402">
        <f>IF(AND(143&gt;=$NR$17,143&lt;=$NS$17),IF($NP$17="Single_Point",IF(143=$NR$17,$NN$17,0),IF($NP$17="Bell_Curve",$NN$17*(143-$NR$17+1)*($NS$17-143+1)/$NU$17,$NN$17/$NT$17)),0)</f>
        <v/>
      </c>
      <c r="ER17" s="402">
        <f>IF(AND(144&gt;=$NR$17,144&lt;=$NS$17),IF($NP$17="Single_Point",IF(144=$NR$17,$NN$17,0),IF($NP$17="Bell_Curve",$NN$17*(144-$NR$17+1)*($NS$17-144+1)/$NU$17,$NN$17/$NT$17)),0)</f>
        <v/>
      </c>
      <c r="ES17" s="402">
        <f>IF(AND(145&gt;=$NR$17,145&lt;=$NS$17),IF($NP$17="Single_Point",IF(145=$NR$17,$NN$17,0),IF($NP$17="Bell_Curve",$NN$17*(145-$NR$17+1)*($NS$17-145+1)/$NU$17,$NN$17/$NT$17)),0)</f>
        <v/>
      </c>
      <c r="ET17" s="402">
        <f>IF(AND(146&gt;=$NR$17,146&lt;=$NS$17),IF($NP$17="Single_Point",IF(146=$NR$17,$NN$17,0),IF($NP$17="Bell_Curve",$NN$17*(146-$NR$17+1)*($NS$17-146+1)/$NU$17,$NN$17/$NT$17)),0)</f>
        <v/>
      </c>
      <c r="EU17" s="402">
        <f>IF(AND(147&gt;=$NR$17,147&lt;=$NS$17),IF($NP$17="Single_Point",IF(147=$NR$17,$NN$17,0),IF($NP$17="Bell_Curve",$NN$17*(147-$NR$17+1)*($NS$17-147+1)/$NU$17,$NN$17/$NT$17)),0)</f>
        <v/>
      </c>
      <c r="EV17" s="402">
        <f>IF(AND(148&gt;=$NR$17,148&lt;=$NS$17),IF($NP$17="Single_Point",IF(148=$NR$17,$NN$17,0),IF($NP$17="Bell_Curve",$NN$17*(148-$NR$17+1)*($NS$17-148+1)/$NU$17,$NN$17/$NT$17)),0)</f>
        <v/>
      </c>
      <c r="EW17" s="402">
        <f>IF(AND(149&gt;=$NR$17,149&lt;=$NS$17),IF($NP$17="Single_Point",IF(149=$NR$17,$NN$17,0),IF($NP$17="Bell_Curve",$NN$17*(149-$NR$17+1)*($NS$17-149+1)/$NU$17,$NN$17/$NT$17)),0)</f>
        <v/>
      </c>
      <c r="EX17" s="402">
        <f>IF(AND(150&gt;=$NR$17,150&lt;=$NS$17),IF($NP$17="Single_Point",IF(150=$NR$17,$NN$17,0),IF($NP$17="Bell_Curve",$NN$17*(150-$NR$17+1)*($NS$17-150+1)/$NU$17,$NN$17/$NT$17)),0)</f>
        <v/>
      </c>
      <c r="EY17" s="402">
        <f>IF(AND(151&gt;=$NR$17,151&lt;=$NS$17),IF($NP$17="Single_Point",IF(151=$NR$17,$NN$17,0),IF($NP$17="Bell_Curve",$NN$17*(151-$NR$17+1)*($NS$17-151+1)/$NU$17,$NN$17/$NT$17)),0)</f>
        <v/>
      </c>
      <c r="EZ17" s="402">
        <f>IF(AND(152&gt;=$NR$17,152&lt;=$NS$17),IF($NP$17="Single_Point",IF(152=$NR$17,$NN$17,0),IF($NP$17="Bell_Curve",$NN$17*(152-$NR$17+1)*($NS$17-152+1)/$NU$17,$NN$17/$NT$17)),0)</f>
        <v/>
      </c>
      <c r="FA17" s="402">
        <f>IF(AND(153&gt;=$NR$17,153&lt;=$NS$17),IF($NP$17="Single_Point",IF(153=$NR$17,$NN$17,0),IF($NP$17="Bell_Curve",$NN$17*(153-$NR$17+1)*($NS$17-153+1)/$NU$17,$NN$17/$NT$17)),0)</f>
        <v/>
      </c>
      <c r="FB17" s="402">
        <f>IF(AND(154&gt;=$NR$17,154&lt;=$NS$17),IF($NP$17="Single_Point",IF(154=$NR$17,$NN$17,0),IF($NP$17="Bell_Curve",$NN$17*(154-$NR$17+1)*($NS$17-154+1)/$NU$17,$NN$17/$NT$17)),0)</f>
        <v/>
      </c>
      <c r="FC17" s="402">
        <f>IF(AND(155&gt;=$NR$17,155&lt;=$NS$17),IF($NP$17="Single_Point",IF(155=$NR$17,$NN$17,0),IF($NP$17="Bell_Curve",$NN$17*(155-$NR$17+1)*($NS$17-155+1)/$NU$17,$NN$17/$NT$17)),0)</f>
        <v/>
      </c>
      <c r="FD17" s="402">
        <f>IF(AND(156&gt;=$NR$17,156&lt;=$NS$17),IF($NP$17="Single_Point",IF(156=$NR$17,$NN$17,0),IF($NP$17="Bell_Curve",$NN$17*(156-$NR$17+1)*($NS$17-156+1)/$NU$17,$NN$17/$NT$17)),0)</f>
        <v/>
      </c>
      <c r="FE17" s="402">
        <f>IF(AND(157&gt;=$NR$17,157&lt;=$NS$17),IF($NP$17="Single_Point",IF(157=$NR$17,$NN$17,0),IF($NP$17="Bell_Curve",$NN$17*(157-$NR$17+1)*($NS$17-157+1)/$NU$17,$NN$17/$NT$17)),0)</f>
        <v/>
      </c>
      <c r="FF17" s="402">
        <f>IF(AND(158&gt;=$NR$17,158&lt;=$NS$17),IF($NP$17="Single_Point",IF(158=$NR$17,$NN$17,0),IF($NP$17="Bell_Curve",$NN$17*(158-$NR$17+1)*($NS$17-158+1)/$NU$17,$NN$17/$NT$17)),0)</f>
        <v/>
      </c>
      <c r="FG17" s="402">
        <f>IF(AND(159&gt;=$NR$17,159&lt;=$NS$17),IF($NP$17="Single_Point",IF(159=$NR$17,$NN$17,0),IF($NP$17="Bell_Curve",$NN$17*(159-$NR$17+1)*($NS$17-159+1)/$NU$17,$NN$17/$NT$17)),0)</f>
        <v/>
      </c>
      <c r="FH17" s="402">
        <f>IF(AND(160&gt;=$NR$17,160&lt;=$NS$17),IF($NP$17="Single_Point",IF(160=$NR$17,$NN$17,0),IF($NP$17="Bell_Curve",$NN$17*(160-$NR$17+1)*($NS$17-160+1)/$NU$17,$NN$17/$NT$17)),0)</f>
        <v/>
      </c>
      <c r="FI17" s="402">
        <f>IF(AND(161&gt;=$NR$17,161&lt;=$NS$17),IF($NP$17="Single_Point",IF(161=$NR$17,$NN$17,0),IF($NP$17="Bell_Curve",$NN$17*(161-$NR$17+1)*($NS$17-161+1)/$NU$17,$NN$17/$NT$17)),0)</f>
        <v/>
      </c>
      <c r="FJ17" s="402">
        <f>IF(AND(162&gt;=$NR$17,162&lt;=$NS$17),IF($NP$17="Single_Point",IF(162=$NR$17,$NN$17,0),IF($NP$17="Bell_Curve",$NN$17*(162-$NR$17+1)*($NS$17-162+1)/$NU$17,$NN$17/$NT$17)),0)</f>
        <v/>
      </c>
      <c r="FK17" s="402">
        <f>IF(AND(163&gt;=$NR$17,163&lt;=$NS$17),IF($NP$17="Single_Point",IF(163=$NR$17,$NN$17,0),IF($NP$17="Bell_Curve",$NN$17*(163-$NR$17+1)*($NS$17-163+1)/$NU$17,$NN$17/$NT$17)),0)</f>
        <v/>
      </c>
      <c r="FL17" s="402">
        <f>IF(AND(164&gt;=$NR$17,164&lt;=$NS$17),IF($NP$17="Single_Point",IF(164=$NR$17,$NN$17,0),IF($NP$17="Bell_Curve",$NN$17*(164-$NR$17+1)*($NS$17-164+1)/$NU$17,$NN$17/$NT$17)),0)</f>
        <v/>
      </c>
      <c r="FM17" s="402">
        <f>IF(AND(165&gt;=$NR$17,165&lt;=$NS$17),IF($NP$17="Single_Point",IF(165=$NR$17,$NN$17,0),IF($NP$17="Bell_Curve",$NN$17*(165-$NR$17+1)*($NS$17-165+1)/$NU$17,$NN$17/$NT$17)),0)</f>
        <v/>
      </c>
      <c r="FN17" s="402">
        <f>IF(AND(166&gt;=$NR$17,166&lt;=$NS$17),IF($NP$17="Single_Point",IF(166=$NR$17,$NN$17,0),IF($NP$17="Bell_Curve",$NN$17*(166-$NR$17+1)*($NS$17-166+1)/$NU$17,$NN$17/$NT$17)),0)</f>
        <v/>
      </c>
      <c r="FO17" s="402">
        <f>IF(AND(167&gt;=$NR$17,167&lt;=$NS$17),IF($NP$17="Single_Point",IF(167=$NR$17,$NN$17,0),IF($NP$17="Bell_Curve",$NN$17*(167-$NR$17+1)*($NS$17-167+1)/$NU$17,$NN$17/$NT$17)),0)</f>
        <v/>
      </c>
      <c r="FP17" s="402">
        <f>IF(AND(168&gt;=$NR$17,168&lt;=$NS$17),IF($NP$17="Single_Point",IF(168=$NR$17,$NN$17,0),IF($NP$17="Bell_Curve",$NN$17*(168-$NR$17+1)*($NS$17-168+1)/$NU$17,$NN$17/$NT$17)),0)</f>
        <v/>
      </c>
      <c r="FQ17" s="402">
        <f>IF(AND(169&gt;=$NR$17,169&lt;=$NS$17),IF($NP$17="Single_Point",IF(169=$NR$17,$NN$17,0),IF($NP$17="Bell_Curve",$NN$17*(169-$NR$17+1)*($NS$17-169+1)/$NU$17,$NN$17/$NT$17)),0)</f>
        <v/>
      </c>
      <c r="FR17" s="402">
        <f>IF(AND(170&gt;=$NR$17,170&lt;=$NS$17),IF($NP$17="Single_Point",IF(170=$NR$17,$NN$17,0),IF($NP$17="Bell_Curve",$NN$17*(170-$NR$17+1)*($NS$17-170+1)/$NU$17,$NN$17/$NT$17)),0)</f>
        <v/>
      </c>
      <c r="FS17" s="402">
        <f>IF(AND(171&gt;=$NR$17,171&lt;=$NS$17),IF($NP$17="Single_Point",IF(171=$NR$17,$NN$17,0),IF($NP$17="Bell_Curve",$NN$17*(171-$NR$17+1)*($NS$17-171+1)/$NU$17,$NN$17/$NT$17)),0)</f>
        <v/>
      </c>
      <c r="FT17" s="402">
        <f>IF(AND(172&gt;=$NR$17,172&lt;=$NS$17),IF($NP$17="Single_Point",IF(172=$NR$17,$NN$17,0),IF($NP$17="Bell_Curve",$NN$17*(172-$NR$17+1)*($NS$17-172+1)/$NU$17,$NN$17/$NT$17)),0)</f>
        <v/>
      </c>
      <c r="FU17" s="402">
        <f>IF(AND(173&gt;=$NR$17,173&lt;=$NS$17),IF($NP$17="Single_Point",IF(173=$NR$17,$NN$17,0),IF($NP$17="Bell_Curve",$NN$17*(173-$NR$17+1)*($NS$17-173+1)/$NU$17,$NN$17/$NT$17)),0)</f>
        <v/>
      </c>
      <c r="FV17" s="402">
        <f>IF(AND(174&gt;=$NR$17,174&lt;=$NS$17),IF($NP$17="Single_Point",IF(174=$NR$17,$NN$17,0),IF($NP$17="Bell_Curve",$NN$17*(174-$NR$17+1)*($NS$17-174+1)/$NU$17,$NN$17/$NT$17)),0)</f>
        <v/>
      </c>
      <c r="FW17" s="402">
        <f>IF(AND(175&gt;=$NR$17,175&lt;=$NS$17),IF($NP$17="Single_Point",IF(175=$NR$17,$NN$17,0),IF($NP$17="Bell_Curve",$NN$17*(175-$NR$17+1)*($NS$17-175+1)/$NU$17,$NN$17/$NT$17)),0)</f>
        <v/>
      </c>
      <c r="FX17" s="402">
        <f>IF(AND(176&gt;=$NR$17,176&lt;=$NS$17),IF($NP$17="Single_Point",IF(176=$NR$17,$NN$17,0),IF($NP$17="Bell_Curve",$NN$17*(176-$NR$17+1)*($NS$17-176+1)/$NU$17,$NN$17/$NT$17)),0)</f>
        <v/>
      </c>
      <c r="FY17" s="402">
        <f>IF(AND(177&gt;=$NR$17,177&lt;=$NS$17),IF($NP$17="Single_Point",IF(177=$NR$17,$NN$17,0),IF($NP$17="Bell_Curve",$NN$17*(177-$NR$17+1)*($NS$17-177+1)/$NU$17,$NN$17/$NT$17)),0)</f>
        <v/>
      </c>
      <c r="FZ17" s="402">
        <f>IF(AND(178&gt;=$NR$17,178&lt;=$NS$17),IF($NP$17="Single_Point",IF(178=$NR$17,$NN$17,0),IF($NP$17="Bell_Curve",$NN$17*(178-$NR$17+1)*($NS$17-178+1)/$NU$17,$NN$17/$NT$17)),0)</f>
        <v/>
      </c>
      <c r="GA17" s="402">
        <f>IF(AND(179&gt;=$NR$17,179&lt;=$NS$17),IF($NP$17="Single_Point",IF(179=$NR$17,$NN$17,0),IF($NP$17="Bell_Curve",$NN$17*(179-$NR$17+1)*($NS$17-179+1)/$NU$17,$NN$17/$NT$17)),0)</f>
        <v/>
      </c>
      <c r="GB17" s="402">
        <f>IF(AND(180&gt;=$NR$17,180&lt;=$NS$17),IF($NP$17="Single_Point",IF(180=$NR$17,$NN$17,0),IF($NP$17="Bell_Curve",$NN$17*(180-$NR$17+1)*($NS$17-180+1)/$NU$17,$NN$17/$NT$17)),0)</f>
        <v/>
      </c>
      <c r="GC17" s="402">
        <f>IF(AND(181&gt;=$NR$17,181&lt;=$NS$17),IF($NP$17="Single_Point",IF(181=$NR$17,$NN$17,0),IF($NP$17="Bell_Curve",$NN$17*(181-$NR$17+1)*($NS$17-181+1)/$NU$17,$NN$17/$NT$17)),0)</f>
        <v/>
      </c>
      <c r="GD17" s="402">
        <f>IF(AND(182&gt;=$NR$17,182&lt;=$NS$17),IF($NP$17="Single_Point",IF(182=$NR$17,$NN$17,0),IF($NP$17="Bell_Curve",$NN$17*(182-$NR$17+1)*($NS$17-182+1)/$NU$17,$NN$17/$NT$17)),0)</f>
        <v/>
      </c>
      <c r="GE17" s="402">
        <f>IF(AND(183&gt;=$NR$17,183&lt;=$NS$17),IF($NP$17="Single_Point",IF(183=$NR$17,$NN$17,0),IF($NP$17="Bell_Curve",$NN$17*(183-$NR$17+1)*($NS$17-183+1)/$NU$17,$NN$17/$NT$17)),0)</f>
        <v/>
      </c>
      <c r="GF17" s="402">
        <f>IF(AND(184&gt;=$NR$17,184&lt;=$NS$17),IF($NP$17="Single_Point",IF(184=$NR$17,$NN$17,0),IF($NP$17="Bell_Curve",$NN$17*(184-$NR$17+1)*($NS$17-184+1)/$NU$17,$NN$17/$NT$17)),0)</f>
        <v/>
      </c>
      <c r="GG17" s="402">
        <f>IF(AND(185&gt;=$NR$17,185&lt;=$NS$17),IF($NP$17="Single_Point",IF(185=$NR$17,$NN$17,0),IF($NP$17="Bell_Curve",$NN$17*(185-$NR$17+1)*($NS$17-185+1)/$NU$17,$NN$17/$NT$17)),0)</f>
        <v/>
      </c>
      <c r="GH17" s="402">
        <f>IF(AND(186&gt;=$NR$17,186&lt;=$NS$17),IF($NP$17="Single_Point",IF(186=$NR$17,$NN$17,0),IF($NP$17="Bell_Curve",$NN$17*(186-$NR$17+1)*($NS$17-186+1)/$NU$17,$NN$17/$NT$17)),0)</f>
        <v/>
      </c>
      <c r="GI17" s="402">
        <f>IF(AND(187&gt;=$NR$17,187&lt;=$NS$17),IF($NP$17="Single_Point",IF(187=$NR$17,$NN$17,0),IF($NP$17="Bell_Curve",$NN$17*(187-$NR$17+1)*($NS$17-187+1)/$NU$17,$NN$17/$NT$17)),0)</f>
        <v/>
      </c>
      <c r="GJ17" s="402">
        <f>IF(AND(188&gt;=$NR$17,188&lt;=$NS$17),IF($NP$17="Single_Point",IF(188=$NR$17,$NN$17,0),IF($NP$17="Bell_Curve",$NN$17*(188-$NR$17+1)*($NS$17-188+1)/$NU$17,$NN$17/$NT$17)),0)</f>
        <v/>
      </c>
      <c r="GK17" s="402">
        <f>IF(AND(189&gt;=$NR$17,189&lt;=$NS$17),IF($NP$17="Single_Point",IF(189=$NR$17,$NN$17,0),IF($NP$17="Bell_Curve",$NN$17*(189-$NR$17+1)*($NS$17-189+1)/$NU$17,$NN$17/$NT$17)),0)</f>
        <v/>
      </c>
      <c r="GL17" s="402">
        <f>IF(AND(190&gt;=$NR$17,190&lt;=$NS$17),IF($NP$17="Single_Point",IF(190=$NR$17,$NN$17,0),IF($NP$17="Bell_Curve",$NN$17*(190-$NR$17+1)*($NS$17-190+1)/$NU$17,$NN$17/$NT$17)),0)</f>
        <v/>
      </c>
      <c r="GM17" s="402">
        <f>IF(AND(191&gt;=$NR$17,191&lt;=$NS$17),IF($NP$17="Single_Point",IF(191=$NR$17,$NN$17,0),IF($NP$17="Bell_Curve",$NN$17*(191-$NR$17+1)*($NS$17-191+1)/$NU$17,$NN$17/$NT$17)),0)</f>
        <v/>
      </c>
      <c r="GN17" s="402">
        <f>IF(AND(192&gt;=$NR$17,192&lt;=$NS$17),IF($NP$17="Single_Point",IF(192=$NR$17,$NN$17,0),IF($NP$17="Bell_Curve",$NN$17*(192-$NR$17+1)*($NS$17-192+1)/$NU$17,$NN$17/$NT$17)),0)</f>
        <v/>
      </c>
      <c r="GO17" s="402">
        <f>IF(AND(193&gt;=$NR$17,193&lt;=$NS$17),IF($NP$17="Single_Point",IF(193=$NR$17,$NN$17,0),IF($NP$17="Bell_Curve",$NN$17*(193-$NR$17+1)*($NS$17-193+1)/$NU$17,$NN$17/$NT$17)),0)</f>
        <v/>
      </c>
      <c r="GP17" s="402">
        <f>IF(AND(194&gt;=$NR$17,194&lt;=$NS$17),IF($NP$17="Single_Point",IF(194=$NR$17,$NN$17,0),IF($NP$17="Bell_Curve",$NN$17*(194-$NR$17+1)*($NS$17-194+1)/$NU$17,$NN$17/$NT$17)),0)</f>
        <v/>
      </c>
      <c r="GQ17" s="402">
        <f>IF(AND(195&gt;=$NR$17,195&lt;=$NS$17),IF($NP$17="Single_Point",IF(195=$NR$17,$NN$17,0),IF($NP$17="Bell_Curve",$NN$17*(195-$NR$17+1)*($NS$17-195+1)/$NU$17,$NN$17/$NT$17)),0)</f>
        <v/>
      </c>
      <c r="GR17" s="402">
        <f>IF(AND(196&gt;=$NR$17,196&lt;=$NS$17),IF($NP$17="Single_Point",IF(196=$NR$17,$NN$17,0),IF($NP$17="Bell_Curve",$NN$17*(196-$NR$17+1)*($NS$17-196+1)/$NU$17,$NN$17/$NT$17)),0)</f>
        <v/>
      </c>
      <c r="GS17" s="402">
        <f>IF(AND(197&gt;=$NR$17,197&lt;=$NS$17),IF($NP$17="Single_Point",IF(197=$NR$17,$NN$17,0),IF($NP$17="Bell_Curve",$NN$17*(197-$NR$17+1)*($NS$17-197+1)/$NU$17,$NN$17/$NT$17)),0)</f>
        <v/>
      </c>
      <c r="GT17" s="402">
        <f>IF(AND(198&gt;=$NR$17,198&lt;=$NS$17),IF($NP$17="Single_Point",IF(198=$NR$17,$NN$17,0),IF($NP$17="Bell_Curve",$NN$17*(198-$NR$17+1)*($NS$17-198+1)/$NU$17,$NN$17/$NT$17)),0)</f>
        <v/>
      </c>
      <c r="GU17" s="402">
        <f>IF(AND(199&gt;=$NR$17,199&lt;=$NS$17),IF($NP$17="Single_Point",IF(199=$NR$17,$NN$17,0),IF($NP$17="Bell_Curve",$NN$17*(199-$NR$17+1)*($NS$17-199+1)/$NU$17,$NN$17/$NT$17)),0)</f>
        <v/>
      </c>
      <c r="GV17" s="402">
        <f>IF(AND(200&gt;=$NR$17,200&lt;=$NS$17),IF($NP$17="Single_Point",IF(200=$NR$17,$NN$17,0),IF($NP$17="Bell_Curve",$NN$17*(200-$NR$17+1)*($NS$17-200+1)/$NU$17,$NN$17/$NT$17)),0)</f>
        <v/>
      </c>
      <c r="GW17" s="402">
        <f>IF(AND(201&gt;=$NR$17,201&lt;=$NS$17),IF($NP$17="Single_Point",IF(201=$NR$17,$NN$17,0),IF($NP$17="Bell_Curve",$NN$17*(201-$NR$17+1)*($NS$17-201+1)/$NU$17,$NN$17/$NT$17)),0)</f>
        <v/>
      </c>
      <c r="GX17" s="402">
        <f>IF(AND(202&gt;=$NR$17,202&lt;=$NS$17),IF($NP$17="Single_Point",IF(202=$NR$17,$NN$17,0),IF($NP$17="Bell_Curve",$NN$17*(202-$NR$17+1)*($NS$17-202+1)/$NU$17,$NN$17/$NT$17)),0)</f>
        <v/>
      </c>
      <c r="GY17" s="402">
        <f>IF(AND(203&gt;=$NR$17,203&lt;=$NS$17),IF($NP$17="Single_Point",IF(203=$NR$17,$NN$17,0),IF($NP$17="Bell_Curve",$NN$17*(203-$NR$17+1)*($NS$17-203+1)/$NU$17,$NN$17/$NT$17)),0)</f>
        <v/>
      </c>
      <c r="GZ17" s="402">
        <f>IF(AND(204&gt;=$NR$17,204&lt;=$NS$17),IF($NP$17="Single_Point",IF(204=$NR$17,$NN$17,0),IF($NP$17="Bell_Curve",$NN$17*(204-$NR$17+1)*($NS$17-204+1)/$NU$17,$NN$17/$NT$17)),0)</f>
        <v/>
      </c>
      <c r="HA17" s="402">
        <f>IF(AND(205&gt;=$NR$17,205&lt;=$NS$17),IF($NP$17="Single_Point",IF(205=$NR$17,$NN$17,0),IF($NP$17="Bell_Curve",$NN$17*(205-$NR$17+1)*($NS$17-205+1)/$NU$17,$NN$17/$NT$17)),0)</f>
        <v/>
      </c>
      <c r="HB17" s="402">
        <f>IF(AND(206&gt;=$NR$17,206&lt;=$NS$17),IF($NP$17="Single_Point",IF(206=$NR$17,$NN$17,0),IF($NP$17="Bell_Curve",$NN$17*(206-$NR$17+1)*($NS$17-206+1)/$NU$17,$NN$17/$NT$17)),0)</f>
        <v/>
      </c>
      <c r="HC17" s="402">
        <f>IF(AND(207&gt;=$NR$17,207&lt;=$NS$17),IF($NP$17="Single_Point",IF(207=$NR$17,$NN$17,0),IF($NP$17="Bell_Curve",$NN$17*(207-$NR$17+1)*($NS$17-207+1)/$NU$17,$NN$17/$NT$17)),0)</f>
        <v/>
      </c>
      <c r="HD17" s="402">
        <f>IF(AND(208&gt;=$NR$17,208&lt;=$NS$17),IF($NP$17="Single_Point",IF(208=$NR$17,$NN$17,0),IF($NP$17="Bell_Curve",$NN$17*(208-$NR$17+1)*($NS$17-208+1)/$NU$17,$NN$17/$NT$17)),0)</f>
        <v/>
      </c>
      <c r="HE17" s="402">
        <f>IF(AND(209&gt;=$NR$17,209&lt;=$NS$17),IF($NP$17="Single_Point",IF(209=$NR$17,$NN$17,0),IF($NP$17="Bell_Curve",$NN$17*(209-$NR$17+1)*($NS$17-209+1)/$NU$17,$NN$17/$NT$17)),0)</f>
        <v/>
      </c>
      <c r="HF17" s="402">
        <f>IF(AND(210&gt;=$NR$17,210&lt;=$NS$17),IF($NP$17="Single_Point",IF(210=$NR$17,$NN$17,0),IF($NP$17="Bell_Curve",$NN$17*(210-$NR$17+1)*($NS$17-210+1)/$NU$17,$NN$17/$NT$17)),0)</f>
        <v/>
      </c>
      <c r="HG17" s="402">
        <f>IF(AND(211&gt;=$NR$17,211&lt;=$NS$17),IF($NP$17="Single_Point",IF(211=$NR$17,$NN$17,0),IF($NP$17="Bell_Curve",$NN$17*(211-$NR$17+1)*($NS$17-211+1)/$NU$17,$NN$17/$NT$17)),0)</f>
        <v/>
      </c>
      <c r="HH17" s="402">
        <f>IF(AND(212&gt;=$NR$17,212&lt;=$NS$17),IF($NP$17="Single_Point",IF(212=$NR$17,$NN$17,0),IF($NP$17="Bell_Curve",$NN$17*(212-$NR$17+1)*($NS$17-212+1)/$NU$17,$NN$17/$NT$17)),0)</f>
        <v/>
      </c>
      <c r="HI17" s="402">
        <f>IF(AND(213&gt;=$NR$17,213&lt;=$NS$17),IF($NP$17="Single_Point",IF(213=$NR$17,$NN$17,0),IF($NP$17="Bell_Curve",$NN$17*(213-$NR$17+1)*($NS$17-213+1)/$NU$17,$NN$17/$NT$17)),0)</f>
        <v/>
      </c>
      <c r="HJ17" s="402">
        <f>IF(AND(214&gt;=$NR$17,214&lt;=$NS$17),IF($NP$17="Single_Point",IF(214=$NR$17,$NN$17,0),IF($NP$17="Bell_Curve",$NN$17*(214-$NR$17+1)*($NS$17-214+1)/$NU$17,$NN$17/$NT$17)),0)</f>
        <v/>
      </c>
      <c r="HK17" s="402">
        <f>IF(AND(215&gt;=$NR$17,215&lt;=$NS$17),IF($NP$17="Single_Point",IF(215=$NR$17,$NN$17,0),IF($NP$17="Bell_Curve",$NN$17*(215-$NR$17+1)*($NS$17-215+1)/$NU$17,$NN$17/$NT$17)),0)</f>
        <v/>
      </c>
      <c r="HL17" s="402">
        <f>IF(AND(216&gt;=$NR$17,216&lt;=$NS$17),IF($NP$17="Single_Point",IF(216=$NR$17,$NN$17,0),IF($NP$17="Bell_Curve",$NN$17*(216-$NR$17+1)*($NS$17-216+1)/$NU$17,$NN$17/$NT$17)),0)</f>
        <v/>
      </c>
      <c r="HM17" s="402">
        <f>IF(AND(217&gt;=$NR$17,217&lt;=$NS$17),IF($NP$17="Single_Point",IF(217=$NR$17,$NN$17,0),IF($NP$17="Bell_Curve",$NN$17*(217-$NR$17+1)*($NS$17-217+1)/$NU$17,$NN$17/$NT$17)),0)</f>
        <v/>
      </c>
      <c r="HN17" s="402">
        <f>IF(AND(218&gt;=$NR$17,218&lt;=$NS$17),IF($NP$17="Single_Point",IF(218=$NR$17,$NN$17,0),IF($NP$17="Bell_Curve",$NN$17*(218-$NR$17+1)*($NS$17-218+1)/$NU$17,$NN$17/$NT$17)),0)</f>
        <v/>
      </c>
      <c r="HO17" s="402">
        <f>IF(AND(219&gt;=$NR$17,219&lt;=$NS$17),IF($NP$17="Single_Point",IF(219=$NR$17,$NN$17,0),IF($NP$17="Bell_Curve",$NN$17*(219-$NR$17+1)*($NS$17-219+1)/$NU$17,$NN$17/$NT$17)),0)</f>
        <v/>
      </c>
      <c r="HP17" s="402">
        <f>IF(AND(220&gt;=$NR$17,220&lt;=$NS$17),IF($NP$17="Single_Point",IF(220=$NR$17,$NN$17,0),IF($NP$17="Bell_Curve",$NN$17*(220-$NR$17+1)*($NS$17-220+1)/$NU$17,$NN$17/$NT$17)),0)</f>
        <v/>
      </c>
      <c r="HQ17" s="402">
        <f>IF(AND(221&gt;=$NR$17,221&lt;=$NS$17),IF($NP$17="Single_Point",IF(221=$NR$17,$NN$17,0),IF($NP$17="Bell_Curve",$NN$17*(221-$NR$17+1)*($NS$17-221+1)/$NU$17,$NN$17/$NT$17)),0)</f>
        <v/>
      </c>
      <c r="HR17" s="402">
        <f>IF(AND(222&gt;=$NR$17,222&lt;=$NS$17),IF($NP$17="Single_Point",IF(222=$NR$17,$NN$17,0),IF($NP$17="Bell_Curve",$NN$17*(222-$NR$17+1)*($NS$17-222+1)/$NU$17,$NN$17/$NT$17)),0)</f>
        <v/>
      </c>
      <c r="HS17" s="402">
        <f>IF(AND(223&gt;=$NR$17,223&lt;=$NS$17),IF($NP$17="Single_Point",IF(223=$NR$17,$NN$17,0),IF($NP$17="Bell_Curve",$NN$17*(223-$NR$17+1)*($NS$17-223+1)/$NU$17,$NN$17/$NT$17)),0)</f>
        <v/>
      </c>
      <c r="HT17" s="402">
        <f>IF(AND(224&gt;=$NR$17,224&lt;=$NS$17),IF($NP$17="Single_Point",IF(224=$NR$17,$NN$17,0),IF($NP$17="Bell_Curve",$NN$17*(224-$NR$17+1)*($NS$17-224+1)/$NU$17,$NN$17/$NT$17)),0)</f>
        <v/>
      </c>
      <c r="HU17" s="402">
        <f>IF(AND(225&gt;=$NR$17,225&lt;=$NS$17),IF($NP$17="Single_Point",IF(225=$NR$17,$NN$17,0),IF($NP$17="Bell_Curve",$NN$17*(225-$NR$17+1)*($NS$17-225+1)/$NU$17,$NN$17/$NT$17)),0)</f>
        <v/>
      </c>
      <c r="HV17" s="402">
        <f>IF(AND(226&gt;=$NR$17,226&lt;=$NS$17),IF($NP$17="Single_Point",IF(226=$NR$17,$NN$17,0),IF($NP$17="Bell_Curve",$NN$17*(226-$NR$17+1)*($NS$17-226+1)/$NU$17,$NN$17/$NT$17)),0)</f>
        <v/>
      </c>
      <c r="HW17" s="402">
        <f>IF(AND(227&gt;=$NR$17,227&lt;=$NS$17),IF($NP$17="Single_Point",IF(227=$NR$17,$NN$17,0),IF($NP$17="Bell_Curve",$NN$17*(227-$NR$17+1)*($NS$17-227+1)/$NU$17,$NN$17/$NT$17)),0)</f>
        <v/>
      </c>
      <c r="HX17" s="402">
        <f>IF(AND(228&gt;=$NR$17,228&lt;=$NS$17),IF($NP$17="Single_Point",IF(228=$NR$17,$NN$17,0),IF($NP$17="Bell_Curve",$NN$17*(228-$NR$17+1)*($NS$17-228+1)/$NU$17,$NN$17/$NT$17)),0)</f>
        <v/>
      </c>
      <c r="HY17" s="402">
        <f>IF(AND(229&gt;=$NR$17,229&lt;=$NS$17),IF($NP$17="Single_Point",IF(229=$NR$17,$NN$17,0),IF($NP$17="Bell_Curve",$NN$17*(229-$NR$17+1)*($NS$17-229+1)/$NU$17,$NN$17/$NT$17)),0)</f>
        <v/>
      </c>
      <c r="HZ17" s="402">
        <f>IF(AND(230&gt;=$NR$17,230&lt;=$NS$17),IF($NP$17="Single_Point",IF(230=$NR$17,$NN$17,0),IF($NP$17="Bell_Curve",$NN$17*(230-$NR$17+1)*($NS$17-230+1)/$NU$17,$NN$17/$NT$17)),0)</f>
        <v/>
      </c>
      <c r="IA17" s="402">
        <f>IF(AND(231&gt;=$NR$17,231&lt;=$NS$17),IF($NP$17="Single_Point",IF(231=$NR$17,$NN$17,0),IF($NP$17="Bell_Curve",$NN$17*(231-$NR$17+1)*($NS$17-231+1)/$NU$17,$NN$17/$NT$17)),0)</f>
        <v/>
      </c>
      <c r="IB17" s="402">
        <f>IF(AND(232&gt;=$NR$17,232&lt;=$NS$17),IF($NP$17="Single_Point",IF(232=$NR$17,$NN$17,0),IF($NP$17="Bell_Curve",$NN$17*(232-$NR$17+1)*($NS$17-232+1)/$NU$17,$NN$17/$NT$17)),0)</f>
        <v/>
      </c>
      <c r="IC17" s="402">
        <f>IF(AND(233&gt;=$NR$17,233&lt;=$NS$17),IF($NP$17="Single_Point",IF(233=$NR$17,$NN$17,0),IF($NP$17="Bell_Curve",$NN$17*(233-$NR$17+1)*($NS$17-233+1)/$NU$17,$NN$17/$NT$17)),0)</f>
        <v/>
      </c>
      <c r="ID17" s="402">
        <f>IF(AND(234&gt;=$NR$17,234&lt;=$NS$17),IF($NP$17="Single_Point",IF(234=$NR$17,$NN$17,0),IF($NP$17="Bell_Curve",$NN$17*(234-$NR$17+1)*($NS$17-234+1)/$NU$17,$NN$17/$NT$17)),0)</f>
        <v/>
      </c>
      <c r="IE17" s="402">
        <f>IF(AND(235&gt;=$NR$17,235&lt;=$NS$17),IF($NP$17="Single_Point",IF(235=$NR$17,$NN$17,0),IF($NP$17="Bell_Curve",$NN$17*(235-$NR$17+1)*($NS$17-235+1)/$NU$17,$NN$17/$NT$17)),0)</f>
        <v/>
      </c>
      <c r="IF17" s="402">
        <f>IF(AND(236&gt;=$NR$17,236&lt;=$NS$17),IF($NP$17="Single_Point",IF(236=$NR$17,$NN$17,0),IF($NP$17="Bell_Curve",$NN$17*(236-$NR$17+1)*($NS$17-236+1)/$NU$17,$NN$17/$NT$17)),0)</f>
        <v/>
      </c>
      <c r="IG17" s="402">
        <f>IF(AND(237&gt;=$NR$17,237&lt;=$NS$17),IF($NP$17="Single_Point",IF(237=$NR$17,$NN$17,0),IF($NP$17="Bell_Curve",$NN$17*(237-$NR$17+1)*($NS$17-237+1)/$NU$17,$NN$17/$NT$17)),0)</f>
        <v/>
      </c>
      <c r="IH17" s="402">
        <f>IF(AND(238&gt;=$NR$17,238&lt;=$NS$17),IF($NP$17="Single_Point",IF(238=$NR$17,$NN$17,0),IF($NP$17="Bell_Curve",$NN$17*(238-$NR$17+1)*($NS$17-238+1)/$NU$17,$NN$17/$NT$17)),0)</f>
        <v/>
      </c>
      <c r="II17" s="402">
        <f>IF(AND(239&gt;=$NR$17,239&lt;=$NS$17),IF($NP$17="Single_Point",IF(239=$NR$17,$NN$17,0),IF($NP$17="Bell_Curve",$NN$17*(239-$NR$17+1)*($NS$17-239+1)/$NU$17,$NN$17/$NT$17)),0)</f>
        <v/>
      </c>
      <c r="IJ17" s="402">
        <f>IF(AND(240&gt;=$NR$17,240&lt;=$NS$17),IF($NP$17="Single_Point",IF(240=$NR$17,$NN$17,0),IF($NP$17="Bell_Curve",$NN$17*(240-$NR$17+1)*($NS$17-240+1)/$NU$17,$NN$17/$NT$17)),0)</f>
        <v/>
      </c>
      <c r="IK17" s="402">
        <f>IF(AND(241&gt;=$NR$17,241&lt;=$NS$17),IF($NP$17="Single_Point",IF(241=$NR$17,$NN$17,0),IF($NP$17="Bell_Curve",$NN$17*(241-$NR$17+1)*($NS$17-241+1)/$NU$17,$NN$17/$NT$17)),0)</f>
        <v/>
      </c>
      <c r="IL17" s="402">
        <f>IF(AND(242&gt;=$NR$17,242&lt;=$NS$17),IF($NP$17="Single_Point",IF(242=$NR$17,$NN$17,0),IF($NP$17="Bell_Curve",$NN$17*(242-$NR$17+1)*($NS$17-242+1)/$NU$17,$NN$17/$NT$17)),0)</f>
        <v/>
      </c>
      <c r="IM17" s="402">
        <f>IF(AND(243&gt;=$NR$17,243&lt;=$NS$17),IF($NP$17="Single_Point",IF(243=$NR$17,$NN$17,0),IF($NP$17="Bell_Curve",$NN$17*(243-$NR$17+1)*($NS$17-243+1)/$NU$17,$NN$17/$NT$17)),0)</f>
        <v/>
      </c>
      <c r="IN17" s="402">
        <f>IF(AND(244&gt;=$NR$17,244&lt;=$NS$17),IF($NP$17="Single_Point",IF(244=$NR$17,$NN$17,0),IF($NP$17="Bell_Curve",$NN$17*(244-$NR$17+1)*($NS$17-244+1)/$NU$17,$NN$17/$NT$17)),0)</f>
        <v/>
      </c>
      <c r="IO17" s="402">
        <f>IF(AND(245&gt;=$NR$17,245&lt;=$NS$17),IF($NP$17="Single_Point",IF(245=$NR$17,$NN$17,0),IF($NP$17="Bell_Curve",$NN$17*(245-$NR$17+1)*($NS$17-245+1)/$NU$17,$NN$17/$NT$17)),0)</f>
        <v/>
      </c>
      <c r="IP17" s="402">
        <f>IF(AND(246&gt;=$NR$17,246&lt;=$NS$17),IF($NP$17="Single_Point",IF(246=$NR$17,$NN$17,0),IF($NP$17="Bell_Curve",$NN$17*(246-$NR$17+1)*($NS$17-246+1)/$NU$17,$NN$17/$NT$17)),0)</f>
        <v/>
      </c>
      <c r="IQ17" s="402">
        <f>IF(AND(247&gt;=$NR$17,247&lt;=$NS$17),IF($NP$17="Single_Point",IF(247=$NR$17,$NN$17,0),IF($NP$17="Bell_Curve",$NN$17*(247-$NR$17+1)*($NS$17-247+1)/$NU$17,$NN$17/$NT$17)),0)</f>
        <v/>
      </c>
      <c r="IR17" s="402">
        <f>IF(AND(248&gt;=$NR$17,248&lt;=$NS$17),IF($NP$17="Single_Point",IF(248=$NR$17,$NN$17,0),IF($NP$17="Bell_Curve",$NN$17*(248-$NR$17+1)*($NS$17-248+1)/$NU$17,$NN$17/$NT$17)),0)</f>
        <v/>
      </c>
      <c r="IS17" s="402">
        <f>IF(AND(249&gt;=$NR$17,249&lt;=$NS$17),IF($NP$17="Single_Point",IF(249=$NR$17,$NN$17,0),IF($NP$17="Bell_Curve",$NN$17*(249-$NR$17+1)*($NS$17-249+1)/$NU$17,$NN$17/$NT$17)),0)</f>
        <v/>
      </c>
      <c r="IT17" s="402">
        <f>IF(AND(250&gt;=$NR$17,250&lt;=$NS$17),IF($NP$17="Single_Point",IF(250=$NR$17,$NN$17,0),IF($NP$17="Bell_Curve",$NN$17*(250-$NR$17+1)*($NS$17-250+1)/$NU$17,$NN$17/$NT$17)),0)</f>
        <v/>
      </c>
      <c r="IU17" s="402">
        <f>IF(AND(251&gt;=$NR$17,251&lt;=$NS$17),IF($NP$17="Single_Point",IF(251=$NR$17,$NN$17,0),IF($NP$17="Bell_Curve",$NN$17*(251-$NR$17+1)*($NS$17-251+1)/$NU$17,$NN$17/$NT$17)),0)</f>
        <v/>
      </c>
      <c r="IV17" s="402">
        <f>IF(AND(252&gt;=$NR$17,252&lt;=$NS$17),IF($NP$17="Single_Point",IF(252=$NR$17,$NN$17,0),IF($NP$17="Bell_Curve",$NN$17*(252-$NR$17+1)*($NS$17-252+1)/$NU$17,$NN$17/$NT$17)),0)</f>
        <v/>
      </c>
      <c r="IW17" s="402">
        <f>IF(AND(253&gt;=$NR$17,253&lt;=$NS$17),IF($NP$17="Single_Point",IF(253=$NR$17,$NN$17,0),IF($NP$17="Bell_Curve",$NN$17*(253-$NR$17+1)*($NS$17-253+1)/$NU$17,$NN$17/$NT$17)),0)</f>
        <v/>
      </c>
      <c r="IX17" s="402">
        <f>IF(AND(254&gt;=$NR$17,254&lt;=$NS$17),IF($NP$17="Single_Point",IF(254=$NR$17,$NN$17,0),IF($NP$17="Bell_Curve",$NN$17*(254-$NR$17+1)*($NS$17-254+1)/$NU$17,$NN$17/$NT$17)),0)</f>
        <v/>
      </c>
      <c r="IY17" s="402">
        <f>IF(AND(255&gt;=$NR$17,255&lt;=$NS$17),IF($NP$17="Single_Point",IF(255=$NR$17,$NN$17,0),IF($NP$17="Bell_Curve",$NN$17*(255-$NR$17+1)*($NS$17-255+1)/$NU$17,$NN$17/$NT$17)),0)</f>
        <v/>
      </c>
      <c r="IZ17" s="402">
        <f>IF(AND(256&gt;=$NR$17,256&lt;=$NS$17),IF($NP$17="Single_Point",IF(256=$NR$17,$NN$17,0),IF($NP$17="Bell_Curve",$NN$17*(256-$NR$17+1)*($NS$17-256+1)/$NU$17,$NN$17/$NT$17)),0)</f>
        <v/>
      </c>
      <c r="JA17" s="402">
        <f>IF(AND(257&gt;=$NR$17,257&lt;=$NS$17),IF($NP$17="Single_Point",IF(257=$NR$17,$NN$17,0),IF($NP$17="Bell_Curve",$NN$17*(257-$NR$17+1)*($NS$17-257+1)/$NU$17,$NN$17/$NT$17)),0)</f>
        <v/>
      </c>
      <c r="JB17" s="402">
        <f>IF(AND(258&gt;=$NR$17,258&lt;=$NS$17),IF($NP$17="Single_Point",IF(258=$NR$17,$NN$17,0),IF($NP$17="Bell_Curve",$NN$17*(258-$NR$17+1)*($NS$17-258+1)/$NU$17,$NN$17/$NT$17)),0)</f>
        <v/>
      </c>
      <c r="JC17" s="402">
        <f>IF(AND(259&gt;=$NR$17,259&lt;=$NS$17),IF($NP$17="Single_Point",IF(259=$NR$17,$NN$17,0),IF($NP$17="Bell_Curve",$NN$17*(259-$NR$17+1)*($NS$17-259+1)/$NU$17,$NN$17/$NT$17)),0)</f>
        <v/>
      </c>
      <c r="JD17" s="402">
        <f>IF(AND(260&gt;=$NR$17,260&lt;=$NS$17),IF($NP$17="Single_Point",IF(260=$NR$17,$NN$17,0),IF($NP$17="Bell_Curve",$NN$17*(260-$NR$17+1)*($NS$17-260+1)/$NU$17,$NN$17/$NT$17)),0)</f>
        <v/>
      </c>
      <c r="JE17" s="402">
        <f>IF(AND(261&gt;=$NR$17,261&lt;=$NS$17),IF($NP$17="Single_Point",IF(261=$NR$17,$NN$17,0),IF($NP$17="Bell_Curve",$NN$17*(261-$NR$17+1)*($NS$17-261+1)/$NU$17,$NN$17/$NT$17)),0)</f>
        <v/>
      </c>
      <c r="JF17" s="402">
        <f>IF(AND(262&gt;=$NR$17,262&lt;=$NS$17),IF($NP$17="Single_Point",IF(262=$NR$17,$NN$17,0),IF($NP$17="Bell_Curve",$NN$17*(262-$NR$17+1)*($NS$17-262+1)/$NU$17,$NN$17/$NT$17)),0)</f>
        <v/>
      </c>
      <c r="JG17" s="402">
        <f>IF(AND(263&gt;=$NR$17,263&lt;=$NS$17),IF($NP$17="Single_Point",IF(263=$NR$17,$NN$17,0),IF($NP$17="Bell_Curve",$NN$17*(263-$NR$17+1)*($NS$17-263+1)/$NU$17,$NN$17/$NT$17)),0)</f>
        <v/>
      </c>
      <c r="JH17" s="402">
        <f>IF(AND(264&gt;=$NR$17,264&lt;=$NS$17),IF($NP$17="Single_Point",IF(264=$NR$17,$NN$17,0),IF($NP$17="Bell_Curve",$NN$17*(264-$NR$17+1)*($NS$17-264+1)/$NU$17,$NN$17/$NT$17)),0)</f>
        <v/>
      </c>
      <c r="JI17" s="402">
        <f>IF(AND(265&gt;=$NR$17,265&lt;=$NS$17),IF($NP$17="Single_Point",IF(265=$NR$17,$NN$17,0),IF($NP$17="Bell_Curve",$NN$17*(265-$NR$17+1)*($NS$17-265+1)/$NU$17,$NN$17/$NT$17)),0)</f>
        <v/>
      </c>
      <c r="JJ17" s="402">
        <f>IF(AND(266&gt;=$NR$17,266&lt;=$NS$17),IF($NP$17="Single_Point",IF(266=$NR$17,$NN$17,0),IF($NP$17="Bell_Curve",$NN$17*(266-$NR$17+1)*($NS$17-266+1)/$NU$17,$NN$17/$NT$17)),0)</f>
        <v/>
      </c>
      <c r="JK17" s="402">
        <f>IF(AND(267&gt;=$NR$17,267&lt;=$NS$17),IF($NP$17="Single_Point",IF(267=$NR$17,$NN$17,0),IF($NP$17="Bell_Curve",$NN$17*(267-$NR$17+1)*($NS$17-267+1)/$NU$17,$NN$17/$NT$17)),0)</f>
        <v/>
      </c>
      <c r="JL17" s="402">
        <f>IF(AND(268&gt;=$NR$17,268&lt;=$NS$17),IF($NP$17="Single_Point",IF(268=$NR$17,$NN$17,0),IF($NP$17="Bell_Curve",$NN$17*(268-$NR$17+1)*($NS$17-268+1)/$NU$17,$NN$17/$NT$17)),0)</f>
        <v/>
      </c>
      <c r="JM17" s="402">
        <f>IF(AND(269&gt;=$NR$17,269&lt;=$NS$17),IF($NP$17="Single_Point",IF(269=$NR$17,$NN$17,0),IF($NP$17="Bell_Curve",$NN$17*(269-$NR$17+1)*($NS$17-269+1)/$NU$17,$NN$17/$NT$17)),0)</f>
        <v/>
      </c>
      <c r="JN17" s="402">
        <f>IF(AND(270&gt;=$NR$17,270&lt;=$NS$17),IF($NP$17="Single_Point",IF(270=$NR$17,$NN$17,0),IF($NP$17="Bell_Curve",$NN$17*(270-$NR$17+1)*($NS$17-270+1)/$NU$17,$NN$17/$NT$17)),0)</f>
        <v/>
      </c>
      <c r="JO17" s="402">
        <f>IF(AND(271&gt;=$NR$17,271&lt;=$NS$17),IF($NP$17="Single_Point",IF(271=$NR$17,$NN$17,0),IF($NP$17="Bell_Curve",$NN$17*(271-$NR$17+1)*($NS$17-271+1)/$NU$17,$NN$17/$NT$17)),0)</f>
        <v/>
      </c>
      <c r="JP17" s="402">
        <f>IF(AND(272&gt;=$NR$17,272&lt;=$NS$17),IF($NP$17="Single_Point",IF(272=$NR$17,$NN$17,0),IF($NP$17="Bell_Curve",$NN$17*(272-$NR$17+1)*($NS$17-272+1)/$NU$17,$NN$17/$NT$17)),0)</f>
        <v/>
      </c>
      <c r="JQ17" s="402">
        <f>IF(AND(273&gt;=$NR$17,273&lt;=$NS$17),IF($NP$17="Single_Point",IF(273=$NR$17,$NN$17,0),IF($NP$17="Bell_Curve",$NN$17*(273-$NR$17+1)*($NS$17-273+1)/$NU$17,$NN$17/$NT$17)),0)</f>
        <v/>
      </c>
      <c r="JR17" s="402">
        <f>IF(AND(274&gt;=$NR$17,274&lt;=$NS$17),IF($NP$17="Single_Point",IF(274=$NR$17,$NN$17,0),IF($NP$17="Bell_Curve",$NN$17*(274-$NR$17+1)*($NS$17-274+1)/$NU$17,$NN$17/$NT$17)),0)</f>
        <v/>
      </c>
      <c r="JS17" s="402">
        <f>IF(AND(275&gt;=$NR$17,275&lt;=$NS$17),IF($NP$17="Single_Point",IF(275=$NR$17,$NN$17,0),IF($NP$17="Bell_Curve",$NN$17*(275-$NR$17+1)*($NS$17-275+1)/$NU$17,$NN$17/$NT$17)),0)</f>
        <v/>
      </c>
      <c r="JT17" s="402">
        <f>IF(AND(276&gt;=$NR$17,276&lt;=$NS$17),IF($NP$17="Single_Point",IF(276=$NR$17,$NN$17,0),IF($NP$17="Bell_Curve",$NN$17*(276-$NR$17+1)*($NS$17-276+1)/$NU$17,$NN$17/$NT$17)),0)</f>
        <v/>
      </c>
      <c r="JU17" s="402">
        <f>IF(AND(277&gt;=$NR$17,277&lt;=$NS$17),IF($NP$17="Single_Point",IF(277=$NR$17,$NN$17,0),IF($NP$17="Bell_Curve",$NN$17*(277-$NR$17+1)*($NS$17-277+1)/$NU$17,$NN$17/$NT$17)),0)</f>
        <v/>
      </c>
      <c r="JV17" s="402">
        <f>IF(AND(278&gt;=$NR$17,278&lt;=$NS$17),IF($NP$17="Single_Point",IF(278=$NR$17,$NN$17,0),IF($NP$17="Bell_Curve",$NN$17*(278-$NR$17+1)*($NS$17-278+1)/$NU$17,$NN$17/$NT$17)),0)</f>
        <v/>
      </c>
      <c r="JW17" s="402">
        <f>IF(AND(279&gt;=$NR$17,279&lt;=$NS$17),IF($NP$17="Single_Point",IF(279=$NR$17,$NN$17,0),IF($NP$17="Bell_Curve",$NN$17*(279-$NR$17+1)*($NS$17-279+1)/$NU$17,$NN$17/$NT$17)),0)</f>
        <v/>
      </c>
      <c r="JX17" s="402">
        <f>IF(AND(280&gt;=$NR$17,280&lt;=$NS$17),IF($NP$17="Single_Point",IF(280=$NR$17,$NN$17,0),IF($NP$17="Bell_Curve",$NN$17*(280-$NR$17+1)*($NS$17-280+1)/$NU$17,$NN$17/$NT$17)),0)</f>
        <v/>
      </c>
      <c r="JY17" s="402">
        <f>IF(AND(281&gt;=$NR$17,281&lt;=$NS$17),IF($NP$17="Single_Point",IF(281=$NR$17,$NN$17,0),IF($NP$17="Bell_Curve",$NN$17*(281-$NR$17+1)*($NS$17-281+1)/$NU$17,$NN$17/$NT$17)),0)</f>
        <v/>
      </c>
      <c r="JZ17" s="402">
        <f>IF(AND(282&gt;=$NR$17,282&lt;=$NS$17),IF($NP$17="Single_Point",IF(282=$NR$17,$NN$17,0),IF($NP$17="Bell_Curve",$NN$17*(282-$NR$17+1)*($NS$17-282+1)/$NU$17,$NN$17/$NT$17)),0)</f>
        <v/>
      </c>
      <c r="KA17" s="402">
        <f>IF(AND(283&gt;=$NR$17,283&lt;=$NS$17),IF($NP$17="Single_Point",IF(283=$NR$17,$NN$17,0),IF($NP$17="Bell_Curve",$NN$17*(283-$NR$17+1)*($NS$17-283+1)/$NU$17,$NN$17/$NT$17)),0)</f>
        <v/>
      </c>
      <c r="KB17" s="402">
        <f>IF(AND(284&gt;=$NR$17,284&lt;=$NS$17),IF($NP$17="Single_Point",IF(284=$NR$17,$NN$17,0),IF($NP$17="Bell_Curve",$NN$17*(284-$NR$17+1)*($NS$17-284+1)/$NU$17,$NN$17/$NT$17)),0)</f>
        <v/>
      </c>
      <c r="KC17" s="402">
        <f>IF(AND(285&gt;=$NR$17,285&lt;=$NS$17),IF($NP$17="Single_Point",IF(285=$NR$17,$NN$17,0),IF($NP$17="Bell_Curve",$NN$17*(285-$NR$17+1)*($NS$17-285+1)/$NU$17,$NN$17/$NT$17)),0)</f>
        <v/>
      </c>
      <c r="KD17" s="402">
        <f>IF(AND(286&gt;=$NR$17,286&lt;=$NS$17),IF($NP$17="Single_Point",IF(286=$NR$17,$NN$17,0),IF($NP$17="Bell_Curve",$NN$17*(286-$NR$17+1)*($NS$17-286+1)/$NU$17,$NN$17/$NT$17)),0)</f>
        <v/>
      </c>
      <c r="KE17" s="402">
        <f>IF(AND(287&gt;=$NR$17,287&lt;=$NS$17),IF($NP$17="Single_Point",IF(287=$NR$17,$NN$17,0),IF($NP$17="Bell_Curve",$NN$17*(287-$NR$17+1)*($NS$17-287+1)/$NU$17,$NN$17/$NT$17)),0)</f>
        <v/>
      </c>
      <c r="KF17" s="402">
        <f>IF(AND(288&gt;=$NR$17,288&lt;=$NS$17),IF($NP$17="Single_Point",IF(288=$NR$17,$NN$17,0),IF($NP$17="Bell_Curve",$NN$17*(288-$NR$17+1)*($NS$17-288+1)/$NU$17,$NN$17/$NT$17)),0)</f>
        <v/>
      </c>
      <c r="KG17" s="402">
        <f>IF(AND(289&gt;=$NR$17,289&lt;=$NS$17),IF($NP$17="Single_Point",IF(289=$NR$17,$NN$17,0),IF($NP$17="Bell_Curve",$NN$17*(289-$NR$17+1)*($NS$17-289+1)/$NU$17,$NN$17/$NT$17)),0)</f>
        <v/>
      </c>
      <c r="KH17" s="402">
        <f>IF(AND(290&gt;=$NR$17,290&lt;=$NS$17),IF($NP$17="Single_Point",IF(290=$NR$17,$NN$17,0),IF($NP$17="Bell_Curve",$NN$17*(290-$NR$17+1)*($NS$17-290+1)/$NU$17,$NN$17/$NT$17)),0)</f>
        <v/>
      </c>
      <c r="KI17" s="402">
        <f>IF(AND(291&gt;=$NR$17,291&lt;=$NS$17),IF($NP$17="Single_Point",IF(291=$NR$17,$NN$17,0),IF($NP$17="Bell_Curve",$NN$17*(291-$NR$17+1)*($NS$17-291+1)/$NU$17,$NN$17/$NT$17)),0)</f>
        <v/>
      </c>
      <c r="KJ17" s="402">
        <f>IF(AND(292&gt;=$NR$17,292&lt;=$NS$17),IF($NP$17="Single_Point",IF(292=$NR$17,$NN$17,0),IF($NP$17="Bell_Curve",$NN$17*(292-$NR$17+1)*($NS$17-292+1)/$NU$17,$NN$17/$NT$17)),0)</f>
        <v/>
      </c>
      <c r="KK17" s="402">
        <f>IF(AND(293&gt;=$NR$17,293&lt;=$NS$17),IF($NP$17="Single_Point",IF(293=$NR$17,$NN$17,0),IF($NP$17="Bell_Curve",$NN$17*(293-$NR$17+1)*($NS$17-293+1)/$NU$17,$NN$17/$NT$17)),0)</f>
        <v/>
      </c>
      <c r="KL17" s="402">
        <f>IF(AND(294&gt;=$NR$17,294&lt;=$NS$17),IF($NP$17="Single_Point",IF(294=$NR$17,$NN$17,0),IF($NP$17="Bell_Curve",$NN$17*(294-$NR$17+1)*($NS$17-294+1)/$NU$17,$NN$17/$NT$17)),0)</f>
        <v/>
      </c>
      <c r="KM17" s="402">
        <f>IF(AND(295&gt;=$NR$17,295&lt;=$NS$17),IF($NP$17="Single_Point",IF(295=$NR$17,$NN$17,0),IF($NP$17="Bell_Curve",$NN$17*(295-$NR$17+1)*($NS$17-295+1)/$NU$17,$NN$17/$NT$17)),0)</f>
        <v/>
      </c>
      <c r="KN17" s="402">
        <f>IF(AND(296&gt;=$NR$17,296&lt;=$NS$17),IF($NP$17="Single_Point",IF(296=$NR$17,$NN$17,0),IF($NP$17="Bell_Curve",$NN$17*(296-$NR$17+1)*($NS$17-296+1)/$NU$17,$NN$17/$NT$17)),0)</f>
        <v/>
      </c>
      <c r="KO17" s="402">
        <f>IF(AND(297&gt;=$NR$17,297&lt;=$NS$17),IF($NP$17="Single_Point",IF(297=$NR$17,$NN$17,0),IF($NP$17="Bell_Curve",$NN$17*(297-$NR$17+1)*($NS$17-297+1)/$NU$17,$NN$17/$NT$17)),0)</f>
        <v/>
      </c>
      <c r="KP17" s="402">
        <f>IF(AND(298&gt;=$NR$17,298&lt;=$NS$17),IF($NP$17="Single_Point",IF(298=$NR$17,$NN$17,0),IF($NP$17="Bell_Curve",$NN$17*(298-$NR$17+1)*($NS$17-298+1)/$NU$17,$NN$17/$NT$17)),0)</f>
        <v/>
      </c>
      <c r="KQ17" s="402">
        <f>IF(AND(299&gt;=$NR$17,299&lt;=$NS$17),IF($NP$17="Single_Point",IF(299=$NR$17,$NN$17,0),IF($NP$17="Bell_Curve",$NN$17*(299-$NR$17+1)*($NS$17-299+1)/$NU$17,$NN$17/$NT$17)),0)</f>
        <v/>
      </c>
      <c r="KR17" s="402">
        <f>IF(AND(300&gt;=$NR$17,300&lt;=$NS$17),IF($NP$17="Single_Point",IF(300=$NR$17,$NN$17,0),IF($NP$17="Bell_Curve",$NN$17*(300-$NR$17+1)*($NS$17-300+1)/$NU$17,$NN$17/$NT$17)),0)</f>
        <v/>
      </c>
      <c r="KS17" s="402">
        <f>IF(AND(301&gt;=$NR$17,301&lt;=$NS$17),IF($NP$17="Single_Point",IF(301=$NR$17,$NN$17,0),IF($NP$17="Bell_Curve",$NN$17*(301-$NR$17+1)*($NS$17-301+1)/$NU$17,$NN$17/$NT$17)),0)</f>
        <v/>
      </c>
      <c r="KT17" s="402">
        <f>IF(AND(302&gt;=$NR$17,302&lt;=$NS$17),IF($NP$17="Single_Point",IF(302=$NR$17,$NN$17,0),IF($NP$17="Bell_Curve",$NN$17*(302-$NR$17+1)*($NS$17-302+1)/$NU$17,$NN$17/$NT$17)),0)</f>
        <v/>
      </c>
      <c r="KU17" s="402">
        <f>IF(AND(303&gt;=$NR$17,303&lt;=$NS$17),IF($NP$17="Single_Point",IF(303=$NR$17,$NN$17,0),IF($NP$17="Bell_Curve",$NN$17*(303-$NR$17+1)*($NS$17-303+1)/$NU$17,$NN$17/$NT$17)),0)</f>
        <v/>
      </c>
      <c r="KV17" s="402">
        <f>IF(AND(304&gt;=$NR$17,304&lt;=$NS$17),IF($NP$17="Single_Point",IF(304=$NR$17,$NN$17,0),IF($NP$17="Bell_Curve",$NN$17*(304-$NR$17+1)*($NS$17-304+1)/$NU$17,$NN$17/$NT$17)),0)</f>
        <v/>
      </c>
      <c r="KW17" s="402">
        <f>IF(AND(305&gt;=$NR$17,305&lt;=$NS$17),IF($NP$17="Single_Point",IF(305=$NR$17,$NN$17,0),IF($NP$17="Bell_Curve",$NN$17*(305-$NR$17+1)*($NS$17-305+1)/$NU$17,$NN$17/$NT$17)),0)</f>
        <v/>
      </c>
      <c r="KX17" s="402">
        <f>IF(AND(306&gt;=$NR$17,306&lt;=$NS$17),IF($NP$17="Single_Point",IF(306=$NR$17,$NN$17,0),IF($NP$17="Bell_Curve",$NN$17*(306-$NR$17+1)*($NS$17-306+1)/$NU$17,$NN$17/$NT$17)),0)</f>
        <v/>
      </c>
      <c r="KY17" s="402">
        <f>IF(AND(307&gt;=$NR$17,307&lt;=$NS$17),IF($NP$17="Single_Point",IF(307=$NR$17,$NN$17,0),IF($NP$17="Bell_Curve",$NN$17*(307-$NR$17+1)*($NS$17-307+1)/$NU$17,$NN$17/$NT$17)),0)</f>
        <v/>
      </c>
      <c r="KZ17" s="402">
        <f>IF(AND(308&gt;=$NR$17,308&lt;=$NS$17),IF($NP$17="Single_Point",IF(308=$NR$17,$NN$17,0),IF($NP$17="Bell_Curve",$NN$17*(308-$NR$17+1)*($NS$17-308+1)/$NU$17,$NN$17/$NT$17)),0)</f>
        <v/>
      </c>
      <c r="LA17" s="402">
        <f>IF(AND(309&gt;=$NR$17,309&lt;=$NS$17),IF($NP$17="Single_Point",IF(309=$NR$17,$NN$17,0),IF($NP$17="Bell_Curve",$NN$17*(309-$NR$17+1)*($NS$17-309+1)/$NU$17,$NN$17/$NT$17)),0)</f>
        <v/>
      </c>
      <c r="LB17" s="402">
        <f>IF(AND(310&gt;=$NR$17,310&lt;=$NS$17),IF($NP$17="Single_Point",IF(310=$NR$17,$NN$17,0),IF($NP$17="Bell_Curve",$NN$17*(310-$NR$17+1)*($NS$17-310+1)/$NU$17,$NN$17/$NT$17)),0)</f>
        <v/>
      </c>
      <c r="LC17" s="402">
        <f>IF(AND(311&gt;=$NR$17,311&lt;=$NS$17),IF($NP$17="Single_Point",IF(311=$NR$17,$NN$17,0),IF($NP$17="Bell_Curve",$NN$17*(311-$NR$17+1)*($NS$17-311+1)/$NU$17,$NN$17/$NT$17)),0)</f>
        <v/>
      </c>
      <c r="LD17" s="402">
        <f>IF(AND(312&gt;=$NR$17,312&lt;=$NS$17),IF($NP$17="Single_Point",IF(312=$NR$17,$NN$17,0),IF($NP$17="Bell_Curve",$NN$17*(312-$NR$17+1)*($NS$17-312+1)/$NU$17,$NN$17/$NT$17)),0)</f>
        <v/>
      </c>
      <c r="LE17" s="402">
        <f>IF(AND(313&gt;=$NR$17,313&lt;=$NS$17),IF($NP$17="Single_Point",IF(313=$NR$17,$NN$17,0),IF($NP$17="Bell_Curve",$NN$17*(313-$NR$17+1)*($NS$17-313+1)/$NU$17,$NN$17/$NT$17)),0)</f>
        <v/>
      </c>
      <c r="LF17" s="402">
        <f>IF(AND(314&gt;=$NR$17,314&lt;=$NS$17),IF($NP$17="Single_Point",IF(314=$NR$17,$NN$17,0),IF($NP$17="Bell_Curve",$NN$17*(314-$NR$17+1)*($NS$17-314+1)/$NU$17,$NN$17/$NT$17)),0)</f>
        <v/>
      </c>
      <c r="LG17" s="402">
        <f>IF(AND(315&gt;=$NR$17,315&lt;=$NS$17),IF($NP$17="Single_Point",IF(315=$NR$17,$NN$17,0),IF($NP$17="Bell_Curve",$NN$17*(315-$NR$17+1)*($NS$17-315+1)/$NU$17,$NN$17/$NT$17)),0)</f>
        <v/>
      </c>
      <c r="LH17" s="402">
        <f>IF(AND(316&gt;=$NR$17,316&lt;=$NS$17),IF($NP$17="Single_Point",IF(316=$NR$17,$NN$17,0),IF($NP$17="Bell_Curve",$NN$17*(316-$NR$17+1)*($NS$17-316+1)/$NU$17,$NN$17/$NT$17)),0)</f>
        <v/>
      </c>
      <c r="LI17" s="402">
        <f>IF(AND(317&gt;=$NR$17,317&lt;=$NS$17),IF($NP$17="Single_Point",IF(317=$NR$17,$NN$17,0),IF($NP$17="Bell_Curve",$NN$17*(317-$NR$17+1)*($NS$17-317+1)/$NU$17,$NN$17/$NT$17)),0)</f>
        <v/>
      </c>
      <c r="LJ17" s="402">
        <f>IF(AND(318&gt;=$NR$17,318&lt;=$NS$17),IF($NP$17="Single_Point",IF(318=$NR$17,$NN$17,0),IF($NP$17="Bell_Curve",$NN$17*(318-$NR$17+1)*($NS$17-318+1)/$NU$17,$NN$17/$NT$17)),0)</f>
        <v/>
      </c>
      <c r="LK17" s="402">
        <f>IF(AND(319&gt;=$NR$17,319&lt;=$NS$17),IF($NP$17="Single_Point",IF(319=$NR$17,$NN$17,0),IF($NP$17="Bell_Curve",$NN$17*(319-$NR$17+1)*($NS$17-319+1)/$NU$17,$NN$17/$NT$17)),0)</f>
        <v/>
      </c>
      <c r="LL17" s="402">
        <f>IF(AND(320&gt;=$NR$17,320&lt;=$NS$17),IF($NP$17="Single_Point",IF(320=$NR$17,$NN$17,0),IF($NP$17="Bell_Curve",$NN$17*(320-$NR$17+1)*($NS$17-320+1)/$NU$17,$NN$17/$NT$17)),0)</f>
        <v/>
      </c>
      <c r="LM17" s="402">
        <f>IF(AND(321&gt;=$NR$17,321&lt;=$NS$17),IF($NP$17="Single_Point",IF(321=$NR$17,$NN$17,0),IF($NP$17="Bell_Curve",$NN$17*(321-$NR$17+1)*($NS$17-321+1)/$NU$17,$NN$17/$NT$17)),0)</f>
        <v/>
      </c>
      <c r="LN17" s="402">
        <f>IF(AND(322&gt;=$NR$17,322&lt;=$NS$17),IF($NP$17="Single_Point",IF(322=$NR$17,$NN$17,0),IF($NP$17="Bell_Curve",$NN$17*(322-$NR$17+1)*($NS$17-322+1)/$NU$17,$NN$17/$NT$17)),0)</f>
        <v/>
      </c>
      <c r="LO17" s="402">
        <f>IF(AND(323&gt;=$NR$17,323&lt;=$NS$17),IF($NP$17="Single_Point",IF(323=$NR$17,$NN$17,0),IF($NP$17="Bell_Curve",$NN$17*(323-$NR$17+1)*($NS$17-323+1)/$NU$17,$NN$17/$NT$17)),0)</f>
        <v/>
      </c>
      <c r="LP17" s="402">
        <f>IF(AND(324&gt;=$NR$17,324&lt;=$NS$17),IF($NP$17="Single_Point",IF(324=$NR$17,$NN$17,0),IF($NP$17="Bell_Curve",$NN$17*(324-$NR$17+1)*($NS$17-324+1)/$NU$17,$NN$17/$NT$17)),0)</f>
        <v/>
      </c>
      <c r="LQ17" s="402">
        <f>IF(AND(325&gt;=$NR$17,325&lt;=$NS$17),IF($NP$17="Single_Point",IF(325=$NR$17,$NN$17,0),IF($NP$17="Bell_Curve",$NN$17*(325-$NR$17+1)*($NS$17-325+1)/$NU$17,$NN$17/$NT$17)),0)</f>
        <v/>
      </c>
      <c r="LR17" s="402">
        <f>IF(AND(326&gt;=$NR$17,326&lt;=$NS$17),IF($NP$17="Single_Point",IF(326=$NR$17,$NN$17,0),IF($NP$17="Bell_Curve",$NN$17*(326-$NR$17+1)*($NS$17-326+1)/$NU$17,$NN$17/$NT$17)),0)</f>
        <v/>
      </c>
      <c r="LS17" s="402">
        <f>IF(AND(327&gt;=$NR$17,327&lt;=$NS$17),IF($NP$17="Single_Point",IF(327=$NR$17,$NN$17,0),IF($NP$17="Bell_Curve",$NN$17*(327-$NR$17+1)*($NS$17-327+1)/$NU$17,$NN$17/$NT$17)),0)</f>
        <v/>
      </c>
      <c r="LT17" s="402">
        <f>IF(AND(328&gt;=$NR$17,328&lt;=$NS$17),IF($NP$17="Single_Point",IF(328=$NR$17,$NN$17,0),IF($NP$17="Bell_Curve",$NN$17*(328-$NR$17+1)*($NS$17-328+1)/$NU$17,$NN$17/$NT$17)),0)</f>
        <v/>
      </c>
      <c r="LU17" s="402">
        <f>IF(AND(329&gt;=$NR$17,329&lt;=$NS$17),IF($NP$17="Single_Point",IF(329=$NR$17,$NN$17,0),IF($NP$17="Bell_Curve",$NN$17*(329-$NR$17+1)*($NS$17-329+1)/$NU$17,$NN$17/$NT$17)),0)</f>
        <v/>
      </c>
      <c r="LV17" s="402">
        <f>IF(AND(330&gt;=$NR$17,330&lt;=$NS$17),IF($NP$17="Single_Point",IF(330=$NR$17,$NN$17,0),IF($NP$17="Bell_Curve",$NN$17*(330-$NR$17+1)*($NS$17-330+1)/$NU$17,$NN$17/$NT$17)),0)</f>
        <v/>
      </c>
      <c r="LW17" s="402">
        <f>IF(AND(331&gt;=$NR$17,331&lt;=$NS$17),IF($NP$17="Single_Point",IF(331=$NR$17,$NN$17,0),IF($NP$17="Bell_Curve",$NN$17*(331-$NR$17+1)*($NS$17-331+1)/$NU$17,$NN$17/$NT$17)),0)</f>
        <v/>
      </c>
      <c r="LX17" s="402">
        <f>IF(AND(332&gt;=$NR$17,332&lt;=$NS$17),IF($NP$17="Single_Point",IF(332=$NR$17,$NN$17,0),IF($NP$17="Bell_Curve",$NN$17*(332-$NR$17+1)*($NS$17-332+1)/$NU$17,$NN$17/$NT$17)),0)</f>
        <v/>
      </c>
      <c r="LY17" s="402">
        <f>IF(AND(333&gt;=$NR$17,333&lt;=$NS$17),IF($NP$17="Single_Point",IF(333=$NR$17,$NN$17,0),IF($NP$17="Bell_Curve",$NN$17*(333-$NR$17+1)*($NS$17-333+1)/$NU$17,$NN$17/$NT$17)),0)</f>
        <v/>
      </c>
      <c r="LZ17" s="402">
        <f>IF(AND(334&gt;=$NR$17,334&lt;=$NS$17),IF($NP$17="Single_Point",IF(334=$NR$17,$NN$17,0),IF($NP$17="Bell_Curve",$NN$17*(334-$NR$17+1)*($NS$17-334+1)/$NU$17,$NN$17/$NT$17)),0)</f>
        <v/>
      </c>
      <c r="MA17" s="402">
        <f>IF(AND(335&gt;=$NR$17,335&lt;=$NS$17),IF($NP$17="Single_Point",IF(335=$NR$17,$NN$17,0),IF($NP$17="Bell_Curve",$NN$17*(335-$NR$17+1)*($NS$17-335+1)/$NU$17,$NN$17/$NT$17)),0)</f>
        <v/>
      </c>
      <c r="MB17" s="402">
        <f>IF(AND(336&gt;=$NR$17,336&lt;=$NS$17),IF($NP$17="Single_Point",IF(336=$NR$17,$NN$17,0),IF($NP$17="Bell_Curve",$NN$17*(336-$NR$17+1)*($NS$17-336+1)/$NU$17,$NN$17/$NT$17)),0)</f>
        <v/>
      </c>
      <c r="MC17" s="402">
        <f>IF(AND(337&gt;=$NR$17,337&lt;=$NS$17),IF($NP$17="Single_Point",IF(337=$NR$17,$NN$17,0),IF($NP$17="Bell_Curve",$NN$17*(337-$NR$17+1)*($NS$17-337+1)/$NU$17,$NN$17/$NT$17)),0)</f>
        <v/>
      </c>
      <c r="MD17" s="402">
        <f>IF(AND(338&gt;=$NR$17,338&lt;=$NS$17),IF($NP$17="Single_Point",IF(338=$NR$17,$NN$17,0),IF($NP$17="Bell_Curve",$NN$17*(338-$NR$17+1)*($NS$17-338+1)/$NU$17,$NN$17/$NT$17)),0)</f>
        <v/>
      </c>
      <c r="ME17" s="402">
        <f>IF(AND(339&gt;=$NR$17,339&lt;=$NS$17),IF($NP$17="Single_Point",IF(339=$NR$17,$NN$17,0),IF($NP$17="Bell_Curve",$NN$17*(339-$NR$17+1)*($NS$17-339+1)/$NU$17,$NN$17/$NT$17)),0)</f>
        <v/>
      </c>
      <c r="MF17" s="402">
        <f>IF(AND(340&gt;=$NR$17,340&lt;=$NS$17),IF($NP$17="Single_Point",IF(340=$NR$17,$NN$17,0),IF($NP$17="Bell_Curve",$NN$17*(340-$NR$17+1)*($NS$17-340+1)/$NU$17,$NN$17/$NT$17)),0)</f>
        <v/>
      </c>
      <c r="MG17" s="402">
        <f>IF(AND(341&gt;=$NR$17,341&lt;=$NS$17),IF($NP$17="Single_Point",IF(341=$NR$17,$NN$17,0),IF($NP$17="Bell_Curve",$NN$17*(341-$NR$17+1)*($NS$17-341+1)/$NU$17,$NN$17/$NT$17)),0)</f>
        <v/>
      </c>
      <c r="MH17" s="402">
        <f>IF(AND(342&gt;=$NR$17,342&lt;=$NS$17),IF($NP$17="Single_Point",IF(342=$NR$17,$NN$17,0),IF($NP$17="Bell_Curve",$NN$17*(342-$NR$17+1)*($NS$17-342+1)/$NU$17,$NN$17/$NT$17)),0)</f>
        <v/>
      </c>
      <c r="MI17" s="402">
        <f>IF(AND(343&gt;=$NR$17,343&lt;=$NS$17),IF($NP$17="Single_Point",IF(343=$NR$17,$NN$17,0),IF($NP$17="Bell_Curve",$NN$17*(343-$NR$17+1)*($NS$17-343+1)/$NU$17,$NN$17/$NT$17)),0)</f>
        <v/>
      </c>
      <c r="MJ17" s="402">
        <f>IF(AND(344&gt;=$NR$17,344&lt;=$NS$17),IF($NP$17="Single_Point",IF(344=$NR$17,$NN$17,0),IF($NP$17="Bell_Curve",$NN$17*(344-$NR$17+1)*($NS$17-344+1)/$NU$17,$NN$17/$NT$17)),0)</f>
        <v/>
      </c>
      <c r="MK17" s="402">
        <f>IF(AND(345&gt;=$NR$17,345&lt;=$NS$17),IF($NP$17="Single_Point",IF(345=$NR$17,$NN$17,0),IF($NP$17="Bell_Curve",$NN$17*(345-$NR$17+1)*($NS$17-345+1)/$NU$17,$NN$17/$NT$17)),0)</f>
        <v/>
      </c>
      <c r="ML17" s="402">
        <f>IF(AND(346&gt;=$NR$17,346&lt;=$NS$17),IF($NP$17="Single_Point",IF(346=$NR$17,$NN$17,0),IF($NP$17="Bell_Curve",$NN$17*(346-$NR$17+1)*($NS$17-346+1)/$NU$17,$NN$17/$NT$17)),0)</f>
        <v/>
      </c>
      <c r="MM17" s="402">
        <f>IF(AND(347&gt;=$NR$17,347&lt;=$NS$17),IF($NP$17="Single_Point",IF(347=$NR$17,$NN$17,0),IF($NP$17="Bell_Curve",$NN$17*(347-$NR$17+1)*($NS$17-347+1)/$NU$17,$NN$17/$NT$17)),0)</f>
        <v/>
      </c>
      <c r="MN17" s="402">
        <f>IF(AND(348&gt;=$NR$17,348&lt;=$NS$17),IF($NP$17="Single_Point",IF(348=$NR$17,$NN$17,0),IF($NP$17="Bell_Curve",$NN$17*(348-$NR$17+1)*($NS$17-348+1)/$NU$17,$NN$17/$NT$17)),0)</f>
        <v/>
      </c>
      <c r="MO17" s="402">
        <f>IF(AND(349&gt;=$NR$17,349&lt;=$NS$17),IF($NP$17="Single_Point",IF(349=$NR$17,$NN$17,0),IF($NP$17="Bell_Curve",$NN$17*(349-$NR$17+1)*($NS$17-349+1)/$NU$17,$NN$17/$NT$17)),0)</f>
        <v/>
      </c>
      <c r="MP17" s="402">
        <f>IF(AND(350&gt;=$NR$17,350&lt;=$NS$17),IF($NP$17="Single_Point",IF(350=$NR$17,$NN$17,0),IF($NP$17="Bell_Curve",$NN$17*(350-$NR$17+1)*($NS$17-350+1)/$NU$17,$NN$17/$NT$17)),0)</f>
        <v/>
      </c>
      <c r="MQ17" s="402">
        <f>IF(AND(351&gt;=$NR$17,351&lt;=$NS$17),IF($NP$17="Single_Point",IF(351=$NR$17,$NN$17,0),IF($NP$17="Bell_Curve",$NN$17*(351-$NR$17+1)*($NS$17-351+1)/$NU$17,$NN$17/$NT$17)),0)</f>
        <v/>
      </c>
      <c r="MR17" s="402">
        <f>IF(AND(352&gt;=$NR$17,352&lt;=$NS$17),IF($NP$17="Single_Point",IF(352=$NR$17,$NN$17,0),IF($NP$17="Bell_Curve",$NN$17*(352-$NR$17+1)*($NS$17-352+1)/$NU$17,$NN$17/$NT$17)),0)</f>
        <v/>
      </c>
      <c r="MS17" s="402">
        <f>IF(AND(353&gt;=$NR$17,353&lt;=$NS$17),IF($NP$17="Single_Point",IF(353=$NR$17,$NN$17,0),IF($NP$17="Bell_Curve",$NN$17*(353-$NR$17+1)*($NS$17-353+1)/$NU$17,$NN$17/$NT$17)),0)</f>
        <v/>
      </c>
      <c r="MT17" s="402">
        <f>IF(AND(354&gt;=$NR$17,354&lt;=$NS$17),IF($NP$17="Single_Point",IF(354=$NR$17,$NN$17,0),IF($NP$17="Bell_Curve",$NN$17*(354-$NR$17+1)*($NS$17-354+1)/$NU$17,$NN$17/$NT$17)),0)</f>
        <v/>
      </c>
      <c r="MU17" s="402">
        <f>IF(AND(355&gt;=$NR$17,355&lt;=$NS$17),IF($NP$17="Single_Point",IF(355=$NR$17,$NN$17,0),IF($NP$17="Bell_Curve",$NN$17*(355-$NR$17+1)*($NS$17-355+1)/$NU$17,$NN$17/$NT$17)),0)</f>
        <v/>
      </c>
      <c r="MV17" s="402">
        <f>IF(AND(356&gt;=$NR$17,356&lt;=$NS$17),IF($NP$17="Single_Point",IF(356=$NR$17,$NN$17,0),IF($NP$17="Bell_Curve",$NN$17*(356-$NR$17+1)*($NS$17-356+1)/$NU$17,$NN$17/$NT$17)),0)</f>
        <v/>
      </c>
      <c r="MW17" s="402">
        <f>IF(AND(357&gt;=$NR$17,357&lt;=$NS$17),IF($NP$17="Single_Point",IF(357=$NR$17,$NN$17,0),IF($NP$17="Bell_Curve",$NN$17*(357-$NR$17+1)*($NS$17-357+1)/$NU$17,$NN$17/$NT$17)),0)</f>
        <v/>
      </c>
      <c r="MX17" s="402">
        <f>IF(AND(358&gt;=$NR$17,358&lt;=$NS$17),IF($NP$17="Single_Point",IF(358=$NR$17,$NN$17,0),IF($NP$17="Bell_Curve",$NN$17*(358-$NR$17+1)*($NS$17-358+1)/$NU$17,$NN$17/$NT$17)),0)</f>
        <v/>
      </c>
      <c r="MY17" s="402">
        <f>IF(AND(359&gt;=$NR$17,359&lt;=$NS$17),IF($NP$17="Single_Point",IF(359=$NR$17,$NN$17,0),IF($NP$17="Bell_Curve",$NN$17*(359-$NR$17+1)*($NS$17-359+1)/$NU$17,$NN$17/$NT$17)),0)</f>
        <v/>
      </c>
      <c r="MZ17" s="402">
        <f>IF(AND(360&gt;=$NR$17,360&lt;=$NS$17),IF($NP$17="Single_Point",IF(360=$NR$17,$NN$17,0),IF($NP$17="Bell_Curve",$NN$17*(360-$NR$17+1)*($NS$17-360+1)/$NU$17,$NN$17/$NT$17)),0)</f>
        <v/>
      </c>
      <c r="NA17" s="402">
        <f>IF(AND(361&gt;=$NR$17,361&lt;=$NS$17),IF($NP$17="Single_Point",IF(361=$NR$17,$NN$17,0),IF($NP$17="Bell_Curve",$NN$17*(361-$NR$17+1)*($NS$17-361+1)/$NU$17,$NN$17/$NT$17)),0)</f>
        <v/>
      </c>
      <c r="NB17" s="402">
        <f>IF(AND(362&gt;=$NR$17,362&lt;=$NS$17),IF($NP$17="Single_Point",IF(362=$NR$17,$NN$17,0),IF($NP$17="Bell_Curve",$NN$17*(362-$NR$17+1)*($NS$17-362+1)/$NU$17,$NN$17/$NT$17)),0)</f>
        <v/>
      </c>
      <c r="NC17" s="402">
        <f>IF(AND(363&gt;=$NR$17,363&lt;=$NS$17),IF($NP$17="Single_Point",IF(363=$NR$17,$NN$17,0),IF($NP$17="Bell_Curve",$NN$17*(363-$NR$17+1)*($NS$17-363+1)/$NU$17,$NN$17/$NT$17)),0)</f>
        <v/>
      </c>
      <c r="ND17" s="402">
        <f>IF(AND(364&gt;=$NR$17,364&lt;=$NS$17),IF($NP$17="Single_Point",IF(364=$NR$17,$NN$17,0),IF($NP$17="Bell_Curve",$NN$17*(364-$NR$17+1)*($NS$17-364+1)/$NU$17,$NN$17/$NT$17)),0)</f>
        <v/>
      </c>
      <c r="NE17" s="402">
        <f>IF(AND(365&gt;=$NR$17,365&lt;=$NS$17),IF($NP$17="Single_Point",IF(365=$NR$17,$NN$17,0),IF($NP$17="Bell_Curve",$NN$17*(365-$NR$17+1)*($NS$17-365+1)/$NU$17,$NN$17/$NT$17)),0)</f>
        <v/>
      </c>
      <c r="NF17" s="402">
        <f>IF(AND(366&gt;=$NR$17,366&lt;=$NS$17),IF($NP$17="Single_Point",IF(366=$NR$17,$NN$17,0),IF($NP$17="Bell_Curve",$NN$17*(366-$NR$17+1)*($NS$17-366+1)/$NU$17,$NN$17/$NT$17)),0)</f>
        <v/>
      </c>
      <c r="NG17" s="402">
        <f>IF(AND(367&gt;=$NR$17,367&lt;=$NS$17),IF($NP$17="Single_Point",IF(367=$NR$17,$NN$17,0),IF($NP$17="Bell_Curve",$NN$17*(367-$NR$17+1)*($NS$17-367+1)/$NU$17,$NN$17/$NT$17)),0)</f>
        <v/>
      </c>
      <c r="NH17" s="402">
        <f>IF(AND(368&gt;=$NR$17,368&lt;=$NS$17),IF($NP$17="Single_Point",IF(368=$NR$17,$NN$17,0),IF($NP$17="Bell_Curve",$NN$17*(368-$NR$17+1)*($NS$17-368+1)/$NU$17,$NN$17/$NT$17)),0)</f>
        <v/>
      </c>
      <c r="NI17" s="402">
        <f>IF(AND(369&gt;=$NR$17,369&lt;=$NS$17),IF($NP$17="Single_Point",IF(369=$NR$17,$NN$17,0),IF($NP$17="Bell_Curve",$NN$17*(369-$NR$17+1)*($NS$17-369+1)/$NU$17,$NN$17/$NT$17)),0)</f>
        <v/>
      </c>
      <c r="NJ17" s="402">
        <f>IF(AND(370&gt;=$NR$17,370&lt;=$NS$17),IF($NP$17="Single_Point",IF(370=$NR$17,$NN$17,0),IF($NP$17="Bell_Curve",$NN$17*(370-$NR$17+1)*($NS$17-370+1)/$NU$17,$NN$17/$NT$17)),0)</f>
        <v/>
      </c>
      <c r="NK17" s="402">
        <f>IF(AND(371&gt;=$NR$17,371&lt;=$NS$17),IF($NP$17="Single_Point",IF(371=$NR$17,$NN$17,0),IF($NP$17="Bell_Curve",$NN$17*(371-$NR$17+1)*($NS$17-371+1)/$NU$17,$NN$17/$NT$17)),0)</f>
        <v/>
      </c>
      <c r="NL17" s="426">
        <f>IF(AND(372&gt;=$NR$17,372&lt;=$NS$17),IF($NP$17="Single_Point",IF(372=$NR$17,$NN$17,0),IF($NP$17="Bell_Curve",$NN$17*(372-$NR$17+1)*($NS$17-372+1)/$NU$17,$NN$17/$NT$17)),0)</f>
        <v/>
      </c>
      <c r="NM17">
        <f>Budget!C16</f>
        <v/>
      </c>
      <c r="NN17" s="218">
        <f>Budget!J16</f>
        <v/>
      </c>
      <c r="NO17" s="144">
        <f>Budget!G16</f>
        <v/>
      </c>
      <c r="NP17" s="144">
        <f>Budget!H16</f>
        <v/>
      </c>
      <c r="NQ17" s="85">
        <f>Budget!I16</f>
        <v/>
      </c>
      <c r="NR17" s="248">
        <f>MAX(1,MIN(372,INDEX(MilestoneStart,MATCH(NO17,MilestoneNames,0))+NQ17))</f>
        <v/>
      </c>
      <c r="NS17" s="248">
        <f>MAX(NR17,MIN(372,INDEX(MilestoneEnd,MATCH(NO17,MilestoneNames,0))+NQ17))</f>
        <v/>
      </c>
      <c r="NT17" s="85">
        <f>NS17-NR17+1</f>
        <v/>
      </c>
      <c r="NU17" s="85">
        <f>NT17*(NT17+1)*(NT17+2)/6</f>
        <v/>
      </c>
    </row>
    <row r="18">
      <c r="B18" s="296">
        <f>Budget!B17</f>
        <v/>
      </c>
      <c r="D18" s="425">
        <f>SUM(E18:NL18)</f>
        <v/>
      </c>
      <c r="E18" s="402">
        <f>IF(AND(1&gt;=$NR$18,1&lt;=$NS$18),IF($NP$18="Single_Point",IF(1=$NR$18,$NN$18,0),IF($NP$18="Bell_Curve",$NN$18*(1-$NR$18+1)*($NS$18-1+1)/$NU$18,$NN$18/$NT$18)),0)</f>
        <v/>
      </c>
      <c r="F18" s="402">
        <f>IF(AND(2&gt;=$NR$18,2&lt;=$NS$18),IF($NP$18="Single_Point",IF(2=$NR$18,$NN$18,0),IF($NP$18="Bell_Curve",$NN$18*(2-$NR$18+1)*($NS$18-2+1)/$NU$18,$NN$18/$NT$18)),0)</f>
        <v/>
      </c>
      <c r="G18" s="402">
        <f>IF(AND(3&gt;=$NR$18,3&lt;=$NS$18),IF($NP$18="Single_Point",IF(3=$NR$18,$NN$18,0),IF($NP$18="Bell_Curve",$NN$18*(3-$NR$18+1)*($NS$18-3+1)/$NU$18,$NN$18/$NT$18)),0)</f>
        <v/>
      </c>
      <c r="H18" s="402">
        <f>IF(AND(4&gt;=$NR$18,4&lt;=$NS$18),IF($NP$18="Single_Point",IF(4=$NR$18,$NN$18,0),IF($NP$18="Bell_Curve",$NN$18*(4-$NR$18+1)*($NS$18-4+1)/$NU$18,$NN$18/$NT$18)),0)</f>
        <v/>
      </c>
      <c r="I18" s="402">
        <f>IF(AND(5&gt;=$NR$18,5&lt;=$NS$18),IF($NP$18="Single_Point",IF(5=$NR$18,$NN$18,0),IF($NP$18="Bell_Curve",$NN$18*(5-$NR$18+1)*($NS$18-5+1)/$NU$18,$NN$18/$NT$18)),0)</f>
        <v/>
      </c>
      <c r="J18" s="402">
        <f>IF(AND(6&gt;=$NR$18,6&lt;=$NS$18),IF($NP$18="Single_Point",IF(6=$NR$18,$NN$18,0),IF($NP$18="Bell_Curve",$NN$18*(6-$NR$18+1)*($NS$18-6+1)/$NU$18,$NN$18/$NT$18)),0)</f>
        <v/>
      </c>
      <c r="K18" s="402">
        <f>IF(AND(7&gt;=$NR$18,7&lt;=$NS$18),IF($NP$18="Single_Point",IF(7=$NR$18,$NN$18,0),IF($NP$18="Bell_Curve",$NN$18*(7-$NR$18+1)*($NS$18-7+1)/$NU$18,$NN$18/$NT$18)),0)</f>
        <v/>
      </c>
      <c r="L18" s="402">
        <f>IF(AND(8&gt;=$NR$18,8&lt;=$NS$18),IF($NP$18="Single_Point",IF(8=$NR$18,$NN$18,0),IF($NP$18="Bell_Curve",$NN$18*(8-$NR$18+1)*($NS$18-8+1)/$NU$18,$NN$18/$NT$18)),0)</f>
        <v/>
      </c>
      <c r="M18" s="402">
        <f>IF(AND(9&gt;=$NR$18,9&lt;=$NS$18),IF($NP$18="Single_Point",IF(9=$NR$18,$NN$18,0),IF($NP$18="Bell_Curve",$NN$18*(9-$NR$18+1)*($NS$18-9+1)/$NU$18,$NN$18/$NT$18)),0)</f>
        <v/>
      </c>
      <c r="N18" s="402">
        <f>IF(AND(10&gt;=$NR$18,10&lt;=$NS$18),IF($NP$18="Single_Point",IF(10=$NR$18,$NN$18,0),IF($NP$18="Bell_Curve",$NN$18*(10-$NR$18+1)*($NS$18-10+1)/$NU$18,$NN$18/$NT$18)),0)</f>
        <v/>
      </c>
      <c r="O18" s="402">
        <f>IF(AND(11&gt;=$NR$18,11&lt;=$NS$18),IF($NP$18="Single_Point",IF(11=$NR$18,$NN$18,0),IF($NP$18="Bell_Curve",$NN$18*(11-$NR$18+1)*($NS$18-11+1)/$NU$18,$NN$18/$NT$18)),0)</f>
        <v/>
      </c>
      <c r="P18" s="402">
        <f>IF(AND(12&gt;=$NR$18,12&lt;=$NS$18),IF($NP$18="Single_Point",IF(12=$NR$18,$NN$18,0),IF($NP$18="Bell_Curve",$NN$18*(12-$NR$18+1)*($NS$18-12+1)/$NU$18,$NN$18/$NT$18)),0)</f>
        <v/>
      </c>
      <c r="Q18" s="402">
        <f>IF(AND(13&gt;=$NR$18,13&lt;=$NS$18),IF($NP$18="Single_Point",IF(13=$NR$18,$NN$18,0),IF($NP$18="Bell_Curve",$NN$18*(13-$NR$18+1)*($NS$18-13+1)/$NU$18,$NN$18/$NT$18)),0)</f>
        <v/>
      </c>
      <c r="R18" s="402">
        <f>IF(AND(14&gt;=$NR$18,14&lt;=$NS$18),IF($NP$18="Single_Point",IF(14=$NR$18,$NN$18,0),IF($NP$18="Bell_Curve",$NN$18*(14-$NR$18+1)*($NS$18-14+1)/$NU$18,$NN$18/$NT$18)),0)</f>
        <v/>
      </c>
      <c r="S18" s="402">
        <f>IF(AND(15&gt;=$NR$18,15&lt;=$NS$18),IF($NP$18="Single_Point",IF(15=$NR$18,$NN$18,0),IF($NP$18="Bell_Curve",$NN$18*(15-$NR$18+1)*($NS$18-15+1)/$NU$18,$NN$18/$NT$18)),0)</f>
        <v/>
      </c>
      <c r="T18" s="402">
        <f>IF(AND(16&gt;=$NR$18,16&lt;=$NS$18),IF($NP$18="Single_Point",IF(16=$NR$18,$NN$18,0),IF($NP$18="Bell_Curve",$NN$18*(16-$NR$18+1)*($NS$18-16+1)/$NU$18,$NN$18/$NT$18)),0)</f>
        <v/>
      </c>
      <c r="U18" s="402">
        <f>IF(AND(17&gt;=$NR$18,17&lt;=$NS$18),IF($NP$18="Single_Point",IF(17=$NR$18,$NN$18,0),IF($NP$18="Bell_Curve",$NN$18*(17-$NR$18+1)*($NS$18-17+1)/$NU$18,$NN$18/$NT$18)),0)</f>
        <v/>
      </c>
      <c r="V18" s="402">
        <f>IF(AND(18&gt;=$NR$18,18&lt;=$NS$18),IF($NP$18="Single_Point",IF(18=$NR$18,$NN$18,0),IF($NP$18="Bell_Curve",$NN$18*(18-$NR$18+1)*($NS$18-18+1)/$NU$18,$NN$18/$NT$18)),0)</f>
        <v/>
      </c>
      <c r="W18" s="402">
        <f>IF(AND(19&gt;=$NR$18,19&lt;=$NS$18),IF($NP$18="Single_Point",IF(19=$NR$18,$NN$18,0),IF($NP$18="Bell_Curve",$NN$18*(19-$NR$18+1)*($NS$18-19+1)/$NU$18,$NN$18/$NT$18)),0)</f>
        <v/>
      </c>
      <c r="X18" s="402">
        <f>IF(AND(20&gt;=$NR$18,20&lt;=$NS$18),IF($NP$18="Single_Point",IF(20=$NR$18,$NN$18,0),IF($NP$18="Bell_Curve",$NN$18*(20-$NR$18+1)*($NS$18-20+1)/$NU$18,$NN$18/$NT$18)),0)</f>
        <v/>
      </c>
      <c r="Y18" s="402">
        <f>IF(AND(21&gt;=$NR$18,21&lt;=$NS$18),IF($NP$18="Single_Point",IF(21=$NR$18,$NN$18,0),IF($NP$18="Bell_Curve",$NN$18*(21-$NR$18+1)*($NS$18-21+1)/$NU$18,$NN$18/$NT$18)),0)</f>
        <v/>
      </c>
      <c r="Z18" s="402">
        <f>IF(AND(22&gt;=$NR$18,22&lt;=$NS$18),IF($NP$18="Single_Point",IF(22=$NR$18,$NN$18,0),IF($NP$18="Bell_Curve",$NN$18*(22-$NR$18+1)*($NS$18-22+1)/$NU$18,$NN$18/$NT$18)),0)</f>
        <v/>
      </c>
      <c r="AA18" s="402">
        <f>IF(AND(23&gt;=$NR$18,23&lt;=$NS$18),IF($NP$18="Single_Point",IF(23=$NR$18,$NN$18,0),IF($NP$18="Bell_Curve",$NN$18*(23-$NR$18+1)*($NS$18-23+1)/$NU$18,$NN$18/$NT$18)),0)</f>
        <v/>
      </c>
      <c r="AB18" s="402">
        <f>IF(AND(24&gt;=$NR$18,24&lt;=$NS$18),IF($NP$18="Single_Point",IF(24=$NR$18,$NN$18,0),IF($NP$18="Bell_Curve",$NN$18*(24-$NR$18+1)*($NS$18-24+1)/$NU$18,$NN$18/$NT$18)),0)</f>
        <v/>
      </c>
      <c r="AC18" s="402">
        <f>IF(AND(25&gt;=$NR$18,25&lt;=$NS$18),IF($NP$18="Single_Point",IF(25=$NR$18,$NN$18,0),IF($NP$18="Bell_Curve",$NN$18*(25-$NR$18+1)*($NS$18-25+1)/$NU$18,$NN$18/$NT$18)),0)</f>
        <v/>
      </c>
      <c r="AD18" s="402">
        <f>IF(AND(26&gt;=$NR$18,26&lt;=$NS$18),IF($NP$18="Single_Point",IF(26=$NR$18,$NN$18,0),IF($NP$18="Bell_Curve",$NN$18*(26-$NR$18+1)*($NS$18-26+1)/$NU$18,$NN$18/$NT$18)),0)</f>
        <v/>
      </c>
      <c r="AE18" s="402">
        <f>IF(AND(27&gt;=$NR$18,27&lt;=$NS$18),IF($NP$18="Single_Point",IF(27=$NR$18,$NN$18,0),IF($NP$18="Bell_Curve",$NN$18*(27-$NR$18+1)*($NS$18-27+1)/$NU$18,$NN$18/$NT$18)),0)</f>
        <v/>
      </c>
      <c r="AF18" s="402">
        <f>IF(AND(28&gt;=$NR$18,28&lt;=$NS$18),IF($NP$18="Single_Point",IF(28=$NR$18,$NN$18,0),IF($NP$18="Bell_Curve",$NN$18*(28-$NR$18+1)*($NS$18-28+1)/$NU$18,$NN$18/$NT$18)),0)</f>
        <v/>
      </c>
      <c r="AG18" s="402">
        <f>IF(AND(29&gt;=$NR$18,29&lt;=$NS$18),IF($NP$18="Single_Point",IF(29=$NR$18,$NN$18,0),IF($NP$18="Bell_Curve",$NN$18*(29-$NR$18+1)*($NS$18-29+1)/$NU$18,$NN$18/$NT$18)),0)</f>
        <v/>
      </c>
      <c r="AH18" s="402">
        <f>IF(AND(30&gt;=$NR$18,30&lt;=$NS$18),IF($NP$18="Single_Point",IF(30=$NR$18,$NN$18,0),IF($NP$18="Bell_Curve",$NN$18*(30-$NR$18+1)*($NS$18-30+1)/$NU$18,$NN$18/$NT$18)),0)</f>
        <v/>
      </c>
      <c r="AI18" s="402">
        <f>IF(AND(31&gt;=$NR$18,31&lt;=$NS$18),IF($NP$18="Single_Point",IF(31=$NR$18,$NN$18,0),IF($NP$18="Bell_Curve",$NN$18*(31-$NR$18+1)*($NS$18-31+1)/$NU$18,$NN$18/$NT$18)),0)</f>
        <v/>
      </c>
      <c r="AJ18" s="402">
        <f>IF(AND(32&gt;=$NR$18,32&lt;=$NS$18),IF($NP$18="Single_Point",IF(32=$NR$18,$NN$18,0),IF($NP$18="Bell_Curve",$NN$18*(32-$NR$18+1)*($NS$18-32+1)/$NU$18,$NN$18/$NT$18)),0)</f>
        <v/>
      </c>
      <c r="AK18" s="402">
        <f>IF(AND(33&gt;=$NR$18,33&lt;=$NS$18),IF($NP$18="Single_Point",IF(33=$NR$18,$NN$18,0),IF($NP$18="Bell_Curve",$NN$18*(33-$NR$18+1)*($NS$18-33+1)/$NU$18,$NN$18/$NT$18)),0)</f>
        <v/>
      </c>
      <c r="AL18" s="402">
        <f>IF(AND(34&gt;=$NR$18,34&lt;=$NS$18),IF($NP$18="Single_Point",IF(34=$NR$18,$NN$18,0),IF($NP$18="Bell_Curve",$NN$18*(34-$NR$18+1)*($NS$18-34+1)/$NU$18,$NN$18/$NT$18)),0)</f>
        <v/>
      </c>
      <c r="AM18" s="402">
        <f>IF(AND(35&gt;=$NR$18,35&lt;=$NS$18),IF($NP$18="Single_Point",IF(35=$NR$18,$NN$18,0),IF($NP$18="Bell_Curve",$NN$18*(35-$NR$18+1)*($NS$18-35+1)/$NU$18,$NN$18/$NT$18)),0)</f>
        <v/>
      </c>
      <c r="AN18" s="402">
        <f>IF(AND(36&gt;=$NR$18,36&lt;=$NS$18),IF($NP$18="Single_Point",IF(36=$NR$18,$NN$18,0),IF($NP$18="Bell_Curve",$NN$18*(36-$NR$18+1)*($NS$18-36+1)/$NU$18,$NN$18/$NT$18)),0)</f>
        <v/>
      </c>
      <c r="AO18" s="402">
        <f>IF(AND(37&gt;=$NR$18,37&lt;=$NS$18),IF($NP$18="Single_Point",IF(37=$NR$18,$NN$18,0),IF($NP$18="Bell_Curve",$NN$18*(37-$NR$18+1)*($NS$18-37+1)/$NU$18,$NN$18/$NT$18)),0)</f>
        <v/>
      </c>
      <c r="AP18" s="402">
        <f>IF(AND(38&gt;=$NR$18,38&lt;=$NS$18),IF($NP$18="Single_Point",IF(38=$NR$18,$NN$18,0),IF($NP$18="Bell_Curve",$NN$18*(38-$NR$18+1)*($NS$18-38+1)/$NU$18,$NN$18/$NT$18)),0)</f>
        <v/>
      </c>
      <c r="AQ18" s="402">
        <f>IF(AND(39&gt;=$NR$18,39&lt;=$NS$18),IF($NP$18="Single_Point",IF(39=$NR$18,$NN$18,0),IF($NP$18="Bell_Curve",$NN$18*(39-$NR$18+1)*($NS$18-39+1)/$NU$18,$NN$18/$NT$18)),0)</f>
        <v/>
      </c>
      <c r="AR18" s="402">
        <f>IF(AND(40&gt;=$NR$18,40&lt;=$NS$18),IF($NP$18="Single_Point",IF(40=$NR$18,$NN$18,0),IF($NP$18="Bell_Curve",$NN$18*(40-$NR$18+1)*($NS$18-40+1)/$NU$18,$NN$18/$NT$18)),0)</f>
        <v/>
      </c>
      <c r="AS18" s="402">
        <f>IF(AND(41&gt;=$NR$18,41&lt;=$NS$18),IF($NP$18="Single_Point",IF(41=$NR$18,$NN$18,0),IF($NP$18="Bell_Curve",$NN$18*(41-$NR$18+1)*($NS$18-41+1)/$NU$18,$NN$18/$NT$18)),0)</f>
        <v/>
      </c>
      <c r="AT18" s="402">
        <f>IF(AND(42&gt;=$NR$18,42&lt;=$NS$18),IF($NP$18="Single_Point",IF(42=$NR$18,$NN$18,0),IF($NP$18="Bell_Curve",$NN$18*(42-$NR$18+1)*($NS$18-42+1)/$NU$18,$NN$18/$NT$18)),0)</f>
        <v/>
      </c>
      <c r="AU18" s="402">
        <f>IF(AND(43&gt;=$NR$18,43&lt;=$NS$18),IF($NP$18="Single_Point",IF(43=$NR$18,$NN$18,0),IF($NP$18="Bell_Curve",$NN$18*(43-$NR$18+1)*($NS$18-43+1)/$NU$18,$NN$18/$NT$18)),0)</f>
        <v/>
      </c>
      <c r="AV18" s="402">
        <f>IF(AND(44&gt;=$NR$18,44&lt;=$NS$18),IF($NP$18="Single_Point",IF(44=$NR$18,$NN$18,0),IF($NP$18="Bell_Curve",$NN$18*(44-$NR$18+1)*($NS$18-44+1)/$NU$18,$NN$18/$NT$18)),0)</f>
        <v/>
      </c>
      <c r="AW18" s="402">
        <f>IF(AND(45&gt;=$NR$18,45&lt;=$NS$18),IF($NP$18="Single_Point",IF(45=$NR$18,$NN$18,0),IF($NP$18="Bell_Curve",$NN$18*(45-$NR$18+1)*($NS$18-45+1)/$NU$18,$NN$18/$NT$18)),0)</f>
        <v/>
      </c>
      <c r="AX18" s="402">
        <f>IF(AND(46&gt;=$NR$18,46&lt;=$NS$18),IF($NP$18="Single_Point",IF(46=$NR$18,$NN$18,0),IF($NP$18="Bell_Curve",$NN$18*(46-$NR$18+1)*($NS$18-46+1)/$NU$18,$NN$18/$NT$18)),0)</f>
        <v/>
      </c>
      <c r="AY18" s="402">
        <f>IF(AND(47&gt;=$NR$18,47&lt;=$NS$18),IF($NP$18="Single_Point",IF(47=$NR$18,$NN$18,0),IF($NP$18="Bell_Curve",$NN$18*(47-$NR$18+1)*($NS$18-47+1)/$NU$18,$NN$18/$NT$18)),0)</f>
        <v/>
      </c>
      <c r="AZ18" s="402">
        <f>IF(AND(48&gt;=$NR$18,48&lt;=$NS$18),IF($NP$18="Single_Point",IF(48=$NR$18,$NN$18,0),IF($NP$18="Bell_Curve",$NN$18*(48-$NR$18+1)*($NS$18-48+1)/$NU$18,$NN$18/$NT$18)),0)</f>
        <v/>
      </c>
      <c r="BA18" s="402">
        <f>IF(AND(49&gt;=$NR$18,49&lt;=$NS$18),IF($NP$18="Single_Point",IF(49=$NR$18,$NN$18,0),IF($NP$18="Bell_Curve",$NN$18*(49-$NR$18+1)*($NS$18-49+1)/$NU$18,$NN$18/$NT$18)),0)</f>
        <v/>
      </c>
      <c r="BB18" s="402">
        <f>IF(AND(50&gt;=$NR$18,50&lt;=$NS$18),IF($NP$18="Single_Point",IF(50=$NR$18,$NN$18,0),IF($NP$18="Bell_Curve",$NN$18*(50-$NR$18+1)*($NS$18-50+1)/$NU$18,$NN$18/$NT$18)),0)</f>
        <v/>
      </c>
      <c r="BC18" s="402">
        <f>IF(AND(51&gt;=$NR$18,51&lt;=$NS$18),IF($NP$18="Single_Point",IF(51=$NR$18,$NN$18,0),IF($NP$18="Bell_Curve",$NN$18*(51-$NR$18+1)*($NS$18-51+1)/$NU$18,$NN$18/$NT$18)),0)</f>
        <v/>
      </c>
      <c r="BD18" s="402">
        <f>IF(AND(52&gt;=$NR$18,52&lt;=$NS$18),IF($NP$18="Single_Point",IF(52=$NR$18,$NN$18,0),IF($NP$18="Bell_Curve",$NN$18*(52-$NR$18+1)*($NS$18-52+1)/$NU$18,$NN$18/$NT$18)),0)</f>
        <v/>
      </c>
      <c r="BE18" s="402">
        <f>IF(AND(53&gt;=$NR$18,53&lt;=$NS$18),IF($NP$18="Single_Point",IF(53=$NR$18,$NN$18,0),IF($NP$18="Bell_Curve",$NN$18*(53-$NR$18+1)*($NS$18-53+1)/$NU$18,$NN$18/$NT$18)),0)</f>
        <v/>
      </c>
      <c r="BF18" s="402">
        <f>IF(AND(54&gt;=$NR$18,54&lt;=$NS$18),IF($NP$18="Single_Point",IF(54=$NR$18,$NN$18,0),IF($NP$18="Bell_Curve",$NN$18*(54-$NR$18+1)*($NS$18-54+1)/$NU$18,$NN$18/$NT$18)),0)</f>
        <v/>
      </c>
      <c r="BG18" s="402">
        <f>IF(AND(55&gt;=$NR$18,55&lt;=$NS$18),IF($NP$18="Single_Point",IF(55=$NR$18,$NN$18,0),IF($NP$18="Bell_Curve",$NN$18*(55-$NR$18+1)*($NS$18-55+1)/$NU$18,$NN$18/$NT$18)),0)</f>
        <v/>
      </c>
      <c r="BH18" s="402">
        <f>IF(AND(56&gt;=$NR$18,56&lt;=$NS$18),IF($NP$18="Single_Point",IF(56=$NR$18,$NN$18,0),IF($NP$18="Bell_Curve",$NN$18*(56-$NR$18+1)*($NS$18-56+1)/$NU$18,$NN$18/$NT$18)),0)</f>
        <v/>
      </c>
      <c r="BI18" s="402">
        <f>IF(AND(57&gt;=$NR$18,57&lt;=$NS$18),IF($NP$18="Single_Point",IF(57=$NR$18,$NN$18,0),IF($NP$18="Bell_Curve",$NN$18*(57-$NR$18+1)*($NS$18-57+1)/$NU$18,$NN$18/$NT$18)),0)</f>
        <v/>
      </c>
      <c r="BJ18" s="402">
        <f>IF(AND(58&gt;=$NR$18,58&lt;=$NS$18),IF($NP$18="Single_Point",IF(58=$NR$18,$NN$18,0),IF($NP$18="Bell_Curve",$NN$18*(58-$NR$18+1)*($NS$18-58+1)/$NU$18,$NN$18/$NT$18)),0)</f>
        <v/>
      </c>
      <c r="BK18" s="402">
        <f>IF(AND(59&gt;=$NR$18,59&lt;=$NS$18),IF($NP$18="Single_Point",IF(59=$NR$18,$NN$18,0),IF($NP$18="Bell_Curve",$NN$18*(59-$NR$18+1)*($NS$18-59+1)/$NU$18,$NN$18/$NT$18)),0)</f>
        <v/>
      </c>
      <c r="BL18" s="402">
        <f>IF(AND(60&gt;=$NR$18,60&lt;=$NS$18),IF($NP$18="Single_Point",IF(60=$NR$18,$NN$18,0),IF($NP$18="Bell_Curve",$NN$18*(60-$NR$18+1)*($NS$18-60+1)/$NU$18,$NN$18/$NT$18)),0)</f>
        <v/>
      </c>
      <c r="BM18" s="402">
        <f>IF(AND(61&gt;=$NR$18,61&lt;=$NS$18),IF($NP$18="Single_Point",IF(61=$NR$18,$NN$18,0),IF($NP$18="Bell_Curve",$NN$18*(61-$NR$18+1)*($NS$18-61+1)/$NU$18,$NN$18/$NT$18)),0)</f>
        <v/>
      </c>
      <c r="BN18" s="402">
        <f>IF(AND(62&gt;=$NR$18,62&lt;=$NS$18),IF($NP$18="Single_Point",IF(62=$NR$18,$NN$18,0),IF($NP$18="Bell_Curve",$NN$18*(62-$NR$18+1)*($NS$18-62+1)/$NU$18,$NN$18/$NT$18)),0)</f>
        <v/>
      </c>
      <c r="BO18" s="402">
        <f>IF(AND(63&gt;=$NR$18,63&lt;=$NS$18),IF($NP$18="Single_Point",IF(63=$NR$18,$NN$18,0),IF($NP$18="Bell_Curve",$NN$18*(63-$NR$18+1)*($NS$18-63+1)/$NU$18,$NN$18/$NT$18)),0)</f>
        <v/>
      </c>
      <c r="BP18" s="402">
        <f>IF(AND(64&gt;=$NR$18,64&lt;=$NS$18),IF($NP$18="Single_Point",IF(64=$NR$18,$NN$18,0),IF($NP$18="Bell_Curve",$NN$18*(64-$NR$18+1)*($NS$18-64+1)/$NU$18,$NN$18/$NT$18)),0)</f>
        <v/>
      </c>
      <c r="BQ18" s="402">
        <f>IF(AND(65&gt;=$NR$18,65&lt;=$NS$18),IF($NP$18="Single_Point",IF(65=$NR$18,$NN$18,0),IF($NP$18="Bell_Curve",$NN$18*(65-$NR$18+1)*($NS$18-65+1)/$NU$18,$NN$18/$NT$18)),0)</f>
        <v/>
      </c>
      <c r="BR18" s="402">
        <f>IF(AND(66&gt;=$NR$18,66&lt;=$NS$18),IF($NP$18="Single_Point",IF(66=$NR$18,$NN$18,0),IF($NP$18="Bell_Curve",$NN$18*(66-$NR$18+1)*($NS$18-66+1)/$NU$18,$NN$18/$NT$18)),0)</f>
        <v/>
      </c>
      <c r="BS18" s="402">
        <f>IF(AND(67&gt;=$NR$18,67&lt;=$NS$18),IF($NP$18="Single_Point",IF(67=$NR$18,$NN$18,0),IF($NP$18="Bell_Curve",$NN$18*(67-$NR$18+1)*($NS$18-67+1)/$NU$18,$NN$18/$NT$18)),0)</f>
        <v/>
      </c>
      <c r="BT18" s="402">
        <f>IF(AND(68&gt;=$NR$18,68&lt;=$NS$18),IF($NP$18="Single_Point",IF(68=$NR$18,$NN$18,0),IF($NP$18="Bell_Curve",$NN$18*(68-$NR$18+1)*($NS$18-68+1)/$NU$18,$NN$18/$NT$18)),0)</f>
        <v/>
      </c>
      <c r="BU18" s="402">
        <f>IF(AND(69&gt;=$NR$18,69&lt;=$NS$18),IF($NP$18="Single_Point",IF(69=$NR$18,$NN$18,0),IF($NP$18="Bell_Curve",$NN$18*(69-$NR$18+1)*($NS$18-69+1)/$NU$18,$NN$18/$NT$18)),0)</f>
        <v/>
      </c>
      <c r="BV18" s="402">
        <f>IF(AND(70&gt;=$NR$18,70&lt;=$NS$18),IF($NP$18="Single_Point",IF(70=$NR$18,$NN$18,0),IF($NP$18="Bell_Curve",$NN$18*(70-$NR$18+1)*($NS$18-70+1)/$NU$18,$NN$18/$NT$18)),0)</f>
        <v/>
      </c>
      <c r="BW18" s="402">
        <f>IF(AND(71&gt;=$NR$18,71&lt;=$NS$18),IF($NP$18="Single_Point",IF(71=$NR$18,$NN$18,0),IF($NP$18="Bell_Curve",$NN$18*(71-$NR$18+1)*($NS$18-71+1)/$NU$18,$NN$18/$NT$18)),0)</f>
        <v/>
      </c>
      <c r="BX18" s="402">
        <f>IF(AND(72&gt;=$NR$18,72&lt;=$NS$18),IF($NP$18="Single_Point",IF(72=$NR$18,$NN$18,0),IF($NP$18="Bell_Curve",$NN$18*(72-$NR$18+1)*($NS$18-72+1)/$NU$18,$NN$18/$NT$18)),0)</f>
        <v/>
      </c>
      <c r="BY18" s="402">
        <f>IF(AND(73&gt;=$NR$18,73&lt;=$NS$18),IF($NP$18="Single_Point",IF(73=$NR$18,$NN$18,0),IF($NP$18="Bell_Curve",$NN$18*(73-$NR$18+1)*($NS$18-73+1)/$NU$18,$NN$18/$NT$18)),0)</f>
        <v/>
      </c>
      <c r="BZ18" s="402">
        <f>IF(AND(74&gt;=$NR$18,74&lt;=$NS$18),IF($NP$18="Single_Point",IF(74=$NR$18,$NN$18,0),IF($NP$18="Bell_Curve",$NN$18*(74-$NR$18+1)*($NS$18-74+1)/$NU$18,$NN$18/$NT$18)),0)</f>
        <v/>
      </c>
      <c r="CA18" s="402">
        <f>IF(AND(75&gt;=$NR$18,75&lt;=$NS$18),IF($NP$18="Single_Point",IF(75=$NR$18,$NN$18,0),IF($NP$18="Bell_Curve",$NN$18*(75-$NR$18+1)*($NS$18-75+1)/$NU$18,$NN$18/$NT$18)),0)</f>
        <v/>
      </c>
      <c r="CB18" s="402">
        <f>IF(AND(76&gt;=$NR$18,76&lt;=$NS$18),IF($NP$18="Single_Point",IF(76=$NR$18,$NN$18,0),IF($NP$18="Bell_Curve",$NN$18*(76-$NR$18+1)*($NS$18-76+1)/$NU$18,$NN$18/$NT$18)),0)</f>
        <v/>
      </c>
      <c r="CC18" s="402">
        <f>IF(AND(77&gt;=$NR$18,77&lt;=$NS$18),IF($NP$18="Single_Point",IF(77=$NR$18,$NN$18,0),IF($NP$18="Bell_Curve",$NN$18*(77-$NR$18+1)*($NS$18-77+1)/$NU$18,$NN$18/$NT$18)),0)</f>
        <v/>
      </c>
      <c r="CD18" s="402">
        <f>IF(AND(78&gt;=$NR$18,78&lt;=$NS$18),IF($NP$18="Single_Point",IF(78=$NR$18,$NN$18,0),IF($NP$18="Bell_Curve",$NN$18*(78-$NR$18+1)*($NS$18-78+1)/$NU$18,$NN$18/$NT$18)),0)</f>
        <v/>
      </c>
      <c r="CE18" s="402">
        <f>IF(AND(79&gt;=$NR$18,79&lt;=$NS$18),IF($NP$18="Single_Point",IF(79=$NR$18,$NN$18,0),IF($NP$18="Bell_Curve",$NN$18*(79-$NR$18+1)*($NS$18-79+1)/$NU$18,$NN$18/$NT$18)),0)</f>
        <v/>
      </c>
      <c r="CF18" s="402">
        <f>IF(AND(80&gt;=$NR$18,80&lt;=$NS$18),IF($NP$18="Single_Point",IF(80=$NR$18,$NN$18,0),IF($NP$18="Bell_Curve",$NN$18*(80-$NR$18+1)*($NS$18-80+1)/$NU$18,$NN$18/$NT$18)),0)</f>
        <v/>
      </c>
      <c r="CG18" s="402">
        <f>IF(AND(81&gt;=$NR$18,81&lt;=$NS$18),IF($NP$18="Single_Point",IF(81=$NR$18,$NN$18,0),IF($NP$18="Bell_Curve",$NN$18*(81-$NR$18+1)*($NS$18-81+1)/$NU$18,$NN$18/$NT$18)),0)</f>
        <v/>
      </c>
      <c r="CH18" s="402">
        <f>IF(AND(82&gt;=$NR$18,82&lt;=$NS$18),IF($NP$18="Single_Point",IF(82=$NR$18,$NN$18,0),IF($NP$18="Bell_Curve",$NN$18*(82-$NR$18+1)*($NS$18-82+1)/$NU$18,$NN$18/$NT$18)),0)</f>
        <v/>
      </c>
      <c r="CI18" s="402">
        <f>IF(AND(83&gt;=$NR$18,83&lt;=$NS$18),IF($NP$18="Single_Point",IF(83=$NR$18,$NN$18,0),IF($NP$18="Bell_Curve",$NN$18*(83-$NR$18+1)*($NS$18-83+1)/$NU$18,$NN$18/$NT$18)),0)</f>
        <v/>
      </c>
      <c r="CJ18" s="402">
        <f>IF(AND(84&gt;=$NR$18,84&lt;=$NS$18),IF($NP$18="Single_Point",IF(84=$NR$18,$NN$18,0),IF($NP$18="Bell_Curve",$NN$18*(84-$NR$18+1)*($NS$18-84+1)/$NU$18,$NN$18/$NT$18)),0)</f>
        <v/>
      </c>
      <c r="CK18" s="402">
        <f>IF(AND(85&gt;=$NR$18,85&lt;=$NS$18),IF($NP$18="Single_Point",IF(85=$NR$18,$NN$18,0),IF($NP$18="Bell_Curve",$NN$18*(85-$NR$18+1)*($NS$18-85+1)/$NU$18,$NN$18/$NT$18)),0)</f>
        <v/>
      </c>
      <c r="CL18" s="402">
        <f>IF(AND(86&gt;=$NR$18,86&lt;=$NS$18),IF($NP$18="Single_Point",IF(86=$NR$18,$NN$18,0),IF($NP$18="Bell_Curve",$NN$18*(86-$NR$18+1)*($NS$18-86+1)/$NU$18,$NN$18/$NT$18)),0)</f>
        <v/>
      </c>
      <c r="CM18" s="402">
        <f>IF(AND(87&gt;=$NR$18,87&lt;=$NS$18),IF($NP$18="Single_Point",IF(87=$NR$18,$NN$18,0),IF($NP$18="Bell_Curve",$NN$18*(87-$NR$18+1)*($NS$18-87+1)/$NU$18,$NN$18/$NT$18)),0)</f>
        <v/>
      </c>
      <c r="CN18" s="402">
        <f>IF(AND(88&gt;=$NR$18,88&lt;=$NS$18),IF($NP$18="Single_Point",IF(88=$NR$18,$NN$18,0),IF($NP$18="Bell_Curve",$NN$18*(88-$NR$18+1)*($NS$18-88+1)/$NU$18,$NN$18/$NT$18)),0)</f>
        <v/>
      </c>
      <c r="CO18" s="402">
        <f>IF(AND(89&gt;=$NR$18,89&lt;=$NS$18),IF($NP$18="Single_Point",IF(89=$NR$18,$NN$18,0),IF($NP$18="Bell_Curve",$NN$18*(89-$NR$18+1)*($NS$18-89+1)/$NU$18,$NN$18/$NT$18)),0)</f>
        <v/>
      </c>
      <c r="CP18" s="402">
        <f>IF(AND(90&gt;=$NR$18,90&lt;=$NS$18),IF($NP$18="Single_Point",IF(90=$NR$18,$NN$18,0),IF($NP$18="Bell_Curve",$NN$18*(90-$NR$18+1)*($NS$18-90+1)/$NU$18,$NN$18/$NT$18)),0)</f>
        <v/>
      </c>
      <c r="CQ18" s="402">
        <f>IF(AND(91&gt;=$NR$18,91&lt;=$NS$18),IF($NP$18="Single_Point",IF(91=$NR$18,$NN$18,0),IF($NP$18="Bell_Curve",$NN$18*(91-$NR$18+1)*($NS$18-91+1)/$NU$18,$NN$18/$NT$18)),0)</f>
        <v/>
      </c>
      <c r="CR18" s="402">
        <f>IF(AND(92&gt;=$NR$18,92&lt;=$NS$18),IF($NP$18="Single_Point",IF(92=$NR$18,$NN$18,0),IF($NP$18="Bell_Curve",$NN$18*(92-$NR$18+1)*($NS$18-92+1)/$NU$18,$NN$18/$NT$18)),0)</f>
        <v/>
      </c>
      <c r="CS18" s="402">
        <f>IF(AND(93&gt;=$NR$18,93&lt;=$NS$18),IF($NP$18="Single_Point",IF(93=$NR$18,$NN$18,0),IF($NP$18="Bell_Curve",$NN$18*(93-$NR$18+1)*($NS$18-93+1)/$NU$18,$NN$18/$NT$18)),0)</f>
        <v/>
      </c>
      <c r="CT18" s="402">
        <f>IF(AND(94&gt;=$NR$18,94&lt;=$NS$18),IF($NP$18="Single_Point",IF(94=$NR$18,$NN$18,0),IF($NP$18="Bell_Curve",$NN$18*(94-$NR$18+1)*($NS$18-94+1)/$NU$18,$NN$18/$NT$18)),0)</f>
        <v/>
      </c>
      <c r="CU18" s="402">
        <f>IF(AND(95&gt;=$NR$18,95&lt;=$NS$18),IF($NP$18="Single_Point",IF(95=$NR$18,$NN$18,0),IF($NP$18="Bell_Curve",$NN$18*(95-$NR$18+1)*($NS$18-95+1)/$NU$18,$NN$18/$NT$18)),0)</f>
        <v/>
      </c>
      <c r="CV18" s="402">
        <f>IF(AND(96&gt;=$NR$18,96&lt;=$NS$18),IF($NP$18="Single_Point",IF(96=$NR$18,$NN$18,0),IF($NP$18="Bell_Curve",$NN$18*(96-$NR$18+1)*($NS$18-96+1)/$NU$18,$NN$18/$NT$18)),0)</f>
        <v/>
      </c>
      <c r="CW18" s="402">
        <f>IF(AND(97&gt;=$NR$18,97&lt;=$NS$18),IF($NP$18="Single_Point",IF(97=$NR$18,$NN$18,0),IF($NP$18="Bell_Curve",$NN$18*(97-$NR$18+1)*($NS$18-97+1)/$NU$18,$NN$18/$NT$18)),0)</f>
        <v/>
      </c>
      <c r="CX18" s="402">
        <f>IF(AND(98&gt;=$NR$18,98&lt;=$NS$18),IF($NP$18="Single_Point",IF(98=$NR$18,$NN$18,0),IF($NP$18="Bell_Curve",$NN$18*(98-$NR$18+1)*($NS$18-98+1)/$NU$18,$NN$18/$NT$18)),0)</f>
        <v/>
      </c>
      <c r="CY18" s="402">
        <f>IF(AND(99&gt;=$NR$18,99&lt;=$NS$18),IF($NP$18="Single_Point",IF(99=$NR$18,$NN$18,0),IF($NP$18="Bell_Curve",$NN$18*(99-$NR$18+1)*($NS$18-99+1)/$NU$18,$NN$18/$NT$18)),0)</f>
        <v/>
      </c>
      <c r="CZ18" s="402">
        <f>IF(AND(100&gt;=$NR$18,100&lt;=$NS$18),IF($NP$18="Single_Point",IF(100=$NR$18,$NN$18,0),IF($NP$18="Bell_Curve",$NN$18*(100-$NR$18+1)*($NS$18-100+1)/$NU$18,$NN$18/$NT$18)),0)</f>
        <v/>
      </c>
      <c r="DA18" s="402">
        <f>IF(AND(101&gt;=$NR$18,101&lt;=$NS$18),IF($NP$18="Single_Point",IF(101=$NR$18,$NN$18,0),IF($NP$18="Bell_Curve",$NN$18*(101-$NR$18+1)*($NS$18-101+1)/$NU$18,$NN$18/$NT$18)),0)</f>
        <v/>
      </c>
      <c r="DB18" s="402">
        <f>IF(AND(102&gt;=$NR$18,102&lt;=$NS$18),IF($NP$18="Single_Point",IF(102=$NR$18,$NN$18,0),IF($NP$18="Bell_Curve",$NN$18*(102-$NR$18+1)*($NS$18-102+1)/$NU$18,$NN$18/$NT$18)),0)</f>
        <v/>
      </c>
      <c r="DC18" s="402">
        <f>IF(AND(103&gt;=$NR$18,103&lt;=$NS$18),IF($NP$18="Single_Point",IF(103=$NR$18,$NN$18,0),IF($NP$18="Bell_Curve",$NN$18*(103-$NR$18+1)*($NS$18-103+1)/$NU$18,$NN$18/$NT$18)),0)</f>
        <v/>
      </c>
      <c r="DD18" s="402">
        <f>IF(AND(104&gt;=$NR$18,104&lt;=$NS$18),IF($NP$18="Single_Point",IF(104=$NR$18,$NN$18,0),IF($NP$18="Bell_Curve",$NN$18*(104-$NR$18+1)*($NS$18-104+1)/$NU$18,$NN$18/$NT$18)),0)</f>
        <v/>
      </c>
      <c r="DE18" s="402">
        <f>IF(AND(105&gt;=$NR$18,105&lt;=$NS$18),IF($NP$18="Single_Point",IF(105=$NR$18,$NN$18,0),IF($NP$18="Bell_Curve",$NN$18*(105-$NR$18+1)*($NS$18-105+1)/$NU$18,$NN$18/$NT$18)),0)</f>
        <v/>
      </c>
      <c r="DF18" s="402">
        <f>IF(AND(106&gt;=$NR$18,106&lt;=$NS$18),IF($NP$18="Single_Point",IF(106=$NR$18,$NN$18,0),IF($NP$18="Bell_Curve",$NN$18*(106-$NR$18+1)*($NS$18-106+1)/$NU$18,$NN$18/$NT$18)),0)</f>
        <v/>
      </c>
      <c r="DG18" s="402">
        <f>IF(AND(107&gt;=$NR$18,107&lt;=$NS$18),IF($NP$18="Single_Point",IF(107=$NR$18,$NN$18,0),IF($NP$18="Bell_Curve",$NN$18*(107-$NR$18+1)*($NS$18-107+1)/$NU$18,$NN$18/$NT$18)),0)</f>
        <v/>
      </c>
      <c r="DH18" s="402">
        <f>IF(AND(108&gt;=$NR$18,108&lt;=$NS$18),IF($NP$18="Single_Point",IF(108=$NR$18,$NN$18,0),IF($NP$18="Bell_Curve",$NN$18*(108-$NR$18+1)*($NS$18-108+1)/$NU$18,$NN$18/$NT$18)),0)</f>
        <v/>
      </c>
      <c r="DI18" s="402">
        <f>IF(AND(109&gt;=$NR$18,109&lt;=$NS$18),IF($NP$18="Single_Point",IF(109=$NR$18,$NN$18,0),IF($NP$18="Bell_Curve",$NN$18*(109-$NR$18+1)*($NS$18-109+1)/$NU$18,$NN$18/$NT$18)),0)</f>
        <v/>
      </c>
      <c r="DJ18" s="402">
        <f>IF(AND(110&gt;=$NR$18,110&lt;=$NS$18),IF($NP$18="Single_Point",IF(110=$NR$18,$NN$18,0),IF($NP$18="Bell_Curve",$NN$18*(110-$NR$18+1)*($NS$18-110+1)/$NU$18,$NN$18/$NT$18)),0)</f>
        <v/>
      </c>
      <c r="DK18" s="402">
        <f>IF(AND(111&gt;=$NR$18,111&lt;=$NS$18),IF($NP$18="Single_Point",IF(111=$NR$18,$NN$18,0),IF($NP$18="Bell_Curve",$NN$18*(111-$NR$18+1)*($NS$18-111+1)/$NU$18,$NN$18/$NT$18)),0)</f>
        <v/>
      </c>
      <c r="DL18" s="402">
        <f>IF(AND(112&gt;=$NR$18,112&lt;=$NS$18),IF($NP$18="Single_Point",IF(112=$NR$18,$NN$18,0),IF($NP$18="Bell_Curve",$NN$18*(112-$NR$18+1)*($NS$18-112+1)/$NU$18,$NN$18/$NT$18)),0)</f>
        <v/>
      </c>
      <c r="DM18" s="402">
        <f>IF(AND(113&gt;=$NR$18,113&lt;=$NS$18),IF($NP$18="Single_Point",IF(113=$NR$18,$NN$18,0),IF($NP$18="Bell_Curve",$NN$18*(113-$NR$18+1)*($NS$18-113+1)/$NU$18,$NN$18/$NT$18)),0)</f>
        <v/>
      </c>
      <c r="DN18" s="402">
        <f>IF(AND(114&gt;=$NR$18,114&lt;=$NS$18),IF($NP$18="Single_Point",IF(114=$NR$18,$NN$18,0),IF($NP$18="Bell_Curve",$NN$18*(114-$NR$18+1)*($NS$18-114+1)/$NU$18,$NN$18/$NT$18)),0)</f>
        <v/>
      </c>
      <c r="DO18" s="402">
        <f>IF(AND(115&gt;=$NR$18,115&lt;=$NS$18),IF($NP$18="Single_Point",IF(115=$NR$18,$NN$18,0),IF($NP$18="Bell_Curve",$NN$18*(115-$NR$18+1)*($NS$18-115+1)/$NU$18,$NN$18/$NT$18)),0)</f>
        <v/>
      </c>
      <c r="DP18" s="402">
        <f>IF(AND(116&gt;=$NR$18,116&lt;=$NS$18),IF($NP$18="Single_Point",IF(116=$NR$18,$NN$18,0),IF($NP$18="Bell_Curve",$NN$18*(116-$NR$18+1)*($NS$18-116+1)/$NU$18,$NN$18/$NT$18)),0)</f>
        <v/>
      </c>
      <c r="DQ18" s="402">
        <f>IF(AND(117&gt;=$NR$18,117&lt;=$NS$18),IF($NP$18="Single_Point",IF(117=$NR$18,$NN$18,0),IF($NP$18="Bell_Curve",$NN$18*(117-$NR$18+1)*($NS$18-117+1)/$NU$18,$NN$18/$NT$18)),0)</f>
        <v/>
      </c>
      <c r="DR18" s="402">
        <f>IF(AND(118&gt;=$NR$18,118&lt;=$NS$18),IF($NP$18="Single_Point",IF(118=$NR$18,$NN$18,0),IF($NP$18="Bell_Curve",$NN$18*(118-$NR$18+1)*($NS$18-118+1)/$NU$18,$NN$18/$NT$18)),0)</f>
        <v/>
      </c>
      <c r="DS18" s="402">
        <f>IF(AND(119&gt;=$NR$18,119&lt;=$NS$18),IF($NP$18="Single_Point",IF(119=$NR$18,$NN$18,0),IF($NP$18="Bell_Curve",$NN$18*(119-$NR$18+1)*($NS$18-119+1)/$NU$18,$NN$18/$NT$18)),0)</f>
        <v/>
      </c>
      <c r="DT18" s="402">
        <f>IF(AND(120&gt;=$NR$18,120&lt;=$NS$18),IF($NP$18="Single_Point",IF(120=$NR$18,$NN$18,0),IF($NP$18="Bell_Curve",$NN$18*(120-$NR$18+1)*($NS$18-120+1)/$NU$18,$NN$18/$NT$18)),0)</f>
        <v/>
      </c>
      <c r="DU18" s="402">
        <f>IF(AND(121&gt;=$NR$18,121&lt;=$NS$18),IF($NP$18="Single_Point",IF(121=$NR$18,$NN$18,0),IF($NP$18="Bell_Curve",$NN$18*(121-$NR$18+1)*($NS$18-121+1)/$NU$18,$NN$18/$NT$18)),0)</f>
        <v/>
      </c>
      <c r="DV18" s="402">
        <f>IF(AND(122&gt;=$NR$18,122&lt;=$NS$18),IF($NP$18="Single_Point",IF(122=$NR$18,$NN$18,0),IF($NP$18="Bell_Curve",$NN$18*(122-$NR$18+1)*($NS$18-122+1)/$NU$18,$NN$18/$NT$18)),0)</f>
        <v/>
      </c>
      <c r="DW18" s="402">
        <f>IF(AND(123&gt;=$NR$18,123&lt;=$NS$18),IF($NP$18="Single_Point",IF(123=$NR$18,$NN$18,0),IF($NP$18="Bell_Curve",$NN$18*(123-$NR$18+1)*($NS$18-123+1)/$NU$18,$NN$18/$NT$18)),0)</f>
        <v/>
      </c>
      <c r="DX18" s="402">
        <f>IF(AND(124&gt;=$NR$18,124&lt;=$NS$18),IF($NP$18="Single_Point",IF(124=$NR$18,$NN$18,0),IF($NP$18="Bell_Curve",$NN$18*(124-$NR$18+1)*($NS$18-124+1)/$NU$18,$NN$18/$NT$18)),0)</f>
        <v/>
      </c>
      <c r="DY18" s="402">
        <f>IF(AND(125&gt;=$NR$18,125&lt;=$NS$18),IF($NP$18="Single_Point",IF(125=$NR$18,$NN$18,0),IF($NP$18="Bell_Curve",$NN$18*(125-$NR$18+1)*($NS$18-125+1)/$NU$18,$NN$18/$NT$18)),0)</f>
        <v/>
      </c>
      <c r="DZ18" s="402">
        <f>IF(AND(126&gt;=$NR$18,126&lt;=$NS$18),IF($NP$18="Single_Point",IF(126=$NR$18,$NN$18,0),IF($NP$18="Bell_Curve",$NN$18*(126-$NR$18+1)*($NS$18-126+1)/$NU$18,$NN$18/$NT$18)),0)</f>
        <v/>
      </c>
      <c r="EA18" s="402">
        <f>IF(AND(127&gt;=$NR$18,127&lt;=$NS$18),IF($NP$18="Single_Point",IF(127=$NR$18,$NN$18,0),IF($NP$18="Bell_Curve",$NN$18*(127-$NR$18+1)*($NS$18-127+1)/$NU$18,$NN$18/$NT$18)),0)</f>
        <v/>
      </c>
      <c r="EB18" s="402">
        <f>IF(AND(128&gt;=$NR$18,128&lt;=$NS$18),IF($NP$18="Single_Point",IF(128=$NR$18,$NN$18,0),IF($NP$18="Bell_Curve",$NN$18*(128-$NR$18+1)*($NS$18-128+1)/$NU$18,$NN$18/$NT$18)),0)</f>
        <v/>
      </c>
      <c r="EC18" s="402">
        <f>IF(AND(129&gt;=$NR$18,129&lt;=$NS$18),IF($NP$18="Single_Point",IF(129=$NR$18,$NN$18,0),IF($NP$18="Bell_Curve",$NN$18*(129-$NR$18+1)*($NS$18-129+1)/$NU$18,$NN$18/$NT$18)),0)</f>
        <v/>
      </c>
      <c r="ED18" s="402">
        <f>IF(AND(130&gt;=$NR$18,130&lt;=$NS$18),IF($NP$18="Single_Point",IF(130=$NR$18,$NN$18,0),IF($NP$18="Bell_Curve",$NN$18*(130-$NR$18+1)*($NS$18-130+1)/$NU$18,$NN$18/$NT$18)),0)</f>
        <v/>
      </c>
      <c r="EE18" s="402">
        <f>IF(AND(131&gt;=$NR$18,131&lt;=$NS$18),IF($NP$18="Single_Point",IF(131=$NR$18,$NN$18,0),IF($NP$18="Bell_Curve",$NN$18*(131-$NR$18+1)*($NS$18-131+1)/$NU$18,$NN$18/$NT$18)),0)</f>
        <v/>
      </c>
      <c r="EF18" s="402">
        <f>IF(AND(132&gt;=$NR$18,132&lt;=$NS$18),IF($NP$18="Single_Point",IF(132=$NR$18,$NN$18,0),IF($NP$18="Bell_Curve",$NN$18*(132-$NR$18+1)*($NS$18-132+1)/$NU$18,$NN$18/$NT$18)),0)</f>
        <v/>
      </c>
      <c r="EG18" s="402">
        <f>IF(AND(133&gt;=$NR$18,133&lt;=$NS$18),IF($NP$18="Single_Point",IF(133=$NR$18,$NN$18,0),IF($NP$18="Bell_Curve",$NN$18*(133-$NR$18+1)*($NS$18-133+1)/$NU$18,$NN$18/$NT$18)),0)</f>
        <v/>
      </c>
      <c r="EH18" s="402">
        <f>IF(AND(134&gt;=$NR$18,134&lt;=$NS$18),IF($NP$18="Single_Point",IF(134=$NR$18,$NN$18,0),IF($NP$18="Bell_Curve",$NN$18*(134-$NR$18+1)*($NS$18-134+1)/$NU$18,$NN$18/$NT$18)),0)</f>
        <v/>
      </c>
      <c r="EI18" s="402">
        <f>IF(AND(135&gt;=$NR$18,135&lt;=$NS$18),IF($NP$18="Single_Point",IF(135=$NR$18,$NN$18,0),IF($NP$18="Bell_Curve",$NN$18*(135-$NR$18+1)*($NS$18-135+1)/$NU$18,$NN$18/$NT$18)),0)</f>
        <v/>
      </c>
      <c r="EJ18" s="402">
        <f>IF(AND(136&gt;=$NR$18,136&lt;=$NS$18),IF($NP$18="Single_Point",IF(136=$NR$18,$NN$18,0),IF($NP$18="Bell_Curve",$NN$18*(136-$NR$18+1)*($NS$18-136+1)/$NU$18,$NN$18/$NT$18)),0)</f>
        <v/>
      </c>
      <c r="EK18" s="402">
        <f>IF(AND(137&gt;=$NR$18,137&lt;=$NS$18),IF($NP$18="Single_Point",IF(137=$NR$18,$NN$18,0),IF($NP$18="Bell_Curve",$NN$18*(137-$NR$18+1)*($NS$18-137+1)/$NU$18,$NN$18/$NT$18)),0)</f>
        <v/>
      </c>
      <c r="EL18" s="402">
        <f>IF(AND(138&gt;=$NR$18,138&lt;=$NS$18),IF($NP$18="Single_Point",IF(138=$NR$18,$NN$18,0),IF($NP$18="Bell_Curve",$NN$18*(138-$NR$18+1)*($NS$18-138+1)/$NU$18,$NN$18/$NT$18)),0)</f>
        <v/>
      </c>
      <c r="EM18" s="402">
        <f>IF(AND(139&gt;=$NR$18,139&lt;=$NS$18),IF($NP$18="Single_Point",IF(139=$NR$18,$NN$18,0),IF($NP$18="Bell_Curve",$NN$18*(139-$NR$18+1)*($NS$18-139+1)/$NU$18,$NN$18/$NT$18)),0)</f>
        <v/>
      </c>
      <c r="EN18" s="402">
        <f>IF(AND(140&gt;=$NR$18,140&lt;=$NS$18),IF($NP$18="Single_Point",IF(140=$NR$18,$NN$18,0),IF($NP$18="Bell_Curve",$NN$18*(140-$NR$18+1)*($NS$18-140+1)/$NU$18,$NN$18/$NT$18)),0)</f>
        <v/>
      </c>
      <c r="EO18" s="402">
        <f>IF(AND(141&gt;=$NR$18,141&lt;=$NS$18),IF($NP$18="Single_Point",IF(141=$NR$18,$NN$18,0),IF($NP$18="Bell_Curve",$NN$18*(141-$NR$18+1)*($NS$18-141+1)/$NU$18,$NN$18/$NT$18)),0)</f>
        <v/>
      </c>
      <c r="EP18" s="402">
        <f>IF(AND(142&gt;=$NR$18,142&lt;=$NS$18),IF($NP$18="Single_Point",IF(142=$NR$18,$NN$18,0),IF($NP$18="Bell_Curve",$NN$18*(142-$NR$18+1)*($NS$18-142+1)/$NU$18,$NN$18/$NT$18)),0)</f>
        <v/>
      </c>
      <c r="EQ18" s="402">
        <f>IF(AND(143&gt;=$NR$18,143&lt;=$NS$18),IF($NP$18="Single_Point",IF(143=$NR$18,$NN$18,0),IF($NP$18="Bell_Curve",$NN$18*(143-$NR$18+1)*($NS$18-143+1)/$NU$18,$NN$18/$NT$18)),0)</f>
        <v/>
      </c>
      <c r="ER18" s="402">
        <f>IF(AND(144&gt;=$NR$18,144&lt;=$NS$18),IF($NP$18="Single_Point",IF(144=$NR$18,$NN$18,0),IF($NP$18="Bell_Curve",$NN$18*(144-$NR$18+1)*($NS$18-144+1)/$NU$18,$NN$18/$NT$18)),0)</f>
        <v/>
      </c>
      <c r="ES18" s="402">
        <f>IF(AND(145&gt;=$NR$18,145&lt;=$NS$18),IF($NP$18="Single_Point",IF(145=$NR$18,$NN$18,0),IF($NP$18="Bell_Curve",$NN$18*(145-$NR$18+1)*($NS$18-145+1)/$NU$18,$NN$18/$NT$18)),0)</f>
        <v/>
      </c>
      <c r="ET18" s="402">
        <f>IF(AND(146&gt;=$NR$18,146&lt;=$NS$18),IF($NP$18="Single_Point",IF(146=$NR$18,$NN$18,0),IF($NP$18="Bell_Curve",$NN$18*(146-$NR$18+1)*($NS$18-146+1)/$NU$18,$NN$18/$NT$18)),0)</f>
        <v/>
      </c>
      <c r="EU18" s="402">
        <f>IF(AND(147&gt;=$NR$18,147&lt;=$NS$18),IF($NP$18="Single_Point",IF(147=$NR$18,$NN$18,0),IF($NP$18="Bell_Curve",$NN$18*(147-$NR$18+1)*($NS$18-147+1)/$NU$18,$NN$18/$NT$18)),0)</f>
        <v/>
      </c>
      <c r="EV18" s="402">
        <f>IF(AND(148&gt;=$NR$18,148&lt;=$NS$18),IF($NP$18="Single_Point",IF(148=$NR$18,$NN$18,0),IF($NP$18="Bell_Curve",$NN$18*(148-$NR$18+1)*($NS$18-148+1)/$NU$18,$NN$18/$NT$18)),0)</f>
        <v/>
      </c>
      <c r="EW18" s="402">
        <f>IF(AND(149&gt;=$NR$18,149&lt;=$NS$18),IF($NP$18="Single_Point",IF(149=$NR$18,$NN$18,0),IF($NP$18="Bell_Curve",$NN$18*(149-$NR$18+1)*($NS$18-149+1)/$NU$18,$NN$18/$NT$18)),0)</f>
        <v/>
      </c>
      <c r="EX18" s="402">
        <f>IF(AND(150&gt;=$NR$18,150&lt;=$NS$18),IF($NP$18="Single_Point",IF(150=$NR$18,$NN$18,0),IF($NP$18="Bell_Curve",$NN$18*(150-$NR$18+1)*($NS$18-150+1)/$NU$18,$NN$18/$NT$18)),0)</f>
        <v/>
      </c>
      <c r="EY18" s="402">
        <f>IF(AND(151&gt;=$NR$18,151&lt;=$NS$18),IF($NP$18="Single_Point",IF(151=$NR$18,$NN$18,0),IF($NP$18="Bell_Curve",$NN$18*(151-$NR$18+1)*($NS$18-151+1)/$NU$18,$NN$18/$NT$18)),0)</f>
        <v/>
      </c>
      <c r="EZ18" s="402">
        <f>IF(AND(152&gt;=$NR$18,152&lt;=$NS$18),IF($NP$18="Single_Point",IF(152=$NR$18,$NN$18,0),IF($NP$18="Bell_Curve",$NN$18*(152-$NR$18+1)*($NS$18-152+1)/$NU$18,$NN$18/$NT$18)),0)</f>
        <v/>
      </c>
      <c r="FA18" s="402">
        <f>IF(AND(153&gt;=$NR$18,153&lt;=$NS$18),IF($NP$18="Single_Point",IF(153=$NR$18,$NN$18,0),IF($NP$18="Bell_Curve",$NN$18*(153-$NR$18+1)*($NS$18-153+1)/$NU$18,$NN$18/$NT$18)),0)</f>
        <v/>
      </c>
      <c r="FB18" s="402">
        <f>IF(AND(154&gt;=$NR$18,154&lt;=$NS$18),IF($NP$18="Single_Point",IF(154=$NR$18,$NN$18,0),IF($NP$18="Bell_Curve",$NN$18*(154-$NR$18+1)*($NS$18-154+1)/$NU$18,$NN$18/$NT$18)),0)</f>
        <v/>
      </c>
      <c r="FC18" s="402">
        <f>IF(AND(155&gt;=$NR$18,155&lt;=$NS$18),IF($NP$18="Single_Point",IF(155=$NR$18,$NN$18,0),IF($NP$18="Bell_Curve",$NN$18*(155-$NR$18+1)*($NS$18-155+1)/$NU$18,$NN$18/$NT$18)),0)</f>
        <v/>
      </c>
      <c r="FD18" s="402">
        <f>IF(AND(156&gt;=$NR$18,156&lt;=$NS$18),IF($NP$18="Single_Point",IF(156=$NR$18,$NN$18,0),IF($NP$18="Bell_Curve",$NN$18*(156-$NR$18+1)*($NS$18-156+1)/$NU$18,$NN$18/$NT$18)),0)</f>
        <v/>
      </c>
      <c r="FE18" s="402">
        <f>IF(AND(157&gt;=$NR$18,157&lt;=$NS$18),IF($NP$18="Single_Point",IF(157=$NR$18,$NN$18,0),IF($NP$18="Bell_Curve",$NN$18*(157-$NR$18+1)*($NS$18-157+1)/$NU$18,$NN$18/$NT$18)),0)</f>
        <v/>
      </c>
      <c r="FF18" s="402">
        <f>IF(AND(158&gt;=$NR$18,158&lt;=$NS$18),IF($NP$18="Single_Point",IF(158=$NR$18,$NN$18,0),IF($NP$18="Bell_Curve",$NN$18*(158-$NR$18+1)*($NS$18-158+1)/$NU$18,$NN$18/$NT$18)),0)</f>
        <v/>
      </c>
      <c r="FG18" s="402">
        <f>IF(AND(159&gt;=$NR$18,159&lt;=$NS$18),IF($NP$18="Single_Point",IF(159=$NR$18,$NN$18,0),IF($NP$18="Bell_Curve",$NN$18*(159-$NR$18+1)*($NS$18-159+1)/$NU$18,$NN$18/$NT$18)),0)</f>
        <v/>
      </c>
      <c r="FH18" s="402">
        <f>IF(AND(160&gt;=$NR$18,160&lt;=$NS$18),IF($NP$18="Single_Point",IF(160=$NR$18,$NN$18,0),IF($NP$18="Bell_Curve",$NN$18*(160-$NR$18+1)*($NS$18-160+1)/$NU$18,$NN$18/$NT$18)),0)</f>
        <v/>
      </c>
      <c r="FI18" s="402">
        <f>IF(AND(161&gt;=$NR$18,161&lt;=$NS$18),IF($NP$18="Single_Point",IF(161=$NR$18,$NN$18,0),IF($NP$18="Bell_Curve",$NN$18*(161-$NR$18+1)*($NS$18-161+1)/$NU$18,$NN$18/$NT$18)),0)</f>
        <v/>
      </c>
      <c r="FJ18" s="402">
        <f>IF(AND(162&gt;=$NR$18,162&lt;=$NS$18),IF($NP$18="Single_Point",IF(162=$NR$18,$NN$18,0),IF($NP$18="Bell_Curve",$NN$18*(162-$NR$18+1)*($NS$18-162+1)/$NU$18,$NN$18/$NT$18)),0)</f>
        <v/>
      </c>
      <c r="FK18" s="402">
        <f>IF(AND(163&gt;=$NR$18,163&lt;=$NS$18),IF($NP$18="Single_Point",IF(163=$NR$18,$NN$18,0),IF($NP$18="Bell_Curve",$NN$18*(163-$NR$18+1)*($NS$18-163+1)/$NU$18,$NN$18/$NT$18)),0)</f>
        <v/>
      </c>
      <c r="FL18" s="402">
        <f>IF(AND(164&gt;=$NR$18,164&lt;=$NS$18),IF($NP$18="Single_Point",IF(164=$NR$18,$NN$18,0),IF($NP$18="Bell_Curve",$NN$18*(164-$NR$18+1)*($NS$18-164+1)/$NU$18,$NN$18/$NT$18)),0)</f>
        <v/>
      </c>
      <c r="FM18" s="402">
        <f>IF(AND(165&gt;=$NR$18,165&lt;=$NS$18),IF($NP$18="Single_Point",IF(165=$NR$18,$NN$18,0),IF($NP$18="Bell_Curve",$NN$18*(165-$NR$18+1)*($NS$18-165+1)/$NU$18,$NN$18/$NT$18)),0)</f>
        <v/>
      </c>
      <c r="FN18" s="402">
        <f>IF(AND(166&gt;=$NR$18,166&lt;=$NS$18),IF($NP$18="Single_Point",IF(166=$NR$18,$NN$18,0),IF($NP$18="Bell_Curve",$NN$18*(166-$NR$18+1)*($NS$18-166+1)/$NU$18,$NN$18/$NT$18)),0)</f>
        <v/>
      </c>
      <c r="FO18" s="402">
        <f>IF(AND(167&gt;=$NR$18,167&lt;=$NS$18),IF($NP$18="Single_Point",IF(167=$NR$18,$NN$18,0),IF($NP$18="Bell_Curve",$NN$18*(167-$NR$18+1)*($NS$18-167+1)/$NU$18,$NN$18/$NT$18)),0)</f>
        <v/>
      </c>
      <c r="FP18" s="402">
        <f>IF(AND(168&gt;=$NR$18,168&lt;=$NS$18),IF($NP$18="Single_Point",IF(168=$NR$18,$NN$18,0),IF($NP$18="Bell_Curve",$NN$18*(168-$NR$18+1)*($NS$18-168+1)/$NU$18,$NN$18/$NT$18)),0)</f>
        <v/>
      </c>
      <c r="FQ18" s="402">
        <f>IF(AND(169&gt;=$NR$18,169&lt;=$NS$18),IF($NP$18="Single_Point",IF(169=$NR$18,$NN$18,0),IF($NP$18="Bell_Curve",$NN$18*(169-$NR$18+1)*($NS$18-169+1)/$NU$18,$NN$18/$NT$18)),0)</f>
        <v/>
      </c>
      <c r="FR18" s="402">
        <f>IF(AND(170&gt;=$NR$18,170&lt;=$NS$18),IF($NP$18="Single_Point",IF(170=$NR$18,$NN$18,0),IF($NP$18="Bell_Curve",$NN$18*(170-$NR$18+1)*($NS$18-170+1)/$NU$18,$NN$18/$NT$18)),0)</f>
        <v/>
      </c>
      <c r="FS18" s="402">
        <f>IF(AND(171&gt;=$NR$18,171&lt;=$NS$18),IF($NP$18="Single_Point",IF(171=$NR$18,$NN$18,0),IF($NP$18="Bell_Curve",$NN$18*(171-$NR$18+1)*($NS$18-171+1)/$NU$18,$NN$18/$NT$18)),0)</f>
        <v/>
      </c>
      <c r="FT18" s="402">
        <f>IF(AND(172&gt;=$NR$18,172&lt;=$NS$18),IF($NP$18="Single_Point",IF(172=$NR$18,$NN$18,0),IF($NP$18="Bell_Curve",$NN$18*(172-$NR$18+1)*($NS$18-172+1)/$NU$18,$NN$18/$NT$18)),0)</f>
        <v/>
      </c>
      <c r="FU18" s="402">
        <f>IF(AND(173&gt;=$NR$18,173&lt;=$NS$18),IF($NP$18="Single_Point",IF(173=$NR$18,$NN$18,0),IF($NP$18="Bell_Curve",$NN$18*(173-$NR$18+1)*($NS$18-173+1)/$NU$18,$NN$18/$NT$18)),0)</f>
        <v/>
      </c>
      <c r="FV18" s="402">
        <f>IF(AND(174&gt;=$NR$18,174&lt;=$NS$18),IF($NP$18="Single_Point",IF(174=$NR$18,$NN$18,0),IF($NP$18="Bell_Curve",$NN$18*(174-$NR$18+1)*($NS$18-174+1)/$NU$18,$NN$18/$NT$18)),0)</f>
        <v/>
      </c>
      <c r="FW18" s="402">
        <f>IF(AND(175&gt;=$NR$18,175&lt;=$NS$18),IF($NP$18="Single_Point",IF(175=$NR$18,$NN$18,0),IF($NP$18="Bell_Curve",$NN$18*(175-$NR$18+1)*($NS$18-175+1)/$NU$18,$NN$18/$NT$18)),0)</f>
        <v/>
      </c>
      <c r="FX18" s="402">
        <f>IF(AND(176&gt;=$NR$18,176&lt;=$NS$18),IF($NP$18="Single_Point",IF(176=$NR$18,$NN$18,0),IF($NP$18="Bell_Curve",$NN$18*(176-$NR$18+1)*($NS$18-176+1)/$NU$18,$NN$18/$NT$18)),0)</f>
        <v/>
      </c>
      <c r="FY18" s="402">
        <f>IF(AND(177&gt;=$NR$18,177&lt;=$NS$18),IF($NP$18="Single_Point",IF(177=$NR$18,$NN$18,0),IF($NP$18="Bell_Curve",$NN$18*(177-$NR$18+1)*($NS$18-177+1)/$NU$18,$NN$18/$NT$18)),0)</f>
        <v/>
      </c>
      <c r="FZ18" s="402">
        <f>IF(AND(178&gt;=$NR$18,178&lt;=$NS$18),IF($NP$18="Single_Point",IF(178=$NR$18,$NN$18,0),IF($NP$18="Bell_Curve",$NN$18*(178-$NR$18+1)*($NS$18-178+1)/$NU$18,$NN$18/$NT$18)),0)</f>
        <v/>
      </c>
      <c r="GA18" s="402">
        <f>IF(AND(179&gt;=$NR$18,179&lt;=$NS$18),IF($NP$18="Single_Point",IF(179=$NR$18,$NN$18,0),IF($NP$18="Bell_Curve",$NN$18*(179-$NR$18+1)*($NS$18-179+1)/$NU$18,$NN$18/$NT$18)),0)</f>
        <v/>
      </c>
      <c r="GB18" s="402">
        <f>IF(AND(180&gt;=$NR$18,180&lt;=$NS$18),IF($NP$18="Single_Point",IF(180=$NR$18,$NN$18,0),IF($NP$18="Bell_Curve",$NN$18*(180-$NR$18+1)*($NS$18-180+1)/$NU$18,$NN$18/$NT$18)),0)</f>
        <v/>
      </c>
      <c r="GC18" s="402">
        <f>IF(AND(181&gt;=$NR$18,181&lt;=$NS$18),IF($NP$18="Single_Point",IF(181=$NR$18,$NN$18,0),IF($NP$18="Bell_Curve",$NN$18*(181-$NR$18+1)*($NS$18-181+1)/$NU$18,$NN$18/$NT$18)),0)</f>
        <v/>
      </c>
      <c r="GD18" s="402">
        <f>IF(AND(182&gt;=$NR$18,182&lt;=$NS$18),IF($NP$18="Single_Point",IF(182=$NR$18,$NN$18,0),IF($NP$18="Bell_Curve",$NN$18*(182-$NR$18+1)*($NS$18-182+1)/$NU$18,$NN$18/$NT$18)),0)</f>
        <v/>
      </c>
      <c r="GE18" s="402">
        <f>IF(AND(183&gt;=$NR$18,183&lt;=$NS$18),IF($NP$18="Single_Point",IF(183=$NR$18,$NN$18,0),IF($NP$18="Bell_Curve",$NN$18*(183-$NR$18+1)*($NS$18-183+1)/$NU$18,$NN$18/$NT$18)),0)</f>
        <v/>
      </c>
      <c r="GF18" s="402">
        <f>IF(AND(184&gt;=$NR$18,184&lt;=$NS$18),IF($NP$18="Single_Point",IF(184=$NR$18,$NN$18,0),IF($NP$18="Bell_Curve",$NN$18*(184-$NR$18+1)*($NS$18-184+1)/$NU$18,$NN$18/$NT$18)),0)</f>
        <v/>
      </c>
      <c r="GG18" s="402">
        <f>IF(AND(185&gt;=$NR$18,185&lt;=$NS$18),IF($NP$18="Single_Point",IF(185=$NR$18,$NN$18,0),IF($NP$18="Bell_Curve",$NN$18*(185-$NR$18+1)*($NS$18-185+1)/$NU$18,$NN$18/$NT$18)),0)</f>
        <v/>
      </c>
      <c r="GH18" s="402">
        <f>IF(AND(186&gt;=$NR$18,186&lt;=$NS$18),IF($NP$18="Single_Point",IF(186=$NR$18,$NN$18,0),IF($NP$18="Bell_Curve",$NN$18*(186-$NR$18+1)*($NS$18-186+1)/$NU$18,$NN$18/$NT$18)),0)</f>
        <v/>
      </c>
      <c r="GI18" s="402">
        <f>IF(AND(187&gt;=$NR$18,187&lt;=$NS$18),IF($NP$18="Single_Point",IF(187=$NR$18,$NN$18,0),IF($NP$18="Bell_Curve",$NN$18*(187-$NR$18+1)*($NS$18-187+1)/$NU$18,$NN$18/$NT$18)),0)</f>
        <v/>
      </c>
      <c r="GJ18" s="402">
        <f>IF(AND(188&gt;=$NR$18,188&lt;=$NS$18),IF($NP$18="Single_Point",IF(188=$NR$18,$NN$18,0),IF($NP$18="Bell_Curve",$NN$18*(188-$NR$18+1)*($NS$18-188+1)/$NU$18,$NN$18/$NT$18)),0)</f>
        <v/>
      </c>
      <c r="GK18" s="402">
        <f>IF(AND(189&gt;=$NR$18,189&lt;=$NS$18),IF($NP$18="Single_Point",IF(189=$NR$18,$NN$18,0),IF($NP$18="Bell_Curve",$NN$18*(189-$NR$18+1)*($NS$18-189+1)/$NU$18,$NN$18/$NT$18)),0)</f>
        <v/>
      </c>
      <c r="GL18" s="402">
        <f>IF(AND(190&gt;=$NR$18,190&lt;=$NS$18),IF($NP$18="Single_Point",IF(190=$NR$18,$NN$18,0),IF($NP$18="Bell_Curve",$NN$18*(190-$NR$18+1)*($NS$18-190+1)/$NU$18,$NN$18/$NT$18)),0)</f>
        <v/>
      </c>
      <c r="GM18" s="402">
        <f>IF(AND(191&gt;=$NR$18,191&lt;=$NS$18),IF($NP$18="Single_Point",IF(191=$NR$18,$NN$18,0),IF($NP$18="Bell_Curve",$NN$18*(191-$NR$18+1)*($NS$18-191+1)/$NU$18,$NN$18/$NT$18)),0)</f>
        <v/>
      </c>
      <c r="GN18" s="402">
        <f>IF(AND(192&gt;=$NR$18,192&lt;=$NS$18),IF($NP$18="Single_Point",IF(192=$NR$18,$NN$18,0),IF($NP$18="Bell_Curve",$NN$18*(192-$NR$18+1)*($NS$18-192+1)/$NU$18,$NN$18/$NT$18)),0)</f>
        <v/>
      </c>
      <c r="GO18" s="402">
        <f>IF(AND(193&gt;=$NR$18,193&lt;=$NS$18),IF($NP$18="Single_Point",IF(193=$NR$18,$NN$18,0),IF($NP$18="Bell_Curve",$NN$18*(193-$NR$18+1)*($NS$18-193+1)/$NU$18,$NN$18/$NT$18)),0)</f>
        <v/>
      </c>
      <c r="GP18" s="402">
        <f>IF(AND(194&gt;=$NR$18,194&lt;=$NS$18),IF($NP$18="Single_Point",IF(194=$NR$18,$NN$18,0),IF($NP$18="Bell_Curve",$NN$18*(194-$NR$18+1)*($NS$18-194+1)/$NU$18,$NN$18/$NT$18)),0)</f>
        <v/>
      </c>
      <c r="GQ18" s="402">
        <f>IF(AND(195&gt;=$NR$18,195&lt;=$NS$18),IF($NP$18="Single_Point",IF(195=$NR$18,$NN$18,0),IF($NP$18="Bell_Curve",$NN$18*(195-$NR$18+1)*($NS$18-195+1)/$NU$18,$NN$18/$NT$18)),0)</f>
        <v/>
      </c>
      <c r="GR18" s="402">
        <f>IF(AND(196&gt;=$NR$18,196&lt;=$NS$18),IF($NP$18="Single_Point",IF(196=$NR$18,$NN$18,0),IF($NP$18="Bell_Curve",$NN$18*(196-$NR$18+1)*($NS$18-196+1)/$NU$18,$NN$18/$NT$18)),0)</f>
        <v/>
      </c>
      <c r="GS18" s="402">
        <f>IF(AND(197&gt;=$NR$18,197&lt;=$NS$18),IF($NP$18="Single_Point",IF(197=$NR$18,$NN$18,0),IF($NP$18="Bell_Curve",$NN$18*(197-$NR$18+1)*($NS$18-197+1)/$NU$18,$NN$18/$NT$18)),0)</f>
        <v/>
      </c>
      <c r="GT18" s="402">
        <f>IF(AND(198&gt;=$NR$18,198&lt;=$NS$18),IF($NP$18="Single_Point",IF(198=$NR$18,$NN$18,0),IF($NP$18="Bell_Curve",$NN$18*(198-$NR$18+1)*($NS$18-198+1)/$NU$18,$NN$18/$NT$18)),0)</f>
        <v/>
      </c>
      <c r="GU18" s="402">
        <f>IF(AND(199&gt;=$NR$18,199&lt;=$NS$18),IF($NP$18="Single_Point",IF(199=$NR$18,$NN$18,0),IF($NP$18="Bell_Curve",$NN$18*(199-$NR$18+1)*($NS$18-199+1)/$NU$18,$NN$18/$NT$18)),0)</f>
        <v/>
      </c>
      <c r="GV18" s="402">
        <f>IF(AND(200&gt;=$NR$18,200&lt;=$NS$18),IF($NP$18="Single_Point",IF(200=$NR$18,$NN$18,0),IF($NP$18="Bell_Curve",$NN$18*(200-$NR$18+1)*($NS$18-200+1)/$NU$18,$NN$18/$NT$18)),0)</f>
        <v/>
      </c>
      <c r="GW18" s="402">
        <f>IF(AND(201&gt;=$NR$18,201&lt;=$NS$18),IF($NP$18="Single_Point",IF(201=$NR$18,$NN$18,0),IF($NP$18="Bell_Curve",$NN$18*(201-$NR$18+1)*($NS$18-201+1)/$NU$18,$NN$18/$NT$18)),0)</f>
        <v/>
      </c>
      <c r="GX18" s="402">
        <f>IF(AND(202&gt;=$NR$18,202&lt;=$NS$18),IF($NP$18="Single_Point",IF(202=$NR$18,$NN$18,0),IF($NP$18="Bell_Curve",$NN$18*(202-$NR$18+1)*($NS$18-202+1)/$NU$18,$NN$18/$NT$18)),0)</f>
        <v/>
      </c>
      <c r="GY18" s="402">
        <f>IF(AND(203&gt;=$NR$18,203&lt;=$NS$18),IF($NP$18="Single_Point",IF(203=$NR$18,$NN$18,0),IF($NP$18="Bell_Curve",$NN$18*(203-$NR$18+1)*($NS$18-203+1)/$NU$18,$NN$18/$NT$18)),0)</f>
        <v/>
      </c>
      <c r="GZ18" s="402">
        <f>IF(AND(204&gt;=$NR$18,204&lt;=$NS$18),IF($NP$18="Single_Point",IF(204=$NR$18,$NN$18,0),IF($NP$18="Bell_Curve",$NN$18*(204-$NR$18+1)*($NS$18-204+1)/$NU$18,$NN$18/$NT$18)),0)</f>
        <v/>
      </c>
      <c r="HA18" s="402">
        <f>IF(AND(205&gt;=$NR$18,205&lt;=$NS$18),IF($NP$18="Single_Point",IF(205=$NR$18,$NN$18,0),IF($NP$18="Bell_Curve",$NN$18*(205-$NR$18+1)*($NS$18-205+1)/$NU$18,$NN$18/$NT$18)),0)</f>
        <v/>
      </c>
      <c r="HB18" s="402">
        <f>IF(AND(206&gt;=$NR$18,206&lt;=$NS$18),IF($NP$18="Single_Point",IF(206=$NR$18,$NN$18,0),IF($NP$18="Bell_Curve",$NN$18*(206-$NR$18+1)*($NS$18-206+1)/$NU$18,$NN$18/$NT$18)),0)</f>
        <v/>
      </c>
      <c r="HC18" s="402">
        <f>IF(AND(207&gt;=$NR$18,207&lt;=$NS$18),IF($NP$18="Single_Point",IF(207=$NR$18,$NN$18,0),IF($NP$18="Bell_Curve",$NN$18*(207-$NR$18+1)*($NS$18-207+1)/$NU$18,$NN$18/$NT$18)),0)</f>
        <v/>
      </c>
      <c r="HD18" s="402">
        <f>IF(AND(208&gt;=$NR$18,208&lt;=$NS$18),IF($NP$18="Single_Point",IF(208=$NR$18,$NN$18,0),IF($NP$18="Bell_Curve",$NN$18*(208-$NR$18+1)*($NS$18-208+1)/$NU$18,$NN$18/$NT$18)),0)</f>
        <v/>
      </c>
      <c r="HE18" s="402">
        <f>IF(AND(209&gt;=$NR$18,209&lt;=$NS$18),IF($NP$18="Single_Point",IF(209=$NR$18,$NN$18,0),IF($NP$18="Bell_Curve",$NN$18*(209-$NR$18+1)*($NS$18-209+1)/$NU$18,$NN$18/$NT$18)),0)</f>
        <v/>
      </c>
      <c r="HF18" s="402">
        <f>IF(AND(210&gt;=$NR$18,210&lt;=$NS$18),IF($NP$18="Single_Point",IF(210=$NR$18,$NN$18,0),IF($NP$18="Bell_Curve",$NN$18*(210-$NR$18+1)*($NS$18-210+1)/$NU$18,$NN$18/$NT$18)),0)</f>
        <v/>
      </c>
      <c r="HG18" s="402">
        <f>IF(AND(211&gt;=$NR$18,211&lt;=$NS$18),IF($NP$18="Single_Point",IF(211=$NR$18,$NN$18,0),IF($NP$18="Bell_Curve",$NN$18*(211-$NR$18+1)*($NS$18-211+1)/$NU$18,$NN$18/$NT$18)),0)</f>
        <v/>
      </c>
      <c r="HH18" s="402">
        <f>IF(AND(212&gt;=$NR$18,212&lt;=$NS$18),IF($NP$18="Single_Point",IF(212=$NR$18,$NN$18,0),IF($NP$18="Bell_Curve",$NN$18*(212-$NR$18+1)*($NS$18-212+1)/$NU$18,$NN$18/$NT$18)),0)</f>
        <v/>
      </c>
      <c r="HI18" s="402">
        <f>IF(AND(213&gt;=$NR$18,213&lt;=$NS$18),IF($NP$18="Single_Point",IF(213=$NR$18,$NN$18,0),IF($NP$18="Bell_Curve",$NN$18*(213-$NR$18+1)*($NS$18-213+1)/$NU$18,$NN$18/$NT$18)),0)</f>
        <v/>
      </c>
      <c r="HJ18" s="402">
        <f>IF(AND(214&gt;=$NR$18,214&lt;=$NS$18),IF($NP$18="Single_Point",IF(214=$NR$18,$NN$18,0),IF($NP$18="Bell_Curve",$NN$18*(214-$NR$18+1)*($NS$18-214+1)/$NU$18,$NN$18/$NT$18)),0)</f>
        <v/>
      </c>
      <c r="HK18" s="402">
        <f>IF(AND(215&gt;=$NR$18,215&lt;=$NS$18),IF($NP$18="Single_Point",IF(215=$NR$18,$NN$18,0),IF($NP$18="Bell_Curve",$NN$18*(215-$NR$18+1)*($NS$18-215+1)/$NU$18,$NN$18/$NT$18)),0)</f>
        <v/>
      </c>
      <c r="HL18" s="402">
        <f>IF(AND(216&gt;=$NR$18,216&lt;=$NS$18),IF($NP$18="Single_Point",IF(216=$NR$18,$NN$18,0),IF($NP$18="Bell_Curve",$NN$18*(216-$NR$18+1)*($NS$18-216+1)/$NU$18,$NN$18/$NT$18)),0)</f>
        <v/>
      </c>
      <c r="HM18" s="402">
        <f>IF(AND(217&gt;=$NR$18,217&lt;=$NS$18),IF($NP$18="Single_Point",IF(217=$NR$18,$NN$18,0),IF($NP$18="Bell_Curve",$NN$18*(217-$NR$18+1)*($NS$18-217+1)/$NU$18,$NN$18/$NT$18)),0)</f>
        <v/>
      </c>
      <c r="HN18" s="402">
        <f>IF(AND(218&gt;=$NR$18,218&lt;=$NS$18),IF($NP$18="Single_Point",IF(218=$NR$18,$NN$18,0),IF($NP$18="Bell_Curve",$NN$18*(218-$NR$18+1)*($NS$18-218+1)/$NU$18,$NN$18/$NT$18)),0)</f>
        <v/>
      </c>
      <c r="HO18" s="402">
        <f>IF(AND(219&gt;=$NR$18,219&lt;=$NS$18),IF($NP$18="Single_Point",IF(219=$NR$18,$NN$18,0),IF($NP$18="Bell_Curve",$NN$18*(219-$NR$18+1)*($NS$18-219+1)/$NU$18,$NN$18/$NT$18)),0)</f>
        <v/>
      </c>
      <c r="HP18" s="402">
        <f>IF(AND(220&gt;=$NR$18,220&lt;=$NS$18),IF($NP$18="Single_Point",IF(220=$NR$18,$NN$18,0),IF($NP$18="Bell_Curve",$NN$18*(220-$NR$18+1)*($NS$18-220+1)/$NU$18,$NN$18/$NT$18)),0)</f>
        <v/>
      </c>
      <c r="HQ18" s="402">
        <f>IF(AND(221&gt;=$NR$18,221&lt;=$NS$18),IF($NP$18="Single_Point",IF(221=$NR$18,$NN$18,0),IF($NP$18="Bell_Curve",$NN$18*(221-$NR$18+1)*($NS$18-221+1)/$NU$18,$NN$18/$NT$18)),0)</f>
        <v/>
      </c>
      <c r="HR18" s="402">
        <f>IF(AND(222&gt;=$NR$18,222&lt;=$NS$18),IF($NP$18="Single_Point",IF(222=$NR$18,$NN$18,0),IF($NP$18="Bell_Curve",$NN$18*(222-$NR$18+1)*($NS$18-222+1)/$NU$18,$NN$18/$NT$18)),0)</f>
        <v/>
      </c>
      <c r="HS18" s="402">
        <f>IF(AND(223&gt;=$NR$18,223&lt;=$NS$18),IF($NP$18="Single_Point",IF(223=$NR$18,$NN$18,0),IF($NP$18="Bell_Curve",$NN$18*(223-$NR$18+1)*($NS$18-223+1)/$NU$18,$NN$18/$NT$18)),0)</f>
        <v/>
      </c>
      <c r="HT18" s="402">
        <f>IF(AND(224&gt;=$NR$18,224&lt;=$NS$18),IF($NP$18="Single_Point",IF(224=$NR$18,$NN$18,0),IF($NP$18="Bell_Curve",$NN$18*(224-$NR$18+1)*($NS$18-224+1)/$NU$18,$NN$18/$NT$18)),0)</f>
        <v/>
      </c>
      <c r="HU18" s="402">
        <f>IF(AND(225&gt;=$NR$18,225&lt;=$NS$18),IF($NP$18="Single_Point",IF(225=$NR$18,$NN$18,0),IF($NP$18="Bell_Curve",$NN$18*(225-$NR$18+1)*($NS$18-225+1)/$NU$18,$NN$18/$NT$18)),0)</f>
        <v/>
      </c>
      <c r="HV18" s="402">
        <f>IF(AND(226&gt;=$NR$18,226&lt;=$NS$18),IF($NP$18="Single_Point",IF(226=$NR$18,$NN$18,0),IF($NP$18="Bell_Curve",$NN$18*(226-$NR$18+1)*($NS$18-226+1)/$NU$18,$NN$18/$NT$18)),0)</f>
        <v/>
      </c>
      <c r="HW18" s="402">
        <f>IF(AND(227&gt;=$NR$18,227&lt;=$NS$18),IF($NP$18="Single_Point",IF(227=$NR$18,$NN$18,0),IF($NP$18="Bell_Curve",$NN$18*(227-$NR$18+1)*($NS$18-227+1)/$NU$18,$NN$18/$NT$18)),0)</f>
        <v/>
      </c>
      <c r="HX18" s="402">
        <f>IF(AND(228&gt;=$NR$18,228&lt;=$NS$18),IF($NP$18="Single_Point",IF(228=$NR$18,$NN$18,0),IF($NP$18="Bell_Curve",$NN$18*(228-$NR$18+1)*($NS$18-228+1)/$NU$18,$NN$18/$NT$18)),0)</f>
        <v/>
      </c>
      <c r="HY18" s="402">
        <f>IF(AND(229&gt;=$NR$18,229&lt;=$NS$18),IF($NP$18="Single_Point",IF(229=$NR$18,$NN$18,0),IF($NP$18="Bell_Curve",$NN$18*(229-$NR$18+1)*($NS$18-229+1)/$NU$18,$NN$18/$NT$18)),0)</f>
        <v/>
      </c>
      <c r="HZ18" s="402">
        <f>IF(AND(230&gt;=$NR$18,230&lt;=$NS$18),IF($NP$18="Single_Point",IF(230=$NR$18,$NN$18,0),IF($NP$18="Bell_Curve",$NN$18*(230-$NR$18+1)*($NS$18-230+1)/$NU$18,$NN$18/$NT$18)),0)</f>
        <v/>
      </c>
      <c r="IA18" s="402">
        <f>IF(AND(231&gt;=$NR$18,231&lt;=$NS$18),IF($NP$18="Single_Point",IF(231=$NR$18,$NN$18,0),IF($NP$18="Bell_Curve",$NN$18*(231-$NR$18+1)*($NS$18-231+1)/$NU$18,$NN$18/$NT$18)),0)</f>
        <v/>
      </c>
      <c r="IB18" s="402">
        <f>IF(AND(232&gt;=$NR$18,232&lt;=$NS$18),IF($NP$18="Single_Point",IF(232=$NR$18,$NN$18,0),IF($NP$18="Bell_Curve",$NN$18*(232-$NR$18+1)*($NS$18-232+1)/$NU$18,$NN$18/$NT$18)),0)</f>
        <v/>
      </c>
      <c r="IC18" s="402">
        <f>IF(AND(233&gt;=$NR$18,233&lt;=$NS$18),IF($NP$18="Single_Point",IF(233=$NR$18,$NN$18,0),IF($NP$18="Bell_Curve",$NN$18*(233-$NR$18+1)*($NS$18-233+1)/$NU$18,$NN$18/$NT$18)),0)</f>
        <v/>
      </c>
      <c r="ID18" s="402">
        <f>IF(AND(234&gt;=$NR$18,234&lt;=$NS$18),IF($NP$18="Single_Point",IF(234=$NR$18,$NN$18,0),IF($NP$18="Bell_Curve",$NN$18*(234-$NR$18+1)*($NS$18-234+1)/$NU$18,$NN$18/$NT$18)),0)</f>
        <v/>
      </c>
      <c r="IE18" s="402">
        <f>IF(AND(235&gt;=$NR$18,235&lt;=$NS$18),IF($NP$18="Single_Point",IF(235=$NR$18,$NN$18,0),IF($NP$18="Bell_Curve",$NN$18*(235-$NR$18+1)*($NS$18-235+1)/$NU$18,$NN$18/$NT$18)),0)</f>
        <v/>
      </c>
      <c r="IF18" s="402">
        <f>IF(AND(236&gt;=$NR$18,236&lt;=$NS$18),IF($NP$18="Single_Point",IF(236=$NR$18,$NN$18,0),IF($NP$18="Bell_Curve",$NN$18*(236-$NR$18+1)*($NS$18-236+1)/$NU$18,$NN$18/$NT$18)),0)</f>
        <v/>
      </c>
      <c r="IG18" s="402">
        <f>IF(AND(237&gt;=$NR$18,237&lt;=$NS$18),IF($NP$18="Single_Point",IF(237=$NR$18,$NN$18,0),IF($NP$18="Bell_Curve",$NN$18*(237-$NR$18+1)*($NS$18-237+1)/$NU$18,$NN$18/$NT$18)),0)</f>
        <v/>
      </c>
      <c r="IH18" s="402">
        <f>IF(AND(238&gt;=$NR$18,238&lt;=$NS$18),IF($NP$18="Single_Point",IF(238=$NR$18,$NN$18,0),IF($NP$18="Bell_Curve",$NN$18*(238-$NR$18+1)*($NS$18-238+1)/$NU$18,$NN$18/$NT$18)),0)</f>
        <v/>
      </c>
      <c r="II18" s="402">
        <f>IF(AND(239&gt;=$NR$18,239&lt;=$NS$18),IF($NP$18="Single_Point",IF(239=$NR$18,$NN$18,0),IF($NP$18="Bell_Curve",$NN$18*(239-$NR$18+1)*($NS$18-239+1)/$NU$18,$NN$18/$NT$18)),0)</f>
        <v/>
      </c>
      <c r="IJ18" s="402">
        <f>IF(AND(240&gt;=$NR$18,240&lt;=$NS$18),IF($NP$18="Single_Point",IF(240=$NR$18,$NN$18,0),IF($NP$18="Bell_Curve",$NN$18*(240-$NR$18+1)*($NS$18-240+1)/$NU$18,$NN$18/$NT$18)),0)</f>
        <v/>
      </c>
      <c r="IK18" s="402">
        <f>IF(AND(241&gt;=$NR$18,241&lt;=$NS$18),IF($NP$18="Single_Point",IF(241=$NR$18,$NN$18,0),IF($NP$18="Bell_Curve",$NN$18*(241-$NR$18+1)*($NS$18-241+1)/$NU$18,$NN$18/$NT$18)),0)</f>
        <v/>
      </c>
      <c r="IL18" s="402">
        <f>IF(AND(242&gt;=$NR$18,242&lt;=$NS$18),IF($NP$18="Single_Point",IF(242=$NR$18,$NN$18,0),IF($NP$18="Bell_Curve",$NN$18*(242-$NR$18+1)*($NS$18-242+1)/$NU$18,$NN$18/$NT$18)),0)</f>
        <v/>
      </c>
      <c r="IM18" s="402">
        <f>IF(AND(243&gt;=$NR$18,243&lt;=$NS$18),IF($NP$18="Single_Point",IF(243=$NR$18,$NN$18,0),IF($NP$18="Bell_Curve",$NN$18*(243-$NR$18+1)*($NS$18-243+1)/$NU$18,$NN$18/$NT$18)),0)</f>
        <v/>
      </c>
      <c r="IN18" s="402">
        <f>IF(AND(244&gt;=$NR$18,244&lt;=$NS$18),IF($NP$18="Single_Point",IF(244=$NR$18,$NN$18,0),IF($NP$18="Bell_Curve",$NN$18*(244-$NR$18+1)*($NS$18-244+1)/$NU$18,$NN$18/$NT$18)),0)</f>
        <v/>
      </c>
      <c r="IO18" s="402">
        <f>IF(AND(245&gt;=$NR$18,245&lt;=$NS$18),IF($NP$18="Single_Point",IF(245=$NR$18,$NN$18,0),IF($NP$18="Bell_Curve",$NN$18*(245-$NR$18+1)*($NS$18-245+1)/$NU$18,$NN$18/$NT$18)),0)</f>
        <v/>
      </c>
      <c r="IP18" s="402">
        <f>IF(AND(246&gt;=$NR$18,246&lt;=$NS$18),IF($NP$18="Single_Point",IF(246=$NR$18,$NN$18,0),IF($NP$18="Bell_Curve",$NN$18*(246-$NR$18+1)*($NS$18-246+1)/$NU$18,$NN$18/$NT$18)),0)</f>
        <v/>
      </c>
      <c r="IQ18" s="402">
        <f>IF(AND(247&gt;=$NR$18,247&lt;=$NS$18),IF($NP$18="Single_Point",IF(247=$NR$18,$NN$18,0),IF($NP$18="Bell_Curve",$NN$18*(247-$NR$18+1)*($NS$18-247+1)/$NU$18,$NN$18/$NT$18)),0)</f>
        <v/>
      </c>
      <c r="IR18" s="402">
        <f>IF(AND(248&gt;=$NR$18,248&lt;=$NS$18),IF($NP$18="Single_Point",IF(248=$NR$18,$NN$18,0),IF($NP$18="Bell_Curve",$NN$18*(248-$NR$18+1)*($NS$18-248+1)/$NU$18,$NN$18/$NT$18)),0)</f>
        <v/>
      </c>
      <c r="IS18" s="402">
        <f>IF(AND(249&gt;=$NR$18,249&lt;=$NS$18),IF($NP$18="Single_Point",IF(249=$NR$18,$NN$18,0),IF($NP$18="Bell_Curve",$NN$18*(249-$NR$18+1)*($NS$18-249+1)/$NU$18,$NN$18/$NT$18)),0)</f>
        <v/>
      </c>
      <c r="IT18" s="402">
        <f>IF(AND(250&gt;=$NR$18,250&lt;=$NS$18),IF($NP$18="Single_Point",IF(250=$NR$18,$NN$18,0),IF($NP$18="Bell_Curve",$NN$18*(250-$NR$18+1)*($NS$18-250+1)/$NU$18,$NN$18/$NT$18)),0)</f>
        <v/>
      </c>
      <c r="IU18" s="402">
        <f>IF(AND(251&gt;=$NR$18,251&lt;=$NS$18),IF($NP$18="Single_Point",IF(251=$NR$18,$NN$18,0),IF($NP$18="Bell_Curve",$NN$18*(251-$NR$18+1)*($NS$18-251+1)/$NU$18,$NN$18/$NT$18)),0)</f>
        <v/>
      </c>
      <c r="IV18" s="402">
        <f>IF(AND(252&gt;=$NR$18,252&lt;=$NS$18),IF($NP$18="Single_Point",IF(252=$NR$18,$NN$18,0),IF($NP$18="Bell_Curve",$NN$18*(252-$NR$18+1)*($NS$18-252+1)/$NU$18,$NN$18/$NT$18)),0)</f>
        <v/>
      </c>
      <c r="IW18" s="402">
        <f>IF(AND(253&gt;=$NR$18,253&lt;=$NS$18),IF($NP$18="Single_Point",IF(253=$NR$18,$NN$18,0),IF($NP$18="Bell_Curve",$NN$18*(253-$NR$18+1)*($NS$18-253+1)/$NU$18,$NN$18/$NT$18)),0)</f>
        <v/>
      </c>
      <c r="IX18" s="402">
        <f>IF(AND(254&gt;=$NR$18,254&lt;=$NS$18),IF($NP$18="Single_Point",IF(254=$NR$18,$NN$18,0),IF($NP$18="Bell_Curve",$NN$18*(254-$NR$18+1)*($NS$18-254+1)/$NU$18,$NN$18/$NT$18)),0)</f>
        <v/>
      </c>
      <c r="IY18" s="402">
        <f>IF(AND(255&gt;=$NR$18,255&lt;=$NS$18),IF($NP$18="Single_Point",IF(255=$NR$18,$NN$18,0),IF($NP$18="Bell_Curve",$NN$18*(255-$NR$18+1)*($NS$18-255+1)/$NU$18,$NN$18/$NT$18)),0)</f>
        <v/>
      </c>
      <c r="IZ18" s="402">
        <f>IF(AND(256&gt;=$NR$18,256&lt;=$NS$18),IF($NP$18="Single_Point",IF(256=$NR$18,$NN$18,0),IF($NP$18="Bell_Curve",$NN$18*(256-$NR$18+1)*($NS$18-256+1)/$NU$18,$NN$18/$NT$18)),0)</f>
        <v/>
      </c>
      <c r="JA18" s="402">
        <f>IF(AND(257&gt;=$NR$18,257&lt;=$NS$18),IF($NP$18="Single_Point",IF(257=$NR$18,$NN$18,0),IF($NP$18="Bell_Curve",$NN$18*(257-$NR$18+1)*($NS$18-257+1)/$NU$18,$NN$18/$NT$18)),0)</f>
        <v/>
      </c>
      <c r="JB18" s="402">
        <f>IF(AND(258&gt;=$NR$18,258&lt;=$NS$18),IF($NP$18="Single_Point",IF(258=$NR$18,$NN$18,0),IF($NP$18="Bell_Curve",$NN$18*(258-$NR$18+1)*($NS$18-258+1)/$NU$18,$NN$18/$NT$18)),0)</f>
        <v/>
      </c>
      <c r="JC18" s="402">
        <f>IF(AND(259&gt;=$NR$18,259&lt;=$NS$18),IF($NP$18="Single_Point",IF(259=$NR$18,$NN$18,0),IF($NP$18="Bell_Curve",$NN$18*(259-$NR$18+1)*($NS$18-259+1)/$NU$18,$NN$18/$NT$18)),0)</f>
        <v/>
      </c>
      <c r="JD18" s="402">
        <f>IF(AND(260&gt;=$NR$18,260&lt;=$NS$18),IF($NP$18="Single_Point",IF(260=$NR$18,$NN$18,0),IF($NP$18="Bell_Curve",$NN$18*(260-$NR$18+1)*($NS$18-260+1)/$NU$18,$NN$18/$NT$18)),0)</f>
        <v/>
      </c>
      <c r="JE18" s="402">
        <f>IF(AND(261&gt;=$NR$18,261&lt;=$NS$18),IF($NP$18="Single_Point",IF(261=$NR$18,$NN$18,0),IF($NP$18="Bell_Curve",$NN$18*(261-$NR$18+1)*($NS$18-261+1)/$NU$18,$NN$18/$NT$18)),0)</f>
        <v/>
      </c>
      <c r="JF18" s="402">
        <f>IF(AND(262&gt;=$NR$18,262&lt;=$NS$18),IF($NP$18="Single_Point",IF(262=$NR$18,$NN$18,0),IF($NP$18="Bell_Curve",$NN$18*(262-$NR$18+1)*($NS$18-262+1)/$NU$18,$NN$18/$NT$18)),0)</f>
        <v/>
      </c>
      <c r="JG18" s="402">
        <f>IF(AND(263&gt;=$NR$18,263&lt;=$NS$18),IF($NP$18="Single_Point",IF(263=$NR$18,$NN$18,0),IF($NP$18="Bell_Curve",$NN$18*(263-$NR$18+1)*($NS$18-263+1)/$NU$18,$NN$18/$NT$18)),0)</f>
        <v/>
      </c>
      <c r="JH18" s="402">
        <f>IF(AND(264&gt;=$NR$18,264&lt;=$NS$18),IF($NP$18="Single_Point",IF(264=$NR$18,$NN$18,0),IF($NP$18="Bell_Curve",$NN$18*(264-$NR$18+1)*($NS$18-264+1)/$NU$18,$NN$18/$NT$18)),0)</f>
        <v/>
      </c>
      <c r="JI18" s="402">
        <f>IF(AND(265&gt;=$NR$18,265&lt;=$NS$18),IF($NP$18="Single_Point",IF(265=$NR$18,$NN$18,0),IF($NP$18="Bell_Curve",$NN$18*(265-$NR$18+1)*($NS$18-265+1)/$NU$18,$NN$18/$NT$18)),0)</f>
        <v/>
      </c>
      <c r="JJ18" s="402">
        <f>IF(AND(266&gt;=$NR$18,266&lt;=$NS$18),IF($NP$18="Single_Point",IF(266=$NR$18,$NN$18,0),IF($NP$18="Bell_Curve",$NN$18*(266-$NR$18+1)*($NS$18-266+1)/$NU$18,$NN$18/$NT$18)),0)</f>
        <v/>
      </c>
      <c r="JK18" s="402">
        <f>IF(AND(267&gt;=$NR$18,267&lt;=$NS$18),IF($NP$18="Single_Point",IF(267=$NR$18,$NN$18,0),IF($NP$18="Bell_Curve",$NN$18*(267-$NR$18+1)*($NS$18-267+1)/$NU$18,$NN$18/$NT$18)),0)</f>
        <v/>
      </c>
      <c r="JL18" s="402">
        <f>IF(AND(268&gt;=$NR$18,268&lt;=$NS$18),IF($NP$18="Single_Point",IF(268=$NR$18,$NN$18,0),IF($NP$18="Bell_Curve",$NN$18*(268-$NR$18+1)*($NS$18-268+1)/$NU$18,$NN$18/$NT$18)),0)</f>
        <v/>
      </c>
      <c r="JM18" s="402">
        <f>IF(AND(269&gt;=$NR$18,269&lt;=$NS$18),IF($NP$18="Single_Point",IF(269=$NR$18,$NN$18,0),IF($NP$18="Bell_Curve",$NN$18*(269-$NR$18+1)*($NS$18-269+1)/$NU$18,$NN$18/$NT$18)),0)</f>
        <v/>
      </c>
      <c r="JN18" s="402">
        <f>IF(AND(270&gt;=$NR$18,270&lt;=$NS$18),IF($NP$18="Single_Point",IF(270=$NR$18,$NN$18,0),IF($NP$18="Bell_Curve",$NN$18*(270-$NR$18+1)*($NS$18-270+1)/$NU$18,$NN$18/$NT$18)),0)</f>
        <v/>
      </c>
      <c r="JO18" s="402">
        <f>IF(AND(271&gt;=$NR$18,271&lt;=$NS$18),IF($NP$18="Single_Point",IF(271=$NR$18,$NN$18,0),IF($NP$18="Bell_Curve",$NN$18*(271-$NR$18+1)*($NS$18-271+1)/$NU$18,$NN$18/$NT$18)),0)</f>
        <v/>
      </c>
      <c r="JP18" s="402">
        <f>IF(AND(272&gt;=$NR$18,272&lt;=$NS$18),IF($NP$18="Single_Point",IF(272=$NR$18,$NN$18,0),IF($NP$18="Bell_Curve",$NN$18*(272-$NR$18+1)*($NS$18-272+1)/$NU$18,$NN$18/$NT$18)),0)</f>
        <v/>
      </c>
      <c r="JQ18" s="402">
        <f>IF(AND(273&gt;=$NR$18,273&lt;=$NS$18),IF($NP$18="Single_Point",IF(273=$NR$18,$NN$18,0),IF($NP$18="Bell_Curve",$NN$18*(273-$NR$18+1)*($NS$18-273+1)/$NU$18,$NN$18/$NT$18)),0)</f>
        <v/>
      </c>
      <c r="JR18" s="402">
        <f>IF(AND(274&gt;=$NR$18,274&lt;=$NS$18),IF($NP$18="Single_Point",IF(274=$NR$18,$NN$18,0),IF($NP$18="Bell_Curve",$NN$18*(274-$NR$18+1)*($NS$18-274+1)/$NU$18,$NN$18/$NT$18)),0)</f>
        <v/>
      </c>
      <c r="JS18" s="402">
        <f>IF(AND(275&gt;=$NR$18,275&lt;=$NS$18),IF($NP$18="Single_Point",IF(275=$NR$18,$NN$18,0),IF($NP$18="Bell_Curve",$NN$18*(275-$NR$18+1)*($NS$18-275+1)/$NU$18,$NN$18/$NT$18)),0)</f>
        <v/>
      </c>
      <c r="JT18" s="402">
        <f>IF(AND(276&gt;=$NR$18,276&lt;=$NS$18),IF($NP$18="Single_Point",IF(276=$NR$18,$NN$18,0),IF($NP$18="Bell_Curve",$NN$18*(276-$NR$18+1)*($NS$18-276+1)/$NU$18,$NN$18/$NT$18)),0)</f>
        <v/>
      </c>
      <c r="JU18" s="402">
        <f>IF(AND(277&gt;=$NR$18,277&lt;=$NS$18),IF($NP$18="Single_Point",IF(277=$NR$18,$NN$18,0),IF($NP$18="Bell_Curve",$NN$18*(277-$NR$18+1)*($NS$18-277+1)/$NU$18,$NN$18/$NT$18)),0)</f>
        <v/>
      </c>
      <c r="JV18" s="402">
        <f>IF(AND(278&gt;=$NR$18,278&lt;=$NS$18),IF($NP$18="Single_Point",IF(278=$NR$18,$NN$18,0),IF($NP$18="Bell_Curve",$NN$18*(278-$NR$18+1)*($NS$18-278+1)/$NU$18,$NN$18/$NT$18)),0)</f>
        <v/>
      </c>
      <c r="JW18" s="402">
        <f>IF(AND(279&gt;=$NR$18,279&lt;=$NS$18),IF($NP$18="Single_Point",IF(279=$NR$18,$NN$18,0),IF($NP$18="Bell_Curve",$NN$18*(279-$NR$18+1)*($NS$18-279+1)/$NU$18,$NN$18/$NT$18)),0)</f>
        <v/>
      </c>
      <c r="JX18" s="402">
        <f>IF(AND(280&gt;=$NR$18,280&lt;=$NS$18),IF($NP$18="Single_Point",IF(280=$NR$18,$NN$18,0),IF($NP$18="Bell_Curve",$NN$18*(280-$NR$18+1)*($NS$18-280+1)/$NU$18,$NN$18/$NT$18)),0)</f>
        <v/>
      </c>
      <c r="JY18" s="402">
        <f>IF(AND(281&gt;=$NR$18,281&lt;=$NS$18),IF($NP$18="Single_Point",IF(281=$NR$18,$NN$18,0),IF($NP$18="Bell_Curve",$NN$18*(281-$NR$18+1)*($NS$18-281+1)/$NU$18,$NN$18/$NT$18)),0)</f>
        <v/>
      </c>
      <c r="JZ18" s="402">
        <f>IF(AND(282&gt;=$NR$18,282&lt;=$NS$18),IF($NP$18="Single_Point",IF(282=$NR$18,$NN$18,0),IF($NP$18="Bell_Curve",$NN$18*(282-$NR$18+1)*($NS$18-282+1)/$NU$18,$NN$18/$NT$18)),0)</f>
        <v/>
      </c>
      <c r="KA18" s="402">
        <f>IF(AND(283&gt;=$NR$18,283&lt;=$NS$18),IF($NP$18="Single_Point",IF(283=$NR$18,$NN$18,0),IF($NP$18="Bell_Curve",$NN$18*(283-$NR$18+1)*($NS$18-283+1)/$NU$18,$NN$18/$NT$18)),0)</f>
        <v/>
      </c>
      <c r="KB18" s="402">
        <f>IF(AND(284&gt;=$NR$18,284&lt;=$NS$18),IF($NP$18="Single_Point",IF(284=$NR$18,$NN$18,0),IF($NP$18="Bell_Curve",$NN$18*(284-$NR$18+1)*($NS$18-284+1)/$NU$18,$NN$18/$NT$18)),0)</f>
        <v/>
      </c>
      <c r="KC18" s="402">
        <f>IF(AND(285&gt;=$NR$18,285&lt;=$NS$18),IF($NP$18="Single_Point",IF(285=$NR$18,$NN$18,0),IF($NP$18="Bell_Curve",$NN$18*(285-$NR$18+1)*($NS$18-285+1)/$NU$18,$NN$18/$NT$18)),0)</f>
        <v/>
      </c>
      <c r="KD18" s="402">
        <f>IF(AND(286&gt;=$NR$18,286&lt;=$NS$18),IF($NP$18="Single_Point",IF(286=$NR$18,$NN$18,0),IF($NP$18="Bell_Curve",$NN$18*(286-$NR$18+1)*($NS$18-286+1)/$NU$18,$NN$18/$NT$18)),0)</f>
        <v/>
      </c>
      <c r="KE18" s="402">
        <f>IF(AND(287&gt;=$NR$18,287&lt;=$NS$18),IF($NP$18="Single_Point",IF(287=$NR$18,$NN$18,0),IF($NP$18="Bell_Curve",$NN$18*(287-$NR$18+1)*($NS$18-287+1)/$NU$18,$NN$18/$NT$18)),0)</f>
        <v/>
      </c>
      <c r="KF18" s="402">
        <f>IF(AND(288&gt;=$NR$18,288&lt;=$NS$18),IF($NP$18="Single_Point",IF(288=$NR$18,$NN$18,0),IF($NP$18="Bell_Curve",$NN$18*(288-$NR$18+1)*($NS$18-288+1)/$NU$18,$NN$18/$NT$18)),0)</f>
        <v/>
      </c>
      <c r="KG18" s="402">
        <f>IF(AND(289&gt;=$NR$18,289&lt;=$NS$18),IF($NP$18="Single_Point",IF(289=$NR$18,$NN$18,0),IF($NP$18="Bell_Curve",$NN$18*(289-$NR$18+1)*($NS$18-289+1)/$NU$18,$NN$18/$NT$18)),0)</f>
        <v/>
      </c>
      <c r="KH18" s="402">
        <f>IF(AND(290&gt;=$NR$18,290&lt;=$NS$18),IF($NP$18="Single_Point",IF(290=$NR$18,$NN$18,0),IF($NP$18="Bell_Curve",$NN$18*(290-$NR$18+1)*($NS$18-290+1)/$NU$18,$NN$18/$NT$18)),0)</f>
        <v/>
      </c>
      <c r="KI18" s="402">
        <f>IF(AND(291&gt;=$NR$18,291&lt;=$NS$18),IF($NP$18="Single_Point",IF(291=$NR$18,$NN$18,0),IF($NP$18="Bell_Curve",$NN$18*(291-$NR$18+1)*($NS$18-291+1)/$NU$18,$NN$18/$NT$18)),0)</f>
        <v/>
      </c>
      <c r="KJ18" s="402">
        <f>IF(AND(292&gt;=$NR$18,292&lt;=$NS$18),IF($NP$18="Single_Point",IF(292=$NR$18,$NN$18,0),IF($NP$18="Bell_Curve",$NN$18*(292-$NR$18+1)*($NS$18-292+1)/$NU$18,$NN$18/$NT$18)),0)</f>
        <v/>
      </c>
      <c r="KK18" s="402">
        <f>IF(AND(293&gt;=$NR$18,293&lt;=$NS$18),IF($NP$18="Single_Point",IF(293=$NR$18,$NN$18,0),IF($NP$18="Bell_Curve",$NN$18*(293-$NR$18+1)*($NS$18-293+1)/$NU$18,$NN$18/$NT$18)),0)</f>
        <v/>
      </c>
      <c r="KL18" s="402">
        <f>IF(AND(294&gt;=$NR$18,294&lt;=$NS$18),IF($NP$18="Single_Point",IF(294=$NR$18,$NN$18,0),IF($NP$18="Bell_Curve",$NN$18*(294-$NR$18+1)*($NS$18-294+1)/$NU$18,$NN$18/$NT$18)),0)</f>
        <v/>
      </c>
      <c r="KM18" s="402">
        <f>IF(AND(295&gt;=$NR$18,295&lt;=$NS$18),IF($NP$18="Single_Point",IF(295=$NR$18,$NN$18,0),IF($NP$18="Bell_Curve",$NN$18*(295-$NR$18+1)*($NS$18-295+1)/$NU$18,$NN$18/$NT$18)),0)</f>
        <v/>
      </c>
      <c r="KN18" s="402">
        <f>IF(AND(296&gt;=$NR$18,296&lt;=$NS$18),IF($NP$18="Single_Point",IF(296=$NR$18,$NN$18,0),IF($NP$18="Bell_Curve",$NN$18*(296-$NR$18+1)*($NS$18-296+1)/$NU$18,$NN$18/$NT$18)),0)</f>
        <v/>
      </c>
      <c r="KO18" s="402">
        <f>IF(AND(297&gt;=$NR$18,297&lt;=$NS$18),IF($NP$18="Single_Point",IF(297=$NR$18,$NN$18,0),IF($NP$18="Bell_Curve",$NN$18*(297-$NR$18+1)*($NS$18-297+1)/$NU$18,$NN$18/$NT$18)),0)</f>
        <v/>
      </c>
      <c r="KP18" s="402">
        <f>IF(AND(298&gt;=$NR$18,298&lt;=$NS$18),IF($NP$18="Single_Point",IF(298=$NR$18,$NN$18,0),IF($NP$18="Bell_Curve",$NN$18*(298-$NR$18+1)*($NS$18-298+1)/$NU$18,$NN$18/$NT$18)),0)</f>
        <v/>
      </c>
      <c r="KQ18" s="402">
        <f>IF(AND(299&gt;=$NR$18,299&lt;=$NS$18),IF($NP$18="Single_Point",IF(299=$NR$18,$NN$18,0),IF($NP$18="Bell_Curve",$NN$18*(299-$NR$18+1)*($NS$18-299+1)/$NU$18,$NN$18/$NT$18)),0)</f>
        <v/>
      </c>
      <c r="KR18" s="402">
        <f>IF(AND(300&gt;=$NR$18,300&lt;=$NS$18),IF($NP$18="Single_Point",IF(300=$NR$18,$NN$18,0),IF($NP$18="Bell_Curve",$NN$18*(300-$NR$18+1)*($NS$18-300+1)/$NU$18,$NN$18/$NT$18)),0)</f>
        <v/>
      </c>
      <c r="KS18" s="402">
        <f>IF(AND(301&gt;=$NR$18,301&lt;=$NS$18),IF($NP$18="Single_Point",IF(301=$NR$18,$NN$18,0),IF($NP$18="Bell_Curve",$NN$18*(301-$NR$18+1)*($NS$18-301+1)/$NU$18,$NN$18/$NT$18)),0)</f>
        <v/>
      </c>
      <c r="KT18" s="402">
        <f>IF(AND(302&gt;=$NR$18,302&lt;=$NS$18),IF($NP$18="Single_Point",IF(302=$NR$18,$NN$18,0),IF($NP$18="Bell_Curve",$NN$18*(302-$NR$18+1)*($NS$18-302+1)/$NU$18,$NN$18/$NT$18)),0)</f>
        <v/>
      </c>
      <c r="KU18" s="402">
        <f>IF(AND(303&gt;=$NR$18,303&lt;=$NS$18),IF($NP$18="Single_Point",IF(303=$NR$18,$NN$18,0),IF($NP$18="Bell_Curve",$NN$18*(303-$NR$18+1)*($NS$18-303+1)/$NU$18,$NN$18/$NT$18)),0)</f>
        <v/>
      </c>
      <c r="KV18" s="402">
        <f>IF(AND(304&gt;=$NR$18,304&lt;=$NS$18),IF($NP$18="Single_Point",IF(304=$NR$18,$NN$18,0),IF($NP$18="Bell_Curve",$NN$18*(304-$NR$18+1)*($NS$18-304+1)/$NU$18,$NN$18/$NT$18)),0)</f>
        <v/>
      </c>
      <c r="KW18" s="402">
        <f>IF(AND(305&gt;=$NR$18,305&lt;=$NS$18),IF($NP$18="Single_Point",IF(305=$NR$18,$NN$18,0),IF($NP$18="Bell_Curve",$NN$18*(305-$NR$18+1)*($NS$18-305+1)/$NU$18,$NN$18/$NT$18)),0)</f>
        <v/>
      </c>
      <c r="KX18" s="402">
        <f>IF(AND(306&gt;=$NR$18,306&lt;=$NS$18),IF($NP$18="Single_Point",IF(306=$NR$18,$NN$18,0),IF($NP$18="Bell_Curve",$NN$18*(306-$NR$18+1)*($NS$18-306+1)/$NU$18,$NN$18/$NT$18)),0)</f>
        <v/>
      </c>
      <c r="KY18" s="402">
        <f>IF(AND(307&gt;=$NR$18,307&lt;=$NS$18),IF($NP$18="Single_Point",IF(307=$NR$18,$NN$18,0),IF($NP$18="Bell_Curve",$NN$18*(307-$NR$18+1)*($NS$18-307+1)/$NU$18,$NN$18/$NT$18)),0)</f>
        <v/>
      </c>
      <c r="KZ18" s="402">
        <f>IF(AND(308&gt;=$NR$18,308&lt;=$NS$18),IF($NP$18="Single_Point",IF(308=$NR$18,$NN$18,0),IF($NP$18="Bell_Curve",$NN$18*(308-$NR$18+1)*($NS$18-308+1)/$NU$18,$NN$18/$NT$18)),0)</f>
        <v/>
      </c>
      <c r="LA18" s="402">
        <f>IF(AND(309&gt;=$NR$18,309&lt;=$NS$18),IF($NP$18="Single_Point",IF(309=$NR$18,$NN$18,0),IF($NP$18="Bell_Curve",$NN$18*(309-$NR$18+1)*($NS$18-309+1)/$NU$18,$NN$18/$NT$18)),0)</f>
        <v/>
      </c>
      <c r="LB18" s="402">
        <f>IF(AND(310&gt;=$NR$18,310&lt;=$NS$18),IF($NP$18="Single_Point",IF(310=$NR$18,$NN$18,0),IF($NP$18="Bell_Curve",$NN$18*(310-$NR$18+1)*($NS$18-310+1)/$NU$18,$NN$18/$NT$18)),0)</f>
        <v/>
      </c>
      <c r="LC18" s="402">
        <f>IF(AND(311&gt;=$NR$18,311&lt;=$NS$18),IF($NP$18="Single_Point",IF(311=$NR$18,$NN$18,0),IF($NP$18="Bell_Curve",$NN$18*(311-$NR$18+1)*($NS$18-311+1)/$NU$18,$NN$18/$NT$18)),0)</f>
        <v/>
      </c>
      <c r="LD18" s="402">
        <f>IF(AND(312&gt;=$NR$18,312&lt;=$NS$18),IF($NP$18="Single_Point",IF(312=$NR$18,$NN$18,0),IF($NP$18="Bell_Curve",$NN$18*(312-$NR$18+1)*($NS$18-312+1)/$NU$18,$NN$18/$NT$18)),0)</f>
        <v/>
      </c>
      <c r="LE18" s="402">
        <f>IF(AND(313&gt;=$NR$18,313&lt;=$NS$18),IF($NP$18="Single_Point",IF(313=$NR$18,$NN$18,0),IF($NP$18="Bell_Curve",$NN$18*(313-$NR$18+1)*($NS$18-313+1)/$NU$18,$NN$18/$NT$18)),0)</f>
        <v/>
      </c>
      <c r="LF18" s="402">
        <f>IF(AND(314&gt;=$NR$18,314&lt;=$NS$18),IF($NP$18="Single_Point",IF(314=$NR$18,$NN$18,0),IF($NP$18="Bell_Curve",$NN$18*(314-$NR$18+1)*($NS$18-314+1)/$NU$18,$NN$18/$NT$18)),0)</f>
        <v/>
      </c>
      <c r="LG18" s="402">
        <f>IF(AND(315&gt;=$NR$18,315&lt;=$NS$18),IF($NP$18="Single_Point",IF(315=$NR$18,$NN$18,0),IF($NP$18="Bell_Curve",$NN$18*(315-$NR$18+1)*($NS$18-315+1)/$NU$18,$NN$18/$NT$18)),0)</f>
        <v/>
      </c>
      <c r="LH18" s="402">
        <f>IF(AND(316&gt;=$NR$18,316&lt;=$NS$18),IF($NP$18="Single_Point",IF(316=$NR$18,$NN$18,0),IF($NP$18="Bell_Curve",$NN$18*(316-$NR$18+1)*($NS$18-316+1)/$NU$18,$NN$18/$NT$18)),0)</f>
        <v/>
      </c>
      <c r="LI18" s="402">
        <f>IF(AND(317&gt;=$NR$18,317&lt;=$NS$18),IF($NP$18="Single_Point",IF(317=$NR$18,$NN$18,0),IF($NP$18="Bell_Curve",$NN$18*(317-$NR$18+1)*($NS$18-317+1)/$NU$18,$NN$18/$NT$18)),0)</f>
        <v/>
      </c>
      <c r="LJ18" s="402">
        <f>IF(AND(318&gt;=$NR$18,318&lt;=$NS$18),IF($NP$18="Single_Point",IF(318=$NR$18,$NN$18,0),IF($NP$18="Bell_Curve",$NN$18*(318-$NR$18+1)*($NS$18-318+1)/$NU$18,$NN$18/$NT$18)),0)</f>
        <v/>
      </c>
      <c r="LK18" s="402">
        <f>IF(AND(319&gt;=$NR$18,319&lt;=$NS$18),IF($NP$18="Single_Point",IF(319=$NR$18,$NN$18,0),IF($NP$18="Bell_Curve",$NN$18*(319-$NR$18+1)*($NS$18-319+1)/$NU$18,$NN$18/$NT$18)),0)</f>
        <v/>
      </c>
      <c r="LL18" s="402">
        <f>IF(AND(320&gt;=$NR$18,320&lt;=$NS$18),IF($NP$18="Single_Point",IF(320=$NR$18,$NN$18,0),IF($NP$18="Bell_Curve",$NN$18*(320-$NR$18+1)*($NS$18-320+1)/$NU$18,$NN$18/$NT$18)),0)</f>
        <v/>
      </c>
      <c r="LM18" s="402">
        <f>IF(AND(321&gt;=$NR$18,321&lt;=$NS$18),IF($NP$18="Single_Point",IF(321=$NR$18,$NN$18,0),IF($NP$18="Bell_Curve",$NN$18*(321-$NR$18+1)*($NS$18-321+1)/$NU$18,$NN$18/$NT$18)),0)</f>
        <v/>
      </c>
      <c r="LN18" s="402">
        <f>IF(AND(322&gt;=$NR$18,322&lt;=$NS$18),IF($NP$18="Single_Point",IF(322=$NR$18,$NN$18,0),IF($NP$18="Bell_Curve",$NN$18*(322-$NR$18+1)*($NS$18-322+1)/$NU$18,$NN$18/$NT$18)),0)</f>
        <v/>
      </c>
      <c r="LO18" s="402">
        <f>IF(AND(323&gt;=$NR$18,323&lt;=$NS$18),IF($NP$18="Single_Point",IF(323=$NR$18,$NN$18,0),IF($NP$18="Bell_Curve",$NN$18*(323-$NR$18+1)*($NS$18-323+1)/$NU$18,$NN$18/$NT$18)),0)</f>
        <v/>
      </c>
      <c r="LP18" s="402">
        <f>IF(AND(324&gt;=$NR$18,324&lt;=$NS$18),IF($NP$18="Single_Point",IF(324=$NR$18,$NN$18,0),IF($NP$18="Bell_Curve",$NN$18*(324-$NR$18+1)*($NS$18-324+1)/$NU$18,$NN$18/$NT$18)),0)</f>
        <v/>
      </c>
      <c r="LQ18" s="402">
        <f>IF(AND(325&gt;=$NR$18,325&lt;=$NS$18),IF($NP$18="Single_Point",IF(325=$NR$18,$NN$18,0),IF($NP$18="Bell_Curve",$NN$18*(325-$NR$18+1)*($NS$18-325+1)/$NU$18,$NN$18/$NT$18)),0)</f>
        <v/>
      </c>
      <c r="LR18" s="402">
        <f>IF(AND(326&gt;=$NR$18,326&lt;=$NS$18),IF($NP$18="Single_Point",IF(326=$NR$18,$NN$18,0),IF($NP$18="Bell_Curve",$NN$18*(326-$NR$18+1)*($NS$18-326+1)/$NU$18,$NN$18/$NT$18)),0)</f>
        <v/>
      </c>
      <c r="LS18" s="402">
        <f>IF(AND(327&gt;=$NR$18,327&lt;=$NS$18),IF($NP$18="Single_Point",IF(327=$NR$18,$NN$18,0),IF($NP$18="Bell_Curve",$NN$18*(327-$NR$18+1)*($NS$18-327+1)/$NU$18,$NN$18/$NT$18)),0)</f>
        <v/>
      </c>
      <c r="LT18" s="402">
        <f>IF(AND(328&gt;=$NR$18,328&lt;=$NS$18),IF($NP$18="Single_Point",IF(328=$NR$18,$NN$18,0),IF($NP$18="Bell_Curve",$NN$18*(328-$NR$18+1)*($NS$18-328+1)/$NU$18,$NN$18/$NT$18)),0)</f>
        <v/>
      </c>
      <c r="LU18" s="402">
        <f>IF(AND(329&gt;=$NR$18,329&lt;=$NS$18),IF($NP$18="Single_Point",IF(329=$NR$18,$NN$18,0),IF($NP$18="Bell_Curve",$NN$18*(329-$NR$18+1)*($NS$18-329+1)/$NU$18,$NN$18/$NT$18)),0)</f>
        <v/>
      </c>
      <c r="LV18" s="402">
        <f>IF(AND(330&gt;=$NR$18,330&lt;=$NS$18),IF($NP$18="Single_Point",IF(330=$NR$18,$NN$18,0),IF($NP$18="Bell_Curve",$NN$18*(330-$NR$18+1)*($NS$18-330+1)/$NU$18,$NN$18/$NT$18)),0)</f>
        <v/>
      </c>
      <c r="LW18" s="402">
        <f>IF(AND(331&gt;=$NR$18,331&lt;=$NS$18),IF($NP$18="Single_Point",IF(331=$NR$18,$NN$18,0),IF($NP$18="Bell_Curve",$NN$18*(331-$NR$18+1)*($NS$18-331+1)/$NU$18,$NN$18/$NT$18)),0)</f>
        <v/>
      </c>
      <c r="LX18" s="402">
        <f>IF(AND(332&gt;=$NR$18,332&lt;=$NS$18),IF($NP$18="Single_Point",IF(332=$NR$18,$NN$18,0),IF($NP$18="Bell_Curve",$NN$18*(332-$NR$18+1)*($NS$18-332+1)/$NU$18,$NN$18/$NT$18)),0)</f>
        <v/>
      </c>
      <c r="LY18" s="402">
        <f>IF(AND(333&gt;=$NR$18,333&lt;=$NS$18),IF($NP$18="Single_Point",IF(333=$NR$18,$NN$18,0),IF($NP$18="Bell_Curve",$NN$18*(333-$NR$18+1)*($NS$18-333+1)/$NU$18,$NN$18/$NT$18)),0)</f>
        <v/>
      </c>
      <c r="LZ18" s="402">
        <f>IF(AND(334&gt;=$NR$18,334&lt;=$NS$18),IF($NP$18="Single_Point",IF(334=$NR$18,$NN$18,0),IF($NP$18="Bell_Curve",$NN$18*(334-$NR$18+1)*($NS$18-334+1)/$NU$18,$NN$18/$NT$18)),0)</f>
        <v/>
      </c>
      <c r="MA18" s="402">
        <f>IF(AND(335&gt;=$NR$18,335&lt;=$NS$18),IF($NP$18="Single_Point",IF(335=$NR$18,$NN$18,0),IF($NP$18="Bell_Curve",$NN$18*(335-$NR$18+1)*($NS$18-335+1)/$NU$18,$NN$18/$NT$18)),0)</f>
        <v/>
      </c>
      <c r="MB18" s="402">
        <f>IF(AND(336&gt;=$NR$18,336&lt;=$NS$18),IF($NP$18="Single_Point",IF(336=$NR$18,$NN$18,0),IF($NP$18="Bell_Curve",$NN$18*(336-$NR$18+1)*($NS$18-336+1)/$NU$18,$NN$18/$NT$18)),0)</f>
        <v/>
      </c>
      <c r="MC18" s="402">
        <f>IF(AND(337&gt;=$NR$18,337&lt;=$NS$18),IF($NP$18="Single_Point",IF(337=$NR$18,$NN$18,0),IF($NP$18="Bell_Curve",$NN$18*(337-$NR$18+1)*($NS$18-337+1)/$NU$18,$NN$18/$NT$18)),0)</f>
        <v/>
      </c>
      <c r="MD18" s="402">
        <f>IF(AND(338&gt;=$NR$18,338&lt;=$NS$18),IF($NP$18="Single_Point",IF(338=$NR$18,$NN$18,0),IF($NP$18="Bell_Curve",$NN$18*(338-$NR$18+1)*($NS$18-338+1)/$NU$18,$NN$18/$NT$18)),0)</f>
        <v/>
      </c>
      <c r="ME18" s="402">
        <f>IF(AND(339&gt;=$NR$18,339&lt;=$NS$18),IF($NP$18="Single_Point",IF(339=$NR$18,$NN$18,0),IF($NP$18="Bell_Curve",$NN$18*(339-$NR$18+1)*($NS$18-339+1)/$NU$18,$NN$18/$NT$18)),0)</f>
        <v/>
      </c>
      <c r="MF18" s="402">
        <f>IF(AND(340&gt;=$NR$18,340&lt;=$NS$18),IF($NP$18="Single_Point",IF(340=$NR$18,$NN$18,0),IF($NP$18="Bell_Curve",$NN$18*(340-$NR$18+1)*($NS$18-340+1)/$NU$18,$NN$18/$NT$18)),0)</f>
        <v/>
      </c>
      <c r="MG18" s="402">
        <f>IF(AND(341&gt;=$NR$18,341&lt;=$NS$18),IF($NP$18="Single_Point",IF(341=$NR$18,$NN$18,0),IF($NP$18="Bell_Curve",$NN$18*(341-$NR$18+1)*($NS$18-341+1)/$NU$18,$NN$18/$NT$18)),0)</f>
        <v/>
      </c>
      <c r="MH18" s="402">
        <f>IF(AND(342&gt;=$NR$18,342&lt;=$NS$18),IF($NP$18="Single_Point",IF(342=$NR$18,$NN$18,0),IF($NP$18="Bell_Curve",$NN$18*(342-$NR$18+1)*($NS$18-342+1)/$NU$18,$NN$18/$NT$18)),0)</f>
        <v/>
      </c>
      <c r="MI18" s="402">
        <f>IF(AND(343&gt;=$NR$18,343&lt;=$NS$18),IF($NP$18="Single_Point",IF(343=$NR$18,$NN$18,0),IF($NP$18="Bell_Curve",$NN$18*(343-$NR$18+1)*($NS$18-343+1)/$NU$18,$NN$18/$NT$18)),0)</f>
        <v/>
      </c>
      <c r="MJ18" s="402">
        <f>IF(AND(344&gt;=$NR$18,344&lt;=$NS$18),IF($NP$18="Single_Point",IF(344=$NR$18,$NN$18,0),IF($NP$18="Bell_Curve",$NN$18*(344-$NR$18+1)*($NS$18-344+1)/$NU$18,$NN$18/$NT$18)),0)</f>
        <v/>
      </c>
      <c r="MK18" s="402">
        <f>IF(AND(345&gt;=$NR$18,345&lt;=$NS$18),IF($NP$18="Single_Point",IF(345=$NR$18,$NN$18,0),IF($NP$18="Bell_Curve",$NN$18*(345-$NR$18+1)*($NS$18-345+1)/$NU$18,$NN$18/$NT$18)),0)</f>
        <v/>
      </c>
      <c r="ML18" s="402">
        <f>IF(AND(346&gt;=$NR$18,346&lt;=$NS$18),IF($NP$18="Single_Point",IF(346=$NR$18,$NN$18,0),IF($NP$18="Bell_Curve",$NN$18*(346-$NR$18+1)*($NS$18-346+1)/$NU$18,$NN$18/$NT$18)),0)</f>
        <v/>
      </c>
      <c r="MM18" s="402">
        <f>IF(AND(347&gt;=$NR$18,347&lt;=$NS$18),IF($NP$18="Single_Point",IF(347=$NR$18,$NN$18,0),IF($NP$18="Bell_Curve",$NN$18*(347-$NR$18+1)*($NS$18-347+1)/$NU$18,$NN$18/$NT$18)),0)</f>
        <v/>
      </c>
      <c r="MN18" s="402">
        <f>IF(AND(348&gt;=$NR$18,348&lt;=$NS$18),IF($NP$18="Single_Point",IF(348=$NR$18,$NN$18,0),IF($NP$18="Bell_Curve",$NN$18*(348-$NR$18+1)*($NS$18-348+1)/$NU$18,$NN$18/$NT$18)),0)</f>
        <v/>
      </c>
      <c r="MO18" s="402">
        <f>IF(AND(349&gt;=$NR$18,349&lt;=$NS$18),IF($NP$18="Single_Point",IF(349=$NR$18,$NN$18,0),IF($NP$18="Bell_Curve",$NN$18*(349-$NR$18+1)*($NS$18-349+1)/$NU$18,$NN$18/$NT$18)),0)</f>
        <v/>
      </c>
      <c r="MP18" s="402">
        <f>IF(AND(350&gt;=$NR$18,350&lt;=$NS$18),IF($NP$18="Single_Point",IF(350=$NR$18,$NN$18,0),IF($NP$18="Bell_Curve",$NN$18*(350-$NR$18+1)*($NS$18-350+1)/$NU$18,$NN$18/$NT$18)),0)</f>
        <v/>
      </c>
      <c r="MQ18" s="402">
        <f>IF(AND(351&gt;=$NR$18,351&lt;=$NS$18),IF($NP$18="Single_Point",IF(351=$NR$18,$NN$18,0),IF($NP$18="Bell_Curve",$NN$18*(351-$NR$18+1)*($NS$18-351+1)/$NU$18,$NN$18/$NT$18)),0)</f>
        <v/>
      </c>
      <c r="MR18" s="402">
        <f>IF(AND(352&gt;=$NR$18,352&lt;=$NS$18),IF($NP$18="Single_Point",IF(352=$NR$18,$NN$18,0),IF($NP$18="Bell_Curve",$NN$18*(352-$NR$18+1)*($NS$18-352+1)/$NU$18,$NN$18/$NT$18)),0)</f>
        <v/>
      </c>
      <c r="MS18" s="402">
        <f>IF(AND(353&gt;=$NR$18,353&lt;=$NS$18),IF($NP$18="Single_Point",IF(353=$NR$18,$NN$18,0),IF($NP$18="Bell_Curve",$NN$18*(353-$NR$18+1)*($NS$18-353+1)/$NU$18,$NN$18/$NT$18)),0)</f>
        <v/>
      </c>
      <c r="MT18" s="402">
        <f>IF(AND(354&gt;=$NR$18,354&lt;=$NS$18),IF($NP$18="Single_Point",IF(354=$NR$18,$NN$18,0),IF($NP$18="Bell_Curve",$NN$18*(354-$NR$18+1)*($NS$18-354+1)/$NU$18,$NN$18/$NT$18)),0)</f>
        <v/>
      </c>
      <c r="MU18" s="402">
        <f>IF(AND(355&gt;=$NR$18,355&lt;=$NS$18),IF($NP$18="Single_Point",IF(355=$NR$18,$NN$18,0),IF($NP$18="Bell_Curve",$NN$18*(355-$NR$18+1)*($NS$18-355+1)/$NU$18,$NN$18/$NT$18)),0)</f>
        <v/>
      </c>
      <c r="MV18" s="402">
        <f>IF(AND(356&gt;=$NR$18,356&lt;=$NS$18),IF($NP$18="Single_Point",IF(356=$NR$18,$NN$18,0),IF($NP$18="Bell_Curve",$NN$18*(356-$NR$18+1)*($NS$18-356+1)/$NU$18,$NN$18/$NT$18)),0)</f>
        <v/>
      </c>
      <c r="MW18" s="402">
        <f>IF(AND(357&gt;=$NR$18,357&lt;=$NS$18),IF($NP$18="Single_Point",IF(357=$NR$18,$NN$18,0),IF($NP$18="Bell_Curve",$NN$18*(357-$NR$18+1)*($NS$18-357+1)/$NU$18,$NN$18/$NT$18)),0)</f>
        <v/>
      </c>
      <c r="MX18" s="402">
        <f>IF(AND(358&gt;=$NR$18,358&lt;=$NS$18),IF($NP$18="Single_Point",IF(358=$NR$18,$NN$18,0),IF($NP$18="Bell_Curve",$NN$18*(358-$NR$18+1)*($NS$18-358+1)/$NU$18,$NN$18/$NT$18)),0)</f>
        <v/>
      </c>
      <c r="MY18" s="402">
        <f>IF(AND(359&gt;=$NR$18,359&lt;=$NS$18),IF($NP$18="Single_Point",IF(359=$NR$18,$NN$18,0),IF($NP$18="Bell_Curve",$NN$18*(359-$NR$18+1)*($NS$18-359+1)/$NU$18,$NN$18/$NT$18)),0)</f>
        <v/>
      </c>
      <c r="MZ18" s="402">
        <f>IF(AND(360&gt;=$NR$18,360&lt;=$NS$18),IF($NP$18="Single_Point",IF(360=$NR$18,$NN$18,0),IF($NP$18="Bell_Curve",$NN$18*(360-$NR$18+1)*($NS$18-360+1)/$NU$18,$NN$18/$NT$18)),0)</f>
        <v/>
      </c>
      <c r="NA18" s="402">
        <f>IF(AND(361&gt;=$NR$18,361&lt;=$NS$18),IF($NP$18="Single_Point",IF(361=$NR$18,$NN$18,0),IF($NP$18="Bell_Curve",$NN$18*(361-$NR$18+1)*($NS$18-361+1)/$NU$18,$NN$18/$NT$18)),0)</f>
        <v/>
      </c>
      <c r="NB18" s="402">
        <f>IF(AND(362&gt;=$NR$18,362&lt;=$NS$18),IF($NP$18="Single_Point",IF(362=$NR$18,$NN$18,0),IF($NP$18="Bell_Curve",$NN$18*(362-$NR$18+1)*($NS$18-362+1)/$NU$18,$NN$18/$NT$18)),0)</f>
        <v/>
      </c>
      <c r="NC18" s="402">
        <f>IF(AND(363&gt;=$NR$18,363&lt;=$NS$18),IF($NP$18="Single_Point",IF(363=$NR$18,$NN$18,0),IF($NP$18="Bell_Curve",$NN$18*(363-$NR$18+1)*($NS$18-363+1)/$NU$18,$NN$18/$NT$18)),0)</f>
        <v/>
      </c>
      <c r="ND18" s="402">
        <f>IF(AND(364&gt;=$NR$18,364&lt;=$NS$18),IF($NP$18="Single_Point",IF(364=$NR$18,$NN$18,0),IF($NP$18="Bell_Curve",$NN$18*(364-$NR$18+1)*($NS$18-364+1)/$NU$18,$NN$18/$NT$18)),0)</f>
        <v/>
      </c>
      <c r="NE18" s="402">
        <f>IF(AND(365&gt;=$NR$18,365&lt;=$NS$18),IF($NP$18="Single_Point",IF(365=$NR$18,$NN$18,0),IF($NP$18="Bell_Curve",$NN$18*(365-$NR$18+1)*($NS$18-365+1)/$NU$18,$NN$18/$NT$18)),0)</f>
        <v/>
      </c>
      <c r="NF18" s="402">
        <f>IF(AND(366&gt;=$NR$18,366&lt;=$NS$18),IF($NP$18="Single_Point",IF(366=$NR$18,$NN$18,0),IF($NP$18="Bell_Curve",$NN$18*(366-$NR$18+1)*($NS$18-366+1)/$NU$18,$NN$18/$NT$18)),0)</f>
        <v/>
      </c>
      <c r="NG18" s="402">
        <f>IF(AND(367&gt;=$NR$18,367&lt;=$NS$18),IF($NP$18="Single_Point",IF(367=$NR$18,$NN$18,0),IF($NP$18="Bell_Curve",$NN$18*(367-$NR$18+1)*($NS$18-367+1)/$NU$18,$NN$18/$NT$18)),0)</f>
        <v/>
      </c>
      <c r="NH18" s="402">
        <f>IF(AND(368&gt;=$NR$18,368&lt;=$NS$18),IF($NP$18="Single_Point",IF(368=$NR$18,$NN$18,0),IF($NP$18="Bell_Curve",$NN$18*(368-$NR$18+1)*($NS$18-368+1)/$NU$18,$NN$18/$NT$18)),0)</f>
        <v/>
      </c>
      <c r="NI18" s="402">
        <f>IF(AND(369&gt;=$NR$18,369&lt;=$NS$18),IF($NP$18="Single_Point",IF(369=$NR$18,$NN$18,0),IF($NP$18="Bell_Curve",$NN$18*(369-$NR$18+1)*($NS$18-369+1)/$NU$18,$NN$18/$NT$18)),0)</f>
        <v/>
      </c>
      <c r="NJ18" s="402">
        <f>IF(AND(370&gt;=$NR$18,370&lt;=$NS$18),IF($NP$18="Single_Point",IF(370=$NR$18,$NN$18,0),IF($NP$18="Bell_Curve",$NN$18*(370-$NR$18+1)*($NS$18-370+1)/$NU$18,$NN$18/$NT$18)),0)</f>
        <v/>
      </c>
      <c r="NK18" s="402">
        <f>IF(AND(371&gt;=$NR$18,371&lt;=$NS$18),IF($NP$18="Single_Point",IF(371=$NR$18,$NN$18,0),IF($NP$18="Bell_Curve",$NN$18*(371-$NR$18+1)*($NS$18-371+1)/$NU$18,$NN$18/$NT$18)),0)</f>
        <v/>
      </c>
      <c r="NL18" s="426">
        <f>IF(AND(372&gt;=$NR$18,372&lt;=$NS$18),IF($NP$18="Single_Point",IF(372=$NR$18,$NN$18,0),IF($NP$18="Bell_Curve",$NN$18*(372-$NR$18+1)*($NS$18-372+1)/$NU$18,$NN$18/$NT$18)),0)</f>
        <v/>
      </c>
      <c r="NM18">
        <f>Budget!C17</f>
        <v/>
      </c>
      <c r="NN18" s="218">
        <f>Budget!J17</f>
        <v/>
      </c>
      <c r="NO18" s="144">
        <f>Budget!G17</f>
        <v/>
      </c>
      <c r="NP18" s="144">
        <f>Budget!H17</f>
        <v/>
      </c>
      <c r="NQ18" s="85">
        <f>Budget!I17</f>
        <v/>
      </c>
      <c r="NR18" s="248">
        <f>MAX(1,MIN(372,INDEX(MilestoneStart,MATCH(NO18,MilestoneNames,0))+NQ18))</f>
        <v/>
      </c>
      <c r="NS18" s="248">
        <f>MAX(NR18,MIN(372,INDEX(MilestoneEnd,MATCH(NO18,MilestoneNames,0))+NQ18))</f>
        <v/>
      </c>
      <c r="NT18" s="85">
        <f>NS18-NR18+1</f>
        <v/>
      </c>
      <c r="NU18" s="85">
        <f>NT18*(NT18+1)*(NT18+2)/6</f>
        <v/>
      </c>
    </row>
    <row r="19">
      <c r="B19" s="296">
        <f>Budget!B18</f>
        <v/>
      </c>
      <c r="D19" s="425">
        <f>SUM(E19:NL19)</f>
        <v/>
      </c>
      <c r="E19" s="402">
        <f>IF(AND(1&gt;=$NR$19,1&lt;=$NS$19),IF($NP$19="Single_Point",IF(1=$NR$19,$NN$19,0),IF($NP$19="Bell_Curve",$NN$19*(1-$NR$19+1)*($NS$19-1+1)/$NU$19,$NN$19/$NT$19)),0)</f>
        <v/>
      </c>
      <c r="F19" s="402">
        <f>IF(AND(2&gt;=$NR$19,2&lt;=$NS$19),IF($NP$19="Single_Point",IF(2=$NR$19,$NN$19,0),IF($NP$19="Bell_Curve",$NN$19*(2-$NR$19+1)*($NS$19-2+1)/$NU$19,$NN$19/$NT$19)),0)</f>
        <v/>
      </c>
      <c r="G19" s="402">
        <f>IF(AND(3&gt;=$NR$19,3&lt;=$NS$19),IF($NP$19="Single_Point",IF(3=$NR$19,$NN$19,0),IF($NP$19="Bell_Curve",$NN$19*(3-$NR$19+1)*($NS$19-3+1)/$NU$19,$NN$19/$NT$19)),0)</f>
        <v/>
      </c>
      <c r="H19" s="402">
        <f>IF(AND(4&gt;=$NR$19,4&lt;=$NS$19),IF($NP$19="Single_Point",IF(4=$NR$19,$NN$19,0),IF($NP$19="Bell_Curve",$NN$19*(4-$NR$19+1)*($NS$19-4+1)/$NU$19,$NN$19/$NT$19)),0)</f>
        <v/>
      </c>
      <c r="I19" s="402">
        <f>IF(AND(5&gt;=$NR$19,5&lt;=$NS$19),IF($NP$19="Single_Point",IF(5=$NR$19,$NN$19,0),IF($NP$19="Bell_Curve",$NN$19*(5-$NR$19+1)*($NS$19-5+1)/$NU$19,$NN$19/$NT$19)),0)</f>
        <v/>
      </c>
      <c r="J19" s="402">
        <f>IF(AND(6&gt;=$NR$19,6&lt;=$NS$19),IF($NP$19="Single_Point",IF(6=$NR$19,$NN$19,0),IF($NP$19="Bell_Curve",$NN$19*(6-$NR$19+1)*($NS$19-6+1)/$NU$19,$NN$19/$NT$19)),0)</f>
        <v/>
      </c>
      <c r="K19" s="402">
        <f>IF(AND(7&gt;=$NR$19,7&lt;=$NS$19),IF($NP$19="Single_Point",IF(7=$NR$19,$NN$19,0),IF($NP$19="Bell_Curve",$NN$19*(7-$NR$19+1)*($NS$19-7+1)/$NU$19,$NN$19/$NT$19)),0)</f>
        <v/>
      </c>
      <c r="L19" s="402">
        <f>IF(AND(8&gt;=$NR$19,8&lt;=$NS$19),IF($NP$19="Single_Point",IF(8=$NR$19,$NN$19,0),IF($NP$19="Bell_Curve",$NN$19*(8-$NR$19+1)*($NS$19-8+1)/$NU$19,$NN$19/$NT$19)),0)</f>
        <v/>
      </c>
      <c r="M19" s="402">
        <f>IF(AND(9&gt;=$NR$19,9&lt;=$NS$19),IF($NP$19="Single_Point",IF(9=$NR$19,$NN$19,0),IF($NP$19="Bell_Curve",$NN$19*(9-$NR$19+1)*($NS$19-9+1)/$NU$19,$NN$19/$NT$19)),0)</f>
        <v/>
      </c>
      <c r="N19" s="402">
        <f>IF(AND(10&gt;=$NR$19,10&lt;=$NS$19),IF($NP$19="Single_Point",IF(10=$NR$19,$NN$19,0),IF($NP$19="Bell_Curve",$NN$19*(10-$NR$19+1)*($NS$19-10+1)/$NU$19,$NN$19/$NT$19)),0)</f>
        <v/>
      </c>
      <c r="O19" s="402">
        <f>IF(AND(11&gt;=$NR$19,11&lt;=$NS$19),IF($NP$19="Single_Point",IF(11=$NR$19,$NN$19,0),IF($NP$19="Bell_Curve",$NN$19*(11-$NR$19+1)*($NS$19-11+1)/$NU$19,$NN$19/$NT$19)),0)</f>
        <v/>
      </c>
      <c r="P19" s="402">
        <f>IF(AND(12&gt;=$NR$19,12&lt;=$NS$19),IF($NP$19="Single_Point",IF(12=$NR$19,$NN$19,0),IF($NP$19="Bell_Curve",$NN$19*(12-$NR$19+1)*($NS$19-12+1)/$NU$19,$NN$19/$NT$19)),0)</f>
        <v/>
      </c>
      <c r="Q19" s="402">
        <f>IF(AND(13&gt;=$NR$19,13&lt;=$NS$19),IF($NP$19="Single_Point",IF(13=$NR$19,$NN$19,0),IF($NP$19="Bell_Curve",$NN$19*(13-$NR$19+1)*($NS$19-13+1)/$NU$19,$NN$19/$NT$19)),0)</f>
        <v/>
      </c>
      <c r="R19" s="402">
        <f>IF(AND(14&gt;=$NR$19,14&lt;=$NS$19),IF($NP$19="Single_Point",IF(14=$NR$19,$NN$19,0),IF($NP$19="Bell_Curve",$NN$19*(14-$NR$19+1)*($NS$19-14+1)/$NU$19,$NN$19/$NT$19)),0)</f>
        <v/>
      </c>
      <c r="S19" s="402">
        <f>IF(AND(15&gt;=$NR$19,15&lt;=$NS$19),IF($NP$19="Single_Point",IF(15=$NR$19,$NN$19,0),IF($NP$19="Bell_Curve",$NN$19*(15-$NR$19+1)*($NS$19-15+1)/$NU$19,$NN$19/$NT$19)),0)</f>
        <v/>
      </c>
      <c r="T19" s="402">
        <f>IF(AND(16&gt;=$NR$19,16&lt;=$NS$19),IF($NP$19="Single_Point",IF(16=$NR$19,$NN$19,0),IF($NP$19="Bell_Curve",$NN$19*(16-$NR$19+1)*($NS$19-16+1)/$NU$19,$NN$19/$NT$19)),0)</f>
        <v/>
      </c>
      <c r="U19" s="402">
        <f>IF(AND(17&gt;=$NR$19,17&lt;=$NS$19),IF($NP$19="Single_Point",IF(17=$NR$19,$NN$19,0),IF($NP$19="Bell_Curve",$NN$19*(17-$NR$19+1)*($NS$19-17+1)/$NU$19,$NN$19/$NT$19)),0)</f>
        <v/>
      </c>
      <c r="V19" s="402">
        <f>IF(AND(18&gt;=$NR$19,18&lt;=$NS$19),IF($NP$19="Single_Point",IF(18=$NR$19,$NN$19,0),IF($NP$19="Bell_Curve",$NN$19*(18-$NR$19+1)*($NS$19-18+1)/$NU$19,$NN$19/$NT$19)),0)</f>
        <v/>
      </c>
      <c r="W19" s="402">
        <f>IF(AND(19&gt;=$NR$19,19&lt;=$NS$19),IF($NP$19="Single_Point",IF(19=$NR$19,$NN$19,0),IF($NP$19="Bell_Curve",$NN$19*(19-$NR$19+1)*($NS$19-19+1)/$NU$19,$NN$19/$NT$19)),0)</f>
        <v/>
      </c>
      <c r="X19" s="402">
        <f>IF(AND(20&gt;=$NR$19,20&lt;=$NS$19),IF($NP$19="Single_Point",IF(20=$NR$19,$NN$19,0),IF($NP$19="Bell_Curve",$NN$19*(20-$NR$19+1)*($NS$19-20+1)/$NU$19,$NN$19/$NT$19)),0)</f>
        <v/>
      </c>
      <c r="Y19" s="402">
        <f>IF(AND(21&gt;=$NR$19,21&lt;=$NS$19),IF($NP$19="Single_Point",IF(21=$NR$19,$NN$19,0),IF($NP$19="Bell_Curve",$NN$19*(21-$NR$19+1)*($NS$19-21+1)/$NU$19,$NN$19/$NT$19)),0)</f>
        <v/>
      </c>
      <c r="Z19" s="402">
        <f>IF(AND(22&gt;=$NR$19,22&lt;=$NS$19),IF($NP$19="Single_Point",IF(22=$NR$19,$NN$19,0),IF($NP$19="Bell_Curve",$NN$19*(22-$NR$19+1)*($NS$19-22+1)/$NU$19,$NN$19/$NT$19)),0)</f>
        <v/>
      </c>
      <c r="AA19" s="402">
        <f>IF(AND(23&gt;=$NR$19,23&lt;=$NS$19),IF($NP$19="Single_Point",IF(23=$NR$19,$NN$19,0),IF($NP$19="Bell_Curve",$NN$19*(23-$NR$19+1)*($NS$19-23+1)/$NU$19,$NN$19/$NT$19)),0)</f>
        <v/>
      </c>
      <c r="AB19" s="402">
        <f>IF(AND(24&gt;=$NR$19,24&lt;=$NS$19),IF($NP$19="Single_Point",IF(24=$NR$19,$NN$19,0),IF($NP$19="Bell_Curve",$NN$19*(24-$NR$19+1)*($NS$19-24+1)/$NU$19,$NN$19/$NT$19)),0)</f>
        <v/>
      </c>
      <c r="AC19" s="402">
        <f>IF(AND(25&gt;=$NR$19,25&lt;=$NS$19),IF($NP$19="Single_Point",IF(25=$NR$19,$NN$19,0),IF($NP$19="Bell_Curve",$NN$19*(25-$NR$19+1)*($NS$19-25+1)/$NU$19,$NN$19/$NT$19)),0)</f>
        <v/>
      </c>
      <c r="AD19" s="402">
        <f>IF(AND(26&gt;=$NR$19,26&lt;=$NS$19),IF($NP$19="Single_Point",IF(26=$NR$19,$NN$19,0),IF($NP$19="Bell_Curve",$NN$19*(26-$NR$19+1)*($NS$19-26+1)/$NU$19,$NN$19/$NT$19)),0)</f>
        <v/>
      </c>
      <c r="AE19" s="402">
        <f>IF(AND(27&gt;=$NR$19,27&lt;=$NS$19),IF($NP$19="Single_Point",IF(27=$NR$19,$NN$19,0),IF($NP$19="Bell_Curve",$NN$19*(27-$NR$19+1)*($NS$19-27+1)/$NU$19,$NN$19/$NT$19)),0)</f>
        <v/>
      </c>
      <c r="AF19" s="402">
        <f>IF(AND(28&gt;=$NR$19,28&lt;=$NS$19),IF($NP$19="Single_Point",IF(28=$NR$19,$NN$19,0),IF($NP$19="Bell_Curve",$NN$19*(28-$NR$19+1)*($NS$19-28+1)/$NU$19,$NN$19/$NT$19)),0)</f>
        <v/>
      </c>
      <c r="AG19" s="402">
        <f>IF(AND(29&gt;=$NR$19,29&lt;=$NS$19),IF($NP$19="Single_Point",IF(29=$NR$19,$NN$19,0),IF($NP$19="Bell_Curve",$NN$19*(29-$NR$19+1)*($NS$19-29+1)/$NU$19,$NN$19/$NT$19)),0)</f>
        <v/>
      </c>
      <c r="AH19" s="402">
        <f>IF(AND(30&gt;=$NR$19,30&lt;=$NS$19),IF($NP$19="Single_Point",IF(30=$NR$19,$NN$19,0),IF($NP$19="Bell_Curve",$NN$19*(30-$NR$19+1)*($NS$19-30+1)/$NU$19,$NN$19/$NT$19)),0)</f>
        <v/>
      </c>
      <c r="AI19" s="402">
        <f>IF(AND(31&gt;=$NR$19,31&lt;=$NS$19),IF($NP$19="Single_Point",IF(31=$NR$19,$NN$19,0),IF($NP$19="Bell_Curve",$NN$19*(31-$NR$19+1)*($NS$19-31+1)/$NU$19,$NN$19/$NT$19)),0)</f>
        <v/>
      </c>
      <c r="AJ19" s="402">
        <f>IF(AND(32&gt;=$NR$19,32&lt;=$NS$19),IF($NP$19="Single_Point",IF(32=$NR$19,$NN$19,0),IF($NP$19="Bell_Curve",$NN$19*(32-$NR$19+1)*($NS$19-32+1)/$NU$19,$NN$19/$NT$19)),0)</f>
        <v/>
      </c>
      <c r="AK19" s="402">
        <f>IF(AND(33&gt;=$NR$19,33&lt;=$NS$19),IF($NP$19="Single_Point",IF(33=$NR$19,$NN$19,0),IF($NP$19="Bell_Curve",$NN$19*(33-$NR$19+1)*($NS$19-33+1)/$NU$19,$NN$19/$NT$19)),0)</f>
        <v/>
      </c>
      <c r="AL19" s="402">
        <f>IF(AND(34&gt;=$NR$19,34&lt;=$NS$19),IF($NP$19="Single_Point",IF(34=$NR$19,$NN$19,0),IF($NP$19="Bell_Curve",$NN$19*(34-$NR$19+1)*($NS$19-34+1)/$NU$19,$NN$19/$NT$19)),0)</f>
        <v/>
      </c>
      <c r="AM19" s="402">
        <f>IF(AND(35&gt;=$NR$19,35&lt;=$NS$19),IF($NP$19="Single_Point",IF(35=$NR$19,$NN$19,0),IF($NP$19="Bell_Curve",$NN$19*(35-$NR$19+1)*($NS$19-35+1)/$NU$19,$NN$19/$NT$19)),0)</f>
        <v/>
      </c>
      <c r="AN19" s="402">
        <f>IF(AND(36&gt;=$NR$19,36&lt;=$NS$19),IF($NP$19="Single_Point",IF(36=$NR$19,$NN$19,0),IF($NP$19="Bell_Curve",$NN$19*(36-$NR$19+1)*($NS$19-36+1)/$NU$19,$NN$19/$NT$19)),0)</f>
        <v/>
      </c>
      <c r="AO19" s="402">
        <f>IF(AND(37&gt;=$NR$19,37&lt;=$NS$19),IF($NP$19="Single_Point",IF(37=$NR$19,$NN$19,0),IF($NP$19="Bell_Curve",$NN$19*(37-$NR$19+1)*($NS$19-37+1)/$NU$19,$NN$19/$NT$19)),0)</f>
        <v/>
      </c>
      <c r="AP19" s="402">
        <f>IF(AND(38&gt;=$NR$19,38&lt;=$NS$19),IF($NP$19="Single_Point",IF(38=$NR$19,$NN$19,0),IF($NP$19="Bell_Curve",$NN$19*(38-$NR$19+1)*($NS$19-38+1)/$NU$19,$NN$19/$NT$19)),0)</f>
        <v/>
      </c>
      <c r="AQ19" s="402">
        <f>IF(AND(39&gt;=$NR$19,39&lt;=$NS$19),IF($NP$19="Single_Point",IF(39=$NR$19,$NN$19,0),IF($NP$19="Bell_Curve",$NN$19*(39-$NR$19+1)*($NS$19-39+1)/$NU$19,$NN$19/$NT$19)),0)</f>
        <v/>
      </c>
      <c r="AR19" s="402">
        <f>IF(AND(40&gt;=$NR$19,40&lt;=$NS$19),IF($NP$19="Single_Point",IF(40=$NR$19,$NN$19,0),IF($NP$19="Bell_Curve",$NN$19*(40-$NR$19+1)*($NS$19-40+1)/$NU$19,$NN$19/$NT$19)),0)</f>
        <v/>
      </c>
      <c r="AS19" s="402">
        <f>IF(AND(41&gt;=$NR$19,41&lt;=$NS$19),IF($NP$19="Single_Point",IF(41=$NR$19,$NN$19,0),IF($NP$19="Bell_Curve",$NN$19*(41-$NR$19+1)*($NS$19-41+1)/$NU$19,$NN$19/$NT$19)),0)</f>
        <v/>
      </c>
      <c r="AT19" s="402">
        <f>IF(AND(42&gt;=$NR$19,42&lt;=$NS$19),IF($NP$19="Single_Point",IF(42=$NR$19,$NN$19,0),IF($NP$19="Bell_Curve",$NN$19*(42-$NR$19+1)*($NS$19-42+1)/$NU$19,$NN$19/$NT$19)),0)</f>
        <v/>
      </c>
      <c r="AU19" s="402">
        <f>IF(AND(43&gt;=$NR$19,43&lt;=$NS$19),IF($NP$19="Single_Point",IF(43=$NR$19,$NN$19,0),IF($NP$19="Bell_Curve",$NN$19*(43-$NR$19+1)*($NS$19-43+1)/$NU$19,$NN$19/$NT$19)),0)</f>
        <v/>
      </c>
      <c r="AV19" s="402">
        <f>IF(AND(44&gt;=$NR$19,44&lt;=$NS$19),IF($NP$19="Single_Point",IF(44=$NR$19,$NN$19,0),IF($NP$19="Bell_Curve",$NN$19*(44-$NR$19+1)*($NS$19-44+1)/$NU$19,$NN$19/$NT$19)),0)</f>
        <v/>
      </c>
      <c r="AW19" s="402">
        <f>IF(AND(45&gt;=$NR$19,45&lt;=$NS$19),IF($NP$19="Single_Point",IF(45=$NR$19,$NN$19,0),IF($NP$19="Bell_Curve",$NN$19*(45-$NR$19+1)*($NS$19-45+1)/$NU$19,$NN$19/$NT$19)),0)</f>
        <v/>
      </c>
      <c r="AX19" s="402">
        <f>IF(AND(46&gt;=$NR$19,46&lt;=$NS$19),IF($NP$19="Single_Point",IF(46=$NR$19,$NN$19,0),IF($NP$19="Bell_Curve",$NN$19*(46-$NR$19+1)*($NS$19-46+1)/$NU$19,$NN$19/$NT$19)),0)</f>
        <v/>
      </c>
      <c r="AY19" s="402">
        <f>IF(AND(47&gt;=$NR$19,47&lt;=$NS$19),IF($NP$19="Single_Point",IF(47=$NR$19,$NN$19,0),IF($NP$19="Bell_Curve",$NN$19*(47-$NR$19+1)*($NS$19-47+1)/$NU$19,$NN$19/$NT$19)),0)</f>
        <v/>
      </c>
      <c r="AZ19" s="402">
        <f>IF(AND(48&gt;=$NR$19,48&lt;=$NS$19),IF($NP$19="Single_Point",IF(48=$NR$19,$NN$19,0),IF($NP$19="Bell_Curve",$NN$19*(48-$NR$19+1)*($NS$19-48+1)/$NU$19,$NN$19/$NT$19)),0)</f>
        <v/>
      </c>
      <c r="BA19" s="402">
        <f>IF(AND(49&gt;=$NR$19,49&lt;=$NS$19),IF($NP$19="Single_Point",IF(49=$NR$19,$NN$19,0),IF($NP$19="Bell_Curve",$NN$19*(49-$NR$19+1)*($NS$19-49+1)/$NU$19,$NN$19/$NT$19)),0)</f>
        <v/>
      </c>
      <c r="BB19" s="402">
        <f>IF(AND(50&gt;=$NR$19,50&lt;=$NS$19),IF($NP$19="Single_Point",IF(50=$NR$19,$NN$19,0),IF($NP$19="Bell_Curve",$NN$19*(50-$NR$19+1)*($NS$19-50+1)/$NU$19,$NN$19/$NT$19)),0)</f>
        <v/>
      </c>
      <c r="BC19" s="402">
        <f>IF(AND(51&gt;=$NR$19,51&lt;=$NS$19),IF($NP$19="Single_Point",IF(51=$NR$19,$NN$19,0),IF($NP$19="Bell_Curve",$NN$19*(51-$NR$19+1)*($NS$19-51+1)/$NU$19,$NN$19/$NT$19)),0)</f>
        <v/>
      </c>
      <c r="BD19" s="402">
        <f>IF(AND(52&gt;=$NR$19,52&lt;=$NS$19),IF($NP$19="Single_Point",IF(52=$NR$19,$NN$19,0),IF($NP$19="Bell_Curve",$NN$19*(52-$NR$19+1)*($NS$19-52+1)/$NU$19,$NN$19/$NT$19)),0)</f>
        <v/>
      </c>
      <c r="BE19" s="402">
        <f>IF(AND(53&gt;=$NR$19,53&lt;=$NS$19),IF($NP$19="Single_Point",IF(53=$NR$19,$NN$19,0),IF($NP$19="Bell_Curve",$NN$19*(53-$NR$19+1)*($NS$19-53+1)/$NU$19,$NN$19/$NT$19)),0)</f>
        <v/>
      </c>
      <c r="BF19" s="402">
        <f>IF(AND(54&gt;=$NR$19,54&lt;=$NS$19),IF($NP$19="Single_Point",IF(54=$NR$19,$NN$19,0),IF($NP$19="Bell_Curve",$NN$19*(54-$NR$19+1)*($NS$19-54+1)/$NU$19,$NN$19/$NT$19)),0)</f>
        <v/>
      </c>
      <c r="BG19" s="402">
        <f>IF(AND(55&gt;=$NR$19,55&lt;=$NS$19),IF($NP$19="Single_Point",IF(55=$NR$19,$NN$19,0),IF($NP$19="Bell_Curve",$NN$19*(55-$NR$19+1)*($NS$19-55+1)/$NU$19,$NN$19/$NT$19)),0)</f>
        <v/>
      </c>
      <c r="BH19" s="402">
        <f>IF(AND(56&gt;=$NR$19,56&lt;=$NS$19),IF($NP$19="Single_Point",IF(56=$NR$19,$NN$19,0),IF($NP$19="Bell_Curve",$NN$19*(56-$NR$19+1)*($NS$19-56+1)/$NU$19,$NN$19/$NT$19)),0)</f>
        <v/>
      </c>
      <c r="BI19" s="402">
        <f>IF(AND(57&gt;=$NR$19,57&lt;=$NS$19),IF($NP$19="Single_Point",IF(57=$NR$19,$NN$19,0),IF($NP$19="Bell_Curve",$NN$19*(57-$NR$19+1)*($NS$19-57+1)/$NU$19,$NN$19/$NT$19)),0)</f>
        <v/>
      </c>
      <c r="BJ19" s="402">
        <f>IF(AND(58&gt;=$NR$19,58&lt;=$NS$19),IF($NP$19="Single_Point",IF(58=$NR$19,$NN$19,0),IF($NP$19="Bell_Curve",$NN$19*(58-$NR$19+1)*($NS$19-58+1)/$NU$19,$NN$19/$NT$19)),0)</f>
        <v/>
      </c>
      <c r="BK19" s="402">
        <f>IF(AND(59&gt;=$NR$19,59&lt;=$NS$19),IF($NP$19="Single_Point",IF(59=$NR$19,$NN$19,0),IF($NP$19="Bell_Curve",$NN$19*(59-$NR$19+1)*($NS$19-59+1)/$NU$19,$NN$19/$NT$19)),0)</f>
        <v/>
      </c>
      <c r="BL19" s="402">
        <f>IF(AND(60&gt;=$NR$19,60&lt;=$NS$19),IF($NP$19="Single_Point",IF(60=$NR$19,$NN$19,0),IF($NP$19="Bell_Curve",$NN$19*(60-$NR$19+1)*($NS$19-60+1)/$NU$19,$NN$19/$NT$19)),0)</f>
        <v/>
      </c>
      <c r="BM19" s="402">
        <f>IF(AND(61&gt;=$NR$19,61&lt;=$NS$19),IF($NP$19="Single_Point",IF(61=$NR$19,$NN$19,0),IF($NP$19="Bell_Curve",$NN$19*(61-$NR$19+1)*($NS$19-61+1)/$NU$19,$NN$19/$NT$19)),0)</f>
        <v/>
      </c>
      <c r="BN19" s="402">
        <f>IF(AND(62&gt;=$NR$19,62&lt;=$NS$19),IF($NP$19="Single_Point",IF(62=$NR$19,$NN$19,0),IF($NP$19="Bell_Curve",$NN$19*(62-$NR$19+1)*($NS$19-62+1)/$NU$19,$NN$19/$NT$19)),0)</f>
        <v/>
      </c>
      <c r="BO19" s="402">
        <f>IF(AND(63&gt;=$NR$19,63&lt;=$NS$19),IF($NP$19="Single_Point",IF(63=$NR$19,$NN$19,0),IF($NP$19="Bell_Curve",$NN$19*(63-$NR$19+1)*($NS$19-63+1)/$NU$19,$NN$19/$NT$19)),0)</f>
        <v/>
      </c>
      <c r="BP19" s="402">
        <f>IF(AND(64&gt;=$NR$19,64&lt;=$NS$19),IF($NP$19="Single_Point",IF(64=$NR$19,$NN$19,0),IF($NP$19="Bell_Curve",$NN$19*(64-$NR$19+1)*($NS$19-64+1)/$NU$19,$NN$19/$NT$19)),0)</f>
        <v/>
      </c>
      <c r="BQ19" s="402">
        <f>IF(AND(65&gt;=$NR$19,65&lt;=$NS$19),IF($NP$19="Single_Point",IF(65=$NR$19,$NN$19,0),IF($NP$19="Bell_Curve",$NN$19*(65-$NR$19+1)*($NS$19-65+1)/$NU$19,$NN$19/$NT$19)),0)</f>
        <v/>
      </c>
      <c r="BR19" s="402">
        <f>IF(AND(66&gt;=$NR$19,66&lt;=$NS$19),IF($NP$19="Single_Point",IF(66=$NR$19,$NN$19,0),IF($NP$19="Bell_Curve",$NN$19*(66-$NR$19+1)*($NS$19-66+1)/$NU$19,$NN$19/$NT$19)),0)</f>
        <v/>
      </c>
      <c r="BS19" s="402">
        <f>IF(AND(67&gt;=$NR$19,67&lt;=$NS$19),IF($NP$19="Single_Point",IF(67=$NR$19,$NN$19,0),IF($NP$19="Bell_Curve",$NN$19*(67-$NR$19+1)*($NS$19-67+1)/$NU$19,$NN$19/$NT$19)),0)</f>
        <v/>
      </c>
      <c r="BT19" s="402">
        <f>IF(AND(68&gt;=$NR$19,68&lt;=$NS$19),IF($NP$19="Single_Point",IF(68=$NR$19,$NN$19,0),IF($NP$19="Bell_Curve",$NN$19*(68-$NR$19+1)*($NS$19-68+1)/$NU$19,$NN$19/$NT$19)),0)</f>
        <v/>
      </c>
      <c r="BU19" s="402">
        <f>IF(AND(69&gt;=$NR$19,69&lt;=$NS$19),IF($NP$19="Single_Point",IF(69=$NR$19,$NN$19,0),IF($NP$19="Bell_Curve",$NN$19*(69-$NR$19+1)*($NS$19-69+1)/$NU$19,$NN$19/$NT$19)),0)</f>
        <v/>
      </c>
      <c r="BV19" s="402">
        <f>IF(AND(70&gt;=$NR$19,70&lt;=$NS$19),IF($NP$19="Single_Point",IF(70=$NR$19,$NN$19,0),IF($NP$19="Bell_Curve",$NN$19*(70-$NR$19+1)*($NS$19-70+1)/$NU$19,$NN$19/$NT$19)),0)</f>
        <v/>
      </c>
      <c r="BW19" s="402">
        <f>IF(AND(71&gt;=$NR$19,71&lt;=$NS$19),IF($NP$19="Single_Point",IF(71=$NR$19,$NN$19,0),IF($NP$19="Bell_Curve",$NN$19*(71-$NR$19+1)*($NS$19-71+1)/$NU$19,$NN$19/$NT$19)),0)</f>
        <v/>
      </c>
      <c r="BX19" s="402">
        <f>IF(AND(72&gt;=$NR$19,72&lt;=$NS$19),IF($NP$19="Single_Point",IF(72=$NR$19,$NN$19,0),IF($NP$19="Bell_Curve",$NN$19*(72-$NR$19+1)*($NS$19-72+1)/$NU$19,$NN$19/$NT$19)),0)</f>
        <v/>
      </c>
      <c r="BY19" s="402">
        <f>IF(AND(73&gt;=$NR$19,73&lt;=$NS$19),IF($NP$19="Single_Point",IF(73=$NR$19,$NN$19,0),IF($NP$19="Bell_Curve",$NN$19*(73-$NR$19+1)*($NS$19-73+1)/$NU$19,$NN$19/$NT$19)),0)</f>
        <v/>
      </c>
      <c r="BZ19" s="402">
        <f>IF(AND(74&gt;=$NR$19,74&lt;=$NS$19),IF($NP$19="Single_Point",IF(74=$NR$19,$NN$19,0),IF($NP$19="Bell_Curve",$NN$19*(74-$NR$19+1)*($NS$19-74+1)/$NU$19,$NN$19/$NT$19)),0)</f>
        <v/>
      </c>
      <c r="CA19" s="402">
        <f>IF(AND(75&gt;=$NR$19,75&lt;=$NS$19),IF($NP$19="Single_Point",IF(75=$NR$19,$NN$19,0),IF($NP$19="Bell_Curve",$NN$19*(75-$NR$19+1)*($NS$19-75+1)/$NU$19,$NN$19/$NT$19)),0)</f>
        <v/>
      </c>
      <c r="CB19" s="402">
        <f>IF(AND(76&gt;=$NR$19,76&lt;=$NS$19),IF($NP$19="Single_Point",IF(76=$NR$19,$NN$19,0),IF($NP$19="Bell_Curve",$NN$19*(76-$NR$19+1)*($NS$19-76+1)/$NU$19,$NN$19/$NT$19)),0)</f>
        <v/>
      </c>
      <c r="CC19" s="402">
        <f>IF(AND(77&gt;=$NR$19,77&lt;=$NS$19),IF($NP$19="Single_Point",IF(77=$NR$19,$NN$19,0),IF($NP$19="Bell_Curve",$NN$19*(77-$NR$19+1)*($NS$19-77+1)/$NU$19,$NN$19/$NT$19)),0)</f>
        <v/>
      </c>
      <c r="CD19" s="402">
        <f>IF(AND(78&gt;=$NR$19,78&lt;=$NS$19),IF($NP$19="Single_Point",IF(78=$NR$19,$NN$19,0),IF($NP$19="Bell_Curve",$NN$19*(78-$NR$19+1)*($NS$19-78+1)/$NU$19,$NN$19/$NT$19)),0)</f>
        <v/>
      </c>
      <c r="CE19" s="402">
        <f>IF(AND(79&gt;=$NR$19,79&lt;=$NS$19),IF($NP$19="Single_Point",IF(79=$NR$19,$NN$19,0),IF($NP$19="Bell_Curve",$NN$19*(79-$NR$19+1)*($NS$19-79+1)/$NU$19,$NN$19/$NT$19)),0)</f>
        <v/>
      </c>
      <c r="CF19" s="402">
        <f>IF(AND(80&gt;=$NR$19,80&lt;=$NS$19),IF($NP$19="Single_Point",IF(80=$NR$19,$NN$19,0),IF($NP$19="Bell_Curve",$NN$19*(80-$NR$19+1)*($NS$19-80+1)/$NU$19,$NN$19/$NT$19)),0)</f>
        <v/>
      </c>
      <c r="CG19" s="402">
        <f>IF(AND(81&gt;=$NR$19,81&lt;=$NS$19),IF($NP$19="Single_Point",IF(81=$NR$19,$NN$19,0),IF($NP$19="Bell_Curve",$NN$19*(81-$NR$19+1)*($NS$19-81+1)/$NU$19,$NN$19/$NT$19)),0)</f>
        <v/>
      </c>
      <c r="CH19" s="402">
        <f>IF(AND(82&gt;=$NR$19,82&lt;=$NS$19),IF($NP$19="Single_Point",IF(82=$NR$19,$NN$19,0),IF($NP$19="Bell_Curve",$NN$19*(82-$NR$19+1)*($NS$19-82+1)/$NU$19,$NN$19/$NT$19)),0)</f>
        <v/>
      </c>
      <c r="CI19" s="402">
        <f>IF(AND(83&gt;=$NR$19,83&lt;=$NS$19),IF($NP$19="Single_Point",IF(83=$NR$19,$NN$19,0),IF($NP$19="Bell_Curve",$NN$19*(83-$NR$19+1)*($NS$19-83+1)/$NU$19,$NN$19/$NT$19)),0)</f>
        <v/>
      </c>
      <c r="CJ19" s="402">
        <f>IF(AND(84&gt;=$NR$19,84&lt;=$NS$19),IF($NP$19="Single_Point",IF(84=$NR$19,$NN$19,0),IF($NP$19="Bell_Curve",$NN$19*(84-$NR$19+1)*($NS$19-84+1)/$NU$19,$NN$19/$NT$19)),0)</f>
        <v/>
      </c>
      <c r="CK19" s="402">
        <f>IF(AND(85&gt;=$NR$19,85&lt;=$NS$19),IF($NP$19="Single_Point",IF(85=$NR$19,$NN$19,0),IF($NP$19="Bell_Curve",$NN$19*(85-$NR$19+1)*($NS$19-85+1)/$NU$19,$NN$19/$NT$19)),0)</f>
        <v/>
      </c>
      <c r="CL19" s="402">
        <f>IF(AND(86&gt;=$NR$19,86&lt;=$NS$19),IF($NP$19="Single_Point",IF(86=$NR$19,$NN$19,0),IF($NP$19="Bell_Curve",$NN$19*(86-$NR$19+1)*($NS$19-86+1)/$NU$19,$NN$19/$NT$19)),0)</f>
        <v/>
      </c>
      <c r="CM19" s="402">
        <f>IF(AND(87&gt;=$NR$19,87&lt;=$NS$19),IF($NP$19="Single_Point",IF(87=$NR$19,$NN$19,0),IF($NP$19="Bell_Curve",$NN$19*(87-$NR$19+1)*($NS$19-87+1)/$NU$19,$NN$19/$NT$19)),0)</f>
        <v/>
      </c>
      <c r="CN19" s="402">
        <f>IF(AND(88&gt;=$NR$19,88&lt;=$NS$19),IF($NP$19="Single_Point",IF(88=$NR$19,$NN$19,0),IF($NP$19="Bell_Curve",$NN$19*(88-$NR$19+1)*($NS$19-88+1)/$NU$19,$NN$19/$NT$19)),0)</f>
        <v/>
      </c>
      <c r="CO19" s="402">
        <f>IF(AND(89&gt;=$NR$19,89&lt;=$NS$19),IF($NP$19="Single_Point",IF(89=$NR$19,$NN$19,0),IF($NP$19="Bell_Curve",$NN$19*(89-$NR$19+1)*($NS$19-89+1)/$NU$19,$NN$19/$NT$19)),0)</f>
        <v/>
      </c>
      <c r="CP19" s="402">
        <f>IF(AND(90&gt;=$NR$19,90&lt;=$NS$19),IF($NP$19="Single_Point",IF(90=$NR$19,$NN$19,0),IF($NP$19="Bell_Curve",$NN$19*(90-$NR$19+1)*($NS$19-90+1)/$NU$19,$NN$19/$NT$19)),0)</f>
        <v/>
      </c>
      <c r="CQ19" s="402">
        <f>IF(AND(91&gt;=$NR$19,91&lt;=$NS$19),IF($NP$19="Single_Point",IF(91=$NR$19,$NN$19,0),IF($NP$19="Bell_Curve",$NN$19*(91-$NR$19+1)*($NS$19-91+1)/$NU$19,$NN$19/$NT$19)),0)</f>
        <v/>
      </c>
      <c r="CR19" s="402">
        <f>IF(AND(92&gt;=$NR$19,92&lt;=$NS$19),IF($NP$19="Single_Point",IF(92=$NR$19,$NN$19,0),IF($NP$19="Bell_Curve",$NN$19*(92-$NR$19+1)*($NS$19-92+1)/$NU$19,$NN$19/$NT$19)),0)</f>
        <v/>
      </c>
      <c r="CS19" s="402">
        <f>IF(AND(93&gt;=$NR$19,93&lt;=$NS$19),IF($NP$19="Single_Point",IF(93=$NR$19,$NN$19,0),IF($NP$19="Bell_Curve",$NN$19*(93-$NR$19+1)*($NS$19-93+1)/$NU$19,$NN$19/$NT$19)),0)</f>
        <v/>
      </c>
      <c r="CT19" s="402">
        <f>IF(AND(94&gt;=$NR$19,94&lt;=$NS$19),IF($NP$19="Single_Point",IF(94=$NR$19,$NN$19,0),IF($NP$19="Bell_Curve",$NN$19*(94-$NR$19+1)*($NS$19-94+1)/$NU$19,$NN$19/$NT$19)),0)</f>
        <v/>
      </c>
      <c r="CU19" s="402">
        <f>IF(AND(95&gt;=$NR$19,95&lt;=$NS$19),IF($NP$19="Single_Point",IF(95=$NR$19,$NN$19,0),IF($NP$19="Bell_Curve",$NN$19*(95-$NR$19+1)*($NS$19-95+1)/$NU$19,$NN$19/$NT$19)),0)</f>
        <v/>
      </c>
      <c r="CV19" s="402">
        <f>IF(AND(96&gt;=$NR$19,96&lt;=$NS$19),IF($NP$19="Single_Point",IF(96=$NR$19,$NN$19,0),IF($NP$19="Bell_Curve",$NN$19*(96-$NR$19+1)*($NS$19-96+1)/$NU$19,$NN$19/$NT$19)),0)</f>
        <v/>
      </c>
      <c r="CW19" s="402">
        <f>IF(AND(97&gt;=$NR$19,97&lt;=$NS$19),IF($NP$19="Single_Point",IF(97=$NR$19,$NN$19,0),IF($NP$19="Bell_Curve",$NN$19*(97-$NR$19+1)*($NS$19-97+1)/$NU$19,$NN$19/$NT$19)),0)</f>
        <v/>
      </c>
      <c r="CX19" s="402">
        <f>IF(AND(98&gt;=$NR$19,98&lt;=$NS$19),IF($NP$19="Single_Point",IF(98=$NR$19,$NN$19,0),IF($NP$19="Bell_Curve",$NN$19*(98-$NR$19+1)*($NS$19-98+1)/$NU$19,$NN$19/$NT$19)),0)</f>
        <v/>
      </c>
      <c r="CY19" s="402">
        <f>IF(AND(99&gt;=$NR$19,99&lt;=$NS$19),IF($NP$19="Single_Point",IF(99=$NR$19,$NN$19,0),IF($NP$19="Bell_Curve",$NN$19*(99-$NR$19+1)*($NS$19-99+1)/$NU$19,$NN$19/$NT$19)),0)</f>
        <v/>
      </c>
      <c r="CZ19" s="402">
        <f>IF(AND(100&gt;=$NR$19,100&lt;=$NS$19),IF($NP$19="Single_Point",IF(100=$NR$19,$NN$19,0),IF($NP$19="Bell_Curve",$NN$19*(100-$NR$19+1)*($NS$19-100+1)/$NU$19,$NN$19/$NT$19)),0)</f>
        <v/>
      </c>
      <c r="DA19" s="402">
        <f>IF(AND(101&gt;=$NR$19,101&lt;=$NS$19),IF($NP$19="Single_Point",IF(101=$NR$19,$NN$19,0),IF($NP$19="Bell_Curve",$NN$19*(101-$NR$19+1)*($NS$19-101+1)/$NU$19,$NN$19/$NT$19)),0)</f>
        <v/>
      </c>
      <c r="DB19" s="402">
        <f>IF(AND(102&gt;=$NR$19,102&lt;=$NS$19),IF($NP$19="Single_Point",IF(102=$NR$19,$NN$19,0),IF($NP$19="Bell_Curve",$NN$19*(102-$NR$19+1)*($NS$19-102+1)/$NU$19,$NN$19/$NT$19)),0)</f>
        <v/>
      </c>
      <c r="DC19" s="402">
        <f>IF(AND(103&gt;=$NR$19,103&lt;=$NS$19),IF($NP$19="Single_Point",IF(103=$NR$19,$NN$19,0),IF($NP$19="Bell_Curve",$NN$19*(103-$NR$19+1)*($NS$19-103+1)/$NU$19,$NN$19/$NT$19)),0)</f>
        <v/>
      </c>
      <c r="DD19" s="402">
        <f>IF(AND(104&gt;=$NR$19,104&lt;=$NS$19),IF($NP$19="Single_Point",IF(104=$NR$19,$NN$19,0),IF($NP$19="Bell_Curve",$NN$19*(104-$NR$19+1)*($NS$19-104+1)/$NU$19,$NN$19/$NT$19)),0)</f>
        <v/>
      </c>
      <c r="DE19" s="402">
        <f>IF(AND(105&gt;=$NR$19,105&lt;=$NS$19),IF($NP$19="Single_Point",IF(105=$NR$19,$NN$19,0),IF($NP$19="Bell_Curve",$NN$19*(105-$NR$19+1)*($NS$19-105+1)/$NU$19,$NN$19/$NT$19)),0)</f>
        <v/>
      </c>
      <c r="DF19" s="402">
        <f>IF(AND(106&gt;=$NR$19,106&lt;=$NS$19),IF($NP$19="Single_Point",IF(106=$NR$19,$NN$19,0),IF($NP$19="Bell_Curve",$NN$19*(106-$NR$19+1)*($NS$19-106+1)/$NU$19,$NN$19/$NT$19)),0)</f>
        <v/>
      </c>
      <c r="DG19" s="402">
        <f>IF(AND(107&gt;=$NR$19,107&lt;=$NS$19),IF($NP$19="Single_Point",IF(107=$NR$19,$NN$19,0),IF($NP$19="Bell_Curve",$NN$19*(107-$NR$19+1)*($NS$19-107+1)/$NU$19,$NN$19/$NT$19)),0)</f>
        <v/>
      </c>
      <c r="DH19" s="402">
        <f>IF(AND(108&gt;=$NR$19,108&lt;=$NS$19),IF($NP$19="Single_Point",IF(108=$NR$19,$NN$19,0),IF($NP$19="Bell_Curve",$NN$19*(108-$NR$19+1)*($NS$19-108+1)/$NU$19,$NN$19/$NT$19)),0)</f>
        <v/>
      </c>
      <c r="DI19" s="402">
        <f>IF(AND(109&gt;=$NR$19,109&lt;=$NS$19),IF($NP$19="Single_Point",IF(109=$NR$19,$NN$19,0),IF($NP$19="Bell_Curve",$NN$19*(109-$NR$19+1)*($NS$19-109+1)/$NU$19,$NN$19/$NT$19)),0)</f>
        <v/>
      </c>
      <c r="DJ19" s="402">
        <f>IF(AND(110&gt;=$NR$19,110&lt;=$NS$19),IF($NP$19="Single_Point",IF(110=$NR$19,$NN$19,0),IF($NP$19="Bell_Curve",$NN$19*(110-$NR$19+1)*($NS$19-110+1)/$NU$19,$NN$19/$NT$19)),0)</f>
        <v/>
      </c>
      <c r="DK19" s="402">
        <f>IF(AND(111&gt;=$NR$19,111&lt;=$NS$19),IF($NP$19="Single_Point",IF(111=$NR$19,$NN$19,0),IF($NP$19="Bell_Curve",$NN$19*(111-$NR$19+1)*($NS$19-111+1)/$NU$19,$NN$19/$NT$19)),0)</f>
        <v/>
      </c>
      <c r="DL19" s="402">
        <f>IF(AND(112&gt;=$NR$19,112&lt;=$NS$19),IF($NP$19="Single_Point",IF(112=$NR$19,$NN$19,0),IF($NP$19="Bell_Curve",$NN$19*(112-$NR$19+1)*($NS$19-112+1)/$NU$19,$NN$19/$NT$19)),0)</f>
        <v/>
      </c>
      <c r="DM19" s="402">
        <f>IF(AND(113&gt;=$NR$19,113&lt;=$NS$19),IF($NP$19="Single_Point",IF(113=$NR$19,$NN$19,0),IF($NP$19="Bell_Curve",$NN$19*(113-$NR$19+1)*($NS$19-113+1)/$NU$19,$NN$19/$NT$19)),0)</f>
        <v/>
      </c>
      <c r="DN19" s="402">
        <f>IF(AND(114&gt;=$NR$19,114&lt;=$NS$19),IF($NP$19="Single_Point",IF(114=$NR$19,$NN$19,0),IF($NP$19="Bell_Curve",$NN$19*(114-$NR$19+1)*($NS$19-114+1)/$NU$19,$NN$19/$NT$19)),0)</f>
        <v/>
      </c>
      <c r="DO19" s="402">
        <f>IF(AND(115&gt;=$NR$19,115&lt;=$NS$19),IF($NP$19="Single_Point",IF(115=$NR$19,$NN$19,0),IF($NP$19="Bell_Curve",$NN$19*(115-$NR$19+1)*($NS$19-115+1)/$NU$19,$NN$19/$NT$19)),0)</f>
        <v/>
      </c>
      <c r="DP19" s="402">
        <f>IF(AND(116&gt;=$NR$19,116&lt;=$NS$19),IF($NP$19="Single_Point",IF(116=$NR$19,$NN$19,0),IF($NP$19="Bell_Curve",$NN$19*(116-$NR$19+1)*($NS$19-116+1)/$NU$19,$NN$19/$NT$19)),0)</f>
        <v/>
      </c>
      <c r="DQ19" s="402">
        <f>IF(AND(117&gt;=$NR$19,117&lt;=$NS$19),IF($NP$19="Single_Point",IF(117=$NR$19,$NN$19,0),IF($NP$19="Bell_Curve",$NN$19*(117-$NR$19+1)*($NS$19-117+1)/$NU$19,$NN$19/$NT$19)),0)</f>
        <v/>
      </c>
      <c r="DR19" s="402">
        <f>IF(AND(118&gt;=$NR$19,118&lt;=$NS$19),IF($NP$19="Single_Point",IF(118=$NR$19,$NN$19,0),IF($NP$19="Bell_Curve",$NN$19*(118-$NR$19+1)*($NS$19-118+1)/$NU$19,$NN$19/$NT$19)),0)</f>
        <v/>
      </c>
      <c r="DS19" s="402">
        <f>IF(AND(119&gt;=$NR$19,119&lt;=$NS$19),IF($NP$19="Single_Point",IF(119=$NR$19,$NN$19,0),IF($NP$19="Bell_Curve",$NN$19*(119-$NR$19+1)*($NS$19-119+1)/$NU$19,$NN$19/$NT$19)),0)</f>
        <v/>
      </c>
      <c r="DT19" s="402">
        <f>IF(AND(120&gt;=$NR$19,120&lt;=$NS$19),IF($NP$19="Single_Point",IF(120=$NR$19,$NN$19,0),IF($NP$19="Bell_Curve",$NN$19*(120-$NR$19+1)*($NS$19-120+1)/$NU$19,$NN$19/$NT$19)),0)</f>
        <v/>
      </c>
      <c r="DU19" s="402">
        <f>IF(AND(121&gt;=$NR$19,121&lt;=$NS$19),IF($NP$19="Single_Point",IF(121=$NR$19,$NN$19,0),IF($NP$19="Bell_Curve",$NN$19*(121-$NR$19+1)*($NS$19-121+1)/$NU$19,$NN$19/$NT$19)),0)</f>
        <v/>
      </c>
      <c r="DV19" s="402">
        <f>IF(AND(122&gt;=$NR$19,122&lt;=$NS$19),IF($NP$19="Single_Point",IF(122=$NR$19,$NN$19,0),IF($NP$19="Bell_Curve",$NN$19*(122-$NR$19+1)*($NS$19-122+1)/$NU$19,$NN$19/$NT$19)),0)</f>
        <v/>
      </c>
      <c r="DW19" s="402">
        <f>IF(AND(123&gt;=$NR$19,123&lt;=$NS$19),IF($NP$19="Single_Point",IF(123=$NR$19,$NN$19,0),IF($NP$19="Bell_Curve",$NN$19*(123-$NR$19+1)*($NS$19-123+1)/$NU$19,$NN$19/$NT$19)),0)</f>
        <v/>
      </c>
      <c r="DX19" s="402">
        <f>IF(AND(124&gt;=$NR$19,124&lt;=$NS$19),IF($NP$19="Single_Point",IF(124=$NR$19,$NN$19,0),IF($NP$19="Bell_Curve",$NN$19*(124-$NR$19+1)*($NS$19-124+1)/$NU$19,$NN$19/$NT$19)),0)</f>
        <v/>
      </c>
      <c r="DY19" s="402">
        <f>IF(AND(125&gt;=$NR$19,125&lt;=$NS$19),IF($NP$19="Single_Point",IF(125=$NR$19,$NN$19,0),IF($NP$19="Bell_Curve",$NN$19*(125-$NR$19+1)*($NS$19-125+1)/$NU$19,$NN$19/$NT$19)),0)</f>
        <v/>
      </c>
      <c r="DZ19" s="402">
        <f>IF(AND(126&gt;=$NR$19,126&lt;=$NS$19),IF($NP$19="Single_Point",IF(126=$NR$19,$NN$19,0),IF($NP$19="Bell_Curve",$NN$19*(126-$NR$19+1)*($NS$19-126+1)/$NU$19,$NN$19/$NT$19)),0)</f>
        <v/>
      </c>
      <c r="EA19" s="402">
        <f>IF(AND(127&gt;=$NR$19,127&lt;=$NS$19),IF($NP$19="Single_Point",IF(127=$NR$19,$NN$19,0),IF($NP$19="Bell_Curve",$NN$19*(127-$NR$19+1)*($NS$19-127+1)/$NU$19,$NN$19/$NT$19)),0)</f>
        <v/>
      </c>
      <c r="EB19" s="402">
        <f>IF(AND(128&gt;=$NR$19,128&lt;=$NS$19),IF($NP$19="Single_Point",IF(128=$NR$19,$NN$19,0),IF($NP$19="Bell_Curve",$NN$19*(128-$NR$19+1)*($NS$19-128+1)/$NU$19,$NN$19/$NT$19)),0)</f>
        <v/>
      </c>
      <c r="EC19" s="402">
        <f>IF(AND(129&gt;=$NR$19,129&lt;=$NS$19),IF($NP$19="Single_Point",IF(129=$NR$19,$NN$19,0),IF($NP$19="Bell_Curve",$NN$19*(129-$NR$19+1)*($NS$19-129+1)/$NU$19,$NN$19/$NT$19)),0)</f>
        <v/>
      </c>
      <c r="ED19" s="402">
        <f>IF(AND(130&gt;=$NR$19,130&lt;=$NS$19),IF($NP$19="Single_Point",IF(130=$NR$19,$NN$19,0),IF($NP$19="Bell_Curve",$NN$19*(130-$NR$19+1)*($NS$19-130+1)/$NU$19,$NN$19/$NT$19)),0)</f>
        <v/>
      </c>
      <c r="EE19" s="402">
        <f>IF(AND(131&gt;=$NR$19,131&lt;=$NS$19),IF($NP$19="Single_Point",IF(131=$NR$19,$NN$19,0),IF($NP$19="Bell_Curve",$NN$19*(131-$NR$19+1)*($NS$19-131+1)/$NU$19,$NN$19/$NT$19)),0)</f>
        <v/>
      </c>
      <c r="EF19" s="402">
        <f>IF(AND(132&gt;=$NR$19,132&lt;=$NS$19),IF($NP$19="Single_Point",IF(132=$NR$19,$NN$19,0),IF($NP$19="Bell_Curve",$NN$19*(132-$NR$19+1)*($NS$19-132+1)/$NU$19,$NN$19/$NT$19)),0)</f>
        <v/>
      </c>
      <c r="EG19" s="402">
        <f>IF(AND(133&gt;=$NR$19,133&lt;=$NS$19),IF($NP$19="Single_Point",IF(133=$NR$19,$NN$19,0),IF($NP$19="Bell_Curve",$NN$19*(133-$NR$19+1)*($NS$19-133+1)/$NU$19,$NN$19/$NT$19)),0)</f>
        <v/>
      </c>
      <c r="EH19" s="402">
        <f>IF(AND(134&gt;=$NR$19,134&lt;=$NS$19),IF($NP$19="Single_Point",IF(134=$NR$19,$NN$19,0),IF($NP$19="Bell_Curve",$NN$19*(134-$NR$19+1)*($NS$19-134+1)/$NU$19,$NN$19/$NT$19)),0)</f>
        <v/>
      </c>
      <c r="EI19" s="402">
        <f>IF(AND(135&gt;=$NR$19,135&lt;=$NS$19),IF($NP$19="Single_Point",IF(135=$NR$19,$NN$19,0),IF($NP$19="Bell_Curve",$NN$19*(135-$NR$19+1)*($NS$19-135+1)/$NU$19,$NN$19/$NT$19)),0)</f>
        <v/>
      </c>
      <c r="EJ19" s="402">
        <f>IF(AND(136&gt;=$NR$19,136&lt;=$NS$19),IF($NP$19="Single_Point",IF(136=$NR$19,$NN$19,0),IF($NP$19="Bell_Curve",$NN$19*(136-$NR$19+1)*($NS$19-136+1)/$NU$19,$NN$19/$NT$19)),0)</f>
        <v/>
      </c>
      <c r="EK19" s="402">
        <f>IF(AND(137&gt;=$NR$19,137&lt;=$NS$19),IF($NP$19="Single_Point",IF(137=$NR$19,$NN$19,0),IF($NP$19="Bell_Curve",$NN$19*(137-$NR$19+1)*($NS$19-137+1)/$NU$19,$NN$19/$NT$19)),0)</f>
        <v/>
      </c>
      <c r="EL19" s="402">
        <f>IF(AND(138&gt;=$NR$19,138&lt;=$NS$19),IF($NP$19="Single_Point",IF(138=$NR$19,$NN$19,0),IF($NP$19="Bell_Curve",$NN$19*(138-$NR$19+1)*($NS$19-138+1)/$NU$19,$NN$19/$NT$19)),0)</f>
        <v/>
      </c>
      <c r="EM19" s="402">
        <f>IF(AND(139&gt;=$NR$19,139&lt;=$NS$19),IF($NP$19="Single_Point",IF(139=$NR$19,$NN$19,0),IF($NP$19="Bell_Curve",$NN$19*(139-$NR$19+1)*($NS$19-139+1)/$NU$19,$NN$19/$NT$19)),0)</f>
        <v/>
      </c>
      <c r="EN19" s="402">
        <f>IF(AND(140&gt;=$NR$19,140&lt;=$NS$19),IF($NP$19="Single_Point",IF(140=$NR$19,$NN$19,0),IF($NP$19="Bell_Curve",$NN$19*(140-$NR$19+1)*($NS$19-140+1)/$NU$19,$NN$19/$NT$19)),0)</f>
        <v/>
      </c>
      <c r="EO19" s="402">
        <f>IF(AND(141&gt;=$NR$19,141&lt;=$NS$19),IF($NP$19="Single_Point",IF(141=$NR$19,$NN$19,0),IF($NP$19="Bell_Curve",$NN$19*(141-$NR$19+1)*($NS$19-141+1)/$NU$19,$NN$19/$NT$19)),0)</f>
        <v/>
      </c>
      <c r="EP19" s="402">
        <f>IF(AND(142&gt;=$NR$19,142&lt;=$NS$19),IF($NP$19="Single_Point",IF(142=$NR$19,$NN$19,0),IF($NP$19="Bell_Curve",$NN$19*(142-$NR$19+1)*($NS$19-142+1)/$NU$19,$NN$19/$NT$19)),0)</f>
        <v/>
      </c>
      <c r="EQ19" s="402">
        <f>IF(AND(143&gt;=$NR$19,143&lt;=$NS$19),IF($NP$19="Single_Point",IF(143=$NR$19,$NN$19,0),IF($NP$19="Bell_Curve",$NN$19*(143-$NR$19+1)*($NS$19-143+1)/$NU$19,$NN$19/$NT$19)),0)</f>
        <v/>
      </c>
      <c r="ER19" s="402">
        <f>IF(AND(144&gt;=$NR$19,144&lt;=$NS$19),IF($NP$19="Single_Point",IF(144=$NR$19,$NN$19,0),IF($NP$19="Bell_Curve",$NN$19*(144-$NR$19+1)*($NS$19-144+1)/$NU$19,$NN$19/$NT$19)),0)</f>
        <v/>
      </c>
      <c r="ES19" s="402">
        <f>IF(AND(145&gt;=$NR$19,145&lt;=$NS$19),IF($NP$19="Single_Point",IF(145=$NR$19,$NN$19,0),IF($NP$19="Bell_Curve",$NN$19*(145-$NR$19+1)*($NS$19-145+1)/$NU$19,$NN$19/$NT$19)),0)</f>
        <v/>
      </c>
      <c r="ET19" s="402">
        <f>IF(AND(146&gt;=$NR$19,146&lt;=$NS$19),IF($NP$19="Single_Point",IF(146=$NR$19,$NN$19,0),IF($NP$19="Bell_Curve",$NN$19*(146-$NR$19+1)*($NS$19-146+1)/$NU$19,$NN$19/$NT$19)),0)</f>
        <v/>
      </c>
      <c r="EU19" s="402">
        <f>IF(AND(147&gt;=$NR$19,147&lt;=$NS$19),IF($NP$19="Single_Point",IF(147=$NR$19,$NN$19,0),IF($NP$19="Bell_Curve",$NN$19*(147-$NR$19+1)*($NS$19-147+1)/$NU$19,$NN$19/$NT$19)),0)</f>
        <v/>
      </c>
      <c r="EV19" s="402">
        <f>IF(AND(148&gt;=$NR$19,148&lt;=$NS$19),IF($NP$19="Single_Point",IF(148=$NR$19,$NN$19,0),IF($NP$19="Bell_Curve",$NN$19*(148-$NR$19+1)*($NS$19-148+1)/$NU$19,$NN$19/$NT$19)),0)</f>
        <v/>
      </c>
      <c r="EW19" s="402">
        <f>IF(AND(149&gt;=$NR$19,149&lt;=$NS$19),IF($NP$19="Single_Point",IF(149=$NR$19,$NN$19,0),IF($NP$19="Bell_Curve",$NN$19*(149-$NR$19+1)*($NS$19-149+1)/$NU$19,$NN$19/$NT$19)),0)</f>
        <v/>
      </c>
      <c r="EX19" s="402">
        <f>IF(AND(150&gt;=$NR$19,150&lt;=$NS$19),IF($NP$19="Single_Point",IF(150=$NR$19,$NN$19,0),IF($NP$19="Bell_Curve",$NN$19*(150-$NR$19+1)*($NS$19-150+1)/$NU$19,$NN$19/$NT$19)),0)</f>
        <v/>
      </c>
      <c r="EY19" s="402">
        <f>IF(AND(151&gt;=$NR$19,151&lt;=$NS$19),IF($NP$19="Single_Point",IF(151=$NR$19,$NN$19,0),IF($NP$19="Bell_Curve",$NN$19*(151-$NR$19+1)*($NS$19-151+1)/$NU$19,$NN$19/$NT$19)),0)</f>
        <v/>
      </c>
      <c r="EZ19" s="402">
        <f>IF(AND(152&gt;=$NR$19,152&lt;=$NS$19),IF($NP$19="Single_Point",IF(152=$NR$19,$NN$19,0),IF($NP$19="Bell_Curve",$NN$19*(152-$NR$19+1)*($NS$19-152+1)/$NU$19,$NN$19/$NT$19)),0)</f>
        <v/>
      </c>
      <c r="FA19" s="402">
        <f>IF(AND(153&gt;=$NR$19,153&lt;=$NS$19),IF($NP$19="Single_Point",IF(153=$NR$19,$NN$19,0),IF($NP$19="Bell_Curve",$NN$19*(153-$NR$19+1)*($NS$19-153+1)/$NU$19,$NN$19/$NT$19)),0)</f>
        <v/>
      </c>
      <c r="FB19" s="402">
        <f>IF(AND(154&gt;=$NR$19,154&lt;=$NS$19),IF($NP$19="Single_Point",IF(154=$NR$19,$NN$19,0),IF($NP$19="Bell_Curve",$NN$19*(154-$NR$19+1)*($NS$19-154+1)/$NU$19,$NN$19/$NT$19)),0)</f>
        <v/>
      </c>
      <c r="FC19" s="402">
        <f>IF(AND(155&gt;=$NR$19,155&lt;=$NS$19),IF($NP$19="Single_Point",IF(155=$NR$19,$NN$19,0),IF($NP$19="Bell_Curve",$NN$19*(155-$NR$19+1)*($NS$19-155+1)/$NU$19,$NN$19/$NT$19)),0)</f>
        <v/>
      </c>
      <c r="FD19" s="402">
        <f>IF(AND(156&gt;=$NR$19,156&lt;=$NS$19),IF($NP$19="Single_Point",IF(156=$NR$19,$NN$19,0),IF($NP$19="Bell_Curve",$NN$19*(156-$NR$19+1)*($NS$19-156+1)/$NU$19,$NN$19/$NT$19)),0)</f>
        <v/>
      </c>
      <c r="FE19" s="402">
        <f>IF(AND(157&gt;=$NR$19,157&lt;=$NS$19),IF($NP$19="Single_Point",IF(157=$NR$19,$NN$19,0),IF($NP$19="Bell_Curve",$NN$19*(157-$NR$19+1)*($NS$19-157+1)/$NU$19,$NN$19/$NT$19)),0)</f>
        <v/>
      </c>
      <c r="FF19" s="402">
        <f>IF(AND(158&gt;=$NR$19,158&lt;=$NS$19),IF($NP$19="Single_Point",IF(158=$NR$19,$NN$19,0),IF($NP$19="Bell_Curve",$NN$19*(158-$NR$19+1)*($NS$19-158+1)/$NU$19,$NN$19/$NT$19)),0)</f>
        <v/>
      </c>
      <c r="FG19" s="402">
        <f>IF(AND(159&gt;=$NR$19,159&lt;=$NS$19),IF($NP$19="Single_Point",IF(159=$NR$19,$NN$19,0),IF($NP$19="Bell_Curve",$NN$19*(159-$NR$19+1)*($NS$19-159+1)/$NU$19,$NN$19/$NT$19)),0)</f>
        <v/>
      </c>
      <c r="FH19" s="402">
        <f>IF(AND(160&gt;=$NR$19,160&lt;=$NS$19),IF($NP$19="Single_Point",IF(160=$NR$19,$NN$19,0),IF($NP$19="Bell_Curve",$NN$19*(160-$NR$19+1)*($NS$19-160+1)/$NU$19,$NN$19/$NT$19)),0)</f>
        <v/>
      </c>
      <c r="FI19" s="402">
        <f>IF(AND(161&gt;=$NR$19,161&lt;=$NS$19),IF($NP$19="Single_Point",IF(161=$NR$19,$NN$19,0),IF($NP$19="Bell_Curve",$NN$19*(161-$NR$19+1)*($NS$19-161+1)/$NU$19,$NN$19/$NT$19)),0)</f>
        <v/>
      </c>
      <c r="FJ19" s="402">
        <f>IF(AND(162&gt;=$NR$19,162&lt;=$NS$19),IF($NP$19="Single_Point",IF(162=$NR$19,$NN$19,0),IF($NP$19="Bell_Curve",$NN$19*(162-$NR$19+1)*($NS$19-162+1)/$NU$19,$NN$19/$NT$19)),0)</f>
        <v/>
      </c>
      <c r="FK19" s="402">
        <f>IF(AND(163&gt;=$NR$19,163&lt;=$NS$19),IF($NP$19="Single_Point",IF(163=$NR$19,$NN$19,0),IF($NP$19="Bell_Curve",$NN$19*(163-$NR$19+1)*($NS$19-163+1)/$NU$19,$NN$19/$NT$19)),0)</f>
        <v/>
      </c>
      <c r="FL19" s="402">
        <f>IF(AND(164&gt;=$NR$19,164&lt;=$NS$19),IF($NP$19="Single_Point",IF(164=$NR$19,$NN$19,0),IF($NP$19="Bell_Curve",$NN$19*(164-$NR$19+1)*($NS$19-164+1)/$NU$19,$NN$19/$NT$19)),0)</f>
        <v/>
      </c>
      <c r="FM19" s="402">
        <f>IF(AND(165&gt;=$NR$19,165&lt;=$NS$19),IF($NP$19="Single_Point",IF(165=$NR$19,$NN$19,0),IF($NP$19="Bell_Curve",$NN$19*(165-$NR$19+1)*($NS$19-165+1)/$NU$19,$NN$19/$NT$19)),0)</f>
        <v/>
      </c>
      <c r="FN19" s="402">
        <f>IF(AND(166&gt;=$NR$19,166&lt;=$NS$19),IF($NP$19="Single_Point",IF(166=$NR$19,$NN$19,0),IF($NP$19="Bell_Curve",$NN$19*(166-$NR$19+1)*($NS$19-166+1)/$NU$19,$NN$19/$NT$19)),0)</f>
        <v/>
      </c>
      <c r="FO19" s="402">
        <f>IF(AND(167&gt;=$NR$19,167&lt;=$NS$19),IF($NP$19="Single_Point",IF(167=$NR$19,$NN$19,0),IF($NP$19="Bell_Curve",$NN$19*(167-$NR$19+1)*($NS$19-167+1)/$NU$19,$NN$19/$NT$19)),0)</f>
        <v/>
      </c>
      <c r="FP19" s="402">
        <f>IF(AND(168&gt;=$NR$19,168&lt;=$NS$19),IF($NP$19="Single_Point",IF(168=$NR$19,$NN$19,0),IF($NP$19="Bell_Curve",$NN$19*(168-$NR$19+1)*($NS$19-168+1)/$NU$19,$NN$19/$NT$19)),0)</f>
        <v/>
      </c>
      <c r="FQ19" s="402">
        <f>IF(AND(169&gt;=$NR$19,169&lt;=$NS$19),IF($NP$19="Single_Point",IF(169=$NR$19,$NN$19,0),IF($NP$19="Bell_Curve",$NN$19*(169-$NR$19+1)*($NS$19-169+1)/$NU$19,$NN$19/$NT$19)),0)</f>
        <v/>
      </c>
      <c r="FR19" s="402">
        <f>IF(AND(170&gt;=$NR$19,170&lt;=$NS$19),IF($NP$19="Single_Point",IF(170=$NR$19,$NN$19,0),IF($NP$19="Bell_Curve",$NN$19*(170-$NR$19+1)*($NS$19-170+1)/$NU$19,$NN$19/$NT$19)),0)</f>
        <v/>
      </c>
      <c r="FS19" s="402">
        <f>IF(AND(171&gt;=$NR$19,171&lt;=$NS$19),IF($NP$19="Single_Point",IF(171=$NR$19,$NN$19,0),IF($NP$19="Bell_Curve",$NN$19*(171-$NR$19+1)*($NS$19-171+1)/$NU$19,$NN$19/$NT$19)),0)</f>
        <v/>
      </c>
      <c r="FT19" s="402">
        <f>IF(AND(172&gt;=$NR$19,172&lt;=$NS$19),IF($NP$19="Single_Point",IF(172=$NR$19,$NN$19,0),IF($NP$19="Bell_Curve",$NN$19*(172-$NR$19+1)*($NS$19-172+1)/$NU$19,$NN$19/$NT$19)),0)</f>
        <v/>
      </c>
      <c r="FU19" s="402">
        <f>IF(AND(173&gt;=$NR$19,173&lt;=$NS$19),IF($NP$19="Single_Point",IF(173=$NR$19,$NN$19,0),IF($NP$19="Bell_Curve",$NN$19*(173-$NR$19+1)*($NS$19-173+1)/$NU$19,$NN$19/$NT$19)),0)</f>
        <v/>
      </c>
      <c r="FV19" s="402">
        <f>IF(AND(174&gt;=$NR$19,174&lt;=$NS$19),IF($NP$19="Single_Point",IF(174=$NR$19,$NN$19,0),IF($NP$19="Bell_Curve",$NN$19*(174-$NR$19+1)*($NS$19-174+1)/$NU$19,$NN$19/$NT$19)),0)</f>
        <v/>
      </c>
      <c r="FW19" s="402">
        <f>IF(AND(175&gt;=$NR$19,175&lt;=$NS$19),IF($NP$19="Single_Point",IF(175=$NR$19,$NN$19,0),IF($NP$19="Bell_Curve",$NN$19*(175-$NR$19+1)*($NS$19-175+1)/$NU$19,$NN$19/$NT$19)),0)</f>
        <v/>
      </c>
      <c r="FX19" s="402">
        <f>IF(AND(176&gt;=$NR$19,176&lt;=$NS$19),IF($NP$19="Single_Point",IF(176=$NR$19,$NN$19,0),IF($NP$19="Bell_Curve",$NN$19*(176-$NR$19+1)*($NS$19-176+1)/$NU$19,$NN$19/$NT$19)),0)</f>
        <v/>
      </c>
      <c r="FY19" s="402">
        <f>IF(AND(177&gt;=$NR$19,177&lt;=$NS$19),IF($NP$19="Single_Point",IF(177=$NR$19,$NN$19,0),IF($NP$19="Bell_Curve",$NN$19*(177-$NR$19+1)*($NS$19-177+1)/$NU$19,$NN$19/$NT$19)),0)</f>
        <v/>
      </c>
      <c r="FZ19" s="402">
        <f>IF(AND(178&gt;=$NR$19,178&lt;=$NS$19),IF($NP$19="Single_Point",IF(178=$NR$19,$NN$19,0),IF($NP$19="Bell_Curve",$NN$19*(178-$NR$19+1)*($NS$19-178+1)/$NU$19,$NN$19/$NT$19)),0)</f>
        <v/>
      </c>
      <c r="GA19" s="402">
        <f>IF(AND(179&gt;=$NR$19,179&lt;=$NS$19),IF($NP$19="Single_Point",IF(179=$NR$19,$NN$19,0),IF($NP$19="Bell_Curve",$NN$19*(179-$NR$19+1)*($NS$19-179+1)/$NU$19,$NN$19/$NT$19)),0)</f>
        <v/>
      </c>
      <c r="GB19" s="402">
        <f>IF(AND(180&gt;=$NR$19,180&lt;=$NS$19),IF($NP$19="Single_Point",IF(180=$NR$19,$NN$19,0),IF($NP$19="Bell_Curve",$NN$19*(180-$NR$19+1)*($NS$19-180+1)/$NU$19,$NN$19/$NT$19)),0)</f>
        <v/>
      </c>
      <c r="GC19" s="402">
        <f>IF(AND(181&gt;=$NR$19,181&lt;=$NS$19),IF($NP$19="Single_Point",IF(181=$NR$19,$NN$19,0),IF($NP$19="Bell_Curve",$NN$19*(181-$NR$19+1)*($NS$19-181+1)/$NU$19,$NN$19/$NT$19)),0)</f>
        <v/>
      </c>
      <c r="GD19" s="402">
        <f>IF(AND(182&gt;=$NR$19,182&lt;=$NS$19),IF($NP$19="Single_Point",IF(182=$NR$19,$NN$19,0),IF($NP$19="Bell_Curve",$NN$19*(182-$NR$19+1)*($NS$19-182+1)/$NU$19,$NN$19/$NT$19)),0)</f>
        <v/>
      </c>
      <c r="GE19" s="402">
        <f>IF(AND(183&gt;=$NR$19,183&lt;=$NS$19),IF($NP$19="Single_Point",IF(183=$NR$19,$NN$19,0),IF($NP$19="Bell_Curve",$NN$19*(183-$NR$19+1)*($NS$19-183+1)/$NU$19,$NN$19/$NT$19)),0)</f>
        <v/>
      </c>
      <c r="GF19" s="402">
        <f>IF(AND(184&gt;=$NR$19,184&lt;=$NS$19),IF($NP$19="Single_Point",IF(184=$NR$19,$NN$19,0),IF($NP$19="Bell_Curve",$NN$19*(184-$NR$19+1)*($NS$19-184+1)/$NU$19,$NN$19/$NT$19)),0)</f>
        <v/>
      </c>
      <c r="GG19" s="402">
        <f>IF(AND(185&gt;=$NR$19,185&lt;=$NS$19),IF($NP$19="Single_Point",IF(185=$NR$19,$NN$19,0),IF($NP$19="Bell_Curve",$NN$19*(185-$NR$19+1)*($NS$19-185+1)/$NU$19,$NN$19/$NT$19)),0)</f>
        <v/>
      </c>
      <c r="GH19" s="402">
        <f>IF(AND(186&gt;=$NR$19,186&lt;=$NS$19),IF($NP$19="Single_Point",IF(186=$NR$19,$NN$19,0),IF($NP$19="Bell_Curve",$NN$19*(186-$NR$19+1)*($NS$19-186+1)/$NU$19,$NN$19/$NT$19)),0)</f>
        <v/>
      </c>
      <c r="GI19" s="402">
        <f>IF(AND(187&gt;=$NR$19,187&lt;=$NS$19),IF($NP$19="Single_Point",IF(187=$NR$19,$NN$19,0),IF($NP$19="Bell_Curve",$NN$19*(187-$NR$19+1)*($NS$19-187+1)/$NU$19,$NN$19/$NT$19)),0)</f>
        <v/>
      </c>
      <c r="GJ19" s="402">
        <f>IF(AND(188&gt;=$NR$19,188&lt;=$NS$19),IF($NP$19="Single_Point",IF(188=$NR$19,$NN$19,0),IF($NP$19="Bell_Curve",$NN$19*(188-$NR$19+1)*($NS$19-188+1)/$NU$19,$NN$19/$NT$19)),0)</f>
        <v/>
      </c>
      <c r="GK19" s="402">
        <f>IF(AND(189&gt;=$NR$19,189&lt;=$NS$19),IF($NP$19="Single_Point",IF(189=$NR$19,$NN$19,0),IF($NP$19="Bell_Curve",$NN$19*(189-$NR$19+1)*($NS$19-189+1)/$NU$19,$NN$19/$NT$19)),0)</f>
        <v/>
      </c>
      <c r="GL19" s="402">
        <f>IF(AND(190&gt;=$NR$19,190&lt;=$NS$19),IF($NP$19="Single_Point",IF(190=$NR$19,$NN$19,0),IF($NP$19="Bell_Curve",$NN$19*(190-$NR$19+1)*($NS$19-190+1)/$NU$19,$NN$19/$NT$19)),0)</f>
        <v/>
      </c>
      <c r="GM19" s="402">
        <f>IF(AND(191&gt;=$NR$19,191&lt;=$NS$19),IF($NP$19="Single_Point",IF(191=$NR$19,$NN$19,0),IF($NP$19="Bell_Curve",$NN$19*(191-$NR$19+1)*($NS$19-191+1)/$NU$19,$NN$19/$NT$19)),0)</f>
        <v/>
      </c>
      <c r="GN19" s="402">
        <f>IF(AND(192&gt;=$NR$19,192&lt;=$NS$19),IF($NP$19="Single_Point",IF(192=$NR$19,$NN$19,0),IF($NP$19="Bell_Curve",$NN$19*(192-$NR$19+1)*($NS$19-192+1)/$NU$19,$NN$19/$NT$19)),0)</f>
        <v/>
      </c>
      <c r="GO19" s="402">
        <f>IF(AND(193&gt;=$NR$19,193&lt;=$NS$19),IF($NP$19="Single_Point",IF(193=$NR$19,$NN$19,0),IF($NP$19="Bell_Curve",$NN$19*(193-$NR$19+1)*($NS$19-193+1)/$NU$19,$NN$19/$NT$19)),0)</f>
        <v/>
      </c>
      <c r="GP19" s="402">
        <f>IF(AND(194&gt;=$NR$19,194&lt;=$NS$19),IF($NP$19="Single_Point",IF(194=$NR$19,$NN$19,0),IF($NP$19="Bell_Curve",$NN$19*(194-$NR$19+1)*($NS$19-194+1)/$NU$19,$NN$19/$NT$19)),0)</f>
        <v/>
      </c>
      <c r="GQ19" s="402">
        <f>IF(AND(195&gt;=$NR$19,195&lt;=$NS$19),IF($NP$19="Single_Point",IF(195=$NR$19,$NN$19,0),IF($NP$19="Bell_Curve",$NN$19*(195-$NR$19+1)*($NS$19-195+1)/$NU$19,$NN$19/$NT$19)),0)</f>
        <v/>
      </c>
      <c r="GR19" s="402">
        <f>IF(AND(196&gt;=$NR$19,196&lt;=$NS$19),IF($NP$19="Single_Point",IF(196=$NR$19,$NN$19,0),IF($NP$19="Bell_Curve",$NN$19*(196-$NR$19+1)*($NS$19-196+1)/$NU$19,$NN$19/$NT$19)),0)</f>
        <v/>
      </c>
      <c r="GS19" s="402">
        <f>IF(AND(197&gt;=$NR$19,197&lt;=$NS$19),IF($NP$19="Single_Point",IF(197=$NR$19,$NN$19,0),IF($NP$19="Bell_Curve",$NN$19*(197-$NR$19+1)*($NS$19-197+1)/$NU$19,$NN$19/$NT$19)),0)</f>
        <v/>
      </c>
      <c r="GT19" s="402">
        <f>IF(AND(198&gt;=$NR$19,198&lt;=$NS$19),IF($NP$19="Single_Point",IF(198=$NR$19,$NN$19,0),IF($NP$19="Bell_Curve",$NN$19*(198-$NR$19+1)*($NS$19-198+1)/$NU$19,$NN$19/$NT$19)),0)</f>
        <v/>
      </c>
      <c r="GU19" s="402">
        <f>IF(AND(199&gt;=$NR$19,199&lt;=$NS$19),IF($NP$19="Single_Point",IF(199=$NR$19,$NN$19,0),IF($NP$19="Bell_Curve",$NN$19*(199-$NR$19+1)*($NS$19-199+1)/$NU$19,$NN$19/$NT$19)),0)</f>
        <v/>
      </c>
      <c r="GV19" s="402">
        <f>IF(AND(200&gt;=$NR$19,200&lt;=$NS$19),IF($NP$19="Single_Point",IF(200=$NR$19,$NN$19,0),IF($NP$19="Bell_Curve",$NN$19*(200-$NR$19+1)*($NS$19-200+1)/$NU$19,$NN$19/$NT$19)),0)</f>
        <v/>
      </c>
      <c r="GW19" s="402">
        <f>IF(AND(201&gt;=$NR$19,201&lt;=$NS$19),IF($NP$19="Single_Point",IF(201=$NR$19,$NN$19,0),IF($NP$19="Bell_Curve",$NN$19*(201-$NR$19+1)*($NS$19-201+1)/$NU$19,$NN$19/$NT$19)),0)</f>
        <v/>
      </c>
      <c r="GX19" s="402">
        <f>IF(AND(202&gt;=$NR$19,202&lt;=$NS$19),IF($NP$19="Single_Point",IF(202=$NR$19,$NN$19,0),IF($NP$19="Bell_Curve",$NN$19*(202-$NR$19+1)*($NS$19-202+1)/$NU$19,$NN$19/$NT$19)),0)</f>
        <v/>
      </c>
      <c r="GY19" s="402">
        <f>IF(AND(203&gt;=$NR$19,203&lt;=$NS$19),IF($NP$19="Single_Point",IF(203=$NR$19,$NN$19,0),IF($NP$19="Bell_Curve",$NN$19*(203-$NR$19+1)*($NS$19-203+1)/$NU$19,$NN$19/$NT$19)),0)</f>
        <v/>
      </c>
      <c r="GZ19" s="402">
        <f>IF(AND(204&gt;=$NR$19,204&lt;=$NS$19),IF($NP$19="Single_Point",IF(204=$NR$19,$NN$19,0),IF($NP$19="Bell_Curve",$NN$19*(204-$NR$19+1)*($NS$19-204+1)/$NU$19,$NN$19/$NT$19)),0)</f>
        <v/>
      </c>
      <c r="HA19" s="402">
        <f>IF(AND(205&gt;=$NR$19,205&lt;=$NS$19),IF($NP$19="Single_Point",IF(205=$NR$19,$NN$19,0),IF($NP$19="Bell_Curve",$NN$19*(205-$NR$19+1)*($NS$19-205+1)/$NU$19,$NN$19/$NT$19)),0)</f>
        <v/>
      </c>
      <c r="HB19" s="402">
        <f>IF(AND(206&gt;=$NR$19,206&lt;=$NS$19),IF($NP$19="Single_Point",IF(206=$NR$19,$NN$19,0),IF($NP$19="Bell_Curve",$NN$19*(206-$NR$19+1)*($NS$19-206+1)/$NU$19,$NN$19/$NT$19)),0)</f>
        <v/>
      </c>
      <c r="HC19" s="402">
        <f>IF(AND(207&gt;=$NR$19,207&lt;=$NS$19),IF($NP$19="Single_Point",IF(207=$NR$19,$NN$19,0),IF($NP$19="Bell_Curve",$NN$19*(207-$NR$19+1)*($NS$19-207+1)/$NU$19,$NN$19/$NT$19)),0)</f>
        <v/>
      </c>
      <c r="HD19" s="402">
        <f>IF(AND(208&gt;=$NR$19,208&lt;=$NS$19),IF($NP$19="Single_Point",IF(208=$NR$19,$NN$19,0),IF($NP$19="Bell_Curve",$NN$19*(208-$NR$19+1)*($NS$19-208+1)/$NU$19,$NN$19/$NT$19)),0)</f>
        <v/>
      </c>
      <c r="HE19" s="402">
        <f>IF(AND(209&gt;=$NR$19,209&lt;=$NS$19),IF($NP$19="Single_Point",IF(209=$NR$19,$NN$19,0),IF($NP$19="Bell_Curve",$NN$19*(209-$NR$19+1)*($NS$19-209+1)/$NU$19,$NN$19/$NT$19)),0)</f>
        <v/>
      </c>
      <c r="HF19" s="402">
        <f>IF(AND(210&gt;=$NR$19,210&lt;=$NS$19),IF($NP$19="Single_Point",IF(210=$NR$19,$NN$19,0),IF($NP$19="Bell_Curve",$NN$19*(210-$NR$19+1)*($NS$19-210+1)/$NU$19,$NN$19/$NT$19)),0)</f>
        <v/>
      </c>
      <c r="HG19" s="402">
        <f>IF(AND(211&gt;=$NR$19,211&lt;=$NS$19),IF($NP$19="Single_Point",IF(211=$NR$19,$NN$19,0),IF($NP$19="Bell_Curve",$NN$19*(211-$NR$19+1)*($NS$19-211+1)/$NU$19,$NN$19/$NT$19)),0)</f>
        <v/>
      </c>
      <c r="HH19" s="402">
        <f>IF(AND(212&gt;=$NR$19,212&lt;=$NS$19),IF($NP$19="Single_Point",IF(212=$NR$19,$NN$19,0),IF($NP$19="Bell_Curve",$NN$19*(212-$NR$19+1)*($NS$19-212+1)/$NU$19,$NN$19/$NT$19)),0)</f>
        <v/>
      </c>
      <c r="HI19" s="402">
        <f>IF(AND(213&gt;=$NR$19,213&lt;=$NS$19),IF($NP$19="Single_Point",IF(213=$NR$19,$NN$19,0),IF($NP$19="Bell_Curve",$NN$19*(213-$NR$19+1)*($NS$19-213+1)/$NU$19,$NN$19/$NT$19)),0)</f>
        <v/>
      </c>
      <c r="HJ19" s="402">
        <f>IF(AND(214&gt;=$NR$19,214&lt;=$NS$19),IF($NP$19="Single_Point",IF(214=$NR$19,$NN$19,0),IF($NP$19="Bell_Curve",$NN$19*(214-$NR$19+1)*($NS$19-214+1)/$NU$19,$NN$19/$NT$19)),0)</f>
        <v/>
      </c>
      <c r="HK19" s="402">
        <f>IF(AND(215&gt;=$NR$19,215&lt;=$NS$19),IF($NP$19="Single_Point",IF(215=$NR$19,$NN$19,0),IF($NP$19="Bell_Curve",$NN$19*(215-$NR$19+1)*($NS$19-215+1)/$NU$19,$NN$19/$NT$19)),0)</f>
        <v/>
      </c>
      <c r="HL19" s="402">
        <f>IF(AND(216&gt;=$NR$19,216&lt;=$NS$19),IF($NP$19="Single_Point",IF(216=$NR$19,$NN$19,0),IF($NP$19="Bell_Curve",$NN$19*(216-$NR$19+1)*($NS$19-216+1)/$NU$19,$NN$19/$NT$19)),0)</f>
        <v/>
      </c>
      <c r="HM19" s="402">
        <f>IF(AND(217&gt;=$NR$19,217&lt;=$NS$19),IF($NP$19="Single_Point",IF(217=$NR$19,$NN$19,0),IF($NP$19="Bell_Curve",$NN$19*(217-$NR$19+1)*($NS$19-217+1)/$NU$19,$NN$19/$NT$19)),0)</f>
        <v/>
      </c>
      <c r="HN19" s="402">
        <f>IF(AND(218&gt;=$NR$19,218&lt;=$NS$19),IF($NP$19="Single_Point",IF(218=$NR$19,$NN$19,0),IF($NP$19="Bell_Curve",$NN$19*(218-$NR$19+1)*($NS$19-218+1)/$NU$19,$NN$19/$NT$19)),0)</f>
        <v/>
      </c>
      <c r="HO19" s="402">
        <f>IF(AND(219&gt;=$NR$19,219&lt;=$NS$19),IF($NP$19="Single_Point",IF(219=$NR$19,$NN$19,0),IF($NP$19="Bell_Curve",$NN$19*(219-$NR$19+1)*($NS$19-219+1)/$NU$19,$NN$19/$NT$19)),0)</f>
        <v/>
      </c>
      <c r="HP19" s="402">
        <f>IF(AND(220&gt;=$NR$19,220&lt;=$NS$19),IF($NP$19="Single_Point",IF(220=$NR$19,$NN$19,0),IF($NP$19="Bell_Curve",$NN$19*(220-$NR$19+1)*($NS$19-220+1)/$NU$19,$NN$19/$NT$19)),0)</f>
        <v/>
      </c>
      <c r="HQ19" s="402">
        <f>IF(AND(221&gt;=$NR$19,221&lt;=$NS$19),IF($NP$19="Single_Point",IF(221=$NR$19,$NN$19,0),IF($NP$19="Bell_Curve",$NN$19*(221-$NR$19+1)*($NS$19-221+1)/$NU$19,$NN$19/$NT$19)),0)</f>
        <v/>
      </c>
      <c r="HR19" s="402">
        <f>IF(AND(222&gt;=$NR$19,222&lt;=$NS$19),IF($NP$19="Single_Point",IF(222=$NR$19,$NN$19,0),IF($NP$19="Bell_Curve",$NN$19*(222-$NR$19+1)*($NS$19-222+1)/$NU$19,$NN$19/$NT$19)),0)</f>
        <v/>
      </c>
      <c r="HS19" s="402">
        <f>IF(AND(223&gt;=$NR$19,223&lt;=$NS$19),IF($NP$19="Single_Point",IF(223=$NR$19,$NN$19,0),IF($NP$19="Bell_Curve",$NN$19*(223-$NR$19+1)*($NS$19-223+1)/$NU$19,$NN$19/$NT$19)),0)</f>
        <v/>
      </c>
      <c r="HT19" s="402">
        <f>IF(AND(224&gt;=$NR$19,224&lt;=$NS$19),IF($NP$19="Single_Point",IF(224=$NR$19,$NN$19,0),IF($NP$19="Bell_Curve",$NN$19*(224-$NR$19+1)*($NS$19-224+1)/$NU$19,$NN$19/$NT$19)),0)</f>
        <v/>
      </c>
      <c r="HU19" s="402">
        <f>IF(AND(225&gt;=$NR$19,225&lt;=$NS$19),IF($NP$19="Single_Point",IF(225=$NR$19,$NN$19,0),IF($NP$19="Bell_Curve",$NN$19*(225-$NR$19+1)*($NS$19-225+1)/$NU$19,$NN$19/$NT$19)),0)</f>
        <v/>
      </c>
      <c r="HV19" s="402">
        <f>IF(AND(226&gt;=$NR$19,226&lt;=$NS$19),IF($NP$19="Single_Point",IF(226=$NR$19,$NN$19,0),IF($NP$19="Bell_Curve",$NN$19*(226-$NR$19+1)*($NS$19-226+1)/$NU$19,$NN$19/$NT$19)),0)</f>
        <v/>
      </c>
      <c r="HW19" s="402">
        <f>IF(AND(227&gt;=$NR$19,227&lt;=$NS$19),IF($NP$19="Single_Point",IF(227=$NR$19,$NN$19,0),IF($NP$19="Bell_Curve",$NN$19*(227-$NR$19+1)*($NS$19-227+1)/$NU$19,$NN$19/$NT$19)),0)</f>
        <v/>
      </c>
      <c r="HX19" s="402">
        <f>IF(AND(228&gt;=$NR$19,228&lt;=$NS$19),IF($NP$19="Single_Point",IF(228=$NR$19,$NN$19,0),IF($NP$19="Bell_Curve",$NN$19*(228-$NR$19+1)*($NS$19-228+1)/$NU$19,$NN$19/$NT$19)),0)</f>
        <v/>
      </c>
      <c r="HY19" s="402">
        <f>IF(AND(229&gt;=$NR$19,229&lt;=$NS$19),IF($NP$19="Single_Point",IF(229=$NR$19,$NN$19,0),IF($NP$19="Bell_Curve",$NN$19*(229-$NR$19+1)*($NS$19-229+1)/$NU$19,$NN$19/$NT$19)),0)</f>
        <v/>
      </c>
      <c r="HZ19" s="402">
        <f>IF(AND(230&gt;=$NR$19,230&lt;=$NS$19),IF($NP$19="Single_Point",IF(230=$NR$19,$NN$19,0),IF($NP$19="Bell_Curve",$NN$19*(230-$NR$19+1)*($NS$19-230+1)/$NU$19,$NN$19/$NT$19)),0)</f>
        <v/>
      </c>
      <c r="IA19" s="402">
        <f>IF(AND(231&gt;=$NR$19,231&lt;=$NS$19),IF($NP$19="Single_Point",IF(231=$NR$19,$NN$19,0),IF($NP$19="Bell_Curve",$NN$19*(231-$NR$19+1)*($NS$19-231+1)/$NU$19,$NN$19/$NT$19)),0)</f>
        <v/>
      </c>
      <c r="IB19" s="402">
        <f>IF(AND(232&gt;=$NR$19,232&lt;=$NS$19),IF($NP$19="Single_Point",IF(232=$NR$19,$NN$19,0),IF($NP$19="Bell_Curve",$NN$19*(232-$NR$19+1)*($NS$19-232+1)/$NU$19,$NN$19/$NT$19)),0)</f>
        <v/>
      </c>
      <c r="IC19" s="402">
        <f>IF(AND(233&gt;=$NR$19,233&lt;=$NS$19),IF($NP$19="Single_Point",IF(233=$NR$19,$NN$19,0),IF($NP$19="Bell_Curve",$NN$19*(233-$NR$19+1)*($NS$19-233+1)/$NU$19,$NN$19/$NT$19)),0)</f>
        <v/>
      </c>
      <c r="ID19" s="402">
        <f>IF(AND(234&gt;=$NR$19,234&lt;=$NS$19),IF($NP$19="Single_Point",IF(234=$NR$19,$NN$19,0),IF($NP$19="Bell_Curve",$NN$19*(234-$NR$19+1)*($NS$19-234+1)/$NU$19,$NN$19/$NT$19)),0)</f>
        <v/>
      </c>
      <c r="IE19" s="402">
        <f>IF(AND(235&gt;=$NR$19,235&lt;=$NS$19),IF($NP$19="Single_Point",IF(235=$NR$19,$NN$19,0),IF($NP$19="Bell_Curve",$NN$19*(235-$NR$19+1)*($NS$19-235+1)/$NU$19,$NN$19/$NT$19)),0)</f>
        <v/>
      </c>
      <c r="IF19" s="402">
        <f>IF(AND(236&gt;=$NR$19,236&lt;=$NS$19),IF($NP$19="Single_Point",IF(236=$NR$19,$NN$19,0),IF($NP$19="Bell_Curve",$NN$19*(236-$NR$19+1)*($NS$19-236+1)/$NU$19,$NN$19/$NT$19)),0)</f>
        <v/>
      </c>
      <c r="IG19" s="402">
        <f>IF(AND(237&gt;=$NR$19,237&lt;=$NS$19),IF($NP$19="Single_Point",IF(237=$NR$19,$NN$19,0),IF($NP$19="Bell_Curve",$NN$19*(237-$NR$19+1)*($NS$19-237+1)/$NU$19,$NN$19/$NT$19)),0)</f>
        <v/>
      </c>
      <c r="IH19" s="402">
        <f>IF(AND(238&gt;=$NR$19,238&lt;=$NS$19),IF($NP$19="Single_Point",IF(238=$NR$19,$NN$19,0),IF($NP$19="Bell_Curve",$NN$19*(238-$NR$19+1)*($NS$19-238+1)/$NU$19,$NN$19/$NT$19)),0)</f>
        <v/>
      </c>
      <c r="II19" s="402">
        <f>IF(AND(239&gt;=$NR$19,239&lt;=$NS$19),IF($NP$19="Single_Point",IF(239=$NR$19,$NN$19,0),IF($NP$19="Bell_Curve",$NN$19*(239-$NR$19+1)*($NS$19-239+1)/$NU$19,$NN$19/$NT$19)),0)</f>
        <v/>
      </c>
      <c r="IJ19" s="402">
        <f>IF(AND(240&gt;=$NR$19,240&lt;=$NS$19),IF($NP$19="Single_Point",IF(240=$NR$19,$NN$19,0),IF($NP$19="Bell_Curve",$NN$19*(240-$NR$19+1)*($NS$19-240+1)/$NU$19,$NN$19/$NT$19)),0)</f>
        <v/>
      </c>
      <c r="IK19" s="402">
        <f>IF(AND(241&gt;=$NR$19,241&lt;=$NS$19),IF($NP$19="Single_Point",IF(241=$NR$19,$NN$19,0),IF($NP$19="Bell_Curve",$NN$19*(241-$NR$19+1)*($NS$19-241+1)/$NU$19,$NN$19/$NT$19)),0)</f>
        <v/>
      </c>
      <c r="IL19" s="402">
        <f>IF(AND(242&gt;=$NR$19,242&lt;=$NS$19),IF($NP$19="Single_Point",IF(242=$NR$19,$NN$19,0),IF($NP$19="Bell_Curve",$NN$19*(242-$NR$19+1)*($NS$19-242+1)/$NU$19,$NN$19/$NT$19)),0)</f>
        <v/>
      </c>
      <c r="IM19" s="402">
        <f>IF(AND(243&gt;=$NR$19,243&lt;=$NS$19),IF($NP$19="Single_Point",IF(243=$NR$19,$NN$19,0),IF($NP$19="Bell_Curve",$NN$19*(243-$NR$19+1)*($NS$19-243+1)/$NU$19,$NN$19/$NT$19)),0)</f>
        <v/>
      </c>
      <c r="IN19" s="402">
        <f>IF(AND(244&gt;=$NR$19,244&lt;=$NS$19),IF($NP$19="Single_Point",IF(244=$NR$19,$NN$19,0),IF($NP$19="Bell_Curve",$NN$19*(244-$NR$19+1)*($NS$19-244+1)/$NU$19,$NN$19/$NT$19)),0)</f>
        <v/>
      </c>
      <c r="IO19" s="402">
        <f>IF(AND(245&gt;=$NR$19,245&lt;=$NS$19),IF($NP$19="Single_Point",IF(245=$NR$19,$NN$19,0),IF($NP$19="Bell_Curve",$NN$19*(245-$NR$19+1)*($NS$19-245+1)/$NU$19,$NN$19/$NT$19)),0)</f>
        <v/>
      </c>
      <c r="IP19" s="402">
        <f>IF(AND(246&gt;=$NR$19,246&lt;=$NS$19),IF($NP$19="Single_Point",IF(246=$NR$19,$NN$19,0),IF($NP$19="Bell_Curve",$NN$19*(246-$NR$19+1)*($NS$19-246+1)/$NU$19,$NN$19/$NT$19)),0)</f>
        <v/>
      </c>
      <c r="IQ19" s="402">
        <f>IF(AND(247&gt;=$NR$19,247&lt;=$NS$19),IF($NP$19="Single_Point",IF(247=$NR$19,$NN$19,0),IF($NP$19="Bell_Curve",$NN$19*(247-$NR$19+1)*($NS$19-247+1)/$NU$19,$NN$19/$NT$19)),0)</f>
        <v/>
      </c>
      <c r="IR19" s="402">
        <f>IF(AND(248&gt;=$NR$19,248&lt;=$NS$19),IF($NP$19="Single_Point",IF(248=$NR$19,$NN$19,0),IF($NP$19="Bell_Curve",$NN$19*(248-$NR$19+1)*($NS$19-248+1)/$NU$19,$NN$19/$NT$19)),0)</f>
        <v/>
      </c>
      <c r="IS19" s="402">
        <f>IF(AND(249&gt;=$NR$19,249&lt;=$NS$19),IF($NP$19="Single_Point",IF(249=$NR$19,$NN$19,0),IF($NP$19="Bell_Curve",$NN$19*(249-$NR$19+1)*($NS$19-249+1)/$NU$19,$NN$19/$NT$19)),0)</f>
        <v/>
      </c>
      <c r="IT19" s="402">
        <f>IF(AND(250&gt;=$NR$19,250&lt;=$NS$19),IF($NP$19="Single_Point",IF(250=$NR$19,$NN$19,0),IF($NP$19="Bell_Curve",$NN$19*(250-$NR$19+1)*($NS$19-250+1)/$NU$19,$NN$19/$NT$19)),0)</f>
        <v/>
      </c>
      <c r="IU19" s="402">
        <f>IF(AND(251&gt;=$NR$19,251&lt;=$NS$19),IF($NP$19="Single_Point",IF(251=$NR$19,$NN$19,0),IF($NP$19="Bell_Curve",$NN$19*(251-$NR$19+1)*($NS$19-251+1)/$NU$19,$NN$19/$NT$19)),0)</f>
        <v/>
      </c>
      <c r="IV19" s="402">
        <f>IF(AND(252&gt;=$NR$19,252&lt;=$NS$19),IF($NP$19="Single_Point",IF(252=$NR$19,$NN$19,0),IF($NP$19="Bell_Curve",$NN$19*(252-$NR$19+1)*($NS$19-252+1)/$NU$19,$NN$19/$NT$19)),0)</f>
        <v/>
      </c>
      <c r="IW19" s="402">
        <f>IF(AND(253&gt;=$NR$19,253&lt;=$NS$19),IF($NP$19="Single_Point",IF(253=$NR$19,$NN$19,0),IF($NP$19="Bell_Curve",$NN$19*(253-$NR$19+1)*($NS$19-253+1)/$NU$19,$NN$19/$NT$19)),0)</f>
        <v/>
      </c>
      <c r="IX19" s="402">
        <f>IF(AND(254&gt;=$NR$19,254&lt;=$NS$19),IF($NP$19="Single_Point",IF(254=$NR$19,$NN$19,0),IF($NP$19="Bell_Curve",$NN$19*(254-$NR$19+1)*($NS$19-254+1)/$NU$19,$NN$19/$NT$19)),0)</f>
        <v/>
      </c>
      <c r="IY19" s="402">
        <f>IF(AND(255&gt;=$NR$19,255&lt;=$NS$19),IF($NP$19="Single_Point",IF(255=$NR$19,$NN$19,0),IF($NP$19="Bell_Curve",$NN$19*(255-$NR$19+1)*($NS$19-255+1)/$NU$19,$NN$19/$NT$19)),0)</f>
        <v/>
      </c>
      <c r="IZ19" s="402">
        <f>IF(AND(256&gt;=$NR$19,256&lt;=$NS$19),IF($NP$19="Single_Point",IF(256=$NR$19,$NN$19,0),IF($NP$19="Bell_Curve",$NN$19*(256-$NR$19+1)*($NS$19-256+1)/$NU$19,$NN$19/$NT$19)),0)</f>
        <v/>
      </c>
      <c r="JA19" s="402">
        <f>IF(AND(257&gt;=$NR$19,257&lt;=$NS$19),IF($NP$19="Single_Point",IF(257=$NR$19,$NN$19,0),IF($NP$19="Bell_Curve",$NN$19*(257-$NR$19+1)*($NS$19-257+1)/$NU$19,$NN$19/$NT$19)),0)</f>
        <v/>
      </c>
      <c r="JB19" s="402">
        <f>IF(AND(258&gt;=$NR$19,258&lt;=$NS$19),IF($NP$19="Single_Point",IF(258=$NR$19,$NN$19,0),IF($NP$19="Bell_Curve",$NN$19*(258-$NR$19+1)*($NS$19-258+1)/$NU$19,$NN$19/$NT$19)),0)</f>
        <v/>
      </c>
      <c r="JC19" s="402">
        <f>IF(AND(259&gt;=$NR$19,259&lt;=$NS$19),IF($NP$19="Single_Point",IF(259=$NR$19,$NN$19,0),IF($NP$19="Bell_Curve",$NN$19*(259-$NR$19+1)*($NS$19-259+1)/$NU$19,$NN$19/$NT$19)),0)</f>
        <v/>
      </c>
      <c r="JD19" s="402">
        <f>IF(AND(260&gt;=$NR$19,260&lt;=$NS$19),IF($NP$19="Single_Point",IF(260=$NR$19,$NN$19,0),IF($NP$19="Bell_Curve",$NN$19*(260-$NR$19+1)*($NS$19-260+1)/$NU$19,$NN$19/$NT$19)),0)</f>
        <v/>
      </c>
      <c r="JE19" s="402">
        <f>IF(AND(261&gt;=$NR$19,261&lt;=$NS$19),IF($NP$19="Single_Point",IF(261=$NR$19,$NN$19,0),IF($NP$19="Bell_Curve",$NN$19*(261-$NR$19+1)*($NS$19-261+1)/$NU$19,$NN$19/$NT$19)),0)</f>
        <v/>
      </c>
      <c r="JF19" s="402">
        <f>IF(AND(262&gt;=$NR$19,262&lt;=$NS$19),IF($NP$19="Single_Point",IF(262=$NR$19,$NN$19,0),IF($NP$19="Bell_Curve",$NN$19*(262-$NR$19+1)*($NS$19-262+1)/$NU$19,$NN$19/$NT$19)),0)</f>
        <v/>
      </c>
      <c r="JG19" s="402">
        <f>IF(AND(263&gt;=$NR$19,263&lt;=$NS$19),IF($NP$19="Single_Point",IF(263=$NR$19,$NN$19,0),IF($NP$19="Bell_Curve",$NN$19*(263-$NR$19+1)*($NS$19-263+1)/$NU$19,$NN$19/$NT$19)),0)</f>
        <v/>
      </c>
      <c r="JH19" s="402">
        <f>IF(AND(264&gt;=$NR$19,264&lt;=$NS$19),IF($NP$19="Single_Point",IF(264=$NR$19,$NN$19,0),IF($NP$19="Bell_Curve",$NN$19*(264-$NR$19+1)*($NS$19-264+1)/$NU$19,$NN$19/$NT$19)),0)</f>
        <v/>
      </c>
      <c r="JI19" s="402">
        <f>IF(AND(265&gt;=$NR$19,265&lt;=$NS$19),IF($NP$19="Single_Point",IF(265=$NR$19,$NN$19,0),IF($NP$19="Bell_Curve",$NN$19*(265-$NR$19+1)*($NS$19-265+1)/$NU$19,$NN$19/$NT$19)),0)</f>
        <v/>
      </c>
      <c r="JJ19" s="402">
        <f>IF(AND(266&gt;=$NR$19,266&lt;=$NS$19),IF($NP$19="Single_Point",IF(266=$NR$19,$NN$19,0),IF($NP$19="Bell_Curve",$NN$19*(266-$NR$19+1)*($NS$19-266+1)/$NU$19,$NN$19/$NT$19)),0)</f>
        <v/>
      </c>
      <c r="JK19" s="402">
        <f>IF(AND(267&gt;=$NR$19,267&lt;=$NS$19),IF($NP$19="Single_Point",IF(267=$NR$19,$NN$19,0),IF($NP$19="Bell_Curve",$NN$19*(267-$NR$19+1)*($NS$19-267+1)/$NU$19,$NN$19/$NT$19)),0)</f>
        <v/>
      </c>
      <c r="JL19" s="402">
        <f>IF(AND(268&gt;=$NR$19,268&lt;=$NS$19),IF($NP$19="Single_Point",IF(268=$NR$19,$NN$19,0),IF($NP$19="Bell_Curve",$NN$19*(268-$NR$19+1)*($NS$19-268+1)/$NU$19,$NN$19/$NT$19)),0)</f>
        <v/>
      </c>
      <c r="JM19" s="402">
        <f>IF(AND(269&gt;=$NR$19,269&lt;=$NS$19),IF($NP$19="Single_Point",IF(269=$NR$19,$NN$19,0),IF($NP$19="Bell_Curve",$NN$19*(269-$NR$19+1)*($NS$19-269+1)/$NU$19,$NN$19/$NT$19)),0)</f>
        <v/>
      </c>
      <c r="JN19" s="402">
        <f>IF(AND(270&gt;=$NR$19,270&lt;=$NS$19),IF($NP$19="Single_Point",IF(270=$NR$19,$NN$19,0),IF($NP$19="Bell_Curve",$NN$19*(270-$NR$19+1)*($NS$19-270+1)/$NU$19,$NN$19/$NT$19)),0)</f>
        <v/>
      </c>
      <c r="JO19" s="402">
        <f>IF(AND(271&gt;=$NR$19,271&lt;=$NS$19),IF($NP$19="Single_Point",IF(271=$NR$19,$NN$19,0),IF($NP$19="Bell_Curve",$NN$19*(271-$NR$19+1)*($NS$19-271+1)/$NU$19,$NN$19/$NT$19)),0)</f>
        <v/>
      </c>
      <c r="JP19" s="402">
        <f>IF(AND(272&gt;=$NR$19,272&lt;=$NS$19),IF($NP$19="Single_Point",IF(272=$NR$19,$NN$19,0),IF($NP$19="Bell_Curve",$NN$19*(272-$NR$19+1)*($NS$19-272+1)/$NU$19,$NN$19/$NT$19)),0)</f>
        <v/>
      </c>
      <c r="JQ19" s="402">
        <f>IF(AND(273&gt;=$NR$19,273&lt;=$NS$19),IF($NP$19="Single_Point",IF(273=$NR$19,$NN$19,0),IF($NP$19="Bell_Curve",$NN$19*(273-$NR$19+1)*($NS$19-273+1)/$NU$19,$NN$19/$NT$19)),0)</f>
        <v/>
      </c>
      <c r="JR19" s="402">
        <f>IF(AND(274&gt;=$NR$19,274&lt;=$NS$19),IF($NP$19="Single_Point",IF(274=$NR$19,$NN$19,0),IF($NP$19="Bell_Curve",$NN$19*(274-$NR$19+1)*($NS$19-274+1)/$NU$19,$NN$19/$NT$19)),0)</f>
        <v/>
      </c>
      <c r="JS19" s="402">
        <f>IF(AND(275&gt;=$NR$19,275&lt;=$NS$19),IF($NP$19="Single_Point",IF(275=$NR$19,$NN$19,0),IF($NP$19="Bell_Curve",$NN$19*(275-$NR$19+1)*($NS$19-275+1)/$NU$19,$NN$19/$NT$19)),0)</f>
        <v/>
      </c>
      <c r="JT19" s="402">
        <f>IF(AND(276&gt;=$NR$19,276&lt;=$NS$19),IF($NP$19="Single_Point",IF(276=$NR$19,$NN$19,0),IF($NP$19="Bell_Curve",$NN$19*(276-$NR$19+1)*($NS$19-276+1)/$NU$19,$NN$19/$NT$19)),0)</f>
        <v/>
      </c>
      <c r="JU19" s="402">
        <f>IF(AND(277&gt;=$NR$19,277&lt;=$NS$19),IF($NP$19="Single_Point",IF(277=$NR$19,$NN$19,0),IF($NP$19="Bell_Curve",$NN$19*(277-$NR$19+1)*($NS$19-277+1)/$NU$19,$NN$19/$NT$19)),0)</f>
        <v/>
      </c>
      <c r="JV19" s="402">
        <f>IF(AND(278&gt;=$NR$19,278&lt;=$NS$19),IF($NP$19="Single_Point",IF(278=$NR$19,$NN$19,0),IF($NP$19="Bell_Curve",$NN$19*(278-$NR$19+1)*($NS$19-278+1)/$NU$19,$NN$19/$NT$19)),0)</f>
        <v/>
      </c>
      <c r="JW19" s="402">
        <f>IF(AND(279&gt;=$NR$19,279&lt;=$NS$19),IF($NP$19="Single_Point",IF(279=$NR$19,$NN$19,0),IF($NP$19="Bell_Curve",$NN$19*(279-$NR$19+1)*($NS$19-279+1)/$NU$19,$NN$19/$NT$19)),0)</f>
        <v/>
      </c>
      <c r="JX19" s="402">
        <f>IF(AND(280&gt;=$NR$19,280&lt;=$NS$19),IF($NP$19="Single_Point",IF(280=$NR$19,$NN$19,0),IF($NP$19="Bell_Curve",$NN$19*(280-$NR$19+1)*($NS$19-280+1)/$NU$19,$NN$19/$NT$19)),0)</f>
        <v/>
      </c>
      <c r="JY19" s="402">
        <f>IF(AND(281&gt;=$NR$19,281&lt;=$NS$19),IF($NP$19="Single_Point",IF(281=$NR$19,$NN$19,0),IF($NP$19="Bell_Curve",$NN$19*(281-$NR$19+1)*($NS$19-281+1)/$NU$19,$NN$19/$NT$19)),0)</f>
        <v/>
      </c>
      <c r="JZ19" s="402">
        <f>IF(AND(282&gt;=$NR$19,282&lt;=$NS$19),IF($NP$19="Single_Point",IF(282=$NR$19,$NN$19,0),IF($NP$19="Bell_Curve",$NN$19*(282-$NR$19+1)*($NS$19-282+1)/$NU$19,$NN$19/$NT$19)),0)</f>
        <v/>
      </c>
      <c r="KA19" s="402">
        <f>IF(AND(283&gt;=$NR$19,283&lt;=$NS$19),IF($NP$19="Single_Point",IF(283=$NR$19,$NN$19,0),IF($NP$19="Bell_Curve",$NN$19*(283-$NR$19+1)*($NS$19-283+1)/$NU$19,$NN$19/$NT$19)),0)</f>
        <v/>
      </c>
      <c r="KB19" s="402">
        <f>IF(AND(284&gt;=$NR$19,284&lt;=$NS$19),IF($NP$19="Single_Point",IF(284=$NR$19,$NN$19,0),IF($NP$19="Bell_Curve",$NN$19*(284-$NR$19+1)*($NS$19-284+1)/$NU$19,$NN$19/$NT$19)),0)</f>
        <v/>
      </c>
      <c r="KC19" s="402">
        <f>IF(AND(285&gt;=$NR$19,285&lt;=$NS$19),IF($NP$19="Single_Point",IF(285=$NR$19,$NN$19,0),IF($NP$19="Bell_Curve",$NN$19*(285-$NR$19+1)*($NS$19-285+1)/$NU$19,$NN$19/$NT$19)),0)</f>
        <v/>
      </c>
      <c r="KD19" s="402">
        <f>IF(AND(286&gt;=$NR$19,286&lt;=$NS$19),IF($NP$19="Single_Point",IF(286=$NR$19,$NN$19,0),IF($NP$19="Bell_Curve",$NN$19*(286-$NR$19+1)*($NS$19-286+1)/$NU$19,$NN$19/$NT$19)),0)</f>
        <v/>
      </c>
      <c r="KE19" s="402">
        <f>IF(AND(287&gt;=$NR$19,287&lt;=$NS$19),IF($NP$19="Single_Point",IF(287=$NR$19,$NN$19,0),IF($NP$19="Bell_Curve",$NN$19*(287-$NR$19+1)*($NS$19-287+1)/$NU$19,$NN$19/$NT$19)),0)</f>
        <v/>
      </c>
      <c r="KF19" s="402">
        <f>IF(AND(288&gt;=$NR$19,288&lt;=$NS$19),IF($NP$19="Single_Point",IF(288=$NR$19,$NN$19,0),IF($NP$19="Bell_Curve",$NN$19*(288-$NR$19+1)*($NS$19-288+1)/$NU$19,$NN$19/$NT$19)),0)</f>
        <v/>
      </c>
      <c r="KG19" s="402">
        <f>IF(AND(289&gt;=$NR$19,289&lt;=$NS$19),IF($NP$19="Single_Point",IF(289=$NR$19,$NN$19,0),IF($NP$19="Bell_Curve",$NN$19*(289-$NR$19+1)*($NS$19-289+1)/$NU$19,$NN$19/$NT$19)),0)</f>
        <v/>
      </c>
      <c r="KH19" s="402">
        <f>IF(AND(290&gt;=$NR$19,290&lt;=$NS$19),IF($NP$19="Single_Point",IF(290=$NR$19,$NN$19,0),IF($NP$19="Bell_Curve",$NN$19*(290-$NR$19+1)*($NS$19-290+1)/$NU$19,$NN$19/$NT$19)),0)</f>
        <v/>
      </c>
      <c r="KI19" s="402">
        <f>IF(AND(291&gt;=$NR$19,291&lt;=$NS$19),IF($NP$19="Single_Point",IF(291=$NR$19,$NN$19,0),IF($NP$19="Bell_Curve",$NN$19*(291-$NR$19+1)*($NS$19-291+1)/$NU$19,$NN$19/$NT$19)),0)</f>
        <v/>
      </c>
      <c r="KJ19" s="402">
        <f>IF(AND(292&gt;=$NR$19,292&lt;=$NS$19),IF($NP$19="Single_Point",IF(292=$NR$19,$NN$19,0),IF($NP$19="Bell_Curve",$NN$19*(292-$NR$19+1)*($NS$19-292+1)/$NU$19,$NN$19/$NT$19)),0)</f>
        <v/>
      </c>
      <c r="KK19" s="402">
        <f>IF(AND(293&gt;=$NR$19,293&lt;=$NS$19),IF($NP$19="Single_Point",IF(293=$NR$19,$NN$19,0),IF($NP$19="Bell_Curve",$NN$19*(293-$NR$19+1)*($NS$19-293+1)/$NU$19,$NN$19/$NT$19)),0)</f>
        <v/>
      </c>
      <c r="KL19" s="402">
        <f>IF(AND(294&gt;=$NR$19,294&lt;=$NS$19),IF($NP$19="Single_Point",IF(294=$NR$19,$NN$19,0),IF($NP$19="Bell_Curve",$NN$19*(294-$NR$19+1)*($NS$19-294+1)/$NU$19,$NN$19/$NT$19)),0)</f>
        <v/>
      </c>
      <c r="KM19" s="402">
        <f>IF(AND(295&gt;=$NR$19,295&lt;=$NS$19),IF($NP$19="Single_Point",IF(295=$NR$19,$NN$19,0),IF($NP$19="Bell_Curve",$NN$19*(295-$NR$19+1)*($NS$19-295+1)/$NU$19,$NN$19/$NT$19)),0)</f>
        <v/>
      </c>
      <c r="KN19" s="402">
        <f>IF(AND(296&gt;=$NR$19,296&lt;=$NS$19),IF($NP$19="Single_Point",IF(296=$NR$19,$NN$19,0),IF($NP$19="Bell_Curve",$NN$19*(296-$NR$19+1)*($NS$19-296+1)/$NU$19,$NN$19/$NT$19)),0)</f>
        <v/>
      </c>
      <c r="KO19" s="402">
        <f>IF(AND(297&gt;=$NR$19,297&lt;=$NS$19),IF($NP$19="Single_Point",IF(297=$NR$19,$NN$19,0),IF($NP$19="Bell_Curve",$NN$19*(297-$NR$19+1)*($NS$19-297+1)/$NU$19,$NN$19/$NT$19)),0)</f>
        <v/>
      </c>
      <c r="KP19" s="402">
        <f>IF(AND(298&gt;=$NR$19,298&lt;=$NS$19),IF($NP$19="Single_Point",IF(298=$NR$19,$NN$19,0),IF($NP$19="Bell_Curve",$NN$19*(298-$NR$19+1)*($NS$19-298+1)/$NU$19,$NN$19/$NT$19)),0)</f>
        <v/>
      </c>
      <c r="KQ19" s="402">
        <f>IF(AND(299&gt;=$NR$19,299&lt;=$NS$19),IF($NP$19="Single_Point",IF(299=$NR$19,$NN$19,0),IF($NP$19="Bell_Curve",$NN$19*(299-$NR$19+1)*($NS$19-299+1)/$NU$19,$NN$19/$NT$19)),0)</f>
        <v/>
      </c>
      <c r="KR19" s="402">
        <f>IF(AND(300&gt;=$NR$19,300&lt;=$NS$19),IF($NP$19="Single_Point",IF(300=$NR$19,$NN$19,0),IF($NP$19="Bell_Curve",$NN$19*(300-$NR$19+1)*($NS$19-300+1)/$NU$19,$NN$19/$NT$19)),0)</f>
        <v/>
      </c>
      <c r="KS19" s="402">
        <f>IF(AND(301&gt;=$NR$19,301&lt;=$NS$19),IF($NP$19="Single_Point",IF(301=$NR$19,$NN$19,0),IF($NP$19="Bell_Curve",$NN$19*(301-$NR$19+1)*($NS$19-301+1)/$NU$19,$NN$19/$NT$19)),0)</f>
        <v/>
      </c>
      <c r="KT19" s="402">
        <f>IF(AND(302&gt;=$NR$19,302&lt;=$NS$19),IF($NP$19="Single_Point",IF(302=$NR$19,$NN$19,0),IF($NP$19="Bell_Curve",$NN$19*(302-$NR$19+1)*($NS$19-302+1)/$NU$19,$NN$19/$NT$19)),0)</f>
        <v/>
      </c>
      <c r="KU19" s="402">
        <f>IF(AND(303&gt;=$NR$19,303&lt;=$NS$19),IF($NP$19="Single_Point",IF(303=$NR$19,$NN$19,0),IF($NP$19="Bell_Curve",$NN$19*(303-$NR$19+1)*($NS$19-303+1)/$NU$19,$NN$19/$NT$19)),0)</f>
        <v/>
      </c>
      <c r="KV19" s="402">
        <f>IF(AND(304&gt;=$NR$19,304&lt;=$NS$19),IF($NP$19="Single_Point",IF(304=$NR$19,$NN$19,0),IF($NP$19="Bell_Curve",$NN$19*(304-$NR$19+1)*($NS$19-304+1)/$NU$19,$NN$19/$NT$19)),0)</f>
        <v/>
      </c>
      <c r="KW19" s="402">
        <f>IF(AND(305&gt;=$NR$19,305&lt;=$NS$19),IF($NP$19="Single_Point",IF(305=$NR$19,$NN$19,0),IF($NP$19="Bell_Curve",$NN$19*(305-$NR$19+1)*($NS$19-305+1)/$NU$19,$NN$19/$NT$19)),0)</f>
        <v/>
      </c>
      <c r="KX19" s="402">
        <f>IF(AND(306&gt;=$NR$19,306&lt;=$NS$19),IF($NP$19="Single_Point",IF(306=$NR$19,$NN$19,0),IF($NP$19="Bell_Curve",$NN$19*(306-$NR$19+1)*($NS$19-306+1)/$NU$19,$NN$19/$NT$19)),0)</f>
        <v/>
      </c>
      <c r="KY19" s="402">
        <f>IF(AND(307&gt;=$NR$19,307&lt;=$NS$19),IF($NP$19="Single_Point",IF(307=$NR$19,$NN$19,0),IF($NP$19="Bell_Curve",$NN$19*(307-$NR$19+1)*($NS$19-307+1)/$NU$19,$NN$19/$NT$19)),0)</f>
        <v/>
      </c>
      <c r="KZ19" s="402">
        <f>IF(AND(308&gt;=$NR$19,308&lt;=$NS$19),IF($NP$19="Single_Point",IF(308=$NR$19,$NN$19,0),IF($NP$19="Bell_Curve",$NN$19*(308-$NR$19+1)*($NS$19-308+1)/$NU$19,$NN$19/$NT$19)),0)</f>
        <v/>
      </c>
      <c r="LA19" s="402">
        <f>IF(AND(309&gt;=$NR$19,309&lt;=$NS$19),IF($NP$19="Single_Point",IF(309=$NR$19,$NN$19,0),IF($NP$19="Bell_Curve",$NN$19*(309-$NR$19+1)*($NS$19-309+1)/$NU$19,$NN$19/$NT$19)),0)</f>
        <v/>
      </c>
      <c r="LB19" s="402">
        <f>IF(AND(310&gt;=$NR$19,310&lt;=$NS$19),IF($NP$19="Single_Point",IF(310=$NR$19,$NN$19,0),IF($NP$19="Bell_Curve",$NN$19*(310-$NR$19+1)*($NS$19-310+1)/$NU$19,$NN$19/$NT$19)),0)</f>
        <v/>
      </c>
      <c r="LC19" s="402">
        <f>IF(AND(311&gt;=$NR$19,311&lt;=$NS$19),IF($NP$19="Single_Point",IF(311=$NR$19,$NN$19,0),IF($NP$19="Bell_Curve",$NN$19*(311-$NR$19+1)*($NS$19-311+1)/$NU$19,$NN$19/$NT$19)),0)</f>
        <v/>
      </c>
      <c r="LD19" s="402">
        <f>IF(AND(312&gt;=$NR$19,312&lt;=$NS$19),IF($NP$19="Single_Point",IF(312=$NR$19,$NN$19,0),IF($NP$19="Bell_Curve",$NN$19*(312-$NR$19+1)*($NS$19-312+1)/$NU$19,$NN$19/$NT$19)),0)</f>
        <v/>
      </c>
      <c r="LE19" s="402">
        <f>IF(AND(313&gt;=$NR$19,313&lt;=$NS$19),IF($NP$19="Single_Point",IF(313=$NR$19,$NN$19,0),IF($NP$19="Bell_Curve",$NN$19*(313-$NR$19+1)*($NS$19-313+1)/$NU$19,$NN$19/$NT$19)),0)</f>
        <v/>
      </c>
      <c r="LF19" s="402">
        <f>IF(AND(314&gt;=$NR$19,314&lt;=$NS$19),IF($NP$19="Single_Point",IF(314=$NR$19,$NN$19,0),IF($NP$19="Bell_Curve",$NN$19*(314-$NR$19+1)*($NS$19-314+1)/$NU$19,$NN$19/$NT$19)),0)</f>
        <v/>
      </c>
      <c r="LG19" s="402">
        <f>IF(AND(315&gt;=$NR$19,315&lt;=$NS$19),IF($NP$19="Single_Point",IF(315=$NR$19,$NN$19,0),IF($NP$19="Bell_Curve",$NN$19*(315-$NR$19+1)*($NS$19-315+1)/$NU$19,$NN$19/$NT$19)),0)</f>
        <v/>
      </c>
      <c r="LH19" s="402">
        <f>IF(AND(316&gt;=$NR$19,316&lt;=$NS$19),IF($NP$19="Single_Point",IF(316=$NR$19,$NN$19,0),IF($NP$19="Bell_Curve",$NN$19*(316-$NR$19+1)*($NS$19-316+1)/$NU$19,$NN$19/$NT$19)),0)</f>
        <v/>
      </c>
      <c r="LI19" s="402">
        <f>IF(AND(317&gt;=$NR$19,317&lt;=$NS$19),IF($NP$19="Single_Point",IF(317=$NR$19,$NN$19,0),IF($NP$19="Bell_Curve",$NN$19*(317-$NR$19+1)*($NS$19-317+1)/$NU$19,$NN$19/$NT$19)),0)</f>
        <v/>
      </c>
      <c r="LJ19" s="402">
        <f>IF(AND(318&gt;=$NR$19,318&lt;=$NS$19),IF($NP$19="Single_Point",IF(318=$NR$19,$NN$19,0),IF($NP$19="Bell_Curve",$NN$19*(318-$NR$19+1)*($NS$19-318+1)/$NU$19,$NN$19/$NT$19)),0)</f>
        <v/>
      </c>
      <c r="LK19" s="402">
        <f>IF(AND(319&gt;=$NR$19,319&lt;=$NS$19),IF($NP$19="Single_Point",IF(319=$NR$19,$NN$19,0),IF($NP$19="Bell_Curve",$NN$19*(319-$NR$19+1)*($NS$19-319+1)/$NU$19,$NN$19/$NT$19)),0)</f>
        <v/>
      </c>
      <c r="LL19" s="402">
        <f>IF(AND(320&gt;=$NR$19,320&lt;=$NS$19),IF($NP$19="Single_Point",IF(320=$NR$19,$NN$19,0),IF($NP$19="Bell_Curve",$NN$19*(320-$NR$19+1)*($NS$19-320+1)/$NU$19,$NN$19/$NT$19)),0)</f>
        <v/>
      </c>
      <c r="LM19" s="402">
        <f>IF(AND(321&gt;=$NR$19,321&lt;=$NS$19),IF($NP$19="Single_Point",IF(321=$NR$19,$NN$19,0),IF($NP$19="Bell_Curve",$NN$19*(321-$NR$19+1)*($NS$19-321+1)/$NU$19,$NN$19/$NT$19)),0)</f>
        <v/>
      </c>
      <c r="LN19" s="402">
        <f>IF(AND(322&gt;=$NR$19,322&lt;=$NS$19),IF($NP$19="Single_Point",IF(322=$NR$19,$NN$19,0),IF($NP$19="Bell_Curve",$NN$19*(322-$NR$19+1)*($NS$19-322+1)/$NU$19,$NN$19/$NT$19)),0)</f>
        <v/>
      </c>
      <c r="LO19" s="402">
        <f>IF(AND(323&gt;=$NR$19,323&lt;=$NS$19),IF($NP$19="Single_Point",IF(323=$NR$19,$NN$19,0),IF($NP$19="Bell_Curve",$NN$19*(323-$NR$19+1)*($NS$19-323+1)/$NU$19,$NN$19/$NT$19)),0)</f>
        <v/>
      </c>
      <c r="LP19" s="402">
        <f>IF(AND(324&gt;=$NR$19,324&lt;=$NS$19),IF($NP$19="Single_Point",IF(324=$NR$19,$NN$19,0),IF($NP$19="Bell_Curve",$NN$19*(324-$NR$19+1)*($NS$19-324+1)/$NU$19,$NN$19/$NT$19)),0)</f>
        <v/>
      </c>
      <c r="LQ19" s="402">
        <f>IF(AND(325&gt;=$NR$19,325&lt;=$NS$19),IF($NP$19="Single_Point",IF(325=$NR$19,$NN$19,0),IF($NP$19="Bell_Curve",$NN$19*(325-$NR$19+1)*($NS$19-325+1)/$NU$19,$NN$19/$NT$19)),0)</f>
        <v/>
      </c>
      <c r="LR19" s="402">
        <f>IF(AND(326&gt;=$NR$19,326&lt;=$NS$19),IF($NP$19="Single_Point",IF(326=$NR$19,$NN$19,0),IF($NP$19="Bell_Curve",$NN$19*(326-$NR$19+1)*($NS$19-326+1)/$NU$19,$NN$19/$NT$19)),0)</f>
        <v/>
      </c>
      <c r="LS19" s="402">
        <f>IF(AND(327&gt;=$NR$19,327&lt;=$NS$19),IF($NP$19="Single_Point",IF(327=$NR$19,$NN$19,0),IF($NP$19="Bell_Curve",$NN$19*(327-$NR$19+1)*($NS$19-327+1)/$NU$19,$NN$19/$NT$19)),0)</f>
        <v/>
      </c>
      <c r="LT19" s="402">
        <f>IF(AND(328&gt;=$NR$19,328&lt;=$NS$19),IF($NP$19="Single_Point",IF(328=$NR$19,$NN$19,0),IF($NP$19="Bell_Curve",$NN$19*(328-$NR$19+1)*($NS$19-328+1)/$NU$19,$NN$19/$NT$19)),0)</f>
        <v/>
      </c>
      <c r="LU19" s="402">
        <f>IF(AND(329&gt;=$NR$19,329&lt;=$NS$19),IF($NP$19="Single_Point",IF(329=$NR$19,$NN$19,0),IF($NP$19="Bell_Curve",$NN$19*(329-$NR$19+1)*($NS$19-329+1)/$NU$19,$NN$19/$NT$19)),0)</f>
        <v/>
      </c>
      <c r="LV19" s="402">
        <f>IF(AND(330&gt;=$NR$19,330&lt;=$NS$19),IF($NP$19="Single_Point",IF(330=$NR$19,$NN$19,0),IF($NP$19="Bell_Curve",$NN$19*(330-$NR$19+1)*($NS$19-330+1)/$NU$19,$NN$19/$NT$19)),0)</f>
        <v/>
      </c>
      <c r="LW19" s="402">
        <f>IF(AND(331&gt;=$NR$19,331&lt;=$NS$19),IF($NP$19="Single_Point",IF(331=$NR$19,$NN$19,0),IF($NP$19="Bell_Curve",$NN$19*(331-$NR$19+1)*($NS$19-331+1)/$NU$19,$NN$19/$NT$19)),0)</f>
        <v/>
      </c>
      <c r="LX19" s="402">
        <f>IF(AND(332&gt;=$NR$19,332&lt;=$NS$19),IF($NP$19="Single_Point",IF(332=$NR$19,$NN$19,0),IF($NP$19="Bell_Curve",$NN$19*(332-$NR$19+1)*($NS$19-332+1)/$NU$19,$NN$19/$NT$19)),0)</f>
        <v/>
      </c>
      <c r="LY19" s="402">
        <f>IF(AND(333&gt;=$NR$19,333&lt;=$NS$19),IF($NP$19="Single_Point",IF(333=$NR$19,$NN$19,0),IF($NP$19="Bell_Curve",$NN$19*(333-$NR$19+1)*($NS$19-333+1)/$NU$19,$NN$19/$NT$19)),0)</f>
        <v/>
      </c>
      <c r="LZ19" s="402">
        <f>IF(AND(334&gt;=$NR$19,334&lt;=$NS$19),IF($NP$19="Single_Point",IF(334=$NR$19,$NN$19,0),IF($NP$19="Bell_Curve",$NN$19*(334-$NR$19+1)*($NS$19-334+1)/$NU$19,$NN$19/$NT$19)),0)</f>
        <v/>
      </c>
      <c r="MA19" s="402">
        <f>IF(AND(335&gt;=$NR$19,335&lt;=$NS$19),IF($NP$19="Single_Point",IF(335=$NR$19,$NN$19,0),IF($NP$19="Bell_Curve",$NN$19*(335-$NR$19+1)*($NS$19-335+1)/$NU$19,$NN$19/$NT$19)),0)</f>
        <v/>
      </c>
      <c r="MB19" s="402">
        <f>IF(AND(336&gt;=$NR$19,336&lt;=$NS$19),IF($NP$19="Single_Point",IF(336=$NR$19,$NN$19,0),IF($NP$19="Bell_Curve",$NN$19*(336-$NR$19+1)*($NS$19-336+1)/$NU$19,$NN$19/$NT$19)),0)</f>
        <v/>
      </c>
      <c r="MC19" s="402">
        <f>IF(AND(337&gt;=$NR$19,337&lt;=$NS$19),IF($NP$19="Single_Point",IF(337=$NR$19,$NN$19,0),IF($NP$19="Bell_Curve",$NN$19*(337-$NR$19+1)*($NS$19-337+1)/$NU$19,$NN$19/$NT$19)),0)</f>
        <v/>
      </c>
      <c r="MD19" s="402">
        <f>IF(AND(338&gt;=$NR$19,338&lt;=$NS$19),IF($NP$19="Single_Point",IF(338=$NR$19,$NN$19,0),IF($NP$19="Bell_Curve",$NN$19*(338-$NR$19+1)*($NS$19-338+1)/$NU$19,$NN$19/$NT$19)),0)</f>
        <v/>
      </c>
      <c r="ME19" s="402">
        <f>IF(AND(339&gt;=$NR$19,339&lt;=$NS$19),IF($NP$19="Single_Point",IF(339=$NR$19,$NN$19,0),IF($NP$19="Bell_Curve",$NN$19*(339-$NR$19+1)*($NS$19-339+1)/$NU$19,$NN$19/$NT$19)),0)</f>
        <v/>
      </c>
      <c r="MF19" s="402">
        <f>IF(AND(340&gt;=$NR$19,340&lt;=$NS$19),IF($NP$19="Single_Point",IF(340=$NR$19,$NN$19,0),IF($NP$19="Bell_Curve",$NN$19*(340-$NR$19+1)*($NS$19-340+1)/$NU$19,$NN$19/$NT$19)),0)</f>
        <v/>
      </c>
      <c r="MG19" s="402">
        <f>IF(AND(341&gt;=$NR$19,341&lt;=$NS$19),IF($NP$19="Single_Point",IF(341=$NR$19,$NN$19,0),IF($NP$19="Bell_Curve",$NN$19*(341-$NR$19+1)*($NS$19-341+1)/$NU$19,$NN$19/$NT$19)),0)</f>
        <v/>
      </c>
      <c r="MH19" s="402">
        <f>IF(AND(342&gt;=$NR$19,342&lt;=$NS$19),IF($NP$19="Single_Point",IF(342=$NR$19,$NN$19,0),IF($NP$19="Bell_Curve",$NN$19*(342-$NR$19+1)*($NS$19-342+1)/$NU$19,$NN$19/$NT$19)),0)</f>
        <v/>
      </c>
      <c r="MI19" s="402">
        <f>IF(AND(343&gt;=$NR$19,343&lt;=$NS$19),IF($NP$19="Single_Point",IF(343=$NR$19,$NN$19,0),IF($NP$19="Bell_Curve",$NN$19*(343-$NR$19+1)*($NS$19-343+1)/$NU$19,$NN$19/$NT$19)),0)</f>
        <v/>
      </c>
      <c r="MJ19" s="402">
        <f>IF(AND(344&gt;=$NR$19,344&lt;=$NS$19),IF($NP$19="Single_Point",IF(344=$NR$19,$NN$19,0),IF($NP$19="Bell_Curve",$NN$19*(344-$NR$19+1)*($NS$19-344+1)/$NU$19,$NN$19/$NT$19)),0)</f>
        <v/>
      </c>
      <c r="MK19" s="402">
        <f>IF(AND(345&gt;=$NR$19,345&lt;=$NS$19),IF($NP$19="Single_Point",IF(345=$NR$19,$NN$19,0),IF($NP$19="Bell_Curve",$NN$19*(345-$NR$19+1)*($NS$19-345+1)/$NU$19,$NN$19/$NT$19)),0)</f>
        <v/>
      </c>
      <c r="ML19" s="402">
        <f>IF(AND(346&gt;=$NR$19,346&lt;=$NS$19),IF($NP$19="Single_Point",IF(346=$NR$19,$NN$19,0),IF($NP$19="Bell_Curve",$NN$19*(346-$NR$19+1)*($NS$19-346+1)/$NU$19,$NN$19/$NT$19)),0)</f>
        <v/>
      </c>
      <c r="MM19" s="402">
        <f>IF(AND(347&gt;=$NR$19,347&lt;=$NS$19),IF($NP$19="Single_Point",IF(347=$NR$19,$NN$19,0),IF($NP$19="Bell_Curve",$NN$19*(347-$NR$19+1)*($NS$19-347+1)/$NU$19,$NN$19/$NT$19)),0)</f>
        <v/>
      </c>
      <c r="MN19" s="402">
        <f>IF(AND(348&gt;=$NR$19,348&lt;=$NS$19),IF($NP$19="Single_Point",IF(348=$NR$19,$NN$19,0),IF($NP$19="Bell_Curve",$NN$19*(348-$NR$19+1)*($NS$19-348+1)/$NU$19,$NN$19/$NT$19)),0)</f>
        <v/>
      </c>
      <c r="MO19" s="402">
        <f>IF(AND(349&gt;=$NR$19,349&lt;=$NS$19),IF($NP$19="Single_Point",IF(349=$NR$19,$NN$19,0),IF($NP$19="Bell_Curve",$NN$19*(349-$NR$19+1)*($NS$19-349+1)/$NU$19,$NN$19/$NT$19)),0)</f>
        <v/>
      </c>
      <c r="MP19" s="402">
        <f>IF(AND(350&gt;=$NR$19,350&lt;=$NS$19),IF($NP$19="Single_Point",IF(350=$NR$19,$NN$19,0),IF($NP$19="Bell_Curve",$NN$19*(350-$NR$19+1)*($NS$19-350+1)/$NU$19,$NN$19/$NT$19)),0)</f>
        <v/>
      </c>
      <c r="MQ19" s="402">
        <f>IF(AND(351&gt;=$NR$19,351&lt;=$NS$19),IF($NP$19="Single_Point",IF(351=$NR$19,$NN$19,0),IF($NP$19="Bell_Curve",$NN$19*(351-$NR$19+1)*($NS$19-351+1)/$NU$19,$NN$19/$NT$19)),0)</f>
        <v/>
      </c>
      <c r="MR19" s="402">
        <f>IF(AND(352&gt;=$NR$19,352&lt;=$NS$19),IF($NP$19="Single_Point",IF(352=$NR$19,$NN$19,0),IF($NP$19="Bell_Curve",$NN$19*(352-$NR$19+1)*($NS$19-352+1)/$NU$19,$NN$19/$NT$19)),0)</f>
        <v/>
      </c>
      <c r="MS19" s="402">
        <f>IF(AND(353&gt;=$NR$19,353&lt;=$NS$19),IF($NP$19="Single_Point",IF(353=$NR$19,$NN$19,0),IF($NP$19="Bell_Curve",$NN$19*(353-$NR$19+1)*($NS$19-353+1)/$NU$19,$NN$19/$NT$19)),0)</f>
        <v/>
      </c>
      <c r="MT19" s="402">
        <f>IF(AND(354&gt;=$NR$19,354&lt;=$NS$19),IF($NP$19="Single_Point",IF(354=$NR$19,$NN$19,0),IF($NP$19="Bell_Curve",$NN$19*(354-$NR$19+1)*($NS$19-354+1)/$NU$19,$NN$19/$NT$19)),0)</f>
        <v/>
      </c>
      <c r="MU19" s="402">
        <f>IF(AND(355&gt;=$NR$19,355&lt;=$NS$19),IF($NP$19="Single_Point",IF(355=$NR$19,$NN$19,0),IF($NP$19="Bell_Curve",$NN$19*(355-$NR$19+1)*($NS$19-355+1)/$NU$19,$NN$19/$NT$19)),0)</f>
        <v/>
      </c>
      <c r="MV19" s="402">
        <f>IF(AND(356&gt;=$NR$19,356&lt;=$NS$19),IF($NP$19="Single_Point",IF(356=$NR$19,$NN$19,0),IF($NP$19="Bell_Curve",$NN$19*(356-$NR$19+1)*($NS$19-356+1)/$NU$19,$NN$19/$NT$19)),0)</f>
        <v/>
      </c>
      <c r="MW19" s="402">
        <f>IF(AND(357&gt;=$NR$19,357&lt;=$NS$19),IF($NP$19="Single_Point",IF(357=$NR$19,$NN$19,0),IF($NP$19="Bell_Curve",$NN$19*(357-$NR$19+1)*($NS$19-357+1)/$NU$19,$NN$19/$NT$19)),0)</f>
        <v/>
      </c>
      <c r="MX19" s="402">
        <f>IF(AND(358&gt;=$NR$19,358&lt;=$NS$19),IF($NP$19="Single_Point",IF(358=$NR$19,$NN$19,0),IF($NP$19="Bell_Curve",$NN$19*(358-$NR$19+1)*($NS$19-358+1)/$NU$19,$NN$19/$NT$19)),0)</f>
        <v/>
      </c>
      <c r="MY19" s="402">
        <f>IF(AND(359&gt;=$NR$19,359&lt;=$NS$19),IF($NP$19="Single_Point",IF(359=$NR$19,$NN$19,0),IF($NP$19="Bell_Curve",$NN$19*(359-$NR$19+1)*($NS$19-359+1)/$NU$19,$NN$19/$NT$19)),0)</f>
        <v/>
      </c>
      <c r="MZ19" s="402">
        <f>IF(AND(360&gt;=$NR$19,360&lt;=$NS$19),IF($NP$19="Single_Point",IF(360=$NR$19,$NN$19,0),IF($NP$19="Bell_Curve",$NN$19*(360-$NR$19+1)*($NS$19-360+1)/$NU$19,$NN$19/$NT$19)),0)</f>
        <v/>
      </c>
      <c r="NA19" s="402">
        <f>IF(AND(361&gt;=$NR$19,361&lt;=$NS$19),IF($NP$19="Single_Point",IF(361=$NR$19,$NN$19,0),IF($NP$19="Bell_Curve",$NN$19*(361-$NR$19+1)*($NS$19-361+1)/$NU$19,$NN$19/$NT$19)),0)</f>
        <v/>
      </c>
      <c r="NB19" s="402">
        <f>IF(AND(362&gt;=$NR$19,362&lt;=$NS$19),IF($NP$19="Single_Point",IF(362=$NR$19,$NN$19,0),IF($NP$19="Bell_Curve",$NN$19*(362-$NR$19+1)*($NS$19-362+1)/$NU$19,$NN$19/$NT$19)),0)</f>
        <v/>
      </c>
      <c r="NC19" s="402">
        <f>IF(AND(363&gt;=$NR$19,363&lt;=$NS$19),IF($NP$19="Single_Point",IF(363=$NR$19,$NN$19,0),IF($NP$19="Bell_Curve",$NN$19*(363-$NR$19+1)*($NS$19-363+1)/$NU$19,$NN$19/$NT$19)),0)</f>
        <v/>
      </c>
      <c r="ND19" s="402">
        <f>IF(AND(364&gt;=$NR$19,364&lt;=$NS$19),IF($NP$19="Single_Point",IF(364=$NR$19,$NN$19,0),IF($NP$19="Bell_Curve",$NN$19*(364-$NR$19+1)*($NS$19-364+1)/$NU$19,$NN$19/$NT$19)),0)</f>
        <v/>
      </c>
      <c r="NE19" s="402">
        <f>IF(AND(365&gt;=$NR$19,365&lt;=$NS$19),IF($NP$19="Single_Point",IF(365=$NR$19,$NN$19,0),IF($NP$19="Bell_Curve",$NN$19*(365-$NR$19+1)*($NS$19-365+1)/$NU$19,$NN$19/$NT$19)),0)</f>
        <v/>
      </c>
      <c r="NF19" s="402">
        <f>IF(AND(366&gt;=$NR$19,366&lt;=$NS$19),IF($NP$19="Single_Point",IF(366=$NR$19,$NN$19,0),IF($NP$19="Bell_Curve",$NN$19*(366-$NR$19+1)*($NS$19-366+1)/$NU$19,$NN$19/$NT$19)),0)</f>
        <v/>
      </c>
      <c r="NG19" s="402">
        <f>IF(AND(367&gt;=$NR$19,367&lt;=$NS$19),IF($NP$19="Single_Point",IF(367=$NR$19,$NN$19,0),IF($NP$19="Bell_Curve",$NN$19*(367-$NR$19+1)*($NS$19-367+1)/$NU$19,$NN$19/$NT$19)),0)</f>
        <v/>
      </c>
      <c r="NH19" s="402">
        <f>IF(AND(368&gt;=$NR$19,368&lt;=$NS$19),IF($NP$19="Single_Point",IF(368=$NR$19,$NN$19,0),IF($NP$19="Bell_Curve",$NN$19*(368-$NR$19+1)*($NS$19-368+1)/$NU$19,$NN$19/$NT$19)),0)</f>
        <v/>
      </c>
      <c r="NI19" s="402">
        <f>IF(AND(369&gt;=$NR$19,369&lt;=$NS$19),IF($NP$19="Single_Point",IF(369=$NR$19,$NN$19,0),IF($NP$19="Bell_Curve",$NN$19*(369-$NR$19+1)*($NS$19-369+1)/$NU$19,$NN$19/$NT$19)),0)</f>
        <v/>
      </c>
      <c r="NJ19" s="402">
        <f>IF(AND(370&gt;=$NR$19,370&lt;=$NS$19),IF($NP$19="Single_Point",IF(370=$NR$19,$NN$19,0),IF($NP$19="Bell_Curve",$NN$19*(370-$NR$19+1)*($NS$19-370+1)/$NU$19,$NN$19/$NT$19)),0)</f>
        <v/>
      </c>
      <c r="NK19" s="402">
        <f>IF(AND(371&gt;=$NR$19,371&lt;=$NS$19),IF($NP$19="Single_Point",IF(371=$NR$19,$NN$19,0),IF($NP$19="Bell_Curve",$NN$19*(371-$NR$19+1)*($NS$19-371+1)/$NU$19,$NN$19/$NT$19)),0)</f>
        <v/>
      </c>
      <c r="NL19" s="426">
        <f>IF(AND(372&gt;=$NR$19,372&lt;=$NS$19),IF($NP$19="Single_Point",IF(372=$NR$19,$NN$19,0),IF($NP$19="Bell_Curve",$NN$19*(372-$NR$19+1)*($NS$19-372+1)/$NU$19,$NN$19/$NT$19)),0)</f>
        <v/>
      </c>
      <c r="NM19">
        <f>Budget!C18</f>
        <v/>
      </c>
      <c r="NN19" s="218">
        <f>Budget!J18</f>
        <v/>
      </c>
      <c r="NO19" s="144">
        <f>Budget!G18</f>
        <v/>
      </c>
      <c r="NP19" s="144">
        <f>Budget!H18</f>
        <v/>
      </c>
      <c r="NQ19" s="85">
        <f>Budget!I18</f>
        <v/>
      </c>
      <c r="NR19" s="248">
        <f>MAX(1,MIN(372,INDEX(MilestoneStart,MATCH(NO19,MilestoneNames,0))+NQ19))</f>
        <v/>
      </c>
      <c r="NS19" s="248">
        <f>MAX(NR19,MIN(372,INDEX(MilestoneEnd,MATCH(NO19,MilestoneNames,0))+NQ19))</f>
        <v/>
      </c>
      <c r="NT19" s="85">
        <f>NS19-NR19+1</f>
        <v/>
      </c>
      <c r="NU19" s="85">
        <f>NT19*(NT19+1)*(NT19+2)/6</f>
        <v/>
      </c>
    </row>
    <row r="20">
      <c r="B20" s="296">
        <f>Budget!B19</f>
        <v/>
      </c>
      <c r="D20" s="425">
        <f>SUM(E20:NL20)</f>
        <v/>
      </c>
      <c r="E20" s="402">
        <f>IF(AND(1&gt;=$NR$20,1&lt;=$NS$20),IF($NP$20="Single_Point",IF(1=$NR$20,$NN$20,0),IF($NP$20="Bell_Curve",$NN$20*(1-$NR$20+1)*($NS$20-1+1)/$NU$20,$NN$20/$NT$20)),0)</f>
        <v/>
      </c>
      <c r="F20" s="402">
        <f>IF(AND(2&gt;=$NR$20,2&lt;=$NS$20),IF($NP$20="Single_Point",IF(2=$NR$20,$NN$20,0),IF($NP$20="Bell_Curve",$NN$20*(2-$NR$20+1)*($NS$20-2+1)/$NU$20,$NN$20/$NT$20)),0)</f>
        <v/>
      </c>
      <c r="G20" s="402">
        <f>IF(AND(3&gt;=$NR$20,3&lt;=$NS$20),IF($NP$20="Single_Point",IF(3=$NR$20,$NN$20,0),IF($NP$20="Bell_Curve",$NN$20*(3-$NR$20+1)*($NS$20-3+1)/$NU$20,$NN$20/$NT$20)),0)</f>
        <v/>
      </c>
      <c r="H20" s="402">
        <f>IF(AND(4&gt;=$NR$20,4&lt;=$NS$20),IF($NP$20="Single_Point",IF(4=$NR$20,$NN$20,0),IF($NP$20="Bell_Curve",$NN$20*(4-$NR$20+1)*($NS$20-4+1)/$NU$20,$NN$20/$NT$20)),0)</f>
        <v/>
      </c>
      <c r="I20" s="402">
        <f>IF(AND(5&gt;=$NR$20,5&lt;=$NS$20),IF($NP$20="Single_Point",IF(5=$NR$20,$NN$20,0),IF($NP$20="Bell_Curve",$NN$20*(5-$NR$20+1)*($NS$20-5+1)/$NU$20,$NN$20/$NT$20)),0)</f>
        <v/>
      </c>
      <c r="J20" s="402">
        <f>IF(AND(6&gt;=$NR$20,6&lt;=$NS$20),IF($NP$20="Single_Point",IF(6=$NR$20,$NN$20,0),IF($NP$20="Bell_Curve",$NN$20*(6-$NR$20+1)*($NS$20-6+1)/$NU$20,$NN$20/$NT$20)),0)</f>
        <v/>
      </c>
      <c r="K20" s="402">
        <f>IF(AND(7&gt;=$NR$20,7&lt;=$NS$20),IF($NP$20="Single_Point",IF(7=$NR$20,$NN$20,0),IF($NP$20="Bell_Curve",$NN$20*(7-$NR$20+1)*($NS$20-7+1)/$NU$20,$NN$20/$NT$20)),0)</f>
        <v/>
      </c>
      <c r="L20" s="402">
        <f>IF(AND(8&gt;=$NR$20,8&lt;=$NS$20),IF($NP$20="Single_Point",IF(8=$NR$20,$NN$20,0),IF($NP$20="Bell_Curve",$NN$20*(8-$NR$20+1)*($NS$20-8+1)/$NU$20,$NN$20/$NT$20)),0)</f>
        <v/>
      </c>
      <c r="M20" s="402">
        <f>IF(AND(9&gt;=$NR$20,9&lt;=$NS$20),IF($NP$20="Single_Point",IF(9=$NR$20,$NN$20,0),IF($NP$20="Bell_Curve",$NN$20*(9-$NR$20+1)*($NS$20-9+1)/$NU$20,$NN$20/$NT$20)),0)</f>
        <v/>
      </c>
      <c r="N20" s="402">
        <f>IF(AND(10&gt;=$NR$20,10&lt;=$NS$20),IF($NP$20="Single_Point",IF(10=$NR$20,$NN$20,0),IF($NP$20="Bell_Curve",$NN$20*(10-$NR$20+1)*($NS$20-10+1)/$NU$20,$NN$20/$NT$20)),0)</f>
        <v/>
      </c>
      <c r="O20" s="402">
        <f>IF(AND(11&gt;=$NR$20,11&lt;=$NS$20),IF($NP$20="Single_Point",IF(11=$NR$20,$NN$20,0),IF($NP$20="Bell_Curve",$NN$20*(11-$NR$20+1)*($NS$20-11+1)/$NU$20,$NN$20/$NT$20)),0)</f>
        <v/>
      </c>
      <c r="P20" s="402">
        <f>IF(AND(12&gt;=$NR$20,12&lt;=$NS$20),IF($NP$20="Single_Point",IF(12=$NR$20,$NN$20,0),IF($NP$20="Bell_Curve",$NN$20*(12-$NR$20+1)*($NS$20-12+1)/$NU$20,$NN$20/$NT$20)),0)</f>
        <v/>
      </c>
      <c r="Q20" s="402">
        <f>IF(AND(13&gt;=$NR$20,13&lt;=$NS$20),IF($NP$20="Single_Point",IF(13=$NR$20,$NN$20,0),IF($NP$20="Bell_Curve",$NN$20*(13-$NR$20+1)*($NS$20-13+1)/$NU$20,$NN$20/$NT$20)),0)</f>
        <v/>
      </c>
      <c r="R20" s="402">
        <f>IF(AND(14&gt;=$NR$20,14&lt;=$NS$20),IF($NP$20="Single_Point",IF(14=$NR$20,$NN$20,0),IF($NP$20="Bell_Curve",$NN$20*(14-$NR$20+1)*($NS$20-14+1)/$NU$20,$NN$20/$NT$20)),0)</f>
        <v/>
      </c>
      <c r="S20" s="402">
        <f>IF(AND(15&gt;=$NR$20,15&lt;=$NS$20),IF($NP$20="Single_Point",IF(15=$NR$20,$NN$20,0),IF($NP$20="Bell_Curve",$NN$20*(15-$NR$20+1)*($NS$20-15+1)/$NU$20,$NN$20/$NT$20)),0)</f>
        <v/>
      </c>
      <c r="T20" s="402">
        <f>IF(AND(16&gt;=$NR$20,16&lt;=$NS$20),IF($NP$20="Single_Point",IF(16=$NR$20,$NN$20,0),IF($NP$20="Bell_Curve",$NN$20*(16-$NR$20+1)*($NS$20-16+1)/$NU$20,$NN$20/$NT$20)),0)</f>
        <v/>
      </c>
      <c r="U20" s="402">
        <f>IF(AND(17&gt;=$NR$20,17&lt;=$NS$20),IF($NP$20="Single_Point",IF(17=$NR$20,$NN$20,0),IF($NP$20="Bell_Curve",$NN$20*(17-$NR$20+1)*($NS$20-17+1)/$NU$20,$NN$20/$NT$20)),0)</f>
        <v/>
      </c>
      <c r="V20" s="402">
        <f>IF(AND(18&gt;=$NR$20,18&lt;=$NS$20),IF($NP$20="Single_Point",IF(18=$NR$20,$NN$20,0),IF($NP$20="Bell_Curve",$NN$20*(18-$NR$20+1)*($NS$20-18+1)/$NU$20,$NN$20/$NT$20)),0)</f>
        <v/>
      </c>
      <c r="W20" s="402">
        <f>IF(AND(19&gt;=$NR$20,19&lt;=$NS$20),IF($NP$20="Single_Point",IF(19=$NR$20,$NN$20,0),IF($NP$20="Bell_Curve",$NN$20*(19-$NR$20+1)*($NS$20-19+1)/$NU$20,$NN$20/$NT$20)),0)</f>
        <v/>
      </c>
      <c r="X20" s="402">
        <f>IF(AND(20&gt;=$NR$20,20&lt;=$NS$20),IF($NP$20="Single_Point",IF(20=$NR$20,$NN$20,0),IF($NP$20="Bell_Curve",$NN$20*(20-$NR$20+1)*($NS$20-20+1)/$NU$20,$NN$20/$NT$20)),0)</f>
        <v/>
      </c>
      <c r="Y20" s="402">
        <f>IF(AND(21&gt;=$NR$20,21&lt;=$NS$20),IF($NP$20="Single_Point",IF(21=$NR$20,$NN$20,0),IF($NP$20="Bell_Curve",$NN$20*(21-$NR$20+1)*($NS$20-21+1)/$NU$20,$NN$20/$NT$20)),0)</f>
        <v/>
      </c>
      <c r="Z20" s="402">
        <f>IF(AND(22&gt;=$NR$20,22&lt;=$NS$20),IF($NP$20="Single_Point",IF(22=$NR$20,$NN$20,0),IF($NP$20="Bell_Curve",$NN$20*(22-$NR$20+1)*($NS$20-22+1)/$NU$20,$NN$20/$NT$20)),0)</f>
        <v/>
      </c>
      <c r="AA20" s="402">
        <f>IF(AND(23&gt;=$NR$20,23&lt;=$NS$20),IF($NP$20="Single_Point",IF(23=$NR$20,$NN$20,0),IF($NP$20="Bell_Curve",$NN$20*(23-$NR$20+1)*($NS$20-23+1)/$NU$20,$NN$20/$NT$20)),0)</f>
        <v/>
      </c>
      <c r="AB20" s="402">
        <f>IF(AND(24&gt;=$NR$20,24&lt;=$NS$20),IF($NP$20="Single_Point",IF(24=$NR$20,$NN$20,0),IF($NP$20="Bell_Curve",$NN$20*(24-$NR$20+1)*($NS$20-24+1)/$NU$20,$NN$20/$NT$20)),0)</f>
        <v/>
      </c>
      <c r="AC20" s="402">
        <f>IF(AND(25&gt;=$NR$20,25&lt;=$NS$20),IF($NP$20="Single_Point",IF(25=$NR$20,$NN$20,0),IF($NP$20="Bell_Curve",$NN$20*(25-$NR$20+1)*($NS$20-25+1)/$NU$20,$NN$20/$NT$20)),0)</f>
        <v/>
      </c>
      <c r="AD20" s="402">
        <f>IF(AND(26&gt;=$NR$20,26&lt;=$NS$20),IF($NP$20="Single_Point",IF(26=$NR$20,$NN$20,0),IF($NP$20="Bell_Curve",$NN$20*(26-$NR$20+1)*($NS$20-26+1)/$NU$20,$NN$20/$NT$20)),0)</f>
        <v/>
      </c>
      <c r="AE20" s="402">
        <f>IF(AND(27&gt;=$NR$20,27&lt;=$NS$20),IF($NP$20="Single_Point",IF(27=$NR$20,$NN$20,0),IF($NP$20="Bell_Curve",$NN$20*(27-$NR$20+1)*($NS$20-27+1)/$NU$20,$NN$20/$NT$20)),0)</f>
        <v/>
      </c>
      <c r="AF20" s="402">
        <f>IF(AND(28&gt;=$NR$20,28&lt;=$NS$20),IF($NP$20="Single_Point",IF(28=$NR$20,$NN$20,0),IF($NP$20="Bell_Curve",$NN$20*(28-$NR$20+1)*($NS$20-28+1)/$NU$20,$NN$20/$NT$20)),0)</f>
        <v/>
      </c>
      <c r="AG20" s="402">
        <f>IF(AND(29&gt;=$NR$20,29&lt;=$NS$20),IF($NP$20="Single_Point",IF(29=$NR$20,$NN$20,0),IF($NP$20="Bell_Curve",$NN$20*(29-$NR$20+1)*($NS$20-29+1)/$NU$20,$NN$20/$NT$20)),0)</f>
        <v/>
      </c>
      <c r="AH20" s="402">
        <f>IF(AND(30&gt;=$NR$20,30&lt;=$NS$20),IF($NP$20="Single_Point",IF(30=$NR$20,$NN$20,0),IF($NP$20="Bell_Curve",$NN$20*(30-$NR$20+1)*($NS$20-30+1)/$NU$20,$NN$20/$NT$20)),0)</f>
        <v/>
      </c>
      <c r="AI20" s="402">
        <f>IF(AND(31&gt;=$NR$20,31&lt;=$NS$20),IF($NP$20="Single_Point",IF(31=$NR$20,$NN$20,0),IF($NP$20="Bell_Curve",$NN$20*(31-$NR$20+1)*($NS$20-31+1)/$NU$20,$NN$20/$NT$20)),0)</f>
        <v/>
      </c>
      <c r="AJ20" s="402">
        <f>IF(AND(32&gt;=$NR$20,32&lt;=$NS$20),IF($NP$20="Single_Point",IF(32=$NR$20,$NN$20,0),IF($NP$20="Bell_Curve",$NN$20*(32-$NR$20+1)*($NS$20-32+1)/$NU$20,$NN$20/$NT$20)),0)</f>
        <v/>
      </c>
      <c r="AK20" s="402">
        <f>IF(AND(33&gt;=$NR$20,33&lt;=$NS$20),IF($NP$20="Single_Point",IF(33=$NR$20,$NN$20,0),IF($NP$20="Bell_Curve",$NN$20*(33-$NR$20+1)*($NS$20-33+1)/$NU$20,$NN$20/$NT$20)),0)</f>
        <v/>
      </c>
      <c r="AL20" s="402">
        <f>IF(AND(34&gt;=$NR$20,34&lt;=$NS$20),IF($NP$20="Single_Point",IF(34=$NR$20,$NN$20,0),IF($NP$20="Bell_Curve",$NN$20*(34-$NR$20+1)*($NS$20-34+1)/$NU$20,$NN$20/$NT$20)),0)</f>
        <v/>
      </c>
      <c r="AM20" s="402">
        <f>IF(AND(35&gt;=$NR$20,35&lt;=$NS$20),IF($NP$20="Single_Point",IF(35=$NR$20,$NN$20,0),IF($NP$20="Bell_Curve",$NN$20*(35-$NR$20+1)*($NS$20-35+1)/$NU$20,$NN$20/$NT$20)),0)</f>
        <v/>
      </c>
      <c r="AN20" s="402">
        <f>IF(AND(36&gt;=$NR$20,36&lt;=$NS$20),IF($NP$20="Single_Point",IF(36=$NR$20,$NN$20,0),IF($NP$20="Bell_Curve",$NN$20*(36-$NR$20+1)*($NS$20-36+1)/$NU$20,$NN$20/$NT$20)),0)</f>
        <v/>
      </c>
      <c r="AO20" s="402">
        <f>IF(AND(37&gt;=$NR$20,37&lt;=$NS$20),IF($NP$20="Single_Point",IF(37=$NR$20,$NN$20,0),IF($NP$20="Bell_Curve",$NN$20*(37-$NR$20+1)*($NS$20-37+1)/$NU$20,$NN$20/$NT$20)),0)</f>
        <v/>
      </c>
      <c r="AP20" s="402">
        <f>IF(AND(38&gt;=$NR$20,38&lt;=$NS$20),IF($NP$20="Single_Point",IF(38=$NR$20,$NN$20,0),IF($NP$20="Bell_Curve",$NN$20*(38-$NR$20+1)*($NS$20-38+1)/$NU$20,$NN$20/$NT$20)),0)</f>
        <v/>
      </c>
      <c r="AQ20" s="402">
        <f>IF(AND(39&gt;=$NR$20,39&lt;=$NS$20),IF($NP$20="Single_Point",IF(39=$NR$20,$NN$20,0),IF($NP$20="Bell_Curve",$NN$20*(39-$NR$20+1)*($NS$20-39+1)/$NU$20,$NN$20/$NT$20)),0)</f>
        <v/>
      </c>
      <c r="AR20" s="402">
        <f>IF(AND(40&gt;=$NR$20,40&lt;=$NS$20),IF($NP$20="Single_Point",IF(40=$NR$20,$NN$20,0),IF($NP$20="Bell_Curve",$NN$20*(40-$NR$20+1)*($NS$20-40+1)/$NU$20,$NN$20/$NT$20)),0)</f>
        <v/>
      </c>
      <c r="AS20" s="402">
        <f>IF(AND(41&gt;=$NR$20,41&lt;=$NS$20),IF($NP$20="Single_Point",IF(41=$NR$20,$NN$20,0),IF($NP$20="Bell_Curve",$NN$20*(41-$NR$20+1)*($NS$20-41+1)/$NU$20,$NN$20/$NT$20)),0)</f>
        <v/>
      </c>
      <c r="AT20" s="402">
        <f>IF(AND(42&gt;=$NR$20,42&lt;=$NS$20),IF($NP$20="Single_Point",IF(42=$NR$20,$NN$20,0),IF($NP$20="Bell_Curve",$NN$20*(42-$NR$20+1)*($NS$20-42+1)/$NU$20,$NN$20/$NT$20)),0)</f>
        <v/>
      </c>
      <c r="AU20" s="402">
        <f>IF(AND(43&gt;=$NR$20,43&lt;=$NS$20),IF($NP$20="Single_Point",IF(43=$NR$20,$NN$20,0),IF($NP$20="Bell_Curve",$NN$20*(43-$NR$20+1)*($NS$20-43+1)/$NU$20,$NN$20/$NT$20)),0)</f>
        <v/>
      </c>
      <c r="AV20" s="402">
        <f>IF(AND(44&gt;=$NR$20,44&lt;=$NS$20),IF($NP$20="Single_Point",IF(44=$NR$20,$NN$20,0),IF($NP$20="Bell_Curve",$NN$20*(44-$NR$20+1)*($NS$20-44+1)/$NU$20,$NN$20/$NT$20)),0)</f>
        <v/>
      </c>
      <c r="AW20" s="402">
        <f>IF(AND(45&gt;=$NR$20,45&lt;=$NS$20),IF($NP$20="Single_Point",IF(45=$NR$20,$NN$20,0),IF($NP$20="Bell_Curve",$NN$20*(45-$NR$20+1)*($NS$20-45+1)/$NU$20,$NN$20/$NT$20)),0)</f>
        <v/>
      </c>
      <c r="AX20" s="402">
        <f>IF(AND(46&gt;=$NR$20,46&lt;=$NS$20),IF($NP$20="Single_Point",IF(46=$NR$20,$NN$20,0),IF($NP$20="Bell_Curve",$NN$20*(46-$NR$20+1)*($NS$20-46+1)/$NU$20,$NN$20/$NT$20)),0)</f>
        <v/>
      </c>
      <c r="AY20" s="402">
        <f>IF(AND(47&gt;=$NR$20,47&lt;=$NS$20),IF($NP$20="Single_Point",IF(47=$NR$20,$NN$20,0),IF($NP$20="Bell_Curve",$NN$20*(47-$NR$20+1)*($NS$20-47+1)/$NU$20,$NN$20/$NT$20)),0)</f>
        <v/>
      </c>
      <c r="AZ20" s="402">
        <f>IF(AND(48&gt;=$NR$20,48&lt;=$NS$20),IF($NP$20="Single_Point",IF(48=$NR$20,$NN$20,0),IF($NP$20="Bell_Curve",$NN$20*(48-$NR$20+1)*($NS$20-48+1)/$NU$20,$NN$20/$NT$20)),0)</f>
        <v/>
      </c>
      <c r="BA20" s="402">
        <f>IF(AND(49&gt;=$NR$20,49&lt;=$NS$20),IF($NP$20="Single_Point",IF(49=$NR$20,$NN$20,0),IF($NP$20="Bell_Curve",$NN$20*(49-$NR$20+1)*($NS$20-49+1)/$NU$20,$NN$20/$NT$20)),0)</f>
        <v/>
      </c>
      <c r="BB20" s="402">
        <f>IF(AND(50&gt;=$NR$20,50&lt;=$NS$20),IF($NP$20="Single_Point",IF(50=$NR$20,$NN$20,0),IF($NP$20="Bell_Curve",$NN$20*(50-$NR$20+1)*($NS$20-50+1)/$NU$20,$NN$20/$NT$20)),0)</f>
        <v/>
      </c>
      <c r="BC20" s="402">
        <f>IF(AND(51&gt;=$NR$20,51&lt;=$NS$20),IF($NP$20="Single_Point",IF(51=$NR$20,$NN$20,0),IF($NP$20="Bell_Curve",$NN$20*(51-$NR$20+1)*($NS$20-51+1)/$NU$20,$NN$20/$NT$20)),0)</f>
        <v/>
      </c>
      <c r="BD20" s="402">
        <f>IF(AND(52&gt;=$NR$20,52&lt;=$NS$20),IF($NP$20="Single_Point",IF(52=$NR$20,$NN$20,0),IF($NP$20="Bell_Curve",$NN$20*(52-$NR$20+1)*($NS$20-52+1)/$NU$20,$NN$20/$NT$20)),0)</f>
        <v/>
      </c>
      <c r="BE20" s="402">
        <f>IF(AND(53&gt;=$NR$20,53&lt;=$NS$20),IF($NP$20="Single_Point",IF(53=$NR$20,$NN$20,0),IF($NP$20="Bell_Curve",$NN$20*(53-$NR$20+1)*($NS$20-53+1)/$NU$20,$NN$20/$NT$20)),0)</f>
        <v/>
      </c>
      <c r="BF20" s="402">
        <f>IF(AND(54&gt;=$NR$20,54&lt;=$NS$20),IF($NP$20="Single_Point",IF(54=$NR$20,$NN$20,0),IF($NP$20="Bell_Curve",$NN$20*(54-$NR$20+1)*($NS$20-54+1)/$NU$20,$NN$20/$NT$20)),0)</f>
        <v/>
      </c>
      <c r="BG20" s="402">
        <f>IF(AND(55&gt;=$NR$20,55&lt;=$NS$20),IF($NP$20="Single_Point",IF(55=$NR$20,$NN$20,0),IF($NP$20="Bell_Curve",$NN$20*(55-$NR$20+1)*($NS$20-55+1)/$NU$20,$NN$20/$NT$20)),0)</f>
        <v/>
      </c>
      <c r="BH20" s="402">
        <f>IF(AND(56&gt;=$NR$20,56&lt;=$NS$20),IF($NP$20="Single_Point",IF(56=$NR$20,$NN$20,0),IF($NP$20="Bell_Curve",$NN$20*(56-$NR$20+1)*($NS$20-56+1)/$NU$20,$NN$20/$NT$20)),0)</f>
        <v/>
      </c>
      <c r="BI20" s="402">
        <f>IF(AND(57&gt;=$NR$20,57&lt;=$NS$20),IF($NP$20="Single_Point",IF(57=$NR$20,$NN$20,0),IF($NP$20="Bell_Curve",$NN$20*(57-$NR$20+1)*($NS$20-57+1)/$NU$20,$NN$20/$NT$20)),0)</f>
        <v/>
      </c>
      <c r="BJ20" s="402">
        <f>IF(AND(58&gt;=$NR$20,58&lt;=$NS$20),IF($NP$20="Single_Point",IF(58=$NR$20,$NN$20,0),IF($NP$20="Bell_Curve",$NN$20*(58-$NR$20+1)*($NS$20-58+1)/$NU$20,$NN$20/$NT$20)),0)</f>
        <v/>
      </c>
      <c r="BK20" s="402">
        <f>IF(AND(59&gt;=$NR$20,59&lt;=$NS$20),IF($NP$20="Single_Point",IF(59=$NR$20,$NN$20,0),IF($NP$20="Bell_Curve",$NN$20*(59-$NR$20+1)*($NS$20-59+1)/$NU$20,$NN$20/$NT$20)),0)</f>
        <v/>
      </c>
      <c r="BL20" s="402">
        <f>IF(AND(60&gt;=$NR$20,60&lt;=$NS$20),IF($NP$20="Single_Point",IF(60=$NR$20,$NN$20,0),IF($NP$20="Bell_Curve",$NN$20*(60-$NR$20+1)*($NS$20-60+1)/$NU$20,$NN$20/$NT$20)),0)</f>
        <v/>
      </c>
      <c r="BM20" s="402">
        <f>IF(AND(61&gt;=$NR$20,61&lt;=$NS$20),IF($NP$20="Single_Point",IF(61=$NR$20,$NN$20,0),IF($NP$20="Bell_Curve",$NN$20*(61-$NR$20+1)*($NS$20-61+1)/$NU$20,$NN$20/$NT$20)),0)</f>
        <v/>
      </c>
      <c r="BN20" s="402">
        <f>IF(AND(62&gt;=$NR$20,62&lt;=$NS$20),IF($NP$20="Single_Point",IF(62=$NR$20,$NN$20,0),IF($NP$20="Bell_Curve",$NN$20*(62-$NR$20+1)*($NS$20-62+1)/$NU$20,$NN$20/$NT$20)),0)</f>
        <v/>
      </c>
      <c r="BO20" s="402">
        <f>IF(AND(63&gt;=$NR$20,63&lt;=$NS$20),IF($NP$20="Single_Point",IF(63=$NR$20,$NN$20,0),IF($NP$20="Bell_Curve",$NN$20*(63-$NR$20+1)*($NS$20-63+1)/$NU$20,$NN$20/$NT$20)),0)</f>
        <v/>
      </c>
      <c r="BP20" s="402">
        <f>IF(AND(64&gt;=$NR$20,64&lt;=$NS$20),IF($NP$20="Single_Point",IF(64=$NR$20,$NN$20,0),IF($NP$20="Bell_Curve",$NN$20*(64-$NR$20+1)*($NS$20-64+1)/$NU$20,$NN$20/$NT$20)),0)</f>
        <v/>
      </c>
      <c r="BQ20" s="402">
        <f>IF(AND(65&gt;=$NR$20,65&lt;=$NS$20),IF($NP$20="Single_Point",IF(65=$NR$20,$NN$20,0),IF($NP$20="Bell_Curve",$NN$20*(65-$NR$20+1)*($NS$20-65+1)/$NU$20,$NN$20/$NT$20)),0)</f>
        <v/>
      </c>
      <c r="BR20" s="402">
        <f>IF(AND(66&gt;=$NR$20,66&lt;=$NS$20),IF($NP$20="Single_Point",IF(66=$NR$20,$NN$20,0),IF($NP$20="Bell_Curve",$NN$20*(66-$NR$20+1)*($NS$20-66+1)/$NU$20,$NN$20/$NT$20)),0)</f>
        <v/>
      </c>
      <c r="BS20" s="402">
        <f>IF(AND(67&gt;=$NR$20,67&lt;=$NS$20),IF($NP$20="Single_Point",IF(67=$NR$20,$NN$20,0),IF($NP$20="Bell_Curve",$NN$20*(67-$NR$20+1)*($NS$20-67+1)/$NU$20,$NN$20/$NT$20)),0)</f>
        <v/>
      </c>
      <c r="BT20" s="402">
        <f>IF(AND(68&gt;=$NR$20,68&lt;=$NS$20),IF($NP$20="Single_Point",IF(68=$NR$20,$NN$20,0),IF($NP$20="Bell_Curve",$NN$20*(68-$NR$20+1)*($NS$20-68+1)/$NU$20,$NN$20/$NT$20)),0)</f>
        <v/>
      </c>
      <c r="BU20" s="402">
        <f>IF(AND(69&gt;=$NR$20,69&lt;=$NS$20),IF($NP$20="Single_Point",IF(69=$NR$20,$NN$20,0),IF($NP$20="Bell_Curve",$NN$20*(69-$NR$20+1)*($NS$20-69+1)/$NU$20,$NN$20/$NT$20)),0)</f>
        <v/>
      </c>
      <c r="BV20" s="402">
        <f>IF(AND(70&gt;=$NR$20,70&lt;=$NS$20),IF($NP$20="Single_Point",IF(70=$NR$20,$NN$20,0),IF($NP$20="Bell_Curve",$NN$20*(70-$NR$20+1)*($NS$20-70+1)/$NU$20,$NN$20/$NT$20)),0)</f>
        <v/>
      </c>
      <c r="BW20" s="402">
        <f>IF(AND(71&gt;=$NR$20,71&lt;=$NS$20),IF($NP$20="Single_Point",IF(71=$NR$20,$NN$20,0),IF($NP$20="Bell_Curve",$NN$20*(71-$NR$20+1)*($NS$20-71+1)/$NU$20,$NN$20/$NT$20)),0)</f>
        <v/>
      </c>
      <c r="BX20" s="402">
        <f>IF(AND(72&gt;=$NR$20,72&lt;=$NS$20),IF($NP$20="Single_Point",IF(72=$NR$20,$NN$20,0),IF($NP$20="Bell_Curve",$NN$20*(72-$NR$20+1)*($NS$20-72+1)/$NU$20,$NN$20/$NT$20)),0)</f>
        <v/>
      </c>
      <c r="BY20" s="402">
        <f>IF(AND(73&gt;=$NR$20,73&lt;=$NS$20),IF($NP$20="Single_Point",IF(73=$NR$20,$NN$20,0),IF($NP$20="Bell_Curve",$NN$20*(73-$NR$20+1)*($NS$20-73+1)/$NU$20,$NN$20/$NT$20)),0)</f>
        <v/>
      </c>
      <c r="BZ20" s="402">
        <f>IF(AND(74&gt;=$NR$20,74&lt;=$NS$20),IF($NP$20="Single_Point",IF(74=$NR$20,$NN$20,0),IF($NP$20="Bell_Curve",$NN$20*(74-$NR$20+1)*($NS$20-74+1)/$NU$20,$NN$20/$NT$20)),0)</f>
        <v/>
      </c>
      <c r="CA20" s="402">
        <f>IF(AND(75&gt;=$NR$20,75&lt;=$NS$20),IF($NP$20="Single_Point",IF(75=$NR$20,$NN$20,0),IF($NP$20="Bell_Curve",$NN$20*(75-$NR$20+1)*($NS$20-75+1)/$NU$20,$NN$20/$NT$20)),0)</f>
        <v/>
      </c>
      <c r="CB20" s="402">
        <f>IF(AND(76&gt;=$NR$20,76&lt;=$NS$20),IF($NP$20="Single_Point",IF(76=$NR$20,$NN$20,0),IF($NP$20="Bell_Curve",$NN$20*(76-$NR$20+1)*($NS$20-76+1)/$NU$20,$NN$20/$NT$20)),0)</f>
        <v/>
      </c>
      <c r="CC20" s="402">
        <f>IF(AND(77&gt;=$NR$20,77&lt;=$NS$20),IF($NP$20="Single_Point",IF(77=$NR$20,$NN$20,0),IF($NP$20="Bell_Curve",$NN$20*(77-$NR$20+1)*($NS$20-77+1)/$NU$20,$NN$20/$NT$20)),0)</f>
        <v/>
      </c>
      <c r="CD20" s="402">
        <f>IF(AND(78&gt;=$NR$20,78&lt;=$NS$20),IF($NP$20="Single_Point",IF(78=$NR$20,$NN$20,0),IF($NP$20="Bell_Curve",$NN$20*(78-$NR$20+1)*($NS$20-78+1)/$NU$20,$NN$20/$NT$20)),0)</f>
        <v/>
      </c>
      <c r="CE20" s="402">
        <f>IF(AND(79&gt;=$NR$20,79&lt;=$NS$20),IF($NP$20="Single_Point",IF(79=$NR$20,$NN$20,0),IF($NP$20="Bell_Curve",$NN$20*(79-$NR$20+1)*($NS$20-79+1)/$NU$20,$NN$20/$NT$20)),0)</f>
        <v/>
      </c>
      <c r="CF20" s="402">
        <f>IF(AND(80&gt;=$NR$20,80&lt;=$NS$20),IF($NP$20="Single_Point",IF(80=$NR$20,$NN$20,0),IF($NP$20="Bell_Curve",$NN$20*(80-$NR$20+1)*($NS$20-80+1)/$NU$20,$NN$20/$NT$20)),0)</f>
        <v/>
      </c>
      <c r="CG20" s="402">
        <f>IF(AND(81&gt;=$NR$20,81&lt;=$NS$20),IF($NP$20="Single_Point",IF(81=$NR$20,$NN$20,0),IF($NP$20="Bell_Curve",$NN$20*(81-$NR$20+1)*($NS$20-81+1)/$NU$20,$NN$20/$NT$20)),0)</f>
        <v/>
      </c>
      <c r="CH20" s="402">
        <f>IF(AND(82&gt;=$NR$20,82&lt;=$NS$20),IF($NP$20="Single_Point",IF(82=$NR$20,$NN$20,0),IF($NP$20="Bell_Curve",$NN$20*(82-$NR$20+1)*($NS$20-82+1)/$NU$20,$NN$20/$NT$20)),0)</f>
        <v/>
      </c>
      <c r="CI20" s="402">
        <f>IF(AND(83&gt;=$NR$20,83&lt;=$NS$20),IF($NP$20="Single_Point",IF(83=$NR$20,$NN$20,0),IF($NP$20="Bell_Curve",$NN$20*(83-$NR$20+1)*($NS$20-83+1)/$NU$20,$NN$20/$NT$20)),0)</f>
        <v/>
      </c>
      <c r="CJ20" s="402">
        <f>IF(AND(84&gt;=$NR$20,84&lt;=$NS$20),IF($NP$20="Single_Point",IF(84=$NR$20,$NN$20,0),IF($NP$20="Bell_Curve",$NN$20*(84-$NR$20+1)*($NS$20-84+1)/$NU$20,$NN$20/$NT$20)),0)</f>
        <v/>
      </c>
      <c r="CK20" s="402">
        <f>IF(AND(85&gt;=$NR$20,85&lt;=$NS$20),IF($NP$20="Single_Point",IF(85=$NR$20,$NN$20,0),IF($NP$20="Bell_Curve",$NN$20*(85-$NR$20+1)*($NS$20-85+1)/$NU$20,$NN$20/$NT$20)),0)</f>
        <v/>
      </c>
      <c r="CL20" s="402">
        <f>IF(AND(86&gt;=$NR$20,86&lt;=$NS$20),IF($NP$20="Single_Point",IF(86=$NR$20,$NN$20,0),IF($NP$20="Bell_Curve",$NN$20*(86-$NR$20+1)*($NS$20-86+1)/$NU$20,$NN$20/$NT$20)),0)</f>
        <v/>
      </c>
      <c r="CM20" s="402">
        <f>IF(AND(87&gt;=$NR$20,87&lt;=$NS$20),IF($NP$20="Single_Point",IF(87=$NR$20,$NN$20,0),IF($NP$20="Bell_Curve",$NN$20*(87-$NR$20+1)*($NS$20-87+1)/$NU$20,$NN$20/$NT$20)),0)</f>
        <v/>
      </c>
      <c r="CN20" s="402">
        <f>IF(AND(88&gt;=$NR$20,88&lt;=$NS$20),IF($NP$20="Single_Point",IF(88=$NR$20,$NN$20,0),IF($NP$20="Bell_Curve",$NN$20*(88-$NR$20+1)*($NS$20-88+1)/$NU$20,$NN$20/$NT$20)),0)</f>
        <v/>
      </c>
      <c r="CO20" s="402">
        <f>IF(AND(89&gt;=$NR$20,89&lt;=$NS$20),IF($NP$20="Single_Point",IF(89=$NR$20,$NN$20,0),IF($NP$20="Bell_Curve",$NN$20*(89-$NR$20+1)*($NS$20-89+1)/$NU$20,$NN$20/$NT$20)),0)</f>
        <v/>
      </c>
      <c r="CP20" s="402">
        <f>IF(AND(90&gt;=$NR$20,90&lt;=$NS$20),IF($NP$20="Single_Point",IF(90=$NR$20,$NN$20,0),IF($NP$20="Bell_Curve",$NN$20*(90-$NR$20+1)*($NS$20-90+1)/$NU$20,$NN$20/$NT$20)),0)</f>
        <v/>
      </c>
      <c r="CQ20" s="402">
        <f>IF(AND(91&gt;=$NR$20,91&lt;=$NS$20),IF($NP$20="Single_Point",IF(91=$NR$20,$NN$20,0),IF($NP$20="Bell_Curve",$NN$20*(91-$NR$20+1)*($NS$20-91+1)/$NU$20,$NN$20/$NT$20)),0)</f>
        <v/>
      </c>
      <c r="CR20" s="402">
        <f>IF(AND(92&gt;=$NR$20,92&lt;=$NS$20),IF($NP$20="Single_Point",IF(92=$NR$20,$NN$20,0),IF($NP$20="Bell_Curve",$NN$20*(92-$NR$20+1)*($NS$20-92+1)/$NU$20,$NN$20/$NT$20)),0)</f>
        <v/>
      </c>
      <c r="CS20" s="402">
        <f>IF(AND(93&gt;=$NR$20,93&lt;=$NS$20),IF($NP$20="Single_Point",IF(93=$NR$20,$NN$20,0),IF($NP$20="Bell_Curve",$NN$20*(93-$NR$20+1)*($NS$20-93+1)/$NU$20,$NN$20/$NT$20)),0)</f>
        <v/>
      </c>
      <c r="CT20" s="402">
        <f>IF(AND(94&gt;=$NR$20,94&lt;=$NS$20),IF($NP$20="Single_Point",IF(94=$NR$20,$NN$20,0),IF($NP$20="Bell_Curve",$NN$20*(94-$NR$20+1)*($NS$20-94+1)/$NU$20,$NN$20/$NT$20)),0)</f>
        <v/>
      </c>
      <c r="CU20" s="402">
        <f>IF(AND(95&gt;=$NR$20,95&lt;=$NS$20),IF($NP$20="Single_Point",IF(95=$NR$20,$NN$20,0),IF($NP$20="Bell_Curve",$NN$20*(95-$NR$20+1)*($NS$20-95+1)/$NU$20,$NN$20/$NT$20)),0)</f>
        <v/>
      </c>
      <c r="CV20" s="402">
        <f>IF(AND(96&gt;=$NR$20,96&lt;=$NS$20),IF($NP$20="Single_Point",IF(96=$NR$20,$NN$20,0),IF($NP$20="Bell_Curve",$NN$20*(96-$NR$20+1)*($NS$20-96+1)/$NU$20,$NN$20/$NT$20)),0)</f>
        <v/>
      </c>
      <c r="CW20" s="402">
        <f>IF(AND(97&gt;=$NR$20,97&lt;=$NS$20),IF($NP$20="Single_Point",IF(97=$NR$20,$NN$20,0),IF($NP$20="Bell_Curve",$NN$20*(97-$NR$20+1)*($NS$20-97+1)/$NU$20,$NN$20/$NT$20)),0)</f>
        <v/>
      </c>
      <c r="CX20" s="402">
        <f>IF(AND(98&gt;=$NR$20,98&lt;=$NS$20),IF($NP$20="Single_Point",IF(98=$NR$20,$NN$20,0),IF($NP$20="Bell_Curve",$NN$20*(98-$NR$20+1)*($NS$20-98+1)/$NU$20,$NN$20/$NT$20)),0)</f>
        <v/>
      </c>
      <c r="CY20" s="402">
        <f>IF(AND(99&gt;=$NR$20,99&lt;=$NS$20),IF($NP$20="Single_Point",IF(99=$NR$20,$NN$20,0),IF($NP$20="Bell_Curve",$NN$20*(99-$NR$20+1)*($NS$20-99+1)/$NU$20,$NN$20/$NT$20)),0)</f>
        <v/>
      </c>
      <c r="CZ20" s="402">
        <f>IF(AND(100&gt;=$NR$20,100&lt;=$NS$20),IF($NP$20="Single_Point",IF(100=$NR$20,$NN$20,0),IF($NP$20="Bell_Curve",$NN$20*(100-$NR$20+1)*($NS$20-100+1)/$NU$20,$NN$20/$NT$20)),0)</f>
        <v/>
      </c>
      <c r="DA20" s="402">
        <f>IF(AND(101&gt;=$NR$20,101&lt;=$NS$20),IF($NP$20="Single_Point",IF(101=$NR$20,$NN$20,0),IF($NP$20="Bell_Curve",$NN$20*(101-$NR$20+1)*($NS$20-101+1)/$NU$20,$NN$20/$NT$20)),0)</f>
        <v/>
      </c>
      <c r="DB20" s="402">
        <f>IF(AND(102&gt;=$NR$20,102&lt;=$NS$20),IF($NP$20="Single_Point",IF(102=$NR$20,$NN$20,0),IF($NP$20="Bell_Curve",$NN$20*(102-$NR$20+1)*($NS$20-102+1)/$NU$20,$NN$20/$NT$20)),0)</f>
        <v/>
      </c>
      <c r="DC20" s="402">
        <f>IF(AND(103&gt;=$NR$20,103&lt;=$NS$20),IF($NP$20="Single_Point",IF(103=$NR$20,$NN$20,0),IF($NP$20="Bell_Curve",$NN$20*(103-$NR$20+1)*($NS$20-103+1)/$NU$20,$NN$20/$NT$20)),0)</f>
        <v/>
      </c>
      <c r="DD20" s="402">
        <f>IF(AND(104&gt;=$NR$20,104&lt;=$NS$20),IF($NP$20="Single_Point",IF(104=$NR$20,$NN$20,0),IF($NP$20="Bell_Curve",$NN$20*(104-$NR$20+1)*($NS$20-104+1)/$NU$20,$NN$20/$NT$20)),0)</f>
        <v/>
      </c>
      <c r="DE20" s="402">
        <f>IF(AND(105&gt;=$NR$20,105&lt;=$NS$20),IF($NP$20="Single_Point",IF(105=$NR$20,$NN$20,0),IF($NP$20="Bell_Curve",$NN$20*(105-$NR$20+1)*($NS$20-105+1)/$NU$20,$NN$20/$NT$20)),0)</f>
        <v/>
      </c>
      <c r="DF20" s="402">
        <f>IF(AND(106&gt;=$NR$20,106&lt;=$NS$20),IF($NP$20="Single_Point",IF(106=$NR$20,$NN$20,0),IF($NP$20="Bell_Curve",$NN$20*(106-$NR$20+1)*($NS$20-106+1)/$NU$20,$NN$20/$NT$20)),0)</f>
        <v/>
      </c>
      <c r="DG20" s="402">
        <f>IF(AND(107&gt;=$NR$20,107&lt;=$NS$20),IF($NP$20="Single_Point",IF(107=$NR$20,$NN$20,0),IF($NP$20="Bell_Curve",$NN$20*(107-$NR$20+1)*($NS$20-107+1)/$NU$20,$NN$20/$NT$20)),0)</f>
        <v/>
      </c>
      <c r="DH20" s="402">
        <f>IF(AND(108&gt;=$NR$20,108&lt;=$NS$20),IF($NP$20="Single_Point",IF(108=$NR$20,$NN$20,0),IF($NP$20="Bell_Curve",$NN$20*(108-$NR$20+1)*($NS$20-108+1)/$NU$20,$NN$20/$NT$20)),0)</f>
        <v/>
      </c>
      <c r="DI20" s="402">
        <f>IF(AND(109&gt;=$NR$20,109&lt;=$NS$20),IF($NP$20="Single_Point",IF(109=$NR$20,$NN$20,0),IF($NP$20="Bell_Curve",$NN$20*(109-$NR$20+1)*($NS$20-109+1)/$NU$20,$NN$20/$NT$20)),0)</f>
        <v/>
      </c>
      <c r="DJ20" s="402">
        <f>IF(AND(110&gt;=$NR$20,110&lt;=$NS$20),IF($NP$20="Single_Point",IF(110=$NR$20,$NN$20,0),IF($NP$20="Bell_Curve",$NN$20*(110-$NR$20+1)*($NS$20-110+1)/$NU$20,$NN$20/$NT$20)),0)</f>
        <v/>
      </c>
      <c r="DK20" s="402">
        <f>IF(AND(111&gt;=$NR$20,111&lt;=$NS$20),IF($NP$20="Single_Point",IF(111=$NR$20,$NN$20,0),IF($NP$20="Bell_Curve",$NN$20*(111-$NR$20+1)*($NS$20-111+1)/$NU$20,$NN$20/$NT$20)),0)</f>
        <v/>
      </c>
      <c r="DL20" s="402">
        <f>IF(AND(112&gt;=$NR$20,112&lt;=$NS$20),IF($NP$20="Single_Point",IF(112=$NR$20,$NN$20,0),IF($NP$20="Bell_Curve",$NN$20*(112-$NR$20+1)*($NS$20-112+1)/$NU$20,$NN$20/$NT$20)),0)</f>
        <v/>
      </c>
      <c r="DM20" s="402">
        <f>IF(AND(113&gt;=$NR$20,113&lt;=$NS$20),IF($NP$20="Single_Point",IF(113=$NR$20,$NN$20,0),IF($NP$20="Bell_Curve",$NN$20*(113-$NR$20+1)*($NS$20-113+1)/$NU$20,$NN$20/$NT$20)),0)</f>
        <v/>
      </c>
      <c r="DN20" s="402">
        <f>IF(AND(114&gt;=$NR$20,114&lt;=$NS$20),IF($NP$20="Single_Point",IF(114=$NR$20,$NN$20,0),IF($NP$20="Bell_Curve",$NN$20*(114-$NR$20+1)*($NS$20-114+1)/$NU$20,$NN$20/$NT$20)),0)</f>
        <v/>
      </c>
      <c r="DO20" s="402">
        <f>IF(AND(115&gt;=$NR$20,115&lt;=$NS$20),IF($NP$20="Single_Point",IF(115=$NR$20,$NN$20,0),IF($NP$20="Bell_Curve",$NN$20*(115-$NR$20+1)*($NS$20-115+1)/$NU$20,$NN$20/$NT$20)),0)</f>
        <v/>
      </c>
      <c r="DP20" s="402">
        <f>IF(AND(116&gt;=$NR$20,116&lt;=$NS$20),IF($NP$20="Single_Point",IF(116=$NR$20,$NN$20,0),IF($NP$20="Bell_Curve",$NN$20*(116-$NR$20+1)*($NS$20-116+1)/$NU$20,$NN$20/$NT$20)),0)</f>
        <v/>
      </c>
      <c r="DQ20" s="402">
        <f>IF(AND(117&gt;=$NR$20,117&lt;=$NS$20),IF($NP$20="Single_Point",IF(117=$NR$20,$NN$20,0),IF($NP$20="Bell_Curve",$NN$20*(117-$NR$20+1)*($NS$20-117+1)/$NU$20,$NN$20/$NT$20)),0)</f>
        <v/>
      </c>
      <c r="DR20" s="402">
        <f>IF(AND(118&gt;=$NR$20,118&lt;=$NS$20),IF($NP$20="Single_Point",IF(118=$NR$20,$NN$20,0),IF($NP$20="Bell_Curve",$NN$20*(118-$NR$20+1)*($NS$20-118+1)/$NU$20,$NN$20/$NT$20)),0)</f>
        <v/>
      </c>
      <c r="DS20" s="402">
        <f>IF(AND(119&gt;=$NR$20,119&lt;=$NS$20),IF($NP$20="Single_Point",IF(119=$NR$20,$NN$20,0),IF($NP$20="Bell_Curve",$NN$20*(119-$NR$20+1)*($NS$20-119+1)/$NU$20,$NN$20/$NT$20)),0)</f>
        <v/>
      </c>
      <c r="DT20" s="402">
        <f>IF(AND(120&gt;=$NR$20,120&lt;=$NS$20),IF($NP$20="Single_Point",IF(120=$NR$20,$NN$20,0),IF($NP$20="Bell_Curve",$NN$20*(120-$NR$20+1)*($NS$20-120+1)/$NU$20,$NN$20/$NT$20)),0)</f>
        <v/>
      </c>
      <c r="DU20" s="402">
        <f>IF(AND(121&gt;=$NR$20,121&lt;=$NS$20),IF($NP$20="Single_Point",IF(121=$NR$20,$NN$20,0),IF($NP$20="Bell_Curve",$NN$20*(121-$NR$20+1)*($NS$20-121+1)/$NU$20,$NN$20/$NT$20)),0)</f>
        <v/>
      </c>
      <c r="DV20" s="402">
        <f>IF(AND(122&gt;=$NR$20,122&lt;=$NS$20),IF($NP$20="Single_Point",IF(122=$NR$20,$NN$20,0),IF($NP$20="Bell_Curve",$NN$20*(122-$NR$20+1)*($NS$20-122+1)/$NU$20,$NN$20/$NT$20)),0)</f>
        <v/>
      </c>
      <c r="DW20" s="402">
        <f>IF(AND(123&gt;=$NR$20,123&lt;=$NS$20),IF($NP$20="Single_Point",IF(123=$NR$20,$NN$20,0),IF($NP$20="Bell_Curve",$NN$20*(123-$NR$20+1)*($NS$20-123+1)/$NU$20,$NN$20/$NT$20)),0)</f>
        <v/>
      </c>
      <c r="DX20" s="402">
        <f>IF(AND(124&gt;=$NR$20,124&lt;=$NS$20),IF($NP$20="Single_Point",IF(124=$NR$20,$NN$20,0),IF($NP$20="Bell_Curve",$NN$20*(124-$NR$20+1)*($NS$20-124+1)/$NU$20,$NN$20/$NT$20)),0)</f>
        <v/>
      </c>
      <c r="DY20" s="402">
        <f>IF(AND(125&gt;=$NR$20,125&lt;=$NS$20),IF($NP$20="Single_Point",IF(125=$NR$20,$NN$20,0),IF($NP$20="Bell_Curve",$NN$20*(125-$NR$20+1)*($NS$20-125+1)/$NU$20,$NN$20/$NT$20)),0)</f>
        <v/>
      </c>
      <c r="DZ20" s="402">
        <f>IF(AND(126&gt;=$NR$20,126&lt;=$NS$20),IF($NP$20="Single_Point",IF(126=$NR$20,$NN$20,0),IF($NP$20="Bell_Curve",$NN$20*(126-$NR$20+1)*($NS$20-126+1)/$NU$20,$NN$20/$NT$20)),0)</f>
        <v/>
      </c>
      <c r="EA20" s="402">
        <f>IF(AND(127&gt;=$NR$20,127&lt;=$NS$20),IF($NP$20="Single_Point",IF(127=$NR$20,$NN$20,0),IF($NP$20="Bell_Curve",$NN$20*(127-$NR$20+1)*($NS$20-127+1)/$NU$20,$NN$20/$NT$20)),0)</f>
        <v/>
      </c>
      <c r="EB20" s="402">
        <f>IF(AND(128&gt;=$NR$20,128&lt;=$NS$20),IF($NP$20="Single_Point",IF(128=$NR$20,$NN$20,0),IF($NP$20="Bell_Curve",$NN$20*(128-$NR$20+1)*($NS$20-128+1)/$NU$20,$NN$20/$NT$20)),0)</f>
        <v/>
      </c>
      <c r="EC20" s="402">
        <f>IF(AND(129&gt;=$NR$20,129&lt;=$NS$20),IF($NP$20="Single_Point",IF(129=$NR$20,$NN$20,0),IF($NP$20="Bell_Curve",$NN$20*(129-$NR$20+1)*($NS$20-129+1)/$NU$20,$NN$20/$NT$20)),0)</f>
        <v/>
      </c>
      <c r="ED20" s="402">
        <f>IF(AND(130&gt;=$NR$20,130&lt;=$NS$20),IF($NP$20="Single_Point",IF(130=$NR$20,$NN$20,0),IF($NP$20="Bell_Curve",$NN$20*(130-$NR$20+1)*($NS$20-130+1)/$NU$20,$NN$20/$NT$20)),0)</f>
        <v/>
      </c>
      <c r="EE20" s="402">
        <f>IF(AND(131&gt;=$NR$20,131&lt;=$NS$20),IF($NP$20="Single_Point",IF(131=$NR$20,$NN$20,0),IF($NP$20="Bell_Curve",$NN$20*(131-$NR$20+1)*($NS$20-131+1)/$NU$20,$NN$20/$NT$20)),0)</f>
        <v/>
      </c>
      <c r="EF20" s="402">
        <f>IF(AND(132&gt;=$NR$20,132&lt;=$NS$20),IF($NP$20="Single_Point",IF(132=$NR$20,$NN$20,0),IF($NP$20="Bell_Curve",$NN$20*(132-$NR$20+1)*($NS$20-132+1)/$NU$20,$NN$20/$NT$20)),0)</f>
        <v/>
      </c>
      <c r="EG20" s="402">
        <f>IF(AND(133&gt;=$NR$20,133&lt;=$NS$20),IF($NP$20="Single_Point",IF(133=$NR$20,$NN$20,0),IF($NP$20="Bell_Curve",$NN$20*(133-$NR$20+1)*($NS$20-133+1)/$NU$20,$NN$20/$NT$20)),0)</f>
        <v/>
      </c>
      <c r="EH20" s="402">
        <f>IF(AND(134&gt;=$NR$20,134&lt;=$NS$20),IF($NP$20="Single_Point",IF(134=$NR$20,$NN$20,0),IF($NP$20="Bell_Curve",$NN$20*(134-$NR$20+1)*($NS$20-134+1)/$NU$20,$NN$20/$NT$20)),0)</f>
        <v/>
      </c>
      <c r="EI20" s="402">
        <f>IF(AND(135&gt;=$NR$20,135&lt;=$NS$20),IF($NP$20="Single_Point",IF(135=$NR$20,$NN$20,0),IF($NP$20="Bell_Curve",$NN$20*(135-$NR$20+1)*($NS$20-135+1)/$NU$20,$NN$20/$NT$20)),0)</f>
        <v/>
      </c>
      <c r="EJ20" s="402">
        <f>IF(AND(136&gt;=$NR$20,136&lt;=$NS$20),IF($NP$20="Single_Point",IF(136=$NR$20,$NN$20,0),IF($NP$20="Bell_Curve",$NN$20*(136-$NR$20+1)*($NS$20-136+1)/$NU$20,$NN$20/$NT$20)),0)</f>
        <v/>
      </c>
      <c r="EK20" s="402">
        <f>IF(AND(137&gt;=$NR$20,137&lt;=$NS$20),IF($NP$20="Single_Point",IF(137=$NR$20,$NN$20,0),IF($NP$20="Bell_Curve",$NN$20*(137-$NR$20+1)*($NS$20-137+1)/$NU$20,$NN$20/$NT$20)),0)</f>
        <v/>
      </c>
      <c r="EL20" s="402">
        <f>IF(AND(138&gt;=$NR$20,138&lt;=$NS$20),IF($NP$20="Single_Point",IF(138=$NR$20,$NN$20,0),IF($NP$20="Bell_Curve",$NN$20*(138-$NR$20+1)*($NS$20-138+1)/$NU$20,$NN$20/$NT$20)),0)</f>
        <v/>
      </c>
      <c r="EM20" s="402">
        <f>IF(AND(139&gt;=$NR$20,139&lt;=$NS$20),IF($NP$20="Single_Point",IF(139=$NR$20,$NN$20,0),IF($NP$20="Bell_Curve",$NN$20*(139-$NR$20+1)*($NS$20-139+1)/$NU$20,$NN$20/$NT$20)),0)</f>
        <v/>
      </c>
      <c r="EN20" s="402">
        <f>IF(AND(140&gt;=$NR$20,140&lt;=$NS$20),IF($NP$20="Single_Point",IF(140=$NR$20,$NN$20,0),IF($NP$20="Bell_Curve",$NN$20*(140-$NR$20+1)*($NS$20-140+1)/$NU$20,$NN$20/$NT$20)),0)</f>
        <v/>
      </c>
      <c r="EO20" s="402">
        <f>IF(AND(141&gt;=$NR$20,141&lt;=$NS$20),IF($NP$20="Single_Point",IF(141=$NR$20,$NN$20,0),IF($NP$20="Bell_Curve",$NN$20*(141-$NR$20+1)*($NS$20-141+1)/$NU$20,$NN$20/$NT$20)),0)</f>
        <v/>
      </c>
      <c r="EP20" s="402">
        <f>IF(AND(142&gt;=$NR$20,142&lt;=$NS$20),IF($NP$20="Single_Point",IF(142=$NR$20,$NN$20,0),IF($NP$20="Bell_Curve",$NN$20*(142-$NR$20+1)*($NS$20-142+1)/$NU$20,$NN$20/$NT$20)),0)</f>
        <v/>
      </c>
      <c r="EQ20" s="402">
        <f>IF(AND(143&gt;=$NR$20,143&lt;=$NS$20),IF($NP$20="Single_Point",IF(143=$NR$20,$NN$20,0),IF($NP$20="Bell_Curve",$NN$20*(143-$NR$20+1)*($NS$20-143+1)/$NU$20,$NN$20/$NT$20)),0)</f>
        <v/>
      </c>
      <c r="ER20" s="402">
        <f>IF(AND(144&gt;=$NR$20,144&lt;=$NS$20),IF($NP$20="Single_Point",IF(144=$NR$20,$NN$20,0),IF($NP$20="Bell_Curve",$NN$20*(144-$NR$20+1)*($NS$20-144+1)/$NU$20,$NN$20/$NT$20)),0)</f>
        <v/>
      </c>
      <c r="ES20" s="402">
        <f>IF(AND(145&gt;=$NR$20,145&lt;=$NS$20),IF($NP$20="Single_Point",IF(145=$NR$20,$NN$20,0),IF($NP$20="Bell_Curve",$NN$20*(145-$NR$20+1)*($NS$20-145+1)/$NU$20,$NN$20/$NT$20)),0)</f>
        <v/>
      </c>
      <c r="ET20" s="402">
        <f>IF(AND(146&gt;=$NR$20,146&lt;=$NS$20),IF($NP$20="Single_Point",IF(146=$NR$20,$NN$20,0),IF($NP$20="Bell_Curve",$NN$20*(146-$NR$20+1)*($NS$20-146+1)/$NU$20,$NN$20/$NT$20)),0)</f>
        <v/>
      </c>
      <c r="EU20" s="402">
        <f>IF(AND(147&gt;=$NR$20,147&lt;=$NS$20),IF($NP$20="Single_Point",IF(147=$NR$20,$NN$20,0),IF($NP$20="Bell_Curve",$NN$20*(147-$NR$20+1)*($NS$20-147+1)/$NU$20,$NN$20/$NT$20)),0)</f>
        <v/>
      </c>
      <c r="EV20" s="402">
        <f>IF(AND(148&gt;=$NR$20,148&lt;=$NS$20),IF($NP$20="Single_Point",IF(148=$NR$20,$NN$20,0),IF($NP$20="Bell_Curve",$NN$20*(148-$NR$20+1)*($NS$20-148+1)/$NU$20,$NN$20/$NT$20)),0)</f>
        <v/>
      </c>
      <c r="EW20" s="402">
        <f>IF(AND(149&gt;=$NR$20,149&lt;=$NS$20),IF($NP$20="Single_Point",IF(149=$NR$20,$NN$20,0),IF($NP$20="Bell_Curve",$NN$20*(149-$NR$20+1)*($NS$20-149+1)/$NU$20,$NN$20/$NT$20)),0)</f>
        <v/>
      </c>
      <c r="EX20" s="402">
        <f>IF(AND(150&gt;=$NR$20,150&lt;=$NS$20),IF($NP$20="Single_Point",IF(150=$NR$20,$NN$20,0),IF($NP$20="Bell_Curve",$NN$20*(150-$NR$20+1)*($NS$20-150+1)/$NU$20,$NN$20/$NT$20)),0)</f>
        <v/>
      </c>
      <c r="EY20" s="402">
        <f>IF(AND(151&gt;=$NR$20,151&lt;=$NS$20),IF($NP$20="Single_Point",IF(151=$NR$20,$NN$20,0),IF($NP$20="Bell_Curve",$NN$20*(151-$NR$20+1)*($NS$20-151+1)/$NU$20,$NN$20/$NT$20)),0)</f>
        <v/>
      </c>
      <c r="EZ20" s="402">
        <f>IF(AND(152&gt;=$NR$20,152&lt;=$NS$20),IF($NP$20="Single_Point",IF(152=$NR$20,$NN$20,0),IF($NP$20="Bell_Curve",$NN$20*(152-$NR$20+1)*($NS$20-152+1)/$NU$20,$NN$20/$NT$20)),0)</f>
        <v/>
      </c>
      <c r="FA20" s="402">
        <f>IF(AND(153&gt;=$NR$20,153&lt;=$NS$20),IF($NP$20="Single_Point",IF(153=$NR$20,$NN$20,0),IF($NP$20="Bell_Curve",$NN$20*(153-$NR$20+1)*($NS$20-153+1)/$NU$20,$NN$20/$NT$20)),0)</f>
        <v/>
      </c>
      <c r="FB20" s="402">
        <f>IF(AND(154&gt;=$NR$20,154&lt;=$NS$20),IF($NP$20="Single_Point",IF(154=$NR$20,$NN$20,0),IF($NP$20="Bell_Curve",$NN$20*(154-$NR$20+1)*($NS$20-154+1)/$NU$20,$NN$20/$NT$20)),0)</f>
        <v/>
      </c>
      <c r="FC20" s="402">
        <f>IF(AND(155&gt;=$NR$20,155&lt;=$NS$20),IF($NP$20="Single_Point",IF(155=$NR$20,$NN$20,0),IF($NP$20="Bell_Curve",$NN$20*(155-$NR$20+1)*($NS$20-155+1)/$NU$20,$NN$20/$NT$20)),0)</f>
        <v/>
      </c>
      <c r="FD20" s="402">
        <f>IF(AND(156&gt;=$NR$20,156&lt;=$NS$20),IF($NP$20="Single_Point",IF(156=$NR$20,$NN$20,0),IF($NP$20="Bell_Curve",$NN$20*(156-$NR$20+1)*($NS$20-156+1)/$NU$20,$NN$20/$NT$20)),0)</f>
        <v/>
      </c>
      <c r="FE20" s="402">
        <f>IF(AND(157&gt;=$NR$20,157&lt;=$NS$20),IF($NP$20="Single_Point",IF(157=$NR$20,$NN$20,0),IF($NP$20="Bell_Curve",$NN$20*(157-$NR$20+1)*($NS$20-157+1)/$NU$20,$NN$20/$NT$20)),0)</f>
        <v/>
      </c>
      <c r="FF20" s="402">
        <f>IF(AND(158&gt;=$NR$20,158&lt;=$NS$20),IF($NP$20="Single_Point",IF(158=$NR$20,$NN$20,0),IF($NP$20="Bell_Curve",$NN$20*(158-$NR$20+1)*($NS$20-158+1)/$NU$20,$NN$20/$NT$20)),0)</f>
        <v/>
      </c>
      <c r="FG20" s="402">
        <f>IF(AND(159&gt;=$NR$20,159&lt;=$NS$20),IF($NP$20="Single_Point",IF(159=$NR$20,$NN$20,0),IF($NP$20="Bell_Curve",$NN$20*(159-$NR$20+1)*($NS$20-159+1)/$NU$20,$NN$20/$NT$20)),0)</f>
        <v/>
      </c>
      <c r="FH20" s="402">
        <f>IF(AND(160&gt;=$NR$20,160&lt;=$NS$20),IF($NP$20="Single_Point",IF(160=$NR$20,$NN$20,0),IF($NP$20="Bell_Curve",$NN$20*(160-$NR$20+1)*($NS$20-160+1)/$NU$20,$NN$20/$NT$20)),0)</f>
        <v/>
      </c>
      <c r="FI20" s="402">
        <f>IF(AND(161&gt;=$NR$20,161&lt;=$NS$20),IF($NP$20="Single_Point",IF(161=$NR$20,$NN$20,0),IF($NP$20="Bell_Curve",$NN$20*(161-$NR$20+1)*($NS$20-161+1)/$NU$20,$NN$20/$NT$20)),0)</f>
        <v/>
      </c>
      <c r="FJ20" s="402">
        <f>IF(AND(162&gt;=$NR$20,162&lt;=$NS$20),IF($NP$20="Single_Point",IF(162=$NR$20,$NN$20,0),IF($NP$20="Bell_Curve",$NN$20*(162-$NR$20+1)*($NS$20-162+1)/$NU$20,$NN$20/$NT$20)),0)</f>
        <v/>
      </c>
      <c r="FK20" s="402">
        <f>IF(AND(163&gt;=$NR$20,163&lt;=$NS$20),IF($NP$20="Single_Point",IF(163=$NR$20,$NN$20,0),IF($NP$20="Bell_Curve",$NN$20*(163-$NR$20+1)*($NS$20-163+1)/$NU$20,$NN$20/$NT$20)),0)</f>
        <v/>
      </c>
      <c r="FL20" s="402">
        <f>IF(AND(164&gt;=$NR$20,164&lt;=$NS$20),IF($NP$20="Single_Point",IF(164=$NR$20,$NN$20,0),IF($NP$20="Bell_Curve",$NN$20*(164-$NR$20+1)*($NS$20-164+1)/$NU$20,$NN$20/$NT$20)),0)</f>
        <v/>
      </c>
      <c r="FM20" s="402">
        <f>IF(AND(165&gt;=$NR$20,165&lt;=$NS$20),IF($NP$20="Single_Point",IF(165=$NR$20,$NN$20,0),IF($NP$20="Bell_Curve",$NN$20*(165-$NR$20+1)*($NS$20-165+1)/$NU$20,$NN$20/$NT$20)),0)</f>
        <v/>
      </c>
      <c r="FN20" s="402">
        <f>IF(AND(166&gt;=$NR$20,166&lt;=$NS$20),IF($NP$20="Single_Point",IF(166=$NR$20,$NN$20,0),IF($NP$20="Bell_Curve",$NN$20*(166-$NR$20+1)*($NS$20-166+1)/$NU$20,$NN$20/$NT$20)),0)</f>
        <v/>
      </c>
      <c r="FO20" s="402">
        <f>IF(AND(167&gt;=$NR$20,167&lt;=$NS$20),IF($NP$20="Single_Point",IF(167=$NR$20,$NN$20,0),IF($NP$20="Bell_Curve",$NN$20*(167-$NR$20+1)*($NS$20-167+1)/$NU$20,$NN$20/$NT$20)),0)</f>
        <v/>
      </c>
      <c r="FP20" s="402">
        <f>IF(AND(168&gt;=$NR$20,168&lt;=$NS$20),IF($NP$20="Single_Point",IF(168=$NR$20,$NN$20,0),IF($NP$20="Bell_Curve",$NN$20*(168-$NR$20+1)*($NS$20-168+1)/$NU$20,$NN$20/$NT$20)),0)</f>
        <v/>
      </c>
      <c r="FQ20" s="402">
        <f>IF(AND(169&gt;=$NR$20,169&lt;=$NS$20),IF($NP$20="Single_Point",IF(169=$NR$20,$NN$20,0),IF($NP$20="Bell_Curve",$NN$20*(169-$NR$20+1)*($NS$20-169+1)/$NU$20,$NN$20/$NT$20)),0)</f>
        <v/>
      </c>
      <c r="FR20" s="402">
        <f>IF(AND(170&gt;=$NR$20,170&lt;=$NS$20),IF($NP$20="Single_Point",IF(170=$NR$20,$NN$20,0),IF($NP$20="Bell_Curve",$NN$20*(170-$NR$20+1)*($NS$20-170+1)/$NU$20,$NN$20/$NT$20)),0)</f>
        <v/>
      </c>
      <c r="FS20" s="402">
        <f>IF(AND(171&gt;=$NR$20,171&lt;=$NS$20),IF($NP$20="Single_Point",IF(171=$NR$20,$NN$20,0),IF($NP$20="Bell_Curve",$NN$20*(171-$NR$20+1)*($NS$20-171+1)/$NU$20,$NN$20/$NT$20)),0)</f>
        <v/>
      </c>
      <c r="FT20" s="402">
        <f>IF(AND(172&gt;=$NR$20,172&lt;=$NS$20),IF($NP$20="Single_Point",IF(172=$NR$20,$NN$20,0),IF($NP$20="Bell_Curve",$NN$20*(172-$NR$20+1)*($NS$20-172+1)/$NU$20,$NN$20/$NT$20)),0)</f>
        <v/>
      </c>
      <c r="FU20" s="402">
        <f>IF(AND(173&gt;=$NR$20,173&lt;=$NS$20),IF($NP$20="Single_Point",IF(173=$NR$20,$NN$20,0),IF($NP$20="Bell_Curve",$NN$20*(173-$NR$20+1)*($NS$20-173+1)/$NU$20,$NN$20/$NT$20)),0)</f>
        <v/>
      </c>
      <c r="FV20" s="402">
        <f>IF(AND(174&gt;=$NR$20,174&lt;=$NS$20),IF($NP$20="Single_Point",IF(174=$NR$20,$NN$20,0),IF($NP$20="Bell_Curve",$NN$20*(174-$NR$20+1)*($NS$20-174+1)/$NU$20,$NN$20/$NT$20)),0)</f>
        <v/>
      </c>
      <c r="FW20" s="402">
        <f>IF(AND(175&gt;=$NR$20,175&lt;=$NS$20),IF($NP$20="Single_Point",IF(175=$NR$20,$NN$20,0),IF($NP$20="Bell_Curve",$NN$20*(175-$NR$20+1)*($NS$20-175+1)/$NU$20,$NN$20/$NT$20)),0)</f>
        <v/>
      </c>
      <c r="FX20" s="402">
        <f>IF(AND(176&gt;=$NR$20,176&lt;=$NS$20),IF($NP$20="Single_Point",IF(176=$NR$20,$NN$20,0),IF($NP$20="Bell_Curve",$NN$20*(176-$NR$20+1)*($NS$20-176+1)/$NU$20,$NN$20/$NT$20)),0)</f>
        <v/>
      </c>
      <c r="FY20" s="402">
        <f>IF(AND(177&gt;=$NR$20,177&lt;=$NS$20),IF($NP$20="Single_Point",IF(177=$NR$20,$NN$20,0),IF($NP$20="Bell_Curve",$NN$20*(177-$NR$20+1)*($NS$20-177+1)/$NU$20,$NN$20/$NT$20)),0)</f>
        <v/>
      </c>
      <c r="FZ20" s="402">
        <f>IF(AND(178&gt;=$NR$20,178&lt;=$NS$20),IF($NP$20="Single_Point",IF(178=$NR$20,$NN$20,0),IF($NP$20="Bell_Curve",$NN$20*(178-$NR$20+1)*($NS$20-178+1)/$NU$20,$NN$20/$NT$20)),0)</f>
        <v/>
      </c>
      <c r="GA20" s="402">
        <f>IF(AND(179&gt;=$NR$20,179&lt;=$NS$20),IF($NP$20="Single_Point",IF(179=$NR$20,$NN$20,0),IF($NP$20="Bell_Curve",$NN$20*(179-$NR$20+1)*($NS$20-179+1)/$NU$20,$NN$20/$NT$20)),0)</f>
        <v/>
      </c>
      <c r="GB20" s="402">
        <f>IF(AND(180&gt;=$NR$20,180&lt;=$NS$20),IF($NP$20="Single_Point",IF(180=$NR$20,$NN$20,0),IF($NP$20="Bell_Curve",$NN$20*(180-$NR$20+1)*($NS$20-180+1)/$NU$20,$NN$20/$NT$20)),0)</f>
        <v/>
      </c>
      <c r="GC20" s="402">
        <f>IF(AND(181&gt;=$NR$20,181&lt;=$NS$20),IF($NP$20="Single_Point",IF(181=$NR$20,$NN$20,0),IF($NP$20="Bell_Curve",$NN$20*(181-$NR$20+1)*($NS$20-181+1)/$NU$20,$NN$20/$NT$20)),0)</f>
        <v/>
      </c>
      <c r="GD20" s="402">
        <f>IF(AND(182&gt;=$NR$20,182&lt;=$NS$20),IF($NP$20="Single_Point",IF(182=$NR$20,$NN$20,0),IF($NP$20="Bell_Curve",$NN$20*(182-$NR$20+1)*($NS$20-182+1)/$NU$20,$NN$20/$NT$20)),0)</f>
        <v/>
      </c>
      <c r="GE20" s="402">
        <f>IF(AND(183&gt;=$NR$20,183&lt;=$NS$20),IF($NP$20="Single_Point",IF(183=$NR$20,$NN$20,0),IF($NP$20="Bell_Curve",$NN$20*(183-$NR$20+1)*($NS$20-183+1)/$NU$20,$NN$20/$NT$20)),0)</f>
        <v/>
      </c>
      <c r="GF20" s="402">
        <f>IF(AND(184&gt;=$NR$20,184&lt;=$NS$20),IF($NP$20="Single_Point",IF(184=$NR$20,$NN$20,0),IF($NP$20="Bell_Curve",$NN$20*(184-$NR$20+1)*($NS$20-184+1)/$NU$20,$NN$20/$NT$20)),0)</f>
        <v/>
      </c>
      <c r="GG20" s="402">
        <f>IF(AND(185&gt;=$NR$20,185&lt;=$NS$20),IF($NP$20="Single_Point",IF(185=$NR$20,$NN$20,0),IF($NP$20="Bell_Curve",$NN$20*(185-$NR$20+1)*($NS$20-185+1)/$NU$20,$NN$20/$NT$20)),0)</f>
        <v/>
      </c>
      <c r="GH20" s="402">
        <f>IF(AND(186&gt;=$NR$20,186&lt;=$NS$20),IF($NP$20="Single_Point",IF(186=$NR$20,$NN$20,0),IF($NP$20="Bell_Curve",$NN$20*(186-$NR$20+1)*($NS$20-186+1)/$NU$20,$NN$20/$NT$20)),0)</f>
        <v/>
      </c>
      <c r="GI20" s="402">
        <f>IF(AND(187&gt;=$NR$20,187&lt;=$NS$20),IF($NP$20="Single_Point",IF(187=$NR$20,$NN$20,0),IF($NP$20="Bell_Curve",$NN$20*(187-$NR$20+1)*($NS$20-187+1)/$NU$20,$NN$20/$NT$20)),0)</f>
        <v/>
      </c>
      <c r="GJ20" s="402">
        <f>IF(AND(188&gt;=$NR$20,188&lt;=$NS$20),IF($NP$20="Single_Point",IF(188=$NR$20,$NN$20,0),IF($NP$20="Bell_Curve",$NN$20*(188-$NR$20+1)*($NS$20-188+1)/$NU$20,$NN$20/$NT$20)),0)</f>
        <v/>
      </c>
      <c r="GK20" s="402">
        <f>IF(AND(189&gt;=$NR$20,189&lt;=$NS$20),IF($NP$20="Single_Point",IF(189=$NR$20,$NN$20,0),IF($NP$20="Bell_Curve",$NN$20*(189-$NR$20+1)*($NS$20-189+1)/$NU$20,$NN$20/$NT$20)),0)</f>
        <v/>
      </c>
      <c r="GL20" s="402">
        <f>IF(AND(190&gt;=$NR$20,190&lt;=$NS$20),IF($NP$20="Single_Point",IF(190=$NR$20,$NN$20,0),IF($NP$20="Bell_Curve",$NN$20*(190-$NR$20+1)*($NS$20-190+1)/$NU$20,$NN$20/$NT$20)),0)</f>
        <v/>
      </c>
      <c r="GM20" s="402">
        <f>IF(AND(191&gt;=$NR$20,191&lt;=$NS$20),IF($NP$20="Single_Point",IF(191=$NR$20,$NN$20,0),IF($NP$20="Bell_Curve",$NN$20*(191-$NR$20+1)*($NS$20-191+1)/$NU$20,$NN$20/$NT$20)),0)</f>
        <v/>
      </c>
      <c r="GN20" s="402">
        <f>IF(AND(192&gt;=$NR$20,192&lt;=$NS$20),IF($NP$20="Single_Point",IF(192=$NR$20,$NN$20,0),IF($NP$20="Bell_Curve",$NN$20*(192-$NR$20+1)*($NS$20-192+1)/$NU$20,$NN$20/$NT$20)),0)</f>
        <v/>
      </c>
      <c r="GO20" s="402">
        <f>IF(AND(193&gt;=$NR$20,193&lt;=$NS$20),IF($NP$20="Single_Point",IF(193=$NR$20,$NN$20,0),IF($NP$20="Bell_Curve",$NN$20*(193-$NR$20+1)*($NS$20-193+1)/$NU$20,$NN$20/$NT$20)),0)</f>
        <v/>
      </c>
      <c r="GP20" s="402">
        <f>IF(AND(194&gt;=$NR$20,194&lt;=$NS$20),IF($NP$20="Single_Point",IF(194=$NR$20,$NN$20,0),IF($NP$20="Bell_Curve",$NN$20*(194-$NR$20+1)*($NS$20-194+1)/$NU$20,$NN$20/$NT$20)),0)</f>
        <v/>
      </c>
      <c r="GQ20" s="402">
        <f>IF(AND(195&gt;=$NR$20,195&lt;=$NS$20),IF($NP$20="Single_Point",IF(195=$NR$20,$NN$20,0),IF($NP$20="Bell_Curve",$NN$20*(195-$NR$20+1)*($NS$20-195+1)/$NU$20,$NN$20/$NT$20)),0)</f>
        <v/>
      </c>
      <c r="GR20" s="402">
        <f>IF(AND(196&gt;=$NR$20,196&lt;=$NS$20),IF($NP$20="Single_Point",IF(196=$NR$20,$NN$20,0),IF($NP$20="Bell_Curve",$NN$20*(196-$NR$20+1)*($NS$20-196+1)/$NU$20,$NN$20/$NT$20)),0)</f>
        <v/>
      </c>
      <c r="GS20" s="402">
        <f>IF(AND(197&gt;=$NR$20,197&lt;=$NS$20),IF($NP$20="Single_Point",IF(197=$NR$20,$NN$20,0),IF($NP$20="Bell_Curve",$NN$20*(197-$NR$20+1)*($NS$20-197+1)/$NU$20,$NN$20/$NT$20)),0)</f>
        <v/>
      </c>
      <c r="GT20" s="402">
        <f>IF(AND(198&gt;=$NR$20,198&lt;=$NS$20),IF($NP$20="Single_Point",IF(198=$NR$20,$NN$20,0),IF($NP$20="Bell_Curve",$NN$20*(198-$NR$20+1)*($NS$20-198+1)/$NU$20,$NN$20/$NT$20)),0)</f>
        <v/>
      </c>
      <c r="GU20" s="402">
        <f>IF(AND(199&gt;=$NR$20,199&lt;=$NS$20),IF($NP$20="Single_Point",IF(199=$NR$20,$NN$20,0),IF($NP$20="Bell_Curve",$NN$20*(199-$NR$20+1)*($NS$20-199+1)/$NU$20,$NN$20/$NT$20)),0)</f>
        <v/>
      </c>
      <c r="GV20" s="402">
        <f>IF(AND(200&gt;=$NR$20,200&lt;=$NS$20),IF($NP$20="Single_Point",IF(200=$NR$20,$NN$20,0),IF($NP$20="Bell_Curve",$NN$20*(200-$NR$20+1)*($NS$20-200+1)/$NU$20,$NN$20/$NT$20)),0)</f>
        <v/>
      </c>
      <c r="GW20" s="402">
        <f>IF(AND(201&gt;=$NR$20,201&lt;=$NS$20),IF($NP$20="Single_Point",IF(201=$NR$20,$NN$20,0),IF($NP$20="Bell_Curve",$NN$20*(201-$NR$20+1)*($NS$20-201+1)/$NU$20,$NN$20/$NT$20)),0)</f>
        <v/>
      </c>
      <c r="GX20" s="402">
        <f>IF(AND(202&gt;=$NR$20,202&lt;=$NS$20),IF($NP$20="Single_Point",IF(202=$NR$20,$NN$20,0),IF($NP$20="Bell_Curve",$NN$20*(202-$NR$20+1)*($NS$20-202+1)/$NU$20,$NN$20/$NT$20)),0)</f>
        <v/>
      </c>
      <c r="GY20" s="402">
        <f>IF(AND(203&gt;=$NR$20,203&lt;=$NS$20),IF($NP$20="Single_Point",IF(203=$NR$20,$NN$20,0),IF($NP$20="Bell_Curve",$NN$20*(203-$NR$20+1)*($NS$20-203+1)/$NU$20,$NN$20/$NT$20)),0)</f>
        <v/>
      </c>
      <c r="GZ20" s="402">
        <f>IF(AND(204&gt;=$NR$20,204&lt;=$NS$20),IF($NP$20="Single_Point",IF(204=$NR$20,$NN$20,0),IF($NP$20="Bell_Curve",$NN$20*(204-$NR$20+1)*($NS$20-204+1)/$NU$20,$NN$20/$NT$20)),0)</f>
        <v/>
      </c>
      <c r="HA20" s="402">
        <f>IF(AND(205&gt;=$NR$20,205&lt;=$NS$20),IF($NP$20="Single_Point",IF(205=$NR$20,$NN$20,0),IF($NP$20="Bell_Curve",$NN$20*(205-$NR$20+1)*($NS$20-205+1)/$NU$20,$NN$20/$NT$20)),0)</f>
        <v/>
      </c>
      <c r="HB20" s="402">
        <f>IF(AND(206&gt;=$NR$20,206&lt;=$NS$20),IF($NP$20="Single_Point",IF(206=$NR$20,$NN$20,0),IF($NP$20="Bell_Curve",$NN$20*(206-$NR$20+1)*($NS$20-206+1)/$NU$20,$NN$20/$NT$20)),0)</f>
        <v/>
      </c>
      <c r="HC20" s="402">
        <f>IF(AND(207&gt;=$NR$20,207&lt;=$NS$20),IF($NP$20="Single_Point",IF(207=$NR$20,$NN$20,0),IF($NP$20="Bell_Curve",$NN$20*(207-$NR$20+1)*($NS$20-207+1)/$NU$20,$NN$20/$NT$20)),0)</f>
        <v/>
      </c>
      <c r="HD20" s="402">
        <f>IF(AND(208&gt;=$NR$20,208&lt;=$NS$20),IF($NP$20="Single_Point",IF(208=$NR$20,$NN$20,0),IF($NP$20="Bell_Curve",$NN$20*(208-$NR$20+1)*($NS$20-208+1)/$NU$20,$NN$20/$NT$20)),0)</f>
        <v/>
      </c>
      <c r="HE20" s="402">
        <f>IF(AND(209&gt;=$NR$20,209&lt;=$NS$20),IF($NP$20="Single_Point",IF(209=$NR$20,$NN$20,0),IF($NP$20="Bell_Curve",$NN$20*(209-$NR$20+1)*($NS$20-209+1)/$NU$20,$NN$20/$NT$20)),0)</f>
        <v/>
      </c>
      <c r="HF20" s="402">
        <f>IF(AND(210&gt;=$NR$20,210&lt;=$NS$20),IF($NP$20="Single_Point",IF(210=$NR$20,$NN$20,0),IF($NP$20="Bell_Curve",$NN$20*(210-$NR$20+1)*($NS$20-210+1)/$NU$20,$NN$20/$NT$20)),0)</f>
        <v/>
      </c>
      <c r="HG20" s="402">
        <f>IF(AND(211&gt;=$NR$20,211&lt;=$NS$20),IF($NP$20="Single_Point",IF(211=$NR$20,$NN$20,0),IF($NP$20="Bell_Curve",$NN$20*(211-$NR$20+1)*($NS$20-211+1)/$NU$20,$NN$20/$NT$20)),0)</f>
        <v/>
      </c>
      <c r="HH20" s="402">
        <f>IF(AND(212&gt;=$NR$20,212&lt;=$NS$20),IF($NP$20="Single_Point",IF(212=$NR$20,$NN$20,0),IF($NP$20="Bell_Curve",$NN$20*(212-$NR$20+1)*($NS$20-212+1)/$NU$20,$NN$20/$NT$20)),0)</f>
        <v/>
      </c>
      <c r="HI20" s="402">
        <f>IF(AND(213&gt;=$NR$20,213&lt;=$NS$20),IF($NP$20="Single_Point",IF(213=$NR$20,$NN$20,0),IF($NP$20="Bell_Curve",$NN$20*(213-$NR$20+1)*($NS$20-213+1)/$NU$20,$NN$20/$NT$20)),0)</f>
        <v/>
      </c>
      <c r="HJ20" s="402">
        <f>IF(AND(214&gt;=$NR$20,214&lt;=$NS$20),IF($NP$20="Single_Point",IF(214=$NR$20,$NN$20,0),IF($NP$20="Bell_Curve",$NN$20*(214-$NR$20+1)*($NS$20-214+1)/$NU$20,$NN$20/$NT$20)),0)</f>
        <v/>
      </c>
      <c r="HK20" s="402">
        <f>IF(AND(215&gt;=$NR$20,215&lt;=$NS$20),IF($NP$20="Single_Point",IF(215=$NR$20,$NN$20,0),IF($NP$20="Bell_Curve",$NN$20*(215-$NR$20+1)*($NS$20-215+1)/$NU$20,$NN$20/$NT$20)),0)</f>
        <v/>
      </c>
      <c r="HL20" s="402">
        <f>IF(AND(216&gt;=$NR$20,216&lt;=$NS$20),IF($NP$20="Single_Point",IF(216=$NR$20,$NN$20,0),IF($NP$20="Bell_Curve",$NN$20*(216-$NR$20+1)*($NS$20-216+1)/$NU$20,$NN$20/$NT$20)),0)</f>
        <v/>
      </c>
      <c r="HM20" s="402">
        <f>IF(AND(217&gt;=$NR$20,217&lt;=$NS$20),IF($NP$20="Single_Point",IF(217=$NR$20,$NN$20,0),IF($NP$20="Bell_Curve",$NN$20*(217-$NR$20+1)*($NS$20-217+1)/$NU$20,$NN$20/$NT$20)),0)</f>
        <v/>
      </c>
      <c r="HN20" s="402">
        <f>IF(AND(218&gt;=$NR$20,218&lt;=$NS$20),IF($NP$20="Single_Point",IF(218=$NR$20,$NN$20,0),IF($NP$20="Bell_Curve",$NN$20*(218-$NR$20+1)*($NS$20-218+1)/$NU$20,$NN$20/$NT$20)),0)</f>
        <v/>
      </c>
      <c r="HO20" s="402">
        <f>IF(AND(219&gt;=$NR$20,219&lt;=$NS$20),IF($NP$20="Single_Point",IF(219=$NR$20,$NN$20,0),IF($NP$20="Bell_Curve",$NN$20*(219-$NR$20+1)*($NS$20-219+1)/$NU$20,$NN$20/$NT$20)),0)</f>
        <v/>
      </c>
      <c r="HP20" s="402">
        <f>IF(AND(220&gt;=$NR$20,220&lt;=$NS$20),IF($NP$20="Single_Point",IF(220=$NR$20,$NN$20,0),IF($NP$20="Bell_Curve",$NN$20*(220-$NR$20+1)*($NS$20-220+1)/$NU$20,$NN$20/$NT$20)),0)</f>
        <v/>
      </c>
      <c r="HQ20" s="402">
        <f>IF(AND(221&gt;=$NR$20,221&lt;=$NS$20),IF($NP$20="Single_Point",IF(221=$NR$20,$NN$20,0),IF($NP$20="Bell_Curve",$NN$20*(221-$NR$20+1)*($NS$20-221+1)/$NU$20,$NN$20/$NT$20)),0)</f>
        <v/>
      </c>
      <c r="HR20" s="402">
        <f>IF(AND(222&gt;=$NR$20,222&lt;=$NS$20),IF($NP$20="Single_Point",IF(222=$NR$20,$NN$20,0),IF($NP$20="Bell_Curve",$NN$20*(222-$NR$20+1)*($NS$20-222+1)/$NU$20,$NN$20/$NT$20)),0)</f>
        <v/>
      </c>
      <c r="HS20" s="402">
        <f>IF(AND(223&gt;=$NR$20,223&lt;=$NS$20),IF($NP$20="Single_Point",IF(223=$NR$20,$NN$20,0),IF($NP$20="Bell_Curve",$NN$20*(223-$NR$20+1)*($NS$20-223+1)/$NU$20,$NN$20/$NT$20)),0)</f>
        <v/>
      </c>
      <c r="HT20" s="402">
        <f>IF(AND(224&gt;=$NR$20,224&lt;=$NS$20),IF($NP$20="Single_Point",IF(224=$NR$20,$NN$20,0),IF($NP$20="Bell_Curve",$NN$20*(224-$NR$20+1)*($NS$20-224+1)/$NU$20,$NN$20/$NT$20)),0)</f>
        <v/>
      </c>
      <c r="HU20" s="402">
        <f>IF(AND(225&gt;=$NR$20,225&lt;=$NS$20),IF($NP$20="Single_Point",IF(225=$NR$20,$NN$20,0),IF($NP$20="Bell_Curve",$NN$20*(225-$NR$20+1)*($NS$20-225+1)/$NU$20,$NN$20/$NT$20)),0)</f>
        <v/>
      </c>
      <c r="HV20" s="402">
        <f>IF(AND(226&gt;=$NR$20,226&lt;=$NS$20),IF($NP$20="Single_Point",IF(226=$NR$20,$NN$20,0),IF($NP$20="Bell_Curve",$NN$20*(226-$NR$20+1)*($NS$20-226+1)/$NU$20,$NN$20/$NT$20)),0)</f>
        <v/>
      </c>
      <c r="HW20" s="402">
        <f>IF(AND(227&gt;=$NR$20,227&lt;=$NS$20),IF($NP$20="Single_Point",IF(227=$NR$20,$NN$20,0),IF($NP$20="Bell_Curve",$NN$20*(227-$NR$20+1)*($NS$20-227+1)/$NU$20,$NN$20/$NT$20)),0)</f>
        <v/>
      </c>
      <c r="HX20" s="402">
        <f>IF(AND(228&gt;=$NR$20,228&lt;=$NS$20),IF($NP$20="Single_Point",IF(228=$NR$20,$NN$20,0),IF($NP$20="Bell_Curve",$NN$20*(228-$NR$20+1)*($NS$20-228+1)/$NU$20,$NN$20/$NT$20)),0)</f>
        <v/>
      </c>
      <c r="HY20" s="402">
        <f>IF(AND(229&gt;=$NR$20,229&lt;=$NS$20),IF($NP$20="Single_Point",IF(229=$NR$20,$NN$20,0),IF($NP$20="Bell_Curve",$NN$20*(229-$NR$20+1)*($NS$20-229+1)/$NU$20,$NN$20/$NT$20)),0)</f>
        <v/>
      </c>
      <c r="HZ20" s="402">
        <f>IF(AND(230&gt;=$NR$20,230&lt;=$NS$20),IF($NP$20="Single_Point",IF(230=$NR$20,$NN$20,0),IF($NP$20="Bell_Curve",$NN$20*(230-$NR$20+1)*($NS$20-230+1)/$NU$20,$NN$20/$NT$20)),0)</f>
        <v/>
      </c>
      <c r="IA20" s="402">
        <f>IF(AND(231&gt;=$NR$20,231&lt;=$NS$20),IF($NP$20="Single_Point",IF(231=$NR$20,$NN$20,0),IF($NP$20="Bell_Curve",$NN$20*(231-$NR$20+1)*($NS$20-231+1)/$NU$20,$NN$20/$NT$20)),0)</f>
        <v/>
      </c>
      <c r="IB20" s="402">
        <f>IF(AND(232&gt;=$NR$20,232&lt;=$NS$20),IF($NP$20="Single_Point",IF(232=$NR$20,$NN$20,0),IF($NP$20="Bell_Curve",$NN$20*(232-$NR$20+1)*($NS$20-232+1)/$NU$20,$NN$20/$NT$20)),0)</f>
        <v/>
      </c>
      <c r="IC20" s="402">
        <f>IF(AND(233&gt;=$NR$20,233&lt;=$NS$20),IF($NP$20="Single_Point",IF(233=$NR$20,$NN$20,0),IF($NP$20="Bell_Curve",$NN$20*(233-$NR$20+1)*($NS$20-233+1)/$NU$20,$NN$20/$NT$20)),0)</f>
        <v/>
      </c>
      <c r="ID20" s="402">
        <f>IF(AND(234&gt;=$NR$20,234&lt;=$NS$20),IF($NP$20="Single_Point",IF(234=$NR$20,$NN$20,0),IF($NP$20="Bell_Curve",$NN$20*(234-$NR$20+1)*($NS$20-234+1)/$NU$20,$NN$20/$NT$20)),0)</f>
        <v/>
      </c>
      <c r="IE20" s="402">
        <f>IF(AND(235&gt;=$NR$20,235&lt;=$NS$20),IF($NP$20="Single_Point",IF(235=$NR$20,$NN$20,0),IF($NP$20="Bell_Curve",$NN$20*(235-$NR$20+1)*($NS$20-235+1)/$NU$20,$NN$20/$NT$20)),0)</f>
        <v/>
      </c>
      <c r="IF20" s="402">
        <f>IF(AND(236&gt;=$NR$20,236&lt;=$NS$20),IF($NP$20="Single_Point",IF(236=$NR$20,$NN$20,0),IF($NP$20="Bell_Curve",$NN$20*(236-$NR$20+1)*($NS$20-236+1)/$NU$20,$NN$20/$NT$20)),0)</f>
        <v/>
      </c>
      <c r="IG20" s="402">
        <f>IF(AND(237&gt;=$NR$20,237&lt;=$NS$20),IF($NP$20="Single_Point",IF(237=$NR$20,$NN$20,0),IF($NP$20="Bell_Curve",$NN$20*(237-$NR$20+1)*($NS$20-237+1)/$NU$20,$NN$20/$NT$20)),0)</f>
        <v/>
      </c>
      <c r="IH20" s="402">
        <f>IF(AND(238&gt;=$NR$20,238&lt;=$NS$20),IF($NP$20="Single_Point",IF(238=$NR$20,$NN$20,0),IF($NP$20="Bell_Curve",$NN$20*(238-$NR$20+1)*($NS$20-238+1)/$NU$20,$NN$20/$NT$20)),0)</f>
        <v/>
      </c>
      <c r="II20" s="402">
        <f>IF(AND(239&gt;=$NR$20,239&lt;=$NS$20),IF($NP$20="Single_Point",IF(239=$NR$20,$NN$20,0),IF($NP$20="Bell_Curve",$NN$20*(239-$NR$20+1)*($NS$20-239+1)/$NU$20,$NN$20/$NT$20)),0)</f>
        <v/>
      </c>
      <c r="IJ20" s="402">
        <f>IF(AND(240&gt;=$NR$20,240&lt;=$NS$20),IF($NP$20="Single_Point",IF(240=$NR$20,$NN$20,0),IF($NP$20="Bell_Curve",$NN$20*(240-$NR$20+1)*($NS$20-240+1)/$NU$20,$NN$20/$NT$20)),0)</f>
        <v/>
      </c>
      <c r="IK20" s="402">
        <f>IF(AND(241&gt;=$NR$20,241&lt;=$NS$20),IF($NP$20="Single_Point",IF(241=$NR$20,$NN$20,0),IF($NP$20="Bell_Curve",$NN$20*(241-$NR$20+1)*($NS$20-241+1)/$NU$20,$NN$20/$NT$20)),0)</f>
        <v/>
      </c>
      <c r="IL20" s="402">
        <f>IF(AND(242&gt;=$NR$20,242&lt;=$NS$20),IF($NP$20="Single_Point",IF(242=$NR$20,$NN$20,0),IF($NP$20="Bell_Curve",$NN$20*(242-$NR$20+1)*($NS$20-242+1)/$NU$20,$NN$20/$NT$20)),0)</f>
        <v/>
      </c>
      <c r="IM20" s="402">
        <f>IF(AND(243&gt;=$NR$20,243&lt;=$NS$20),IF($NP$20="Single_Point",IF(243=$NR$20,$NN$20,0),IF($NP$20="Bell_Curve",$NN$20*(243-$NR$20+1)*($NS$20-243+1)/$NU$20,$NN$20/$NT$20)),0)</f>
        <v/>
      </c>
      <c r="IN20" s="402">
        <f>IF(AND(244&gt;=$NR$20,244&lt;=$NS$20),IF($NP$20="Single_Point",IF(244=$NR$20,$NN$20,0),IF($NP$20="Bell_Curve",$NN$20*(244-$NR$20+1)*($NS$20-244+1)/$NU$20,$NN$20/$NT$20)),0)</f>
        <v/>
      </c>
      <c r="IO20" s="402">
        <f>IF(AND(245&gt;=$NR$20,245&lt;=$NS$20),IF($NP$20="Single_Point",IF(245=$NR$20,$NN$20,0),IF($NP$20="Bell_Curve",$NN$20*(245-$NR$20+1)*($NS$20-245+1)/$NU$20,$NN$20/$NT$20)),0)</f>
        <v/>
      </c>
      <c r="IP20" s="402">
        <f>IF(AND(246&gt;=$NR$20,246&lt;=$NS$20),IF($NP$20="Single_Point",IF(246=$NR$20,$NN$20,0),IF($NP$20="Bell_Curve",$NN$20*(246-$NR$20+1)*($NS$20-246+1)/$NU$20,$NN$20/$NT$20)),0)</f>
        <v/>
      </c>
      <c r="IQ20" s="402">
        <f>IF(AND(247&gt;=$NR$20,247&lt;=$NS$20),IF($NP$20="Single_Point",IF(247=$NR$20,$NN$20,0),IF($NP$20="Bell_Curve",$NN$20*(247-$NR$20+1)*($NS$20-247+1)/$NU$20,$NN$20/$NT$20)),0)</f>
        <v/>
      </c>
      <c r="IR20" s="402">
        <f>IF(AND(248&gt;=$NR$20,248&lt;=$NS$20),IF($NP$20="Single_Point",IF(248=$NR$20,$NN$20,0),IF($NP$20="Bell_Curve",$NN$20*(248-$NR$20+1)*($NS$20-248+1)/$NU$20,$NN$20/$NT$20)),0)</f>
        <v/>
      </c>
      <c r="IS20" s="402">
        <f>IF(AND(249&gt;=$NR$20,249&lt;=$NS$20),IF($NP$20="Single_Point",IF(249=$NR$20,$NN$20,0),IF($NP$20="Bell_Curve",$NN$20*(249-$NR$20+1)*($NS$20-249+1)/$NU$20,$NN$20/$NT$20)),0)</f>
        <v/>
      </c>
      <c r="IT20" s="402">
        <f>IF(AND(250&gt;=$NR$20,250&lt;=$NS$20),IF($NP$20="Single_Point",IF(250=$NR$20,$NN$20,0),IF($NP$20="Bell_Curve",$NN$20*(250-$NR$20+1)*($NS$20-250+1)/$NU$20,$NN$20/$NT$20)),0)</f>
        <v/>
      </c>
      <c r="IU20" s="402">
        <f>IF(AND(251&gt;=$NR$20,251&lt;=$NS$20),IF($NP$20="Single_Point",IF(251=$NR$20,$NN$20,0),IF($NP$20="Bell_Curve",$NN$20*(251-$NR$20+1)*($NS$20-251+1)/$NU$20,$NN$20/$NT$20)),0)</f>
        <v/>
      </c>
      <c r="IV20" s="402">
        <f>IF(AND(252&gt;=$NR$20,252&lt;=$NS$20),IF($NP$20="Single_Point",IF(252=$NR$20,$NN$20,0),IF($NP$20="Bell_Curve",$NN$20*(252-$NR$20+1)*($NS$20-252+1)/$NU$20,$NN$20/$NT$20)),0)</f>
        <v/>
      </c>
      <c r="IW20" s="402">
        <f>IF(AND(253&gt;=$NR$20,253&lt;=$NS$20),IF($NP$20="Single_Point",IF(253=$NR$20,$NN$20,0),IF($NP$20="Bell_Curve",$NN$20*(253-$NR$20+1)*($NS$20-253+1)/$NU$20,$NN$20/$NT$20)),0)</f>
        <v/>
      </c>
      <c r="IX20" s="402">
        <f>IF(AND(254&gt;=$NR$20,254&lt;=$NS$20),IF($NP$20="Single_Point",IF(254=$NR$20,$NN$20,0),IF($NP$20="Bell_Curve",$NN$20*(254-$NR$20+1)*($NS$20-254+1)/$NU$20,$NN$20/$NT$20)),0)</f>
        <v/>
      </c>
      <c r="IY20" s="402">
        <f>IF(AND(255&gt;=$NR$20,255&lt;=$NS$20),IF($NP$20="Single_Point",IF(255=$NR$20,$NN$20,0),IF($NP$20="Bell_Curve",$NN$20*(255-$NR$20+1)*($NS$20-255+1)/$NU$20,$NN$20/$NT$20)),0)</f>
        <v/>
      </c>
      <c r="IZ20" s="402">
        <f>IF(AND(256&gt;=$NR$20,256&lt;=$NS$20),IF($NP$20="Single_Point",IF(256=$NR$20,$NN$20,0),IF($NP$20="Bell_Curve",$NN$20*(256-$NR$20+1)*($NS$20-256+1)/$NU$20,$NN$20/$NT$20)),0)</f>
        <v/>
      </c>
      <c r="JA20" s="402">
        <f>IF(AND(257&gt;=$NR$20,257&lt;=$NS$20),IF($NP$20="Single_Point",IF(257=$NR$20,$NN$20,0),IF($NP$20="Bell_Curve",$NN$20*(257-$NR$20+1)*($NS$20-257+1)/$NU$20,$NN$20/$NT$20)),0)</f>
        <v/>
      </c>
      <c r="JB20" s="402">
        <f>IF(AND(258&gt;=$NR$20,258&lt;=$NS$20),IF($NP$20="Single_Point",IF(258=$NR$20,$NN$20,0),IF($NP$20="Bell_Curve",$NN$20*(258-$NR$20+1)*($NS$20-258+1)/$NU$20,$NN$20/$NT$20)),0)</f>
        <v/>
      </c>
      <c r="JC20" s="402">
        <f>IF(AND(259&gt;=$NR$20,259&lt;=$NS$20),IF($NP$20="Single_Point",IF(259=$NR$20,$NN$20,0),IF($NP$20="Bell_Curve",$NN$20*(259-$NR$20+1)*($NS$20-259+1)/$NU$20,$NN$20/$NT$20)),0)</f>
        <v/>
      </c>
      <c r="JD20" s="402">
        <f>IF(AND(260&gt;=$NR$20,260&lt;=$NS$20),IF($NP$20="Single_Point",IF(260=$NR$20,$NN$20,0),IF($NP$20="Bell_Curve",$NN$20*(260-$NR$20+1)*($NS$20-260+1)/$NU$20,$NN$20/$NT$20)),0)</f>
        <v/>
      </c>
      <c r="JE20" s="402">
        <f>IF(AND(261&gt;=$NR$20,261&lt;=$NS$20),IF($NP$20="Single_Point",IF(261=$NR$20,$NN$20,0),IF($NP$20="Bell_Curve",$NN$20*(261-$NR$20+1)*($NS$20-261+1)/$NU$20,$NN$20/$NT$20)),0)</f>
        <v/>
      </c>
      <c r="JF20" s="402">
        <f>IF(AND(262&gt;=$NR$20,262&lt;=$NS$20),IF($NP$20="Single_Point",IF(262=$NR$20,$NN$20,0),IF($NP$20="Bell_Curve",$NN$20*(262-$NR$20+1)*($NS$20-262+1)/$NU$20,$NN$20/$NT$20)),0)</f>
        <v/>
      </c>
      <c r="JG20" s="402">
        <f>IF(AND(263&gt;=$NR$20,263&lt;=$NS$20),IF($NP$20="Single_Point",IF(263=$NR$20,$NN$20,0),IF($NP$20="Bell_Curve",$NN$20*(263-$NR$20+1)*($NS$20-263+1)/$NU$20,$NN$20/$NT$20)),0)</f>
        <v/>
      </c>
      <c r="JH20" s="402">
        <f>IF(AND(264&gt;=$NR$20,264&lt;=$NS$20),IF($NP$20="Single_Point",IF(264=$NR$20,$NN$20,0),IF($NP$20="Bell_Curve",$NN$20*(264-$NR$20+1)*($NS$20-264+1)/$NU$20,$NN$20/$NT$20)),0)</f>
        <v/>
      </c>
      <c r="JI20" s="402">
        <f>IF(AND(265&gt;=$NR$20,265&lt;=$NS$20),IF($NP$20="Single_Point",IF(265=$NR$20,$NN$20,0),IF($NP$20="Bell_Curve",$NN$20*(265-$NR$20+1)*($NS$20-265+1)/$NU$20,$NN$20/$NT$20)),0)</f>
        <v/>
      </c>
      <c r="JJ20" s="402">
        <f>IF(AND(266&gt;=$NR$20,266&lt;=$NS$20),IF($NP$20="Single_Point",IF(266=$NR$20,$NN$20,0),IF($NP$20="Bell_Curve",$NN$20*(266-$NR$20+1)*($NS$20-266+1)/$NU$20,$NN$20/$NT$20)),0)</f>
        <v/>
      </c>
      <c r="JK20" s="402">
        <f>IF(AND(267&gt;=$NR$20,267&lt;=$NS$20),IF($NP$20="Single_Point",IF(267=$NR$20,$NN$20,0),IF($NP$20="Bell_Curve",$NN$20*(267-$NR$20+1)*($NS$20-267+1)/$NU$20,$NN$20/$NT$20)),0)</f>
        <v/>
      </c>
      <c r="JL20" s="402">
        <f>IF(AND(268&gt;=$NR$20,268&lt;=$NS$20),IF($NP$20="Single_Point",IF(268=$NR$20,$NN$20,0),IF($NP$20="Bell_Curve",$NN$20*(268-$NR$20+1)*($NS$20-268+1)/$NU$20,$NN$20/$NT$20)),0)</f>
        <v/>
      </c>
      <c r="JM20" s="402">
        <f>IF(AND(269&gt;=$NR$20,269&lt;=$NS$20),IF($NP$20="Single_Point",IF(269=$NR$20,$NN$20,0),IF($NP$20="Bell_Curve",$NN$20*(269-$NR$20+1)*($NS$20-269+1)/$NU$20,$NN$20/$NT$20)),0)</f>
        <v/>
      </c>
      <c r="JN20" s="402">
        <f>IF(AND(270&gt;=$NR$20,270&lt;=$NS$20),IF($NP$20="Single_Point",IF(270=$NR$20,$NN$20,0),IF($NP$20="Bell_Curve",$NN$20*(270-$NR$20+1)*($NS$20-270+1)/$NU$20,$NN$20/$NT$20)),0)</f>
        <v/>
      </c>
      <c r="JO20" s="402">
        <f>IF(AND(271&gt;=$NR$20,271&lt;=$NS$20),IF($NP$20="Single_Point",IF(271=$NR$20,$NN$20,0),IF($NP$20="Bell_Curve",$NN$20*(271-$NR$20+1)*($NS$20-271+1)/$NU$20,$NN$20/$NT$20)),0)</f>
        <v/>
      </c>
      <c r="JP20" s="402">
        <f>IF(AND(272&gt;=$NR$20,272&lt;=$NS$20),IF($NP$20="Single_Point",IF(272=$NR$20,$NN$20,0),IF($NP$20="Bell_Curve",$NN$20*(272-$NR$20+1)*($NS$20-272+1)/$NU$20,$NN$20/$NT$20)),0)</f>
        <v/>
      </c>
      <c r="JQ20" s="402">
        <f>IF(AND(273&gt;=$NR$20,273&lt;=$NS$20),IF($NP$20="Single_Point",IF(273=$NR$20,$NN$20,0),IF($NP$20="Bell_Curve",$NN$20*(273-$NR$20+1)*($NS$20-273+1)/$NU$20,$NN$20/$NT$20)),0)</f>
        <v/>
      </c>
      <c r="JR20" s="402">
        <f>IF(AND(274&gt;=$NR$20,274&lt;=$NS$20),IF($NP$20="Single_Point",IF(274=$NR$20,$NN$20,0),IF($NP$20="Bell_Curve",$NN$20*(274-$NR$20+1)*($NS$20-274+1)/$NU$20,$NN$20/$NT$20)),0)</f>
        <v/>
      </c>
      <c r="JS20" s="402">
        <f>IF(AND(275&gt;=$NR$20,275&lt;=$NS$20),IF($NP$20="Single_Point",IF(275=$NR$20,$NN$20,0),IF($NP$20="Bell_Curve",$NN$20*(275-$NR$20+1)*($NS$20-275+1)/$NU$20,$NN$20/$NT$20)),0)</f>
        <v/>
      </c>
      <c r="JT20" s="402">
        <f>IF(AND(276&gt;=$NR$20,276&lt;=$NS$20),IF($NP$20="Single_Point",IF(276=$NR$20,$NN$20,0),IF($NP$20="Bell_Curve",$NN$20*(276-$NR$20+1)*($NS$20-276+1)/$NU$20,$NN$20/$NT$20)),0)</f>
        <v/>
      </c>
      <c r="JU20" s="402">
        <f>IF(AND(277&gt;=$NR$20,277&lt;=$NS$20),IF($NP$20="Single_Point",IF(277=$NR$20,$NN$20,0),IF($NP$20="Bell_Curve",$NN$20*(277-$NR$20+1)*($NS$20-277+1)/$NU$20,$NN$20/$NT$20)),0)</f>
        <v/>
      </c>
      <c r="JV20" s="402">
        <f>IF(AND(278&gt;=$NR$20,278&lt;=$NS$20),IF($NP$20="Single_Point",IF(278=$NR$20,$NN$20,0),IF($NP$20="Bell_Curve",$NN$20*(278-$NR$20+1)*($NS$20-278+1)/$NU$20,$NN$20/$NT$20)),0)</f>
        <v/>
      </c>
      <c r="JW20" s="402">
        <f>IF(AND(279&gt;=$NR$20,279&lt;=$NS$20),IF($NP$20="Single_Point",IF(279=$NR$20,$NN$20,0),IF($NP$20="Bell_Curve",$NN$20*(279-$NR$20+1)*($NS$20-279+1)/$NU$20,$NN$20/$NT$20)),0)</f>
        <v/>
      </c>
      <c r="JX20" s="402">
        <f>IF(AND(280&gt;=$NR$20,280&lt;=$NS$20),IF($NP$20="Single_Point",IF(280=$NR$20,$NN$20,0),IF($NP$20="Bell_Curve",$NN$20*(280-$NR$20+1)*($NS$20-280+1)/$NU$20,$NN$20/$NT$20)),0)</f>
        <v/>
      </c>
      <c r="JY20" s="402">
        <f>IF(AND(281&gt;=$NR$20,281&lt;=$NS$20),IF($NP$20="Single_Point",IF(281=$NR$20,$NN$20,0),IF($NP$20="Bell_Curve",$NN$20*(281-$NR$20+1)*($NS$20-281+1)/$NU$20,$NN$20/$NT$20)),0)</f>
        <v/>
      </c>
      <c r="JZ20" s="402">
        <f>IF(AND(282&gt;=$NR$20,282&lt;=$NS$20),IF($NP$20="Single_Point",IF(282=$NR$20,$NN$20,0),IF($NP$20="Bell_Curve",$NN$20*(282-$NR$20+1)*($NS$20-282+1)/$NU$20,$NN$20/$NT$20)),0)</f>
        <v/>
      </c>
      <c r="KA20" s="402">
        <f>IF(AND(283&gt;=$NR$20,283&lt;=$NS$20),IF($NP$20="Single_Point",IF(283=$NR$20,$NN$20,0),IF($NP$20="Bell_Curve",$NN$20*(283-$NR$20+1)*($NS$20-283+1)/$NU$20,$NN$20/$NT$20)),0)</f>
        <v/>
      </c>
      <c r="KB20" s="402">
        <f>IF(AND(284&gt;=$NR$20,284&lt;=$NS$20),IF($NP$20="Single_Point",IF(284=$NR$20,$NN$20,0),IF($NP$20="Bell_Curve",$NN$20*(284-$NR$20+1)*($NS$20-284+1)/$NU$20,$NN$20/$NT$20)),0)</f>
        <v/>
      </c>
      <c r="KC20" s="402">
        <f>IF(AND(285&gt;=$NR$20,285&lt;=$NS$20),IF($NP$20="Single_Point",IF(285=$NR$20,$NN$20,0),IF($NP$20="Bell_Curve",$NN$20*(285-$NR$20+1)*($NS$20-285+1)/$NU$20,$NN$20/$NT$20)),0)</f>
        <v/>
      </c>
      <c r="KD20" s="402">
        <f>IF(AND(286&gt;=$NR$20,286&lt;=$NS$20),IF($NP$20="Single_Point",IF(286=$NR$20,$NN$20,0),IF($NP$20="Bell_Curve",$NN$20*(286-$NR$20+1)*($NS$20-286+1)/$NU$20,$NN$20/$NT$20)),0)</f>
        <v/>
      </c>
      <c r="KE20" s="402">
        <f>IF(AND(287&gt;=$NR$20,287&lt;=$NS$20),IF($NP$20="Single_Point",IF(287=$NR$20,$NN$20,0),IF($NP$20="Bell_Curve",$NN$20*(287-$NR$20+1)*($NS$20-287+1)/$NU$20,$NN$20/$NT$20)),0)</f>
        <v/>
      </c>
      <c r="KF20" s="402">
        <f>IF(AND(288&gt;=$NR$20,288&lt;=$NS$20),IF($NP$20="Single_Point",IF(288=$NR$20,$NN$20,0),IF($NP$20="Bell_Curve",$NN$20*(288-$NR$20+1)*($NS$20-288+1)/$NU$20,$NN$20/$NT$20)),0)</f>
        <v/>
      </c>
      <c r="KG20" s="402">
        <f>IF(AND(289&gt;=$NR$20,289&lt;=$NS$20),IF($NP$20="Single_Point",IF(289=$NR$20,$NN$20,0),IF($NP$20="Bell_Curve",$NN$20*(289-$NR$20+1)*($NS$20-289+1)/$NU$20,$NN$20/$NT$20)),0)</f>
        <v/>
      </c>
      <c r="KH20" s="402">
        <f>IF(AND(290&gt;=$NR$20,290&lt;=$NS$20),IF($NP$20="Single_Point",IF(290=$NR$20,$NN$20,0),IF($NP$20="Bell_Curve",$NN$20*(290-$NR$20+1)*($NS$20-290+1)/$NU$20,$NN$20/$NT$20)),0)</f>
        <v/>
      </c>
      <c r="KI20" s="402">
        <f>IF(AND(291&gt;=$NR$20,291&lt;=$NS$20),IF($NP$20="Single_Point",IF(291=$NR$20,$NN$20,0),IF($NP$20="Bell_Curve",$NN$20*(291-$NR$20+1)*($NS$20-291+1)/$NU$20,$NN$20/$NT$20)),0)</f>
        <v/>
      </c>
      <c r="KJ20" s="402">
        <f>IF(AND(292&gt;=$NR$20,292&lt;=$NS$20),IF($NP$20="Single_Point",IF(292=$NR$20,$NN$20,0),IF($NP$20="Bell_Curve",$NN$20*(292-$NR$20+1)*($NS$20-292+1)/$NU$20,$NN$20/$NT$20)),0)</f>
        <v/>
      </c>
      <c r="KK20" s="402">
        <f>IF(AND(293&gt;=$NR$20,293&lt;=$NS$20),IF($NP$20="Single_Point",IF(293=$NR$20,$NN$20,0),IF($NP$20="Bell_Curve",$NN$20*(293-$NR$20+1)*($NS$20-293+1)/$NU$20,$NN$20/$NT$20)),0)</f>
        <v/>
      </c>
      <c r="KL20" s="402">
        <f>IF(AND(294&gt;=$NR$20,294&lt;=$NS$20),IF($NP$20="Single_Point",IF(294=$NR$20,$NN$20,0),IF($NP$20="Bell_Curve",$NN$20*(294-$NR$20+1)*($NS$20-294+1)/$NU$20,$NN$20/$NT$20)),0)</f>
        <v/>
      </c>
      <c r="KM20" s="402">
        <f>IF(AND(295&gt;=$NR$20,295&lt;=$NS$20),IF($NP$20="Single_Point",IF(295=$NR$20,$NN$20,0),IF($NP$20="Bell_Curve",$NN$20*(295-$NR$20+1)*($NS$20-295+1)/$NU$20,$NN$20/$NT$20)),0)</f>
        <v/>
      </c>
      <c r="KN20" s="402">
        <f>IF(AND(296&gt;=$NR$20,296&lt;=$NS$20),IF($NP$20="Single_Point",IF(296=$NR$20,$NN$20,0),IF($NP$20="Bell_Curve",$NN$20*(296-$NR$20+1)*($NS$20-296+1)/$NU$20,$NN$20/$NT$20)),0)</f>
        <v/>
      </c>
      <c r="KO20" s="402">
        <f>IF(AND(297&gt;=$NR$20,297&lt;=$NS$20),IF($NP$20="Single_Point",IF(297=$NR$20,$NN$20,0),IF($NP$20="Bell_Curve",$NN$20*(297-$NR$20+1)*($NS$20-297+1)/$NU$20,$NN$20/$NT$20)),0)</f>
        <v/>
      </c>
      <c r="KP20" s="402">
        <f>IF(AND(298&gt;=$NR$20,298&lt;=$NS$20),IF($NP$20="Single_Point",IF(298=$NR$20,$NN$20,0),IF($NP$20="Bell_Curve",$NN$20*(298-$NR$20+1)*($NS$20-298+1)/$NU$20,$NN$20/$NT$20)),0)</f>
        <v/>
      </c>
      <c r="KQ20" s="402">
        <f>IF(AND(299&gt;=$NR$20,299&lt;=$NS$20),IF($NP$20="Single_Point",IF(299=$NR$20,$NN$20,0),IF($NP$20="Bell_Curve",$NN$20*(299-$NR$20+1)*($NS$20-299+1)/$NU$20,$NN$20/$NT$20)),0)</f>
        <v/>
      </c>
      <c r="KR20" s="402">
        <f>IF(AND(300&gt;=$NR$20,300&lt;=$NS$20),IF($NP$20="Single_Point",IF(300=$NR$20,$NN$20,0),IF($NP$20="Bell_Curve",$NN$20*(300-$NR$20+1)*($NS$20-300+1)/$NU$20,$NN$20/$NT$20)),0)</f>
        <v/>
      </c>
      <c r="KS20" s="402">
        <f>IF(AND(301&gt;=$NR$20,301&lt;=$NS$20),IF($NP$20="Single_Point",IF(301=$NR$20,$NN$20,0),IF($NP$20="Bell_Curve",$NN$20*(301-$NR$20+1)*($NS$20-301+1)/$NU$20,$NN$20/$NT$20)),0)</f>
        <v/>
      </c>
      <c r="KT20" s="402">
        <f>IF(AND(302&gt;=$NR$20,302&lt;=$NS$20),IF($NP$20="Single_Point",IF(302=$NR$20,$NN$20,0),IF($NP$20="Bell_Curve",$NN$20*(302-$NR$20+1)*($NS$20-302+1)/$NU$20,$NN$20/$NT$20)),0)</f>
        <v/>
      </c>
      <c r="KU20" s="402">
        <f>IF(AND(303&gt;=$NR$20,303&lt;=$NS$20),IF($NP$20="Single_Point",IF(303=$NR$20,$NN$20,0),IF($NP$20="Bell_Curve",$NN$20*(303-$NR$20+1)*($NS$20-303+1)/$NU$20,$NN$20/$NT$20)),0)</f>
        <v/>
      </c>
      <c r="KV20" s="402">
        <f>IF(AND(304&gt;=$NR$20,304&lt;=$NS$20),IF($NP$20="Single_Point",IF(304=$NR$20,$NN$20,0),IF($NP$20="Bell_Curve",$NN$20*(304-$NR$20+1)*($NS$20-304+1)/$NU$20,$NN$20/$NT$20)),0)</f>
        <v/>
      </c>
      <c r="KW20" s="402">
        <f>IF(AND(305&gt;=$NR$20,305&lt;=$NS$20),IF($NP$20="Single_Point",IF(305=$NR$20,$NN$20,0),IF($NP$20="Bell_Curve",$NN$20*(305-$NR$20+1)*($NS$20-305+1)/$NU$20,$NN$20/$NT$20)),0)</f>
        <v/>
      </c>
      <c r="KX20" s="402">
        <f>IF(AND(306&gt;=$NR$20,306&lt;=$NS$20),IF($NP$20="Single_Point",IF(306=$NR$20,$NN$20,0),IF($NP$20="Bell_Curve",$NN$20*(306-$NR$20+1)*($NS$20-306+1)/$NU$20,$NN$20/$NT$20)),0)</f>
        <v/>
      </c>
      <c r="KY20" s="402">
        <f>IF(AND(307&gt;=$NR$20,307&lt;=$NS$20),IF($NP$20="Single_Point",IF(307=$NR$20,$NN$20,0),IF($NP$20="Bell_Curve",$NN$20*(307-$NR$20+1)*($NS$20-307+1)/$NU$20,$NN$20/$NT$20)),0)</f>
        <v/>
      </c>
      <c r="KZ20" s="402">
        <f>IF(AND(308&gt;=$NR$20,308&lt;=$NS$20),IF($NP$20="Single_Point",IF(308=$NR$20,$NN$20,0),IF($NP$20="Bell_Curve",$NN$20*(308-$NR$20+1)*($NS$20-308+1)/$NU$20,$NN$20/$NT$20)),0)</f>
        <v/>
      </c>
      <c r="LA20" s="402">
        <f>IF(AND(309&gt;=$NR$20,309&lt;=$NS$20),IF($NP$20="Single_Point",IF(309=$NR$20,$NN$20,0),IF($NP$20="Bell_Curve",$NN$20*(309-$NR$20+1)*($NS$20-309+1)/$NU$20,$NN$20/$NT$20)),0)</f>
        <v/>
      </c>
      <c r="LB20" s="402">
        <f>IF(AND(310&gt;=$NR$20,310&lt;=$NS$20),IF($NP$20="Single_Point",IF(310=$NR$20,$NN$20,0),IF($NP$20="Bell_Curve",$NN$20*(310-$NR$20+1)*($NS$20-310+1)/$NU$20,$NN$20/$NT$20)),0)</f>
        <v/>
      </c>
      <c r="LC20" s="402">
        <f>IF(AND(311&gt;=$NR$20,311&lt;=$NS$20),IF($NP$20="Single_Point",IF(311=$NR$20,$NN$20,0),IF($NP$20="Bell_Curve",$NN$20*(311-$NR$20+1)*($NS$20-311+1)/$NU$20,$NN$20/$NT$20)),0)</f>
        <v/>
      </c>
      <c r="LD20" s="402">
        <f>IF(AND(312&gt;=$NR$20,312&lt;=$NS$20),IF($NP$20="Single_Point",IF(312=$NR$20,$NN$20,0),IF($NP$20="Bell_Curve",$NN$20*(312-$NR$20+1)*($NS$20-312+1)/$NU$20,$NN$20/$NT$20)),0)</f>
        <v/>
      </c>
      <c r="LE20" s="402">
        <f>IF(AND(313&gt;=$NR$20,313&lt;=$NS$20),IF($NP$20="Single_Point",IF(313=$NR$20,$NN$20,0),IF($NP$20="Bell_Curve",$NN$20*(313-$NR$20+1)*($NS$20-313+1)/$NU$20,$NN$20/$NT$20)),0)</f>
        <v/>
      </c>
      <c r="LF20" s="402">
        <f>IF(AND(314&gt;=$NR$20,314&lt;=$NS$20),IF($NP$20="Single_Point",IF(314=$NR$20,$NN$20,0),IF($NP$20="Bell_Curve",$NN$20*(314-$NR$20+1)*($NS$20-314+1)/$NU$20,$NN$20/$NT$20)),0)</f>
        <v/>
      </c>
      <c r="LG20" s="402">
        <f>IF(AND(315&gt;=$NR$20,315&lt;=$NS$20),IF($NP$20="Single_Point",IF(315=$NR$20,$NN$20,0),IF($NP$20="Bell_Curve",$NN$20*(315-$NR$20+1)*($NS$20-315+1)/$NU$20,$NN$20/$NT$20)),0)</f>
        <v/>
      </c>
      <c r="LH20" s="402">
        <f>IF(AND(316&gt;=$NR$20,316&lt;=$NS$20),IF($NP$20="Single_Point",IF(316=$NR$20,$NN$20,0),IF($NP$20="Bell_Curve",$NN$20*(316-$NR$20+1)*($NS$20-316+1)/$NU$20,$NN$20/$NT$20)),0)</f>
        <v/>
      </c>
      <c r="LI20" s="402">
        <f>IF(AND(317&gt;=$NR$20,317&lt;=$NS$20),IF($NP$20="Single_Point",IF(317=$NR$20,$NN$20,0),IF($NP$20="Bell_Curve",$NN$20*(317-$NR$20+1)*($NS$20-317+1)/$NU$20,$NN$20/$NT$20)),0)</f>
        <v/>
      </c>
      <c r="LJ20" s="402">
        <f>IF(AND(318&gt;=$NR$20,318&lt;=$NS$20),IF($NP$20="Single_Point",IF(318=$NR$20,$NN$20,0),IF($NP$20="Bell_Curve",$NN$20*(318-$NR$20+1)*($NS$20-318+1)/$NU$20,$NN$20/$NT$20)),0)</f>
        <v/>
      </c>
      <c r="LK20" s="402">
        <f>IF(AND(319&gt;=$NR$20,319&lt;=$NS$20),IF($NP$20="Single_Point",IF(319=$NR$20,$NN$20,0),IF($NP$20="Bell_Curve",$NN$20*(319-$NR$20+1)*($NS$20-319+1)/$NU$20,$NN$20/$NT$20)),0)</f>
        <v/>
      </c>
      <c r="LL20" s="402">
        <f>IF(AND(320&gt;=$NR$20,320&lt;=$NS$20),IF($NP$20="Single_Point",IF(320=$NR$20,$NN$20,0),IF($NP$20="Bell_Curve",$NN$20*(320-$NR$20+1)*($NS$20-320+1)/$NU$20,$NN$20/$NT$20)),0)</f>
        <v/>
      </c>
      <c r="LM20" s="402">
        <f>IF(AND(321&gt;=$NR$20,321&lt;=$NS$20),IF($NP$20="Single_Point",IF(321=$NR$20,$NN$20,0),IF($NP$20="Bell_Curve",$NN$20*(321-$NR$20+1)*($NS$20-321+1)/$NU$20,$NN$20/$NT$20)),0)</f>
        <v/>
      </c>
      <c r="LN20" s="402">
        <f>IF(AND(322&gt;=$NR$20,322&lt;=$NS$20),IF($NP$20="Single_Point",IF(322=$NR$20,$NN$20,0),IF($NP$20="Bell_Curve",$NN$20*(322-$NR$20+1)*($NS$20-322+1)/$NU$20,$NN$20/$NT$20)),0)</f>
        <v/>
      </c>
      <c r="LO20" s="402">
        <f>IF(AND(323&gt;=$NR$20,323&lt;=$NS$20),IF($NP$20="Single_Point",IF(323=$NR$20,$NN$20,0),IF($NP$20="Bell_Curve",$NN$20*(323-$NR$20+1)*($NS$20-323+1)/$NU$20,$NN$20/$NT$20)),0)</f>
        <v/>
      </c>
      <c r="LP20" s="402">
        <f>IF(AND(324&gt;=$NR$20,324&lt;=$NS$20),IF($NP$20="Single_Point",IF(324=$NR$20,$NN$20,0),IF($NP$20="Bell_Curve",$NN$20*(324-$NR$20+1)*($NS$20-324+1)/$NU$20,$NN$20/$NT$20)),0)</f>
        <v/>
      </c>
      <c r="LQ20" s="402">
        <f>IF(AND(325&gt;=$NR$20,325&lt;=$NS$20),IF($NP$20="Single_Point",IF(325=$NR$20,$NN$20,0),IF($NP$20="Bell_Curve",$NN$20*(325-$NR$20+1)*($NS$20-325+1)/$NU$20,$NN$20/$NT$20)),0)</f>
        <v/>
      </c>
      <c r="LR20" s="402">
        <f>IF(AND(326&gt;=$NR$20,326&lt;=$NS$20),IF($NP$20="Single_Point",IF(326=$NR$20,$NN$20,0),IF($NP$20="Bell_Curve",$NN$20*(326-$NR$20+1)*($NS$20-326+1)/$NU$20,$NN$20/$NT$20)),0)</f>
        <v/>
      </c>
      <c r="LS20" s="402">
        <f>IF(AND(327&gt;=$NR$20,327&lt;=$NS$20),IF($NP$20="Single_Point",IF(327=$NR$20,$NN$20,0),IF($NP$20="Bell_Curve",$NN$20*(327-$NR$20+1)*($NS$20-327+1)/$NU$20,$NN$20/$NT$20)),0)</f>
        <v/>
      </c>
      <c r="LT20" s="402">
        <f>IF(AND(328&gt;=$NR$20,328&lt;=$NS$20),IF($NP$20="Single_Point",IF(328=$NR$20,$NN$20,0),IF($NP$20="Bell_Curve",$NN$20*(328-$NR$20+1)*($NS$20-328+1)/$NU$20,$NN$20/$NT$20)),0)</f>
        <v/>
      </c>
      <c r="LU20" s="402">
        <f>IF(AND(329&gt;=$NR$20,329&lt;=$NS$20),IF($NP$20="Single_Point",IF(329=$NR$20,$NN$20,0),IF($NP$20="Bell_Curve",$NN$20*(329-$NR$20+1)*($NS$20-329+1)/$NU$20,$NN$20/$NT$20)),0)</f>
        <v/>
      </c>
      <c r="LV20" s="402">
        <f>IF(AND(330&gt;=$NR$20,330&lt;=$NS$20),IF($NP$20="Single_Point",IF(330=$NR$20,$NN$20,0),IF($NP$20="Bell_Curve",$NN$20*(330-$NR$20+1)*($NS$20-330+1)/$NU$20,$NN$20/$NT$20)),0)</f>
        <v/>
      </c>
      <c r="LW20" s="402">
        <f>IF(AND(331&gt;=$NR$20,331&lt;=$NS$20),IF($NP$20="Single_Point",IF(331=$NR$20,$NN$20,0),IF($NP$20="Bell_Curve",$NN$20*(331-$NR$20+1)*($NS$20-331+1)/$NU$20,$NN$20/$NT$20)),0)</f>
        <v/>
      </c>
      <c r="LX20" s="402">
        <f>IF(AND(332&gt;=$NR$20,332&lt;=$NS$20),IF($NP$20="Single_Point",IF(332=$NR$20,$NN$20,0),IF($NP$20="Bell_Curve",$NN$20*(332-$NR$20+1)*($NS$20-332+1)/$NU$20,$NN$20/$NT$20)),0)</f>
        <v/>
      </c>
      <c r="LY20" s="402">
        <f>IF(AND(333&gt;=$NR$20,333&lt;=$NS$20),IF($NP$20="Single_Point",IF(333=$NR$20,$NN$20,0),IF($NP$20="Bell_Curve",$NN$20*(333-$NR$20+1)*($NS$20-333+1)/$NU$20,$NN$20/$NT$20)),0)</f>
        <v/>
      </c>
      <c r="LZ20" s="402">
        <f>IF(AND(334&gt;=$NR$20,334&lt;=$NS$20),IF($NP$20="Single_Point",IF(334=$NR$20,$NN$20,0),IF($NP$20="Bell_Curve",$NN$20*(334-$NR$20+1)*($NS$20-334+1)/$NU$20,$NN$20/$NT$20)),0)</f>
        <v/>
      </c>
      <c r="MA20" s="402">
        <f>IF(AND(335&gt;=$NR$20,335&lt;=$NS$20),IF($NP$20="Single_Point",IF(335=$NR$20,$NN$20,0),IF($NP$20="Bell_Curve",$NN$20*(335-$NR$20+1)*($NS$20-335+1)/$NU$20,$NN$20/$NT$20)),0)</f>
        <v/>
      </c>
      <c r="MB20" s="402">
        <f>IF(AND(336&gt;=$NR$20,336&lt;=$NS$20),IF($NP$20="Single_Point",IF(336=$NR$20,$NN$20,0),IF($NP$20="Bell_Curve",$NN$20*(336-$NR$20+1)*($NS$20-336+1)/$NU$20,$NN$20/$NT$20)),0)</f>
        <v/>
      </c>
      <c r="MC20" s="402">
        <f>IF(AND(337&gt;=$NR$20,337&lt;=$NS$20),IF($NP$20="Single_Point",IF(337=$NR$20,$NN$20,0),IF($NP$20="Bell_Curve",$NN$20*(337-$NR$20+1)*($NS$20-337+1)/$NU$20,$NN$20/$NT$20)),0)</f>
        <v/>
      </c>
      <c r="MD20" s="402">
        <f>IF(AND(338&gt;=$NR$20,338&lt;=$NS$20),IF($NP$20="Single_Point",IF(338=$NR$20,$NN$20,0),IF($NP$20="Bell_Curve",$NN$20*(338-$NR$20+1)*($NS$20-338+1)/$NU$20,$NN$20/$NT$20)),0)</f>
        <v/>
      </c>
      <c r="ME20" s="402">
        <f>IF(AND(339&gt;=$NR$20,339&lt;=$NS$20),IF($NP$20="Single_Point",IF(339=$NR$20,$NN$20,0),IF($NP$20="Bell_Curve",$NN$20*(339-$NR$20+1)*($NS$20-339+1)/$NU$20,$NN$20/$NT$20)),0)</f>
        <v/>
      </c>
      <c r="MF20" s="402">
        <f>IF(AND(340&gt;=$NR$20,340&lt;=$NS$20),IF($NP$20="Single_Point",IF(340=$NR$20,$NN$20,0),IF($NP$20="Bell_Curve",$NN$20*(340-$NR$20+1)*($NS$20-340+1)/$NU$20,$NN$20/$NT$20)),0)</f>
        <v/>
      </c>
      <c r="MG20" s="402">
        <f>IF(AND(341&gt;=$NR$20,341&lt;=$NS$20),IF($NP$20="Single_Point",IF(341=$NR$20,$NN$20,0),IF($NP$20="Bell_Curve",$NN$20*(341-$NR$20+1)*($NS$20-341+1)/$NU$20,$NN$20/$NT$20)),0)</f>
        <v/>
      </c>
      <c r="MH20" s="402">
        <f>IF(AND(342&gt;=$NR$20,342&lt;=$NS$20),IF($NP$20="Single_Point",IF(342=$NR$20,$NN$20,0),IF($NP$20="Bell_Curve",$NN$20*(342-$NR$20+1)*($NS$20-342+1)/$NU$20,$NN$20/$NT$20)),0)</f>
        <v/>
      </c>
      <c r="MI20" s="402">
        <f>IF(AND(343&gt;=$NR$20,343&lt;=$NS$20),IF($NP$20="Single_Point",IF(343=$NR$20,$NN$20,0),IF($NP$20="Bell_Curve",$NN$20*(343-$NR$20+1)*($NS$20-343+1)/$NU$20,$NN$20/$NT$20)),0)</f>
        <v/>
      </c>
      <c r="MJ20" s="402">
        <f>IF(AND(344&gt;=$NR$20,344&lt;=$NS$20),IF($NP$20="Single_Point",IF(344=$NR$20,$NN$20,0),IF($NP$20="Bell_Curve",$NN$20*(344-$NR$20+1)*($NS$20-344+1)/$NU$20,$NN$20/$NT$20)),0)</f>
        <v/>
      </c>
      <c r="MK20" s="402">
        <f>IF(AND(345&gt;=$NR$20,345&lt;=$NS$20),IF($NP$20="Single_Point",IF(345=$NR$20,$NN$20,0),IF($NP$20="Bell_Curve",$NN$20*(345-$NR$20+1)*($NS$20-345+1)/$NU$20,$NN$20/$NT$20)),0)</f>
        <v/>
      </c>
      <c r="ML20" s="402">
        <f>IF(AND(346&gt;=$NR$20,346&lt;=$NS$20),IF($NP$20="Single_Point",IF(346=$NR$20,$NN$20,0),IF($NP$20="Bell_Curve",$NN$20*(346-$NR$20+1)*($NS$20-346+1)/$NU$20,$NN$20/$NT$20)),0)</f>
        <v/>
      </c>
      <c r="MM20" s="402">
        <f>IF(AND(347&gt;=$NR$20,347&lt;=$NS$20),IF($NP$20="Single_Point",IF(347=$NR$20,$NN$20,0),IF($NP$20="Bell_Curve",$NN$20*(347-$NR$20+1)*($NS$20-347+1)/$NU$20,$NN$20/$NT$20)),0)</f>
        <v/>
      </c>
      <c r="MN20" s="402">
        <f>IF(AND(348&gt;=$NR$20,348&lt;=$NS$20),IF($NP$20="Single_Point",IF(348=$NR$20,$NN$20,0),IF($NP$20="Bell_Curve",$NN$20*(348-$NR$20+1)*($NS$20-348+1)/$NU$20,$NN$20/$NT$20)),0)</f>
        <v/>
      </c>
      <c r="MO20" s="402">
        <f>IF(AND(349&gt;=$NR$20,349&lt;=$NS$20),IF($NP$20="Single_Point",IF(349=$NR$20,$NN$20,0),IF($NP$20="Bell_Curve",$NN$20*(349-$NR$20+1)*($NS$20-349+1)/$NU$20,$NN$20/$NT$20)),0)</f>
        <v/>
      </c>
      <c r="MP20" s="402">
        <f>IF(AND(350&gt;=$NR$20,350&lt;=$NS$20),IF($NP$20="Single_Point",IF(350=$NR$20,$NN$20,0),IF($NP$20="Bell_Curve",$NN$20*(350-$NR$20+1)*($NS$20-350+1)/$NU$20,$NN$20/$NT$20)),0)</f>
        <v/>
      </c>
      <c r="MQ20" s="402">
        <f>IF(AND(351&gt;=$NR$20,351&lt;=$NS$20),IF($NP$20="Single_Point",IF(351=$NR$20,$NN$20,0),IF($NP$20="Bell_Curve",$NN$20*(351-$NR$20+1)*($NS$20-351+1)/$NU$20,$NN$20/$NT$20)),0)</f>
        <v/>
      </c>
      <c r="MR20" s="402">
        <f>IF(AND(352&gt;=$NR$20,352&lt;=$NS$20),IF($NP$20="Single_Point",IF(352=$NR$20,$NN$20,0),IF($NP$20="Bell_Curve",$NN$20*(352-$NR$20+1)*($NS$20-352+1)/$NU$20,$NN$20/$NT$20)),0)</f>
        <v/>
      </c>
      <c r="MS20" s="402">
        <f>IF(AND(353&gt;=$NR$20,353&lt;=$NS$20),IF($NP$20="Single_Point",IF(353=$NR$20,$NN$20,0),IF($NP$20="Bell_Curve",$NN$20*(353-$NR$20+1)*($NS$20-353+1)/$NU$20,$NN$20/$NT$20)),0)</f>
        <v/>
      </c>
      <c r="MT20" s="402">
        <f>IF(AND(354&gt;=$NR$20,354&lt;=$NS$20),IF($NP$20="Single_Point",IF(354=$NR$20,$NN$20,0),IF($NP$20="Bell_Curve",$NN$20*(354-$NR$20+1)*($NS$20-354+1)/$NU$20,$NN$20/$NT$20)),0)</f>
        <v/>
      </c>
      <c r="MU20" s="402">
        <f>IF(AND(355&gt;=$NR$20,355&lt;=$NS$20),IF($NP$20="Single_Point",IF(355=$NR$20,$NN$20,0),IF($NP$20="Bell_Curve",$NN$20*(355-$NR$20+1)*($NS$20-355+1)/$NU$20,$NN$20/$NT$20)),0)</f>
        <v/>
      </c>
      <c r="MV20" s="402">
        <f>IF(AND(356&gt;=$NR$20,356&lt;=$NS$20),IF($NP$20="Single_Point",IF(356=$NR$20,$NN$20,0),IF($NP$20="Bell_Curve",$NN$20*(356-$NR$20+1)*($NS$20-356+1)/$NU$20,$NN$20/$NT$20)),0)</f>
        <v/>
      </c>
      <c r="MW20" s="402">
        <f>IF(AND(357&gt;=$NR$20,357&lt;=$NS$20),IF($NP$20="Single_Point",IF(357=$NR$20,$NN$20,0),IF($NP$20="Bell_Curve",$NN$20*(357-$NR$20+1)*($NS$20-357+1)/$NU$20,$NN$20/$NT$20)),0)</f>
        <v/>
      </c>
      <c r="MX20" s="402">
        <f>IF(AND(358&gt;=$NR$20,358&lt;=$NS$20),IF($NP$20="Single_Point",IF(358=$NR$20,$NN$20,0),IF($NP$20="Bell_Curve",$NN$20*(358-$NR$20+1)*($NS$20-358+1)/$NU$20,$NN$20/$NT$20)),0)</f>
        <v/>
      </c>
      <c r="MY20" s="402">
        <f>IF(AND(359&gt;=$NR$20,359&lt;=$NS$20),IF($NP$20="Single_Point",IF(359=$NR$20,$NN$20,0),IF($NP$20="Bell_Curve",$NN$20*(359-$NR$20+1)*($NS$20-359+1)/$NU$20,$NN$20/$NT$20)),0)</f>
        <v/>
      </c>
      <c r="MZ20" s="402">
        <f>IF(AND(360&gt;=$NR$20,360&lt;=$NS$20),IF($NP$20="Single_Point",IF(360=$NR$20,$NN$20,0),IF($NP$20="Bell_Curve",$NN$20*(360-$NR$20+1)*($NS$20-360+1)/$NU$20,$NN$20/$NT$20)),0)</f>
        <v/>
      </c>
      <c r="NA20" s="402">
        <f>IF(AND(361&gt;=$NR$20,361&lt;=$NS$20),IF($NP$20="Single_Point",IF(361=$NR$20,$NN$20,0),IF($NP$20="Bell_Curve",$NN$20*(361-$NR$20+1)*($NS$20-361+1)/$NU$20,$NN$20/$NT$20)),0)</f>
        <v/>
      </c>
      <c r="NB20" s="402">
        <f>IF(AND(362&gt;=$NR$20,362&lt;=$NS$20),IF($NP$20="Single_Point",IF(362=$NR$20,$NN$20,0),IF($NP$20="Bell_Curve",$NN$20*(362-$NR$20+1)*($NS$20-362+1)/$NU$20,$NN$20/$NT$20)),0)</f>
        <v/>
      </c>
      <c r="NC20" s="402">
        <f>IF(AND(363&gt;=$NR$20,363&lt;=$NS$20),IF($NP$20="Single_Point",IF(363=$NR$20,$NN$20,0),IF($NP$20="Bell_Curve",$NN$20*(363-$NR$20+1)*($NS$20-363+1)/$NU$20,$NN$20/$NT$20)),0)</f>
        <v/>
      </c>
      <c r="ND20" s="402">
        <f>IF(AND(364&gt;=$NR$20,364&lt;=$NS$20),IF($NP$20="Single_Point",IF(364=$NR$20,$NN$20,0),IF($NP$20="Bell_Curve",$NN$20*(364-$NR$20+1)*($NS$20-364+1)/$NU$20,$NN$20/$NT$20)),0)</f>
        <v/>
      </c>
      <c r="NE20" s="402">
        <f>IF(AND(365&gt;=$NR$20,365&lt;=$NS$20),IF($NP$20="Single_Point",IF(365=$NR$20,$NN$20,0),IF($NP$20="Bell_Curve",$NN$20*(365-$NR$20+1)*($NS$20-365+1)/$NU$20,$NN$20/$NT$20)),0)</f>
        <v/>
      </c>
      <c r="NF20" s="402">
        <f>IF(AND(366&gt;=$NR$20,366&lt;=$NS$20),IF($NP$20="Single_Point",IF(366=$NR$20,$NN$20,0),IF($NP$20="Bell_Curve",$NN$20*(366-$NR$20+1)*($NS$20-366+1)/$NU$20,$NN$20/$NT$20)),0)</f>
        <v/>
      </c>
      <c r="NG20" s="402">
        <f>IF(AND(367&gt;=$NR$20,367&lt;=$NS$20),IF($NP$20="Single_Point",IF(367=$NR$20,$NN$20,0),IF($NP$20="Bell_Curve",$NN$20*(367-$NR$20+1)*($NS$20-367+1)/$NU$20,$NN$20/$NT$20)),0)</f>
        <v/>
      </c>
      <c r="NH20" s="402">
        <f>IF(AND(368&gt;=$NR$20,368&lt;=$NS$20),IF($NP$20="Single_Point",IF(368=$NR$20,$NN$20,0),IF($NP$20="Bell_Curve",$NN$20*(368-$NR$20+1)*($NS$20-368+1)/$NU$20,$NN$20/$NT$20)),0)</f>
        <v/>
      </c>
      <c r="NI20" s="402">
        <f>IF(AND(369&gt;=$NR$20,369&lt;=$NS$20),IF($NP$20="Single_Point",IF(369=$NR$20,$NN$20,0),IF($NP$20="Bell_Curve",$NN$20*(369-$NR$20+1)*($NS$20-369+1)/$NU$20,$NN$20/$NT$20)),0)</f>
        <v/>
      </c>
      <c r="NJ20" s="402">
        <f>IF(AND(370&gt;=$NR$20,370&lt;=$NS$20),IF($NP$20="Single_Point",IF(370=$NR$20,$NN$20,0),IF($NP$20="Bell_Curve",$NN$20*(370-$NR$20+1)*($NS$20-370+1)/$NU$20,$NN$20/$NT$20)),0)</f>
        <v/>
      </c>
      <c r="NK20" s="402">
        <f>IF(AND(371&gt;=$NR$20,371&lt;=$NS$20),IF($NP$20="Single_Point",IF(371=$NR$20,$NN$20,0),IF($NP$20="Bell_Curve",$NN$20*(371-$NR$20+1)*($NS$20-371+1)/$NU$20,$NN$20/$NT$20)),0)</f>
        <v/>
      </c>
      <c r="NL20" s="426">
        <f>IF(AND(372&gt;=$NR$20,372&lt;=$NS$20),IF($NP$20="Single_Point",IF(372=$NR$20,$NN$20,0),IF($NP$20="Bell_Curve",$NN$20*(372-$NR$20+1)*($NS$20-372+1)/$NU$20,$NN$20/$NT$20)),0)</f>
        <v/>
      </c>
      <c r="NM20">
        <f>Budget!C19</f>
        <v/>
      </c>
      <c r="NN20" s="218">
        <f>Budget!J19</f>
        <v/>
      </c>
      <c r="NO20" s="144">
        <f>Budget!G19</f>
        <v/>
      </c>
      <c r="NP20" s="144">
        <f>Budget!H19</f>
        <v/>
      </c>
      <c r="NQ20" s="85">
        <f>Budget!I19</f>
        <v/>
      </c>
      <c r="NR20" s="248">
        <f>MAX(1,MIN(372,INDEX(MilestoneStart,MATCH(NO20,MilestoneNames,0))+NQ20))</f>
        <v/>
      </c>
      <c r="NS20" s="248">
        <f>MAX(NR20,MIN(372,INDEX(MilestoneEnd,MATCH(NO20,MilestoneNames,0))+NQ20))</f>
        <v/>
      </c>
      <c r="NT20" s="85">
        <f>NS20-NR20+1</f>
        <v/>
      </c>
      <c r="NU20" s="85">
        <f>NT20*(NT20+1)*(NT20+2)/6</f>
        <v/>
      </c>
    </row>
    <row r="21">
      <c r="B21" s="296">
        <f>Budget!B20</f>
        <v/>
      </c>
      <c r="D21" s="425">
        <f>SUM(E21:NL21)</f>
        <v/>
      </c>
      <c r="E21" s="402">
        <f>IF(AND(1&gt;=$NR$21,1&lt;=$NS$21),IF($NP$21="Single_Point",IF(1=$NR$21,$NN$21,0),IF($NP$21="Bell_Curve",$NN$21*(1-$NR$21+1)*($NS$21-1+1)/$NU$21,$NN$21/$NT$21)),0)</f>
        <v/>
      </c>
      <c r="F21" s="402">
        <f>IF(AND(2&gt;=$NR$21,2&lt;=$NS$21),IF($NP$21="Single_Point",IF(2=$NR$21,$NN$21,0),IF($NP$21="Bell_Curve",$NN$21*(2-$NR$21+1)*($NS$21-2+1)/$NU$21,$NN$21/$NT$21)),0)</f>
        <v/>
      </c>
      <c r="G21" s="402">
        <f>IF(AND(3&gt;=$NR$21,3&lt;=$NS$21),IF($NP$21="Single_Point",IF(3=$NR$21,$NN$21,0),IF($NP$21="Bell_Curve",$NN$21*(3-$NR$21+1)*($NS$21-3+1)/$NU$21,$NN$21/$NT$21)),0)</f>
        <v/>
      </c>
      <c r="H21" s="402">
        <f>IF(AND(4&gt;=$NR$21,4&lt;=$NS$21),IF($NP$21="Single_Point",IF(4=$NR$21,$NN$21,0),IF($NP$21="Bell_Curve",$NN$21*(4-$NR$21+1)*($NS$21-4+1)/$NU$21,$NN$21/$NT$21)),0)</f>
        <v/>
      </c>
      <c r="I21" s="402">
        <f>IF(AND(5&gt;=$NR$21,5&lt;=$NS$21),IF($NP$21="Single_Point",IF(5=$NR$21,$NN$21,0),IF($NP$21="Bell_Curve",$NN$21*(5-$NR$21+1)*($NS$21-5+1)/$NU$21,$NN$21/$NT$21)),0)</f>
        <v/>
      </c>
      <c r="J21" s="402">
        <f>IF(AND(6&gt;=$NR$21,6&lt;=$NS$21),IF($NP$21="Single_Point",IF(6=$NR$21,$NN$21,0),IF($NP$21="Bell_Curve",$NN$21*(6-$NR$21+1)*($NS$21-6+1)/$NU$21,$NN$21/$NT$21)),0)</f>
        <v/>
      </c>
      <c r="K21" s="402">
        <f>IF(AND(7&gt;=$NR$21,7&lt;=$NS$21),IF($NP$21="Single_Point",IF(7=$NR$21,$NN$21,0),IF($NP$21="Bell_Curve",$NN$21*(7-$NR$21+1)*($NS$21-7+1)/$NU$21,$NN$21/$NT$21)),0)</f>
        <v/>
      </c>
      <c r="L21" s="402">
        <f>IF(AND(8&gt;=$NR$21,8&lt;=$NS$21),IF($NP$21="Single_Point",IF(8=$NR$21,$NN$21,0),IF($NP$21="Bell_Curve",$NN$21*(8-$NR$21+1)*($NS$21-8+1)/$NU$21,$NN$21/$NT$21)),0)</f>
        <v/>
      </c>
      <c r="M21" s="402">
        <f>IF(AND(9&gt;=$NR$21,9&lt;=$NS$21),IF($NP$21="Single_Point",IF(9=$NR$21,$NN$21,0),IF($NP$21="Bell_Curve",$NN$21*(9-$NR$21+1)*($NS$21-9+1)/$NU$21,$NN$21/$NT$21)),0)</f>
        <v/>
      </c>
      <c r="N21" s="402">
        <f>IF(AND(10&gt;=$NR$21,10&lt;=$NS$21),IF($NP$21="Single_Point",IF(10=$NR$21,$NN$21,0),IF($NP$21="Bell_Curve",$NN$21*(10-$NR$21+1)*($NS$21-10+1)/$NU$21,$NN$21/$NT$21)),0)</f>
        <v/>
      </c>
      <c r="O21" s="402">
        <f>IF(AND(11&gt;=$NR$21,11&lt;=$NS$21),IF($NP$21="Single_Point",IF(11=$NR$21,$NN$21,0),IF($NP$21="Bell_Curve",$NN$21*(11-$NR$21+1)*($NS$21-11+1)/$NU$21,$NN$21/$NT$21)),0)</f>
        <v/>
      </c>
      <c r="P21" s="402">
        <f>IF(AND(12&gt;=$NR$21,12&lt;=$NS$21),IF($NP$21="Single_Point",IF(12=$NR$21,$NN$21,0),IF($NP$21="Bell_Curve",$NN$21*(12-$NR$21+1)*($NS$21-12+1)/$NU$21,$NN$21/$NT$21)),0)</f>
        <v/>
      </c>
      <c r="Q21" s="402">
        <f>IF(AND(13&gt;=$NR$21,13&lt;=$NS$21),IF($NP$21="Single_Point",IF(13=$NR$21,$NN$21,0),IF($NP$21="Bell_Curve",$NN$21*(13-$NR$21+1)*($NS$21-13+1)/$NU$21,$NN$21/$NT$21)),0)</f>
        <v/>
      </c>
      <c r="R21" s="402">
        <f>IF(AND(14&gt;=$NR$21,14&lt;=$NS$21),IF($NP$21="Single_Point",IF(14=$NR$21,$NN$21,0),IF($NP$21="Bell_Curve",$NN$21*(14-$NR$21+1)*($NS$21-14+1)/$NU$21,$NN$21/$NT$21)),0)</f>
        <v/>
      </c>
      <c r="S21" s="402">
        <f>IF(AND(15&gt;=$NR$21,15&lt;=$NS$21),IF($NP$21="Single_Point",IF(15=$NR$21,$NN$21,0),IF($NP$21="Bell_Curve",$NN$21*(15-$NR$21+1)*($NS$21-15+1)/$NU$21,$NN$21/$NT$21)),0)</f>
        <v/>
      </c>
      <c r="T21" s="402">
        <f>IF(AND(16&gt;=$NR$21,16&lt;=$NS$21),IF($NP$21="Single_Point",IF(16=$NR$21,$NN$21,0),IF($NP$21="Bell_Curve",$NN$21*(16-$NR$21+1)*($NS$21-16+1)/$NU$21,$NN$21/$NT$21)),0)</f>
        <v/>
      </c>
      <c r="U21" s="402">
        <f>IF(AND(17&gt;=$NR$21,17&lt;=$NS$21),IF($NP$21="Single_Point",IF(17=$NR$21,$NN$21,0),IF($NP$21="Bell_Curve",$NN$21*(17-$NR$21+1)*($NS$21-17+1)/$NU$21,$NN$21/$NT$21)),0)</f>
        <v/>
      </c>
      <c r="V21" s="402">
        <f>IF(AND(18&gt;=$NR$21,18&lt;=$NS$21),IF($NP$21="Single_Point",IF(18=$NR$21,$NN$21,0),IF($NP$21="Bell_Curve",$NN$21*(18-$NR$21+1)*($NS$21-18+1)/$NU$21,$NN$21/$NT$21)),0)</f>
        <v/>
      </c>
      <c r="W21" s="402">
        <f>IF(AND(19&gt;=$NR$21,19&lt;=$NS$21),IF($NP$21="Single_Point",IF(19=$NR$21,$NN$21,0),IF($NP$21="Bell_Curve",$NN$21*(19-$NR$21+1)*($NS$21-19+1)/$NU$21,$NN$21/$NT$21)),0)</f>
        <v/>
      </c>
      <c r="X21" s="402">
        <f>IF(AND(20&gt;=$NR$21,20&lt;=$NS$21),IF($NP$21="Single_Point",IF(20=$NR$21,$NN$21,0),IF($NP$21="Bell_Curve",$NN$21*(20-$NR$21+1)*($NS$21-20+1)/$NU$21,$NN$21/$NT$21)),0)</f>
        <v/>
      </c>
      <c r="Y21" s="402">
        <f>IF(AND(21&gt;=$NR$21,21&lt;=$NS$21),IF($NP$21="Single_Point",IF(21=$NR$21,$NN$21,0),IF($NP$21="Bell_Curve",$NN$21*(21-$NR$21+1)*($NS$21-21+1)/$NU$21,$NN$21/$NT$21)),0)</f>
        <v/>
      </c>
      <c r="Z21" s="402">
        <f>IF(AND(22&gt;=$NR$21,22&lt;=$NS$21),IF($NP$21="Single_Point",IF(22=$NR$21,$NN$21,0),IF($NP$21="Bell_Curve",$NN$21*(22-$NR$21+1)*($NS$21-22+1)/$NU$21,$NN$21/$NT$21)),0)</f>
        <v/>
      </c>
      <c r="AA21" s="402">
        <f>IF(AND(23&gt;=$NR$21,23&lt;=$NS$21),IF($NP$21="Single_Point",IF(23=$NR$21,$NN$21,0),IF($NP$21="Bell_Curve",$NN$21*(23-$NR$21+1)*($NS$21-23+1)/$NU$21,$NN$21/$NT$21)),0)</f>
        <v/>
      </c>
      <c r="AB21" s="402">
        <f>IF(AND(24&gt;=$NR$21,24&lt;=$NS$21),IF($NP$21="Single_Point",IF(24=$NR$21,$NN$21,0),IF($NP$21="Bell_Curve",$NN$21*(24-$NR$21+1)*($NS$21-24+1)/$NU$21,$NN$21/$NT$21)),0)</f>
        <v/>
      </c>
      <c r="AC21" s="402">
        <f>IF(AND(25&gt;=$NR$21,25&lt;=$NS$21),IF($NP$21="Single_Point",IF(25=$NR$21,$NN$21,0),IF($NP$21="Bell_Curve",$NN$21*(25-$NR$21+1)*($NS$21-25+1)/$NU$21,$NN$21/$NT$21)),0)</f>
        <v/>
      </c>
      <c r="AD21" s="402">
        <f>IF(AND(26&gt;=$NR$21,26&lt;=$NS$21),IF($NP$21="Single_Point",IF(26=$NR$21,$NN$21,0),IF($NP$21="Bell_Curve",$NN$21*(26-$NR$21+1)*($NS$21-26+1)/$NU$21,$NN$21/$NT$21)),0)</f>
        <v/>
      </c>
      <c r="AE21" s="402">
        <f>IF(AND(27&gt;=$NR$21,27&lt;=$NS$21),IF($NP$21="Single_Point",IF(27=$NR$21,$NN$21,0),IF($NP$21="Bell_Curve",$NN$21*(27-$NR$21+1)*($NS$21-27+1)/$NU$21,$NN$21/$NT$21)),0)</f>
        <v/>
      </c>
      <c r="AF21" s="402">
        <f>IF(AND(28&gt;=$NR$21,28&lt;=$NS$21),IF($NP$21="Single_Point",IF(28=$NR$21,$NN$21,0),IF($NP$21="Bell_Curve",$NN$21*(28-$NR$21+1)*($NS$21-28+1)/$NU$21,$NN$21/$NT$21)),0)</f>
        <v/>
      </c>
      <c r="AG21" s="402">
        <f>IF(AND(29&gt;=$NR$21,29&lt;=$NS$21),IF($NP$21="Single_Point",IF(29=$NR$21,$NN$21,0),IF($NP$21="Bell_Curve",$NN$21*(29-$NR$21+1)*($NS$21-29+1)/$NU$21,$NN$21/$NT$21)),0)</f>
        <v/>
      </c>
      <c r="AH21" s="402">
        <f>IF(AND(30&gt;=$NR$21,30&lt;=$NS$21),IF($NP$21="Single_Point",IF(30=$NR$21,$NN$21,0),IF($NP$21="Bell_Curve",$NN$21*(30-$NR$21+1)*($NS$21-30+1)/$NU$21,$NN$21/$NT$21)),0)</f>
        <v/>
      </c>
      <c r="AI21" s="402">
        <f>IF(AND(31&gt;=$NR$21,31&lt;=$NS$21),IF($NP$21="Single_Point",IF(31=$NR$21,$NN$21,0),IF($NP$21="Bell_Curve",$NN$21*(31-$NR$21+1)*($NS$21-31+1)/$NU$21,$NN$21/$NT$21)),0)</f>
        <v/>
      </c>
      <c r="AJ21" s="402">
        <f>IF(AND(32&gt;=$NR$21,32&lt;=$NS$21),IF($NP$21="Single_Point",IF(32=$NR$21,$NN$21,0),IF($NP$21="Bell_Curve",$NN$21*(32-$NR$21+1)*($NS$21-32+1)/$NU$21,$NN$21/$NT$21)),0)</f>
        <v/>
      </c>
      <c r="AK21" s="402">
        <f>IF(AND(33&gt;=$NR$21,33&lt;=$NS$21),IF($NP$21="Single_Point",IF(33=$NR$21,$NN$21,0),IF($NP$21="Bell_Curve",$NN$21*(33-$NR$21+1)*($NS$21-33+1)/$NU$21,$NN$21/$NT$21)),0)</f>
        <v/>
      </c>
      <c r="AL21" s="402">
        <f>IF(AND(34&gt;=$NR$21,34&lt;=$NS$21),IF($NP$21="Single_Point",IF(34=$NR$21,$NN$21,0),IF($NP$21="Bell_Curve",$NN$21*(34-$NR$21+1)*($NS$21-34+1)/$NU$21,$NN$21/$NT$21)),0)</f>
        <v/>
      </c>
      <c r="AM21" s="402">
        <f>IF(AND(35&gt;=$NR$21,35&lt;=$NS$21),IF($NP$21="Single_Point",IF(35=$NR$21,$NN$21,0),IF($NP$21="Bell_Curve",$NN$21*(35-$NR$21+1)*($NS$21-35+1)/$NU$21,$NN$21/$NT$21)),0)</f>
        <v/>
      </c>
      <c r="AN21" s="402">
        <f>IF(AND(36&gt;=$NR$21,36&lt;=$NS$21),IF($NP$21="Single_Point",IF(36=$NR$21,$NN$21,0),IF($NP$21="Bell_Curve",$NN$21*(36-$NR$21+1)*($NS$21-36+1)/$NU$21,$NN$21/$NT$21)),0)</f>
        <v/>
      </c>
      <c r="AO21" s="402">
        <f>IF(AND(37&gt;=$NR$21,37&lt;=$NS$21),IF($NP$21="Single_Point",IF(37=$NR$21,$NN$21,0),IF($NP$21="Bell_Curve",$NN$21*(37-$NR$21+1)*($NS$21-37+1)/$NU$21,$NN$21/$NT$21)),0)</f>
        <v/>
      </c>
      <c r="AP21" s="402">
        <f>IF(AND(38&gt;=$NR$21,38&lt;=$NS$21),IF($NP$21="Single_Point",IF(38=$NR$21,$NN$21,0),IF($NP$21="Bell_Curve",$NN$21*(38-$NR$21+1)*($NS$21-38+1)/$NU$21,$NN$21/$NT$21)),0)</f>
        <v/>
      </c>
      <c r="AQ21" s="402">
        <f>IF(AND(39&gt;=$NR$21,39&lt;=$NS$21),IF($NP$21="Single_Point",IF(39=$NR$21,$NN$21,0),IF($NP$21="Bell_Curve",$NN$21*(39-$NR$21+1)*($NS$21-39+1)/$NU$21,$NN$21/$NT$21)),0)</f>
        <v/>
      </c>
      <c r="AR21" s="402">
        <f>IF(AND(40&gt;=$NR$21,40&lt;=$NS$21),IF($NP$21="Single_Point",IF(40=$NR$21,$NN$21,0),IF($NP$21="Bell_Curve",$NN$21*(40-$NR$21+1)*($NS$21-40+1)/$NU$21,$NN$21/$NT$21)),0)</f>
        <v/>
      </c>
      <c r="AS21" s="402">
        <f>IF(AND(41&gt;=$NR$21,41&lt;=$NS$21),IF($NP$21="Single_Point",IF(41=$NR$21,$NN$21,0),IF($NP$21="Bell_Curve",$NN$21*(41-$NR$21+1)*($NS$21-41+1)/$NU$21,$NN$21/$NT$21)),0)</f>
        <v/>
      </c>
      <c r="AT21" s="402">
        <f>IF(AND(42&gt;=$NR$21,42&lt;=$NS$21),IF($NP$21="Single_Point",IF(42=$NR$21,$NN$21,0),IF($NP$21="Bell_Curve",$NN$21*(42-$NR$21+1)*($NS$21-42+1)/$NU$21,$NN$21/$NT$21)),0)</f>
        <v/>
      </c>
      <c r="AU21" s="402">
        <f>IF(AND(43&gt;=$NR$21,43&lt;=$NS$21),IF($NP$21="Single_Point",IF(43=$NR$21,$NN$21,0),IF($NP$21="Bell_Curve",$NN$21*(43-$NR$21+1)*($NS$21-43+1)/$NU$21,$NN$21/$NT$21)),0)</f>
        <v/>
      </c>
      <c r="AV21" s="402">
        <f>IF(AND(44&gt;=$NR$21,44&lt;=$NS$21),IF($NP$21="Single_Point",IF(44=$NR$21,$NN$21,0),IF($NP$21="Bell_Curve",$NN$21*(44-$NR$21+1)*($NS$21-44+1)/$NU$21,$NN$21/$NT$21)),0)</f>
        <v/>
      </c>
      <c r="AW21" s="402">
        <f>IF(AND(45&gt;=$NR$21,45&lt;=$NS$21),IF($NP$21="Single_Point",IF(45=$NR$21,$NN$21,0),IF($NP$21="Bell_Curve",$NN$21*(45-$NR$21+1)*($NS$21-45+1)/$NU$21,$NN$21/$NT$21)),0)</f>
        <v/>
      </c>
      <c r="AX21" s="402">
        <f>IF(AND(46&gt;=$NR$21,46&lt;=$NS$21),IF($NP$21="Single_Point",IF(46=$NR$21,$NN$21,0),IF($NP$21="Bell_Curve",$NN$21*(46-$NR$21+1)*($NS$21-46+1)/$NU$21,$NN$21/$NT$21)),0)</f>
        <v/>
      </c>
      <c r="AY21" s="402">
        <f>IF(AND(47&gt;=$NR$21,47&lt;=$NS$21),IF($NP$21="Single_Point",IF(47=$NR$21,$NN$21,0),IF($NP$21="Bell_Curve",$NN$21*(47-$NR$21+1)*($NS$21-47+1)/$NU$21,$NN$21/$NT$21)),0)</f>
        <v/>
      </c>
      <c r="AZ21" s="402">
        <f>IF(AND(48&gt;=$NR$21,48&lt;=$NS$21),IF($NP$21="Single_Point",IF(48=$NR$21,$NN$21,0),IF($NP$21="Bell_Curve",$NN$21*(48-$NR$21+1)*($NS$21-48+1)/$NU$21,$NN$21/$NT$21)),0)</f>
        <v/>
      </c>
      <c r="BA21" s="402">
        <f>IF(AND(49&gt;=$NR$21,49&lt;=$NS$21),IF($NP$21="Single_Point",IF(49=$NR$21,$NN$21,0),IF($NP$21="Bell_Curve",$NN$21*(49-$NR$21+1)*($NS$21-49+1)/$NU$21,$NN$21/$NT$21)),0)</f>
        <v/>
      </c>
      <c r="BB21" s="402">
        <f>IF(AND(50&gt;=$NR$21,50&lt;=$NS$21),IF($NP$21="Single_Point",IF(50=$NR$21,$NN$21,0),IF($NP$21="Bell_Curve",$NN$21*(50-$NR$21+1)*($NS$21-50+1)/$NU$21,$NN$21/$NT$21)),0)</f>
        <v/>
      </c>
      <c r="BC21" s="402">
        <f>IF(AND(51&gt;=$NR$21,51&lt;=$NS$21),IF($NP$21="Single_Point",IF(51=$NR$21,$NN$21,0),IF($NP$21="Bell_Curve",$NN$21*(51-$NR$21+1)*($NS$21-51+1)/$NU$21,$NN$21/$NT$21)),0)</f>
        <v/>
      </c>
      <c r="BD21" s="402">
        <f>IF(AND(52&gt;=$NR$21,52&lt;=$NS$21),IF($NP$21="Single_Point",IF(52=$NR$21,$NN$21,0),IF($NP$21="Bell_Curve",$NN$21*(52-$NR$21+1)*($NS$21-52+1)/$NU$21,$NN$21/$NT$21)),0)</f>
        <v/>
      </c>
      <c r="BE21" s="402">
        <f>IF(AND(53&gt;=$NR$21,53&lt;=$NS$21),IF($NP$21="Single_Point",IF(53=$NR$21,$NN$21,0),IF($NP$21="Bell_Curve",$NN$21*(53-$NR$21+1)*($NS$21-53+1)/$NU$21,$NN$21/$NT$21)),0)</f>
        <v/>
      </c>
      <c r="BF21" s="402">
        <f>IF(AND(54&gt;=$NR$21,54&lt;=$NS$21),IF($NP$21="Single_Point",IF(54=$NR$21,$NN$21,0),IF($NP$21="Bell_Curve",$NN$21*(54-$NR$21+1)*($NS$21-54+1)/$NU$21,$NN$21/$NT$21)),0)</f>
        <v/>
      </c>
      <c r="BG21" s="402">
        <f>IF(AND(55&gt;=$NR$21,55&lt;=$NS$21),IF($NP$21="Single_Point",IF(55=$NR$21,$NN$21,0),IF($NP$21="Bell_Curve",$NN$21*(55-$NR$21+1)*($NS$21-55+1)/$NU$21,$NN$21/$NT$21)),0)</f>
        <v/>
      </c>
      <c r="BH21" s="402">
        <f>IF(AND(56&gt;=$NR$21,56&lt;=$NS$21),IF($NP$21="Single_Point",IF(56=$NR$21,$NN$21,0),IF($NP$21="Bell_Curve",$NN$21*(56-$NR$21+1)*($NS$21-56+1)/$NU$21,$NN$21/$NT$21)),0)</f>
        <v/>
      </c>
      <c r="BI21" s="402">
        <f>IF(AND(57&gt;=$NR$21,57&lt;=$NS$21),IF($NP$21="Single_Point",IF(57=$NR$21,$NN$21,0),IF($NP$21="Bell_Curve",$NN$21*(57-$NR$21+1)*($NS$21-57+1)/$NU$21,$NN$21/$NT$21)),0)</f>
        <v/>
      </c>
      <c r="BJ21" s="402">
        <f>IF(AND(58&gt;=$NR$21,58&lt;=$NS$21),IF($NP$21="Single_Point",IF(58=$NR$21,$NN$21,0),IF($NP$21="Bell_Curve",$NN$21*(58-$NR$21+1)*($NS$21-58+1)/$NU$21,$NN$21/$NT$21)),0)</f>
        <v/>
      </c>
      <c r="BK21" s="402">
        <f>IF(AND(59&gt;=$NR$21,59&lt;=$NS$21),IF($NP$21="Single_Point",IF(59=$NR$21,$NN$21,0),IF($NP$21="Bell_Curve",$NN$21*(59-$NR$21+1)*($NS$21-59+1)/$NU$21,$NN$21/$NT$21)),0)</f>
        <v/>
      </c>
      <c r="BL21" s="402">
        <f>IF(AND(60&gt;=$NR$21,60&lt;=$NS$21),IF($NP$21="Single_Point",IF(60=$NR$21,$NN$21,0),IF($NP$21="Bell_Curve",$NN$21*(60-$NR$21+1)*($NS$21-60+1)/$NU$21,$NN$21/$NT$21)),0)</f>
        <v/>
      </c>
      <c r="BM21" s="402">
        <f>IF(AND(61&gt;=$NR$21,61&lt;=$NS$21),IF($NP$21="Single_Point",IF(61=$NR$21,$NN$21,0),IF($NP$21="Bell_Curve",$NN$21*(61-$NR$21+1)*($NS$21-61+1)/$NU$21,$NN$21/$NT$21)),0)</f>
        <v/>
      </c>
      <c r="BN21" s="402">
        <f>IF(AND(62&gt;=$NR$21,62&lt;=$NS$21),IF($NP$21="Single_Point",IF(62=$NR$21,$NN$21,0),IF($NP$21="Bell_Curve",$NN$21*(62-$NR$21+1)*($NS$21-62+1)/$NU$21,$NN$21/$NT$21)),0)</f>
        <v/>
      </c>
      <c r="BO21" s="402">
        <f>IF(AND(63&gt;=$NR$21,63&lt;=$NS$21),IF($NP$21="Single_Point",IF(63=$NR$21,$NN$21,0),IF($NP$21="Bell_Curve",$NN$21*(63-$NR$21+1)*($NS$21-63+1)/$NU$21,$NN$21/$NT$21)),0)</f>
        <v/>
      </c>
      <c r="BP21" s="402">
        <f>IF(AND(64&gt;=$NR$21,64&lt;=$NS$21),IF($NP$21="Single_Point",IF(64=$NR$21,$NN$21,0),IF($NP$21="Bell_Curve",$NN$21*(64-$NR$21+1)*($NS$21-64+1)/$NU$21,$NN$21/$NT$21)),0)</f>
        <v/>
      </c>
      <c r="BQ21" s="402">
        <f>IF(AND(65&gt;=$NR$21,65&lt;=$NS$21),IF($NP$21="Single_Point",IF(65=$NR$21,$NN$21,0),IF($NP$21="Bell_Curve",$NN$21*(65-$NR$21+1)*($NS$21-65+1)/$NU$21,$NN$21/$NT$21)),0)</f>
        <v/>
      </c>
      <c r="BR21" s="402">
        <f>IF(AND(66&gt;=$NR$21,66&lt;=$NS$21),IF($NP$21="Single_Point",IF(66=$NR$21,$NN$21,0),IF($NP$21="Bell_Curve",$NN$21*(66-$NR$21+1)*($NS$21-66+1)/$NU$21,$NN$21/$NT$21)),0)</f>
        <v/>
      </c>
      <c r="BS21" s="402">
        <f>IF(AND(67&gt;=$NR$21,67&lt;=$NS$21),IF($NP$21="Single_Point",IF(67=$NR$21,$NN$21,0),IF($NP$21="Bell_Curve",$NN$21*(67-$NR$21+1)*($NS$21-67+1)/$NU$21,$NN$21/$NT$21)),0)</f>
        <v/>
      </c>
      <c r="BT21" s="402">
        <f>IF(AND(68&gt;=$NR$21,68&lt;=$NS$21),IF($NP$21="Single_Point",IF(68=$NR$21,$NN$21,0),IF($NP$21="Bell_Curve",$NN$21*(68-$NR$21+1)*($NS$21-68+1)/$NU$21,$NN$21/$NT$21)),0)</f>
        <v/>
      </c>
      <c r="BU21" s="402">
        <f>IF(AND(69&gt;=$NR$21,69&lt;=$NS$21),IF($NP$21="Single_Point",IF(69=$NR$21,$NN$21,0),IF($NP$21="Bell_Curve",$NN$21*(69-$NR$21+1)*($NS$21-69+1)/$NU$21,$NN$21/$NT$21)),0)</f>
        <v/>
      </c>
      <c r="BV21" s="402">
        <f>IF(AND(70&gt;=$NR$21,70&lt;=$NS$21),IF($NP$21="Single_Point",IF(70=$NR$21,$NN$21,0),IF($NP$21="Bell_Curve",$NN$21*(70-$NR$21+1)*($NS$21-70+1)/$NU$21,$NN$21/$NT$21)),0)</f>
        <v/>
      </c>
      <c r="BW21" s="402">
        <f>IF(AND(71&gt;=$NR$21,71&lt;=$NS$21),IF($NP$21="Single_Point",IF(71=$NR$21,$NN$21,0),IF($NP$21="Bell_Curve",$NN$21*(71-$NR$21+1)*($NS$21-71+1)/$NU$21,$NN$21/$NT$21)),0)</f>
        <v/>
      </c>
      <c r="BX21" s="402">
        <f>IF(AND(72&gt;=$NR$21,72&lt;=$NS$21),IF($NP$21="Single_Point",IF(72=$NR$21,$NN$21,0),IF($NP$21="Bell_Curve",$NN$21*(72-$NR$21+1)*($NS$21-72+1)/$NU$21,$NN$21/$NT$21)),0)</f>
        <v/>
      </c>
      <c r="BY21" s="402">
        <f>IF(AND(73&gt;=$NR$21,73&lt;=$NS$21),IF($NP$21="Single_Point",IF(73=$NR$21,$NN$21,0),IF($NP$21="Bell_Curve",$NN$21*(73-$NR$21+1)*($NS$21-73+1)/$NU$21,$NN$21/$NT$21)),0)</f>
        <v/>
      </c>
      <c r="BZ21" s="402">
        <f>IF(AND(74&gt;=$NR$21,74&lt;=$NS$21),IF($NP$21="Single_Point",IF(74=$NR$21,$NN$21,0),IF($NP$21="Bell_Curve",$NN$21*(74-$NR$21+1)*($NS$21-74+1)/$NU$21,$NN$21/$NT$21)),0)</f>
        <v/>
      </c>
      <c r="CA21" s="402">
        <f>IF(AND(75&gt;=$NR$21,75&lt;=$NS$21),IF($NP$21="Single_Point",IF(75=$NR$21,$NN$21,0),IF($NP$21="Bell_Curve",$NN$21*(75-$NR$21+1)*($NS$21-75+1)/$NU$21,$NN$21/$NT$21)),0)</f>
        <v/>
      </c>
      <c r="CB21" s="402">
        <f>IF(AND(76&gt;=$NR$21,76&lt;=$NS$21),IF($NP$21="Single_Point",IF(76=$NR$21,$NN$21,0),IF($NP$21="Bell_Curve",$NN$21*(76-$NR$21+1)*($NS$21-76+1)/$NU$21,$NN$21/$NT$21)),0)</f>
        <v/>
      </c>
      <c r="CC21" s="402">
        <f>IF(AND(77&gt;=$NR$21,77&lt;=$NS$21),IF($NP$21="Single_Point",IF(77=$NR$21,$NN$21,0),IF($NP$21="Bell_Curve",$NN$21*(77-$NR$21+1)*($NS$21-77+1)/$NU$21,$NN$21/$NT$21)),0)</f>
        <v/>
      </c>
      <c r="CD21" s="402">
        <f>IF(AND(78&gt;=$NR$21,78&lt;=$NS$21),IF($NP$21="Single_Point",IF(78=$NR$21,$NN$21,0),IF($NP$21="Bell_Curve",$NN$21*(78-$NR$21+1)*($NS$21-78+1)/$NU$21,$NN$21/$NT$21)),0)</f>
        <v/>
      </c>
      <c r="CE21" s="402">
        <f>IF(AND(79&gt;=$NR$21,79&lt;=$NS$21),IF($NP$21="Single_Point",IF(79=$NR$21,$NN$21,0),IF($NP$21="Bell_Curve",$NN$21*(79-$NR$21+1)*($NS$21-79+1)/$NU$21,$NN$21/$NT$21)),0)</f>
        <v/>
      </c>
      <c r="CF21" s="402">
        <f>IF(AND(80&gt;=$NR$21,80&lt;=$NS$21),IF($NP$21="Single_Point",IF(80=$NR$21,$NN$21,0),IF($NP$21="Bell_Curve",$NN$21*(80-$NR$21+1)*($NS$21-80+1)/$NU$21,$NN$21/$NT$21)),0)</f>
        <v/>
      </c>
      <c r="CG21" s="402">
        <f>IF(AND(81&gt;=$NR$21,81&lt;=$NS$21),IF($NP$21="Single_Point",IF(81=$NR$21,$NN$21,0),IF($NP$21="Bell_Curve",$NN$21*(81-$NR$21+1)*($NS$21-81+1)/$NU$21,$NN$21/$NT$21)),0)</f>
        <v/>
      </c>
      <c r="CH21" s="402">
        <f>IF(AND(82&gt;=$NR$21,82&lt;=$NS$21),IF($NP$21="Single_Point",IF(82=$NR$21,$NN$21,0),IF($NP$21="Bell_Curve",$NN$21*(82-$NR$21+1)*($NS$21-82+1)/$NU$21,$NN$21/$NT$21)),0)</f>
        <v/>
      </c>
      <c r="CI21" s="402">
        <f>IF(AND(83&gt;=$NR$21,83&lt;=$NS$21),IF($NP$21="Single_Point",IF(83=$NR$21,$NN$21,0),IF($NP$21="Bell_Curve",$NN$21*(83-$NR$21+1)*($NS$21-83+1)/$NU$21,$NN$21/$NT$21)),0)</f>
        <v/>
      </c>
      <c r="CJ21" s="402">
        <f>IF(AND(84&gt;=$NR$21,84&lt;=$NS$21),IF($NP$21="Single_Point",IF(84=$NR$21,$NN$21,0),IF($NP$21="Bell_Curve",$NN$21*(84-$NR$21+1)*($NS$21-84+1)/$NU$21,$NN$21/$NT$21)),0)</f>
        <v/>
      </c>
      <c r="CK21" s="402">
        <f>IF(AND(85&gt;=$NR$21,85&lt;=$NS$21),IF($NP$21="Single_Point",IF(85=$NR$21,$NN$21,0),IF($NP$21="Bell_Curve",$NN$21*(85-$NR$21+1)*($NS$21-85+1)/$NU$21,$NN$21/$NT$21)),0)</f>
        <v/>
      </c>
      <c r="CL21" s="402">
        <f>IF(AND(86&gt;=$NR$21,86&lt;=$NS$21),IF($NP$21="Single_Point",IF(86=$NR$21,$NN$21,0),IF($NP$21="Bell_Curve",$NN$21*(86-$NR$21+1)*($NS$21-86+1)/$NU$21,$NN$21/$NT$21)),0)</f>
        <v/>
      </c>
      <c r="CM21" s="402">
        <f>IF(AND(87&gt;=$NR$21,87&lt;=$NS$21),IF($NP$21="Single_Point",IF(87=$NR$21,$NN$21,0),IF($NP$21="Bell_Curve",$NN$21*(87-$NR$21+1)*($NS$21-87+1)/$NU$21,$NN$21/$NT$21)),0)</f>
        <v/>
      </c>
      <c r="CN21" s="402">
        <f>IF(AND(88&gt;=$NR$21,88&lt;=$NS$21),IF($NP$21="Single_Point",IF(88=$NR$21,$NN$21,0),IF($NP$21="Bell_Curve",$NN$21*(88-$NR$21+1)*($NS$21-88+1)/$NU$21,$NN$21/$NT$21)),0)</f>
        <v/>
      </c>
      <c r="CO21" s="402">
        <f>IF(AND(89&gt;=$NR$21,89&lt;=$NS$21),IF($NP$21="Single_Point",IF(89=$NR$21,$NN$21,0),IF($NP$21="Bell_Curve",$NN$21*(89-$NR$21+1)*($NS$21-89+1)/$NU$21,$NN$21/$NT$21)),0)</f>
        <v/>
      </c>
      <c r="CP21" s="402">
        <f>IF(AND(90&gt;=$NR$21,90&lt;=$NS$21),IF($NP$21="Single_Point",IF(90=$NR$21,$NN$21,0),IF($NP$21="Bell_Curve",$NN$21*(90-$NR$21+1)*($NS$21-90+1)/$NU$21,$NN$21/$NT$21)),0)</f>
        <v/>
      </c>
      <c r="CQ21" s="402">
        <f>IF(AND(91&gt;=$NR$21,91&lt;=$NS$21),IF($NP$21="Single_Point",IF(91=$NR$21,$NN$21,0),IF($NP$21="Bell_Curve",$NN$21*(91-$NR$21+1)*($NS$21-91+1)/$NU$21,$NN$21/$NT$21)),0)</f>
        <v/>
      </c>
      <c r="CR21" s="402">
        <f>IF(AND(92&gt;=$NR$21,92&lt;=$NS$21),IF($NP$21="Single_Point",IF(92=$NR$21,$NN$21,0),IF($NP$21="Bell_Curve",$NN$21*(92-$NR$21+1)*($NS$21-92+1)/$NU$21,$NN$21/$NT$21)),0)</f>
        <v/>
      </c>
      <c r="CS21" s="402">
        <f>IF(AND(93&gt;=$NR$21,93&lt;=$NS$21),IF($NP$21="Single_Point",IF(93=$NR$21,$NN$21,0),IF($NP$21="Bell_Curve",$NN$21*(93-$NR$21+1)*($NS$21-93+1)/$NU$21,$NN$21/$NT$21)),0)</f>
        <v/>
      </c>
      <c r="CT21" s="402">
        <f>IF(AND(94&gt;=$NR$21,94&lt;=$NS$21),IF($NP$21="Single_Point",IF(94=$NR$21,$NN$21,0),IF($NP$21="Bell_Curve",$NN$21*(94-$NR$21+1)*($NS$21-94+1)/$NU$21,$NN$21/$NT$21)),0)</f>
        <v/>
      </c>
      <c r="CU21" s="402">
        <f>IF(AND(95&gt;=$NR$21,95&lt;=$NS$21),IF($NP$21="Single_Point",IF(95=$NR$21,$NN$21,0),IF($NP$21="Bell_Curve",$NN$21*(95-$NR$21+1)*($NS$21-95+1)/$NU$21,$NN$21/$NT$21)),0)</f>
        <v/>
      </c>
      <c r="CV21" s="402">
        <f>IF(AND(96&gt;=$NR$21,96&lt;=$NS$21),IF($NP$21="Single_Point",IF(96=$NR$21,$NN$21,0),IF($NP$21="Bell_Curve",$NN$21*(96-$NR$21+1)*($NS$21-96+1)/$NU$21,$NN$21/$NT$21)),0)</f>
        <v/>
      </c>
      <c r="CW21" s="402">
        <f>IF(AND(97&gt;=$NR$21,97&lt;=$NS$21),IF($NP$21="Single_Point",IF(97=$NR$21,$NN$21,0),IF($NP$21="Bell_Curve",$NN$21*(97-$NR$21+1)*($NS$21-97+1)/$NU$21,$NN$21/$NT$21)),0)</f>
        <v/>
      </c>
      <c r="CX21" s="402">
        <f>IF(AND(98&gt;=$NR$21,98&lt;=$NS$21),IF($NP$21="Single_Point",IF(98=$NR$21,$NN$21,0),IF($NP$21="Bell_Curve",$NN$21*(98-$NR$21+1)*($NS$21-98+1)/$NU$21,$NN$21/$NT$21)),0)</f>
        <v/>
      </c>
      <c r="CY21" s="402">
        <f>IF(AND(99&gt;=$NR$21,99&lt;=$NS$21),IF($NP$21="Single_Point",IF(99=$NR$21,$NN$21,0),IF($NP$21="Bell_Curve",$NN$21*(99-$NR$21+1)*($NS$21-99+1)/$NU$21,$NN$21/$NT$21)),0)</f>
        <v/>
      </c>
      <c r="CZ21" s="402">
        <f>IF(AND(100&gt;=$NR$21,100&lt;=$NS$21),IF($NP$21="Single_Point",IF(100=$NR$21,$NN$21,0),IF($NP$21="Bell_Curve",$NN$21*(100-$NR$21+1)*($NS$21-100+1)/$NU$21,$NN$21/$NT$21)),0)</f>
        <v/>
      </c>
      <c r="DA21" s="402">
        <f>IF(AND(101&gt;=$NR$21,101&lt;=$NS$21),IF($NP$21="Single_Point",IF(101=$NR$21,$NN$21,0),IF($NP$21="Bell_Curve",$NN$21*(101-$NR$21+1)*($NS$21-101+1)/$NU$21,$NN$21/$NT$21)),0)</f>
        <v/>
      </c>
      <c r="DB21" s="402">
        <f>IF(AND(102&gt;=$NR$21,102&lt;=$NS$21),IF($NP$21="Single_Point",IF(102=$NR$21,$NN$21,0),IF($NP$21="Bell_Curve",$NN$21*(102-$NR$21+1)*($NS$21-102+1)/$NU$21,$NN$21/$NT$21)),0)</f>
        <v/>
      </c>
      <c r="DC21" s="402">
        <f>IF(AND(103&gt;=$NR$21,103&lt;=$NS$21),IF($NP$21="Single_Point",IF(103=$NR$21,$NN$21,0),IF($NP$21="Bell_Curve",$NN$21*(103-$NR$21+1)*($NS$21-103+1)/$NU$21,$NN$21/$NT$21)),0)</f>
        <v/>
      </c>
      <c r="DD21" s="402">
        <f>IF(AND(104&gt;=$NR$21,104&lt;=$NS$21),IF($NP$21="Single_Point",IF(104=$NR$21,$NN$21,0),IF($NP$21="Bell_Curve",$NN$21*(104-$NR$21+1)*($NS$21-104+1)/$NU$21,$NN$21/$NT$21)),0)</f>
        <v/>
      </c>
      <c r="DE21" s="402">
        <f>IF(AND(105&gt;=$NR$21,105&lt;=$NS$21),IF($NP$21="Single_Point",IF(105=$NR$21,$NN$21,0),IF($NP$21="Bell_Curve",$NN$21*(105-$NR$21+1)*($NS$21-105+1)/$NU$21,$NN$21/$NT$21)),0)</f>
        <v/>
      </c>
      <c r="DF21" s="402">
        <f>IF(AND(106&gt;=$NR$21,106&lt;=$NS$21),IF($NP$21="Single_Point",IF(106=$NR$21,$NN$21,0),IF($NP$21="Bell_Curve",$NN$21*(106-$NR$21+1)*($NS$21-106+1)/$NU$21,$NN$21/$NT$21)),0)</f>
        <v/>
      </c>
      <c r="DG21" s="402">
        <f>IF(AND(107&gt;=$NR$21,107&lt;=$NS$21),IF($NP$21="Single_Point",IF(107=$NR$21,$NN$21,0),IF($NP$21="Bell_Curve",$NN$21*(107-$NR$21+1)*($NS$21-107+1)/$NU$21,$NN$21/$NT$21)),0)</f>
        <v/>
      </c>
      <c r="DH21" s="402">
        <f>IF(AND(108&gt;=$NR$21,108&lt;=$NS$21),IF($NP$21="Single_Point",IF(108=$NR$21,$NN$21,0),IF($NP$21="Bell_Curve",$NN$21*(108-$NR$21+1)*($NS$21-108+1)/$NU$21,$NN$21/$NT$21)),0)</f>
        <v/>
      </c>
      <c r="DI21" s="402">
        <f>IF(AND(109&gt;=$NR$21,109&lt;=$NS$21),IF($NP$21="Single_Point",IF(109=$NR$21,$NN$21,0),IF($NP$21="Bell_Curve",$NN$21*(109-$NR$21+1)*($NS$21-109+1)/$NU$21,$NN$21/$NT$21)),0)</f>
        <v/>
      </c>
      <c r="DJ21" s="402">
        <f>IF(AND(110&gt;=$NR$21,110&lt;=$NS$21),IF($NP$21="Single_Point",IF(110=$NR$21,$NN$21,0),IF($NP$21="Bell_Curve",$NN$21*(110-$NR$21+1)*($NS$21-110+1)/$NU$21,$NN$21/$NT$21)),0)</f>
        <v/>
      </c>
      <c r="DK21" s="402">
        <f>IF(AND(111&gt;=$NR$21,111&lt;=$NS$21),IF($NP$21="Single_Point",IF(111=$NR$21,$NN$21,0),IF($NP$21="Bell_Curve",$NN$21*(111-$NR$21+1)*($NS$21-111+1)/$NU$21,$NN$21/$NT$21)),0)</f>
        <v/>
      </c>
      <c r="DL21" s="402">
        <f>IF(AND(112&gt;=$NR$21,112&lt;=$NS$21),IF($NP$21="Single_Point",IF(112=$NR$21,$NN$21,0),IF($NP$21="Bell_Curve",$NN$21*(112-$NR$21+1)*($NS$21-112+1)/$NU$21,$NN$21/$NT$21)),0)</f>
        <v/>
      </c>
      <c r="DM21" s="402">
        <f>IF(AND(113&gt;=$NR$21,113&lt;=$NS$21),IF($NP$21="Single_Point",IF(113=$NR$21,$NN$21,0),IF($NP$21="Bell_Curve",$NN$21*(113-$NR$21+1)*($NS$21-113+1)/$NU$21,$NN$21/$NT$21)),0)</f>
        <v/>
      </c>
      <c r="DN21" s="402">
        <f>IF(AND(114&gt;=$NR$21,114&lt;=$NS$21),IF($NP$21="Single_Point",IF(114=$NR$21,$NN$21,0),IF($NP$21="Bell_Curve",$NN$21*(114-$NR$21+1)*($NS$21-114+1)/$NU$21,$NN$21/$NT$21)),0)</f>
        <v/>
      </c>
      <c r="DO21" s="402">
        <f>IF(AND(115&gt;=$NR$21,115&lt;=$NS$21),IF($NP$21="Single_Point",IF(115=$NR$21,$NN$21,0),IF($NP$21="Bell_Curve",$NN$21*(115-$NR$21+1)*($NS$21-115+1)/$NU$21,$NN$21/$NT$21)),0)</f>
        <v/>
      </c>
      <c r="DP21" s="402">
        <f>IF(AND(116&gt;=$NR$21,116&lt;=$NS$21),IF($NP$21="Single_Point",IF(116=$NR$21,$NN$21,0),IF($NP$21="Bell_Curve",$NN$21*(116-$NR$21+1)*($NS$21-116+1)/$NU$21,$NN$21/$NT$21)),0)</f>
        <v/>
      </c>
      <c r="DQ21" s="402">
        <f>IF(AND(117&gt;=$NR$21,117&lt;=$NS$21),IF($NP$21="Single_Point",IF(117=$NR$21,$NN$21,0),IF($NP$21="Bell_Curve",$NN$21*(117-$NR$21+1)*($NS$21-117+1)/$NU$21,$NN$21/$NT$21)),0)</f>
        <v/>
      </c>
      <c r="DR21" s="402">
        <f>IF(AND(118&gt;=$NR$21,118&lt;=$NS$21),IF($NP$21="Single_Point",IF(118=$NR$21,$NN$21,0),IF($NP$21="Bell_Curve",$NN$21*(118-$NR$21+1)*($NS$21-118+1)/$NU$21,$NN$21/$NT$21)),0)</f>
        <v/>
      </c>
      <c r="DS21" s="402">
        <f>IF(AND(119&gt;=$NR$21,119&lt;=$NS$21),IF($NP$21="Single_Point",IF(119=$NR$21,$NN$21,0),IF($NP$21="Bell_Curve",$NN$21*(119-$NR$21+1)*($NS$21-119+1)/$NU$21,$NN$21/$NT$21)),0)</f>
        <v/>
      </c>
      <c r="DT21" s="402">
        <f>IF(AND(120&gt;=$NR$21,120&lt;=$NS$21),IF($NP$21="Single_Point",IF(120=$NR$21,$NN$21,0),IF($NP$21="Bell_Curve",$NN$21*(120-$NR$21+1)*($NS$21-120+1)/$NU$21,$NN$21/$NT$21)),0)</f>
        <v/>
      </c>
      <c r="DU21" s="402">
        <f>IF(AND(121&gt;=$NR$21,121&lt;=$NS$21),IF($NP$21="Single_Point",IF(121=$NR$21,$NN$21,0),IF($NP$21="Bell_Curve",$NN$21*(121-$NR$21+1)*($NS$21-121+1)/$NU$21,$NN$21/$NT$21)),0)</f>
        <v/>
      </c>
      <c r="DV21" s="402">
        <f>IF(AND(122&gt;=$NR$21,122&lt;=$NS$21),IF($NP$21="Single_Point",IF(122=$NR$21,$NN$21,0),IF($NP$21="Bell_Curve",$NN$21*(122-$NR$21+1)*($NS$21-122+1)/$NU$21,$NN$21/$NT$21)),0)</f>
        <v/>
      </c>
      <c r="DW21" s="402">
        <f>IF(AND(123&gt;=$NR$21,123&lt;=$NS$21),IF($NP$21="Single_Point",IF(123=$NR$21,$NN$21,0),IF($NP$21="Bell_Curve",$NN$21*(123-$NR$21+1)*($NS$21-123+1)/$NU$21,$NN$21/$NT$21)),0)</f>
        <v/>
      </c>
      <c r="DX21" s="402">
        <f>IF(AND(124&gt;=$NR$21,124&lt;=$NS$21),IF($NP$21="Single_Point",IF(124=$NR$21,$NN$21,0),IF($NP$21="Bell_Curve",$NN$21*(124-$NR$21+1)*($NS$21-124+1)/$NU$21,$NN$21/$NT$21)),0)</f>
        <v/>
      </c>
      <c r="DY21" s="402">
        <f>IF(AND(125&gt;=$NR$21,125&lt;=$NS$21),IF($NP$21="Single_Point",IF(125=$NR$21,$NN$21,0),IF($NP$21="Bell_Curve",$NN$21*(125-$NR$21+1)*($NS$21-125+1)/$NU$21,$NN$21/$NT$21)),0)</f>
        <v/>
      </c>
      <c r="DZ21" s="402">
        <f>IF(AND(126&gt;=$NR$21,126&lt;=$NS$21),IF($NP$21="Single_Point",IF(126=$NR$21,$NN$21,0),IF($NP$21="Bell_Curve",$NN$21*(126-$NR$21+1)*($NS$21-126+1)/$NU$21,$NN$21/$NT$21)),0)</f>
        <v/>
      </c>
      <c r="EA21" s="402">
        <f>IF(AND(127&gt;=$NR$21,127&lt;=$NS$21),IF($NP$21="Single_Point",IF(127=$NR$21,$NN$21,0),IF($NP$21="Bell_Curve",$NN$21*(127-$NR$21+1)*($NS$21-127+1)/$NU$21,$NN$21/$NT$21)),0)</f>
        <v/>
      </c>
      <c r="EB21" s="402">
        <f>IF(AND(128&gt;=$NR$21,128&lt;=$NS$21),IF($NP$21="Single_Point",IF(128=$NR$21,$NN$21,0),IF($NP$21="Bell_Curve",$NN$21*(128-$NR$21+1)*($NS$21-128+1)/$NU$21,$NN$21/$NT$21)),0)</f>
        <v/>
      </c>
      <c r="EC21" s="402">
        <f>IF(AND(129&gt;=$NR$21,129&lt;=$NS$21),IF($NP$21="Single_Point",IF(129=$NR$21,$NN$21,0),IF($NP$21="Bell_Curve",$NN$21*(129-$NR$21+1)*($NS$21-129+1)/$NU$21,$NN$21/$NT$21)),0)</f>
        <v/>
      </c>
      <c r="ED21" s="402">
        <f>IF(AND(130&gt;=$NR$21,130&lt;=$NS$21),IF($NP$21="Single_Point",IF(130=$NR$21,$NN$21,0),IF($NP$21="Bell_Curve",$NN$21*(130-$NR$21+1)*($NS$21-130+1)/$NU$21,$NN$21/$NT$21)),0)</f>
        <v/>
      </c>
      <c r="EE21" s="402">
        <f>IF(AND(131&gt;=$NR$21,131&lt;=$NS$21),IF($NP$21="Single_Point",IF(131=$NR$21,$NN$21,0),IF($NP$21="Bell_Curve",$NN$21*(131-$NR$21+1)*($NS$21-131+1)/$NU$21,$NN$21/$NT$21)),0)</f>
        <v/>
      </c>
      <c r="EF21" s="402">
        <f>IF(AND(132&gt;=$NR$21,132&lt;=$NS$21),IF($NP$21="Single_Point",IF(132=$NR$21,$NN$21,0),IF($NP$21="Bell_Curve",$NN$21*(132-$NR$21+1)*($NS$21-132+1)/$NU$21,$NN$21/$NT$21)),0)</f>
        <v/>
      </c>
      <c r="EG21" s="402">
        <f>IF(AND(133&gt;=$NR$21,133&lt;=$NS$21),IF($NP$21="Single_Point",IF(133=$NR$21,$NN$21,0),IF($NP$21="Bell_Curve",$NN$21*(133-$NR$21+1)*($NS$21-133+1)/$NU$21,$NN$21/$NT$21)),0)</f>
        <v/>
      </c>
      <c r="EH21" s="402">
        <f>IF(AND(134&gt;=$NR$21,134&lt;=$NS$21),IF($NP$21="Single_Point",IF(134=$NR$21,$NN$21,0),IF($NP$21="Bell_Curve",$NN$21*(134-$NR$21+1)*($NS$21-134+1)/$NU$21,$NN$21/$NT$21)),0)</f>
        <v/>
      </c>
      <c r="EI21" s="402">
        <f>IF(AND(135&gt;=$NR$21,135&lt;=$NS$21),IF($NP$21="Single_Point",IF(135=$NR$21,$NN$21,0),IF($NP$21="Bell_Curve",$NN$21*(135-$NR$21+1)*($NS$21-135+1)/$NU$21,$NN$21/$NT$21)),0)</f>
        <v/>
      </c>
      <c r="EJ21" s="402">
        <f>IF(AND(136&gt;=$NR$21,136&lt;=$NS$21),IF($NP$21="Single_Point",IF(136=$NR$21,$NN$21,0),IF($NP$21="Bell_Curve",$NN$21*(136-$NR$21+1)*($NS$21-136+1)/$NU$21,$NN$21/$NT$21)),0)</f>
        <v/>
      </c>
      <c r="EK21" s="402">
        <f>IF(AND(137&gt;=$NR$21,137&lt;=$NS$21),IF($NP$21="Single_Point",IF(137=$NR$21,$NN$21,0),IF($NP$21="Bell_Curve",$NN$21*(137-$NR$21+1)*($NS$21-137+1)/$NU$21,$NN$21/$NT$21)),0)</f>
        <v/>
      </c>
      <c r="EL21" s="402">
        <f>IF(AND(138&gt;=$NR$21,138&lt;=$NS$21),IF($NP$21="Single_Point",IF(138=$NR$21,$NN$21,0),IF($NP$21="Bell_Curve",$NN$21*(138-$NR$21+1)*($NS$21-138+1)/$NU$21,$NN$21/$NT$21)),0)</f>
        <v/>
      </c>
      <c r="EM21" s="402">
        <f>IF(AND(139&gt;=$NR$21,139&lt;=$NS$21),IF($NP$21="Single_Point",IF(139=$NR$21,$NN$21,0),IF($NP$21="Bell_Curve",$NN$21*(139-$NR$21+1)*($NS$21-139+1)/$NU$21,$NN$21/$NT$21)),0)</f>
        <v/>
      </c>
      <c r="EN21" s="402">
        <f>IF(AND(140&gt;=$NR$21,140&lt;=$NS$21),IF($NP$21="Single_Point",IF(140=$NR$21,$NN$21,0),IF($NP$21="Bell_Curve",$NN$21*(140-$NR$21+1)*($NS$21-140+1)/$NU$21,$NN$21/$NT$21)),0)</f>
        <v/>
      </c>
      <c r="EO21" s="402">
        <f>IF(AND(141&gt;=$NR$21,141&lt;=$NS$21),IF($NP$21="Single_Point",IF(141=$NR$21,$NN$21,0),IF($NP$21="Bell_Curve",$NN$21*(141-$NR$21+1)*($NS$21-141+1)/$NU$21,$NN$21/$NT$21)),0)</f>
        <v/>
      </c>
      <c r="EP21" s="402">
        <f>IF(AND(142&gt;=$NR$21,142&lt;=$NS$21),IF($NP$21="Single_Point",IF(142=$NR$21,$NN$21,0),IF($NP$21="Bell_Curve",$NN$21*(142-$NR$21+1)*($NS$21-142+1)/$NU$21,$NN$21/$NT$21)),0)</f>
        <v/>
      </c>
      <c r="EQ21" s="402">
        <f>IF(AND(143&gt;=$NR$21,143&lt;=$NS$21),IF($NP$21="Single_Point",IF(143=$NR$21,$NN$21,0),IF($NP$21="Bell_Curve",$NN$21*(143-$NR$21+1)*($NS$21-143+1)/$NU$21,$NN$21/$NT$21)),0)</f>
        <v/>
      </c>
      <c r="ER21" s="402">
        <f>IF(AND(144&gt;=$NR$21,144&lt;=$NS$21),IF($NP$21="Single_Point",IF(144=$NR$21,$NN$21,0),IF($NP$21="Bell_Curve",$NN$21*(144-$NR$21+1)*($NS$21-144+1)/$NU$21,$NN$21/$NT$21)),0)</f>
        <v/>
      </c>
      <c r="ES21" s="402">
        <f>IF(AND(145&gt;=$NR$21,145&lt;=$NS$21),IF($NP$21="Single_Point",IF(145=$NR$21,$NN$21,0),IF($NP$21="Bell_Curve",$NN$21*(145-$NR$21+1)*($NS$21-145+1)/$NU$21,$NN$21/$NT$21)),0)</f>
        <v/>
      </c>
      <c r="ET21" s="402">
        <f>IF(AND(146&gt;=$NR$21,146&lt;=$NS$21),IF($NP$21="Single_Point",IF(146=$NR$21,$NN$21,0),IF($NP$21="Bell_Curve",$NN$21*(146-$NR$21+1)*($NS$21-146+1)/$NU$21,$NN$21/$NT$21)),0)</f>
        <v/>
      </c>
      <c r="EU21" s="402">
        <f>IF(AND(147&gt;=$NR$21,147&lt;=$NS$21),IF($NP$21="Single_Point",IF(147=$NR$21,$NN$21,0),IF($NP$21="Bell_Curve",$NN$21*(147-$NR$21+1)*($NS$21-147+1)/$NU$21,$NN$21/$NT$21)),0)</f>
        <v/>
      </c>
      <c r="EV21" s="402">
        <f>IF(AND(148&gt;=$NR$21,148&lt;=$NS$21),IF($NP$21="Single_Point",IF(148=$NR$21,$NN$21,0),IF($NP$21="Bell_Curve",$NN$21*(148-$NR$21+1)*($NS$21-148+1)/$NU$21,$NN$21/$NT$21)),0)</f>
        <v/>
      </c>
      <c r="EW21" s="402">
        <f>IF(AND(149&gt;=$NR$21,149&lt;=$NS$21),IF($NP$21="Single_Point",IF(149=$NR$21,$NN$21,0),IF($NP$21="Bell_Curve",$NN$21*(149-$NR$21+1)*($NS$21-149+1)/$NU$21,$NN$21/$NT$21)),0)</f>
        <v/>
      </c>
      <c r="EX21" s="402">
        <f>IF(AND(150&gt;=$NR$21,150&lt;=$NS$21),IF($NP$21="Single_Point",IF(150=$NR$21,$NN$21,0),IF($NP$21="Bell_Curve",$NN$21*(150-$NR$21+1)*($NS$21-150+1)/$NU$21,$NN$21/$NT$21)),0)</f>
        <v/>
      </c>
      <c r="EY21" s="402">
        <f>IF(AND(151&gt;=$NR$21,151&lt;=$NS$21),IF($NP$21="Single_Point",IF(151=$NR$21,$NN$21,0),IF($NP$21="Bell_Curve",$NN$21*(151-$NR$21+1)*($NS$21-151+1)/$NU$21,$NN$21/$NT$21)),0)</f>
        <v/>
      </c>
      <c r="EZ21" s="402">
        <f>IF(AND(152&gt;=$NR$21,152&lt;=$NS$21),IF($NP$21="Single_Point",IF(152=$NR$21,$NN$21,0),IF($NP$21="Bell_Curve",$NN$21*(152-$NR$21+1)*($NS$21-152+1)/$NU$21,$NN$21/$NT$21)),0)</f>
        <v/>
      </c>
      <c r="FA21" s="402">
        <f>IF(AND(153&gt;=$NR$21,153&lt;=$NS$21),IF($NP$21="Single_Point",IF(153=$NR$21,$NN$21,0),IF($NP$21="Bell_Curve",$NN$21*(153-$NR$21+1)*($NS$21-153+1)/$NU$21,$NN$21/$NT$21)),0)</f>
        <v/>
      </c>
      <c r="FB21" s="402">
        <f>IF(AND(154&gt;=$NR$21,154&lt;=$NS$21),IF($NP$21="Single_Point",IF(154=$NR$21,$NN$21,0),IF($NP$21="Bell_Curve",$NN$21*(154-$NR$21+1)*($NS$21-154+1)/$NU$21,$NN$21/$NT$21)),0)</f>
        <v/>
      </c>
      <c r="FC21" s="402">
        <f>IF(AND(155&gt;=$NR$21,155&lt;=$NS$21),IF($NP$21="Single_Point",IF(155=$NR$21,$NN$21,0),IF($NP$21="Bell_Curve",$NN$21*(155-$NR$21+1)*($NS$21-155+1)/$NU$21,$NN$21/$NT$21)),0)</f>
        <v/>
      </c>
      <c r="FD21" s="402">
        <f>IF(AND(156&gt;=$NR$21,156&lt;=$NS$21),IF($NP$21="Single_Point",IF(156=$NR$21,$NN$21,0),IF($NP$21="Bell_Curve",$NN$21*(156-$NR$21+1)*($NS$21-156+1)/$NU$21,$NN$21/$NT$21)),0)</f>
        <v/>
      </c>
      <c r="FE21" s="402">
        <f>IF(AND(157&gt;=$NR$21,157&lt;=$NS$21),IF($NP$21="Single_Point",IF(157=$NR$21,$NN$21,0),IF($NP$21="Bell_Curve",$NN$21*(157-$NR$21+1)*($NS$21-157+1)/$NU$21,$NN$21/$NT$21)),0)</f>
        <v/>
      </c>
      <c r="FF21" s="402">
        <f>IF(AND(158&gt;=$NR$21,158&lt;=$NS$21),IF($NP$21="Single_Point",IF(158=$NR$21,$NN$21,0),IF($NP$21="Bell_Curve",$NN$21*(158-$NR$21+1)*($NS$21-158+1)/$NU$21,$NN$21/$NT$21)),0)</f>
        <v/>
      </c>
      <c r="FG21" s="402">
        <f>IF(AND(159&gt;=$NR$21,159&lt;=$NS$21),IF($NP$21="Single_Point",IF(159=$NR$21,$NN$21,0),IF($NP$21="Bell_Curve",$NN$21*(159-$NR$21+1)*($NS$21-159+1)/$NU$21,$NN$21/$NT$21)),0)</f>
        <v/>
      </c>
      <c r="FH21" s="402">
        <f>IF(AND(160&gt;=$NR$21,160&lt;=$NS$21),IF($NP$21="Single_Point",IF(160=$NR$21,$NN$21,0),IF($NP$21="Bell_Curve",$NN$21*(160-$NR$21+1)*($NS$21-160+1)/$NU$21,$NN$21/$NT$21)),0)</f>
        <v/>
      </c>
      <c r="FI21" s="402">
        <f>IF(AND(161&gt;=$NR$21,161&lt;=$NS$21),IF($NP$21="Single_Point",IF(161=$NR$21,$NN$21,0),IF($NP$21="Bell_Curve",$NN$21*(161-$NR$21+1)*($NS$21-161+1)/$NU$21,$NN$21/$NT$21)),0)</f>
        <v/>
      </c>
      <c r="FJ21" s="402">
        <f>IF(AND(162&gt;=$NR$21,162&lt;=$NS$21),IF($NP$21="Single_Point",IF(162=$NR$21,$NN$21,0),IF($NP$21="Bell_Curve",$NN$21*(162-$NR$21+1)*($NS$21-162+1)/$NU$21,$NN$21/$NT$21)),0)</f>
        <v/>
      </c>
      <c r="FK21" s="402">
        <f>IF(AND(163&gt;=$NR$21,163&lt;=$NS$21),IF($NP$21="Single_Point",IF(163=$NR$21,$NN$21,0),IF($NP$21="Bell_Curve",$NN$21*(163-$NR$21+1)*($NS$21-163+1)/$NU$21,$NN$21/$NT$21)),0)</f>
        <v/>
      </c>
      <c r="FL21" s="402">
        <f>IF(AND(164&gt;=$NR$21,164&lt;=$NS$21),IF($NP$21="Single_Point",IF(164=$NR$21,$NN$21,0),IF($NP$21="Bell_Curve",$NN$21*(164-$NR$21+1)*($NS$21-164+1)/$NU$21,$NN$21/$NT$21)),0)</f>
        <v/>
      </c>
      <c r="FM21" s="402">
        <f>IF(AND(165&gt;=$NR$21,165&lt;=$NS$21),IF($NP$21="Single_Point",IF(165=$NR$21,$NN$21,0),IF($NP$21="Bell_Curve",$NN$21*(165-$NR$21+1)*($NS$21-165+1)/$NU$21,$NN$21/$NT$21)),0)</f>
        <v/>
      </c>
      <c r="FN21" s="402">
        <f>IF(AND(166&gt;=$NR$21,166&lt;=$NS$21),IF($NP$21="Single_Point",IF(166=$NR$21,$NN$21,0),IF($NP$21="Bell_Curve",$NN$21*(166-$NR$21+1)*($NS$21-166+1)/$NU$21,$NN$21/$NT$21)),0)</f>
        <v/>
      </c>
      <c r="FO21" s="402">
        <f>IF(AND(167&gt;=$NR$21,167&lt;=$NS$21),IF($NP$21="Single_Point",IF(167=$NR$21,$NN$21,0),IF($NP$21="Bell_Curve",$NN$21*(167-$NR$21+1)*($NS$21-167+1)/$NU$21,$NN$21/$NT$21)),0)</f>
        <v/>
      </c>
      <c r="FP21" s="402">
        <f>IF(AND(168&gt;=$NR$21,168&lt;=$NS$21),IF($NP$21="Single_Point",IF(168=$NR$21,$NN$21,0),IF($NP$21="Bell_Curve",$NN$21*(168-$NR$21+1)*($NS$21-168+1)/$NU$21,$NN$21/$NT$21)),0)</f>
        <v/>
      </c>
      <c r="FQ21" s="402">
        <f>IF(AND(169&gt;=$NR$21,169&lt;=$NS$21),IF($NP$21="Single_Point",IF(169=$NR$21,$NN$21,0),IF($NP$21="Bell_Curve",$NN$21*(169-$NR$21+1)*($NS$21-169+1)/$NU$21,$NN$21/$NT$21)),0)</f>
        <v/>
      </c>
      <c r="FR21" s="402">
        <f>IF(AND(170&gt;=$NR$21,170&lt;=$NS$21),IF($NP$21="Single_Point",IF(170=$NR$21,$NN$21,0),IF($NP$21="Bell_Curve",$NN$21*(170-$NR$21+1)*($NS$21-170+1)/$NU$21,$NN$21/$NT$21)),0)</f>
        <v/>
      </c>
      <c r="FS21" s="402">
        <f>IF(AND(171&gt;=$NR$21,171&lt;=$NS$21),IF($NP$21="Single_Point",IF(171=$NR$21,$NN$21,0),IF($NP$21="Bell_Curve",$NN$21*(171-$NR$21+1)*($NS$21-171+1)/$NU$21,$NN$21/$NT$21)),0)</f>
        <v/>
      </c>
      <c r="FT21" s="402">
        <f>IF(AND(172&gt;=$NR$21,172&lt;=$NS$21),IF($NP$21="Single_Point",IF(172=$NR$21,$NN$21,0),IF($NP$21="Bell_Curve",$NN$21*(172-$NR$21+1)*($NS$21-172+1)/$NU$21,$NN$21/$NT$21)),0)</f>
        <v/>
      </c>
      <c r="FU21" s="402">
        <f>IF(AND(173&gt;=$NR$21,173&lt;=$NS$21),IF($NP$21="Single_Point",IF(173=$NR$21,$NN$21,0),IF($NP$21="Bell_Curve",$NN$21*(173-$NR$21+1)*($NS$21-173+1)/$NU$21,$NN$21/$NT$21)),0)</f>
        <v/>
      </c>
      <c r="FV21" s="402">
        <f>IF(AND(174&gt;=$NR$21,174&lt;=$NS$21),IF($NP$21="Single_Point",IF(174=$NR$21,$NN$21,0),IF($NP$21="Bell_Curve",$NN$21*(174-$NR$21+1)*($NS$21-174+1)/$NU$21,$NN$21/$NT$21)),0)</f>
        <v/>
      </c>
      <c r="FW21" s="402">
        <f>IF(AND(175&gt;=$NR$21,175&lt;=$NS$21),IF($NP$21="Single_Point",IF(175=$NR$21,$NN$21,0),IF($NP$21="Bell_Curve",$NN$21*(175-$NR$21+1)*($NS$21-175+1)/$NU$21,$NN$21/$NT$21)),0)</f>
        <v/>
      </c>
      <c r="FX21" s="402">
        <f>IF(AND(176&gt;=$NR$21,176&lt;=$NS$21),IF($NP$21="Single_Point",IF(176=$NR$21,$NN$21,0),IF($NP$21="Bell_Curve",$NN$21*(176-$NR$21+1)*($NS$21-176+1)/$NU$21,$NN$21/$NT$21)),0)</f>
        <v/>
      </c>
      <c r="FY21" s="402">
        <f>IF(AND(177&gt;=$NR$21,177&lt;=$NS$21),IF($NP$21="Single_Point",IF(177=$NR$21,$NN$21,0),IF($NP$21="Bell_Curve",$NN$21*(177-$NR$21+1)*($NS$21-177+1)/$NU$21,$NN$21/$NT$21)),0)</f>
        <v/>
      </c>
      <c r="FZ21" s="402">
        <f>IF(AND(178&gt;=$NR$21,178&lt;=$NS$21),IF($NP$21="Single_Point",IF(178=$NR$21,$NN$21,0),IF($NP$21="Bell_Curve",$NN$21*(178-$NR$21+1)*($NS$21-178+1)/$NU$21,$NN$21/$NT$21)),0)</f>
        <v/>
      </c>
      <c r="GA21" s="402">
        <f>IF(AND(179&gt;=$NR$21,179&lt;=$NS$21),IF($NP$21="Single_Point",IF(179=$NR$21,$NN$21,0),IF($NP$21="Bell_Curve",$NN$21*(179-$NR$21+1)*($NS$21-179+1)/$NU$21,$NN$21/$NT$21)),0)</f>
        <v/>
      </c>
      <c r="GB21" s="402">
        <f>IF(AND(180&gt;=$NR$21,180&lt;=$NS$21),IF($NP$21="Single_Point",IF(180=$NR$21,$NN$21,0),IF($NP$21="Bell_Curve",$NN$21*(180-$NR$21+1)*($NS$21-180+1)/$NU$21,$NN$21/$NT$21)),0)</f>
        <v/>
      </c>
      <c r="GC21" s="402">
        <f>IF(AND(181&gt;=$NR$21,181&lt;=$NS$21),IF($NP$21="Single_Point",IF(181=$NR$21,$NN$21,0),IF($NP$21="Bell_Curve",$NN$21*(181-$NR$21+1)*($NS$21-181+1)/$NU$21,$NN$21/$NT$21)),0)</f>
        <v/>
      </c>
      <c r="GD21" s="402">
        <f>IF(AND(182&gt;=$NR$21,182&lt;=$NS$21),IF($NP$21="Single_Point",IF(182=$NR$21,$NN$21,0),IF($NP$21="Bell_Curve",$NN$21*(182-$NR$21+1)*($NS$21-182+1)/$NU$21,$NN$21/$NT$21)),0)</f>
        <v/>
      </c>
      <c r="GE21" s="402">
        <f>IF(AND(183&gt;=$NR$21,183&lt;=$NS$21),IF($NP$21="Single_Point",IF(183=$NR$21,$NN$21,0),IF($NP$21="Bell_Curve",$NN$21*(183-$NR$21+1)*($NS$21-183+1)/$NU$21,$NN$21/$NT$21)),0)</f>
        <v/>
      </c>
      <c r="GF21" s="402">
        <f>IF(AND(184&gt;=$NR$21,184&lt;=$NS$21),IF($NP$21="Single_Point",IF(184=$NR$21,$NN$21,0),IF($NP$21="Bell_Curve",$NN$21*(184-$NR$21+1)*($NS$21-184+1)/$NU$21,$NN$21/$NT$21)),0)</f>
        <v/>
      </c>
      <c r="GG21" s="402">
        <f>IF(AND(185&gt;=$NR$21,185&lt;=$NS$21),IF($NP$21="Single_Point",IF(185=$NR$21,$NN$21,0),IF($NP$21="Bell_Curve",$NN$21*(185-$NR$21+1)*($NS$21-185+1)/$NU$21,$NN$21/$NT$21)),0)</f>
        <v/>
      </c>
      <c r="GH21" s="402">
        <f>IF(AND(186&gt;=$NR$21,186&lt;=$NS$21),IF($NP$21="Single_Point",IF(186=$NR$21,$NN$21,0),IF($NP$21="Bell_Curve",$NN$21*(186-$NR$21+1)*($NS$21-186+1)/$NU$21,$NN$21/$NT$21)),0)</f>
        <v/>
      </c>
      <c r="GI21" s="402">
        <f>IF(AND(187&gt;=$NR$21,187&lt;=$NS$21),IF($NP$21="Single_Point",IF(187=$NR$21,$NN$21,0),IF($NP$21="Bell_Curve",$NN$21*(187-$NR$21+1)*($NS$21-187+1)/$NU$21,$NN$21/$NT$21)),0)</f>
        <v/>
      </c>
      <c r="GJ21" s="402">
        <f>IF(AND(188&gt;=$NR$21,188&lt;=$NS$21),IF($NP$21="Single_Point",IF(188=$NR$21,$NN$21,0),IF($NP$21="Bell_Curve",$NN$21*(188-$NR$21+1)*($NS$21-188+1)/$NU$21,$NN$21/$NT$21)),0)</f>
        <v/>
      </c>
      <c r="GK21" s="402">
        <f>IF(AND(189&gt;=$NR$21,189&lt;=$NS$21),IF($NP$21="Single_Point",IF(189=$NR$21,$NN$21,0),IF($NP$21="Bell_Curve",$NN$21*(189-$NR$21+1)*($NS$21-189+1)/$NU$21,$NN$21/$NT$21)),0)</f>
        <v/>
      </c>
      <c r="GL21" s="402">
        <f>IF(AND(190&gt;=$NR$21,190&lt;=$NS$21),IF($NP$21="Single_Point",IF(190=$NR$21,$NN$21,0),IF($NP$21="Bell_Curve",$NN$21*(190-$NR$21+1)*($NS$21-190+1)/$NU$21,$NN$21/$NT$21)),0)</f>
        <v/>
      </c>
      <c r="GM21" s="402">
        <f>IF(AND(191&gt;=$NR$21,191&lt;=$NS$21),IF($NP$21="Single_Point",IF(191=$NR$21,$NN$21,0),IF($NP$21="Bell_Curve",$NN$21*(191-$NR$21+1)*($NS$21-191+1)/$NU$21,$NN$21/$NT$21)),0)</f>
        <v/>
      </c>
      <c r="GN21" s="402">
        <f>IF(AND(192&gt;=$NR$21,192&lt;=$NS$21),IF($NP$21="Single_Point",IF(192=$NR$21,$NN$21,0),IF($NP$21="Bell_Curve",$NN$21*(192-$NR$21+1)*($NS$21-192+1)/$NU$21,$NN$21/$NT$21)),0)</f>
        <v/>
      </c>
      <c r="GO21" s="402">
        <f>IF(AND(193&gt;=$NR$21,193&lt;=$NS$21),IF($NP$21="Single_Point",IF(193=$NR$21,$NN$21,0),IF($NP$21="Bell_Curve",$NN$21*(193-$NR$21+1)*($NS$21-193+1)/$NU$21,$NN$21/$NT$21)),0)</f>
        <v/>
      </c>
      <c r="GP21" s="402">
        <f>IF(AND(194&gt;=$NR$21,194&lt;=$NS$21),IF($NP$21="Single_Point",IF(194=$NR$21,$NN$21,0),IF($NP$21="Bell_Curve",$NN$21*(194-$NR$21+1)*($NS$21-194+1)/$NU$21,$NN$21/$NT$21)),0)</f>
        <v/>
      </c>
      <c r="GQ21" s="402">
        <f>IF(AND(195&gt;=$NR$21,195&lt;=$NS$21),IF($NP$21="Single_Point",IF(195=$NR$21,$NN$21,0),IF($NP$21="Bell_Curve",$NN$21*(195-$NR$21+1)*($NS$21-195+1)/$NU$21,$NN$21/$NT$21)),0)</f>
        <v/>
      </c>
      <c r="GR21" s="402">
        <f>IF(AND(196&gt;=$NR$21,196&lt;=$NS$21),IF($NP$21="Single_Point",IF(196=$NR$21,$NN$21,0),IF($NP$21="Bell_Curve",$NN$21*(196-$NR$21+1)*($NS$21-196+1)/$NU$21,$NN$21/$NT$21)),0)</f>
        <v/>
      </c>
      <c r="GS21" s="402">
        <f>IF(AND(197&gt;=$NR$21,197&lt;=$NS$21),IF($NP$21="Single_Point",IF(197=$NR$21,$NN$21,0),IF($NP$21="Bell_Curve",$NN$21*(197-$NR$21+1)*($NS$21-197+1)/$NU$21,$NN$21/$NT$21)),0)</f>
        <v/>
      </c>
      <c r="GT21" s="402">
        <f>IF(AND(198&gt;=$NR$21,198&lt;=$NS$21),IF($NP$21="Single_Point",IF(198=$NR$21,$NN$21,0),IF($NP$21="Bell_Curve",$NN$21*(198-$NR$21+1)*($NS$21-198+1)/$NU$21,$NN$21/$NT$21)),0)</f>
        <v/>
      </c>
      <c r="GU21" s="402">
        <f>IF(AND(199&gt;=$NR$21,199&lt;=$NS$21),IF($NP$21="Single_Point",IF(199=$NR$21,$NN$21,0),IF($NP$21="Bell_Curve",$NN$21*(199-$NR$21+1)*($NS$21-199+1)/$NU$21,$NN$21/$NT$21)),0)</f>
        <v/>
      </c>
      <c r="GV21" s="402">
        <f>IF(AND(200&gt;=$NR$21,200&lt;=$NS$21),IF($NP$21="Single_Point",IF(200=$NR$21,$NN$21,0),IF($NP$21="Bell_Curve",$NN$21*(200-$NR$21+1)*($NS$21-200+1)/$NU$21,$NN$21/$NT$21)),0)</f>
        <v/>
      </c>
      <c r="GW21" s="402">
        <f>IF(AND(201&gt;=$NR$21,201&lt;=$NS$21),IF($NP$21="Single_Point",IF(201=$NR$21,$NN$21,0),IF($NP$21="Bell_Curve",$NN$21*(201-$NR$21+1)*($NS$21-201+1)/$NU$21,$NN$21/$NT$21)),0)</f>
        <v/>
      </c>
      <c r="GX21" s="402">
        <f>IF(AND(202&gt;=$NR$21,202&lt;=$NS$21),IF($NP$21="Single_Point",IF(202=$NR$21,$NN$21,0),IF($NP$21="Bell_Curve",$NN$21*(202-$NR$21+1)*($NS$21-202+1)/$NU$21,$NN$21/$NT$21)),0)</f>
        <v/>
      </c>
      <c r="GY21" s="402">
        <f>IF(AND(203&gt;=$NR$21,203&lt;=$NS$21),IF($NP$21="Single_Point",IF(203=$NR$21,$NN$21,0),IF($NP$21="Bell_Curve",$NN$21*(203-$NR$21+1)*($NS$21-203+1)/$NU$21,$NN$21/$NT$21)),0)</f>
        <v/>
      </c>
      <c r="GZ21" s="402">
        <f>IF(AND(204&gt;=$NR$21,204&lt;=$NS$21),IF($NP$21="Single_Point",IF(204=$NR$21,$NN$21,0),IF($NP$21="Bell_Curve",$NN$21*(204-$NR$21+1)*($NS$21-204+1)/$NU$21,$NN$21/$NT$21)),0)</f>
        <v/>
      </c>
      <c r="HA21" s="402">
        <f>IF(AND(205&gt;=$NR$21,205&lt;=$NS$21),IF($NP$21="Single_Point",IF(205=$NR$21,$NN$21,0),IF($NP$21="Bell_Curve",$NN$21*(205-$NR$21+1)*($NS$21-205+1)/$NU$21,$NN$21/$NT$21)),0)</f>
        <v/>
      </c>
      <c r="HB21" s="402">
        <f>IF(AND(206&gt;=$NR$21,206&lt;=$NS$21),IF($NP$21="Single_Point",IF(206=$NR$21,$NN$21,0),IF($NP$21="Bell_Curve",$NN$21*(206-$NR$21+1)*($NS$21-206+1)/$NU$21,$NN$21/$NT$21)),0)</f>
        <v/>
      </c>
      <c r="HC21" s="402">
        <f>IF(AND(207&gt;=$NR$21,207&lt;=$NS$21),IF($NP$21="Single_Point",IF(207=$NR$21,$NN$21,0),IF($NP$21="Bell_Curve",$NN$21*(207-$NR$21+1)*($NS$21-207+1)/$NU$21,$NN$21/$NT$21)),0)</f>
        <v/>
      </c>
      <c r="HD21" s="402">
        <f>IF(AND(208&gt;=$NR$21,208&lt;=$NS$21),IF($NP$21="Single_Point",IF(208=$NR$21,$NN$21,0),IF($NP$21="Bell_Curve",$NN$21*(208-$NR$21+1)*($NS$21-208+1)/$NU$21,$NN$21/$NT$21)),0)</f>
        <v/>
      </c>
      <c r="HE21" s="402">
        <f>IF(AND(209&gt;=$NR$21,209&lt;=$NS$21),IF($NP$21="Single_Point",IF(209=$NR$21,$NN$21,0),IF($NP$21="Bell_Curve",$NN$21*(209-$NR$21+1)*($NS$21-209+1)/$NU$21,$NN$21/$NT$21)),0)</f>
        <v/>
      </c>
      <c r="HF21" s="402">
        <f>IF(AND(210&gt;=$NR$21,210&lt;=$NS$21),IF($NP$21="Single_Point",IF(210=$NR$21,$NN$21,0),IF($NP$21="Bell_Curve",$NN$21*(210-$NR$21+1)*($NS$21-210+1)/$NU$21,$NN$21/$NT$21)),0)</f>
        <v/>
      </c>
      <c r="HG21" s="402">
        <f>IF(AND(211&gt;=$NR$21,211&lt;=$NS$21),IF($NP$21="Single_Point",IF(211=$NR$21,$NN$21,0),IF($NP$21="Bell_Curve",$NN$21*(211-$NR$21+1)*($NS$21-211+1)/$NU$21,$NN$21/$NT$21)),0)</f>
        <v/>
      </c>
      <c r="HH21" s="402">
        <f>IF(AND(212&gt;=$NR$21,212&lt;=$NS$21),IF($NP$21="Single_Point",IF(212=$NR$21,$NN$21,0),IF($NP$21="Bell_Curve",$NN$21*(212-$NR$21+1)*($NS$21-212+1)/$NU$21,$NN$21/$NT$21)),0)</f>
        <v/>
      </c>
      <c r="HI21" s="402">
        <f>IF(AND(213&gt;=$NR$21,213&lt;=$NS$21),IF($NP$21="Single_Point",IF(213=$NR$21,$NN$21,0),IF($NP$21="Bell_Curve",$NN$21*(213-$NR$21+1)*($NS$21-213+1)/$NU$21,$NN$21/$NT$21)),0)</f>
        <v/>
      </c>
      <c r="HJ21" s="402">
        <f>IF(AND(214&gt;=$NR$21,214&lt;=$NS$21),IF($NP$21="Single_Point",IF(214=$NR$21,$NN$21,0),IF($NP$21="Bell_Curve",$NN$21*(214-$NR$21+1)*($NS$21-214+1)/$NU$21,$NN$21/$NT$21)),0)</f>
        <v/>
      </c>
      <c r="HK21" s="402">
        <f>IF(AND(215&gt;=$NR$21,215&lt;=$NS$21),IF($NP$21="Single_Point",IF(215=$NR$21,$NN$21,0),IF($NP$21="Bell_Curve",$NN$21*(215-$NR$21+1)*($NS$21-215+1)/$NU$21,$NN$21/$NT$21)),0)</f>
        <v/>
      </c>
      <c r="HL21" s="402">
        <f>IF(AND(216&gt;=$NR$21,216&lt;=$NS$21),IF($NP$21="Single_Point",IF(216=$NR$21,$NN$21,0),IF($NP$21="Bell_Curve",$NN$21*(216-$NR$21+1)*($NS$21-216+1)/$NU$21,$NN$21/$NT$21)),0)</f>
        <v/>
      </c>
      <c r="HM21" s="402">
        <f>IF(AND(217&gt;=$NR$21,217&lt;=$NS$21),IF($NP$21="Single_Point",IF(217=$NR$21,$NN$21,0),IF($NP$21="Bell_Curve",$NN$21*(217-$NR$21+1)*($NS$21-217+1)/$NU$21,$NN$21/$NT$21)),0)</f>
        <v/>
      </c>
      <c r="HN21" s="402">
        <f>IF(AND(218&gt;=$NR$21,218&lt;=$NS$21),IF($NP$21="Single_Point",IF(218=$NR$21,$NN$21,0),IF($NP$21="Bell_Curve",$NN$21*(218-$NR$21+1)*($NS$21-218+1)/$NU$21,$NN$21/$NT$21)),0)</f>
        <v/>
      </c>
      <c r="HO21" s="402">
        <f>IF(AND(219&gt;=$NR$21,219&lt;=$NS$21),IF($NP$21="Single_Point",IF(219=$NR$21,$NN$21,0),IF($NP$21="Bell_Curve",$NN$21*(219-$NR$21+1)*($NS$21-219+1)/$NU$21,$NN$21/$NT$21)),0)</f>
        <v/>
      </c>
      <c r="HP21" s="402">
        <f>IF(AND(220&gt;=$NR$21,220&lt;=$NS$21),IF($NP$21="Single_Point",IF(220=$NR$21,$NN$21,0),IF($NP$21="Bell_Curve",$NN$21*(220-$NR$21+1)*($NS$21-220+1)/$NU$21,$NN$21/$NT$21)),0)</f>
        <v/>
      </c>
      <c r="HQ21" s="402">
        <f>IF(AND(221&gt;=$NR$21,221&lt;=$NS$21),IF($NP$21="Single_Point",IF(221=$NR$21,$NN$21,0),IF($NP$21="Bell_Curve",$NN$21*(221-$NR$21+1)*($NS$21-221+1)/$NU$21,$NN$21/$NT$21)),0)</f>
        <v/>
      </c>
      <c r="HR21" s="402">
        <f>IF(AND(222&gt;=$NR$21,222&lt;=$NS$21),IF($NP$21="Single_Point",IF(222=$NR$21,$NN$21,0),IF($NP$21="Bell_Curve",$NN$21*(222-$NR$21+1)*($NS$21-222+1)/$NU$21,$NN$21/$NT$21)),0)</f>
        <v/>
      </c>
      <c r="HS21" s="402">
        <f>IF(AND(223&gt;=$NR$21,223&lt;=$NS$21),IF($NP$21="Single_Point",IF(223=$NR$21,$NN$21,0),IF($NP$21="Bell_Curve",$NN$21*(223-$NR$21+1)*($NS$21-223+1)/$NU$21,$NN$21/$NT$21)),0)</f>
        <v/>
      </c>
      <c r="HT21" s="402">
        <f>IF(AND(224&gt;=$NR$21,224&lt;=$NS$21),IF($NP$21="Single_Point",IF(224=$NR$21,$NN$21,0),IF($NP$21="Bell_Curve",$NN$21*(224-$NR$21+1)*($NS$21-224+1)/$NU$21,$NN$21/$NT$21)),0)</f>
        <v/>
      </c>
      <c r="HU21" s="402">
        <f>IF(AND(225&gt;=$NR$21,225&lt;=$NS$21),IF($NP$21="Single_Point",IF(225=$NR$21,$NN$21,0),IF($NP$21="Bell_Curve",$NN$21*(225-$NR$21+1)*($NS$21-225+1)/$NU$21,$NN$21/$NT$21)),0)</f>
        <v/>
      </c>
      <c r="HV21" s="402">
        <f>IF(AND(226&gt;=$NR$21,226&lt;=$NS$21),IF($NP$21="Single_Point",IF(226=$NR$21,$NN$21,0),IF($NP$21="Bell_Curve",$NN$21*(226-$NR$21+1)*($NS$21-226+1)/$NU$21,$NN$21/$NT$21)),0)</f>
        <v/>
      </c>
      <c r="HW21" s="402">
        <f>IF(AND(227&gt;=$NR$21,227&lt;=$NS$21),IF($NP$21="Single_Point",IF(227=$NR$21,$NN$21,0),IF($NP$21="Bell_Curve",$NN$21*(227-$NR$21+1)*($NS$21-227+1)/$NU$21,$NN$21/$NT$21)),0)</f>
        <v/>
      </c>
      <c r="HX21" s="402">
        <f>IF(AND(228&gt;=$NR$21,228&lt;=$NS$21),IF($NP$21="Single_Point",IF(228=$NR$21,$NN$21,0),IF($NP$21="Bell_Curve",$NN$21*(228-$NR$21+1)*($NS$21-228+1)/$NU$21,$NN$21/$NT$21)),0)</f>
        <v/>
      </c>
      <c r="HY21" s="402">
        <f>IF(AND(229&gt;=$NR$21,229&lt;=$NS$21),IF($NP$21="Single_Point",IF(229=$NR$21,$NN$21,0),IF($NP$21="Bell_Curve",$NN$21*(229-$NR$21+1)*($NS$21-229+1)/$NU$21,$NN$21/$NT$21)),0)</f>
        <v/>
      </c>
      <c r="HZ21" s="402">
        <f>IF(AND(230&gt;=$NR$21,230&lt;=$NS$21),IF($NP$21="Single_Point",IF(230=$NR$21,$NN$21,0),IF($NP$21="Bell_Curve",$NN$21*(230-$NR$21+1)*($NS$21-230+1)/$NU$21,$NN$21/$NT$21)),0)</f>
        <v/>
      </c>
      <c r="IA21" s="402">
        <f>IF(AND(231&gt;=$NR$21,231&lt;=$NS$21),IF($NP$21="Single_Point",IF(231=$NR$21,$NN$21,0),IF($NP$21="Bell_Curve",$NN$21*(231-$NR$21+1)*($NS$21-231+1)/$NU$21,$NN$21/$NT$21)),0)</f>
        <v/>
      </c>
      <c r="IB21" s="402">
        <f>IF(AND(232&gt;=$NR$21,232&lt;=$NS$21),IF($NP$21="Single_Point",IF(232=$NR$21,$NN$21,0),IF($NP$21="Bell_Curve",$NN$21*(232-$NR$21+1)*($NS$21-232+1)/$NU$21,$NN$21/$NT$21)),0)</f>
        <v/>
      </c>
      <c r="IC21" s="402">
        <f>IF(AND(233&gt;=$NR$21,233&lt;=$NS$21),IF($NP$21="Single_Point",IF(233=$NR$21,$NN$21,0),IF($NP$21="Bell_Curve",$NN$21*(233-$NR$21+1)*($NS$21-233+1)/$NU$21,$NN$21/$NT$21)),0)</f>
        <v/>
      </c>
      <c r="ID21" s="402">
        <f>IF(AND(234&gt;=$NR$21,234&lt;=$NS$21),IF($NP$21="Single_Point",IF(234=$NR$21,$NN$21,0),IF($NP$21="Bell_Curve",$NN$21*(234-$NR$21+1)*($NS$21-234+1)/$NU$21,$NN$21/$NT$21)),0)</f>
        <v/>
      </c>
      <c r="IE21" s="402">
        <f>IF(AND(235&gt;=$NR$21,235&lt;=$NS$21),IF($NP$21="Single_Point",IF(235=$NR$21,$NN$21,0),IF($NP$21="Bell_Curve",$NN$21*(235-$NR$21+1)*($NS$21-235+1)/$NU$21,$NN$21/$NT$21)),0)</f>
        <v/>
      </c>
      <c r="IF21" s="402">
        <f>IF(AND(236&gt;=$NR$21,236&lt;=$NS$21),IF($NP$21="Single_Point",IF(236=$NR$21,$NN$21,0),IF($NP$21="Bell_Curve",$NN$21*(236-$NR$21+1)*($NS$21-236+1)/$NU$21,$NN$21/$NT$21)),0)</f>
        <v/>
      </c>
      <c r="IG21" s="402">
        <f>IF(AND(237&gt;=$NR$21,237&lt;=$NS$21),IF($NP$21="Single_Point",IF(237=$NR$21,$NN$21,0),IF($NP$21="Bell_Curve",$NN$21*(237-$NR$21+1)*($NS$21-237+1)/$NU$21,$NN$21/$NT$21)),0)</f>
        <v/>
      </c>
      <c r="IH21" s="402">
        <f>IF(AND(238&gt;=$NR$21,238&lt;=$NS$21),IF($NP$21="Single_Point",IF(238=$NR$21,$NN$21,0),IF($NP$21="Bell_Curve",$NN$21*(238-$NR$21+1)*($NS$21-238+1)/$NU$21,$NN$21/$NT$21)),0)</f>
        <v/>
      </c>
      <c r="II21" s="402">
        <f>IF(AND(239&gt;=$NR$21,239&lt;=$NS$21),IF($NP$21="Single_Point",IF(239=$NR$21,$NN$21,0),IF($NP$21="Bell_Curve",$NN$21*(239-$NR$21+1)*($NS$21-239+1)/$NU$21,$NN$21/$NT$21)),0)</f>
        <v/>
      </c>
      <c r="IJ21" s="402">
        <f>IF(AND(240&gt;=$NR$21,240&lt;=$NS$21),IF($NP$21="Single_Point",IF(240=$NR$21,$NN$21,0),IF($NP$21="Bell_Curve",$NN$21*(240-$NR$21+1)*($NS$21-240+1)/$NU$21,$NN$21/$NT$21)),0)</f>
        <v/>
      </c>
      <c r="IK21" s="402">
        <f>IF(AND(241&gt;=$NR$21,241&lt;=$NS$21),IF($NP$21="Single_Point",IF(241=$NR$21,$NN$21,0),IF($NP$21="Bell_Curve",$NN$21*(241-$NR$21+1)*($NS$21-241+1)/$NU$21,$NN$21/$NT$21)),0)</f>
        <v/>
      </c>
      <c r="IL21" s="402">
        <f>IF(AND(242&gt;=$NR$21,242&lt;=$NS$21),IF($NP$21="Single_Point",IF(242=$NR$21,$NN$21,0),IF($NP$21="Bell_Curve",$NN$21*(242-$NR$21+1)*($NS$21-242+1)/$NU$21,$NN$21/$NT$21)),0)</f>
        <v/>
      </c>
      <c r="IM21" s="402">
        <f>IF(AND(243&gt;=$NR$21,243&lt;=$NS$21),IF($NP$21="Single_Point",IF(243=$NR$21,$NN$21,0),IF($NP$21="Bell_Curve",$NN$21*(243-$NR$21+1)*($NS$21-243+1)/$NU$21,$NN$21/$NT$21)),0)</f>
        <v/>
      </c>
      <c r="IN21" s="402">
        <f>IF(AND(244&gt;=$NR$21,244&lt;=$NS$21),IF($NP$21="Single_Point",IF(244=$NR$21,$NN$21,0),IF($NP$21="Bell_Curve",$NN$21*(244-$NR$21+1)*($NS$21-244+1)/$NU$21,$NN$21/$NT$21)),0)</f>
        <v/>
      </c>
      <c r="IO21" s="402">
        <f>IF(AND(245&gt;=$NR$21,245&lt;=$NS$21),IF($NP$21="Single_Point",IF(245=$NR$21,$NN$21,0),IF($NP$21="Bell_Curve",$NN$21*(245-$NR$21+1)*($NS$21-245+1)/$NU$21,$NN$21/$NT$21)),0)</f>
        <v/>
      </c>
      <c r="IP21" s="402">
        <f>IF(AND(246&gt;=$NR$21,246&lt;=$NS$21),IF($NP$21="Single_Point",IF(246=$NR$21,$NN$21,0),IF($NP$21="Bell_Curve",$NN$21*(246-$NR$21+1)*($NS$21-246+1)/$NU$21,$NN$21/$NT$21)),0)</f>
        <v/>
      </c>
      <c r="IQ21" s="402">
        <f>IF(AND(247&gt;=$NR$21,247&lt;=$NS$21),IF($NP$21="Single_Point",IF(247=$NR$21,$NN$21,0),IF($NP$21="Bell_Curve",$NN$21*(247-$NR$21+1)*($NS$21-247+1)/$NU$21,$NN$21/$NT$21)),0)</f>
        <v/>
      </c>
      <c r="IR21" s="402">
        <f>IF(AND(248&gt;=$NR$21,248&lt;=$NS$21),IF($NP$21="Single_Point",IF(248=$NR$21,$NN$21,0),IF($NP$21="Bell_Curve",$NN$21*(248-$NR$21+1)*($NS$21-248+1)/$NU$21,$NN$21/$NT$21)),0)</f>
        <v/>
      </c>
      <c r="IS21" s="402">
        <f>IF(AND(249&gt;=$NR$21,249&lt;=$NS$21),IF($NP$21="Single_Point",IF(249=$NR$21,$NN$21,0),IF($NP$21="Bell_Curve",$NN$21*(249-$NR$21+1)*($NS$21-249+1)/$NU$21,$NN$21/$NT$21)),0)</f>
        <v/>
      </c>
      <c r="IT21" s="402">
        <f>IF(AND(250&gt;=$NR$21,250&lt;=$NS$21),IF($NP$21="Single_Point",IF(250=$NR$21,$NN$21,0),IF($NP$21="Bell_Curve",$NN$21*(250-$NR$21+1)*($NS$21-250+1)/$NU$21,$NN$21/$NT$21)),0)</f>
        <v/>
      </c>
      <c r="IU21" s="402">
        <f>IF(AND(251&gt;=$NR$21,251&lt;=$NS$21),IF($NP$21="Single_Point",IF(251=$NR$21,$NN$21,0),IF($NP$21="Bell_Curve",$NN$21*(251-$NR$21+1)*($NS$21-251+1)/$NU$21,$NN$21/$NT$21)),0)</f>
        <v/>
      </c>
      <c r="IV21" s="402">
        <f>IF(AND(252&gt;=$NR$21,252&lt;=$NS$21),IF($NP$21="Single_Point",IF(252=$NR$21,$NN$21,0),IF($NP$21="Bell_Curve",$NN$21*(252-$NR$21+1)*($NS$21-252+1)/$NU$21,$NN$21/$NT$21)),0)</f>
        <v/>
      </c>
      <c r="IW21" s="402">
        <f>IF(AND(253&gt;=$NR$21,253&lt;=$NS$21),IF($NP$21="Single_Point",IF(253=$NR$21,$NN$21,0),IF($NP$21="Bell_Curve",$NN$21*(253-$NR$21+1)*($NS$21-253+1)/$NU$21,$NN$21/$NT$21)),0)</f>
        <v/>
      </c>
      <c r="IX21" s="402">
        <f>IF(AND(254&gt;=$NR$21,254&lt;=$NS$21),IF($NP$21="Single_Point",IF(254=$NR$21,$NN$21,0),IF($NP$21="Bell_Curve",$NN$21*(254-$NR$21+1)*($NS$21-254+1)/$NU$21,$NN$21/$NT$21)),0)</f>
        <v/>
      </c>
      <c r="IY21" s="402">
        <f>IF(AND(255&gt;=$NR$21,255&lt;=$NS$21),IF($NP$21="Single_Point",IF(255=$NR$21,$NN$21,0),IF($NP$21="Bell_Curve",$NN$21*(255-$NR$21+1)*($NS$21-255+1)/$NU$21,$NN$21/$NT$21)),0)</f>
        <v/>
      </c>
      <c r="IZ21" s="402">
        <f>IF(AND(256&gt;=$NR$21,256&lt;=$NS$21),IF($NP$21="Single_Point",IF(256=$NR$21,$NN$21,0),IF($NP$21="Bell_Curve",$NN$21*(256-$NR$21+1)*($NS$21-256+1)/$NU$21,$NN$21/$NT$21)),0)</f>
        <v/>
      </c>
      <c r="JA21" s="402">
        <f>IF(AND(257&gt;=$NR$21,257&lt;=$NS$21),IF($NP$21="Single_Point",IF(257=$NR$21,$NN$21,0),IF($NP$21="Bell_Curve",$NN$21*(257-$NR$21+1)*($NS$21-257+1)/$NU$21,$NN$21/$NT$21)),0)</f>
        <v/>
      </c>
      <c r="JB21" s="402">
        <f>IF(AND(258&gt;=$NR$21,258&lt;=$NS$21),IF($NP$21="Single_Point",IF(258=$NR$21,$NN$21,0),IF($NP$21="Bell_Curve",$NN$21*(258-$NR$21+1)*($NS$21-258+1)/$NU$21,$NN$21/$NT$21)),0)</f>
        <v/>
      </c>
      <c r="JC21" s="402">
        <f>IF(AND(259&gt;=$NR$21,259&lt;=$NS$21),IF($NP$21="Single_Point",IF(259=$NR$21,$NN$21,0),IF($NP$21="Bell_Curve",$NN$21*(259-$NR$21+1)*($NS$21-259+1)/$NU$21,$NN$21/$NT$21)),0)</f>
        <v/>
      </c>
      <c r="JD21" s="402">
        <f>IF(AND(260&gt;=$NR$21,260&lt;=$NS$21),IF($NP$21="Single_Point",IF(260=$NR$21,$NN$21,0),IF($NP$21="Bell_Curve",$NN$21*(260-$NR$21+1)*($NS$21-260+1)/$NU$21,$NN$21/$NT$21)),0)</f>
        <v/>
      </c>
      <c r="JE21" s="402">
        <f>IF(AND(261&gt;=$NR$21,261&lt;=$NS$21),IF($NP$21="Single_Point",IF(261=$NR$21,$NN$21,0),IF($NP$21="Bell_Curve",$NN$21*(261-$NR$21+1)*($NS$21-261+1)/$NU$21,$NN$21/$NT$21)),0)</f>
        <v/>
      </c>
      <c r="JF21" s="402">
        <f>IF(AND(262&gt;=$NR$21,262&lt;=$NS$21),IF($NP$21="Single_Point",IF(262=$NR$21,$NN$21,0),IF($NP$21="Bell_Curve",$NN$21*(262-$NR$21+1)*($NS$21-262+1)/$NU$21,$NN$21/$NT$21)),0)</f>
        <v/>
      </c>
      <c r="JG21" s="402">
        <f>IF(AND(263&gt;=$NR$21,263&lt;=$NS$21),IF($NP$21="Single_Point",IF(263=$NR$21,$NN$21,0),IF($NP$21="Bell_Curve",$NN$21*(263-$NR$21+1)*($NS$21-263+1)/$NU$21,$NN$21/$NT$21)),0)</f>
        <v/>
      </c>
      <c r="JH21" s="402">
        <f>IF(AND(264&gt;=$NR$21,264&lt;=$NS$21),IF($NP$21="Single_Point",IF(264=$NR$21,$NN$21,0),IF($NP$21="Bell_Curve",$NN$21*(264-$NR$21+1)*($NS$21-264+1)/$NU$21,$NN$21/$NT$21)),0)</f>
        <v/>
      </c>
      <c r="JI21" s="402">
        <f>IF(AND(265&gt;=$NR$21,265&lt;=$NS$21),IF($NP$21="Single_Point",IF(265=$NR$21,$NN$21,0),IF($NP$21="Bell_Curve",$NN$21*(265-$NR$21+1)*($NS$21-265+1)/$NU$21,$NN$21/$NT$21)),0)</f>
        <v/>
      </c>
      <c r="JJ21" s="402">
        <f>IF(AND(266&gt;=$NR$21,266&lt;=$NS$21),IF($NP$21="Single_Point",IF(266=$NR$21,$NN$21,0),IF($NP$21="Bell_Curve",$NN$21*(266-$NR$21+1)*($NS$21-266+1)/$NU$21,$NN$21/$NT$21)),0)</f>
        <v/>
      </c>
      <c r="JK21" s="402">
        <f>IF(AND(267&gt;=$NR$21,267&lt;=$NS$21),IF($NP$21="Single_Point",IF(267=$NR$21,$NN$21,0),IF($NP$21="Bell_Curve",$NN$21*(267-$NR$21+1)*($NS$21-267+1)/$NU$21,$NN$21/$NT$21)),0)</f>
        <v/>
      </c>
      <c r="JL21" s="402">
        <f>IF(AND(268&gt;=$NR$21,268&lt;=$NS$21),IF($NP$21="Single_Point",IF(268=$NR$21,$NN$21,0),IF($NP$21="Bell_Curve",$NN$21*(268-$NR$21+1)*($NS$21-268+1)/$NU$21,$NN$21/$NT$21)),0)</f>
        <v/>
      </c>
      <c r="JM21" s="402">
        <f>IF(AND(269&gt;=$NR$21,269&lt;=$NS$21),IF($NP$21="Single_Point",IF(269=$NR$21,$NN$21,0),IF($NP$21="Bell_Curve",$NN$21*(269-$NR$21+1)*($NS$21-269+1)/$NU$21,$NN$21/$NT$21)),0)</f>
        <v/>
      </c>
      <c r="JN21" s="402">
        <f>IF(AND(270&gt;=$NR$21,270&lt;=$NS$21),IF($NP$21="Single_Point",IF(270=$NR$21,$NN$21,0),IF($NP$21="Bell_Curve",$NN$21*(270-$NR$21+1)*($NS$21-270+1)/$NU$21,$NN$21/$NT$21)),0)</f>
        <v/>
      </c>
      <c r="JO21" s="402">
        <f>IF(AND(271&gt;=$NR$21,271&lt;=$NS$21),IF($NP$21="Single_Point",IF(271=$NR$21,$NN$21,0),IF($NP$21="Bell_Curve",$NN$21*(271-$NR$21+1)*($NS$21-271+1)/$NU$21,$NN$21/$NT$21)),0)</f>
        <v/>
      </c>
      <c r="JP21" s="402">
        <f>IF(AND(272&gt;=$NR$21,272&lt;=$NS$21),IF($NP$21="Single_Point",IF(272=$NR$21,$NN$21,0),IF($NP$21="Bell_Curve",$NN$21*(272-$NR$21+1)*($NS$21-272+1)/$NU$21,$NN$21/$NT$21)),0)</f>
        <v/>
      </c>
      <c r="JQ21" s="402">
        <f>IF(AND(273&gt;=$NR$21,273&lt;=$NS$21),IF($NP$21="Single_Point",IF(273=$NR$21,$NN$21,0),IF($NP$21="Bell_Curve",$NN$21*(273-$NR$21+1)*($NS$21-273+1)/$NU$21,$NN$21/$NT$21)),0)</f>
        <v/>
      </c>
      <c r="JR21" s="402">
        <f>IF(AND(274&gt;=$NR$21,274&lt;=$NS$21),IF($NP$21="Single_Point",IF(274=$NR$21,$NN$21,0),IF($NP$21="Bell_Curve",$NN$21*(274-$NR$21+1)*($NS$21-274+1)/$NU$21,$NN$21/$NT$21)),0)</f>
        <v/>
      </c>
      <c r="JS21" s="402">
        <f>IF(AND(275&gt;=$NR$21,275&lt;=$NS$21),IF($NP$21="Single_Point",IF(275=$NR$21,$NN$21,0),IF($NP$21="Bell_Curve",$NN$21*(275-$NR$21+1)*($NS$21-275+1)/$NU$21,$NN$21/$NT$21)),0)</f>
        <v/>
      </c>
      <c r="JT21" s="402">
        <f>IF(AND(276&gt;=$NR$21,276&lt;=$NS$21),IF($NP$21="Single_Point",IF(276=$NR$21,$NN$21,0),IF($NP$21="Bell_Curve",$NN$21*(276-$NR$21+1)*($NS$21-276+1)/$NU$21,$NN$21/$NT$21)),0)</f>
        <v/>
      </c>
      <c r="JU21" s="402">
        <f>IF(AND(277&gt;=$NR$21,277&lt;=$NS$21),IF($NP$21="Single_Point",IF(277=$NR$21,$NN$21,0),IF($NP$21="Bell_Curve",$NN$21*(277-$NR$21+1)*($NS$21-277+1)/$NU$21,$NN$21/$NT$21)),0)</f>
        <v/>
      </c>
      <c r="JV21" s="402">
        <f>IF(AND(278&gt;=$NR$21,278&lt;=$NS$21),IF($NP$21="Single_Point",IF(278=$NR$21,$NN$21,0),IF($NP$21="Bell_Curve",$NN$21*(278-$NR$21+1)*($NS$21-278+1)/$NU$21,$NN$21/$NT$21)),0)</f>
        <v/>
      </c>
      <c r="JW21" s="402">
        <f>IF(AND(279&gt;=$NR$21,279&lt;=$NS$21),IF($NP$21="Single_Point",IF(279=$NR$21,$NN$21,0),IF($NP$21="Bell_Curve",$NN$21*(279-$NR$21+1)*($NS$21-279+1)/$NU$21,$NN$21/$NT$21)),0)</f>
        <v/>
      </c>
      <c r="JX21" s="402">
        <f>IF(AND(280&gt;=$NR$21,280&lt;=$NS$21),IF($NP$21="Single_Point",IF(280=$NR$21,$NN$21,0),IF($NP$21="Bell_Curve",$NN$21*(280-$NR$21+1)*($NS$21-280+1)/$NU$21,$NN$21/$NT$21)),0)</f>
        <v/>
      </c>
      <c r="JY21" s="402">
        <f>IF(AND(281&gt;=$NR$21,281&lt;=$NS$21),IF($NP$21="Single_Point",IF(281=$NR$21,$NN$21,0),IF($NP$21="Bell_Curve",$NN$21*(281-$NR$21+1)*($NS$21-281+1)/$NU$21,$NN$21/$NT$21)),0)</f>
        <v/>
      </c>
      <c r="JZ21" s="402">
        <f>IF(AND(282&gt;=$NR$21,282&lt;=$NS$21),IF($NP$21="Single_Point",IF(282=$NR$21,$NN$21,0),IF($NP$21="Bell_Curve",$NN$21*(282-$NR$21+1)*($NS$21-282+1)/$NU$21,$NN$21/$NT$21)),0)</f>
        <v/>
      </c>
      <c r="KA21" s="402">
        <f>IF(AND(283&gt;=$NR$21,283&lt;=$NS$21),IF($NP$21="Single_Point",IF(283=$NR$21,$NN$21,0),IF($NP$21="Bell_Curve",$NN$21*(283-$NR$21+1)*($NS$21-283+1)/$NU$21,$NN$21/$NT$21)),0)</f>
        <v/>
      </c>
      <c r="KB21" s="402">
        <f>IF(AND(284&gt;=$NR$21,284&lt;=$NS$21),IF($NP$21="Single_Point",IF(284=$NR$21,$NN$21,0),IF($NP$21="Bell_Curve",$NN$21*(284-$NR$21+1)*($NS$21-284+1)/$NU$21,$NN$21/$NT$21)),0)</f>
        <v/>
      </c>
      <c r="KC21" s="402">
        <f>IF(AND(285&gt;=$NR$21,285&lt;=$NS$21),IF($NP$21="Single_Point",IF(285=$NR$21,$NN$21,0),IF($NP$21="Bell_Curve",$NN$21*(285-$NR$21+1)*($NS$21-285+1)/$NU$21,$NN$21/$NT$21)),0)</f>
        <v/>
      </c>
      <c r="KD21" s="402">
        <f>IF(AND(286&gt;=$NR$21,286&lt;=$NS$21),IF($NP$21="Single_Point",IF(286=$NR$21,$NN$21,0),IF($NP$21="Bell_Curve",$NN$21*(286-$NR$21+1)*($NS$21-286+1)/$NU$21,$NN$21/$NT$21)),0)</f>
        <v/>
      </c>
      <c r="KE21" s="402">
        <f>IF(AND(287&gt;=$NR$21,287&lt;=$NS$21),IF($NP$21="Single_Point",IF(287=$NR$21,$NN$21,0),IF($NP$21="Bell_Curve",$NN$21*(287-$NR$21+1)*($NS$21-287+1)/$NU$21,$NN$21/$NT$21)),0)</f>
        <v/>
      </c>
      <c r="KF21" s="402">
        <f>IF(AND(288&gt;=$NR$21,288&lt;=$NS$21),IF($NP$21="Single_Point",IF(288=$NR$21,$NN$21,0),IF($NP$21="Bell_Curve",$NN$21*(288-$NR$21+1)*($NS$21-288+1)/$NU$21,$NN$21/$NT$21)),0)</f>
        <v/>
      </c>
      <c r="KG21" s="402">
        <f>IF(AND(289&gt;=$NR$21,289&lt;=$NS$21),IF($NP$21="Single_Point",IF(289=$NR$21,$NN$21,0),IF($NP$21="Bell_Curve",$NN$21*(289-$NR$21+1)*($NS$21-289+1)/$NU$21,$NN$21/$NT$21)),0)</f>
        <v/>
      </c>
      <c r="KH21" s="402">
        <f>IF(AND(290&gt;=$NR$21,290&lt;=$NS$21),IF($NP$21="Single_Point",IF(290=$NR$21,$NN$21,0),IF($NP$21="Bell_Curve",$NN$21*(290-$NR$21+1)*($NS$21-290+1)/$NU$21,$NN$21/$NT$21)),0)</f>
        <v/>
      </c>
      <c r="KI21" s="402">
        <f>IF(AND(291&gt;=$NR$21,291&lt;=$NS$21),IF($NP$21="Single_Point",IF(291=$NR$21,$NN$21,0),IF($NP$21="Bell_Curve",$NN$21*(291-$NR$21+1)*($NS$21-291+1)/$NU$21,$NN$21/$NT$21)),0)</f>
        <v/>
      </c>
      <c r="KJ21" s="402">
        <f>IF(AND(292&gt;=$NR$21,292&lt;=$NS$21),IF($NP$21="Single_Point",IF(292=$NR$21,$NN$21,0),IF($NP$21="Bell_Curve",$NN$21*(292-$NR$21+1)*($NS$21-292+1)/$NU$21,$NN$21/$NT$21)),0)</f>
        <v/>
      </c>
      <c r="KK21" s="402">
        <f>IF(AND(293&gt;=$NR$21,293&lt;=$NS$21),IF($NP$21="Single_Point",IF(293=$NR$21,$NN$21,0),IF($NP$21="Bell_Curve",$NN$21*(293-$NR$21+1)*($NS$21-293+1)/$NU$21,$NN$21/$NT$21)),0)</f>
        <v/>
      </c>
      <c r="KL21" s="402">
        <f>IF(AND(294&gt;=$NR$21,294&lt;=$NS$21),IF($NP$21="Single_Point",IF(294=$NR$21,$NN$21,0),IF($NP$21="Bell_Curve",$NN$21*(294-$NR$21+1)*($NS$21-294+1)/$NU$21,$NN$21/$NT$21)),0)</f>
        <v/>
      </c>
      <c r="KM21" s="402">
        <f>IF(AND(295&gt;=$NR$21,295&lt;=$NS$21),IF($NP$21="Single_Point",IF(295=$NR$21,$NN$21,0),IF($NP$21="Bell_Curve",$NN$21*(295-$NR$21+1)*($NS$21-295+1)/$NU$21,$NN$21/$NT$21)),0)</f>
        <v/>
      </c>
      <c r="KN21" s="402">
        <f>IF(AND(296&gt;=$NR$21,296&lt;=$NS$21),IF($NP$21="Single_Point",IF(296=$NR$21,$NN$21,0),IF($NP$21="Bell_Curve",$NN$21*(296-$NR$21+1)*($NS$21-296+1)/$NU$21,$NN$21/$NT$21)),0)</f>
        <v/>
      </c>
      <c r="KO21" s="402">
        <f>IF(AND(297&gt;=$NR$21,297&lt;=$NS$21),IF($NP$21="Single_Point",IF(297=$NR$21,$NN$21,0),IF($NP$21="Bell_Curve",$NN$21*(297-$NR$21+1)*($NS$21-297+1)/$NU$21,$NN$21/$NT$21)),0)</f>
        <v/>
      </c>
      <c r="KP21" s="402">
        <f>IF(AND(298&gt;=$NR$21,298&lt;=$NS$21),IF($NP$21="Single_Point",IF(298=$NR$21,$NN$21,0),IF($NP$21="Bell_Curve",$NN$21*(298-$NR$21+1)*($NS$21-298+1)/$NU$21,$NN$21/$NT$21)),0)</f>
        <v/>
      </c>
      <c r="KQ21" s="402">
        <f>IF(AND(299&gt;=$NR$21,299&lt;=$NS$21),IF($NP$21="Single_Point",IF(299=$NR$21,$NN$21,0),IF($NP$21="Bell_Curve",$NN$21*(299-$NR$21+1)*($NS$21-299+1)/$NU$21,$NN$21/$NT$21)),0)</f>
        <v/>
      </c>
      <c r="KR21" s="402">
        <f>IF(AND(300&gt;=$NR$21,300&lt;=$NS$21),IF($NP$21="Single_Point",IF(300=$NR$21,$NN$21,0),IF($NP$21="Bell_Curve",$NN$21*(300-$NR$21+1)*($NS$21-300+1)/$NU$21,$NN$21/$NT$21)),0)</f>
        <v/>
      </c>
      <c r="KS21" s="402">
        <f>IF(AND(301&gt;=$NR$21,301&lt;=$NS$21),IF($NP$21="Single_Point",IF(301=$NR$21,$NN$21,0),IF($NP$21="Bell_Curve",$NN$21*(301-$NR$21+1)*($NS$21-301+1)/$NU$21,$NN$21/$NT$21)),0)</f>
        <v/>
      </c>
      <c r="KT21" s="402">
        <f>IF(AND(302&gt;=$NR$21,302&lt;=$NS$21),IF($NP$21="Single_Point",IF(302=$NR$21,$NN$21,0),IF($NP$21="Bell_Curve",$NN$21*(302-$NR$21+1)*($NS$21-302+1)/$NU$21,$NN$21/$NT$21)),0)</f>
        <v/>
      </c>
      <c r="KU21" s="402">
        <f>IF(AND(303&gt;=$NR$21,303&lt;=$NS$21),IF($NP$21="Single_Point",IF(303=$NR$21,$NN$21,0),IF($NP$21="Bell_Curve",$NN$21*(303-$NR$21+1)*($NS$21-303+1)/$NU$21,$NN$21/$NT$21)),0)</f>
        <v/>
      </c>
      <c r="KV21" s="402">
        <f>IF(AND(304&gt;=$NR$21,304&lt;=$NS$21),IF($NP$21="Single_Point",IF(304=$NR$21,$NN$21,0),IF($NP$21="Bell_Curve",$NN$21*(304-$NR$21+1)*($NS$21-304+1)/$NU$21,$NN$21/$NT$21)),0)</f>
        <v/>
      </c>
      <c r="KW21" s="402">
        <f>IF(AND(305&gt;=$NR$21,305&lt;=$NS$21),IF($NP$21="Single_Point",IF(305=$NR$21,$NN$21,0),IF($NP$21="Bell_Curve",$NN$21*(305-$NR$21+1)*($NS$21-305+1)/$NU$21,$NN$21/$NT$21)),0)</f>
        <v/>
      </c>
      <c r="KX21" s="402">
        <f>IF(AND(306&gt;=$NR$21,306&lt;=$NS$21),IF($NP$21="Single_Point",IF(306=$NR$21,$NN$21,0),IF($NP$21="Bell_Curve",$NN$21*(306-$NR$21+1)*($NS$21-306+1)/$NU$21,$NN$21/$NT$21)),0)</f>
        <v/>
      </c>
      <c r="KY21" s="402">
        <f>IF(AND(307&gt;=$NR$21,307&lt;=$NS$21),IF($NP$21="Single_Point",IF(307=$NR$21,$NN$21,0),IF($NP$21="Bell_Curve",$NN$21*(307-$NR$21+1)*($NS$21-307+1)/$NU$21,$NN$21/$NT$21)),0)</f>
        <v/>
      </c>
      <c r="KZ21" s="402">
        <f>IF(AND(308&gt;=$NR$21,308&lt;=$NS$21),IF($NP$21="Single_Point",IF(308=$NR$21,$NN$21,0),IF($NP$21="Bell_Curve",$NN$21*(308-$NR$21+1)*($NS$21-308+1)/$NU$21,$NN$21/$NT$21)),0)</f>
        <v/>
      </c>
      <c r="LA21" s="402">
        <f>IF(AND(309&gt;=$NR$21,309&lt;=$NS$21),IF($NP$21="Single_Point",IF(309=$NR$21,$NN$21,0),IF($NP$21="Bell_Curve",$NN$21*(309-$NR$21+1)*($NS$21-309+1)/$NU$21,$NN$21/$NT$21)),0)</f>
        <v/>
      </c>
      <c r="LB21" s="402">
        <f>IF(AND(310&gt;=$NR$21,310&lt;=$NS$21),IF($NP$21="Single_Point",IF(310=$NR$21,$NN$21,0),IF($NP$21="Bell_Curve",$NN$21*(310-$NR$21+1)*($NS$21-310+1)/$NU$21,$NN$21/$NT$21)),0)</f>
        <v/>
      </c>
      <c r="LC21" s="402">
        <f>IF(AND(311&gt;=$NR$21,311&lt;=$NS$21),IF($NP$21="Single_Point",IF(311=$NR$21,$NN$21,0),IF($NP$21="Bell_Curve",$NN$21*(311-$NR$21+1)*($NS$21-311+1)/$NU$21,$NN$21/$NT$21)),0)</f>
        <v/>
      </c>
      <c r="LD21" s="402">
        <f>IF(AND(312&gt;=$NR$21,312&lt;=$NS$21),IF($NP$21="Single_Point",IF(312=$NR$21,$NN$21,0),IF($NP$21="Bell_Curve",$NN$21*(312-$NR$21+1)*($NS$21-312+1)/$NU$21,$NN$21/$NT$21)),0)</f>
        <v/>
      </c>
      <c r="LE21" s="402">
        <f>IF(AND(313&gt;=$NR$21,313&lt;=$NS$21),IF($NP$21="Single_Point",IF(313=$NR$21,$NN$21,0),IF($NP$21="Bell_Curve",$NN$21*(313-$NR$21+1)*($NS$21-313+1)/$NU$21,$NN$21/$NT$21)),0)</f>
        <v/>
      </c>
      <c r="LF21" s="402">
        <f>IF(AND(314&gt;=$NR$21,314&lt;=$NS$21),IF($NP$21="Single_Point",IF(314=$NR$21,$NN$21,0),IF($NP$21="Bell_Curve",$NN$21*(314-$NR$21+1)*($NS$21-314+1)/$NU$21,$NN$21/$NT$21)),0)</f>
        <v/>
      </c>
      <c r="LG21" s="402">
        <f>IF(AND(315&gt;=$NR$21,315&lt;=$NS$21),IF($NP$21="Single_Point",IF(315=$NR$21,$NN$21,0),IF($NP$21="Bell_Curve",$NN$21*(315-$NR$21+1)*($NS$21-315+1)/$NU$21,$NN$21/$NT$21)),0)</f>
        <v/>
      </c>
      <c r="LH21" s="402">
        <f>IF(AND(316&gt;=$NR$21,316&lt;=$NS$21),IF($NP$21="Single_Point",IF(316=$NR$21,$NN$21,0),IF($NP$21="Bell_Curve",$NN$21*(316-$NR$21+1)*($NS$21-316+1)/$NU$21,$NN$21/$NT$21)),0)</f>
        <v/>
      </c>
      <c r="LI21" s="402">
        <f>IF(AND(317&gt;=$NR$21,317&lt;=$NS$21),IF($NP$21="Single_Point",IF(317=$NR$21,$NN$21,0),IF($NP$21="Bell_Curve",$NN$21*(317-$NR$21+1)*($NS$21-317+1)/$NU$21,$NN$21/$NT$21)),0)</f>
        <v/>
      </c>
      <c r="LJ21" s="402">
        <f>IF(AND(318&gt;=$NR$21,318&lt;=$NS$21),IF($NP$21="Single_Point",IF(318=$NR$21,$NN$21,0),IF($NP$21="Bell_Curve",$NN$21*(318-$NR$21+1)*($NS$21-318+1)/$NU$21,$NN$21/$NT$21)),0)</f>
        <v/>
      </c>
      <c r="LK21" s="402">
        <f>IF(AND(319&gt;=$NR$21,319&lt;=$NS$21),IF($NP$21="Single_Point",IF(319=$NR$21,$NN$21,0),IF($NP$21="Bell_Curve",$NN$21*(319-$NR$21+1)*($NS$21-319+1)/$NU$21,$NN$21/$NT$21)),0)</f>
        <v/>
      </c>
      <c r="LL21" s="402">
        <f>IF(AND(320&gt;=$NR$21,320&lt;=$NS$21),IF($NP$21="Single_Point",IF(320=$NR$21,$NN$21,0),IF($NP$21="Bell_Curve",$NN$21*(320-$NR$21+1)*($NS$21-320+1)/$NU$21,$NN$21/$NT$21)),0)</f>
        <v/>
      </c>
      <c r="LM21" s="402">
        <f>IF(AND(321&gt;=$NR$21,321&lt;=$NS$21),IF($NP$21="Single_Point",IF(321=$NR$21,$NN$21,0),IF($NP$21="Bell_Curve",$NN$21*(321-$NR$21+1)*($NS$21-321+1)/$NU$21,$NN$21/$NT$21)),0)</f>
        <v/>
      </c>
      <c r="LN21" s="402">
        <f>IF(AND(322&gt;=$NR$21,322&lt;=$NS$21),IF($NP$21="Single_Point",IF(322=$NR$21,$NN$21,0),IF($NP$21="Bell_Curve",$NN$21*(322-$NR$21+1)*($NS$21-322+1)/$NU$21,$NN$21/$NT$21)),0)</f>
        <v/>
      </c>
      <c r="LO21" s="402">
        <f>IF(AND(323&gt;=$NR$21,323&lt;=$NS$21),IF($NP$21="Single_Point",IF(323=$NR$21,$NN$21,0),IF($NP$21="Bell_Curve",$NN$21*(323-$NR$21+1)*($NS$21-323+1)/$NU$21,$NN$21/$NT$21)),0)</f>
        <v/>
      </c>
      <c r="LP21" s="402">
        <f>IF(AND(324&gt;=$NR$21,324&lt;=$NS$21),IF($NP$21="Single_Point",IF(324=$NR$21,$NN$21,0),IF($NP$21="Bell_Curve",$NN$21*(324-$NR$21+1)*($NS$21-324+1)/$NU$21,$NN$21/$NT$21)),0)</f>
        <v/>
      </c>
      <c r="LQ21" s="402">
        <f>IF(AND(325&gt;=$NR$21,325&lt;=$NS$21),IF($NP$21="Single_Point",IF(325=$NR$21,$NN$21,0),IF($NP$21="Bell_Curve",$NN$21*(325-$NR$21+1)*($NS$21-325+1)/$NU$21,$NN$21/$NT$21)),0)</f>
        <v/>
      </c>
      <c r="LR21" s="402">
        <f>IF(AND(326&gt;=$NR$21,326&lt;=$NS$21),IF($NP$21="Single_Point",IF(326=$NR$21,$NN$21,0),IF($NP$21="Bell_Curve",$NN$21*(326-$NR$21+1)*($NS$21-326+1)/$NU$21,$NN$21/$NT$21)),0)</f>
        <v/>
      </c>
      <c r="LS21" s="402">
        <f>IF(AND(327&gt;=$NR$21,327&lt;=$NS$21),IF($NP$21="Single_Point",IF(327=$NR$21,$NN$21,0),IF($NP$21="Bell_Curve",$NN$21*(327-$NR$21+1)*($NS$21-327+1)/$NU$21,$NN$21/$NT$21)),0)</f>
        <v/>
      </c>
      <c r="LT21" s="402">
        <f>IF(AND(328&gt;=$NR$21,328&lt;=$NS$21),IF($NP$21="Single_Point",IF(328=$NR$21,$NN$21,0),IF($NP$21="Bell_Curve",$NN$21*(328-$NR$21+1)*($NS$21-328+1)/$NU$21,$NN$21/$NT$21)),0)</f>
        <v/>
      </c>
      <c r="LU21" s="402">
        <f>IF(AND(329&gt;=$NR$21,329&lt;=$NS$21),IF($NP$21="Single_Point",IF(329=$NR$21,$NN$21,0),IF($NP$21="Bell_Curve",$NN$21*(329-$NR$21+1)*($NS$21-329+1)/$NU$21,$NN$21/$NT$21)),0)</f>
        <v/>
      </c>
      <c r="LV21" s="402">
        <f>IF(AND(330&gt;=$NR$21,330&lt;=$NS$21),IF($NP$21="Single_Point",IF(330=$NR$21,$NN$21,0),IF($NP$21="Bell_Curve",$NN$21*(330-$NR$21+1)*($NS$21-330+1)/$NU$21,$NN$21/$NT$21)),0)</f>
        <v/>
      </c>
      <c r="LW21" s="402">
        <f>IF(AND(331&gt;=$NR$21,331&lt;=$NS$21),IF($NP$21="Single_Point",IF(331=$NR$21,$NN$21,0),IF($NP$21="Bell_Curve",$NN$21*(331-$NR$21+1)*($NS$21-331+1)/$NU$21,$NN$21/$NT$21)),0)</f>
        <v/>
      </c>
      <c r="LX21" s="402">
        <f>IF(AND(332&gt;=$NR$21,332&lt;=$NS$21),IF($NP$21="Single_Point",IF(332=$NR$21,$NN$21,0),IF($NP$21="Bell_Curve",$NN$21*(332-$NR$21+1)*($NS$21-332+1)/$NU$21,$NN$21/$NT$21)),0)</f>
        <v/>
      </c>
      <c r="LY21" s="402">
        <f>IF(AND(333&gt;=$NR$21,333&lt;=$NS$21),IF($NP$21="Single_Point",IF(333=$NR$21,$NN$21,0),IF($NP$21="Bell_Curve",$NN$21*(333-$NR$21+1)*($NS$21-333+1)/$NU$21,$NN$21/$NT$21)),0)</f>
        <v/>
      </c>
      <c r="LZ21" s="402">
        <f>IF(AND(334&gt;=$NR$21,334&lt;=$NS$21),IF($NP$21="Single_Point",IF(334=$NR$21,$NN$21,0),IF($NP$21="Bell_Curve",$NN$21*(334-$NR$21+1)*($NS$21-334+1)/$NU$21,$NN$21/$NT$21)),0)</f>
        <v/>
      </c>
      <c r="MA21" s="402">
        <f>IF(AND(335&gt;=$NR$21,335&lt;=$NS$21),IF($NP$21="Single_Point",IF(335=$NR$21,$NN$21,0),IF($NP$21="Bell_Curve",$NN$21*(335-$NR$21+1)*($NS$21-335+1)/$NU$21,$NN$21/$NT$21)),0)</f>
        <v/>
      </c>
      <c r="MB21" s="402">
        <f>IF(AND(336&gt;=$NR$21,336&lt;=$NS$21),IF($NP$21="Single_Point",IF(336=$NR$21,$NN$21,0),IF($NP$21="Bell_Curve",$NN$21*(336-$NR$21+1)*($NS$21-336+1)/$NU$21,$NN$21/$NT$21)),0)</f>
        <v/>
      </c>
      <c r="MC21" s="402">
        <f>IF(AND(337&gt;=$NR$21,337&lt;=$NS$21),IF($NP$21="Single_Point",IF(337=$NR$21,$NN$21,0),IF($NP$21="Bell_Curve",$NN$21*(337-$NR$21+1)*($NS$21-337+1)/$NU$21,$NN$21/$NT$21)),0)</f>
        <v/>
      </c>
      <c r="MD21" s="402">
        <f>IF(AND(338&gt;=$NR$21,338&lt;=$NS$21),IF($NP$21="Single_Point",IF(338=$NR$21,$NN$21,0),IF($NP$21="Bell_Curve",$NN$21*(338-$NR$21+1)*($NS$21-338+1)/$NU$21,$NN$21/$NT$21)),0)</f>
        <v/>
      </c>
      <c r="ME21" s="402">
        <f>IF(AND(339&gt;=$NR$21,339&lt;=$NS$21),IF($NP$21="Single_Point",IF(339=$NR$21,$NN$21,0),IF($NP$21="Bell_Curve",$NN$21*(339-$NR$21+1)*($NS$21-339+1)/$NU$21,$NN$21/$NT$21)),0)</f>
        <v/>
      </c>
      <c r="MF21" s="402">
        <f>IF(AND(340&gt;=$NR$21,340&lt;=$NS$21),IF($NP$21="Single_Point",IF(340=$NR$21,$NN$21,0),IF($NP$21="Bell_Curve",$NN$21*(340-$NR$21+1)*($NS$21-340+1)/$NU$21,$NN$21/$NT$21)),0)</f>
        <v/>
      </c>
      <c r="MG21" s="402">
        <f>IF(AND(341&gt;=$NR$21,341&lt;=$NS$21),IF($NP$21="Single_Point",IF(341=$NR$21,$NN$21,0),IF($NP$21="Bell_Curve",$NN$21*(341-$NR$21+1)*($NS$21-341+1)/$NU$21,$NN$21/$NT$21)),0)</f>
        <v/>
      </c>
      <c r="MH21" s="402">
        <f>IF(AND(342&gt;=$NR$21,342&lt;=$NS$21),IF($NP$21="Single_Point",IF(342=$NR$21,$NN$21,0),IF($NP$21="Bell_Curve",$NN$21*(342-$NR$21+1)*($NS$21-342+1)/$NU$21,$NN$21/$NT$21)),0)</f>
        <v/>
      </c>
      <c r="MI21" s="402">
        <f>IF(AND(343&gt;=$NR$21,343&lt;=$NS$21),IF($NP$21="Single_Point",IF(343=$NR$21,$NN$21,0),IF($NP$21="Bell_Curve",$NN$21*(343-$NR$21+1)*($NS$21-343+1)/$NU$21,$NN$21/$NT$21)),0)</f>
        <v/>
      </c>
      <c r="MJ21" s="402">
        <f>IF(AND(344&gt;=$NR$21,344&lt;=$NS$21),IF($NP$21="Single_Point",IF(344=$NR$21,$NN$21,0),IF($NP$21="Bell_Curve",$NN$21*(344-$NR$21+1)*($NS$21-344+1)/$NU$21,$NN$21/$NT$21)),0)</f>
        <v/>
      </c>
      <c r="MK21" s="402">
        <f>IF(AND(345&gt;=$NR$21,345&lt;=$NS$21),IF($NP$21="Single_Point",IF(345=$NR$21,$NN$21,0),IF($NP$21="Bell_Curve",$NN$21*(345-$NR$21+1)*($NS$21-345+1)/$NU$21,$NN$21/$NT$21)),0)</f>
        <v/>
      </c>
      <c r="ML21" s="402">
        <f>IF(AND(346&gt;=$NR$21,346&lt;=$NS$21),IF($NP$21="Single_Point",IF(346=$NR$21,$NN$21,0),IF($NP$21="Bell_Curve",$NN$21*(346-$NR$21+1)*($NS$21-346+1)/$NU$21,$NN$21/$NT$21)),0)</f>
        <v/>
      </c>
      <c r="MM21" s="402">
        <f>IF(AND(347&gt;=$NR$21,347&lt;=$NS$21),IF($NP$21="Single_Point",IF(347=$NR$21,$NN$21,0),IF($NP$21="Bell_Curve",$NN$21*(347-$NR$21+1)*($NS$21-347+1)/$NU$21,$NN$21/$NT$21)),0)</f>
        <v/>
      </c>
      <c r="MN21" s="402">
        <f>IF(AND(348&gt;=$NR$21,348&lt;=$NS$21),IF($NP$21="Single_Point",IF(348=$NR$21,$NN$21,0),IF($NP$21="Bell_Curve",$NN$21*(348-$NR$21+1)*($NS$21-348+1)/$NU$21,$NN$21/$NT$21)),0)</f>
        <v/>
      </c>
      <c r="MO21" s="402">
        <f>IF(AND(349&gt;=$NR$21,349&lt;=$NS$21),IF($NP$21="Single_Point",IF(349=$NR$21,$NN$21,0),IF($NP$21="Bell_Curve",$NN$21*(349-$NR$21+1)*($NS$21-349+1)/$NU$21,$NN$21/$NT$21)),0)</f>
        <v/>
      </c>
      <c r="MP21" s="402">
        <f>IF(AND(350&gt;=$NR$21,350&lt;=$NS$21),IF($NP$21="Single_Point",IF(350=$NR$21,$NN$21,0),IF($NP$21="Bell_Curve",$NN$21*(350-$NR$21+1)*($NS$21-350+1)/$NU$21,$NN$21/$NT$21)),0)</f>
        <v/>
      </c>
      <c r="MQ21" s="402">
        <f>IF(AND(351&gt;=$NR$21,351&lt;=$NS$21),IF($NP$21="Single_Point",IF(351=$NR$21,$NN$21,0),IF($NP$21="Bell_Curve",$NN$21*(351-$NR$21+1)*($NS$21-351+1)/$NU$21,$NN$21/$NT$21)),0)</f>
        <v/>
      </c>
      <c r="MR21" s="402">
        <f>IF(AND(352&gt;=$NR$21,352&lt;=$NS$21),IF($NP$21="Single_Point",IF(352=$NR$21,$NN$21,0),IF($NP$21="Bell_Curve",$NN$21*(352-$NR$21+1)*($NS$21-352+1)/$NU$21,$NN$21/$NT$21)),0)</f>
        <v/>
      </c>
      <c r="MS21" s="402">
        <f>IF(AND(353&gt;=$NR$21,353&lt;=$NS$21),IF($NP$21="Single_Point",IF(353=$NR$21,$NN$21,0),IF($NP$21="Bell_Curve",$NN$21*(353-$NR$21+1)*($NS$21-353+1)/$NU$21,$NN$21/$NT$21)),0)</f>
        <v/>
      </c>
      <c r="MT21" s="402">
        <f>IF(AND(354&gt;=$NR$21,354&lt;=$NS$21),IF($NP$21="Single_Point",IF(354=$NR$21,$NN$21,0),IF($NP$21="Bell_Curve",$NN$21*(354-$NR$21+1)*($NS$21-354+1)/$NU$21,$NN$21/$NT$21)),0)</f>
        <v/>
      </c>
      <c r="MU21" s="402">
        <f>IF(AND(355&gt;=$NR$21,355&lt;=$NS$21),IF($NP$21="Single_Point",IF(355=$NR$21,$NN$21,0),IF($NP$21="Bell_Curve",$NN$21*(355-$NR$21+1)*($NS$21-355+1)/$NU$21,$NN$21/$NT$21)),0)</f>
        <v/>
      </c>
      <c r="MV21" s="402">
        <f>IF(AND(356&gt;=$NR$21,356&lt;=$NS$21),IF($NP$21="Single_Point",IF(356=$NR$21,$NN$21,0),IF($NP$21="Bell_Curve",$NN$21*(356-$NR$21+1)*($NS$21-356+1)/$NU$21,$NN$21/$NT$21)),0)</f>
        <v/>
      </c>
      <c r="MW21" s="402">
        <f>IF(AND(357&gt;=$NR$21,357&lt;=$NS$21),IF($NP$21="Single_Point",IF(357=$NR$21,$NN$21,0),IF($NP$21="Bell_Curve",$NN$21*(357-$NR$21+1)*($NS$21-357+1)/$NU$21,$NN$21/$NT$21)),0)</f>
        <v/>
      </c>
      <c r="MX21" s="402">
        <f>IF(AND(358&gt;=$NR$21,358&lt;=$NS$21),IF($NP$21="Single_Point",IF(358=$NR$21,$NN$21,0),IF($NP$21="Bell_Curve",$NN$21*(358-$NR$21+1)*($NS$21-358+1)/$NU$21,$NN$21/$NT$21)),0)</f>
        <v/>
      </c>
      <c r="MY21" s="402">
        <f>IF(AND(359&gt;=$NR$21,359&lt;=$NS$21),IF($NP$21="Single_Point",IF(359=$NR$21,$NN$21,0),IF($NP$21="Bell_Curve",$NN$21*(359-$NR$21+1)*($NS$21-359+1)/$NU$21,$NN$21/$NT$21)),0)</f>
        <v/>
      </c>
      <c r="MZ21" s="402">
        <f>IF(AND(360&gt;=$NR$21,360&lt;=$NS$21),IF($NP$21="Single_Point",IF(360=$NR$21,$NN$21,0),IF($NP$21="Bell_Curve",$NN$21*(360-$NR$21+1)*($NS$21-360+1)/$NU$21,$NN$21/$NT$21)),0)</f>
        <v/>
      </c>
      <c r="NA21" s="402">
        <f>IF(AND(361&gt;=$NR$21,361&lt;=$NS$21),IF($NP$21="Single_Point",IF(361=$NR$21,$NN$21,0),IF($NP$21="Bell_Curve",$NN$21*(361-$NR$21+1)*($NS$21-361+1)/$NU$21,$NN$21/$NT$21)),0)</f>
        <v/>
      </c>
      <c r="NB21" s="402">
        <f>IF(AND(362&gt;=$NR$21,362&lt;=$NS$21),IF($NP$21="Single_Point",IF(362=$NR$21,$NN$21,0),IF($NP$21="Bell_Curve",$NN$21*(362-$NR$21+1)*($NS$21-362+1)/$NU$21,$NN$21/$NT$21)),0)</f>
        <v/>
      </c>
      <c r="NC21" s="402">
        <f>IF(AND(363&gt;=$NR$21,363&lt;=$NS$21),IF($NP$21="Single_Point",IF(363=$NR$21,$NN$21,0),IF($NP$21="Bell_Curve",$NN$21*(363-$NR$21+1)*($NS$21-363+1)/$NU$21,$NN$21/$NT$21)),0)</f>
        <v/>
      </c>
      <c r="ND21" s="402">
        <f>IF(AND(364&gt;=$NR$21,364&lt;=$NS$21),IF($NP$21="Single_Point",IF(364=$NR$21,$NN$21,0),IF($NP$21="Bell_Curve",$NN$21*(364-$NR$21+1)*($NS$21-364+1)/$NU$21,$NN$21/$NT$21)),0)</f>
        <v/>
      </c>
      <c r="NE21" s="402">
        <f>IF(AND(365&gt;=$NR$21,365&lt;=$NS$21),IF($NP$21="Single_Point",IF(365=$NR$21,$NN$21,0),IF($NP$21="Bell_Curve",$NN$21*(365-$NR$21+1)*($NS$21-365+1)/$NU$21,$NN$21/$NT$21)),0)</f>
        <v/>
      </c>
      <c r="NF21" s="402">
        <f>IF(AND(366&gt;=$NR$21,366&lt;=$NS$21),IF($NP$21="Single_Point",IF(366=$NR$21,$NN$21,0),IF($NP$21="Bell_Curve",$NN$21*(366-$NR$21+1)*($NS$21-366+1)/$NU$21,$NN$21/$NT$21)),0)</f>
        <v/>
      </c>
      <c r="NG21" s="402">
        <f>IF(AND(367&gt;=$NR$21,367&lt;=$NS$21),IF($NP$21="Single_Point",IF(367=$NR$21,$NN$21,0),IF($NP$21="Bell_Curve",$NN$21*(367-$NR$21+1)*($NS$21-367+1)/$NU$21,$NN$21/$NT$21)),0)</f>
        <v/>
      </c>
      <c r="NH21" s="402">
        <f>IF(AND(368&gt;=$NR$21,368&lt;=$NS$21),IF($NP$21="Single_Point",IF(368=$NR$21,$NN$21,0),IF($NP$21="Bell_Curve",$NN$21*(368-$NR$21+1)*($NS$21-368+1)/$NU$21,$NN$21/$NT$21)),0)</f>
        <v/>
      </c>
      <c r="NI21" s="402">
        <f>IF(AND(369&gt;=$NR$21,369&lt;=$NS$21),IF($NP$21="Single_Point",IF(369=$NR$21,$NN$21,0),IF($NP$21="Bell_Curve",$NN$21*(369-$NR$21+1)*($NS$21-369+1)/$NU$21,$NN$21/$NT$21)),0)</f>
        <v/>
      </c>
      <c r="NJ21" s="402">
        <f>IF(AND(370&gt;=$NR$21,370&lt;=$NS$21),IF($NP$21="Single_Point",IF(370=$NR$21,$NN$21,0),IF($NP$21="Bell_Curve",$NN$21*(370-$NR$21+1)*($NS$21-370+1)/$NU$21,$NN$21/$NT$21)),0)</f>
        <v/>
      </c>
      <c r="NK21" s="402">
        <f>IF(AND(371&gt;=$NR$21,371&lt;=$NS$21),IF($NP$21="Single_Point",IF(371=$NR$21,$NN$21,0),IF($NP$21="Bell_Curve",$NN$21*(371-$NR$21+1)*($NS$21-371+1)/$NU$21,$NN$21/$NT$21)),0)</f>
        <v/>
      </c>
      <c r="NL21" s="426">
        <f>IF(AND(372&gt;=$NR$21,372&lt;=$NS$21),IF($NP$21="Single_Point",IF(372=$NR$21,$NN$21,0),IF($NP$21="Bell_Curve",$NN$21*(372-$NR$21+1)*($NS$21-372+1)/$NU$21,$NN$21/$NT$21)),0)</f>
        <v/>
      </c>
      <c r="NM21">
        <f>Budget!C20</f>
        <v/>
      </c>
      <c r="NN21" s="218">
        <f>Budget!J20</f>
        <v/>
      </c>
      <c r="NO21" s="144">
        <f>Budget!G20</f>
        <v/>
      </c>
      <c r="NP21" s="144">
        <f>Budget!H20</f>
        <v/>
      </c>
      <c r="NQ21" s="85">
        <f>Budget!I20</f>
        <v/>
      </c>
      <c r="NR21" s="248">
        <f>MAX(1,MIN(372,INDEX(MilestoneStart,MATCH(NO21,MilestoneNames,0))+NQ21))</f>
        <v/>
      </c>
      <c r="NS21" s="248">
        <f>MAX(NR21,MIN(372,INDEX(MilestoneEnd,MATCH(NO21,MilestoneNames,0))+NQ21))</f>
        <v/>
      </c>
      <c r="NT21" s="85">
        <f>NS21-NR21+1</f>
        <v/>
      </c>
      <c r="NU21" s="85">
        <f>NT21*(NT21+1)*(NT21+2)/6</f>
        <v/>
      </c>
    </row>
    <row r="22">
      <c r="B22" s="296">
        <f>Budget!B21</f>
        <v/>
      </c>
      <c r="D22" s="425">
        <f>SUM(E22:NL22)</f>
        <v/>
      </c>
      <c r="E22" s="402">
        <f>IF(AND(1&gt;=$NR$22,1&lt;=$NS$22),IF($NP$22="Single_Point",IF(1=$NR$22,$NN$22,0),IF($NP$22="Bell_Curve",$NN$22*(1-$NR$22+1)*($NS$22-1+1)/$NU$22,$NN$22/$NT$22)),0)</f>
        <v/>
      </c>
      <c r="F22" s="402">
        <f>IF(AND(2&gt;=$NR$22,2&lt;=$NS$22),IF($NP$22="Single_Point",IF(2=$NR$22,$NN$22,0),IF($NP$22="Bell_Curve",$NN$22*(2-$NR$22+1)*($NS$22-2+1)/$NU$22,$NN$22/$NT$22)),0)</f>
        <v/>
      </c>
      <c r="G22" s="402">
        <f>IF(AND(3&gt;=$NR$22,3&lt;=$NS$22),IF($NP$22="Single_Point",IF(3=$NR$22,$NN$22,0),IF($NP$22="Bell_Curve",$NN$22*(3-$NR$22+1)*($NS$22-3+1)/$NU$22,$NN$22/$NT$22)),0)</f>
        <v/>
      </c>
      <c r="H22" s="402">
        <f>IF(AND(4&gt;=$NR$22,4&lt;=$NS$22),IF($NP$22="Single_Point",IF(4=$NR$22,$NN$22,0),IF($NP$22="Bell_Curve",$NN$22*(4-$NR$22+1)*($NS$22-4+1)/$NU$22,$NN$22/$NT$22)),0)</f>
        <v/>
      </c>
      <c r="I22" s="402">
        <f>IF(AND(5&gt;=$NR$22,5&lt;=$NS$22),IF($NP$22="Single_Point",IF(5=$NR$22,$NN$22,0),IF($NP$22="Bell_Curve",$NN$22*(5-$NR$22+1)*($NS$22-5+1)/$NU$22,$NN$22/$NT$22)),0)</f>
        <v/>
      </c>
      <c r="J22" s="402">
        <f>IF(AND(6&gt;=$NR$22,6&lt;=$NS$22),IF($NP$22="Single_Point",IF(6=$NR$22,$NN$22,0),IF($NP$22="Bell_Curve",$NN$22*(6-$NR$22+1)*($NS$22-6+1)/$NU$22,$NN$22/$NT$22)),0)</f>
        <v/>
      </c>
      <c r="K22" s="402">
        <f>IF(AND(7&gt;=$NR$22,7&lt;=$NS$22),IF($NP$22="Single_Point",IF(7=$NR$22,$NN$22,0),IF($NP$22="Bell_Curve",$NN$22*(7-$NR$22+1)*($NS$22-7+1)/$NU$22,$NN$22/$NT$22)),0)</f>
        <v/>
      </c>
      <c r="L22" s="402">
        <f>IF(AND(8&gt;=$NR$22,8&lt;=$NS$22),IF($NP$22="Single_Point",IF(8=$NR$22,$NN$22,0),IF($NP$22="Bell_Curve",$NN$22*(8-$NR$22+1)*($NS$22-8+1)/$NU$22,$NN$22/$NT$22)),0)</f>
        <v/>
      </c>
      <c r="M22" s="402">
        <f>IF(AND(9&gt;=$NR$22,9&lt;=$NS$22),IF($NP$22="Single_Point",IF(9=$NR$22,$NN$22,0),IF($NP$22="Bell_Curve",$NN$22*(9-$NR$22+1)*($NS$22-9+1)/$NU$22,$NN$22/$NT$22)),0)</f>
        <v/>
      </c>
      <c r="N22" s="402">
        <f>IF(AND(10&gt;=$NR$22,10&lt;=$NS$22),IF($NP$22="Single_Point",IF(10=$NR$22,$NN$22,0),IF($NP$22="Bell_Curve",$NN$22*(10-$NR$22+1)*($NS$22-10+1)/$NU$22,$NN$22/$NT$22)),0)</f>
        <v/>
      </c>
      <c r="O22" s="402">
        <f>IF(AND(11&gt;=$NR$22,11&lt;=$NS$22),IF($NP$22="Single_Point",IF(11=$NR$22,$NN$22,0),IF($NP$22="Bell_Curve",$NN$22*(11-$NR$22+1)*($NS$22-11+1)/$NU$22,$NN$22/$NT$22)),0)</f>
        <v/>
      </c>
      <c r="P22" s="402">
        <f>IF(AND(12&gt;=$NR$22,12&lt;=$NS$22),IF($NP$22="Single_Point",IF(12=$NR$22,$NN$22,0),IF($NP$22="Bell_Curve",$NN$22*(12-$NR$22+1)*($NS$22-12+1)/$NU$22,$NN$22/$NT$22)),0)</f>
        <v/>
      </c>
      <c r="Q22" s="402">
        <f>IF(AND(13&gt;=$NR$22,13&lt;=$NS$22),IF($NP$22="Single_Point",IF(13=$NR$22,$NN$22,0),IF($NP$22="Bell_Curve",$NN$22*(13-$NR$22+1)*($NS$22-13+1)/$NU$22,$NN$22/$NT$22)),0)</f>
        <v/>
      </c>
      <c r="R22" s="402">
        <f>IF(AND(14&gt;=$NR$22,14&lt;=$NS$22),IF($NP$22="Single_Point",IF(14=$NR$22,$NN$22,0),IF($NP$22="Bell_Curve",$NN$22*(14-$NR$22+1)*($NS$22-14+1)/$NU$22,$NN$22/$NT$22)),0)</f>
        <v/>
      </c>
      <c r="S22" s="402">
        <f>IF(AND(15&gt;=$NR$22,15&lt;=$NS$22),IF($NP$22="Single_Point",IF(15=$NR$22,$NN$22,0),IF($NP$22="Bell_Curve",$NN$22*(15-$NR$22+1)*($NS$22-15+1)/$NU$22,$NN$22/$NT$22)),0)</f>
        <v/>
      </c>
      <c r="T22" s="402">
        <f>IF(AND(16&gt;=$NR$22,16&lt;=$NS$22),IF($NP$22="Single_Point",IF(16=$NR$22,$NN$22,0),IF($NP$22="Bell_Curve",$NN$22*(16-$NR$22+1)*($NS$22-16+1)/$NU$22,$NN$22/$NT$22)),0)</f>
        <v/>
      </c>
      <c r="U22" s="402">
        <f>IF(AND(17&gt;=$NR$22,17&lt;=$NS$22),IF($NP$22="Single_Point",IF(17=$NR$22,$NN$22,0),IF($NP$22="Bell_Curve",$NN$22*(17-$NR$22+1)*($NS$22-17+1)/$NU$22,$NN$22/$NT$22)),0)</f>
        <v/>
      </c>
      <c r="V22" s="402">
        <f>IF(AND(18&gt;=$NR$22,18&lt;=$NS$22),IF($NP$22="Single_Point",IF(18=$NR$22,$NN$22,0),IF($NP$22="Bell_Curve",$NN$22*(18-$NR$22+1)*($NS$22-18+1)/$NU$22,$NN$22/$NT$22)),0)</f>
        <v/>
      </c>
      <c r="W22" s="402">
        <f>IF(AND(19&gt;=$NR$22,19&lt;=$NS$22),IF($NP$22="Single_Point",IF(19=$NR$22,$NN$22,0),IF($NP$22="Bell_Curve",$NN$22*(19-$NR$22+1)*($NS$22-19+1)/$NU$22,$NN$22/$NT$22)),0)</f>
        <v/>
      </c>
      <c r="X22" s="402">
        <f>IF(AND(20&gt;=$NR$22,20&lt;=$NS$22),IF($NP$22="Single_Point",IF(20=$NR$22,$NN$22,0),IF($NP$22="Bell_Curve",$NN$22*(20-$NR$22+1)*($NS$22-20+1)/$NU$22,$NN$22/$NT$22)),0)</f>
        <v/>
      </c>
      <c r="Y22" s="402">
        <f>IF(AND(21&gt;=$NR$22,21&lt;=$NS$22),IF($NP$22="Single_Point",IF(21=$NR$22,$NN$22,0),IF($NP$22="Bell_Curve",$NN$22*(21-$NR$22+1)*($NS$22-21+1)/$NU$22,$NN$22/$NT$22)),0)</f>
        <v/>
      </c>
      <c r="Z22" s="402">
        <f>IF(AND(22&gt;=$NR$22,22&lt;=$NS$22),IF($NP$22="Single_Point",IF(22=$NR$22,$NN$22,0),IF($NP$22="Bell_Curve",$NN$22*(22-$NR$22+1)*($NS$22-22+1)/$NU$22,$NN$22/$NT$22)),0)</f>
        <v/>
      </c>
      <c r="AA22" s="402">
        <f>IF(AND(23&gt;=$NR$22,23&lt;=$NS$22),IF($NP$22="Single_Point",IF(23=$NR$22,$NN$22,0),IF($NP$22="Bell_Curve",$NN$22*(23-$NR$22+1)*($NS$22-23+1)/$NU$22,$NN$22/$NT$22)),0)</f>
        <v/>
      </c>
      <c r="AB22" s="402">
        <f>IF(AND(24&gt;=$NR$22,24&lt;=$NS$22),IF($NP$22="Single_Point",IF(24=$NR$22,$NN$22,0),IF($NP$22="Bell_Curve",$NN$22*(24-$NR$22+1)*($NS$22-24+1)/$NU$22,$NN$22/$NT$22)),0)</f>
        <v/>
      </c>
      <c r="AC22" s="402">
        <f>IF(AND(25&gt;=$NR$22,25&lt;=$NS$22),IF($NP$22="Single_Point",IF(25=$NR$22,$NN$22,0),IF($NP$22="Bell_Curve",$NN$22*(25-$NR$22+1)*($NS$22-25+1)/$NU$22,$NN$22/$NT$22)),0)</f>
        <v/>
      </c>
      <c r="AD22" s="402">
        <f>IF(AND(26&gt;=$NR$22,26&lt;=$NS$22),IF($NP$22="Single_Point",IF(26=$NR$22,$NN$22,0),IF($NP$22="Bell_Curve",$NN$22*(26-$NR$22+1)*($NS$22-26+1)/$NU$22,$NN$22/$NT$22)),0)</f>
        <v/>
      </c>
      <c r="AE22" s="402">
        <f>IF(AND(27&gt;=$NR$22,27&lt;=$NS$22),IF($NP$22="Single_Point",IF(27=$NR$22,$NN$22,0),IF($NP$22="Bell_Curve",$NN$22*(27-$NR$22+1)*($NS$22-27+1)/$NU$22,$NN$22/$NT$22)),0)</f>
        <v/>
      </c>
      <c r="AF22" s="402">
        <f>IF(AND(28&gt;=$NR$22,28&lt;=$NS$22),IF($NP$22="Single_Point",IF(28=$NR$22,$NN$22,0),IF($NP$22="Bell_Curve",$NN$22*(28-$NR$22+1)*($NS$22-28+1)/$NU$22,$NN$22/$NT$22)),0)</f>
        <v/>
      </c>
      <c r="AG22" s="402">
        <f>IF(AND(29&gt;=$NR$22,29&lt;=$NS$22),IF($NP$22="Single_Point",IF(29=$NR$22,$NN$22,0),IF($NP$22="Bell_Curve",$NN$22*(29-$NR$22+1)*($NS$22-29+1)/$NU$22,$NN$22/$NT$22)),0)</f>
        <v/>
      </c>
      <c r="AH22" s="402">
        <f>IF(AND(30&gt;=$NR$22,30&lt;=$NS$22),IF($NP$22="Single_Point",IF(30=$NR$22,$NN$22,0),IF($NP$22="Bell_Curve",$NN$22*(30-$NR$22+1)*($NS$22-30+1)/$NU$22,$NN$22/$NT$22)),0)</f>
        <v/>
      </c>
      <c r="AI22" s="402">
        <f>IF(AND(31&gt;=$NR$22,31&lt;=$NS$22),IF($NP$22="Single_Point",IF(31=$NR$22,$NN$22,0),IF($NP$22="Bell_Curve",$NN$22*(31-$NR$22+1)*($NS$22-31+1)/$NU$22,$NN$22/$NT$22)),0)</f>
        <v/>
      </c>
      <c r="AJ22" s="402">
        <f>IF(AND(32&gt;=$NR$22,32&lt;=$NS$22),IF($NP$22="Single_Point",IF(32=$NR$22,$NN$22,0),IF($NP$22="Bell_Curve",$NN$22*(32-$NR$22+1)*($NS$22-32+1)/$NU$22,$NN$22/$NT$22)),0)</f>
        <v/>
      </c>
      <c r="AK22" s="402">
        <f>IF(AND(33&gt;=$NR$22,33&lt;=$NS$22),IF($NP$22="Single_Point",IF(33=$NR$22,$NN$22,0),IF($NP$22="Bell_Curve",$NN$22*(33-$NR$22+1)*($NS$22-33+1)/$NU$22,$NN$22/$NT$22)),0)</f>
        <v/>
      </c>
      <c r="AL22" s="402">
        <f>IF(AND(34&gt;=$NR$22,34&lt;=$NS$22),IF($NP$22="Single_Point",IF(34=$NR$22,$NN$22,0),IF($NP$22="Bell_Curve",$NN$22*(34-$NR$22+1)*($NS$22-34+1)/$NU$22,$NN$22/$NT$22)),0)</f>
        <v/>
      </c>
      <c r="AM22" s="402">
        <f>IF(AND(35&gt;=$NR$22,35&lt;=$NS$22),IF($NP$22="Single_Point",IF(35=$NR$22,$NN$22,0),IF($NP$22="Bell_Curve",$NN$22*(35-$NR$22+1)*($NS$22-35+1)/$NU$22,$NN$22/$NT$22)),0)</f>
        <v/>
      </c>
      <c r="AN22" s="402">
        <f>IF(AND(36&gt;=$NR$22,36&lt;=$NS$22),IF($NP$22="Single_Point",IF(36=$NR$22,$NN$22,0),IF($NP$22="Bell_Curve",$NN$22*(36-$NR$22+1)*($NS$22-36+1)/$NU$22,$NN$22/$NT$22)),0)</f>
        <v/>
      </c>
      <c r="AO22" s="402">
        <f>IF(AND(37&gt;=$NR$22,37&lt;=$NS$22),IF($NP$22="Single_Point",IF(37=$NR$22,$NN$22,0),IF($NP$22="Bell_Curve",$NN$22*(37-$NR$22+1)*($NS$22-37+1)/$NU$22,$NN$22/$NT$22)),0)</f>
        <v/>
      </c>
      <c r="AP22" s="402">
        <f>IF(AND(38&gt;=$NR$22,38&lt;=$NS$22),IF($NP$22="Single_Point",IF(38=$NR$22,$NN$22,0),IF($NP$22="Bell_Curve",$NN$22*(38-$NR$22+1)*($NS$22-38+1)/$NU$22,$NN$22/$NT$22)),0)</f>
        <v/>
      </c>
      <c r="AQ22" s="402">
        <f>IF(AND(39&gt;=$NR$22,39&lt;=$NS$22),IF($NP$22="Single_Point",IF(39=$NR$22,$NN$22,0),IF($NP$22="Bell_Curve",$NN$22*(39-$NR$22+1)*($NS$22-39+1)/$NU$22,$NN$22/$NT$22)),0)</f>
        <v/>
      </c>
      <c r="AR22" s="402">
        <f>IF(AND(40&gt;=$NR$22,40&lt;=$NS$22),IF($NP$22="Single_Point",IF(40=$NR$22,$NN$22,0),IF($NP$22="Bell_Curve",$NN$22*(40-$NR$22+1)*($NS$22-40+1)/$NU$22,$NN$22/$NT$22)),0)</f>
        <v/>
      </c>
      <c r="AS22" s="402">
        <f>IF(AND(41&gt;=$NR$22,41&lt;=$NS$22),IF($NP$22="Single_Point",IF(41=$NR$22,$NN$22,0),IF($NP$22="Bell_Curve",$NN$22*(41-$NR$22+1)*($NS$22-41+1)/$NU$22,$NN$22/$NT$22)),0)</f>
        <v/>
      </c>
      <c r="AT22" s="402">
        <f>IF(AND(42&gt;=$NR$22,42&lt;=$NS$22),IF($NP$22="Single_Point",IF(42=$NR$22,$NN$22,0),IF($NP$22="Bell_Curve",$NN$22*(42-$NR$22+1)*($NS$22-42+1)/$NU$22,$NN$22/$NT$22)),0)</f>
        <v/>
      </c>
      <c r="AU22" s="402">
        <f>IF(AND(43&gt;=$NR$22,43&lt;=$NS$22),IF($NP$22="Single_Point",IF(43=$NR$22,$NN$22,0),IF($NP$22="Bell_Curve",$NN$22*(43-$NR$22+1)*($NS$22-43+1)/$NU$22,$NN$22/$NT$22)),0)</f>
        <v/>
      </c>
      <c r="AV22" s="402">
        <f>IF(AND(44&gt;=$NR$22,44&lt;=$NS$22),IF($NP$22="Single_Point",IF(44=$NR$22,$NN$22,0),IF($NP$22="Bell_Curve",$NN$22*(44-$NR$22+1)*($NS$22-44+1)/$NU$22,$NN$22/$NT$22)),0)</f>
        <v/>
      </c>
      <c r="AW22" s="402">
        <f>IF(AND(45&gt;=$NR$22,45&lt;=$NS$22),IF($NP$22="Single_Point",IF(45=$NR$22,$NN$22,0),IF($NP$22="Bell_Curve",$NN$22*(45-$NR$22+1)*($NS$22-45+1)/$NU$22,$NN$22/$NT$22)),0)</f>
        <v/>
      </c>
      <c r="AX22" s="402">
        <f>IF(AND(46&gt;=$NR$22,46&lt;=$NS$22),IF($NP$22="Single_Point",IF(46=$NR$22,$NN$22,0),IF($NP$22="Bell_Curve",$NN$22*(46-$NR$22+1)*($NS$22-46+1)/$NU$22,$NN$22/$NT$22)),0)</f>
        <v/>
      </c>
      <c r="AY22" s="402">
        <f>IF(AND(47&gt;=$NR$22,47&lt;=$NS$22),IF($NP$22="Single_Point",IF(47=$NR$22,$NN$22,0),IF($NP$22="Bell_Curve",$NN$22*(47-$NR$22+1)*($NS$22-47+1)/$NU$22,$NN$22/$NT$22)),0)</f>
        <v/>
      </c>
      <c r="AZ22" s="402">
        <f>IF(AND(48&gt;=$NR$22,48&lt;=$NS$22),IF($NP$22="Single_Point",IF(48=$NR$22,$NN$22,0),IF($NP$22="Bell_Curve",$NN$22*(48-$NR$22+1)*($NS$22-48+1)/$NU$22,$NN$22/$NT$22)),0)</f>
        <v/>
      </c>
      <c r="BA22" s="402">
        <f>IF(AND(49&gt;=$NR$22,49&lt;=$NS$22),IF($NP$22="Single_Point",IF(49=$NR$22,$NN$22,0),IF($NP$22="Bell_Curve",$NN$22*(49-$NR$22+1)*($NS$22-49+1)/$NU$22,$NN$22/$NT$22)),0)</f>
        <v/>
      </c>
      <c r="BB22" s="402">
        <f>IF(AND(50&gt;=$NR$22,50&lt;=$NS$22),IF($NP$22="Single_Point",IF(50=$NR$22,$NN$22,0),IF($NP$22="Bell_Curve",$NN$22*(50-$NR$22+1)*($NS$22-50+1)/$NU$22,$NN$22/$NT$22)),0)</f>
        <v/>
      </c>
      <c r="BC22" s="402">
        <f>IF(AND(51&gt;=$NR$22,51&lt;=$NS$22),IF($NP$22="Single_Point",IF(51=$NR$22,$NN$22,0),IF($NP$22="Bell_Curve",$NN$22*(51-$NR$22+1)*($NS$22-51+1)/$NU$22,$NN$22/$NT$22)),0)</f>
        <v/>
      </c>
      <c r="BD22" s="402">
        <f>IF(AND(52&gt;=$NR$22,52&lt;=$NS$22),IF($NP$22="Single_Point",IF(52=$NR$22,$NN$22,0),IF($NP$22="Bell_Curve",$NN$22*(52-$NR$22+1)*($NS$22-52+1)/$NU$22,$NN$22/$NT$22)),0)</f>
        <v/>
      </c>
      <c r="BE22" s="402">
        <f>IF(AND(53&gt;=$NR$22,53&lt;=$NS$22),IF($NP$22="Single_Point",IF(53=$NR$22,$NN$22,0),IF($NP$22="Bell_Curve",$NN$22*(53-$NR$22+1)*($NS$22-53+1)/$NU$22,$NN$22/$NT$22)),0)</f>
        <v/>
      </c>
      <c r="BF22" s="402">
        <f>IF(AND(54&gt;=$NR$22,54&lt;=$NS$22),IF($NP$22="Single_Point",IF(54=$NR$22,$NN$22,0),IF($NP$22="Bell_Curve",$NN$22*(54-$NR$22+1)*($NS$22-54+1)/$NU$22,$NN$22/$NT$22)),0)</f>
        <v/>
      </c>
      <c r="BG22" s="402">
        <f>IF(AND(55&gt;=$NR$22,55&lt;=$NS$22),IF($NP$22="Single_Point",IF(55=$NR$22,$NN$22,0),IF($NP$22="Bell_Curve",$NN$22*(55-$NR$22+1)*($NS$22-55+1)/$NU$22,$NN$22/$NT$22)),0)</f>
        <v/>
      </c>
      <c r="BH22" s="402">
        <f>IF(AND(56&gt;=$NR$22,56&lt;=$NS$22),IF($NP$22="Single_Point",IF(56=$NR$22,$NN$22,0),IF($NP$22="Bell_Curve",$NN$22*(56-$NR$22+1)*($NS$22-56+1)/$NU$22,$NN$22/$NT$22)),0)</f>
        <v/>
      </c>
      <c r="BI22" s="402">
        <f>IF(AND(57&gt;=$NR$22,57&lt;=$NS$22),IF($NP$22="Single_Point",IF(57=$NR$22,$NN$22,0),IF($NP$22="Bell_Curve",$NN$22*(57-$NR$22+1)*($NS$22-57+1)/$NU$22,$NN$22/$NT$22)),0)</f>
        <v/>
      </c>
      <c r="BJ22" s="402">
        <f>IF(AND(58&gt;=$NR$22,58&lt;=$NS$22),IF($NP$22="Single_Point",IF(58=$NR$22,$NN$22,0),IF($NP$22="Bell_Curve",$NN$22*(58-$NR$22+1)*($NS$22-58+1)/$NU$22,$NN$22/$NT$22)),0)</f>
        <v/>
      </c>
      <c r="BK22" s="402">
        <f>IF(AND(59&gt;=$NR$22,59&lt;=$NS$22),IF($NP$22="Single_Point",IF(59=$NR$22,$NN$22,0),IF($NP$22="Bell_Curve",$NN$22*(59-$NR$22+1)*($NS$22-59+1)/$NU$22,$NN$22/$NT$22)),0)</f>
        <v/>
      </c>
      <c r="BL22" s="402">
        <f>IF(AND(60&gt;=$NR$22,60&lt;=$NS$22),IF($NP$22="Single_Point",IF(60=$NR$22,$NN$22,0),IF($NP$22="Bell_Curve",$NN$22*(60-$NR$22+1)*($NS$22-60+1)/$NU$22,$NN$22/$NT$22)),0)</f>
        <v/>
      </c>
      <c r="BM22" s="402">
        <f>IF(AND(61&gt;=$NR$22,61&lt;=$NS$22),IF($NP$22="Single_Point",IF(61=$NR$22,$NN$22,0),IF($NP$22="Bell_Curve",$NN$22*(61-$NR$22+1)*($NS$22-61+1)/$NU$22,$NN$22/$NT$22)),0)</f>
        <v/>
      </c>
      <c r="BN22" s="402">
        <f>IF(AND(62&gt;=$NR$22,62&lt;=$NS$22),IF($NP$22="Single_Point",IF(62=$NR$22,$NN$22,0),IF($NP$22="Bell_Curve",$NN$22*(62-$NR$22+1)*($NS$22-62+1)/$NU$22,$NN$22/$NT$22)),0)</f>
        <v/>
      </c>
      <c r="BO22" s="402">
        <f>IF(AND(63&gt;=$NR$22,63&lt;=$NS$22),IF($NP$22="Single_Point",IF(63=$NR$22,$NN$22,0),IF($NP$22="Bell_Curve",$NN$22*(63-$NR$22+1)*($NS$22-63+1)/$NU$22,$NN$22/$NT$22)),0)</f>
        <v/>
      </c>
      <c r="BP22" s="402">
        <f>IF(AND(64&gt;=$NR$22,64&lt;=$NS$22),IF($NP$22="Single_Point",IF(64=$NR$22,$NN$22,0),IF($NP$22="Bell_Curve",$NN$22*(64-$NR$22+1)*($NS$22-64+1)/$NU$22,$NN$22/$NT$22)),0)</f>
        <v/>
      </c>
      <c r="BQ22" s="402">
        <f>IF(AND(65&gt;=$NR$22,65&lt;=$NS$22),IF($NP$22="Single_Point",IF(65=$NR$22,$NN$22,0),IF($NP$22="Bell_Curve",$NN$22*(65-$NR$22+1)*($NS$22-65+1)/$NU$22,$NN$22/$NT$22)),0)</f>
        <v/>
      </c>
      <c r="BR22" s="402">
        <f>IF(AND(66&gt;=$NR$22,66&lt;=$NS$22),IF($NP$22="Single_Point",IF(66=$NR$22,$NN$22,0),IF($NP$22="Bell_Curve",$NN$22*(66-$NR$22+1)*($NS$22-66+1)/$NU$22,$NN$22/$NT$22)),0)</f>
        <v/>
      </c>
      <c r="BS22" s="402">
        <f>IF(AND(67&gt;=$NR$22,67&lt;=$NS$22),IF($NP$22="Single_Point",IF(67=$NR$22,$NN$22,0),IF($NP$22="Bell_Curve",$NN$22*(67-$NR$22+1)*($NS$22-67+1)/$NU$22,$NN$22/$NT$22)),0)</f>
        <v/>
      </c>
      <c r="BT22" s="402">
        <f>IF(AND(68&gt;=$NR$22,68&lt;=$NS$22),IF($NP$22="Single_Point",IF(68=$NR$22,$NN$22,0),IF($NP$22="Bell_Curve",$NN$22*(68-$NR$22+1)*($NS$22-68+1)/$NU$22,$NN$22/$NT$22)),0)</f>
        <v/>
      </c>
      <c r="BU22" s="402">
        <f>IF(AND(69&gt;=$NR$22,69&lt;=$NS$22),IF($NP$22="Single_Point",IF(69=$NR$22,$NN$22,0),IF($NP$22="Bell_Curve",$NN$22*(69-$NR$22+1)*($NS$22-69+1)/$NU$22,$NN$22/$NT$22)),0)</f>
        <v/>
      </c>
      <c r="BV22" s="402">
        <f>IF(AND(70&gt;=$NR$22,70&lt;=$NS$22),IF($NP$22="Single_Point",IF(70=$NR$22,$NN$22,0),IF($NP$22="Bell_Curve",$NN$22*(70-$NR$22+1)*($NS$22-70+1)/$NU$22,$NN$22/$NT$22)),0)</f>
        <v/>
      </c>
      <c r="BW22" s="402">
        <f>IF(AND(71&gt;=$NR$22,71&lt;=$NS$22),IF($NP$22="Single_Point",IF(71=$NR$22,$NN$22,0),IF($NP$22="Bell_Curve",$NN$22*(71-$NR$22+1)*($NS$22-71+1)/$NU$22,$NN$22/$NT$22)),0)</f>
        <v/>
      </c>
      <c r="BX22" s="402">
        <f>IF(AND(72&gt;=$NR$22,72&lt;=$NS$22),IF($NP$22="Single_Point",IF(72=$NR$22,$NN$22,0),IF($NP$22="Bell_Curve",$NN$22*(72-$NR$22+1)*($NS$22-72+1)/$NU$22,$NN$22/$NT$22)),0)</f>
        <v/>
      </c>
      <c r="BY22" s="402">
        <f>IF(AND(73&gt;=$NR$22,73&lt;=$NS$22),IF($NP$22="Single_Point",IF(73=$NR$22,$NN$22,0),IF($NP$22="Bell_Curve",$NN$22*(73-$NR$22+1)*($NS$22-73+1)/$NU$22,$NN$22/$NT$22)),0)</f>
        <v/>
      </c>
      <c r="BZ22" s="402">
        <f>IF(AND(74&gt;=$NR$22,74&lt;=$NS$22),IF($NP$22="Single_Point",IF(74=$NR$22,$NN$22,0),IF($NP$22="Bell_Curve",$NN$22*(74-$NR$22+1)*($NS$22-74+1)/$NU$22,$NN$22/$NT$22)),0)</f>
        <v/>
      </c>
      <c r="CA22" s="402">
        <f>IF(AND(75&gt;=$NR$22,75&lt;=$NS$22),IF($NP$22="Single_Point",IF(75=$NR$22,$NN$22,0),IF($NP$22="Bell_Curve",$NN$22*(75-$NR$22+1)*($NS$22-75+1)/$NU$22,$NN$22/$NT$22)),0)</f>
        <v/>
      </c>
      <c r="CB22" s="402">
        <f>IF(AND(76&gt;=$NR$22,76&lt;=$NS$22),IF($NP$22="Single_Point",IF(76=$NR$22,$NN$22,0),IF($NP$22="Bell_Curve",$NN$22*(76-$NR$22+1)*($NS$22-76+1)/$NU$22,$NN$22/$NT$22)),0)</f>
        <v/>
      </c>
      <c r="CC22" s="402">
        <f>IF(AND(77&gt;=$NR$22,77&lt;=$NS$22),IF($NP$22="Single_Point",IF(77=$NR$22,$NN$22,0),IF($NP$22="Bell_Curve",$NN$22*(77-$NR$22+1)*($NS$22-77+1)/$NU$22,$NN$22/$NT$22)),0)</f>
        <v/>
      </c>
      <c r="CD22" s="402">
        <f>IF(AND(78&gt;=$NR$22,78&lt;=$NS$22),IF($NP$22="Single_Point",IF(78=$NR$22,$NN$22,0),IF($NP$22="Bell_Curve",$NN$22*(78-$NR$22+1)*($NS$22-78+1)/$NU$22,$NN$22/$NT$22)),0)</f>
        <v/>
      </c>
      <c r="CE22" s="402">
        <f>IF(AND(79&gt;=$NR$22,79&lt;=$NS$22),IF($NP$22="Single_Point",IF(79=$NR$22,$NN$22,0),IF($NP$22="Bell_Curve",$NN$22*(79-$NR$22+1)*($NS$22-79+1)/$NU$22,$NN$22/$NT$22)),0)</f>
        <v/>
      </c>
      <c r="CF22" s="402">
        <f>IF(AND(80&gt;=$NR$22,80&lt;=$NS$22),IF($NP$22="Single_Point",IF(80=$NR$22,$NN$22,0),IF($NP$22="Bell_Curve",$NN$22*(80-$NR$22+1)*($NS$22-80+1)/$NU$22,$NN$22/$NT$22)),0)</f>
        <v/>
      </c>
      <c r="CG22" s="402">
        <f>IF(AND(81&gt;=$NR$22,81&lt;=$NS$22),IF($NP$22="Single_Point",IF(81=$NR$22,$NN$22,0),IF($NP$22="Bell_Curve",$NN$22*(81-$NR$22+1)*($NS$22-81+1)/$NU$22,$NN$22/$NT$22)),0)</f>
        <v/>
      </c>
      <c r="CH22" s="402">
        <f>IF(AND(82&gt;=$NR$22,82&lt;=$NS$22),IF($NP$22="Single_Point",IF(82=$NR$22,$NN$22,0),IF($NP$22="Bell_Curve",$NN$22*(82-$NR$22+1)*($NS$22-82+1)/$NU$22,$NN$22/$NT$22)),0)</f>
        <v/>
      </c>
      <c r="CI22" s="402">
        <f>IF(AND(83&gt;=$NR$22,83&lt;=$NS$22),IF($NP$22="Single_Point",IF(83=$NR$22,$NN$22,0),IF($NP$22="Bell_Curve",$NN$22*(83-$NR$22+1)*($NS$22-83+1)/$NU$22,$NN$22/$NT$22)),0)</f>
        <v/>
      </c>
      <c r="CJ22" s="402">
        <f>IF(AND(84&gt;=$NR$22,84&lt;=$NS$22),IF($NP$22="Single_Point",IF(84=$NR$22,$NN$22,0),IF($NP$22="Bell_Curve",$NN$22*(84-$NR$22+1)*($NS$22-84+1)/$NU$22,$NN$22/$NT$22)),0)</f>
        <v/>
      </c>
      <c r="CK22" s="402">
        <f>IF(AND(85&gt;=$NR$22,85&lt;=$NS$22),IF($NP$22="Single_Point",IF(85=$NR$22,$NN$22,0),IF($NP$22="Bell_Curve",$NN$22*(85-$NR$22+1)*($NS$22-85+1)/$NU$22,$NN$22/$NT$22)),0)</f>
        <v/>
      </c>
      <c r="CL22" s="402">
        <f>IF(AND(86&gt;=$NR$22,86&lt;=$NS$22),IF($NP$22="Single_Point",IF(86=$NR$22,$NN$22,0),IF($NP$22="Bell_Curve",$NN$22*(86-$NR$22+1)*($NS$22-86+1)/$NU$22,$NN$22/$NT$22)),0)</f>
        <v/>
      </c>
      <c r="CM22" s="402">
        <f>IF(AND(87&gt;=$NR$22,87&lt;=$NS$22),IF($NP$22="Single_Point",IF(87=$NR$22,$NN$22,0),IF($NP$22="Bell_Curve",$NN$22*(87-$NR$22+1)*($NS$22-87+1)/$NU$22,$NN$22/$NT$22)),0)</f>
        <v/>
      </c>
      <c r="CN22" s="402">
        <f>IF(AND(88&gt;=$NR$22,88&lt;=$NS$22),IF($NP$22="Single_Point",IF(88=$NR$22,$NN$22,0),IF($NP$22="Bell_Curve",$NN$22*(88-$NR$22+1)*($NS$22-88+1)/$NU$22,$NN$22/$NT$22)),0)</f>
        <v/>
      </c>
      <c r="CO22" s="402">
        <f>IF(AND(89&gt;=$NR$22,89&lt;=$NS$22),IF($NP$22="Single_Point",IF(89=$NR$22,$NN$22,0),IF($NP$22="Bell_Curve",$NN$22*(89-$NR$22+1)*($NS$22-89+1)/$NU$22,$NN$22/$NT$22)),0)</f>
        <v/>
      </c>
      <c r="CP22" s="402">
        <f>IF(AND(90&gt;=$NR$22,90&lt;=$NS$22),IF($NP$22="Single_Point",IF(90=$NR$22,$NN$22,0),IF($NP$22="Bell_Curve",$NN$22*(90-$NR$22+1)*($NS$22-90+1)/$NU$22,$NN$22/$NT$22)),0)</f>
        <v/>
      </c>
      <c r="CQ22" s="402">
        <f>IF(AND(91&gt;=$NR$22,91&lt;=$NS$22),IF($NP$22="Single_Point",IF(91=$NR$22,$NN$22,0),IF($NP$22="Bell_Curve",$NN$22*(91-$NR$22+1)*($NS$22-91+1)/$NU$22,$NN$22/$NT$22)),0)</f>
        <v/>
      </c>
      <c r="CR22" s="402">
        <f>IF(AND(92&gt;=$NR$22,92&lt;=$NS$22),IF($NP$22="Single_Point",IF(92=$NR$22,$NN$22,0),IF($NP$22="Bell_Curve",$NN$22*(92-$NR$22+1)*($NS$22-92+1)/$NU$22,$NN$22/$NT$22)),0)</f>
        <v/>
      </c>
      <c r="CS22" s="402">
        <f>IF(AND(93&gt;=$NR$22,93&lt;=$NS$22),IF($NP$22="Single_Point",IF(93=$NR$22,$NN$22,0),IF($NP$22="Bell_Curve",$NN$22*(93-$NR$22+1)*($NS$22-93+1)/$NU$22,$NN$22/$NT$22)),0)</f>
        <v/>
      </c>
      <c r="CT22" s="402">
        <f>IF(AND(94&gt;=$NR$22,94&lt;=$NS$22),IF($NP$22="Single_Point",IF(94=$NR$22,$NN$22,0),IF($NP$22="Bell_Curve",$NN$22*(94-$NR$22+1)*($NS$22-94+1)/$NU$22,$NN$22/$NT$22)),0)</f>
        <v/>
      </c>
      <c r="CU22" s="402">
        <f>IF(AND(95&gt;=$NR$22,95&lt;=$NS$22),IF($NP$22="Single_Point",IF(95=$NR$22,$NN$22,0),IF($NP$22="Bell_Curve",$NN$22*(95-$NR$22+1)*($NS$22-95+1)/$NU$22,$NN$22/$NT$22)),0)</f>
        <v/>
      </c>
      <c r="CV22" s="402">
        <f>IF(AND(96&gt;=$NR$22,96&lt;=$NS$22),IF($NP$22="Single_Point",IF(96=$NR$22,$NN$22,0),IF($NP$22="Bell_Curve",$NN$22*(96-$NR$22+1)*($NS$22-96+1)/$NU$22,$NN$22/$NT$22)),0)</f>
        <v/>
      </c>
      <c r="CW22" s="402">
        <f>IF(AND(97&gt;=$NR$22,97&lt;=$NS$22),IF($NP$22="Single_Point",IF(97=$NR$22,$NN$22,0),IF($NP$22="Bell_Curve",$NN$22*(97-$NR$22+1)*($NS$22-97+1)/$NU$22,$NN$22/$NT$22)),0)</f>
        <v/>
      </c>
      <c r="CX22" s="402">
        <f>IF(AND(98&gt;=$NR$22,98&lt;=$NS$22),IF($NP$22="Single_Point",IF(98=$NR$22,$NN$22,0),IF($NP$22="Bell_Curve",$NN$22*(98-$NR$22+1)*($NS$22-98+1)/$NU$22,$NN$22/$NT$22)),0)</f>
        <v/>
      </c>
      <c r="CY22" s="402">
        <f>IF(AND(99&gt;=$NR$22,99&lt;=$NS$22),IF($NP$22="Single_Point",IF(99=$NR$22,$NN$22,0),IF($NP$22="Bell_Curve",$NN$22*(99-$NR$22+1)*($NS$22-99+1)/$NU$22,$NN$22/$NT$22)),0)</f>
        <v/>
      </c>
      <c r="CZ22" s="402">
        <f>IF(AND(100&gt;=$NR$22,100&lt;=$NS$22),IF($NP$22="Single_Point",IF(100=$NR$22,$NN$22,0),IF($NP$22="Bell_Curve",$NN$22*(100-$NR$22+1)*($NS$22-100+1)/$NU$22,$NN$22/$NT$22)),0)</f>
        <v/>
      </c>
      <c r="DA22" s="402">
        <f>IF(AND(101&gt;=$NR$22,101&lt;=$NS$22),IF($NP$22="Single_Point",IF(101=$NR$22,$NN$22,0),IF($NP$22="Bell_Curve",$NN$22*(101-$NR$22+1)*($NS$22-101+1)/$NU$22,$NN$22/$NT$22)),0)</f>
        <v/>
      </c>
      <c r="DB22" s="402">
        <f>IF(AND(102&gt;=$NR$22,102&lt;=$NS$22),IF($NP$22="Single_Point",IF(102=$NR$22,$NN$22,0),IF($NP$22="Bell_Curve",$NN$22*(102-$NR$22+1)*($NS$22-102+1)/$NU$22,$NN$22/$NT$22)),0)</f>
        <v/>
      </c>
      <c r="DC22" s="402">
        <f>IF(AND(103&gt;=$NR$22,103&lt;=$NS$22),IF($NP$22="Single_Point",IF(103=$NR$22,$NN$22,0),IF($NP$22="Bell_Curve",$NN$22*(103-$NR$22+1)*($NS$22-103+1)/$NU$22,$NN$22/$NT$22)),0)</f>
        <v/>
      </c>
      <c r="DD22" s="402">
        <f>IF(AND(104&gt;=$NR$22,104&lt;=$NS$22),IF($NP$22="Single_Point",IF(104=$NR$22,$NN$22,0),IF($NP$22="Bell_Curve",$NN$22*(104-$NR$22+1)*($NS$22-104+1)/$NU$22,$NN$22/$NT$22)),0)</f>
        <v/>
      </c>
      <c r="DE22" s="402">
        <f>IF(AND(105&gt;=$NR$22,105&lt;=$NS$22),IF($NP$22="Single_Point",IF(105=$NR$22,$NN$22,0),IF($NP$22="Bell_Curve",$NN$22*(105-$NR$22+1)*($NS$22-105+1)/$NU$22,$NN$22/$NT$22)),0)</f>
        <v/>
      </c>
      <c r="DF22" s="402">
        <f>IF(AND(106&gt;=$NR$22,106&lt;=$NS$22),IF($NP$22="Single_Point",IF(106=$NR$22,$NN$22,0),IF($NP$22="Bell_Curve",$NN$22*(106-$NR$22+1)*($NS$22-106+1)/$NU$22,$NN$22/$NT$22)),0)</f>
        <v/>
      </c>
      <c r="DG22" s="402">
        <f>IF(AND(107&gt;=$NR$22,107&lt;=$NS$22),IF($NP$22="Single_Point",IF(107=$NR$22,$NN$22,0),IF($NP$22="Bell_Curve",$NN$22*(107-$NR$22+1)*($NS$22-107+1)/$NU$22,$NN$22/$NT$22)),0)</f>
        <v/>
      </c>
      <c r="DH22" s="402">
        <f>IF(AND(108&gt;=$NR$22,108&lt;=$NS$22),IF($NP$22="Single_Point",IF(108=$NR$22,$NN$22,0),IF($NP$22="Bell_Curve",$NN$22*(108-$NR$22+1)*($NS$22-108+1)/$NU$22,$NN$22/$NT$22)),0)</f>
        <v/>
      </c>
      <c r="DI22" s="402">
        <f>IF(AND(109&gt;=$NR$22,109&lt;=$NS$22),IF($NP$22="Single_Point",IF(109=$NR$22,$NN$22,0),IF($NP$22="Bell_Curve",$NN$22*(109-$NR$22+1)*($NS$22-109+1)/$NU$22,$NN$22/$NT$22)),0)</f>
        <v/>
      </c>
      <c r="DJ22" s="402">
        <f>IF(AND(110&gt;=$NR$22,110&lt;=$NS$22),IF($NP$22="Single_Point",IF(110=$NR$22,$NN$22,0),IF($NP$22="Bell_Curve",$NN$22*(110-$NR$22+1)*($NS$22-110+1)/$NU$22,$NN$22/$NT$22)),0)</f>
        <v/>
      </c>
      <c r="DK22" s="402">
        <f>IF(AND(111&gt;=$NR$22,111&lt;=$NS$22),IF($NP$22="Single_Point",IF(111=$NR$22,$NN$22,0),IF($NP$22="Bell_Curve",$NN$22*(111-$NR$22+1)*($NS$22-111+1)/$NU$22,$NN$22/$NT$22)),0)</f>
        <v/>
      </c>
      <c r="DL22" s="402">
        <f>IF(AND(112&gt;=$NR$22,112&lt;=$NS$22),IF($NP$22="Single_Point",IF(112=$NR$22,$NN$22,0),IF($NP$22="Bell_Curve",$NN$22*(112-$NR$22+1)*($NS$22-112+1)/$NU$22,$NN$22/$NT$22)),0)</f>
        <v/>
      </c>
      <c r="DM22" s="402">
        <f>IF(AND(113&gt;=$NR$22,113&lt;=$NS$22),IF($NP$22="Single_Point",IF(113=$NR$22,$NN$22,0),IF($NP$22="Bell_Curve",$NN$22*(113-$NR$22+1)*($NS$22-113+1)/$NU$22,$NN$22/$NT$22)),0)</f>
        <v/>
      </c>
      <c r="DN22" s="402">
        <f>IF(AND(114&gt;=$NR$22,114&lt;=$NS$22),IF($NP$22="Single_Point",IF(114=$NR$22,$NN$22,0),IF($NP$22="Bell_Curve",$NN$22*(114-$NR$22+1)*($NS$22-114+1)/$NU$22,$NN$22/$NT$22)),0)</f>
        <v/>
      </c>
      <c r="DO22" s="402">
        <f>IF(AND(115&gt;=$NR$22,115&lt;=$NS$22),IF($NP$22="Single_Point",IF(115=$NR$22,$NN$22,0),IF($NP$22="Bell_Curve",$NN$22*(115-$NR$22+1)*($NS$22-115+1)/$NU$22,$NN$22/$NT$22)),0)</f>
        <v/>
      </c>
      <c r="DP22" s="402">
        <f>IF(AND(116&gt;=$NR$22,116&lt;=$NS$22),IF($NP$22="Single_Point",IF(116=$NR$22,$NN$22,0),IF($NP$22="Bell_Curve",$NN$22*(116-$NR$22+1)*($NS$22-116+1)/$NU$22,$NN$22/$NT$22)),0)</f>
        <v/>
      </c>
      <c r="DQ22" s="402">
        <f>IF(AND(117&gt;=$NR$22,117&lt;=$NS$22),IF($NP$22="Single_Point",IF(117=$NR$22,$NN$22,0),IF($NP$22="Bell_Curve",$NN$22*(117-$NR$22+1)*($NS$22-117+1)/$NU$22,$NN$22/$NT$22)),0)</f>
        <v/>
      </c>
      <c r="DR22" s="402">
        <f>IF(AND(118&gt;=$NR$22,118&lt;=$NS$22),IF($NP$22="Single_Point",IF(118=$NR$22,$NN$22,0),IF($NP$22="Bell_Curve",$NN$22*(118-$NR$22+1)*($NS$22-118+1)/$NU$22,$NN$22/$NT$22)),0)</f>
        <v/>
      </c>
      <c r="DS22" s="402">
        <f>IF(AND(119&gt;=$NR$22,119&lt;=$NS$22),IF($NP$22="Single_Point",IF(119=$NR$22,$NN$22,0),IF($NP$22="Bell_Curve",$NN$22*(119-$NR$22+1)*($NS$22-119+1)/$NU$22,$NN$22/$NT$22)),0)</f>
        <v/>
      </c>
      <c r="DT22" s="402">
        <f>IF(AND(120&gt;=$NR$22,120&lt;=$NS$22),IF($NP$22="Single_Point",IF(120=$NR$22,$NN$22,0),IF($NP$22="Bell_Curve",$NN$22*(120-$NR$22+1)*($NS$22-120+1)/$NU$22,$NN$22/$NT$22)),0)</f>
        <v/>
      </c>
      <c r="DU22" s="402">
        <f>IF(AND(121&gt;=$NR$22,121&lt;=$NS$22),IF($NP$22="Single_Point",IF(121=$NR$22,$NN$22,0),IF($NP$22="Bell_Curve",$NN$22*(121-$NR$22+1)*($NS$22-121+1)/$NU$22,$NN$22/$NT$22)),0)</f>
        <v/>
      </c>
      <c r="DV22" s="402">
        <f>IF(AND(122&gt;=$NR$22,122&lt;=$NS$22),IF($NP$22="Single_Point",IF(122=$NR$22,$NN$22,0),IF($NP$22="Bell_Curve",$NN$22*(122-$NR$22+1)*($NS$22-122+1)/$NU$22,$NN$22/$NT$22)),0)</f>
        <v/>
      </c>
      <c r="DW22" s="402">
        <f>IF(AND(123&gt;=$NR$22,123&lt;=$NS$22),IF($NP$22="Single_Point",IF(123=$NR$22,$NN$22,0),IF($NP$22="Bell_Curve",$NN$22*(123-$NR$22+1)*($NS$22-123+1)/$NU$22,$NN$22/$NT$22)),0)</f>
        <v/>
      </c>
      <c r="DX22" s="402">
        <f>IF(AND(124&gt;=$NR$22,124&lt;=$NS$22),IF($NP$22="Single_Point",IF(124=$NR$22,$NN$22,0),IF($NP$22="Bell_Curve",$NN$22*(124-$NR$22+1)*($NS$22-124+1)/$NU$22,$NN$22/$NT$22)),0)</f>
        <v/>
      </c>
      <c r="DY22" s="402">
        <f>IF(AND(125&gt;=$NR$22,125&lt;=$NS$22),IF($NP$22="Single_Point",IF(125=$NR$22,$NN$22,0),IF($NP$22="Bell_Curve",$NN$22*(125-$NR$22+1)*($NS$22-125+1)/$NU$22,$NN$22/$NT$22)),0)</f>
        <v/>
      </c>
      <c r="DZ22" s="402">
        <f>IF(AND(126&gt;=$NR$22,126&lt;=$NS$22),IF($NP$22="Single_Point",IF(126=$NR$22,$NN$22,0),IF($NP$22="Bell_Curve",$NN$22*(126-$NR$22+1)*($NS$22-126+1)/$NU$22,$NN$22/$NT$22)),0)</f>
        <v/>
      </c>
      <c r="EA22" s="402">
        <f>IF(AND(127&gt;=$NR$22,127&lt;=$NS$22),IF($NP$22="Single_Point",IF(127=$NR$22,$NN$22,0),IF($NP$22="Bell_Curve",$NN$22*(127-$NR$22+1)*($NS$22-127+1)/$NU$22,$NN$22/$NT$22)),0)</f>
        <v/>
      </c>
      <c r="EB22" s="402">
        <f>IF(AND(128&gt;=$NR$22,128&lt;=$NS$22),IF($NP$22="Single_Point",IF(128=$NR$22,$NN$22,0),IF($NP$22="Bell_Curve",$NN$22*(128-$NR$22+1)*($NS$22-128+1)/$NU$22,$NN$22/$NT$22)),0)</f>
        <v/>
      </c>
      <c r="EC22" s="402">
        <f>IF(AND(129&gt;=$NR$22,129&lt;=$NS$22),IF($NP$22="Single_Point",IF(129=$NR$22,$NN$22,0),IF($NP$22="Bell_Curve",$NN$22*(129-$NR$22+1)*($NS$22-129+1)/$NU$22,$NN$22/$NT$22)),0)</f>
        <v/>
      </c>
      <c r="ED22" s="402">
        <f>IF(AND(130&gt;=$NR$22,130&lt;=$NS$22),IF($NP$22="Single_Point",IF(130=$NR$22,$NN$22,0),IF($NP$22="Bell_Curve",$NN$22*(130-$NR$22+1)*($NS$22-130+1)/$NU$22,$NN$22/$NT$22)),0)</f>
        <v/>
      </c>
      <c r="EE22" s="402">
        <f>IF(AND(131&gt;=$NR$22,131&lt;=$NS$22),IF($NP$22="Single_Point",IF(131=$NR$22,$NN$22,0),IF($NP$22="Bell_Curve",$NN$22*(131-$NR$22+1)*($NS$22-131+1)/$NU$22,$NN$22/$NT$22)),0)</f>
        <v/>
      </c>
      <c r="EF22" s="402">
        <f>IF(AND(132&gt;=$NR$22,132&lt;=$NS$22),IF($NP$22="Single_Point",IF(132=$NR$22,$NN$22,0),IF($NP$22="Bell_Curve",$NN$22*(132-$NR$22+1)*($NS$22-132+1)/$NU$22,$NN$22/$NT$22)),0)</f>
        <v/>
      </c>
      <c r="EG22" s="402">
        <f>IF(AND(133&gt;=$NR$22,133&lt;=$NS$22),IF($NP$22="Single_Point",IF(133=$NR$22,$NN$22,0),IF($NP$22="Bell_Curve",$NN$22*(133-$NR$22+1)*($NS$22-133+1)/$NU$22,$NN$22/$NT$22)),0)</f>
        <v/>
      </c>
      <c r="EH22" s="402">
        <f>IF(AND(134&gt;=$NR$22,134&lt;=$NS$22),IF($NP$22="Single_Point",IF(134=$NR$22,$NN$22,0),IF($NP$22="Bell_Curve",$NN$22*(134-$NR$22+1)*($NS$22-134+1)/$NU$22,$NN$22/$NT$22)),0)</f>
        <v/>
      </c>
      <c r="EI22" s="402">
        <f>IF(AND(135&gt;=$NR$22,135&lt;=$NS$22),IF($NP$22="Single_Point",IF(135=$NR$22,$NN$22,0),IF($NP$22="Bell_Curve",$NN$22*(135-$NR$22+1)*($NS$22-135+1)/$NU$22,$NN$22/$NT$22)),0)</f>
        <v/>
      </c>
      <c r="EJ22" s="402">
        <f>IF(AND(136&gt;=$NR$22,136&lt;=$NS$22),IF($NP$22="Single_Point",IF(136=$NR$22,$NN$22,0),IF($NP$22="Bell_Curve",$NN$22*(136-$NR$22+1)*($NS$22-136+1)/$NU$22,$NN$22/$NT$22)),0)</f>
        <v/>
      </c>
      <c r="EK22" s="402">
        <f>IF(AND(137&gt;=$NR$22,137&lt;=$NS$22),IF($NP$22="Single_Point",IF(137=$NR$22,$NN$22,0),IF($NP$22="Bell_Curve",$NN$22*(137-$NR$22+1)*($NS$22-137+1)/$NU$22,$NN$22/$NT$22)),0)</f>
        <v/>
      </c>
      <c r="EL22" s="402">
        <f>IF(AND(138&gt;=$NR$22,138&lt;=$NS$22),IF($NP$22="Single_Point",IF(138=$NR$22,$NN$22,0),IF($NP$22="Bell_Curve",$NN$22*(138-$NR$22+1)*($NS$22-138+1)/$NU$22,$NN$22/$NT$22)),0)</f>
        <v/>
      </c>
      <c r="EM22" s="402">
        <f>IF(AND(139&gt;=$NR$22,139&lt;=$NS$22),IF($NP$22="Single_Point",IF(139=$NR$22,$NN$22,0),IF($NP$22="Bell_Curve",$NN$22*(139-$NR$22+1)*($NS$22-139+1)/$NU$22,$NN$22/$NT$22)),0)</f>
        <v/>
      </c>
      <c r="EN22" s="402">
        <f>IF(AND(140&gt;=$NR$22,140&lt;=$NS$22),IF($NP$22="Single_Point",IF(140=$NR$22,$NN$22,0),IF($NP$22="Bell_Curve",$NN$22*(140-$NR$22+1)*($NS$22-140+1)/$NU$22,$NN$22/$NT$22)),0)</f>
        <v/>
      </c>
      <c r="EO22" s="402">
        <f>IF(AND(141&gt;=$NR$22,141&lt;=$NS$22),IF($NP$22="Single_Point",IF(141=$NR$22,$NN$22,0),IF($NP$22="Bell_Curve",$NN$22*(141-$NR$22+1)*($NS$22-141+1)/$NU$22,$NN$22/$NT$22)),0)</f>
        <v/>
      </c>
      <c r="EP22" s="402">
        <f>IF(AND(142&gt;=$NR$22,142&lt;=$NS$22),IF($NP$22="Single_Point",IF(142=$NR$22,$NN$22,0),IF($NP$22="Bell_Curve",$NN$22*(142-$NR$22+1)*($NS$22-142+1)/$NU$22,$NN$22/$NT$22)),0)</f>
        <v/>
      </c>
      <c r="EQ22" s="402">
        <f>IF(AND(143&gt;=$NR$22,143&lt;=$NS$22),IF($NP$22="Single_Point",IF(143=$NR$22,$NN$22,0),IF($NP$22="Bell_Curve",$NN$22*(143-$NR$22+1)*($NS$22-143+1)/$NU$22,$NN$22/$NT$22)),0)</f>
        <v/>
      </c>
      <c r="ER22" s="402">
        <f>IF(AND(144&gt;=$NR$22,144&lt;=$NS$22),IF($NP$22="Single_Point",IF(144=$NR$22,$NN$22,0),IF($NP$22="Bell_Curve",$NN$22*(144-$NR$22+1)*($NS$22-144+1)/$NU$22,$NN$22/$NT$22)),0)</f>
        <v/>
      </c>
      <c r="ES22" s="402">
        <f>IF(AND(145&gt;=$NR$22,145&lt;=$NS$22),IF($NP$22="Single_Point",IF(145=$NR$22,$NN$22,0),IF($NP$22="Bell_Curve",$NN$22*(145-$NR$22+1)*($NS$22-145+1)/$NU$22,$NN$22/$NT$22)),0)</f>
        <v/>
      </c>
      <c r="ET22" s="402">
        <f>IF(AND(146&gt;=$NR$22,146&lt;=$NS$22),IF($NP$22="Single_Point",IF(146=$NR$22,$NN$22,0),IF($NP$22="Bell_Curve",$NN$22*(146-$NR$22+1)*($NS$22-146+1)/$NU$22,$NN$22/$NT$22)),0)</f>
        <v/>
      </c>
      <c r="EU22" s="402">
        <f>IF(AND(147&gt;=$NR$22,147&lt;=$NS$22),IF($NP$22="Single_Point",IF(147=$NR$22,$NN$22,0),IF($NP$22="Bell_Curve",$NN$22*(147-$NR$22+1)*($NS$22-147+1)/$NU$22,$NN$22/$NT$22)),0)</f>
        <v/>
      </c>
      <c r="EV22" s="402">
        <f>IF(AND(148&gt;=$NR$22,148&lt;=$NS$22),IF($NP$22="Single_Point",IF(148=$NR$22,$NN$22,0),IF($NP$22="Bell_Curve",$NN$22*(148-$NR$22+1)*($NS$22-148+1)/$NU$22,$NN$22/$NT$22)),0)</f>
        <v/>
      </c>
      <c r="EW22" s="402">
        <f>IF(AND(149&gt;=$NR$22,149&lt;=$NS$22),IF($NP$22="Single_Point",IF(149=$NR$22,$NN$22,0),IF($NP$22="Bell_Curve",$NN$22*(149-$NR$22+1)*($NS$22-149+1)/$NU$22,$NN$22/$NT$22)),0)</f>
        <v/>
      </c>
      <c r="EX22" s="402">
        <f>IF(AND(150&gt;=$NR$22,150&lt;=$NS$22),IF($NP$22="Single_Point",IF(150=$NR$22,$NN$22,0),IF($NP$22="Bell_Curve",$NN$22*(150-$NR$22+1)*($NS$22-150+1)/$NU$22,$NN$22/$NT$22)),0)</f>
        <v/>
      </c>
      <c r="EY22" s="402">
        <f>IF(AND(151&gt;=$NR$22,151&lt;=$NS$22),IF($NP$22="Single_Point",IF(151=$NR$22,$NN$22,0),IF($NP$22="Bell_Curve",$NN$22*(151-$NR$22+1)*($NS$22-151+1)/$NU$22,$NN$22/$NT$22)),0)</f>
        <v/>
      </c>
      <c r="EZ22" s="402">
        <f>IF(AND(152&gt;=$NR$22,152&lt;=$NS$22),IF($NP$22="Single_Point",IF(152=$NR$22,$NN$22,0),IF($NP$22="Bell_Curve",$NN$22*(152-$NR$22+1)*($NS$22-152+1)/$NU$22,$NN$22/$NT$22)),0)</f>
        <v/>
      </c>
      <c r="FA22" s="402">
        <f>IF(AND(153&gt;=$NR$22,153&lt;=$NS$22),IF($NP$22="Single_Point",IF(153=$NR$22,$NN$22,0),IF($NP$22="Bell_Curve",$NN$22*(153-$NR$22+1)*($NS$22-153+1)/$NU$22,$NN$22/$NT$22)),0)</f>
        <v/>
      </c>
      <c r="FB22" s="402">
        <f>IF(AND(154&gt;=$NR$22,154&lt;=$NS$22),IF($NP$22="Single_Point",IF(154=$NR$22,$NN$22,0),IF($NP$22="Bell_Curve",$NN$22*(154-$NR$22+1)*($NS$22-154+1)/$NU$22,$NN$22/$NT$22)),0)</f>
        <v/>
      </c>
      <c r="FC22" s="402">
        <f>IF(AND(155&gt;=$NR$22,155&lt;=$NS$22),IF($NP$22="Single_Point",IF(155=$NR$22,$NN$22,0),IF($NP$22="Bell_Curve",$NN$22*(155-$NR$22+1)*($NS$22-155+1)/$NU$22,$NN$22/$NT$22)),0)</f>
        <v/>
      </c>
      <c r="FD22" s="402">
        <f>IF(AND(156&gt;=$NR$22,156&lt;=$NS$22),IF($NP$22="Single_Point",IF(156=$NR$22,$NN$22,0),IF($NP$22="Bell_Curve",$NN$22*(156-$NR$22+1)*($NS$22-156+1)/$NU$22,$NN$22/$NT$22)),0)</f>
        <v/>
      </c>
      <c r="FE22" s="402">
        <f>IF(AND(157&gt;=$NR$22,157&lt;=$NS$22),IF($NP$22="Single_Point",IF(157=$NR$22,$NN$22,0),IF($NP$22="Bell_Curve",$NN$22*(157-$NR$22+1)*($NS$22-157+1)/$NU$22,$NN$22/$NT$22)),0)</f>
        <v/>
      </c>
      <c r="FF22" s="402">
        <f>IF(AND(158&gt;=$NR$22,158&lt;=$NS$22),IF($NP$22="Single_Point",IF(158=$NR$22,$NN$22,0),IF($NP$22="Bell_Curve",$NN$22*(158-$NR$22+1)*($NS$22-158+1)/$NU$22,$NN$22/$NT$22)),0)</f>
        <v/>
      </c>
      <c r="FG22" s="402">
        <f>IF(AND(159&gt;=$NR$22,159&lt;=$NS$22),IF($NP$22="Single_Point",IF(159=$NR$22,$NN$22,0),IF($NP$22="Bell_Curve",$NN$22*(159-$NR$22+1)*($NS$22-159+1)/$NU$22,$NN$22/$NT$22)),0)</f>
        <v/>
      </c>
      <c r="FH22" s="402">
        <f>IF(AND(160&gt;=$NR$22,160&lt;=$NS$22),IF($NP$22="Single_Point",IF(160=$NR$22,$NN$22,0),IF($NP$22="Bell_Curve",$NN$22*(160-$NR$22+1)*($NS$22-160+1)/$NU$22,$NN$22/$NT$22)),0)</f>
        <v/>
      </c>
      <c r="FI22" s="402">
        <f>IF(AND(161&gt;=$NR$22,161&lt;=$NS$22),IF($NP$22="Single_Point",IF(161=$NR$22,$NN$22,0),IF($NP$22="Bell_Curve",$NN$22*(161-$NR$22+1)*($NS$22-161+1)/$NU$22,$NN$22/$NT$22)),0)</f>
        <v/>
      </c>
      <c r="FJ22" s="402">
        <f>IF(AND(162&gt;=$NR$22,162&lt;=$NS$22),IF($NP$22="Single_Point",IF(162=$NR$22,$NN$22,0),IF($NP$22="Bell_Curve",$NN$22*(162-$NR$22+1)*($NS$22-162+1)/$NU$22,$NN$22/$NT$22)),0)</f>
        <v/>
      </c>
      <c r="FK22" s="402">
        <f>IF(AND(163&gt;=$NR$22,163&lt;=$NS$22),IF($NP$22="Single_Point",IF(163=$NR$22,$NN$22,0),IF($NP$22="Bell_Curve",$NN$22*(163-$NR$22+1)*($NS$22-163+1)/$NU$22,$NN$22/$NT$22)),0)</f>
        <v/>
      </c>
      <c r="FL22" s="402">
        <f>IF(AND(164&gt;=$NR$22,164&lt;=$NS$22),IF($NP$22="Single_Point",IF(164=$NR$22,$NN$22,0),IF($NP$22="Bell_Curve",$NN$22*(164-$NR$22+1)*($NS$22-164+1)/$NU$22,$NN$22/$NT$22)),0)</f>
        <v/>
      </c>
      <c r="FM22" s="402">
        <f>IF(AND(165&gt;=$NR$22,165&lt;=$NS$22),IF($NP$22="Single_Point",IF(165=$NR$22,$NN$22,0),IF($NP$22="Bell_Curve",$NN$22*(165-$NR$22+1)*($NS$22-165+1)/$NU$22,$NN$22/$NT$22)),0)</f>
        <v/>
      </c>
      <c r="FN22" s="402">
        <f>IF(AND(166&gt;=$NR$22,166&lt;=$NS$22),IF($NP$22="Single_Point",IF(166=$NR$22,$NN$22,0),IF($NP$22="Bell_Curve",$NN$22*(166-$NR$22+1)*($NS$22-166+1)/$NU$22,$NN$22/$NT$22)),0)</f>
        <v/>
      </c>
      <c r="FO22" s="402">
        <f>IF(AND(167&gt;=$NR$22,167&lt;=$NS$22),IF($NP$22="Single_Point",IF(167=$NR$22,$NN$22,0),IF($NP$22="Bell_Curve",$NN$22*(167-$NR$22+1)*($NS$22-167+1)/$NU$22,$NN$22/$NT$22)),0)</f>
        <v/>
      </c>
      <c r="FP22" s="402">
        <f>IF(AND(168&gt;=$NR$22,168&lt;=$NS$22),IF($NP$22="Single_Point",IF(168=$NR$22,$NN$22,0),IF($NP$22="Bell_Curve",$NN$22*(168-$NR$22+1)*($NS$22-168+1)/$NU$22,$NN$22/$NT$22)),0)</f>
        <v/>
      </c>
      <c r="FQ22" s="402">
        <f>IF(AND(169&gt;=$NR$22,169&lt;=$NS$22),IF($NP$22="Single_Point",IF(169=$NR$22,$NN$22,0),IF($NP$22="Bell_Curve",$NN$22*(169-$NR$22+1)*($NS$22-169+1)/$NU$22,$NN$22/$NT$22)),0)</f>
        <v/>
      </c>
      <c r="FR22" s="402">
        <f>IF(AND(170&gt;=$NR$22,170&lt;=$NS$22),IF($NP$22="Single_Point",IF(170=$NR$22,$NN$22,0),IF($NP$22="Bell_Curve",$NN$22*(170-$NR$22+1)*($NS$22-170+1)/$NU$22,$NN$22/$NT$22)),0)</f>
        <v/>
      </c>
      <c r="FS22" s="402">
        <f>IF(AND(171&gt;=$NR$22,171&lt;=$NS$22),IF($NP$22="Single_Point",IF(171=$NR$22,$NN$22,0),IF($NP$22="Bell_Curve",$NN$22*(171-$NR$22+1)*($NS$22-171+1)/$NU$22,$NN$22/$NT$22)),0)</f>
        <v/>
      </c>
      <c r="FT22" s="402">
        <f>IF(AND(172&gt;=$NR$22,172&lt;=$NS$22),IF($NP$22="Single_Point",IF(172=$NR$22,$NN$22,0),IF($NP$22="Bell_Curve",$NN$22*(172-$NR$22+1)*($NS$22-172+1)/$NU$22,$NN$22/$NT$22)),0)</f>
        <v/>
      </c>
      <c r="FU22" s="402">
        <f>IF(AND(173&gt;=$NR$22,173&lt;=$NS$22),IF($NP$22="Single_Point",IF(173=$NR$22,$NN$22,0),IF($NP$22="Bell_Curve",$NN$22*(173-$NR$22+1)*($NS$22-173+1)/$NU$22,$NN$22/$NT$22)),0)</f>
        <v/>
      </c>
      <c r="FV22" s="402">
        <f>IF(AND(174&gt;=$NR$22,174&lt;=$NS$22),IF($NP$22="Single_Point",IF(174=$NR$22,$NN$22,0),IF($NP$22="Bell_Curve",$NN$22*(174-$NR$22+1)*($NS$22-174+1)/$NU$22,$NN$22/$NT$22)),0)</f>
        <v/>
      </c>
      <c r="FW22" s="402">
        <f>IF(AND(175&gt;=$NR$22,175&lt;=$NS$22),IF($NP$22="Single_Point",IF(175=$NR$22,$NN$22,0),IF($NP$22="Bell_Curve",$NN$22*(175-$NR$22+1)*($NS$22-175+1)/$NU$22,$NN$22/$NT$22)),0)</f>
        <v/>
      </c>
      <c r="FX22" s="402">
        <f>IF(AND(176&gt;=$NR$22,176&lt;=$NS$22),IF($NP$22="Single_Point",IF(176=$NR$22,$NN$22,0),IF($NP$22="Bell_Curve",$NN$22*(176-$NR$22+1)*($NS$22-176+1)/$NU$22,$NN$22/$NT$22)),0)</f>
        <v/>
      </c>
      <c r="FY22" s="402">
        <f>IF(AND(177&gt;=$NR$22,177&lt;=$NS$22),IF($NP$22="Single_Point",IF(177=$NR$22,$NN$22,0),IF($NP$22="Bell_Curve",$NN$22*(177-$NR$22+1)*($NS$22-177+1)/$NU$22,$NN$22/$NT$22)),0)</f>
        <v/>
      </c>
      <c r="FZ22" s="402">
        <f>IF(AND(178&gt;=$NR$22,178&lt;=$NS$22),IF($NP$22="Single_Point",IF(178=$NR$22,$NN$22,0),IF($NP$22="Bell_Curve",$NN$22*(178-$NR$22+1)*($NS$22-178+1)/$NU$22,$NN$22/$NT$22)),0)</f>
        <v/>
      </c>
      <c r="GA22" s="402">
        <f>IF(AND(179&gt;=$NR$22,179&lt;=$NS$22),IF($NP$22="Single_Point",IF(179=$NR$22,$NN$22,0),IF($NP$22="Bell_Curve",$NN$22*(179-$NR$22+1)*($NS$22-179+1)/$NU$22,$NN$22/$NT$22)),0)</f>
        <v/>
      </c>
      <c r="GB22" s="402">
        <f>IF(AND(180&gt;=$NR$22,180&lt;=$NS$22),IF($NP$22="Single_Point",IF(180=$NR$22,$NN$22,0),IF($NP$22="Bell_Curve",$NN$22*(180-$NR$22+1)*($NS$22-180+1)/$NU$22,$NN$22/$NT$22)),0)</f>
        <v/>
      </c>
      <c r="GC22" s="402">
        <f>IF(AND(181&gt;=$NR$22,181&lt;=$NS$22),IF($NP$22="Single_Point",IF(181=$NR$22,$NN$22,0),IF($NP$22="Bell_Curve",$NN$22*(181-$NR$22+1)*($NS$22-181+1)/$NU$22,$NN$22/$NT$22)),0)</f>
        <v/>
      </c>
      <c r="GD22" s="402">
        <f>IF(AND(182&gt;=$NR$22,182&lt;=$NS$22),IF($NP$22="Single_Point",IF(182=$NR$22,$NN$22,0),IF($NP$22="Bell_Curve",$NN$22*(182-$NR$22+1)*($NS$22-182+1)/$NU$22,$NN$22/$NT$22)),0)</f>
        <v/>
      </c>
      <c r="GE22" s="402">
        <f>IF(AND(183&gt;=$NR$22,183&lt;=$NS$22),IF($NP$22="Single_Point",IF(183=$NR$22,$NN$22,0),IF($NP$22="Bell_Curve",$NN$22*(183-$NR$22+1)*($NS$22-183+1)/$NU$22,$NN$22/$NT$22)),0)</f>
        <v/>
      </c>
      <c r="GF22" s="402">
        <f>IF(AND(184&gt;=$NR$22,184&lt;=$NS$22),IF($NP$22="Single_Point",IF(184=$NR$22,$NN$22,0),IF($NP$22="Bell_Curve",$NN$22*(184-$NR$22+1)*($NS$22-184+1)/$NU$22,$NN$22/$NT$22)),0)</f>
        <v/>
      </c>
      <c r="GG22" s="402">
        <f>IF(AND(185&gt;=$NR$22,185&lt;=$NS$22),IF($NP$22="Single_Point",IF(185=$NR$22,$NN$22,0),IF($NP$22="Bell_Curve",$NN$22*(185-$NR$22+1)*($NS$22-185+1)/$NU$22,$NN$22/$NT$22)),0)</f>
        <v/>
      </c>
      <c r="GH22" s="402">
        <f>IF(AND(186&gt;=$NR$22,186&lt;=$NS$22),IF($NP$22="Single_Point",IF(186=$NR$22,$NN$22,0),IF($NP$22="Bell_Curve",$NN$22*(186-$NR$22+1)*($NS$22-186+1)/$NU$22,$NN$22/$NT$22)),0)</f>
        <v/>
      </c>
      <c r="GI22" s="402">
        <f>IF(AND(187&gt;=$NR$22,187&lt;=$NS$22),IF($NP$22="Single_Point",IF(187=$NR$22,$NN$22,0),IF($NP$22="Bell_Curve",$NN$22*(187-$NR$22+1)*($NS$22-187+1)/$NU$22,$NN$22/$NT$22)),0)</f>
        <v/>
      </c>
      <c r="GJ22" s="402">
        <f>IF(AND(188&gt;=$NR$22,188&lt;=$NS$22),IF($NP$22="Single_Point",IF(188=$NR$22,$NN$22,0),IF($NP$22="Bell_Curve",$NN$22*(188-$NR$22+1)*($NS$22-188+1)/$NU$22,$NN$22/$NT$22)),0)</f>
        <v/>
      </c>
      <c r="GK22" s="402">
        <f>IF(AND(189&gt;=$NR$22,189&lt;=$NS$22),IF($NP$22="Single_Point",IF(189=$NR$22,$NN$22,0),IF($NP$22="Bell_Curve",$NN$22*(189-$NR$22+1)*($NS$22-189+1)/$NU$22,$NN$22/$NT$22)),0)</f>
        <v/>
      </c>
      <c r="GL22" s="402">
        <f>IF(AND(190&gt;=$NR$22,190&lt;=$NS$22),IF($NP$22="Single_Point",IF(190=$NR$22,$NN$22,0),IF($NP$22="Bell_Curve",$NN$22*(190-$NR$22+1)*($NS$22-190+1)/$NU$22,$NN$22/$NT$22)),0)</f>
        <v/>
      </c>
      <c r="GM22" s="402">
        <f>IF(AND(191&gt;=$NR$22,191&lt;=$NS$22),IF($NP$22="Single_Point",IF(191=$NR$22,$NN$22,0),IF($NP$22="Bell_Curve",$NN$22*(191-$NR$22+1)*($NS$22-191+1)/$NU$22,$NN$22/$NT$22)),0)</f>
        <v/>
      </c>
      <c r="GN22" s="402">
        <f>IF(AND(192&gt;=$NR$22,192&lt;=$NS$22),IF($NP$22="Single_Point",IF(192=$NR$22,$NN$22,0),IF($NP$22="Bell_Curve",$NN$22*(192-$NR$22+1)*($NS$22-192+1)/$NU$22,$NN$22/$NT$22)),0)</f>
        <v/>
      </c>
      <c r="GO22" s="402">
        <f>IF(AND(193&gt;=$NR$22,193&lt;=$NS$22),IF($NP$22="Single_Point",IF(193=$NR$22,$NN$22,0),IF($NP$22="Bell_Curve",$NN$22*(193-$NR$22+1)*($NS$22-193+1)/$NU$22,$NN$22/$NT$22)),0)</f>
        <v/>
      </c>
      <c r="GP22" s="402">
        <f>IF(AND(194&gt;=$NR$22,194&lt;=$NS$22),IF($NP$22="Single_Point",IF(194=$NR$22,$NN$22,0),IF($NP$22="Bell_Curve",$NN$22*(194-$NR$22+1)*($NS$22-194+1)/$NU$22,$NN$22/$NT$22)),0)</f>
        <v/>
      </c>
      <c r="GQ22" s="402">
        <f>IF(AND(195&gt;=$NR$22,195&lt;=$NS$22),IF($NP$22="Single_Point",IF(195=$NR$22,$NN$22,0),IF($NP$22="Bell_Curve",$NN$22*(195-$NR$22+1)*($NS$22-195+1)/$NU$22,$NN$22/$NT$22)),0)</f>
        <v/>
      </c>
      <c r="GR22" s="402">
        <f>IF(AND(196&gt;=$NR$22,196&lt;=$NS$22),IF($NP$22="Single_Point",IF(196=$NR$22,$NN$22,0),IF($NP$22="Bell_Curve",$NN$22*(196-$NR$22+1)*($NS$22-196+1)/$NU$22,$NN$22/$NT$22)),0)</f>
        <v/>
      </c>
      <c r="GS22" s="402">
        <f>IF(AND(197&gt;=$NR$22,197&lt;=$NS$22),IF($NP$22="Single_Point",IF(197=$NR$22,$NN$22,0),IF($NP$22="Bell_Curve",$NN$22*(197-$NR$22+1)*($NS$22-197+1)/$NU$22,$NN$22/$NT$22)),0)</f>
        <v/>
      </c>
      <c r="GT22" s="402">
        <f>IF(AND(198&gt;=$NR$22,198&lt;=$NS$22),IF($NP$22="Single_Point",IF(198=$NR$22,$NN$22,0),IF($NP$22="Bell_Curve",$NN$22*(198-$NR$22+1)*($NS$22-198+1)/$NU$22,$NN$22/$NT$22)),0)</f>
        <v/>
      </c>
      <c r="GU22" s="402">
        <f>IF(AND(199&gt;=$NR$22,199&lt;=$NS$22),IF($NP$22="Single_Point",IF(199=$NR$22,$NN$22,0),IF($NP$22="Bell_Curve",$NN$22*(199-$NR$22+1)*($NS$22-199+1)/$NU$22,$NN$22/$NT$22)),0)</f>
        <v/>
      </c>
      <c r="GV22" s="402">
        <f>IF(AND(200&gt;=$NR$22,200&lt;=$NS$22),IF($NP$22="Single_Point",IF(200=$NR$22,$NN$22,0),IF($NP$22="Bell_Curve",$NN$22*(200-$NR$22+1)*($NS$22-200+1)/$NU$22,$NN$22/$NT$22)),0)</f>
        <v/>
      </c>
      <c r="GW22" s="402">
        <f>IF(AND(201&gt;=$NR$22,201&lt;=$NS$22),IF($NP$22="Single_Point",IF(201=$NR$22,$NN$22,0),IF($NP$22="Bell_Curve",$NN$22*(201-$NR$22+1)*($NS$22-201+1)/$NU$22,$NN$22/$NT$22)),0)</f>
        <v/>
      </c>
      <c r="GX22" s="402">
        <f>IF(AND(202&gt;=$NR$22,202&lt;=$NS$22),IF($NP$22="Single_Point",IF(202=$NR$22,$NN$22,0),IF($NP$22="Bell_Curve",$NN$22*(202-$NR$22+1)*($NS$22-202+1)/$NU$22,$NN$22/$NT$22)),0)</f>
        <v/>
      </c>
      <c r="GY22" s="402">
        <f>IF(AND(203&gt;=$NR$22,203&lt;=$NS$22),IF($NP$22="Single_Point",IF(203=$NR$22,$NN$22,0),IF($NP$22="Bell_Curve",$NN$22*(203-$NR$22+1)*($NS$22-203+1)/$NU$22,$NN$22/$NT$22)),0)</f>
        <v/>
      </c>
      <c r="GZ22" s="402">
        <f>IF(AND(204&gt;=$NR$22,204&lt;=$NS$22),IF($NP$22="Single_Point",IF(204=$NR$22,$NN$22,0),IF($NP$22="Bell_Curve",$NN$22*(204-$NR$22+1)*($NS$22-204+1)/$NU$22,$NN$22/$NT$22)),0)</f>
        <v/>
      </c>
      <c r="HA22" s="402">
        <f>IF(AND(205&gt;=$NR$22,205&lt;=$NS$22),IF($NP$22="Single_Point",IF(205=$NR$22,$NN$22,0),IF($NP$22="Bell_Curve",$NN$22*(205-$NR$22+1)*($NS$22-205+1)/$NU$22,$NN$22/$NT$22)),0)</f>
        <v/>
      </c>
      <c r="HB22" s="402">
        <f>IF(AND(206&gt;=$NR$22,206&lt;=$NS$22),IF($NP$22="Single_Point",IF(206=$NR$22,$NN$22,0),IF($NP$22="Bell_Curve",$NN$22*(206-$NR$22+1)*($NS$22-206+1)/$NU$22,$NN$22/$NT$22)),0)</f>
        <v/>
      </c>
      <c r="HC22" s="402">
        <f>IF(AND(207&gt;=$NR$22,207&lt;=$NS$22),IF($NP$22="Single_Point",IF(207=$NR$22,$NN$22,0),IF($NP$22="Bell_Curve",$NN$22*(207-$NR$22+1)*($NS$22-207+1)/$NU$22,$NN$22/$NT$22)),0)</f>
        <v/>
      </c>
      <c r="HD22" s="402">
        <f>IF(AND(208&gt;=$NR$22,208&lt;=$NS$22),IF($NP$22="Single_Point",IF(208=$NR$22,$NN$22,0),IF($NP$22="Bell_Curve",$NN$22*(208-$NR$22+1)*($NS$22-208+1)/$NU$22,$NN$22/$NT$22)),0)</f>
        <v/>
      </c>
      <c r="HE22" s="402">
        <f>IF(AND(209&gt;=$NR$22,209&lt;=$NS$22),IF($NP$22="Single_Point",IF(209=$NR$22,$NN$22,0),IF($NP$22="Bell_Curve",$NN$22*(209-$NR$22+1)*($NS$22-209+1)/$NU$22,$NN$22/$NT$22)),0)</f>
        <v/>
      </c>
      <c r="HF22" s="402">
        <f>IF(AND(210&gt;=$NR$22,210&lt;=$NS$22),IF($NP$22="Single_Point",IF(210=$NR$22,$NN$22,0),IF($NP$22="Bell_Curve",$NN$22*(210-$NR$22+1)*($NS$22-210+1)/$NU$22,$NN$22/$NT$22)),0)</f>
        <v/>
      </c>
      <c r="HG22" s="402">
        <f>IF(AND(211&gt;=$NR$22,211&lt;=$NS$22),IF($NP$22="Single_Point",IF(211=$NR$22,$NN$22,0),IF($NP$22="Bell_Curve",$NN$22*(211-$NR$22+1)*($NS$22-211+1)/$NU$22,$NN$22/$NT$22)),0)</f>
        <v/>
      </c>
      <c r="HH22" s="402">
        <f>IF(AND(212&gt;=$NR$22,212&lt;=$NS$22),IF($NP$22="Single_Point",IF(212=$NR$22,$NN$22,0),IF($NP$22="Bell_Curve",$NN$22*(212-$NR$22+1)*($NS$22-212+1)/$NU$22,$NN$22/$NT$22)),0)</f>
        <v/>
      </c>
      <c r="HI22" s="402">
        <f>IF(AND(213&gt;=$NR$22,213&lt;=$NS$22),IF($NP$22="Single_Point",IF(213=$NR$22,$NN$22,0),IF($NP$22="Bell_Curve",$NN$22*(213-$NR$22+1)*($NS$22-213+1)/$NU$22,$NN$22/$NT$22)),0)</f>
        <v/>
      </c>
      <c r="HJ22" s="402">
        <f>IF(AND(214&gt;=$NR$22,214&lt;=$NS$22),IF($NP$22="Single_Point",IF(214=$NR$22,$NN$22,0),IF($NP$22="Bell_Curve",$NN$22*(214-$NR$22+1)*($NS$22-214+1)/$NU$22,$NN$22/$NT$22)),0)</f>
        <v/>
      </c>
      <c r="HK22" s="402">
        <f>IF(AND(215&gt;=$NR$22,215&lt;=$NS$22),IF($NP$22="Single_Point",IF(215=$NR$22,$NN$22,0),IF($NP$22="Bell_Curve",$NN$22*(215-$NR$22+1)*($NS$22-215+1)/$NU$22,$NN$22/$NT$22)),0)</f>
        <v/>
      </c>
      <c r="HL22" s="402">
        <f>IF(AND(216&gt;=$NR$22,216&lt;=$NS$22),IF($NP$22="Single_Point",IF(216=$NR$22,$NN$22,0),IF($NP$22="Bell_Curve",$NN$22*(216-$NR$22+1)*($NS$22-216+1)/$NU$22,$NN$22/$NT$22)),0)</f>
        <v/>
      </c>
      <c r="HM22" s="402">
        <f>IF(AND(217&gt;=$NR$22,217&lt;=$NS$22),IF($NP$22="Single_Point",IF(217=$NR$22,$NN$22,0),IF($NP$22="Bell_Curve",$NN$22*(217-$NR$22+1)*($NS$22-217+1)/$NU$22,$NN$22/$NT$22)),0)</f>
        <v/>
      </c>
      <c r="HN22" s="402">
        <f>IF(AND(218&gt;=$NR$22,218&lt;=$NS$22),IF($NP$22="Single_Point",IF(218=$NR$22,$NN$22,0),IF($NP$22="Bell_Curve",$NN$22*(218-$NR$22+1)*($NS$22-218+1)/$NU$22,$NN$22/$NT$22)),0)</f>
        <v/>
      </c>
      <c r="HO22" s="402">
        <f>IF(AND(219&gt;=$NR$22,219&lt;=$NS$22),IF($NP$22="Single_Point",IF(219=$NR$22,$NN$22,0),IF($NP$22="Bell_Curve",$NN$22*(219-$NR$22+1)*($NS$22-219+1)/$NU$22,$NN$22/$NT$22)),0)</f>
        <v/>
      </c>
      <c r="HP22" s="402">
        <f>IF(AND(220&gt;=$NR$22,220&lt;=$NS$22),IF($NP$22="Single_Point",IF(220=$NR$22,$NN$22,0),IF($NP$22="Bell_Curve",$NN$22*(220-$NR$22+1)*($NS$22-220+1)/$NU$22,$NN$22/$NT$22)),0)</f>
        <v/>
      </c>
      <c r="HQ22" s="402">
        <f>IF(AND(221&gt;=$NR$22,221&lt;=$NS$22),IF($NP$22="Single_Point",IF(221=$NR$22,$NN$22,0),IF($NP$22="Bell_Curve",$NN$22*(221-$NR$22+1)*($NS$22-221+1)/$NU$22,$NN$22/$NT$22)),0)</f>
        <v/>
      </c>
      <c r="HR22" s="402">
        <f>IF(AND(222&gt;=$NR$22,222&lt;=$NS$22),IF($NP$22="Single_Point",IF(222=$NR$22,$NN$22,0),IF($NP$22="Bell_Curve",$NN$22*(222-$NR$22+1)*($NS$22-222+1)/$NU$22,$NN$22/$NT$22)),0)</f>
        <v/>
      </c>
      <c r="HS22" s="402">
        <f>IF(AND(223&gt;=$NR$22,223&lt;=$NS$22),IF($NP$22="Single_Point",IF(223=$NR$22,$NN$22,0),IF($NP$22="Bell_Curve",$NN$22*(223-$NR$22+1)*($NS$22-223+1)/$NU$22,$NN$22/$NT$22)),0)</f>
        <v/>
      </c>
      <c r="HT22" s="402">
        <f>IF(AND(224&gt;=$NR$22,224&lt;=$NS$22),IF($NP$22="Single_Point",IF(224=$NR$22,$NN$22,0),IF($NP$22="Bell_Curve",$NN$22*(224-$NR$22+1)*($NS$22-224+1)/$NU$22,$NN$22/$NT$22)),0)</f>
        <v/>
      </c>
      <c r="HU22" s="402">
        <f>IF(AND(225&gt;=$NR$22,225&lt;=$NS$22),IF($NP$22="Single_Point",IF(225=$NR$22,$NN$22,0),IF($NP$22="Bell_Curve",$NN$22*(225-$NR$22+1)*($NS$22-225+1)/$NU$22,$NN$22/$NT$22)),0)</f>
        <v/>
      </c>
      <c r="HV22" s="402">
        <f>IF(AND(226&gt;=$NR$22,226&lt;=$NS$22),IF($NP$22="Single_Point",IF(226=$NR$22,$NN$22,0),IF($NP$22="Bell_Curve",$NN$22*(226-$NR$22+1)*($NS$22-226+1)/$NU$22,$NN$22/$NT$22)),0)</f>
        <v/>
      </c>
      <c r="HW22" s="402">
        <f>IF(AND(227&gt;=$NR$22,227&lt;=$NS$22),IF($NP$22="Single_Point",IF(227=$NR$22,$NN$22,0),IF($NP$22="Bell_Curve",$NN$22*(227-$NR$22+1)*($NS$22-227+1)/$NU$22,$NN$22/$NT$22)),0)</f>
        <v/>
      </c>
      <c r="HX22" s="402">
        <f>IF(AND(228&gt;=$NR$22,228&lt;=$NS$22),IF($NP$22="Single_Point",IF(228=$NR$22,$NN$22,0),IF($NP$22="Bell_Curve",$NN$22*(228-$NR$22+1)*($NS$22-228+1)/$NU$22,$NN$22/$NT$22)),0)</f>
        <v/>
      </c>
      <c r="HY22" s="402">
        <f>IF(AND(229&gt;=$NR$22,229&lt;=$NS$22),IF($NP$22="Single_Point",IF(229=$NR$22,$NN$22,0),IF($NP$22="Bell_Curve",$NN$22*(229-$NR$22+1)*($NS$22-229+1)/$NU$22,$NN$22/$NT$22)),0)</f>
        <v/>
      </c>
      <c r="HZ22" s="402">
        <f>IF(AND(230&gt;=$NR$22,230&lt;=$NS$22),IF($NP$22="Single_Point",IF(230=$NR$22,$NN$22,0),IF($NP$22="Bell_Curve",$NN$22*(230-$NR$22+1)*($NS$22-230+1)/$NU$22,$NN$22/$NT$22)),0)</f>
        <v/>
      </c>
      <c r="IA22" s="402">
        <f>IF(AND(231&gt;=$NR$22,231&lt;=$NS$22),IF($NP$22="Single_Point",IF(231=$NR$22,$NN$22,0),IF($NP$22="Bell_Curve",$NN$22*(231-$NR$22+1)*($NS$22-231+1)/$NU$22,$NN$22/$NT$22)),0)</f>
        <v/>
      </c>
      <c r="IB22" s="402">
        <f>IF(AND(232&gt;=$NR$22,232&lt;=$NS$22),IF($NP$22="Single_Point",IF(232=$NR$22,$NN$22,0),IF($NP$22="Bell_Curve",$NN$22*(232-$NR$22+1)*($NS$22-232+1)/$NU$22,$NN$22/$NT$22)),0)</f>
        <v/>
      </c>
      <c r="IC22" s="402">
        <f>IF(AND(233&gt;=$NR$22,233&lt;=$NS$22),IF($NP$22="Single_Point",IF(233=$NR$22,$NN$22,0),IF($NP$22="Bell_Curve",$NN$22*(233-$NR$22+1)*($NS$22-233+1)/$NU$22,$NN$22/$NT$22)),0)</f>
        <v/>
      </c>
      <c r="ID22" s="402">
        <f>IF(AND(234&gt;=$NR$22,234&lt;=$NS$22),IF($NP$22="Single_Point",IF(234=$NR$22,$NN$22,0),IF($NP$22="Bell_Curve",$NN$22*(234-$NR$22+1)*($NS$22-234+1)/$NU$22,$NN$22/$NT$22)),0)</f>
        <v/>
      </c>
      <c r="IE22" s="402">
        <f>IF(AND(235&gt;=$NR$22,235&lt;=$NS$22),IF($NP$22="Single_Point",IF(235=$NR$22,$NN$22,0),IF($NP$22="Bell_Curve",$NN$22*(235-$NR$22+1)*($NS$22-235+1)/$NU$22,$NN$22/$NT$22)),0)</f>
        <v/>
      </c>
      <c r="IF22" s="402">
        <f>IF(AND(236&gt;=$NR$22,236&lt;=$NS$22),IF($NP$22="Single_Point",IF(236=$NR$22,$NN$22,0),IF($NP$22="Bell_Curve",$NN$22*(236-$NR$22+1)*($NS$22-236+1)/$NU$22,$NN$22/$NT$22)),0)</f>
        <v/>
      </c>
      <c r="IG22" s="402">
        <f>IF(AND(237&gt;=$NR$22,237&lt;=$NS$22),IF($NP$22="Single_Point",IF(237=$NR$22,$NN$22,0),IF($NP$22="Bell_Curve",$NN$22*(237-$NR$22+1)*($NS$22-237+1)/$NU$22,$NN$22/$NT$22)),0)</f>
        <v/>
      </c>
      <c r="IH22" s="402">
        <f>IF(AND(238&gt;=$NR$22,238&lt;=$NS$22),IF($NP$22="Single_Point",IF(238=$NR$22,$NN$22,0),IF($NP$22="Bell_Curve",$NN$22*(238-$NR$22+1)*($NS$22-238+1)/$NU$22,$NN$22/$NT$22)),0)</f>
        <v/>
      </c>
      <c r="II22" s="402">
        <f>IF(AND(239&gt;=$NR$22,239&lt;=$NS$22),IF($NP$22="Single_Point",IF(239=$NR$22,$NN$22,0),IF($NP$22="Bell_Curve",$NN$22*(239-$NR$22+1)*($NS$22-239+1)/$NU$22,$NN$22/$NT$22)),0)</f>
        <v/>
      </c>
      <c r="IJ22" s="402">
        <f>IF(AND(240&gt;=$NR$22,240&lt;=$NS$22),IF($NP$22="Single_Point",IF(240=$NR$22,$NN$22,0),IF($NP$22="Bell_Curve",$NN$22*(240-$NR$22+1)*($NS$22-240+1)/$NU$22,$NN$22/$NT$22)),0)</f>
        <v/>
      </c>
      <c r="IK22" s="402">
        <f>IF(AND(241&gt;=$NR$22,241&lt;=$NS$22),IF($NP$22="Single_Point",IF(241=$NR$22,$NN$22,0),IF($NP$22="Bell_Curve",$NN$22*(241-$NR$22+1)*($NS$22-241+1)/$NU$22,$NN$22/$NT$22)),0)</f>
        <v/>
      </c>
      <c r="IL22" s="402">
        <f>IF(AND(242&gt;=$NR$22,242&lt;=$NS$22),IF($NP$22="Single_Point",IF(242=$NR$22,$NN$22,0),IF($NP$22="Bell_Curve",$NN$22*(242-$NR$22+1)*($NS$22-242+1)/$NU$22,$NN$22/$NT$22)),0)</f>
        <v/>
      </c>
      <c r="IM22" s="402">
        <f>IF(AND(243&gt;=$NR$22,243&lt;=$NS$22),IF($NP$22="Single_Point",IF(243=$NR$22,$NN$22,0),IF($NP$22="Bell_Curve",$NN$22*(243-$NR$22+1)*($NS$22-243+1)/$NU$22,$NN$22/$NT$22)),0)</f>
        <v/>
      </c>
      <c r="IN22" s="402">
        <f>IF(AND(244&gt;=$NR$22,244&lt;=$NS$22),IF($NP$22="Single_Point",IF(244=$NR$22,$NN$22,0),IF($NP$22="Bell_Curve",$NN$22*(244-$NR$22+1)*($NS$22-244+1)/$NU$22,$NN$22/$NT$22)),0)</f>
        <v/>
      </c>
      <c r="IO22" s="402">
        <f>IF(AND(245&gt;=$NR$22,245&lt;=$NS$22),IF($NP$22="Single_Point",IF(245=$NR$22,$NN$22,0),IF($NP$22="Bell_Curve",$NN$22*(245-$NR$22+1)*($NS$22-245+1)/$NU$22,$NN$22/$NT$22)),0)</f>
        <v/>
      </c>
      <c r="IP22" s="402">
        <f>IF(AND(246&gt;=$NR$22,246&lt;=$NS$22),IF($NP$22="Single_Point",IF(246=$NR$22,$NN$22,0),IF($NP$22="Bell_Curve",$NN$22*(246-$NR$22+1)*($NS$22-246+1)/$NU$22,$NN$22/$NT$22)),0)</f>
        <v/>
      </c>
      <c r="IQ22" s="402">
        <f>IF(AND(247&gt;=$NR$22,247&lt;=$NS$22),IF($NP$22="Single_Point",IF(247=$NR$22,$NN$22,0),IF($NP$22="Bell_Curve",$NN$22*(247-$NR$22+1)*($NS$22-247+1)/$NU$22,$NN$22/$NT$22)),0)</f>
        <v/>
      </c>
      <c r="IR22" s="402">
        <f>IF(AND(248&gt;=$NR$22,248&lt;=$NS$22),IF($NP$22="Single_Point",IF(248=$NR$22,$NN$22,0),IF($NP$22="Bell_Curve",$NN$22*(248-$NR$22+1)*($NS$22-248+1)/$NU$22,$NN$22/$NT$22)),0)</f>
        <v/>
      </c>
      <c r="IS22" s="402">
        <f>IF(AND(249&gt;=$NR$22,249&lt;=$NS$22),IF($NP$22="Single_Point",IF(249=$NR$22,$NN$22,0),IF($NP$22="Bell_Curve",$NN$22*(249-$NR$22+1)*($NS$22-249+1)/$NU$22,$NN$22/$NT$22)),0)</f>
        <v/>
      </c>
      <c r="IT22" s="402">
        <f>IF(AND(250&gt;=$NR$22,250&lt;=$NS$22),IF($NP$22="Single_Point",IF(250=$NR$22,$NN$22,0),IF($NP$22="Bell_Curve",$NN$22*(250-$NR$22+1)*($NS$22-250+1)/$NU$22,$NN$22/$NT$22)),0)</f>
        <v/>
      </c>
      <c r="IU22" s="402">
        <f>IF(AND(251&gt;=$NR$22,251&lt;=$NS$22),IF($NP$22="Single_Point",IF(251=$NR$22,$NN$22,0),IF($NP$22="Bell_Curve",$NN$22*(251-$NR$22+1)*($NS$22-251+1)/$NU$22,$NN$22/$NT$22)),0)</f>
        <v/>
      </c>
      <c r="IV22" s="402">
        <f>IF(AND(252&gt;=$NR$22,252&lt;=$NS$22),IF($NP$22="Single_Point",IF(252=$NR$22,$NN$22,0),IF($NP$22="Bell_Curve",$NN$22*(252-$NR$22+1)*($NS$22-252+1)/$NU$22,$NN$22/$NT$22)),0)</f>
        <v/>
      </c>
      <c r="IW22" s="402">
        <f>IF(AND(253&gt;=$NR$22,253&lt;=$NS$22),IF($NP$22="Single_Point",IF(253=$NR$22,$NN$22,0),IF($NP$22="Bell_Curve",$NN$22*(253-$NR$22+1)*($NS$22-253+1)/$NU$22,$NN$22/$NT$22)),0)</f>
        <v/>
      </c>
      <c r="IX22" s="402">
        <f>IF(AND(254&gt;=$NR$22,254&lt;=$NS$22),IF($NP$22="Single_Point",IF(254=$NR$22,$NN$22,0),IF($NP$22="Bell_Curve",$NN$22*(254-$NR$22+1)*($NS$22-254+1)/$NU$22,$NN$22/$NT$22)),0)</f>
        <v/>
      </c>
      <c r="IY22" s="402">
        <f>IF(AND(255&gt;=$NR$22,255&lt;=$NS$22),IF($NP$22="Single_Point",IF(255=$NR$22,$NN$22,0),IF($NP$22="Bell_Curve",$NN$22*(255-$NR$22+1)*($NS$22-255+1)/$NU$22,$NN$22/$NT$22)),0)</f>
        <v/>
      </c>
      <c r="IZ22" s="402">
        <f>IF(AND(256&gt;=$NR$22,256&lt;=$NS$22),IF($NP$22="Single_Point",IF(256=$NR$22,$NN$22,0),IF($NP$22="Bell_Curve",$NN$22*(256-$NR$22+1)*($NS$22-256+1)/$NU$22,$NN$22/$NT$22)),0)</f>
        <v/>
      </c>
      <c r="JA22" s="402">
        <f>IF(AND(257&gt;=$NR$22,257&lt;=$NS$22),IF($NP$22="Single_Point",IF(257=$NR$22,$NN$22,0),IF($NP$22="Bell_Curve",$NN$22*(257-$NR$22+1)*($NS$22-257+1)/$NU$22,$NN$22/$NT$22)),0)</f>
        <v/>
      </c>
      <c r="JB22" s="402">
        <f>IF(AND(258&gt;=$NR$22,258&lt;=$NS$22),IF($NP$22="Single_Point",IF(258=$NR$22,$NN$22,0),IF($NP$22="Bell_Curve",$NN$22*(258-$NR$22+1)*($NS$22-258+1)/$NU$22,$NN$22/$NT$22)),0)</f>
        <v/>
      </c>
      <c r="JC22" s="402">
        <f>IF(AND(259&gt;=$NR$22,259&lt;=$NS$22),IF($NP$22="Single_Point",IF(259=$NR$22,$NN$22,0),IF($NP$22="Bell_Curve",$NN$22*(259-$NR$22+1)*($NS$22-259+1)/$NU$22,$NN$22/$NT$22)),0)</f>
        <v/>
      </c>
      <c r="JD22" s="402">
        <f>IF(AND(260&gt;=$NR$22,260&lt;=$NS$22),IF($NP$22="Single_Point",IF(260=$NR$22,$NN$22,0),IF($NP$22="Bell_Curve",$NN$22*(260-$NR$22+1)*($NS$22-260+1)/$NU$22,$NN$22/$NT$22)),0)</f>
        <v/>
      </c>
      <c r="JE22" s="402">
        <f>IF(AND(261&gt;=$NR$22,261&lt;=$NS$22),IF($NP$22="Single_Point",IF(261=$NR$22,$NN$22,0),IF($NP$22="Bell_Curve",$NN$22*(261-$NR$22+1)*($NS$22-261+1)/$NU$22,$NN$22/$NT$22)),0)</f>
        <v/>
      </c>
      <c r="JF22" s="402">
        <f>IF(AND(262&gt;=$NR$22,262&lt;=$NS$22),IF($NP$22="Single_Point",IF(262=$NR$22,$NN$22,0),IF($NP$22="Bell_Curve",$NN$22*(262-$NR$22+1)*($NS$22-262+1)/$NU$22,$NN$22/$NT$22)),0)</f>
        <v/>
      </c>
      <c r="JG22" s="402">
        <f>IF(AND(263&gt;=$NR$22,263&lt;=$NS$22),IF($NP$22="Single_Point",IF(263=$NR$22,$NN$22,0),IF($NP$22="Bell_Curve",$NN$22*(263-$NR$22+1)*($NS$22-263+1)/$NU$22,$NN$22/$NT$22)),0)</f>
        <v/>
      </c>
      <c r="JH22" s="402">
        <f>IF(AND(264&gt;=$NR$22,264&lt;=$NS$22),IF($NP$22="Single_Point",IF(264=$NR$22,$NN$22,0),IF($NP$22="Bell_Curve",$NN$22*(264-$NR$22+1)*($NS$22-264+1)/$NU$22,$NN$22/$NT$22)),0)</f>
        <v/>
      </c>
      <c r="JI22" s="402">
        <f>IF(AND(265&gt;=$NR$22,265&lt;=$NS$22),IF($NP$22="Single_Point",IF(265=$NR$22,$NN$22,0),IF($NP$22="Bell_Curve",$NN$22*(265-$NR$22+1)*($NS$22-265+1)/$NU$22,$NN$22/$NT$22)),0)</f>
        <v/>
      </c>
      <c r="JJ22" s="402">
        <f>IF(AND(266&gt;=$NR$22,266&lt;=$NS$22),IF($NP$22="Single_Point",IF(266=$NR$22,$NN$22,0),IF($NP$22="Bell_Curve",$NN$22*(266-$NR$22+1)*($NS$22-266+1)/$NU$22,$NN$22/$NT$22)),0)</f>
        <v/>
      </c>
      <c r="JK22" s="402">
        <f>IF(AND(267&gt;=$NR$22,267&lt;=$NS$22),IF($NP$22="Single_Point",IF(267=$NR$22,$NN$22,0),IF($NP$22="Bell_Curve",$NN$22*(267-$NR$22+1)*($NS$22-267+1)/$NU$22,$NN$22/$NT$22)),0)</f>
        <v/>
      </c>
      <c r="JL22" s="402">
        <f>IF(AND(268&gt;=$NR$22,268&lt;=$NS$22),IF($NP$22="Single_Point",IF(268=$NR$22,$NN$22,0),IF($NP$22="Bell_Curve",$NN$22*(268-$NR$22+1)*($NS$22-268+1)/$NU$22,$NN$22/$NT$22)),0)</f>
        <v/>
      </c>
      <c r="JM22" s="402">
        <f>IF(AND(269&gt;=$NR$22,269&lt;=$NS$22),IF($NP$22="Single_Point",IF(269=$NR$22,$NN$22,0),IF($NP$22="Bell_Curve",$NN$22*(269-$NR$22+1)*($NS$22-269+1)/$NU$22,$NN$22/$NT$22)),0)</f>
        <v/>
      </c>
      <c r="JN22" s="402">
        <f>IF(AND(270&gt;=$NR$22,270&lt;=$NS$22),IF($NP$22="Single_Point",IF(270=$NR$22,$NN$22,0),IF($NP$22="Bell_Curve",$NN$22*(270-$NR$22+1)*($NS$22-270+1)/$NU$22,$NN$22/$NT$22)),0)</f>
        <v/>
      </c>
      <c r="JO22" s="402">
        <f>IF(AND(271&gt;=$NR$22,271&lt;=$NS$22),IF($NP$22="Single_Point",IF(271=$NR$22,$NN$22,0),IF($NP$22="Bell_Curve",$NN$22*(271-$NR$22+1)*($NS$22-271+1)/$NU$22,$NN$22/$NT$22)),0)</f>
        <v/>
      </c>
      <c r="JP22" s="402">
        <f>IF(AND(272&gt;=$NR$22,272&lt;=$NS$22),IF($NP$22="Single_Point",IF(272=$NR$22,$NN$22,0),IF($NP$22="Bell_Curve",$NN$22*(272-$NR$22+1)*($NS$22-272+1)/$NU$22,$NN$22/$NT$22)),0)</f>
        <v/>
      </c>
      <c r="JQ22" s="402">
        <f>IF(AND(273&gt;=$NR$22,273&lt;=$NS$22),IF($NP$22="Single_Point",IF(273=$NR$22,$NN$22,0),IF($NP$22="Bell_Curve",$NN$22*(273-$NR$22+1)*($NS$22-273+1)/$NU$22,$NN$22/$NT$22)),0)</f>
        <v/>
      </c>
      <c r="JR22" s="402">
        <f>IF(AND(274&gt;=$NR$22,274&lt;=$NS$22),IF($NP$22="Single_Point",IF(274=$NR$22,$NN$22,0),IF($NP$22="Bell_Curve",$NN$22*(274-$NR$22+1)*($NS$22-274+1)/$NU$22,$NN$22/$NT$22)),0)</f>
        <v/>
      </c>
      <c r="JS22" s="402">
        <f>IF(AND(275&gt;=$NR$22,275&lt;=$NS$22),IF($NP$22="Single_Point",IF(275=$NR$22,$NN$22,0),IF($NP$22="Bell_Curve",$NN$22*(275-$NR$22+1)*($NS$22-275+1)/$NU$22,$NN$22/$NT$22)),0)</f>
        <v/>
      </c>
      <c r="JT22" s="402">
        <f>IF(AND(276&gt;=$NR$22,276&lt;=$NS$22),IF($NP$22="Single_Point",IF(276=$NR$22,$NN$22,0),IF($NP$22="Bell_Curve",$NN$22*(276-$NR$22+1)*($NS$22-276+1)/$NU$22,$NN$22/$NT$22)),0)</f>
        <v/>
      </c>
      <c r="JU22" s="402">
        <f>IF(AND(277&gt;=$NR$22,277&lt;=$NS$22),IF($NP$22="Single_Point",IF(277=$NR$22,$NN$22,0),IF($NP$22="Bell_Curve",$NN$22*(277-$NR$22+1)*($NS$22-277+1)/$NU$22,$NN$22/$NT$22)),0)</f>
        <v/>
      </c>
      <c r="JV22" s="402">
        <f>IF(AND(278&gt;=$NR$22,278&lt;=$NS$22),IF($NP$22="Single_Point",IF(278=$NR$22,$NN$22,0),IF($NP$22="Bell_Curve",$NN$22*(278-$NR$22+1)*($NS$22-278+1)/$NU$22,$NN$22/$NT$22)),0)</f>
        <v/>
      </c>
      <c r="JW22" s="402">
        <f>IF(AND(279&gt;=$NR$22,279&lt;=$NS$22),IF($NP$22="Single_Point",IF(279=$NR$22,$NN$22,0),IF($NP$22="Bell_Curve",$NN$22*(279-$NR$22+1)*($NS$22-279+1)/$NU$22,$NN$22/$NT$22)),0)</f>
        <v/>
      </c>
      <c r="JX22" s="402">
        <f>IF(AND(280&gt;=$NR$22,280&lt;=$NS$22),IF($NP$22="Single_Point",IF(280=$NR$22,$NN$22,0),IF($NP$22="Bell_Curve",$NN$22*(280-$NR$22+1)*($NS$22-280+1)/$NU$22,$NN$22/$NT$22)),0)</f>
        <v/>
      </c>
      <c r="JY22" s="402">
        <f>IF(AND(281&gt;=$NR$22,281&lt;=$NS$22),IF($NP$22="Single_Point",IF(281=$NR$22,$NN$22,0),IF($NP$22="Bell_Curve",$NN$22*(281-$NR$22+1)*($NS$22-281+1)/$NU$22,$NN$22/$NT$22)),0)</f>
        <v/>
      </c>
      <c r="JZ22" s="402">
        <f>IF(AND(282&gt;=$NR$22,282&lt;=$NS$22),IF($NP$22="Single_Point",IF(282=$NR$22,$NN$22,0),IF($NP$22="Bell_Curve",$NN$22*(282-$NR$22+1)*($NS$22-282+1)/$NU$22,$NN$22/$NT$22)),0)</f>
        <v/>
      </c>
      <c r="KA22" s="402">
        <f>IF(AND(283&gt;=$NR$22,283&lt;=$NS$22),IF($NP$22="Single_Point",IF(283=$NR$22,$NN$22,0),IF($NP$22="Bell_Curve",$NN$22*(283-$NR$22+1)*($NS$22-283+1)/$NU$22,$NN$22/$NT$22)),0)</f>
        <v/>
      </c>
      <c r="KB22" s="402">
        <f>IF(AND(284&gt;=$NR$22,284&lt;=$NS$22),IF($NP$22="Single_Point",IF(284=$NR$22,$NN$22,0),IF($NP$22="Bell_Curve",$NN$22*(284-$NR$22+1)*($NS$22-284+1)/$NU$22,$NN$22/$NT$22)),0)</f>
        <v/>
      </c>
      <c r="KC22" s="402">
        <f>IF(AND(285&gt;=$NR$22,285&lt;=$NS$22),IF($NP$22="Single_Point",IF(285=$NR$22,$NN$22,0),IF($NP$22="Bell_Curve",$NN$22*(285-$NR$22+1)*($NS$22-285+1)/$NU$22,$NN$22/$NT$22)),0)</f>
        <v/>
      </c>
      <c r="KD22" s="402">
        <f>IF(AND(286&gt;=$NR$22,286&lt;=$NS$22),IF($NP$22="Single_Point",IF(286=$NR$22,$NN$22,0),IF($NP$22="Bell_Curve",$NN$22*(286-$NR$22+1)*($NS$22-286+1)/$NU$22,$NN$22/$NT$22)),0)</f>
        <v/>
      </c>
      <c r="KE22" s="402">
        <f>IF(AND(287&gt;=$NR$22,287&lt;=$NS$22),IF($NP$22="Single_Point",IF(287=$NR$22,$NN$22,0),IF($NP$22="Bell_Curve",$NN$22*(287-$NR$22+1)*($NS$22-287+1)/$NU$22,$NN$22/$NT$22)),0)</f>
        <v/>
      </c>
      <c r="KF22" s="402">
        <f>IF(AND(288&gt;=$NR$22,288&lt;=$NS$22),IF($NP$22="Single_Point",IF(288=$NR$22,$NN$22,0),IF($NP$22="Bell_Curve",$NN$22*(288-$NR$22+1)*($NS$22-288+1)/$NU$22,$NN$22/$NT$22)),0)</f>
        <v/>
      </c>
      <c r="KG22" s="402">
        <f>IF(AND(289&gt;=$NR$22,289&lt;=$NS$22),IF($NP$22="Single_Point",IF(289=$NR$22,$NN$22,0),IF($NP$22="Bell_Curve",$NN$22*(289-$NR$22+1)*($NS$22-289+1)/$NU$22,$NN$22/$NT$22)),0)</f>
        <v/>
      </c>
      <c r="KH22" s="402">
        <f>IF(AND(290&gt;=$NR$22,290&lt;=$NS$22),IF($NP$22="Single_Point",IF(290=$NR$22,$NN$22,0),IF($NP$22="Bell_Curve",$NN$22*(290-$NR$22+1)*($NS$22-290+1)/$NU$22,$NN$22/$NT$22)),0)</f>
        <v/>
      </c>
      <c r="KI22" s="402">
        <f>IF(AND(291&gt;=$NR$22,291&lt;=$NS$22),IF($NP$22="Single_Point",IF(291=$NR$22,$NN$22,0),IF($NP$22="Bell_Curve",$NN$22*(291-$NR$22+1)*($NS$22-291+1)/$NU$22,$NN$22/$NT$22)),0)</f>
        <v/>
      </c>
      <c r="KJ22" s="402">
        <f>IF(AND(292&gt;=$NR$22,292&lt;=$NS$22),IF($NP$22="Single_Point",IF(292=$NR$22,$NN$22,0),IF($NP$22="Bell_Curve",$NN$22*(292-$NR$22+1)*($NS$22-292+1)/$NU$22,$NN$22/$NT$22)),0)</f>
        <v/>
      </c>
      <c r="KK22" s="402">
        <f>IF(AND(293&gt;=$NR$22,293&lt;=$NS$22),IF($NP$22="Single_Point",IF(293=$NR$22,$NN$22,0),IF($NP$22="Bell_Curve",$NN$22*(293-$NR$22+1)*($NS$22-293+1)/$NU$22,$NN$22/$NT$22)),0)</f>
        <v/>
      </c>
      <c r="KL22" s="402">
        <f>IF(AND(294&gt;=$NR$22,294&lt;=$NS$22),IF($NP$22="Single_Point",IF(294=$NR$22,$NN$22,0),IF($NP$22="Bell_Curve",$NN$22*(294-$NR$22+1)*($NS$22-294+1)/$NU$22,$NN$22/$NT$22)),0)</f>
        <v/>
      </c>
      <c r="KM22" s="402">
        <f>IF(AND(295&gt;=$NR$22,295&lt;=$NS$22),IF($NP$22="Single_Point",IF(295=$NR$22,$NN$22,0),IF($NP$22="Bell_Curve",$NN$22*(295-$NR$22+1)*($NS$22-295+1)/$NU$22,$NN$22/$NT$22)),0)</f>
        <v/>
      </c>
      <c r="KN22" s="402">
        <f>IF(AND(296&gt;=$NR$22,296&lt;=$NS$22),IF($NP$22="Single_Point",IF(296=$NR$22,$NN$22,0),IF($NP$22="Bell_Curve",$NN$22*(296-$NR$22+1)*($NS$22-296+1)/$NU$22,$NN$22/$NT$22)),0)</f>
        <v/>
      </c>
      <c r="KO22" s="402">
        <f>IF(AND(297&gt;=$NR$22,297&lt;=$NS$22),IF($NP$22="Single_Point",IF(297=$NR$22,$NN$22,0),IF($NP$22="Bell_Curve",$NN$22*(297-$NR$22+1)*($NS$22-297+1)/$NU$22,$NN$22/$NT$22)),0)</f>
        <v/>
      </c>
      <c r="KP22" s="402">
        <f>IF(AND(298&gt;=$NR$22,298&lt;=$NS$22),IF($NP$22="Single_Point",IF(298=$NR$22,$NN$22,0),IF($NP$22="Bell_Curve",$NN$22*(298-$NR$22+1)*($NS$22-298+1)/$NU$22,$NN$22/$NT$22)),0)</f>
        <v/>
      </c>
      <c r="KQ22" s="402">
        <f>IF(AND(299&gt;=$NR$22,299&lt;=$NS$22),IF($NP$22="Single_Point",IF(299=$NR$22,$NN$22,0),IF($NP$22="Bell_Curve",$NN$22*(299-$NR$22+1)*($NS$22-299+1)/$NU$22,$NN$22/$NT$22)),0)</f>
        <v/>
      </c>
      <c r="KR22" s="402">
        <f>IF(AND(300&gt;=$NR$22,300&lt;=$NS$22),IF($NP$22="Single_Point",IF(300=$NR$22,$NN$22,0),IF($NP$22="Bell_Curve",$NN$22*(300-$NR$22+1)*($NS$22-300+1)/$NU$22,$NN$22/$NT$22)),0)</f>
        <v/>
      </c>
      <c r="KS22" s="402">
        <f>IF(AND(301&gt;=$NR$22,301&lt;=$NS$22),IF($NP$22="Single_Point",IF(301=$NR$22,$NN$22,0),IF($NP$22="Bell_Curve",$NN$22*(301-$NR$22+1)*($NS$22-301+1)/$NU$22,$NN$22/$NT$22)),0)</f>
        <v/>
      </c>
      <c r="KT22" s="402">
        <f>IF(AND(302&gt;=$NR$22,302&lt;=$NS$22),IF($NP$22="Single_Point",IF(302=$NR$22,$NN$22,0),IF($NP$22="Bell_Curve",$NN$22*(302-$NR$22+1)*($NS$22-302+1)/$NU$22,$NN$22/$NT$22)),0)</f>
        <v/>
      </c>
      <c r="KU22" s="402">
        <f>IF(AND(303&gt;=$NR$22,303&lt;=$NS$22),IF($NP$22="Single_Point",IF(303=$NR$22,$NN$22,0),IF($NP$22="Bell_Curve",$NN$22*(303-$NR$22+1)*($NS$22-303+1)/$NU$22,$NN$22/$NT$22)),0)</f>
        <v/>
      </c>
      <c r="KV22" s="402">
        <f>IF(AND(304&gt;=$NR$22,304&lt;=$NS$22),IF($NP$22="Single_Point",IF(304=$NR$22,$NN$22,0),IF($NP$22="Bell_Curve",$NN$22*(304-$NR$22+1)*($NS$22-304+1)/$NU$22,$NN$22/$NT$22)),0)</f>
        <v/>
      </c>
      <c r="KW22" s="402">
        <f>IF(AND(305&gt;=$NR$22,305&lt;=$NS$22),IF($NP$22="Single_Point",IF(305=$NR$22,$NN$22,0),IF($NP$22="Bell_Curve",$NN$22*(305-$NR$22+1)*($NS$22-305+1)/$NU$22,$NN$22/$NT$22)),0)</f>
        <v/>
      </c>
      <c r="KX22" s="402">
        <f>IF(AND(306&gt;=$NR$22,306&lt;=$NS$22),IF($NP$22="Single_Point",IF(306=$NR$22,$NN$22,0),IF($NP$22="Bell_Curve",$NN$22*(306-$NR$22+1)*($NS$22-306+1)/$NU$22,$NN$22/$NT$22)),0)</f>
        <v/>
      </c>
      <c r="KY22" s="402">
        <f>IF(AND(307&gt;=$NR$22,307&lt;=$NS$22),IF($NP$22="Single_Point",IF(307=$NR$22,$NN$22,0),IF($NP$22="Bell_Curve",$NN$22*(307-$NR$22+1)*($NS$22-307+1)/$NU$22,$NN$22/$NT$22)),0)</f>
        <v/>
      </c>
      <c r="KZ22" s="402">
        <f>IF(AND(308&gt;=$NR$22,308&lt;=$NS$22),IF($NP$22="Single_Point",IF(308=$NR$22,$NN$22,0),IF($NP$22="Bell_Curve",$NN$22*(308-$NR$22+1)*($NS$22-308+1)/$NU$22,$NN$22/$NT$22)),0)</f>
        <v/>
      </c>
      <c r="LA22" s="402">
        <f>IF(AND(309&gt;=$NR$22,309&lt;=$NS$22),IF($NP$22="Single_Point",IF(309=$NR$22,$NN$22,0),IF($NP$22="Bell_Curve",$NN$22*(309-$NR$22+1)*($NS$22-309+1)/$NU$22,$NN$22/$NT$22)),0)</f>
        <v/>
      </c>
      <c r="LB22" s="402">
        <f>IF(AND(310&gt;=$NR$22,310&lt;=$NS$22),IF($NP$22="Single_Point",IF(310=$NR$22,$NN$22,0),IF($NP$22="Bell_Curve",$NN$22*(310-$NR$22+1)*($NS$22-310+1)/$NU$22,$NN$22/$NT$22)),0)</f>
        <v/>
      </c>
      <c r="LC22" s="402">
        <f>IF(AND(311&gt;=$NR$22,311&lt;=$NS$22),IF($NP$22="Single_Point",IF(311=$NR$22,$NN$22,0),IF($NP$22="Bell_Curve",$NN$22*(311-$NR$22+1)*($NS$22-311+1)/$NU$22,$NN$22/$NT$22)),0)</f>
        <v/>
      </c>
      <c r="LD22" s="402">
        <f>IF(AND(312&gt;=$NR$22,312&lt;=$NS$22),IF($NP$22="Single_Point",IF(312=$NR$22,$NN$22,0),IF($NP$22="Bell_Curve",$NN$22*(312-$NR$22+1)*($NS$22-312+1)/$NU$22,$NN$22/$NT$22)),0)</f>
        <v/>
      </c>
      <c r="LE22" s="402">
        <f>IF(AND(313&gt;=$NR$22,313&lt;=$NS$22),IF($NP$22="Single_Point",IF(313=$NR$22,$NN$22,0),IF($NP$22="Bell_Curve",$NN$22*(313-$NR$22+1)*($NS$22-313+1)/$NU$22,$NN$22/$NT$22)),0)</f>
        <v/>
      </c>
      <c r="LF22" s="402">
        <f>IF(AND(314&gt;=$NR$22,314&lt;=$NS$22),IF($NP$22="Single_Point",IF(314=$NR$22,$NN$22,0),IF($NP$22="Bell_Curve",$NN$22*(314-$NR$22+1)*($NS$22-314+1)/$NU$22,$NN$22/$NT$22)),0)</f>
        <v/>
      </c>
      <c r="LG22" s="402">
        <f>IF(AND(315&gt;=$NR$22,315&lt;=$NS$22),IF($NP$22="Single_Point",IF(315=$NR$22,$NN$22,0),IF($NP$22="Bell_Curve",$NN$22*(315-$NR$22+1)*($NS$22-315+1)/$NU$22,$NN$22/$NT$22)),0)</f>
        <v/>
      </c>
      <c r="LH22" s="402">
        <f>IF(AND(316&gt;=$NR$22,316&lt;=$NS$22),IF($NP$22="Single_Point",IF(316=$NR$22,$NN$22,0),IF($NP$22="Bell_Curve",$NN$22*(316-$NR$22+1)*($NS$22-316+1)/$NU$22,$NN$22/$NT$22)),0)</f>
        <v/>
      </c>
      <c r="LI22" s="402">
        <f>IF(AND(317&gt;=$NR$22,317&lt;=$NS$22),IF($NP$22="Single_Point",IF(317=$NR$22,$NN$22,0),IF($NP$22="Bell_Curve",$NN$22*(317-$NR$22+1)*($NS$22-317+1)/$NU$22,$NN$22/$NT$22)),0)</f>
        <v/>
      </c>
      <c r="LJ22" s="402">
        <f>IF(AND(318&gt;=$NR$22,318&lt;=$NS$22),IF($NP$22="Single_Point",IF(318=$NR$22,$NN$22,0),IF($NP$22="Bell_Curve",$NN$22*(318-$NR$22+1)*($NS$22-318+1)/$NU$22,$NN$22/$NT$22)),0)</f>
        <v/>
      </c>
      <c r="LK22" s="402">
        <f>IF(AND(319&gt;=$NR$22,319&lt;=$NS$22),IF($NP$22="Single_Point",IF(319=$NR$22,$NN$22,0),IF($NP$22="Bell_Curve",$NN$22*(319-$NR$22+1)*($NS$22-319+1)/$NU$22,$NN$22/$NT$22)),0)</f>
        <v/>
      </c>
      <c r="LL22" s="402">
        <f>IF(AND(320&gt;=$NR$22,320&lt;=$NS$22),IF($NP$22="Single_Point",IF(320=$NR$22,$NN$22,0),IF($NP$22="Bell_Curve",$NN$22*(320-$NR$22+1)*($NS$22-320+1)/$NU$22,$NN$22/$NT$22)),0)</f>
        <v/>
      </c>
      <c r="LM22" s="402">
        <f>IF(AND(321&gt;=$NR$22,321&lt;=$NS$22),IF($NP$22="Single_Point",IF(321=$NR$22,$NN$22,0),IF($NP$22="Bell_Curve",$NN$22*(321-$NR$22+1)*($NS$22-321+1)/$NU$22,$NN$22/$NT$22)),0)</f>
        <v/>
      </c>
      <c r="LN22" s="402">
        <f>IF(AND(322&gt;=$NR$22,322&lt;=$NS$22),IF($NP$22="Single_Point",IF(322=$NR$22,$NN$22,0),IF($NP$22="Bell_Curve",$NN$22*(322-$NR$22+1)*($NS$22-322+1)/$NU$22,$NN$22/$NT$22)),0)</f>
        <v/>
      </c>
      <c r="LO22" s="402">
        <f>IF(AND(323&gt;=$NR$22,323&lt;=$NS$22),IF($NP$22="Single_Point",IF(323=$NR$22,$NN$22,0),IF($NP$22="Bell_Curve",$NN$22*(323-$NR$22+1)*($NS$22-323+1)/$NU$22,$NN$22/$NT$22)),0)</f>
        <v/>
      </c>
      <c r="LP22" s="402">
        <f>IF(AND(324&gt;=$NR$22,324&lt;=$NS$22),IF($NP$22="Single_Point",IF(324=$NR$22,$NN$22,0),IF($NP$22="Bell_Curve",$NN$22*(324-$NR$22+1)*($NS$22-324+1)/$NU$22,$NN$22/$NT$22)),0)</f>
        <v/>
      </c>
      <c r="LQ22" s="402">
        <f>IF(AND(325&gt;=$NR$22,325&lt;=$NS$22),IF($NP$22="Single_Point",IF(325=$NR$22,$NN$22,0),IF($NP$22="Bell_Curve",$NN$22*(325-$NR$22+1)*($NS$22-325+1)/$NU$22,$NN$22/$NT$22)),0)</f>
        <v/>
      </c>
      <c r="LR22" s="402">
        <f>IF(AND(326&gt;=$NR$22,326&lt;=$NS$22),IF($NP$22="Single_Point",IF(326=$NR$22,$NN$22,0),IF($NP$22="Bell_Curve",$NN$22*(326-$NR$22+1)*($NS$22-326+1)/$NU$22,$NN$22/$NT$22)),0)</f>
        <v/>
      </c>
      <c r="LS22" s="402">
        <f>IF(AND(327&gt;=$NR$22,327&lt;=$NS$22),IF($NP$22="Single_Point",IF(327=$NR$22,$NN$22,0),IF($NP$22="Bell_Curve",$NN$22*(327-$NR$22+1)*($NS$22-327+1)/$NU$22,$NN$22/$NT$22)),0)</f>
        <v/>
      </c>
      <c r="LT22" s="402">
        <f>IF(AND(328&gt;=$NR$22,328&lt;=$NS$22),IF($NP$22="Single_Point",IF(328=$NR$22,$NN$22,0),IF($NP$22="Bell_Curve",$NN$22*(328-$NR$22+1)*($NS$22-328+1)/$NU$22,$NN$22/$NT$22)),0)</f>
        <v/>
      </c>
      <c r="LU22" s="402">
        <f>IF(AND(329&gt;=$NR$22,329&lt;=$NS$22),IF($NP$22="Single_Point",IF(329=$NR$22,$NN$22,0),IF($NP$22="Bell_Curve",$NN$22*(329-$NR$22+1)*($NS$22-329+1)/$NU$22,$NN$22/$NT$22)),0)</f>
        <v/>
      </c>
      <c r="LV22" s="402">
        <f>IF(AND(330&gt;=$NR$22,330&lt;=$NS$22),IF($NP$22="Single_Point",IF(330=$NR$22,$NN$22,0),IF($NP$22="Bell_Curve",$NN$22*(330-$NR$22+1)*($NS$22-330+1)/$NU$22,$NN$22/$NT$22)),0)</f>
        <v/>
      </c>
      <c r="LW22" s="402">
        <f>IF(AND(331&gt;=$NR$22,331&lt;=$NS$22),IF($NP$22="Single_Point",IF(331=$NR$22,$NN$22,0),IF($NP$22="Bell_Curve",$NN$22*(331-$NR$22+1)*($NS$22-331+1)/$NU$22,$NN$22/$NT$22)),0)</f>
        <v/>
      </c>
      <c r="LX22" s="402">
        <f>IF(AND(332&gt;=$NR$22,332&lt;=$NS$22),IF($NP$22="Single_Point",IF(332=$NR$22,$NN$22,0),IF($NP$22="Bell_Curve",$NN$22*(332-$NR$22+1)*($NS$22-332+1)/$NU$22,$NN$22/$NT$22)),0)</f>
        <v/>
      </c>
      <c r="LY22" s="402">
        <f>IF(AND(333&gt;=$NR$22,333&lt;=$NS$22),IF($NP$22="Single_Point",IF(333=$NR$22,$NN$22,0),IF($NP$22="Bell_Curve",$NN$22*(333-$NR$22+1)*($NS$22-333+1)/$NU$22,$NN$22/$NT$22)),0)</f>
        <v/>
      </c>
      <c r="LZ22" s="402">
        <f>IF(AND(334&gt;=$NR$22,334&lt;=$NS$22),IF($NP$22="Single_Point",IF(334=$NR$22,$NN$22,0),IF($NP$22="Bell_Curve",$NN$22*(334-$NR$22+1)*($NS$22-334+1)/$NU$22,$NN$22/$NT$22)),0)</f>
        <v/>
      </c>
      <c r="MA22" s="402">
        <f>IF(AND(335&gt;=$NR$22,335&lt;=$NS$22),IF($NP$22="Single_Point",IF(335=$NR$22,$NN$22,0),IF($NP$22="Bell_Curve",$NN$22*(335-$NR$22+1)*($NS$22-335+1)/$NU$22,$NN$22/$NT$22)),0)</f>
        <v/>
      </c>
      <c r="MB22" s="402">
        <f>IF(AND(336&gt;=$NR$22,336&lt;=$NS$22),IF($NP$22="Single_Point",IF(336=$NR$22,$NN$22,0),IF($NP$22="Bell_Curve",$NN$22*(336-$NR$22+1)*($NS$22-336+1)/$NU$22,$NN$22/$NT$22)),0)</f>
        <v/>
      </c>
      <c r="MC22" s="402">
        <f>IF(AND(337&gt;=$NR$22,337&lt;=$NS$22),IF($NP$22="Single_Point",IF(337=$NR$22,$NN$22,0),IF($NP$22="Bell_Curve",$NN$22*(337-$NR$22+1)*($NS$22-337+1)/$NU$22,$NN$22/$NT$22)),0)</f>
        <v/>
      </c>
      <c r="MD22" s="402">
        <f>IF(AND(338&gt;=$NR$22,338&lt;=$NS$22),IF($NP$22="Single_Point",IF(338=$NR$22,$NN$22,0),IF($NP$22="Bell_Curve",$NN$22*(338-$NR$22+1)*($NS$22-338+1)/$NU$22,$NN$22/$NT$22)),0)</f>
        <v/>
      </c>
      <c r="ME22" s="402">
        <f>IF(AND(339&gt;=$NR$22,339&lt;=$NS$22),IF($NP$22="Single_Point",IF(339=$NR$22,$NN$22,0),IF($NP$22="Bell_Curve",$NN$22*(339-$NR$22+1)*($NS$22-339+1)/$NU$22,$NN$22/$NT$22)),0)</f>
        <v/>
      </c>
      <c r="MF22" s="402">
        <f>IF(AND(340&gt;=$NR$22,340&lt;=$NS$22),IF($NP$22="Single_Point",IF(340=$NR$22,$NN$22,0),IF($NP$22="Bell_Curve",$NN$22*(340-$NR$22+1)*($NS$22-340+1)/$NU$22,$NN$22/$NT$22)),0)</f>
        <v/>
      </c>
      <c r="MG22" s="402">
        <f>IF(AND(341&gt;=$NR$22,341&lt;=$NS$22),IF($NP$22="Single_Point",IF(341=$NR$22,$NN$22,0),IF($NP$22="Bell_Curve",$NN$22*(341-$NR$22+1)*($NS$22-341+1)/$NU$22,$NN$22/$NT$22)),0)</f>
        <v/>
      </c>
      <c r="MH22" s="402">
        <f>IF(AND(342&gt;=$NR$22,342&lt;=$NS$22),IF($NP$22="Single_Point",IF(342=$NR$22,$NN$22,0),IF($NP$22="Bell_Curve",$NN$22*(342-$NR$22+1)*($NS$22-342+1)/$NU$22,$NN$22/$NT$22)),0)</f>
        <v/>
      </c>
      <c r="MI22" s="402">
        <f>IF(AND(343&gt;=$NR$22,343&lt;=$NS$22),IF($NP$22="Single_Point",IF(343=$NR$22,$NN$22,0),IF($NP$22="Bell_Curve",$NN$22*(343-$NR$22+1)*($NS$22-343+1)/$NU$22,$NN$22/$NT$22)),0)</f>
        <v/>
      </c>
      <c r="MJ22" s="402">
        <f>IF(AND(344&gt;=$NR$22,344&lt;=$NS$22),IF($NP$22="Single_Point",IF(344=$NR$22,$NN$22,0),IF($NP$22="Bell_Curve",$NN$22*(344-$NR$22+1)*($NS$22-344+1)/$NU$22,$NN$22/$NT$22)),0)</f>
        <v/>
      </c>
      <c r="MK22" s="402">
        <f>IF(AND(345&gt;=$NR$22,345&lt;=$NS$22),IF($NP$22="Single_Point",IF(345=$NR$22,$NN$22,0),IF($NP$22="Bell_Curve",$NN$22*(345-$NR$22+1)*($NS$22-345+1)/$NU$22,$NN$22/$NT$22)),0)</f>
        <v/>
      </c>
      <c r="ML22" s="402">
        <f>IF(AND(346&gt;=$NR$22,346&lt;=$NS$22),IF($NP$22="Single_Point",IF(346=$NR$22,$NN$22,0),IF($NP$22="Bell_Curve",$NN$22*(346-$NR$22+1)*($NS$22-346+1)/$NU$22,$NN$22/$NT$22)),0)</f>
        <v/>
      </c>
      <c r="MM22" s="402">
        <f>IF(AND(347&gt;=$NR$22,347&lt;=$NS$22),IF($NP$22="Single_Point",IF(347=$NR$22,$NN$22,0),IF($NP$22="Bell_Curve",$NN$22*(347-$NR$22+1)*($NS$22-347+1)/$NU$22,$NN$22/$NT$22)),0)</f>
        <v/>
      </c>
      <c r="MN22" s="402">
        <f>IF(AND(348&gt;=$NR$22,348&lt;=$NS$22),IF($NP$22="Single_Point",IF(348=$NR$22,$NN$22,0),IF($NP$22="Bell_Curve",$NN$22*(348-$NR$22+1)*($NS$22-348+1)/$NU$22,$NN$22/$NT$22)),0)</f>
        <v/>
      </c>
      <c r="MO22" s="402">
        <f>IF(AND(349&gt;=$NR$22,349&lt;=$NS$22),IF($NP$22="Single_Point",IF(349=$NR$22,$NN$22,0),IF($NP$22="Bell_Curve",$NN$22*(349-$NR$22+1)*($NS$22-349+1)/$NU$22,$NN$22/$NT$22)),0)</f>
        <v/>
      </c>
      <c r="MP22" s="402">
        <f>IF(AND(350&gt;=$NR$22,350&lt;=$NS$22),IF($NP$22="Single_Point",IF(350=$NR$22,$NN$22,0),IF($NP$22="Bell_Curve",$NN$22*(350-$NR$22+1)*($NS$22-350+1)/$NU$22,$NN$22/$NT$22)),0)</f>
        <v/>
      </c>
      <c r="MQ22" s="402">
        <f>IF(AND(351&gt;=$NR$22,351&lt;=$NS$22),IF($NP$22="Single_Point",IF(351=$NR$22,$NN$22,0),IF($NP$22="Bell_Curve",$NN$22*(351-$NR$22+1)*($NS$22-351+1)/$NU$22,$NN$22/$NT$22)),0)</f>
        <v/>
      </c>
      <c r="MR22" s="402">
        <f>IF(AND(352&gt;=$NR$22,352&lt;=$NS$22),IF($NP$22="Single_Point",IF(352=$NR$22,$NN$22,0),IF($NP$22="Bell_Curve",$NN$22*(352-$NR$22+1)*($NS$22-352+1)/$NU$22,$NN$22/$NT$22)),0)</f>
        <v/>
      </c>
      <c r="MS22" s="402">
        <f>IF(AND(353&gt;=$NR$22,353&lt;=$NS$22),IF($NP$22="Single_Point",IF(353=$NR$22,$NN$22,0),IF($NP$22="Bell_Curve",$NN$22*(353-$NR$22+1)*($NS$22-353+1)/$NU$22,$NN$22/$NT$22)),0)</f>
        <v/>
      </c>
      <c r="MT22" s="402">
        <f>IF(AND(354&gt;=$NR$22,354&lt;=$NS$22),IF($NP$22="Single_Point",IF(354=$NR$22,$NN$22,0),IF($NP$22="Bell_Curve",$NN$22*(354-$NR$22+1)*($NS$22-354+1)/$NU$22,$NN$22/$NT$22)),0)</f>
        <v/>
      </c>
      <c r="MU22" s="402">
        <f>IF(AND(355&gt;=$NR$22,355&lt;=$NS$22),IF($NP$22="Single_Point",IF(355=$NR$22,$NN$22,0),IF($NP$22="Bell_Curve",$NN$22*(355-$NR$22+1)*($NS$22-355+1)/$NU$22,$NN$22/$NT$22)),0)</f>
        <v/>
      </c>
      <c r="MV22" s="402">
        <f>IF(AND(356&gt;=$NR$22,356&lt;=$NS$22),IF($NP$22="Single_Point",IF(356=$NR$22,$NN$22,0),IF($NP$22="Bell_Curve",$NN$22*(356-$NR$22+1)*($NS$22-356+1)/$NU$22,$NN$22/$NT$22)),0)</f>
        <v/>
      </c>
      <c r="MW22" s="402">
        <f>IF(AND(357&gt;=$NR$22,357&lt;=$NS$22),IF($NP$22="Single_Point",IF(357=$NR$22,$NN$22,0),IF($NP$22="Bell_Curve",$NN$22*(357-$NR$22+1)*($NS$22-357+1)/$NU$22,$NN$22/$NT$22)),0)</f>
        <v/>
      </c>
      <c r="MX22" s="402">
        <f>IF(AND(358&gt;=$NR$22,358&lt;=$NS$22),IF($NP$22="Single_Point",IF(358=$NR$22,$NN$22,0),IF($NP$22="Bell_Curve",$NN$22*(358-$NR$22+1)*($NS$22-358+1)/$NU$22,$NN$22/$NT$22)),0)</f>
        <v/>
      </c>
      <c r="MY22" s="402">
        <f>IF(AND(359&gt;=$NR$22,359&lt;=$NS$22),IF($NP$22="Single_Point",IF(359=$NR$22,$NN$22,0),IF($NP$22="Bell_Curve",$NN$22*(359-$NR$22+1)*($NS$22-359+1)/$NU$22,$NN$22/$NT$22)),0)</f>
        <v/>
      </c>
      <c r="MZ22" s="402">
        <f>IF(AND(360&gt;=$NR$22,360&lt;=$NS$22),IF($NP$22="Single_Point",IF(360=$NR$22,$NN$22,0),IF($NP$22="Bell_Curve",$NN$22*(360-$NR$22+1)*($NS$22-360+1)/$NU$22,$NN$22/$NT$22)),0)</f>
        <v/>
      </c>
      <c r="NA22" s="402">
        <f>IF(AND(361&gt;=$NR$22,361&lt;=$NS$22),IF($NP$22="Single_Point",IF(361=$NR$22,$NN$22,0),IF($NP$22="Bell_Curve",$NN$22*(361-$NR$22+1)*($NS$22-361+1)/$NU$22,$NN$22/$NT$22)),0)</f>
        <v/>
      </c>
      <c r="NB22" s="402">
        <f>IF(AND(362&gt;=$NR$22,362&lt;=$NS$22),IF($NP$22="Single_Point",IF(362=$NR$22,$NN$22,0),IF($NP$22="Bell_Curve",$NN$22*(362-$NR$22+1)*($NS$22-362+1)/$NU$22,$NN$22/$NT$22)),0)</f>
        <v/>
      </c>
      <c r="NC22" s="402">
        <f>IF(AND(363&gt;=$NR$22,363&lt;=$NS$22),IF($NP$22="Single_Point",IF(363=$NR$22,$NN$22,0),IF($NP$22="Bell_Curve",$NN$22*(363-$NR$22+1)*($NS$22-363+1)/$NU$22,$NN$22/$NT$22)),0)</f>
        <v/>
      </c>
      <c r="ND22" s="402">
        <f>IF(AND(364&gt;=$NR$22,364&lt;=$NS$22),IF($NP$22="Single_Point",IF(364=$NR$22,$NN$22,0),IF($NP$22="Bell_Curve",$NN$22*(364-$NR$22+1)*($NS$22-364+1)/$NU$22,$NN$22/$NT$22)),0)</f>
        <v/>
      </c>
      <c r="NE22" s="402">
        <f>IF(AND(365&gt;=$NR$22,365&lt;=$NS$22),IF($NP$22="Single_Point",IF(365=$NR$22,$NN$22,0),IF($NP$22="Bell_Curve",$NN$22*(365-$NR$22+1)*($NS$22-365+1)/$NU$22,$NN$22/$NT$22)),0)</f>
        <v/>
      </c>
      <c r="NF22" s="402">
        <f>IF(AND(366&gt;=$NR$22,366&lt;=$NS$22),IF($NP$22="Single_Point",IF(366=$NR$22,$NN$22,0),IF($NP$22="Bell_Curve",$NN$22*(366-$NR$22+1)*($NS$22-366+1)/$NU$22,$NN$22/$NT$22)),0)</f>
        <v/>
      </c>
      <c r="NG22" s="402">
        <f>IF(AND(367&gt;=$NR$22,367&lt;=$NS$22),IF($NP$22="Single_Point",IF(367=$NR$22,$NN$22,0),IF($NP$22="Bell_Curve",$NN$22*(367-$NR$22+1)*($NS$22-367+1)/$NU$22,$NN$22/$NT$22)),0)</f>
        <v/>
      </c>
      <c r="NH22" s="402">
        <f>IF(AND(368&gt;=$NR$22,368&lt;=$NS$22),IF($NP$22="Single_Point",IF(368=$NR$22,$NN$22,0),IF($NP$22="Bell_Curve",$NN$22*(368-$NR$22+1)*($NS$22-368+1)/$NU$22,$NN$22/$NT$22)),0)</f>
        <v/>
      </c>
      <c r="NI22" s="402">
        <f>IF(AND(369&gt;=$NR$22,369&lt;=$NS$22),IF($NP$22="Single_Point",IF(369=$NR$22,$NN$22,0),IF($NP$22="Bell_Curve",$NN$22*(369-$NR$22+1)*($NS$22-369+1)/$NU$22,$NN$22/$NT$22)),0)</f>
        <v/>
      </c>
      <c r="NJ22" s="402">
        <f>IF(AND(370&gt;=$NR$22,370&lt;=$NS$22),IF($NP$22="Single_Point",IF(370=$NR$22,$NN$22,0),IF($NP$22="Bell_Curve",$NN$22*(370-$NR$22+1)*($NS$22-370+1)/$NU$22,$NN$22/$NT$22)),0)</f>
        <v/>
      </c>
      <c r="NK22" s="402">
        <f>IF(AND(371&gt;=$NR$22,371&lt;=$NS$22),IF($NP$22="Single_Point",IF(371=$NR$22,$NN$22,0),IF($NP$22="Bell_Curve",$NN$22*(371-$NR$22+1)*($NS$22-371+1)/$NU$22,$NN$22/$NT$22)),0)</f>
        <v/>
      </c>
      <c r="NL22" s="426">
        <f>IF(AND(372&gt;=$NR$22,372&lt;=$NS$22),IF($NP$22="Single_Point",IF(372=$NR$22,$NN$22,0),IF($NP$22="Bell_Curve",$NN$22*(372-$NR$22+1)*($NS$22-372+1)/$NU$22,$NN$22/$NT$22)),0)</f>
        <v/>
      </c>
      <c r="NM22">
        <f>Budget!C21</f>
        <v/>
      </c>
      <c r="NN22" s="218">
        <f>Budget!J21</f>
        <v/>
      </c>
      <c r="NO22" s="144">
        <f>Budget!G21</f>
        <v/>
      </c>
      <c r="NP22" s="144">
        <f>Budget!H21</f>
        <v/>
      </c>
      <c r="NQ22" s="85">
        <f>Budget!I21</f>
        <v/>
      </c>
      <c r="NR22" s="248">
        <f>MAX(1,MIN(372,INDEX(MilestoneStart,MATCH(NO22,MilestoneNames,0))+NQ22))</f>
        <v/>
      </c>
      <c r="NS22" s="248">
        <f>MAX(NR22,MIN(372,INDEX(MilestoneEnd,MATCH(NO22,MilestoneNames,0))+NQ22))</f>
        <v/>
      </c>
      <c r="NT22" s="85">
        <f>NS22-NR22+1</f>
        <v/>
      </c>
      <c r="NU22" s="85">
        <f>NT22*(NT22+1)*(NT22+2)/6</f>
        <v/>
      </c>
    </row>
    <row r="23">
      <c r="B23" s="296">
        <f>Budget!B22</f>
        <v/>
      </c>
      <c r="D23" s="425">
        <f>SUM(E23:NL23)</f>
        <v/>
      </c>
      <c r="E23" s="402">
        <f>IF(AND(1&gt;=$NR$23,1&lt;=$NS$23),IF($NP$23="Single_Point",IF(1=$NR$23,$NN$23,0),IF($NP$23="Bell_Curve",$NN$23*(1-$NR$23+1)*($NS$23-1+1)/$NU$23,$NN$23/$NT$23)),0)</f>
        <v/>
      </c>
      <c r="F23" s="402">
        <f>IF(AND(2&gt;=$NR$23,2&lt;=$NS$23),IF($NP$23="Single_Point",IF(2=$NR$23,$NN$23,0),IF($NP$23="Bell_Curve",$NN$23*(2-$NR$23+1)*($NS$23-2+1)/$NU$23,$NN$23/$NT$23)),0)</f>
        <v/>
      </c>
      <c r="G23" s="402">
        <f>IF(AND(3&gt;=$NR$23,3&lt;=$NS$23),IF($NP$23="Single_Point",IF(3=$NR$23,$NN$23,0),IF($NP$23="Bell_Curve",$NN$23*(3-$NR$23+1)*($NS$23-3+1)/$NU$23,$NN$23/$NT$23)),0)</f>
        <v/>
      </c>
      <c r="H23" s="402">
        <f>IF(AND(4&gt;=$NR$23,4&lt;=$NS$23),IF($NP$23="Single_Point",IF(4=$NR$23,$NN$23,0),IF($NP$23="Bell_Curve",$NN$23*(4-$NR$23+1)*($NS$23-4+1)/$NU$23,$NN$23/$NT$23)),0)</f>
        <v/>
      </c>
      <c r="I23" s="402">
        <f>IF(AND(5&gt;=$NR$23,5&lt;=$NS$23),IF($NP$23="Single_Point",IF(5=$NR$23,$NN$23,0),IF($NP$23="Bell_Curve",$NN$23*(5-$NR$23+1)*($NS$23-5+1)/$NU$23,$NN$23/$NT$23)),0)</f>
        <v/>
      </c>
      <c r="J23" s="402">
        <f>IF(AND(6&gt;=$NR$23,6&lt;=$NS$23),IF($NP$23="Single_Point",IF(6=$NR$23,$NN$23,0),IF($NP$23="Bell_Curve",$NN$23*(6-$NR$23+1)*($NS$23-6+1)/$NU$23,$NN$23/$NT$23)),0)</f>
        <v/>
      </c>
      <c r="K23" s="402">
        <f>IF(AND(7&gt;=$NR$23,7&lt;=$NS$23),IF($NP$23="Single_Point",IF(7=$NR$23,$NN$23,0),IF($NP$23="Bell_Curve",$NN$23*(7-$NR$23+1)*($NS$23-7+1)/$NU$23,$NN$23/$NT$23)),0)</f>
        <v/>
      </c>
      <c r="L23" s="402">
        <f>IF(AND(8&gt;=$NR$23,8&lt;=$NS$23),IF($NP$23="Single_Point",IF(8=$NR$23,$NN$23,0),IF($NP$23="Bell_Curve",$NN$23*(8-$NR$23+1)*($NS$23-8+1)/$NU$23,$NN$23/$NT$23)),0)</f>
        <v/>
      </c>
      <c r="M23" s="402">
        <f>IF(AND(9&gt;=$NR$23,9&lt;=$NS$23),IF($NP$23="Single_Point",IF(9=$NR$23,$NN$23,0),IF($NP$23="Bell_Curve",$NN$23*(9-$NR$23+1)*($NS$23-9+1)/$NU$23,$NN$23/$NT$23)),0)</f>
        <v/>
      </c>
      <c r="N23" s="402">
        <f>IF(AND(10&gt;=$NR$23,10&lt;=$NS$23),IF($NP$23="Single_Point",IF(10=$NR$23,$NN$23,0),IF($NP$23="Bell_Curve",$NN$23*(10-$NR$23+1)*($NS$23-10+1)/$NU$23,$NN$23/$NT$23)),0)</f>
        <v/>
      </c>
      <c r="O23" s="402">
        <f>IF(AND(11&gt;=$NR$23,11&lt;=$NS$23),IF($NP$23="Single_Point",IF(11=$NR$23,$NN$23,0),IF($NP$23="Bell_Curve",$NN$23*(11-$NR$23+1)*($NS$23-11+1)/$NU$23,$NN$23/$NT$23)),0)</f>
        <v/>
      </c>
      <c r="P23" s="402">
        <f>IF(AND(12&gt;=$NR$23,12&lt;=$NS$23),IF($NP$23="Single_Point",IF(12=$NR$23,$NN$23,0),IF($NP$23="Bell_Curve",$NN$23*(12-$NR$23+1)*($NS$23-12+1)/$NU$23,$NN$23/$NT$23)),0)</f>
        <v/>
      </c>
      <c r="Q23" s="402">
        <f>IF(AND(13&gt;=$NR$23,13&lt;=$NS$23),IF($NP$23="Single_Point",IF(13=$NR$23,$NN$23,0),IF($NP$23="Bell_Curve",$NN$23*(13-$NR$23+1)*($NS$23-13+1)/$NU$23,$NN$23/$NT$23)),0)</f>
        <v/>
      </c>
      <c r="R23" s="402">
        <f>IF(AND(14&gt;=$NR$23,14&lt;=$NS$23),IF($NP$23="Single_Point",IF(14=$NR$23,$NN$23,0),IF($NP$23="Bell_Curve",$NN$23*(14-$NR$23+1)*($NS$23-14+1)/$NU$23,$NN$23/$NT$23)),0)</f>
        <v/>
      </c>
      <c r="S23" s="402">
        <f>IF(AND(15&gt;=$NR$23,15&lt;=$NS$23),IF($NP$23="Single_Point",IF(15=$NR$23,$NN$23,0),IF($NP$23="Bell_Curve",$NN$23*(15-$NR$23+1)*($NS$23-15+1)/$NU$23,$NN$23/$NT$23)),0)</f>
        <v/>
      </c>
      <c r="T23" s="402">
        <f>IF(AND(16&gt;=$NR$23,16&lt;=$NS$23),IF($NP$23="Single_Point",IF(16=$NR$23,$NN$23,0),IF($NP$23="Bell_Curve",$NN$23*(16-$NR$23+1)*($NS$23-16+1)/$NU$23,$NN$23/$NT$23)),0)</f>
        <v/>
      </c>
      <c r="U23" s="402">
        <f>IF(AND(17&gt;=$NR$23,17&lt;=$NS$23),IF($NP$23="Single_Point",IF(17=$NR$23,$NN$23,0),IF($NP$23="Bell_Curve",$NN$23*(17-$NR$23+1)*($NS$23-17+1)/$NU$23,$NN$23/$NT$23)),0)</f>
        <v/>
      </c>
      <c r="V23" s="402">
        <f>IF(AND(18&gt;=$NR$23,18&lt;=$NS$23),IF($NP$23="Single_Point",IF(18=$NR$23,$NN$23,0),IF($NP$23="Bell_Curve",$NN$23*(18-$NR$23+1)*($NS$23-18+1)/$NU$23,$NN$23/$NT$23)),0)</f>
        <v/>
      </c>
      <c r="W23" s="402">
        <f>IF(AND(19&gt;=$NR$23,19&lt;=$NS$23),IF($NP$23="Single_Point",IF(19=$NR$23,$NN$23,0),IF($NP$23="Bell_Curve",$NN$23*(19-$NR$23+1)*($NS$23-19+1)/$NU$23,$NN$23/$NT$23)),0)</f>
        <v/>
      </c>
      <c r="X23" s="402">
        <f>IF(AND(20&gt;=$NR$23,20&lt;=$NS$23),IF($NP$23="Single_Point",IF(20=$NR$23,$NN$23,0),IF($NP$23="Bell_Curve",$NN$23*(20-$NR$23+1)*($NS$23-20+1)/$NU$23,$NN$23/$NT$23)),0)</f>
        <v/>
      </c>
      <c r="Y23" s="402">
        <f>IF(AND(21&gt;=$NR$23,21&lt;=$NS$23),IF($NP$23="Single_Point",IF(21=$NR$23,$NN$23,0),IF($NP$23="Bell_Curve",$NN$23*(21-$NR$23+1)*($NS$23-21+1)/$NU$23,$NN$23/$NT$23)),0)</f>
        <v/>
      </c>
      <c r="Z23" s="402">
        <f>IF(AND(22&gt;=$NR$23,22&lt;=$NS$23),IF($NP$23="Single_Point",IF(22=$NR$23,$NN$23,0),IF($NP$23="Bell_Curve",$NN$23*(22-$NR$23+1)*($NS$23-22+1)/$NU$23,$NN$23/$NT$23)),0)</f>
        <v/>
      </c>
      <c r="AA23" s="402">
        <f>IF(AND(23&gt;=$NR$23,23&lt;=$NS$23),IF($NP$23="Single_Point",IF(23=$NR$23,$NN$23,0),IF($NP$23="Bell_Curve",$NN$23*(23-$NR$23+1)*($NS$23-23+1)/$NU$23,$NN$23/$NT$23)),0)</f>
        <v/>
      </c>
      <c r="AB23" s="402">
        <f>IF(AND(24&gt;=$NR$23,24&lt;=$NS$23),IF($NP$23="Single_Point",IF(24=$NR$23,$NN$23,0),IF($NP$23="Bell_Curve",$NN$23*(24-$NR$23+1)*($NS$23-24+1)/$NU$23,$NN$23/$NT$23)),0)</f>
        <v/>
      </c>
      <c r="AC23" s="402">
        <f>IF(AND(25&gt;=$NR$23,25&lt;=$NS$23),IF($NP$23="Single_Point",IF(25=$NR$23,$NN$23,0),IF($NP$23="Bell_Curve",$NN$23*(25-$NR$23+1)*($NS$23-25+1)/$NU$23,$NN$23/$NT$23)),0)</f>
        <v/>
      </c>
      <c r="AD23" s="402">
        <f>IF(AND(26&gt;=$NR$23,26&lt;=$NS$23),IF($NP$23="Single_Point",IF(26=$NR$23,$NN$23,0),IF($NP$23="Bell_Curve",$NN$23*(26-$NR$23+1)*($NS$23-26+1)/$NU$23,$NN$23/$NT$23)),0)</f>
        <v/>
      </c>
      <c r="AE23" s="402">
        <f>IF(AND(27&gt;=$NR$23,27&lt;=$NS$23),IF($NP$23="Single_Point",IF(27=$NR$23,$NN$23,0),IF($NP$23="Bell_Curve",$NN$23*(27-$NR$23+1)*($NS$23-27+1)/$NU$23,$NN$23/$NT$23)),0)</f>
        <v/>
      </c>
      <c r="AF23" s="402">
        <f>IF(AND(28&gt;=$NR$23,28&lt;=$NS$23),IF($NP$23="Single_Point",IF(28=$NR$23,$NN$23,0),IF($NP$23="Bell_Curve",$NN$23*(28-$NR$23+1)*($NS$23-28+1)/$NU$23,$NN$23/$NT$23)),0)</f>
        <v/>
      </c>
      <c r="AG23" s="402">
        <f>IF(AND(29&gt;=$NR$23,29&lt;=$NS$23),IF($NP$23="Single_Point",IF(29=$NR$23,$NN$23,0),IF($NP$23="Bell_Curve",$NN$23*(29-$NR$23+1)*($NS$23-29+1)/$NU$23,$NN$23/$NT$23)),0)</f>
        <v/>
      </c>
      <c r="AH23" s="402">
        <f>IF(AND(30&gt;=$NR$23,30&lt;=$NS$23),IF($NP$23="Single_Point",IF(30=$NR$23,$NN$23,0),IF($NP$23="Bell_Curve",$NN$23*(30-$NR$23+1)*($NS$23-30+1)/$NU$23,$NN$23/$NT$23)),0)</f>
        <v/>
      </c>
      <c r="AI23" s="402">
        <f>IF(AND(31&gt;=$NR$23,31&lt;=$NS$23),IF($NP$23="Single_Point",IF(31=$NR$23,$NN$23,0),IF($NP$23="Bell_Curve",$NN$23*(31-$NR$23+1)*($NS$23-31+1)/$NU$23,$NN$23/$NT$23)),0)</f>
        <v/>
      </c>
      <c r="AJ23" s="402">
        <f>IF(AND(32&gt;=$NR$23,32&lt;=$NS$23),IF($NP$23="Single_Point",IF(32=$NR$23,$NN$23,0),IF($NP$23="Bell_Curve",$NN$23*(32-$NR$23+1)*($NS$23-32+1)/$NU$23,$NN$23/$NT$23)),0)</f>
        <v/>
      </c>
      <c r="AK23" s="402">
        <f>IF(AND(33&gt;=$NR$23,33&lt;=$NS$23),IF($NP$23="Single_Point",IF(33=$NR$23,$NN$23,0),IF($NP$23="Bell_Curve",$NN$23*(33-$NR$23+1)*($NS$23-33+1)/$NU$23,$NN$23/$NT$23)),0)</f>
        <v/>
      </c>
      <c r="AL23" s="402">
        <f>IF(AND(34&gt;=$NR$23,34&lt;=$NS$23),IF($NP$23="Single_Point",IF(34=$NR$23,$NN$23,0),IF($NP$23="Bell_Curve",$NN$23*(34-$NR$23+1)*($NS$23-34+1)/$NU$23,$NN$23/$NT$23)),0)</f>
        <v/>
      </c>
      <c r="AM23" s="402">
        <f>IF(AND(35&gt;=$NR$23,35&lt;=$NS$23),IF($NP$23="Single_Point",IF(35=$NR$23,$NN$23,0),IF($NP$23="Bell_Curve",$NN$23*(35-$NR$23+1)*($NS$23-35+1)/$NU$23,$NN$23/$NT$23)),0)</f>
        <v/>
      </c>
      <c r="AN23" s="402">
        <f>IF(AND(36&gt;=$NR$23,36&lt;=$NS$23),IF($NP$23="Single_Point",IF(36=$NR$23,$NN$23,0),IF($NP$23="Bell_Curve",$NN$23*(36-$NR$23+1)*($NS$23-36+1)/$NU$23,$NN$23/$NT$23)),0)</f>
        <v/>
      </c>
      <c r="AO23" s="402">
        <f>IF(AND(37&gt;=$NR$23,37&lt;=$NS$23),IF($NP$23="Single_Point",IF(37=$NR$23,$NN$23,0),IF($NP$23="Bell_Curve",$NN$23*(37-$NR$23+1)*($NS$23-37+1)/$NU$23,$NN$23/$NT$23)),0)</f>
        <v/>
      </c>
      <c r="AP23" s="402">
        <f>IF(AND(38&gt;=$NR$23,38&lt;=$NS$23),IF($NP$23="Single_Point",IF(38=$NR$23,$NN$23,0),IF($NP$23="Bell_Curve",$NN$23*(38-$NR$23+1)*($NS$23-38+1)/$NU$23,$NN$23/$NT$23)),0)</f>
        <v/>
      </c>
      <c r="AQ23" s="402">
        <f>IF(AND(39&gt;=$NR$23,39&lt;=$NS$23),IF($NP$23="Single_Point",IF(39=$NR$23,$NN$23,0),IF($NP$23="Bell_Curve",$NN$23*(39-$NR$23+1)*($NS$23-39+1)/$NU$23,$NN$23/$NT$23)),0)</f>
        <v/>
      </c>
      <c r="AR23" s="402">
        <f>IF(AND(40&gt;=$NR$23,40&lt;=$NS$23),IF($NP$23="Single_Point",IF(40=$NR$23,$NN$23,0),IF($NP$23="Bell_Curve",$NN$23*(40-$NR$23+1)*($NS$23-40+1)/$NU$23,$NN$23/$NT$23)),0)</f>
        <v/>
      </c>
      <c r="AS23" s="402">
        <f>IF(AND(41&gt;=$NR$23,41&lt;=$NS$23),IF($NP$23="Single_Point",IF(41=$NR$23,$NN$23,0),IF($NP$23="Bell_Curve",$NN$23*(41-$NR$23+1)*($NS$23-41+1)/$NU$23,$NN$23/$NT$23)),0)</f>
        <v/>
      </c>
      <c r="AT23" s="402">
        <f>IF(AND(42&gt;=$NR$23,42&lt;=$NS$23),IF($NP$23="Single_Point",IF(42=$NR$23,$NN$23,0),IF($NP$23="Bell_Curve",$NN$23*(42-$NR$23+1)*($NS$23-42+1)/$NU$23,$NN$23/$NT$23)),0)</f>
        <v/>
      </c>
      <c r="AU23" s="402">
        <f>IF(AND(43&gt;=$NR$23,43&lt;=$NS$23),IF($NP$23="Single_Point",IF(43=$NR$23,$NN$23,0),IF($NP$23="Bell_Curve",$NN$23*(43-$NR$23+1)*($NS$23-43+1)/$NU$23,$NN$23/$NT$23)),0)</f>
        <v/>
      </c>
      <c r="AV23" s="402">
        <f>IF(AND(44&gt;=$NR$23,44&lt;=$NS$23),IF($NP$23="Single_Point",IF(44=$NR$23,$NN$23,0),IF($NP$23="Bell_Curve",$NN$23*(44-$NR$23+1)*($NS$23-44+1)/$NU$23,$NN$23/$NT$23)),0)</f>
        <v/>
      </c>
      <c r="AW23" s="402">
        <f>IF(AND(45&gt;=$NR$23,45&lt;=$NS$23),IF($NP$23="Single_Point",IF(45=$NR$23,$NN$23,0),IF($NP$23="Bell_Curve",$NN$23*(45-$NR$23+1)*($NS$23-45+1)/$NU$23,$NN$23/$NT$23)),0)</f>
        <v/>
      </c>
      <c r="AX23" s="402">
        <f>IF(AND(46&gt;=$NR$23,46&lt;=$NS$23),IF($NP$23="Single_Point",IF(46=$NR$23,$NN$23,0),IF($NP$23="Bell_Curve",$NN$23*(46-$NR$23+1)*($NS$23-46+1)/$NU$23,$NN$23/$NT$23)),0)</f>
        <v/>
      </c>
      <c r="AY23" s="402">
        <f>IF(AND(47&gt;=$NR$23,47&lt;=$NS$23),IF($NP$23="Single_Point",IF(47=$NR$23,$NN$23,0),IF($NP$23="Bell_Curve",$NN$23*(47-$NR$23+1)*($NS$23-47+1)/$NU$23,$NN$23/$NT$23)),0)</f>
        <v/>
      </c>
      <c r="AZ23" s="402">
        <f>IF(AND(48&gt;=$NR$23,48&lt;=$NS$23),IF($NP$23="Single_Point",IF(48=$NR$23,$NN$23,0),IF($NP$23="Bell_Curve",$NN$23*(48-$NR$23+1)*($NS$23-48+1)/$NU$23,$NN$23/$NT$23)),0)</f>
        <v/>
      </c>
      <c r="BA23" s="402">
        <f>IF(AND(49&gt;=$NR$23,49&lt;=$NS$23),IF($NP$23="Single_Point",IF(49=$NR$23,$NN$23,0),IF($NP$23="Bell_Curve",$NN$23*(49-$NR$23+1)*($NS$23-49+1)/$NU$23,$NN$23/$NT$23)),0)</f>
        <v/>
      </c>
      <c r="BB23" s="402">
        <f>IF(AND(50&gt;=$NR$23,50&lt;=$NS$23),IF($NP$23="Single_Point",IF(50=$NR$23,$NN$23,0),IF($NP$23="Bell_Curve",$NN$23*(50-$NR$23+1)*($NS$23-50+1)/$NU$23,$NN$23/$NT$23)),0)</f>
        <v/>
      </c>
      <c r="BC23" s="402">
        <f>IF(AND(51&gt;=$NR$23,51&lt;=$NS$23),IF($NP$23="Single_Point",IF(51=$NR$23,$NN$23,0),IF($NP$23="Bell_Curve",$NN$23*(51-$NR$23+1)*($NS$23-51+1)/$NU$23,$NN$23/$NT$23)),0)</f>
        <v/>
      </c>
      <c r="BD23" s="402">
        <f>IF(AND(52&gt;=$NR$23,52&lt;=$NS$23),IF($NP$23="Single_Point",IF(52=$NR$23,$NN$23,0),IF($NP$23="Bell_Curve",$NN$23*(52-$NR$23+1)*($NS$23-52+1)/$NU$23,$NN$23/$NT$23)),0)</f>
        <v/>
      </c>
      <c r="BE23" s="402">
        <f>IF(AND(53&gt;=$NR$23,53&lt;=$NS$23),IF($NP$23="Single_Point",IF(53=$NR$23,$NN$23,0),IF($NP$23="Bell_Curve",$NN$23*(53-$NR$23+1)*($NS$23-53+1)/$NU$23,$NN$23/$NT$23)),0)</f>
        <v/>
      </c>
      <c r="BF23" s="402">
        <f>IF(AND(54&gt;=$NR$23,54&lt;=$NS$23),IF($NP$23="Single_Point",IF(54=$NR$23,$NN$23,0),IF($NP$23="Bell_Curve",$NN$23*(54-$NR$23+1)*($NS$23-54+1)/$NU$23,$NN$23/$NT$23)),0)</f>
        <v/>
      </c>
      <c r="BG23" s="402">
        <f>IF(AND(55&gt;=$NR$23,55&lt;=$NS$23),IF($NP$23="Single_Point",IF(55=$NR$23,$NN$23,0),IF($NP$23="Bell_Curve",$NN$23*(55-$NR$23+1)*($NS$23-55+1)/$NU$23,$NN$23/$NT$23)),0)</f>
        <v/>
      </c>
      <c r="BH23" s="402">
        <f>IF(AND(56&gt;=$NR$23,56&lt;=$NS$23),IF($NP$23="Single_Point",IF(56=$NR$23,$NN$23,0),IF($NP$23="Bell_Curve",$NN$23*(56-$NR$23+1)*($NS$23-56+1)/$NU$23,$NN$23/$NT$23)),0)</f>
        <v/>
      </c>
      <c r="BI23" s="402">
        <f>IF(AND(57&gt;=$NR$23,57&lt;=$NS$23),IF($NP$23="Single_Point",IF(57=$NR$23,$NN$23,0),IF($NP$23="Bell_Curve",$NN$23*(57-$NR$23+1)*($NS$23-57+1)/$NU$23,$NN$23/$NT$23)),0)</f>
        <v/>
      </c>
      <c r="BJ23" s="402">
        <f>IF(AND(58&gt;=$NR$23,58&lt;=$NS$23),IF($NP$23="Single_Point",IF(58=$NR$23,$NN$23,0),IF($NP$23="Bell_Curve",$NN$23*(58-$NR$23+1)*($NS$23-58+1)/$NU$23,$NN$23/$NT$23)),0)</f>
        <v/>
      </c>
      <c r="BK23" s="402">
        <f>IF(AND(59&gt;=$NR$23,59&lt;=$NS$23),IF($NP$23="Single_Point",IF(59=$NR$23,$NN$23,0),IF($NP$23="Bell_Curve",$NN$23*(59-$NR$23+1)*($NS$23-59+1)/$NU$23,$NN$23/$NT$23)),0)</f>
        <v/>
      </c>
      <c r="BL23" s="402">
        <f>IF(AND(60&gt;=$NR$23,60&lt;=$NS$23),IF($NP$23="Single_Point",IF(60=$NR$23,$NN$23,0),IF($NP$23="Bell_Curve",$NN$23*(60-$NR$23+1)*($NS$23-60+1)/$NU$23,$NN$23/$NT$23)),0)</f>
        <v/>
      </c>
      <c r="BM23" s="402">
        <f>IF(AND(61&gt;=$NR$23,61&lt;=$NS$23),IF($NP$23="Single_Point",IF(61=$NR$23,$NN$23,0),IF($NP$23="Bell_Curve",$NN$23*(61-$NR$23+1)*($NS$23-61+1)/$NU$23,$NN$23/$NT$23)),0)</f>
        <v/>
      </c>
      <c r="BN23" s="402">
        <f>IF(AND(62&gt;=$NR$23,62&lt;=$NS$23),IF($NP$23="Single_Point",IF(62=$NR$23,$NN$23,0),IF($NP$23="Bell_Curve",$NN$23*(62-$NR$23+1)*($NS$23-62+1)/$NU$23,$NN$23/$NT$23)),0)</f>
        <v/>
      </c>
      <c r="BO23" s="402">
        <f>IF(AND(63&gt;=$NR$23,63&lt;=$NS$23),IF($NP$23="Single_Point",IF(63=$NR$23,$NN$23,0),IF($NP$23="Bell_Curve",$NN$23*(63-$NR$23+1)*($NS$23-63+1)/$NU$23,$NN$23/$NT$23)),0)</f>
        <v/>
      </c>
      <c r="BP23" s="402">
        <f>IF(AND(64&gt;=$NR$23,64&lt;=$NS$23),IF($NP$23="Single_Point",IF(64=$NR$23,$NN$23,0),IF($NP$23="Bell_Curve",$NN$23*(64-$NR$23+1)*($NS$23-64+1)/$NU$23,$NN$23/$NT$23)),0)</f>
        <v/>
      </c>
      <c r="BQ23" s="402">
        <f>IF(AND(65&gt;=$NR$23,65&lt;=$NS$23),IF($NP$23="Single_Point",IF(65=$NR$23,$NN$23,0),IF($NP$23="Bell_Curve",$NN$23*(65-$NR$23+1)*($NS$23-65+1)/$NU$23,$NN$23/$NT$23)),0)</f>
        <v/>
      </c>
      <c r="BR23" s="402">
        <f>IF(AND(66&gt;=$NR$23,66&lt;=$NS$23),IF($NP$23="Single_Point",IF(66=$NR$23,$NN$23,0),IF($NP$23="Bell_Curve",$NN$23*(66-$NR$23+1)*($NS$23-66+1)/$NU$23,$NN$23/$NT$23)),0)</f>
        <v/>
      </c>
      <c r="BS23" s="402">
        <f>IF(AND(67&gt;=$NR$23,67&lt;=$NS$23),IF($NP$23="Single_Point",IF(67=$NR$23,$NN$23,0),IF($NP$23="Bell_Curve",$NN$23*(67-$NR$23+1)*($NS$23-67+1)/$NU$23,$NN$23/$NT$23)),0)</f>
        <v/>
      </c>
      <c r="BT23" s="402">
        <f>IF(AND(68&gt;=$NR$23,68&lt;=$NS$23),IF($NP$23="Single_Point",IF(68=$NR$23,$NN$23,0),IF($NP$23="Bell_Curve",$NN$23*(68-$NR$23+1)*($NS$23-68+1)/$NU$23,$NN$23/$NT$23)),0)</f>
        <v/>
      </c>
      <c r="BU23" s="402">
        <f>IF(AND(69&gt;=$NR$23,69&lt;=$NS$23),IF($NP$23="Single_Point",IF(69=$NR$23,$NN$23,0),IF($NP$23="Bell_Curve",$NN$23*(69-$NR$23+1)*($NS$23-69+1)/$NU$23,$NN$23/$NT$23)),0)</f>
        <v/>
      </c>
      <c r="BV23" s="402">
        <f>IF(AND(70&gt;=$NR$23,70&lt;=$NS$23),IF($NP$23="Single_Point",IF(70=$NR$23,$NN$23,0),IF($NP$23="Bell_Curve",$NN$23*(70-$NR$23+1)*($NS$23-70+1)/$NU$23,$NN$23/$NT$23)),0)</f>
        <v/>
      </c>
      <c r="BW23" s="402">
        <f>IF(AND(71&gt;=$NR$23,71&lt;=$NS$23),IF($NP$23="Single_Point",IF(71=$NR$23,$NN$23,0),IF($NP$23="Bell_Curve",$NN$23*(71-$NR$23+1)*($NS$23-71+1)/$NU$23,$NN$23/$NT$23)),0)</f>
        <v/>
      </c>
      <c r="BX23" s="402">
        <f>IF(AND(72&gt;=$NR$23,72&lt;=$NS$23),IF($NP$23="Single_Point",IF(72=$NR$23,$NN$23,0),IF($NP$23="Bell_Curve",$NN$23*(72-$NR$23+1)*($NS$23-72+1)/$NU$23,$NN$23/$NT$23)),0)</f>
        <v/>
      </c>
      <c r="BY23" s="402">
        <f>IF(AND(73&gt;=$NR$23,73&lt;=$NS$23),IF($NP$23="Single_Point",IF(73=$NR$23,$NN$23,0),IF($NP$23="Bell_Curve",$NN$23*(73-$NR$23+1)*($NS$23-73+1)/$NU$23,$NN$23/$NT$23)),0)</f>
        <v/>
      </c>
      <c r="BZ23" s="402">
        <f>IF(AND(74&gt;=$NR$23,74&lt;=$NS$23),IF($NP$23="Single_Point",IF(74=$NR$23,$NN$23,0),IF($NP$23="Bell_Curve",$NN$23*(74-$NR$23+1)*($NS$23-74+1)/$NU$23,$NN$23/$NT$23)),0)</f>
        <v/>
      </c>
      <c r="CA23" s="402">
        <f>IF(AND(75&gt;=$NR$23,75&lt;=$NS$23),IF($NP$23="Single_Point",IF(75=$NR$23,$NN$23,0),IF($NP$23="Bell_Curve",$NN$23*(75-$NR$23+1)*($NS$23-75+1)/$NU$23,$NN$23/$NT$23)),0)</f>
        <v/>
      </c>
      <c r="CB23" s="402">
        <f>IF(AND(76&gt;=$NR$23,76&lt;=$NS$23),IF($NP$23="Single_Point",IF(76=$NR$23,$NN$23,0),IF($NP$23="Bell_Curve",$NN$23*(76-$NR$23+1)*($NS$23-76+1)/$NU$23,$NN$23/$NT$23)),0)</f>
        <v/>
      </c>
      <c r="CC23" s="402">
        <f>IF(AND(77&gt;=$NR$23,77&lt;=$NS$23),IF($NP$23="Single_Point",IF(77=$NR$23,$NN$23,0),IF($NP$23="Bell_Curve",$NN$23*(77-$NR$23+1)*($NS$23-77+1)/$NU$23,$NN$23/$NT$23)),0)</f>
        <v/>
      </c>
      <c r="CD23" s="402">
        <f>IF(AND(78&gt;=$NR$23,78&lt;=$NS$23),IF($NP$23="Single_Point",IF(78=$NR$23,$NN$23,0),IF($NP$23="Bell_Curve",$NN$23*(78-$NR$23+1)*($NS$23-78+1)/$NU$23,$NN$23/$NT$23)),0)</f>
        <v/>
      </c>
      <c r="CE23" s="402">
        <f>IF(AND(79&gt;=$NR$23,79&lt;=$NS$23),IF($NP$23="Single_Point",IF(79=$NR$23,$NN$23,0),IF($NP$23="Bell_Curve",$NN$23*(79-$NR$23+1)*($NS$23-79+1)/$NU$23,$NN$23/$NT$23)),0)</f>
        <v/>
      </c>
      <c r="CF23" s="402">
        <f>IF(AND(80&gt;=$NR$23,80&lt;=$NS$23),IF($NP$23="Single_Point",IF(80=$NR$23,$NN$23,0),IF($NP$23="Bell_Curve",$NN$23*(80-$NR$23+1)*($NS$23-80+1)/$NU$23,$NN$23/$NT$23)),0)</f>
        <v/>
      </c>
      <c r="CG23" s="402">
        <f>IF(AND(81&gt;=$NR$23,81&lt;=$NS$23),IF($NP$23="Single_Point",IF(81=$NR$23,$NN$23,0),IF($NP$23="Bell_Curve",$NN$23*(81-$NR$23+1)*($NS$23-81+1)/$NU$23,$NN$23/$NT$23)),0)</f>
        <v/>
      </c>
      <c r="CH23" s="402">
        <f>IF(AND(82&gt;=$NR$23,82&lt;=$NS$23),IF($NP$23="Single_Point",IF(82=$NR$23,$NN$23,0),IF($NP$23="Bell_Curve",$NN$23*(82-$NR$23+1)*($NS$23-82+1)/$NU$23,$NN$23/$NT$23)),0)</f>
        <v/>
      </c>
      <c r="CI23" s="402">
        <f>IF(AND(83&gt;=$NR$23,83&lt;=$NS$23),IF($NP$23="Single_Point",IF(83=$NR$23,$NN$23,0),IF($NP$23="Bell_Curve",$NN$23*(83-$NR$23+1)*($NS$23-83+1)/$NU$23,$NN$23/$NT$23)),0)</f>
        <v/>
      </c>
      <c r="CJ23" s="402">
        <f>IF(AND(84&gt;=$NR$23,84&lt;=$NS$23),IF($NP$23="Single_Point",IF(84=$NR$23,$NN$23,0),IF($NP$23="Bell_Curve",$NN$23*(84-$NR$23+1)*($NS$23-84+1)/$NU$23,$NN$23/$NT$23)),0)</f>
        <v/>
      </c>
      <c r="CK23" s="402">
        <f>IF(AND(85&gt;=$NR$23,85&lt;=$NS$23),IF($NP$23="Single_Point",IF(85=$NR$23,$NN$23,0),IF($NP$23="Bell_Curve",$NN$23*(85-$NR$23+1)*($NS$23-85+1)/$NU$23,$NN$23/$NT$23)),0)</f>
        <v/>
      </c>
      <c r="CL23" s="402">
        <f>IF(AND(86&gt;=$NR$23,86&lt;=$NS$23),IF($NP$23="Single_Point",IF(86=$NR$23,$NN$23,0),IF($NP$23="Bell_Curve",$NN$23*(86-$NR$23+1)*($NS$23-86+1)/$NU$23,$NN$23/$NT$23)),0)</f>
        <v/>
      </c>
      <c r="CM23" s="402">
        <f>IF(AND(87&gt;=$NR$23,87&lt;=$NS$23),IF($NP$23="Single_Point",IF(87=$NR$23,$NN$23,0),IF($NP$23="Bell_Curve",$NN$23*(87-$NR$23+1)*($NS$23-87+1)/$NU$23,$NN$23/$NT$23)),0)</f>
        <v/>
      </c>
      <c r="CN23" s="402">
        <f>IF(AND(88&gt;=$NR$23,88&lt;=$NS$23),IF($NP$23="Single_Point",IF(88=$NR$23,$NN$23,0),IF($NP$23="Bell_Curve",$NN$23*(88-$NR$23+1)*($NS$23-88+1)/$NU$23,$NN$23/$NT$23)),0)</f>
        <v/>
      </c>
      <c r="CO23" s="402">
        <f>IF(AND(89&gt;=$NR$23,89&lt;=$NS$23),IF($NP$23="Single_Point",IF(89=$NR$23,$NN$23,0),IF($NP$23="Bell_Curve",$NN$23*(89-$NR$23+1)*($NS$23-89+1)/$NU$23,$NN$23/$NT$23)),0)</f>
        <v/>
      </c>
      <c r="CP23" s="402">
        <f>IF(AND(90&gt;=$NR$23,90&lt;=$NS$23),IF($NP$23="Single_Point",IF(90=$NR$23,$NN$23,0),IF($NP$23="Bell_Curve",$NN$23*(90-$NR$23+1)*($NS$23-90+1)/$NU$23,$NN$23/$NT$23)),0)</f>
        <v/>
      </c>
      <c r="CQ23" s="402">
        <f>IF(AND(91&gt;=$NR$23,91&lt;=$NS$23),IF($NP$23="Single_Point",IF(91=$NR$23,$NN$23,0),IF($NP$23="Bell_Curve",$NN$23*(91-$NR$23+1)*($NS$23-91+1)/$NU$23,$NN$23/$NT$23)),0)</f>
        <v/>
      </c>
      <c r="CR23" s="402">
        <f>IF(AND(92&gt;=$NR$23,92&lt;=$NS$23),IF($NP$23="Single_Point",IF(92=$NR$23,$NN$23,0),IF($NP$23="Bell_Curve",$NN$23*(92-$NR$23+1)*($NS$23-92+1)/$NU$23,$NN$23/$NT$23)),0)</f>
        <v/>
      </c>
      <c r="CS23" s="402">
        <f>IF(AND(93&gt;=$NR$23,93&lt;=$NS$23),IF($NP$23="Single_Point",IF(93=$NR$23,$NN$23,0),IF($NP$23="Bell_Curve",$NN$23*(93-$NR$23+1)*($NS$23-93+1)/$NU$23,$NN$23/$NT$23)),0)</f>
        <v/>
      </c>
      <c r="CT23" s="402">
        <f>IF(AND(94&gt;=$NR$23,94&lt;=$NS$23),IF($NP$23="Single_Point",IF(94=$NR$23,$NN$23,0),IF($NP$23="Bell_Curve",$NN$23*(94-$NR$23+1)*($NS$23-94+1)/$NU$23,$NN$23/$NT$23)),0)</f>
        <v/>
      </c>
      <c r="CU23" s="402">
        <f>IF(AND(95&gt;=$NR$23,95&lt;=$NS$23),IF($NP$23="Single_Point",IF(95=$NR$23,$NN$23,0),IF($NP$23="Bell_Curve",$NN$23*(95-$NR$23+1)*($NS$23-95+1)/$NU$23,$NN$23/$NT$23)),0)</f>
        <v/>
      </c>
      <c r="CV23" s="402">
        <f>IF(AND(96&gt;=$NR$23,96&lt;=$NS$23),IF($NP$23="Single_Point",IF(96=$NR$23,$NN$23,0),IF($NP$23="Bell_Curve",$NN$23*(96-$NR$23+1)*($NS$23-96+1)/$NU$23,$NN$23/$NT$23)),0)</f>
        <v/>
      </c>
      <c r="CW23" s="402">
        <f>IF(AND(97&gt;=$NR$23,97&lt;=$NS$23),IF($NP$23="Single_Point",IF(97=$NR$23,$NN$23,0),IF($NP$23="Bell_Curve",$NN$23*(97-$NR$23+1)*($NS$23-97+1)/$NU$23,$NN$23/$NT$23)),0)</f>
        <v/>
      </c>
      <c r="CX23" s="402">
        <f>IF(AND(98&gt;=$NR$23,98&lt;=$NS$23),IF($NP$23="Single_Point",IF(98=$NR$23,$NN$23,0),IF($NP$23="Bell_Curve",$NN$23*(98-$NR$23+1)*($NS$23-98+1)/$NU$23,$NN$23/$NT$23)),0)</f>
        <v/>
      </c>
      <c r="CY23" s="402">
        <f>IF(AND(99&gt;=$NR$23,99&lt;=$NS$23),IF($NP$23="Single_Point",IF(99=$NR$23,$NN$23,0),IF($NP$23="Bell_Curve",$NN$23*(99-$NR$23+1)*($NS$23-99+1)/$NU$23,$NN$23/$NT$23)),0)</f>
        <v/>
      </c>
      <c r="CZ23" s="402">
        <f>IF(AND(100&gt;=$NR$23,100&lt;=$NS$23),IF($NP$23="Single_Point",IF(100=$NR$23,$NN$23,0),IF($NP$23="Bell_Curve",$NN$23*(100-$NR$23+1)*($NS$23-100+1)/$NU$23,$NN$23/$NT$23)),0)</f>
        <v/>
      </c>
      <c r="DA23" s="402">
        <f>IF(AND(101&gt;=$NR$23,101&lt;=$NS$23),IF($NP$23="Single_Point",IF(101=$NR$23,$NN$23,0),IF($NP$23="Bell_Curve",$NN$23*(101-$NR$23+1)*($NS$23-101+1)/$NU$23,$NN$23/$NT$23)),0)</f>
        <v/>
      </c>
      <c r="DB23" s="402">
        <f>IF(AND(102&gt;=$NR$23,102&lt;=$NS$23),IF($NP$23="Single_Point",IF(102=$NR$23,$NN$23,0),IF($NP$23="Bell_Curve",$NN$23*(102-$NR$23+1)*($NS$23-102+1)/$NU$23,$NN$23/$NT$23)),0)</f>
        <v/>
      </c>
      <c r="DC23" s="402">
        <f>IF(AND(103&gt;=$NR$23,103&lt;=$NS$23),IF($NP$23="Single_Point",IF(103=$NR$23,$NN$23,0),IF($NP$23="Bell_Curve",$NN$23*(103-$NR$23+1)*($NS$23-103+1)/$NU$23,$NN$23/$NT$23)),0)</f>
        <v/>
      </c>
      <c r="DD23" s="402">
        <f>IF(AND(104&gt;=$NR$23,104&lt;=$NS$23),IF($NP$23="Single_Point",IF(104=$NR$23,$NN$23,0),IF($NP$23="Bell_Curve",$NN$23*(104-$NR$23+1)*($NS$23-104+1)/$NU$23,$NN$23/$NT$23)),0)</f>
        <v/>
      </c>
      <c r="DE23" s="402">
        <f>IF(AND(105&gt;=$NR$23,105&lt;=$NS$23),IF($NP$23="Single_Point",IF(105=$NR$23,$NN$23,0),IF($NP$23="Bell_Curve",$NN$23*(105-$NR$23+1)*($NS$23-105+1)/$NU$23,$NN$23/$NT$23)),0)</f>
        <v/>
      </c>
      <c r="DF23" s="402">
        <f>IF(AND(106&gt;=$NR$23,106&lt;=$NS$23),IF($NP$23="Single_Point",IF(106=$NR$23,$NN$23,0),IF($NP$23="Bell_Curve",$NN$23*(106-$NR$23+1)*($NS$23-106+1)/$NU$23,$NN$23/$NT$23)),0)</f>
        <v/>
      </c>
      <c r="DG23" s="402">
        <f>IF(AND(107&gt;=$NR$23,107&lt;=$NS$23),IF($NP$23="Single_Point",IF(107=$NR$23,$NN$23,0),IF($NP$23="Bell_Curve",$NN$23*(107-$NR$23+1)*($NS$23-107+1)/$NU$23,$NN$23/$NT$23)),0)</f>
        <v/>
      </c>
      <c r="DH23" s="402">
        <f>IF(AND(108&gt;=$NR$23,108&lt;=$NS$23),IF($NP$23="Single_Point",IF(108=$NR$23,$NN$23,0),IF($NP$23="Bell_Curve",$NN$23*(108-$NR$23+1)*($NS$23-108+1)/$NU$23,$NN$23/$NT$23)),0)</f>
        <v/>
      </c>
      <c r="DI23" s="402">
        <f>IF(AND(109&gt;=$NR$23,109&lt;=$NS$23),IF($NP$23="Single_Point",IF(109=$NR$23,$NN$23,0),IF($NP$23="Bell_Curve",$NN$23*(109-$NR$23+1)*($NS$23-109+1)/$NU$23,$NN$23/$NT$23)),0)</f>
        <v/>
      </c>
      <c r="DJ23" s="402">
        <f>IF(AND(110&gt;=$NR$23,110&lt;=$NS$23),IF($NP$23="Single_Point",IF(110=$NR$23,$NN$23,0),IF($NP$23="Bell_Curve",$NN$23*(110-$NR$23+1)*($NS$23-110+1)/$NU$23,$NN$23/$NT$23)),0)</f>
        <v/>
      </c>
      <c r="DK23" s="402">
        <f>IF(AND(111&gt;=$NR$23,111&lt;=$NS$23),IF($NP$23="Single_Point",IF(111=$NR$23,$NN$23,0),IF($NP$23="Bell_Curve",$NN$23*(111-$NR$23+1)*($NS$23-111+1)/$NU$23,$NN$23/$NT$23)),0)</f>
        <v/>
      </c>
      <c r="DL23" s="402">
        <f>IF(AND(112&gt;=$NR$23,112&lt;=$NS$23),IF($NP$23="Single_Point",IF(112=$NR$23,$NN$23,0),IF($NP$23="Bell_Curve",$NN$23*(112-$NR$23+1)*($NS$23-112+1)/$NU$23,$NN$23/$NT$23)),0)</f>
        <v/>
      </c>
      <c r="DM23" s="402">
        <f>IF(AND(113&gt;=$NR$23,113&lt;=$NS$23),IF($NP$23="Single_Point",IF(113=$NR$23,$NN$23,0),IF($NP$23="Bell_Curve",$NN$23*(113-$NR$23+1)*($NS$23-113+1)/$NU$23,$NN$23/$NT$23)),0)</f>
        <v/>
      </c>
      <c r="DN23" s="402">
        <f>IF(AND(114&gt;=$NR$23,114&lt;=$NS$23),IF($NP$23="Single_Point",IF(114=$NR$23,$NN$23,0),IF($NP$23="Bell_Curve",$NN$23*(114-$NR$23+1)*($NS$23-114+1)/$NU$23,$NN$23/$NT$23)),0)</f>
        <v/>
      </c>
      <c r="DO23" s="402">
        <f>IF(AND(115&gt;=$NR$23,115&lt;=$NS$23),IF($NP$23="Single_Point",IF(115=$NR$23,$NN$23,0),IF($NP$23="Bell_Curve",$NN$23*(115-$NR$23+1)*($NS$23-115+1)/$NU$23,$NN$23/$NT$23)),0)</f>
        <v/>
      </c>
      <c r="DP23" s="402">
        <f>IF(AND(116&gt;=$NR$23,116&lt;=$NS$23),IF($NP$23="Single_Point",IF(116=$NR$23,$NN$23,0),IF($NP$23="Bell_Curve",$NN$23*(116-$NR$23+1)*($NS$23-116+1)/$NU$23,$NN$23/$NT$23)),0)</f>
        <v/>
      </c>
      <c r="DQ23" s="402">
        <f>IF(AND(117&gt;=$NR$23,117&lt;=$NS$23),IF($NP$23="Single_Point",IF(117=$NR$23,$NN$23,0),IF($NP$23="Bell_Curve",$NN$23*(117-$NR$23+1)*($NS$23-117+1)/$NU$23,$NN$23/$NT$23)),0)</f>
        <v/>
      </c>
      <c r="DR23" s="402">
        <f>IF(AND(118&gt;=$NR$23,118&lt;=$NS$23),IF($NP$23="Single_Point",IF(118=$NR$23,$NN$23,0),IF($NP$23="Bell_Curve",$NN$23*(118-$NR$23+1)*($NS$23-118+1)/$NU$23,$NN$23/$NT$23)),0)</f>
        <v/>
      </c>
      <c r="DS23" s="402">
        <f>IF(AND(119&gt;=$NR$23,119&lt;=$NS$23),IF($NP$23="Single_Point",IF(119=$NR$23,$NN$23,0),IF($NP$23="Bell_Curve",$NN$23*(119-$NR$23+1)*($NS$23-119+1)/$NU$23,$NN$23/$NT$23)),0)</f>
        <v/>
      </c>
      <c r="DT23" s="402">
        <f>IF(AND(120&gt;=$NR$23,120&lt;=$NS$23),IF($NP$23="Single_Point",IF(120=$NR$23,$NN$23,0),IF($NP$23="Bell_Curve",$NN$23*(120-$NR$23+1)*($NS$23-120+1)/$NU$23,$NN$23/$NT$23)),0)</f>
        <v/>
      </c>
      <c r="DU23" s="402">
        <f>IF(AND(121&gt;=$NR$23,121&lt;=$NS$23),IF($NP$23="Single_Point",IF(121=$NR$23,$NN$23,0),IF($NP$23="Bell_Curve",$NN$23*(121-$NR$23+1)*($NS$23-121+1)/$NU$23,$NN$23/$NT$23)),0)</f>
        <v/>
      </c>
      <c r="DV23" s="402">
        <f>IF(AND(122&gt;=$NR$23,122&lt;=$NS$23),IF($NP$23="Single_Point",IF(122=$NR$23,$NN$23,0),IF($NP$23="Bell_Curve",$NN$23*(122-$NR$23+1)*($NS$23-122+1)/$NU$23,$NN$23/$NT$23)),0)</f>
        <v/>
      </c>
      <c r="DW23" s="402">
        <f>IF(AND(123&gt;=$NR$23,123&lt;=$NS$23),IF($NP$23="Single_Point",IF(123=$NR$23,$NN$23,0),IF($NP$23="Bell_Curve",$NN$23*(123-$NR$23+1)*($NS$23-123+1)/$NU$23,$NN$23/$NT$23)),0)</f>
        <v/>
      </c>
      <c r="DX23" s="402">
        <f>IF(AND(124&gt;=$NR$23,124&lt;=$NS$23),IF($NP$23="Single_Point",IF(124=$NR$23,$NN$23,0),IF($NP$23="Bell_Curve",$NN$23*(124-$NR$23+1)*($NS$23-124+1)/$NU$23,$NN$23/$NT$23)),0)</f>
        <v/>
      </c>
      <c r="DY23" s="402">
        <f>IF(AND(125&gt;=$NR$23,125&lt;=$NS$23),IF($NP$23="Single_Point",IF(125=$NR$23,$NN$23,0),IF($NP$23="Bell_Curve",$NN$23*(125-$NR$23+1)*($NS$23-125+1)/$NU$23,$NN$23/$NT$23)),0)</f>
        <v/>
      </c>
      <c r="DZ23" s="402">
        <f>IF(AND(126&gt;=$NR$23,126&lt;=$NS$23),IF($NP$23="Single_Point",IF(126=$NR$23,$NN$23,0),IF($NP$23="Bell_Curve",$NN$23*(126-$NR$23+1)*($NS$23-126+1)/$NU$23,$NN$23/$NT$23)),0)</f>
        <v/>
      </c>
      <c r="EA23" s="402">
        <f>IF(AND(127&gt;=$NR$23,127&lt;=$NS$23),IF($NP$23="Single_Point",IF(127=$NR$23,$NN$23,0),IF($NP$23="Bell_Curve",$NN$23*(127-$NR$23+1)*($NS$23-127+1)/$NU$23,$NN$23/$NT$23)),0)</f>
        <v/>
      </c>
      <c r="EB23" s="402">
        <f>IF(AND(128&gt;=$NR$23,128&lt;=$NS$23),IF($NP$23="Single_Point",IF(128=$NR$23,$NN$23,0),IF($NP$23="Bell_Curve",$NN$23*(128-$NR$23+1)*($NS$23-128+1)/$NU$23,$NN$23/$NT$23)),0)</f>
        <v/>
      </c>
      <c r="EC23" s="402">
        <f>IF(AND(129&gt;=$NR$23,129&lt;=$NS$23),IF($NP$23="Single_Point",IF(129=$NR$23,$NN$23,0),IF($NP$23="Bell_Curve",$NN$23*(129-$NR$23+1)*($NS$23-129+1)/$NU$23,$NN$23/$NT$23)),0)</f>
        <v/>
      </c>
      <c r="ED23" s="402">
        <f>IF(AND(130&gt;=$NR$23,130&lt;=$NS$23),IF($NP$23="Single_Point",IF(130=$NR$23,$NN$23,0),IF($NP$23="Bell_Curve",$NN$23*(130-$NR$23+1)*($NS$23-130+1)/$NU$23,$NN$23/$NT$23)),0)</f>
        <v/>
      </c>
      <c r="EE23" s="402">
        <f>IF(AND(131&gt;=$NR$23,131&lt;=$NS$23),IF($NP$23="Single_Point",IF(131=$NR$23,$NN$23,0),IF($NP$23="Bell_Curve",$NN$23*(131-$NR$23+1)*($NS$23-131+1)/$NU$23,$NN$23/$NT$23)),0)</f>
        <v/>
      </c>
      <c r="EF23" s="402">
        <f>IF(AND(132&gt;=$NR$23,132&lt;=$NS$23),IF($NP$23="Single_Point",IF(132=$NR$23,$NN$23,0),IF($NP$23="Bell_Curve",$NN$23*(132-$NR$23+1)*($NS$23-132+1)/$NU$23,$NN$23/$NT$23)),0)</f>
        <v/>
      </c>
      <c r="EG23" s="402">
        <f>IF(AND(133&gt;=$NR$23,133&lt;=$NS$23),IF($NP$23="Single_Point",IF(133=$NR$23,$NN$23,0),IF($NP$23="Bell_Curve",$NN$23*(133-$NR$23+1)*($NS$23-133+1)/$NU$23,$NN$23/$NT$23)),0)</f>
        <v/>
      </c>
      <c r="EH23" s="402">
        <f>IF(AND(134&gt;=$NR$23,134&lt;=$NS$23),IF($NP$23="Single_Point",IF(134=$NR$23,$NN$23,0),IF($NP$23="Bell_Curve",$NN$23*(134-$NR$23+1)*($NS$23-134+1)/$NU$23,$NN$23/$NT$23)),0)</f>
        <v/>
      </c>
      <c r="EI23" s="402">
        <f>IF(AND(135&gt;=$NR$23,135&lt;=$NS$23),IF($NP$23="Single_Point",IF(135=$NR$23,$NN$23,0),IF($NP$23="Bell_Curve",$NN$23*(135-$NR$23+1)*($NS$23-135+1)/$NU$23,$NN$23/$NT$23)),0)</f>
        <v/>
      </c>
      <c r="EJ23" s="402">
        <f>IF(AND(136&gt;=$NR$23,136&lt;=$NS$23),IF($NP$23="Single_Point",IF(136=$NR$23,$NN$23,0),IF($NP$23="Bell_Curve",$NN$23*(136-$NR$23+1)*($NS$23-136+1)/$NU$23,$NN$23/$NT$23)),0)</f>
        <v/>
      </c>
      <c r="EK23" s="402">
        <f>IF(AND(137&gt;=$NR$23,137&lt;=$NS$23),IF($NP$23="Single_Point",IF(137=$NR$23,$NN$23,0),IF($NP$23="Bell_Curve",$NN$23*(137-$NR$23+1)*($NS$23-137+1)/$NU$23,$NN$23/$NT$23)),0)</f>
        <v/>
      </c>
      <c r="EL23" s="402">
        <f>IF(AND(138&gt;=$NR$23,138&lt;=$NS$23),IF($NP$23="Single_Point",IF(138=$NR$23,$NN$23,0),IF($NP$23="Bell_Curve",$NN$23*(138-$NR$23+1)*($NS$23-138+1)/$NU$23,$NN$23/$NT$23)),0)</f>
        <v/>
      </c>
      <c r="EM23" s="402">
        <f>IF(AND(139&gt;=$NR$23,139&lt;=$NS$23),IF($NP$23="Single_Point",IF(139=$NR$23,$NN$23,0),IF($NP$23="Bell_Curve",$NN$23*(139-$NR$23+1)*($NS$23-139+1)/$NU$23,$NN$23/$NT$23)),0)</f>
        <v/>
      </c>
      <c r="EN23" s="402">
        <f>IF(AND(140&gt;=$NR$23,140&lt;=$NS$23),IF($NP$23="Single_Point",IF(140=$NR$23,$NN$23,0),IF($NP$23="Bell_Curve",$NN$23*(140-$NR$23+1)*($NS$23-140+1)/$NU$23,$NN$23/$NT$23)),0)</f>
        <v/>
      </c>
      <c r="EO23" s="402">
        <f>IF(AND(141&gt;=$NR$23,141&lt;=$NS$23),IF($NP$23="Single_Point",IF(141=$NR$23,$NN$23,0),IF($NP$23="Bell_Curve",$NN$23*(141-$NR$23+1)*($NS$23-141+1)/$NU$23,$NN$23/$NT$23)),0)</f>
        <v/>
      </c>
      <c r="EP23" s="402">
        <f>IF(AND(142&gt;=$NR$23,142&lt;=$NS$23),IF($NP$23="Single_Point",IF(142=$NR$23,$NN$23,0),IF($NP$23="Bell_Curve",$NN$23*(142-$NR$23+1)*($NS$23-142+1)/$NU$23,$NN$23/$NT$23)),0)</f>
        <v/>
      </c>
      <c r="EQ23" s="402">
        <f>IF(AND(143&gt;=$NR$23,143&lt;=$NS$23),IF($NP$23="Single_Point",IF(143=$NR$23,$NN$23,0),IF($NP$23="Bell_Curve",$NN$23*(143-$NR$23+1)*($NS$23-143+1)/$NU$23,$NN$23/$NT$23)),0)</f>
        <v/>
      </c>
      <c r="ER23" s="402">
        <f>IF(AND(144&gt;=$NR$23,144&lt;=$NS$23),IF($NP$23="Single_Point",IF(144=$NR$23,$NN$23,0),IF($NP$23="Bell_Curve",$NN$23*(144-$NR$23+1)*($NS$23-144+1)/$NU$23,$NN$23/$NT$23)),0)</f>
        <v/>
      </c>
      <c r="ES23" s="402">
        <f>IF(AND(145&gt;=$NR$23,145&lt;=$NS$23),IF($NP$23="Single_Point",IF(145=$NR$23,$NN$23,0),IF($NP$23="Bell_Curve",$NN$23*(145-$NR$23+1)*($NS$23-145+1)/$NU$23,$NN$23/$NT$23)),0)</f>
        <v/>
      </c>
      <c r="ET23" s="402">
        <f>IF(AND(146&gt;=$NR$23,146&lt;=$NS$23),IF($NP$23="Single_Point",IF(146=$NR$23,$NN$23,0),IF($NP$23="Bell_Curve",$NN$23*(146-$NR$23+1)*($NS$23-146+1)/$NU$23,$NN$23/$NT$23)),0)</f>
        <v/>
      </c>
      <c r="EU23" s="402">
        <f>IF(AND(147&gt;=$NR$23,147&lt;=$NS$23),IF($NP$23="Single_Point",IF(147=$NR$23,$NN$23,0),IF($NP$23="Bell_Curve",$NN$23*(147-$NR$23+1)*($NS$23-147+1)/$NU$23,$NN$23/$NT$23)),0)</f>
        <v/>
      </c>
      <c r="EV23" s="402">
        <f>IF(AND(148&gt;=$NR$23,148&lt;=$NS$23),IF($NP$23="Single_Point",IF(148=$NR$23,$NN$23,0),IF($NP$23="Bell_Curve",$NN$23*(148-$NR$23+1)*($NS$23-148+1)/$NU$23,$NN$23/$NT$23)),0)</f>
        <v/>
      </c>
      <c r="EW23" s="402">
        <f>IF(AND(149&gt;=$NR$23,149&lt;=$NS$23),IF($NP$23="Single_Point",IF(149=$NR$23,$NN$23,0),IF($NP$23="Bell_Curve",$NN$23*(149-$NR$23+1)*($NS$23-149+1)/$NU$23,$NN$23/$NT$23)),0)</f>
        <v/>
      </c>
      <c r="EX23" s="402">
        <f>IF(AND(150&gt;=$NR$23,150&lt;=$NS$23),IF($NP$23="Single_Point",IF(150=$NR$23,$NN$23,0),IF($NP$23="Bell_Curve",$NN$23*(150-$NR$23+1)*($NS$23-150+1)/$NU$23,$NN$23/$NT$23)),0)</f>
        <v/>
      </c>
      <c r="EY23" s="402">
        <f>IF(AND(151&gt;=$NR$23,151&lt;=$NS$23),IF($NP$23="Single_Point",IF(151=$NR$23,$NN$23,0),IF($NP$23="Bell_Curve",$NN$23*(151-$NR$23+1)*($NS$23-151+1)/$NU$23,$NN$23/$NT$23)),0)</f>
        <v/>
      </c>
      <c r="EZ23" s="402">
        <f>IF(AND(152&gt;=$NR$23,152&lt;=$NS$23),IF($NP$23="Single_Point",IF(152=$NR$23,$NN$23,0),IF($NP$23="Bell_Curve",$NN$23*(152-$NR$23+1)*($NS$23-152+1)/$NU$23,$NN$23/$NT$23)),0)</f>
        <v/>
      </c>
      <c r="FA23" s="402">
        <f>IF(AND(153&gt;=$NR$23,153&lt;=$NS$23),IF($NP$23="Single_Point",IF(153=$NR$23,$NN$23,0),IF($NP$23="Bell_Curve",$NN$23*(153-$NR$23+1)*($NS$23-153+1)/$NU$23,$NN$23/$NT$23)),0)</f>
        <v/>
      </c>
      <c r="FB23" s="402">
        <f>IF(AND(154&gt;=$NR$23,154&lt;=$NS$23),IF($NP$23="Single_Point",IF(154=$NR$23,$NN$23,0),IF($NP$23="Bell_Curve",$NN$23*(154-$NR$23+1)*($NS$23-154+1)/$NU$23,$NN$23/$NT$23)),0)</f>
        <v/>
      </c>
      <c r="FC23" s="402">
        <f>IF(AND(155&gt;=$NR$23,155&lt;=$NS$23),IF($NP$23="Single_Point",IF(155=$NR$23,$NN$23,0),IF($NP$23="Bell_Curve",$NN$23*(155-$NR$23+1)*($NS$23-155+1)/$NU$23,$NN$23/$NT$23)),0)</f>
        <v/>
      </c>
      <c r="FD23" s="402">
        <f>IF(AND(156&gt;=$NR$23,156&lt;=$NS$23),IF($NP$23="Single_Point",IF(156=$NR$23,$NN$23,0),IF($NP$23="Bell_Curve",$NN$23*(156-$NR$23+1)*($NS$23-156+1)/$NU$23,$NN$23/$NT$23)),0)</f>
        <v/>
      </c>
      <c r="FE23" s="402">
        <f>IF(AND(157&gt;=$NR$23,157&lt;=$NS$23),IF($NP$23="Single_Point",IF(157=$NR$23,$NN$23,0),IF($NP$23="Bell_Curve",$NN$23*(157-$NR$23+1)*($NS$23-157+1)/$NU$23,$NN$23/$NT$23)),0)</f>
        <v/>
      </c>
      <c r="FF23" s="402">
        <f>IF(AND(158&gt;=$NR$23,158&lt;=$NS$23),IF($NP$23="Single_Point",IF(158=$NR$23,$NN$23,0),IF($NP$23="Bell_Curve",$NN$23*(158-$NR$23+1)*($NS$23-158+1)/$NU$23,$NN$23/$NT$23)),0)</f>
        <v/>
      </c>
      <c r="FG23" s="402">
        <f>IF(AND(159&gt;=$NR$23,159&lt;=$NS$23),IF($NP$23="Single_Point",IF(159=$NR$23,$NN$23,0),IF($NP$23="Bell_Curve",$NN$23*(159-$NR$23+1)*($NS$23-159+1)/$NU$23,$NN$23/$NT$23)),0)</f>
        <v/>
      </c>
      <c r="FH23" s="402">
        <f>IF(AND(160&gt;=$NR$23,160&lt;=$NS$23),IF($NP$23="Single_Point",IF(160=$NR$23,$NN$23,0),IF($NP$23="Bell_Curve",$NN$23*(160-$NR$23+1)*($NS$23-160+1)/$NU$23,$NN$23/$NT$23)),0)</f>
        <v/>
      </c>
      <c r="FI23" s="402">
        <f>IF(AND(161&gt;=$NR$23,161&lt;=$NS$23),IF($NP$23="Single_Point",IF(161=$NR$23,$NN$23,0),IF($NP$23="Bell_Curve",$NN$23*(161-$NR$23+1)*($NS$23-161+1)/$NU$23,$NN$23/$NT$23)),0)</f>
        <v/>
      </c>
      <c r="FJ23" s="402">
        <f>IF(AND(162&gt;=$NR$23,162&lt;=$NS$23),IF($NP$23="Single_Point",IF(162=$NR$23,$NN$23,0),IF($NP$23="Bell_Curve",$NN$23*(162-$NR$23+1)*($NS$23-162+1)/$NU$23,$NN$23/$NT$23)),0)</f>
        <v/>
      </c>
      <c r="FK23" s="402">
        <f>IF(AND(163&gt;=$NR$23,163&lt;=$NS$23),IF($NP$23="Single_Point",IF(163=$NR$23,$NN$23,0),IF($NP$23="Bell_Curve",$NN$23*(163-$NR$23+1)*($NS$23-163+1)/$NU$23,$NN$23/$NT$23)),0)</f>
        <v/>
      </c>
      <c r="FL23" s="402">
        <f>IF(AND(164&gt;=$NR$23,164&lt;=$NS$23),IF($NP$23="Single_Point",IF(164=$NR$23,$NN$23,0),IF($NP$23="Bell_Curve",$NN$23*(164-$NR$23+1)*($NS$23-164+1)/$NU$23,$NN$23/$NT$23)),0)</f>
        <v/>
      </c>
      <c r="FM23" s="402">
        <f>IF(AND(165&gt;=$NR$23,165&lt;=$NS$23),IF($NP$23="Single_Point",IF(165=$NR$23,$NN$23,0),IF($NP$23="Bell_Curve",$NN$23*(165-$NR$23+1)*($NS$23-165+1)/$NU$23,$NN$23/$NT$23)),0)</f>
        <v/>
      </c>
      <c r="FN23" s="402">
        <f>IF(AND(166&gt;=$NR$23,166&lt;=$NS$23),IF($NP$23="Single_Point",IF(166=$NR$23,$NN$23,0),IF($NP$23="Bell_Curve",$NN$23*(166-$NR$23+1)*($NS$23-166+1)/$NU$23,$NN$23/$NT$23)),0)</f>
        <v/>
      </c>
      <c r="FO23" s="402">
        <f>IF(AND(167&gt;=$NR$23,167&lt;=$NS$23),IF($NP$23="Single_Point",IF(167=$NR$23,$NN$23,0),IF($NP$23="Bell_Curve",$NN$23*(167-$NR$23+1)*($NS$23-167+1)/$NU$23,$NN$23/$NT$23)),0)</f>
        <v/>
      </c>
      <c r="FP23" s="402">
        <f>IF(AND(168&gt;=$NR$23,168&lt;=$NS$23),IF($NP$23="Single_Point",IF(168=$NR$23,$NN$23,0),IF($NP$23="Bell_Curve",$NN$23*(168-$NR$23+1)*($NS$23-168+1)/$NU$23,$NN$23/$NT$23)),0)</f>
        <v/>
      </c>
      <c r="FQ23" s="402">
        <f>IF(AND(169&gt;=$NR$23,169&lt;=$NS$23),IF($NP$23="Single_Point",IF(169=$NR$23,$NN$23,0),IF($NP$23="Bell_Curve",$NN$23*(169-$NR$23+1)*($NS$23-169+1)/$NU$23,$NN$23/$NT$23)),0)</f>
        <v/>
      </c>
      <c r="FR23" s="402">
        <f>IF(AND(170&gt;=$NR$23,170&lt;=$NS$23),IF($NP$23="Single_Point",IF(170=$NR$23,$NN$23,0),IF($NP$23="Bell_Curve",$NN$23*(170-$NR$23+1)*($NS$23-170+1)/$NU$23,$NN$23/$NT$23)),0)</f>
        <v/>
      </c>
      <c r="FS23" s="402">
        <f>IF(AND(171&gt;=$NR$23,171&lt;=$NS$23),IF($NP$23="Single_Point",IF(171=$NR$23,$NN$23,0),IF($NP$23="Bell_Curve",$NN$23*(171-$NR$23+1)*($NS$23-171+1)/$NU$23,$NN$23/$NT$23)),0)</f>
        <v/>
      </c>
      <c r="FT23" s="402">
        <f>IF(AND(172&gt;=$NR$23,172&lt;=$NS$23),IF($NP$23="Single_Point",IF(172=$NR$23,$NN$23,0),IF($NP$23="Bell_Curve",$NN$23*(172-$NR$23+1)*($NS$23-172+1)/$NU$23,$NN$23/$NT$23)),0)</f>
        <v/>
      </c>
      <c r="FU23" s="402">
        <f>IF(AND(173&gt;=$NR$23,173&lt;=$NS$23),IF($NP$23="Single_Point",IF(173=$NR$23,$NN$23,0),IF($NP$23="Bell_Curve",$NN$23*(173-$NR$23+1)*($NS$23-173+1)/$NU$23,$NN$23/$NT$23)),0)</f>
        <v/>
      </c>
      <c r="FV23" s="402">
        <f>IF(AND(174&gt;=$NR$23,174&lt;=$NS$23),IF($NP$23="Single_Point",IF(174=$NR$23,$NN$23,0),IF($NP$23="Bell_Curve",$NN$23*(174-$NR$23+1)*($NS$23-174+1)/$NU$23,$NN$23/$NT$23)),0)</f>
        <v/>
      </c>
      <c r="FW23" s="402">
        <f>IF(AND(175&gt;=$NR$23,175&lt;=$NS$23),IF($NP$23="Single_Point",IF(175=$NR$23,$NN$23,0),IF($NP$23="Bell_Curve",$NN$23*(175-$NR$23+1)*($NS$23-175+1)/$NU$23,$NN$23/$NT$23)),0)</f>
        <v/>
      </c>
      <c r="FX23" s="402">
        <f>IF(AND(176&gt;=$NR$23,176&lt;=$NS$23),IF($NP$23="Single_Point",IF(176=$NR$23,$NN$23,0),IF($NP$23="Bell_Curve",$NN$23*(176-$NR$23+1)*($NS$23-176+1)/$NU$23,$NN$23/$NT$23)),0)</f>
        <v/>
      </c>
      <c r="FY23" s="402">
        <f>IF(AND(177&gt;=$NR$23,177&lt;=$NS$23),IF($NP$23="Single_Point",IF(177=$NR$23,$NN$23,0),IF($NP$23="Bell_Curve",$NN$23*(177-$NR$23+1)*($NS$23-177+1)/$NU$23,$NN$23/$NT$23)),0)</f>
        <v/>
      </c>
      <c r="FZ23" s="402">
        <f>IF(AND(178&gt;=$NR$23,178&lt;=$NS$23),IF($NP$23="Single_Point",IF(178=$NR$23,$NN$23,0),IF($NP$23="Bell_Curve",$NN$23*(178-$NR$23+1)*($NS$23-178+1)/$NU$23,$NN$23/$NT$23)),0)</f>
        <v/>
      </c>
      <c r="GA23" s="402">
        <f>IF(AND(179&gt;=$NR$23,179&lt;=$NS$23),IF($NP$23="Single_Point",IF(179=$NR$23,$NN$23,0),IF($NP$23="Bell_Curve",$NN$23*(179-$NR$23+1)*($NS$23-179+1)/$NU$23,$NN$23/$NT$23)),0)</f>
        <v/>
      </c>
      <c r="GB23" s="402">
        <f>IF(AND(180&gt;=$NR$23,180&lt;=$NS$23),IF($NP$23="Single_Point",IF(180=$NR$23,$NN$23,0),IF($NP$23="Bell_Curve",$NN$23*(180-$NR$23+1)*($NS$23-180+1)/$NU$23,$NN$23/$NT$23)),0)</f>
        <v/>
      </c>
      <c r="GC23" s="402">
        <f>IF(AND(181&gt;=$NR$23,181&lt;=$NS$23),IF($NP$23="Single_Point",IF(181=$NR$23,$NN$23,0),IF($NP$23="Bell_Curve",$NN$23*(181-$NR$23+1)*($NS$23-181+1)/$NU$23,$NN$23/$NT$23)),0)</f>
        <v/>
      </c>
      <c r="GD23" s="402">
        <f>IF(AND(182&gt;=$NR$23,182&lt;=$NS$23),IF($NP$23="Single_Point",IF(182=$NR$23,$NN$23,0),IF($NP$23="Bell_Curve",$NN$23*(182-$NR$23+1)*($NS$23-182+1)/$NU$23,$NN$23/$NT$23)),0)</f>
        <v/>
      </c>
      <c r="GE23" s="402">
        <f>IF(AND(183&gt;=$NR$23,183&lt;=$NS$23),IF($NP$23="Single_Point",IF(183=$NR$23,$NN$23,0),IF($NP$23="Bell_Curve",$NN$23*(183-$NR$23+1)*($NS$23-183+1)/$NU$23,$NN$23/$NT$23)),0)</f>
        <v/>
      </c>
      <c r="GF23" s="402">
        <f>IF(AND(184&gt;=$NR$23,184&lt;=$NS$23),IF($NP$23="Single_Point",IF(184=$NR$23,$NN$23,0),IF($NP$23="Bell_Curve",$NN$23*(184-$NR$23+1)*($NS$23-184+1)/$NU$23,$NN$23/$NT$23)),0)</f>
        <v/>
      </c>
      <c r="GG23" s="402">
        <f>IF(AND(185&gt;=$NR$23,185&lt;=$NS$23),IF($NP$23="Single_Point",IF(185=$NR$23,$NN$23,0),IF($NP$23="Bell_Curve",$NN$23*(185-$NR$23+1)*($NS$23-185+1)/$NU$23,$NN$23/$NT$23)),0)</f>
        <v/>
      </c>
      <c r="GH23" s="402">
        <f>IF(AND(186&gt;=$NR$23,186&lt;=$NS$23),IF($NP$23="Single_Point",IF(186=$NR$23,$NN$23,0),IF($NP$23="Bell_Curve",$NN$23*(186-$NR$23+1)*($NS$23-186+1)/$NU$23,$NN$23/$NT$23)),0)</f>
        <v/>
      </c>
      <c r="GI23" s="402">
        <f>IF(AND(187&gt;=$NR$23,187&lt;=$NS$23),IF($NP$23="Single_Point",IF(187=$NR$23,$NN$23,0),IF($NP$23="Bell_Curve",$NN$23*(187-$NR$23+1)*($NS$23-187+1)/$NU$23,$NN$23/$NT$23)),0)</f>
        <v/>
      </c>
      <c r="GJ23" s="402">
        <f>IF(AND(188&gt;=$NR$23,188&lt;=$NS$23),IF($NP$23="Single_Point",IF(188=$NR$23,$NN$23,0),IF($NP$23="Bell_Curve",$NN$23*(188-$NR$23+1)*($NS$23-188+1)/$NU$23,$NN$23/$NT$23)),0)</f>
        <v/>
      </c>
      <c r="GK23" s="402">
        <f>IF(AND(189&gt;=$NR$23,189&lt;=$NS$23),IF($NP$23="Single_Point",IF(189=$NR$23,$NN$23,0),IF($NP$23="Bell_Curve",$NN$23*(189-$NR$23+1)*($NS$23-189+1)/$NU$23,$NN$23/$NT$23)),0)</f>
        <v/>
      </c>
      <c r="GL23" s="402">
        <f>IF(AND(190&gt;=$NR$23,190&lt;=$NS$23),IF($NP$23="Single_Point",IF(190=$NR$23,$NN$23,0),IF($NP$23="Bell_Curve",$NN$23*(190-$NR$23+1)*($NS$23-190+1)/$NU$23,$NN$23/$NT$23)),0)</f>
        <v/>
      </c>
      <c r="GM23" s="402">
        <f>IF(AND(191&gt;=$NR$23,191&lt;=$NS$23),IF($NP$23="Single_Point",IF(191=$NR$23,$NN$23,0),IF($NP$23="Bell_Curve",$NN$23*(191-$NR$23+1)*($NS$23-191+1)/$NU$23,$NN$23/$NT$23)),0)</f>
        <v/>
      </c>
      <c r="GN23" s="402">
        <f>IF(AND(192&gt;=$NR$23,192&lt;=$NS$23),IF($NP$23="Single_Point",IF(192=$NR$23,$NN$23,0),IF($NP$23="Bell_Curve",$NN$23*(192-$NR$23+1)*($NS$23-192+1)/$NU$23,$NN$23/$NT$23)),0)</f>
        <v/>
      </c>
      <c r="GO23" s="402">
        <f>IF(AND(193&gt;=$NR$23,193&lt;=$NS$23),IF($NP$23="Single_Point",IF(193=$NR$23,$NN$23,0),IF($NP$23="Bell_Curve",$NN$23*(193-$NR$23+1)*($NS$23-193+1)/$NU$23,$NN$23/$NT$23)),0)</f>
        <v/>
      </c>
      <c r="GP23" s="402">
        <f>IF(AND(194&gt;=$NR$23,194&lt;=$NS$23),IF($NP$23="Single_Point",IF(194=$NR$23,$NN$23,0),IF($NP$23="Bell_Curve",$NN$23*(194-$NR$23+1)*($NS$23-194+1)/$NU$23,$NN$23/$NT$23)),0)</f>
        <v/>
      </c>
      <c r="GQ23" s="402">
        <f>IF(AND(195&gt;=$NR$23,195&lt;=$NS$23),IF($NP$23="Single_Point",IF(195=$NR$23,$NN$23,0),IF($NP$23="Bell_Curve",$NN$23*(195-$NR$23+1)*($NS$23-195+1)/$NU$23,$NN$23/$NT$23)),0)</f>
        <v/>
      </c>
      <c r="GR23" s="402">
        <f>IF(AND(196&gt;=$NR$23,196&lt;=$NS$23),IF($NP$23="Single_Point",IF(196=$NR$23,$NN$23,0),IF($NP$23="Bell_Curve",$NN$23*(196-$NR$23+1)*($NS$23-196+1)/$NU$23,$NN$23/$NT$23)),0)</f>
        <v/>
      </c>
      <c r="GS23" s="402">
        <f>IF(AND(197&gt;=$NR$23,197&lt;=$NS$23),IF($NP$23="Single_Point",IF(197=$NR$23,$NN$23,0),IF($NP$23="Bell_Curve",$NN$23*(197-$NR$23+1)*($NS$23-197+1)/$NU$23,$NN$23/$NT$23)),0)</f>
        <v/>
      </c>
      <c r="GT23" s="402">
        <f>IF(AND(198&gt;=$NR$23,198&lt;=$NS$23),IF($NP$23="Single_Point",IF(198=$NR$23,$NN$23,0),IF($NP$23="Bell_Curve",$NN$23*(198-$NR$23+1)*($NS$23-198+1)/$NU$23,$NN$23/$NT$23)),0)</f>
        <v/>
      </c>
      <c r="GU23" s="402">
        <f>IF(AND(199&gt;=$NR$23,199&lt;=$NS$23),IF($NP$23="Single_Point",IF(199=$NR$23,$NN$23,0),IF($NP$23="Bell_Curve",$NN$23*(199-$NR$23+1)*($NS$23-199+1)/$NU$23,$NN$23/$NT$23)),0)</f>
        <v/>
      </c>
      <c r="GV23" s="402">
        <f>IF(AND(200&gt;=$NR$23,200&lt;=$NS$23),IF($NP$23="Single_Point",IF(200=$NR$23,$NN$23,0),IF($NP$23="Bell_Curve",$NN$23*(200-$NR$23+1)*($NS$23-200+1)/$NU$23,$NN$23/$NT$23)),0)</f>
        <v/>
      </c>
      <c r="GW23" s="402">
        <f>IF(AND(201&gt;=$NR$23,201&lt;=$NS$23),IF($NP$23="Single_Point",IF(201=$NR$23,$NN$23,0),IF($NP$23="Bell_Curve",$NN$23*(201-$NR$23+1)*($NS$23-201+1)/$NU$23,$NN$23/$NT$23)),0)</f>
        <v/>
      </c>
      <c r="GX23" s="402">
        <f>IF(AND(202&gt;=$NR$23,202&lt;=$NS$23),IF($NP$23="Single_Point",IF(202=$NR$23,$NN$23,0),IF($NP$23="Bell_Curve",$NN$23*(202-$NR$23+1)*($NS$23-202+1)/$NU$23,$NN$23/$NT$23)),0)</f>
        <v/>
      </c>
      <c r="GY23" s="402">
        <f>IF(AND(203&gt;=$NR$23,203&lt;=$NS$23),IF($NP$23="Single_Point",IF(203=$NR$23,$NN$23,0),IF($NP$23="Bell_Curve",$NN$23*(203-$NR$23+1)*($NS$23-203+1)/$NU$23,$NN$23/$NT$23)),0)</f>
        <v/>
      </c>
      <c r="GZ23" s="402">
        <f>IF(AND(204&gt;=$NR$23,204&lt;=$NS$23),IF($NP$23="Single_Point",IF(204=$NR$23,$NN$23,0),IF($NP$23="Bell_Curve",$NN$23*(204-$NR$23+1)*($NS$23-204+1)/$NU$23,$NN$23/$NT$23)),0)</f>
        <v/>
      </c>
      <c r="HA23" s="402">
        <f>IF(AND(205&gt;=$NR$23,205&lt;=$NS$23),IF($NP$23="Single_Point",IF(205=$NR$23,$NN$23,0),IF($NP$23="Bell_Curve",$NN$23*(205-$NR$23+1)*($NS$23-205+1)/$NU$23,$NN$23/$NT$23)),0)</f>
        <v/>
      </c>
      <c r="HB23" s="402">
        <f>IF(AND(206&gt;=$NR$23,206&lt;=$NS$23),IF($NP$23="Single_Point",IF(206=$NR$23,$NN$23,0),IF($NP$23="Bell_Curve",$NN$23*(206-$NR$23+1)*($NS$23-206+1)/$NU$23,$NN$23/$NT$23)),0)</f>
        <v/>
      </c>
      <c r="HC23" s="402">
        <f>IF(AND(207&gt;=$NR$23,207&lt;=$NS$23),IF($NP$23="Single_Point",IF(207=$NR$23,$NN$23,0),IF($NP$23="Bell_Curve",$NN$23*(207-$NR$23+1)*($NS$23-207+1)/$NU$23,$NN$23/$NT$23)),0)</f>
        <v/>
      </c>
      <c r="HD23" s="402">
        <f>IF(AND(208&gt;=$NR$23,208&lt;=$NS$23),IF($NP$23="Single_Point",IF(208=$NR$23,$NN$23,0),IF($NP$23="Bell_Curve",$NN$23*(208-$NR$23+1)*($NS$23-208+1)/$NU$23,$NN$23/$NT$23)),0)</f>
        <v/>
      </c>
      <c r="HE23" s="402">
        <f>IF(AND(209&gt;=$NR$23,209&lt;=$NS$23),IF($NP$23="Single_Point",IF(209=$NR$23,$NN$23,0),IF($NP$23="Bell_Curve",$NN$23*(209-$NR$23+1)*($NS$23-209+1)/$NU$23,$NN$23/$NT$23)),0)</f>
        <v/>
      </c>
      <c r="HF23" s="402">
        <f>IF(AND(210&gt;=$NR$23,210&lt;=$NS$23),IF($NP$23="Single_Point",IF(210=$NR$23,$NN$23,0),IF($NP$23="Bell_Curve",$NN$23*(210-$NR$23+1)*($NS$23-210+1)/$NU$23,$NN$23/$NT$23)),0)</f>
        <v/>
      </c>
      <c r="HG23" s="402">
        <f>IF(AND(211&gt;=$NR$23,211&lt;=$NS$23),IF($NP$23="Single_Point",IF(211=$NR$23,$NN$23,0),IF($NP$23="Bell_Curve",$NN$23*(211-$NR$23+1)*($NS$23-211+1)/$NU$23,$NN$23/$NT$23)),0)</f>
        <v/>
      </c>
      <c r="HH23" s="402">
        <f>IF(AND(212&gt;=$NR$23,212&lt;=$NS$23),IF($NP$23="Single_Point",IF(212=$NR$23,$NN$23,0),IF($NP$23="Bell_Curve",$NN$23*(212-$NR$23+1)*($NS$23-212+1)/$NU$23,$NN$23/$NT$23)),0)</f>
        <v/>
      </c>
      <c r="HI23" s="402">
        <f>IF(AND(213&gt;=$NR$23,213&lt;=$NS$23),IF($NP$23="Single_Point",IF(213=$NR$23,$NN$23,0),IF($NP$23="Bell_Curve",$NN$23*(213-$NR$23+1)*($NS$23-213+1)/$NU$23,$NN$23/$NT$23)),0)</f>
        <v/>
      </c>
      <c r="HJ23" s="402">
        <f>IF(AND(214&gt;=$NR$23,214&lt;=$NS$23),IF($NP$23="Single_Point",IF(214=$NR$23,$NN$23,0),IF($NP$23="Bell_Curve",$NN$23*(214-$NR$23+1)*($NS$23-214+1)/$NU$23,$NN$23/$NT$23)),0)</f>
        <v/>
      </c>
      <c r="HK23" s="402">
        <f>IF(AND(215&gt;=$NR$23,215&lt;=$NS$23),IF($NP$23="Single_Point",IF(215=$NR$23,$NN$23,0),IF($NP$23="Bell_Curve",$NN$23*(215-$NR$23+1)*($NS$23-215+1)/$NU$23,$NN$23/$NT$23)),0)</f>
        <v/>
      </c>
      <c r="HL23" s="402">
        <f>IF(AND(216&gt;=$NR$23,216&lt;=$NS$23),IF($NP$23="Single_Point",IF(216=$NR$23,$NN$23,0),IF($NP$23="Bell_Curve",$NN$23*(216-$NR$23+1)*($NS$23-216+1)/$NU$23,$NN$23/$NT$23)),0)</f>
        <v/>
      </c>
      <c r="HM23" s="402">
        <f>IF(AND(217&gt;=$NR$23,217&lt;=$NS$23),IF($NP$23="Single_Point",IF(217=$NR$23,$NN$23,0),IF($NP$23="Bell_Curve",$NN$23*(217-$NR$23+1)*($NS$23-217+1)/$NU$23,$NN$23/$NT$23)),0)</f>
        <v/>
      </c>
      <c r="HN23" s="402">
        <f>IF(AND(218&gt;=$NR$23,218&lt;=$NS$23),IF($NP$23="Single_Point",IF(218=$NR$23,$NN$23,0),IF($NP$23="Bell_Curve",$NN$23*(218-$NR$23+1)*($NS$23-218+1)/$NU$23,$NN$23/$NT$23)),0)</f>
        <v/>
      </c>
      <c r="HO23" s="402">
        <f>IF(AND(219&gt;=$NR$23,219&lt;=$NS$23),IF($NP$23="Single_Point",IF(219=$NR$23,$NN$23,0),IF($NP$23="Bell_Curve",$NN$23*(219-$NR$23+1)*($NS$23-219+1)/$NU$23,$NN$23/$NT$23)),0)</f>
        <v/>
      </c>
      <c r="HP23" s="402">
        <f>IF(AND(220&gt;=$NR$23,220&lt;=$NS$23),IF($NP$23="Single_Point",IF(220=$NR$23,$NN$23,0),IF($NP$23="Bell_Curve",$NN$23*(220-$NR$23+1)*($NS$23-220+1)/$NU$23,$NN$23/$NT$23)),0)</f>
        <v/>
      </c>
      <c r="HQ23" s="402">
        <f>IF(AND(221&gt;=$NR$23,221&lt;=$NS$23),IF($NP$23="Single_Point",IF(221=$NR$23,$NN$23,0),IF($NP$23="Bell_Curve",$NN$23*(221-$NR$23+1)*($NS$23-221+1)/$NU$23,$NN$23/$NT$23)),0)</f>
        <v/>
      </c>
      <c r="HR23" s="402">
        <f>IF(AND(222&gt;=$NR$23,222&lt;=$NS$23),IF($NP$23="Single_Point",IF(222=$NR$23,$NN$23,0),IF($NP$23="Bell_Curve",$NN$23*(222-$NR$23+1)*($NS$23-222+1)/$NU$23,$NN$23/$NT$23)),0)</f>
        <v/>
      </c>
      <c r="HS23" s="402">
        <f>IF(AND(223&gt;=$NR$23,223&lt;=$NS$23),IF($NP$23="Single_Point",IF(223=$NR$23,$NN$23,0),IF($NP$23="Bell_Curve",$NN$23*(223-$NR$23+1)*($NS$23-223+1)/$NU$23,$NN$23/$NT$23)),0)</f>
        <v/>
      </c>
      <c r="HT23" s="402">
        <f>IF(AND(224&gt;=$NR$23,224&lt;=$NS$23),IF($NP$23="Single_Point",IF(224=$NR$23,$NN$23,0),IF($NP$23="Bell_Curve",$NN$23*(224-$NR$23+1)*($NS$23-224+1)/$NU$23,$NN$23/$NT$23)),0)</f>
        <v/>
      </c>
      <c r="HU23" s="402">
        <f>IF(AND(225&gt;=$NR$23,225&lt;=$NS$23),IF($NP$23="Single_Point",IF(225=$NR$23,$NN$23,0),IF($NP$23="Bell_Curve",$NN$23*(225-$NR$23+1)*($NS$23-225+1)/$NU$23,$NN$23/$NT$23)),0)</f>
        <v/>
      </c>
      <c r="HV23" s="402">
        <f>IF(AND(226&gt;=$NR$23,226&lt;=$NS$23),IF($NP$23="Single_Point",IF(226=$NR$23,$NN$23,0),IF($NP$23="Bell_Curve",$NN$23*(226-$NR$23+1)*($NS$23-226+1)/$NU$23,$NN$23/$NT$23)),0)</f>
        <v/>
      </c>
      <c r="HW23" s="402">
        <f>IF(AND(227&gt;=$NR$23,227&lt;=$NS$23),IF($NP$23="Single_Point",IF(227=$NR$23,$NN$23,0),IF($NP$23="Bell_Curve",$NN$23*(227-$NR$23+1)*($NS$23-227+1)/$NU$23,$NN$23/$NT$23)),0)</f>
        <v/>
      </c>
      <c r="HX23" s="402">
        <f>IF(AND(228&gt;=$NR$23,228&lt;=$NS$23),IF($NP$23="Single_Point",IF(228=$NR$23,$NN$23,0),IF($NP$23="Bell_Curve",$NN$23*(228-$NR$23+1)*($NS$23-228+1)/$NU$23,$NN$23/$NT$23)),0)</f>
        <v/>
      </c>
      <c r="HY23" s="402">
        <f>IF(AND(229&gt;=$NR$23,229&lt;=$NS$23),IF($NP$23="Single_Point",IF(229=$NR$23,$NN$23,0),IF($NP$23="Bell_Curve",$NN$23*(229-$NR$23+1)*($NS$23-229+1)/$NU$23,$NN$23/$NT$23)),0)</f>
        <v/>
      </c>
      <c r="HZ23" s="402">
        <f>IF(AND(230&gt;=$NR$23,230&lt;=$NS$23),IF($NP$23="Single_Point",IF(230=$NR$23,$NN$23,0),IF($NP$23="Bell_Curve",$NN$23*(230-$NR$23+1)*($NS$23-230+1)/$NU$23,$NN$23/$NT$23)),0)</f>
        <v/>
      </c>
      <c r="IA23" s="402">
        <f>IF(AND(231&gt;=$NR$23,231&lt;=$NS$23),IF($NP$23="Single_Point",IF(231=$NR$23,$NN$23,0),IF($NP$23="Bell_Curve",$NN$23*(231-$NR$23+1)*($NS$23-231+1)/$NU$23,$NN$23/$NT$23)),0)</f>
        <v/>
      </c>
      <c r="IB23" s="402">
        <f>IF(AND(232&gt;=$NR$23,232&lt;=$NS$23),IF($NP$23="Single_Point",IF(232=$NR$23,$NN$23,0),IF($NP$23="Bell_Curve",$NN$23*(232-$NR$23+1)*($NS$23-232+1)/$NU$23,$NN$23/$NT$23)),0)</f>
        <v/>
      </c>
      <c r="IC23" s="402">
        <f>IF(AND(233&gt;=$NR$23,233&lt;=$NS$23),IF($NP$23="Single_Point",IF(233=$NR$23,$NN$23,0),IF($NP$23="Bell_Curve",$NN$23*(233-$NR$23+1)*($NS$23-233+1)/$NU$23,$NN$23/$NT$23)),0)</f>
        <v/>
      </c>
      <c r="ID23" s="402">
        <f>IF(AND(234&gt;=$NR$23,234&lt;=$NS$23),IF($NP$23="Single_Point",IF(234=$NR$23,$NN$23,0),IF($NP$23="Bell_Curve",$NN$23*(234-$NR$23+1)*($NS$23-234+1)/$NU$23,$NN$23/$NT$23)),0)</f>
        <v/>
      </c>
      <c r="IE23" s="402">
        <f>IF(AND(235&gt;=$NR$23,235&lt;=$NS$23),IF($NP$23="Single_Point",IF(235=$NR$23,$NN$23,0),IF($NP$23="Bell_Curve",$NN$23*(235-$NR$23+1)*($NS$23-235+1)/$NU$23,$NN$23/$NT$23)),0)</f>
        <v/>
      </c>
      <c r="IF23" s="402">
        <f>IF(AND(236&gt;=$NR$23,236&lt;=$NS$23),IF($NP$23="Single_Point",IF(236=$NR$23,$NN$23,0),IF($NP$23="Bell_Curve",$NN$23*(236-$NR$23+1)*($NS$23-236+1)/$NU$23,$NN$23/$NT$23)),0)</f>
        <v/>
      </c>
      <c r="IG23" s="402">
        <f>IF(AND(237&gt;=$NR$23,237&lt;=$NS$23),IF($NP$23="Single_Point",IF(237=$NR$23,$NN$23,0),IF($NP$23="Bell_Curve",$NN$23*(237-$NR$23+1)*($NS$23-237+1)/$NU$23,$NN$23/$NT$23)),0)</f>
        <v/>
      </c>
      <c r="IH23" s="402">
        <f>IF(AND(238&gt;=$NR$23,238&lt;=$NS$23),IF($NP$23="Single_Point",IF(238=$NR$23,$NN$23,0),IF($NP$23="Bell_Curve",$NN$23*(238-$NR$23+1)*($NS$23-238+1)/$NU$23,$NN$23/$NT$23)),0)</f>
        <v/>
      </c>
      <c r="II23" s="402">
        <f>IF(AND(239&gt;=$NR$23,239&lt;=$NS$23),IF($NP$23="Single_Point",IF(239=$NR$23,$NN$23,0),IF($NP$23="Bell_Curve",$NN$23*(239-$NR$23+1)*($NS$23-239+1)/$NU$23,$NN$23/$NT$23)),0)</f>
        <v/>
      </c>
      <c r="IJ23" s="402">
        <f>IF(AND(240&gt;=$NR$23,240&lt;=$NS$23),IF($NP$23="Single_Point",IF(240=$NR$23,$NN$23,0),IF($NP$23="Bell_Curve",$NN$23*(240-$NR$23+1)*($NS$23-240+1)/$NU$23,$NN$23/$NT$23)),0)</f>
        <v/>
      </c>
      <c r="IK23" s="402">
        <f>IF(AND(241&gt;=$NR$23,241&lt;=$NS$23),IF($NP$23="Single_Point",IF(241=$NR$23,$NN$23,0),IF($NP$23="Bell_Curve",$NN$23*(241-$NR$23+1)*($NS$23-241+1)/$NU$23,$NN$23/$NT$23)),0)</f>
        <v/>
      </c>
      <c r="IL23" s="402">
        <f>IF(AND(242&gt;=$NR$23,242&lt;=$NS$23),IF($NP$23="Single_Point",IF(242=$NR$23,$NN$23,0),IF($NP$23="Bell_Curve",$NN$23*(242-$NR$23+1)*($NS$23-242+1)/$NU$23,$NN$23/$NT$23)),0)</f>
        <v/>
      </c>
      <c r="IM23" s="402">
        <f>IF(AND(243&gt;=$NR$23,243&lt;=$NS$23),IF($NP$23="Single_Point",IF(243=$NR$23,$NN$23,0),IF($NP$23="Bell_Curve",$NN$23*(243-$NR$23+1)*($NS$23-243+1)/$NU$23,$NN$23/$NT$23)),0)</f>
        <v/>
      </c>
      <c r="IN23" s="402">
        <f>IF(AND(244&gt;=$NR$23,244&lt;=$NS$23),IF($NP$23="Single_Point",IF(244=$NR$23,$NN$23,0),IF($NP$23="Bell_Curve",$NN$23*(244-$NR$23+1)*($NS$23-244+1)/$NU$23,$NN$23/$NT$23)),0)</f>
        <v/>
      </c>
      <c r="IO23" s="402">
        <f>IF(AND(245&gt;=$NR$23,245&lt;=$NS$23),IF($NP$23="Single_Point",IF(245=$NR$23,$NN$23,0),IF($NP$23="Bell_Curve",$NN$23*(245-$NR$23+1)*($NS$23-245+1)/$NU$23,$NN$23/$NT$23)),0)</f>
        <v/>
      </c>
      <c r="IP23" s="402">
        <f>IF(AND(246&gt;=$NR$23,246&lt;=$NS$23),IF($NP$23="Single_Point",IF(246=$NR$23,$NN$23,0),IF($NP$23="Bell_Curve",$NN$23*(246-$NR$23+1)*($NS$23-246+1)/$NU$23,$NN$23/$NT$23)),0)</f>
        <v/>
      </c>
      <c r="IQ23" s="402">
        <f>IF(AND(247&gt;=$NR$23,247&lt;=$NS$23),IF($NP$23="Single_Point",IF(247=$NR$23,$NN$23,0),IF($NP$23="Bell_Curve",$NN$23*(247-$NR$23+1)*($NS$23-247+1)/$NU$23,$NN$23/$NT$23)),0)</f>
        <v/>
      </c>
      <c r="IR23" s="402">
        <f>IF(AND(248&gt;=$NR$23,248&lt;=$NS$23),IF($NP$23="Single_Point",IF(248=$NR$23,$NN$23,0),IF($NP$23="Bell_Curve",$NN$23*(248-$NR$23+1)*($NS$23-248+1)/$NU$23,$NN$23/$NT$23)),0)</f>
        <v/>
      </c>
      <c r="IS23" s="402">
        <f>IF(AND(249&gt;=$NR$23,249&lt;=$NS$23),IF($NP$23="Single_Point",IF(249=$NR$23,$NN$23,0),IF($NP$23="Bell_Curve",$NN$23*(249-$NR$23+1)*($NS$23-249+1)/$NU$23,$NN$23/$NT$23)),0)</f>
        <v/>
      </c>
      <c r="IT23" s="402">
        <f>IF(AND(250&gt;=$NR$23,250&lt;=$NS$23),IF($NP$23="Single_Point",IF(250=$NR$23,$NN$23,0),IF($NP$23="Bell_Curve",$NN$23*(250-$NR$23+1)*($NS$23-250+1)/$NU$23,$NN$23/$NT$23)),0)</f>
        <v/>
      </c>
      <c r="IU23" s="402">
        <f>IF(AND(251&gt;=$NR$23,251&lt;=$NS$23),IF($NP$23="Single_Point",IF(251=$NR$23,$NN$23,0),IF($NP$23="Bell_Curve",$NN$23*(251-$NR$23+1)*($NS$23-251+1)/$NU$23,$NN$23/$NT$23)),0)</f>
        <v/>
      </c>
      <c r="IV23" s="402">
        <f>IF(AND(252&gt;=$NR$23,252&lt;=$NS$23),IF($NP$23="Single_Point",IF(252=$NR$23,$NN$23,0),IF($NP$23="Bell_Curve",$NN$23*(252-$NR$23+1)*($NS$23-252+1)/$NU$23,$NN$23/$NT$23)),0)</f>
        <v/>
      </c>
      <c r="IW23" s="402">
        <f>IF(AND(253&gt;=$NR$23,253&lt;=$NS$23),IF($NP$23="Single_Point",IF(253=$NR$23,$NN$23,0),IF($NP$23="Bell_Curve",$NN$23*(253-$NR$23+1)*($NS$23-253+1)/$NU$23,$NN$23/$NT$23)),0)</f>
        <v/>
      </c>
      <c r="IX23" s="402">
        <f>IF(AND(254&gt;=$NR$23,254&lt;=$NS$23),IF($NP$23="Single_Point",IF(254=$NR$23,$NN$23,0),IF($NP$23="Bell_Curve",$NN$23*(254-$NR$23+1)*($NS$23-254+1)/$NU$23,$NN$23/$NT$23)),0)</f>
        <v/>
      </c>
      <c r="IY23" s="402">
        <f>IF(AND(255&gt;=$NR$23,255&lt;=$NS$23),IF($NP$23="Single_Point",IF(255=$NR$23,$NN$23,0),IF($NP$23="Bell_Curve",$NN$23*(255-$NR$23+1)*($NS$23-255+1)/$NU$23,$NN$23/$NT$23)),0)</f>
        <v/>
      </c>
      <c r="IZ23" s="402">
        <f>IF(AND(256&gt;=$NR$23,256&lt;=$NS$23),IF($NP$23="Single_Point",IF(256=$NR$23,$NN$23,0),IF($NP$23="Bell_Curve",$NN$23*(256-$NR$23+1)*($NS$23-256+1)/$NU$23,$NN$23/$NT$23)),0)</f>
        <v/>
      </c>
      <c r="JA23" s="402">
        <f>IF(AND(257&gt;=$NR$23,257&lt;=$NS$23),IF($NP$23="Single_Point",IF(257=$NR$23,$NN$23,0),IF($NP$23="Bell_Curve",$NN$23*(257-$NR$23+1)*($NS$23-257+1)/$NU$23,$NN$23/$NT$23)),0)</f>
        <v/>
      </c>
      <c r="JB23" s="402">
        <f>IF(AND(258&gt;=$NR$23,258&lt;=$NS$23),IF($NP$23="Single_Point",IF(258=$NR$23,$NN$23,0),IF($NP$23="Bell_Curve",$NN$23*(258-$NR$23+1)*($NS$23-258+1)/$NU$23,$NN$23/$NT$23)),0)</f>
        <v/>
      </c>
      <c r="JC23" s="402">
        <f>IF(AND(259&gt;=$NR$23,259&lt;=$NS$23),IF($NP$23="Single_Point",IF(259=$NR$23,$NN$23,0),IF($NP$23="Bell_Curve",$NN$23*(259-$NR$23+1)*($NS$23-259+1)/$NU$23,$NN$23/$NT$23)),0)</f>
        <v/>
      </c>
      <c r="JD23" s="402">
        <f>IF(AND(260&gt;=$NR$23,260&lt;=$NS$23),IF($NP$23="Single_Point",IF(260=$NR$23,$NN$23,0),IF($NP$23="Bell_Curve",$NN$23*(260-$NR$23+1)*($NS$23-260+1)/$NU$23,$NN$23/$NT$23)),0)</f>
        <v/>
      </c>
      <c r="JE23" s="402">
        <f>IF(AND(261&gt;=$NR$23,261&lt;=$NS$23),IF($NP$23="Single_Point",IF(261=$NR$23,$NN$23,0),IF($NP$23="Bell_Curve",$NN$23*(261-$NR$23+1)*($NS$23-261+1)/$NU$23,$NN$23/$NT$23)),0)</f>
        <v/>
      </c>
      <c r="JF23" s="402">
        <f>IF(AND(262&gt;=$NR$23,262&lt;=$NS$23),IF($NP$23="Single_Point",IF(262=$NR$23,$NN$23,0),IF($NP$23="Bell_Curve",$NN$23*(262-$NR$23+1)*($NS$23-262+1)/$NU$23,$NN$23/$NT$23)),0)</f>
        <v/>
      </c>
      <c r="JG23" s="402">
        <f>IF(AND(263&gt;=$NR$23,263&lt;=$NS$23),IF($NP$23="Single_Point",IF(263=$NR$23,$NN$23,0),IF($NP$23="Bell_Curve",$NN$23*(263-$NR$23+1)*($NS$23-263+1)/$NU$23,$NN$23/$NT$23)),0)</f>
        <v/>
      </c>
      <c r="JH23" s="402">
        <f>IF(AND(264&gt;=$NR$23,264&lt;=$NS$23),IF($NP$23="Single_Point",IF(264=$NR$23,$NN$23,0),IF($NP$23="Bell_Curve",$NN$23*(264-$NR$23+1)*($NS$23-264+1)/$NU$23,$NN$23/$NT$23)),0)</f>
        <v/>
      </c>
      <c r="JI23" s="402">
        <f>IF(AND(265&gt;=$NR$23,265&lt;=$NS$23),IF($NP$23="Single_Point",IF(265=$NR$23,$NN$23,0),IF($NP$23="Bell_Curve",$NN$23*(265-$NR$23+1)*($NS$23-265+1)/$NU$23,$NN$23/$NT$23)),0)</f>
        <v/>
      </c>
      <c r="JJ23" s="402">
        <f>IF(AND(266&gt;=$NR$23,266&lt;=$NS$23),IF($NP$23="Single_Point",IF(266=$NR$23,$NN$23,0),IF($NP$23="Bell_Curve",$NN$23*(266-$NR$23+1)*($NS$23-266+1)/$NU$23,$NN$23/$NT$23)),0)</f>
        <v/>
      </c>
      <c r="JK23" s="402">
        <f>IF(AND(267&gt;=$NR$23,267&lt;=$NS$23),IF($NP$23="Single_Point",IF(267=$NR$23,$NN$23,0),IF($NP$23="Bell_Curve",$NN$23*(267-$NR$23+1)*($NS$23-267+1)/$NU$23,$NN$23/$NT$23)),0)</f>
        <v/>
      </c>
      <c r="JL23" s="402">
        <f>IF(AND(268&gt;=$NR$23,268&lt;=$NS$23),IF($NP$23="Single_Point",IF(268=$NR$23,$NN$23,0),IF($NP$23="Bell_Curve",$NN$23*(268-$NR$23+1)*($NS$23-268+1)/$NU$23,$NN$23/$NT$23)),0)</f>
        <v/>
      </c>
      <c r="JM23" s="402">
        <f>IF(AND(269&gt;=$NR$23,269&lt;=$NS$23),IF($NP$23="Single_Point",IF(269=$NR$23,$NN$23,0),IF($NP$23="Bell_Curve",$NN$23*(269-$NR$23+1)*($NS$23-269+1)/$NU$23,$NN$23/$NT$23)),0)</f>
        <v/>
      </c>
      <c r="JN23" s="402">
        <f>IF(AND(270&gt;=$NR$23,270&lt;=$NS$23),IF($NP$23="Single_Point",IF(270=$NR$23,$NN$23,0),IF($NP$23="Bell_Curve",$NN$23*(270-$NR$23+1)*($NS$23-270+1)/$NU$23,$NN$23/$NT$23)),0)</f>
        <v/>
      </c>
      <c r="JO23" s="402">
        <f>IF(AND(271&gt;=$NR$23,271&lt;=$NS$23),IF($NP$23="Single_Point",IF(271=$NR$23,$NN$23,0),IF($NP$23="Bell_Curve",$NN$23*(271-$NR$23+1)*($NS$23-271+1)/$NU$23,$NN$23/$NT$23)),0)</f>
        <v/>
      </c>
      <c r="JP23" s="402">
        <f>IF(AND(272&gt;=$NR$23,272&lt;=$NS$23),IF($NP$23="Single_Point",IF(272=$NR$23,$NN$23,0),IF($NP$23="Bell_Curve",$NN$23*(272-$NR$23+1)*($NS$23-272+1)/$NU$23,$NN$23/$NT$23)),0)</f>
        <v/>
      </c>
      <c r="JQ23" s="402">
        <f>IF(AND(273&gt;=$NR$23,273&lt;=$NS$23),IF($NP$23="Single_Point",IF(273=$NR$23,$NN$23,0),IF($NP$23="Bell_Curve",$NN$23*(273-$NR$23+1)*($NS$23-273+1)/$NU$23,$NN$23/$NT$23)),0)</f>
        <v/>
      </c>
      <c r="JR23" s="402">
        <f>IF(AND(274&gt;=$NR$23,274&lt;=$NS$23),IF($NP$23="Single_Point",IF(274=$NR$23,$NN$23,0),IF($NP$23="Bell_Curve",$NN$23*(274-$NR$23+1)*($NS$23-274+1)/$NU$23,$NN$23/$NT$23)),0)</f>
        <v/>
      </c>
      <c r="JS23" s="402">
        <f>IF(AND(275&gt;=$NR$23,275&lt;=$NS$23),IF($NP$23="Single_Point",IF(275=$NR$23,$NN$23,0),IF($NP$23="Bell_Curve",$NN$23*(275-$NR$23+1)*($NS$23-275+1)/$NU$23,$NN$23/$NT$23)),0)</f>
        <v/>
      </c>
      <c r="JT23" s="402">
        <f>IF(AND(276&gt;=$NR$23,276&lt;=$NS$23),IF($NP$23="Single_Point",IF(276=$NR$23,$NN$23,0),IF($NP$23="Bell_Curve",$NN$23*(276-$NR$23+1)*($NS$23-276+1)/$NU$23,$NN$23/$NT$23)),0)</f>
        <v/>
      </c>
      <c r="JU23" s="402">
        <f>IF(AND(277&gt;=$NR$23,277&lt;=$NS$23),IF($NP$23="Single_Point",IF(277=$NR$23,$NN$23,0),IF($NP$23="Bell_Curve",$NN$23*(277-$NR$23+1)*($NS$23-277+1)/$NU$23,$NN$23/$NT$23)),0)</f>
        <v/>
      </c>
      <c r="JV23" s="402">
        <f>IF(AND(278&gt;=$NR$23,278&lt;=$NS$23),IF($NP$23="Single_Point",IF(278=$NR$23,$NN$23,0),IF($NP$23="Bell_Curve",$NN$23*(278-$NR$23+1)*($NS$23-278+1)/$NU$23,$NN$23/$NT$23)),0)</f>
        <v/>
      </c>
      <c r="JW23" s="402">
        <f>IF(AND(279&gt;=$NR$23,279&lt;=$NS$23),IF($NP$23="Single_Point",IF(279=$NR$23,$NN$23,0),IF($NP$23="Bell_Curve",$NN$23*(279-$NR$23+1)*($NS$23-279+1)/$NU$23,$NN$23/$NT$23)),0)</f>
        <v/>
      </c>
      <c r="JX23" s="402">
        <f>IF(AND(280&gt;=$NR$23,280&lt;=$NS$23),IF($NP$23="Single_Point",IF(280=$NR$23,$NN$23,0),IF($NP$23="Bell_Curve",$NN$23*(280-$NR$23+1)*($NS$23-280+1)/$NU$23,$NN$23/$NT$23)),0)</f>
        <v/>
      </c>
      <c r="JY23" s="402">
        <f>IF(AND(281&gt;=$NR$23,281&lt;=$NS$23),IF($NP$23="Single_Point",IF(281=$NR$23,$NN$23,0),IF($NP$23="Bell_Curve",$NN$23*(281-$NR$23+1)*($NS$23-281+1)/$NU$23,$NN$23/$NT$23)),0)</f>
        <v/>
      </c>
      <c r="JZ23" s="402">
        <f>IF(AND(282&gt;=$NR$23,282&lt;=$NS$23),IF($NP$23="Single_Point",IF(282=$NR$23,$NN$23,0),IF($NP$23="Bell_Curve",$NN$23*(282-$NR$23+1)*($NS$23-282+1)/$NU$23,$NN$23/$NT$23)),0)</f>
        <v/>
      </c>
      <c r="KA23" s="402">
        <f>IF(AND(283&gt;=$NR$23,283&lt;=$NS$23),IF($NP$23="Single_Point",IF(283=$NR$23,$NN$23,0),IF($NP$23="Bell_Curve",$NN$23*(283-$NR$23+1)*($NS$23-283+1)/$NU$23,$NN$23/$NT$23)),0)</f>
        <v/>
      </c>
      <c r="KB23" s="402">
        <f>IF(AND(284&gt;=$NR$23,284&lt;=$NS$23),IF($NP$23="Single_Point",IF(284=$NR$23,$NN$23,0),IF($NP$23="Bell_Curve",$NN$23*(284-$NR$23+1)*($NS$23-284+1)/$NU$23,$NN$23/$NT$23)),0)</f>
        <v/>
      </c>
      <c r="KC23" s="402">
        <f>IF(AND(285&gt;=$NR$23,285&lt;=$NS$23),IF($NP$23="Single_Point",IF(285=$NR$23,$NN$23,0),IF($NP$23="Bell_Curve",$NN$23*(285-$NR$23+1)*($NS$23-285+1)/$NU$23,$NN$23/$NT$23)),0)</f>
        <v/>
      </c>
      <c r="KD23" s="402">
        <f>IF(AND(286&gt;=$NR$23,286&lt;=$NS$23),IF($NP$23="Single_Point",IF(286=$NR$23,$NN$23,0),IF($NP$23="Bell_Curve",$NN$23*(286-$NR$23+1)*($NS$23-286+1)/$NU$23,$NN$23/$NT$23)),0)</f>
        <v/>
      </c>
      <c r="KE23" s="402">
        <f>IF(AND(287&gt;=$NR$23,287&lt;=$NS$23),IF($NP$23="Single_Point",IF(287=$NR$23,$NN$23,0),IF($NP$23="Bell_Curve",$NN$23*(287-$NR$23+1)*($NS$23-287+1)/$NU$23,$NN$23/$NT$23)),0)</f>
        <v/>
      </c>
      <c r="KF23" s="402">
        <f>IF(AND(288&gt;=$NR$23,288&lt;=$NS$23),IF($NP$23="Single_Point",IF(288=$NR$23,$NN$23,0),IF($NP$23="Bell_Curve",$NN$23*(288-$NR$23+1)*($NS$23-288+1)/$NU$23,$NN$23/$NT$23)),0)</f>
        <v/>
      </c>
      <c r="KG23" s="402">
        <f>IF(AND(289&gt;=$NR$23,289&lt;=$NS$23),IF($NP$23="Single_Point",IF(289=$NR$23,$NN$23,0),IF($NP$23="Bell_Curve",$NN$23*(289-$NR$23+1)*($NS$23-289+1)/$NU$23,$NN$23/$NT$23)),0)</f>
        <v/>
      </c>
      <c r="KH23" s="402">
        <f>IF(AND(290&gt;=$NR$23,290&lt;=$NS$23),IF($NP$23="Single_Point",IF(290=$NR$23,$NN$23,0),IF($NP$23="Bell_Curve",$NN$23*(290-$NR$23+1)*($NS$23-290+1)/$NU$23,$NN$23/$NT$23)),0)</f>
        <v/>
      </c>
      <c r="KI23" s="402">
        <f>IF(AND(291&gt;=$NR$23,291&lt;=$NS$23),IF($NP$23="Single_Point",IF(291=$NR$23,$NN$23,0),IF($NP$23="Bell_Curve",$NN$23*(291-$NR$23+1)*($NS$23-291+1)/$NU$23,$NN$23/$NT$23)),0)</f>
        <v/>
      </c>
      <c r="KJ23" s="402">
        <f>IF(AND(292&gt;=$NR$23,292&lt;=$NS$23),IF($NP$23="Single_Point",IF(292=$NR$23,$NN$23,0),IF($NP$23="Bell_Curve",$NN$23*(292-$NR$23+1)*($NS$23-292+1)/$NU$23,$NN$23/$NT$23)),0)</f>
        <v/>
      </c>
      <c r="KK23" s="402">
        <f>IF(AND(293&gt;=$NR$23,293&lt;=$NS$23),IF($NP$23="Single_Point",IF(293=$NR$23,$NN$23,0),IF($NP$23="Bell_Curve",$NN$23*(293-$NR$23+1)*($NS$23-293+1)/$NU$23,$NN$23/$NT$23)),0)</f>
        <v/>
      </c>
      <c r="KL23" s="402">
        <f>IF(AND(294&gt;=$NR$23,294&lt;=$NS$23),IF($NP$23="Single_Point",IF(294=$NR$23,$NN$23,0),IF($NP$23="Bell_Curve",$NN$23*(294-$NR$23+1)*($NS$23-294+1)/$NU$23,$NN$23/$NT$23)),0)</f>
        <v/>
      </c>
      <c r="KM23" s="402">
        <f>IF(AND(295&gt;=$NR$23,295&lt;=$NS$23),IF($NP$23="Single_Point",IF(295=$NR$23,$NN$23,0),IF($NP$23="Bell_Curve",$NN$23*(295-$NR$23+1)*($NS$23-295+1)/$NU$23,$NN$23/$NT$23)),0)</f>
        <v/>
      </c>
      <c r="KN23" s="402">
        <f>IF(AND(296&gt;=$NR$23,296&lt;=$NS$23),IF($NP$23="Single_Point",IF(296=$NR$23,$NN$23,0),IF($NP$23="Bell_Curve",$NN$23*(296-$NR$23+1)*($NS$23-296+1)/$NU$23,$NN$23/$NT$23)),0)</f>
        <v/>
      </c>
      <c r="KO23" s="402">
        <f>IF(AND(297&gt;=$NR$23,297&lt;=$NS$23),IF($NP$23="Single_Point",IF(297=$NR$23,$NN$23,0),IF($NP$23="Bell_Curve",$NN$23*(297-$NR$23+1)*($NS$23-297+1)/$NU$23,$NN$23/$NT$23)),0)</f>
        <v/>
      </c>
      <c r="KP23" s="402">
        <f>IF(AND(298&gt;=$NR$23,298&lt;=$NS$23),IF($NP$23="Single_Point",IF(298=$NR$23,$NN$23,0),IF($NP$23="Bell_Curve",$NN$23*(298-$NR$23+1)*($NS$23-298+1)/$NU$23,$NN$23/$NT$23)),0)</f>
        <v/>
      </c>
      <c r="KQ23" s="402">
        <f>IF(AND(299&gt;=$NR$23,299&lt;=$NS$23),IF($NP$23="Single_Point",IF(299=$NR$23,$NN$23,0),IF($NP$23="Bell_Curve",$NN$23*(299-$NR$23+1)*($NS$23-299+1)/$NU$23,$NN$23/$NT$23)),0)</f>
        <v/>
      </c>
      <c r="KR23" s="402">
        <f>IF(AND(300&gt;=$NR$23,300&lt;=$NS$23),IF($NP$23="Single_Point",IF(300=$NR$23,$NN$23,0),IF($NP$23="Bell_Curve",$NN$23*(300-$NR$23+1)*($NS$23-300+1)/$NU$23,$NN$23/$NT$23)),0)</f>
        <v/>
      </c>
      <c r="KS23" s="402">
        <f>IF(AND(301&gt;=$NR$23,301&lt;=$NS$23),IF($NP$23="Single_Point",IF(301=$NR$23,$NN$23,0),IF($NP$23="Bell_Curve",$NN$23*(301-$NR$23+1)*($NS$23-301+1)/$NU$23,$NN$23/$NT$23)),0)</f>
        <v/>
      </c>
      <c r="KT23" s="402">
        <f>IF(AND(302&gt;=$NR$23,302&lt;=$NS$23),IF($NP$23="Single_Point",IF(302=$NR$23,$NN$23,0),IF($NP$23="Bell_Curve",$NN$23*(302-$NR$23+1)*($NS$23-302+1)/$NU$23,$NN$23/$NT$23)),0)</f>
        <v/>
      </c>
      <c r="KU23" s="402">
        <f>IF(AND(303&gt;=$NR$23,303&lt;=$NS$23),IF($NP$23="Single_Point",IF(303=$NR$23,$NN$23,0),IF($NP$23="Bell_Curve",$NN$23*(303-$NR$23+1)*($NS$23-303+1)/$NU$23,$NN$23/$NT$23)),0)</f>
        <v/>
      </c>
      <c r="KV23" s="402">
        <f>IF(AND(304&gt;=$NR$23,304&lt;=$NS$23),IF($NP$23="Single_Point",IF(304=$NR$23,$NN$23,0),IF($NP$23="Bell_Curve",$NN$23*(304-$NR$23+1)*($NS$23-304+1)/$NU$23,$NN$23/$NT$23)),0)</f>
        <v/>
      </c>
      <c r="KW23" s="402">
        <f>IF(AND(305&gt;=$NR$23,305&lt;=$NS$23),IF($NP$23="Single_Point",IF(305=$NR$23,$NN$23,0),IF($NP$23="Bell_Curve",$NN$23*(305-$NR$23+1)*($NS$23-305+1)/$NU$23,$NN$23/$NT$23)),0)</f>
        <v/>
      </c>
      <c r="KX23" s="402">
        <f>IF(AND(306&gt;=$NR$23,306&lt;=$NS$23),IF($NP$23="Single_Point",IF(306=$NR$23,$NN$23,0),IF($NP$23="Bell_Curve",$NN$23*(306-$NR$23+1)*($NS$23-306+1)/$NU$23,$NN$23/$NT$23)),0)</f>
        <v/>
      </c>
      <c r="KY23" s="402">
        <f>IF(AND(307&gt;=$NR$23,307&lt;=$NS$23),IF($NP$23="Single_Point",IF(307=$NR$23,$NN$23,0),IF($NP$23="Bell_Curve",$NN$23*(307-$NR$23+1)*($NS$23-307+1)/$NU$23,$NN$23/$NT$23)),0)</f>
        <v/>
      </c>
      <c r="KZ23" s="402">
        <f>IF(AND(308&gt;=$NR$23,308&lt;=$NS$23),IF($NP$23="Single_Point",IF(308=$NR$23,$NN$23,0),IF($NP$23="Bell_Curve",$NN$23*(308-$NR$23+1)*($NS$23-308+1)/$NU$23,$NN$23/$NT$23)),0)</f>
        <v/>
      </c>
      <c r="LA23" s="402">
        <f>IF(AND(309&gt;=$NR$23,309&lt;=$NS$23),IF($NP$23="Single_Point",IF(309=$NR$23,$NN$23,0),IF($NP$23="Bell_Curve",$NN$23*(309-$NR$23+1)*($NS$23-309+1)/$NU$23,$NN$23/$NT$23)),0)</f>
        <v/>
      </c>
      <c r="LB23" s="402">
        <f>IF(AND(310&gt;=$NR$23,310&lt;=$NS$23),IF($NP$23="Single_Point",IF(310=$NR$23,$NN$23,0),IF($NP$23="Bell_Curve",$NN$23*(310-$NR$23+1)*($NS$23-310+1)/$NU$23,$NN$23/$NT$23)),0)</f>
        <v/>
      </c>
      <c r="LC23" s="402">
        <f>IF(AND(311&gt;=$NR$23,311&lt;=$NS$23),IF($NP$23="Single_Point",IF(311=$NR$23,$NN$23,0),IF($NP$23="Bell_Curve",$NN$23*(311-$NR$23+1)*($NS$23-311+1)/$NU$23,$NN$23/$NT$23)),0)</f>
        <v/>
      </c>
      <c r="LD23" s="402">
        <f>IF(AND(312&gt;=$NR$23,312&lt;=$NS$23),IF($NP$23="Single_Point",IF(312=$NR$23,$NN$23,0),IF($NP$23="Bell_Curve",$NN$23*(312-$NR$23+1)*($NS$23-312+1)/$NU$23,$NN$23/$NT$23)),0)</f>
        <v/>
      </c>
      <c r="LE23" s="402">
        <f>IF(AND(313&gt;=$NR$23,313&lt;=$NS$23),IF($NP$23="Single_Point",IF(313=$NR$23,$NN$23,0),IF($NP$23="Bell_Curve",$NN$23*(313-$NR$23+1)*($NS$23-313+1)/$NU$23,$NN$23/$NT$23)),0)</f>
        <v/>
      </c>
      <c r="LF23" s="402">
        <f>IF(AND(314&gt;=$NR$23,314&lt;=$NS$23),IF($NP$23="Single_Point",IF(314=$NR$23,$NN$23,0),IF($NP$23="Bell_Curve",$NN$23*(314-$NR$23+1)*($NS$23-314+1)/$NU$23,$NN$23/$NT$23)),0)</f>
        <v/>
      </c>
      <c r="LG23" s="402">
        <f>IF(AND(315&gt;=$NR$23,315&lt;=$NS$23),IF($NP$23="Single_Point",IF(315=$NR$23,$NN$23,0),IF($NP$23="Bell_Curve",$NN$23*(315-$NR$23+1)*($NS$23-315+1)/$NU$23,$NN$23/$NT$23)),0)</f>
        <v/>
      </c>
      <c r="LH23" s="402">
        <f>IF(AND(316&gt;=$NR$23,316&lt;=$NS$23),IF($NP$23="Single_Point",IF(316=$NR$23,$NN$23,0),IF($NP$23="Bell_Curve",$NN$23*(316-$NR$23+1)*($NS$23-316+1)/$NU$23,$NN$23/$NT$23)),0)</f>
        <v/>
      </c>
      <c r="LI23" s="402">
        <f>IF(AND(317&gt;=$NR$23,317&lt;=$NS$23),IF($NP$23="Single_Point",IF(317=$NR$23,$NN$23,0),IF($NP$23="Bell_Curve",$NN$23*(317-$NR$23+1)*($NS$23-317+1)/$NU$23,$NN$23/$NT$23)),0)</f>
        <v/>
      </c>
      <c r="LJ23" s="402">
        <f>IF(AND(318&gt;=$NR$23,318&lt;=$NS$23),IF($NP$23="Single_Point",IF(318=$NR$23,$NN$23,0),IF($NP$23="Bell_Curve",$NN$23*(318-$NR$23+1)*($NS$23-318+1)/$NU$23,$NN$23/$NT$23)),0)</f>
        <v/>
      </c>
      <c r="LK23" s="402">
        <f>IF(AND(319&gt;=$NR$23,319&lt;=$NS$23),IF($NP$23="Single_Point",IF(319=$NR$23,$NN$23,0),IF($NP$23="Bell_Curve",$NN$23*(319-$NR$23+1)*($NS$23-319+1)/$NU$23,$NN$23/$NT$23)),0)</f>
        <v/>
      </c>
      <c r="LL23" s="402">
        <f>IF(AND(320&gt;=$NR$23,320&lt;=$NS$23),IF($NP$23="Single_Point",IF(320=$NR$23,$NN$23,0),IF($NP$23="Bell_Curve",$NN$23*(320-$NR$23+1)*($NS$23-320+1)/$NU$23,$NN$23/$NT$23)),0)</f>
        <v/>
      </c>
      <c r="LM23" s="402">
        <f>IF(AND(321&gt;=$NR$23,321&lt;=$NS$23),IF($NP$23="Single_Point",IF(321=$NR$23,$NN$23,0),IF($NP$23="Bell_Curve",$NN$23*(321-$NR$23+1)*($NS$23-321+1)/$NU$23,$NN$23/$NT$23)),0)</f>
        <v/>
      </c>
      <c r="LN23" s="402">
        <f>IF(AND(322&gt;=$NR$23,322&lt;=$NS$23),IF($NP$23="Single_Point",IF(322=$NR$23,$NN$23,0),IF($NP$23="Bell_Curve",$NN$23*(322-$NR$23+1)*($NS$23-322+1)/$NU$23,$NN$23/$NT$23)),0)</f>
        <v/>
      </c>
      <c r="LO23" s="402">
        <f>IF(AND(323&gt;=$NR$23,323&lt;=$NS$23),IF($NP$23="Single_Point",IF(323=$NR$23,$NN$23,0),IF($NP$23="Bell_Curve",$NN$23*(323-$NR$23+1)*($NS$23-323+1)/$NU$23,$NN$23/$NT$23)),0)</f>
        <v/>
      </c>
      <c r="LP23" s="402">
        <f>IF(AND(324&gt;=$NR$23,324&lt;=$NS$23),IF($NP$23="Single_Point",IF(324=$NR$23,$NN$23,0),IF($NP$23="Bell_Curve",$NN$23*(324-$NR$23+1)*($NS$23-324+1)/$NU$23,$NN$23/$NT$23)),0)</f>
        <v/>
      </c>
      <c r="LQ23" s="402">
        <f>IF(AND(325&gt;=$NR$23,325&lt;=$NS$23),IF($NP$23="Single_Point",IF(325=$NR$23,$NN$23,0),IF($NP$23="Bell_Curve",$NN$23*(325-$NR$23+1)*($NS$23-325+1)/$NU$23,$NN$23/$NT$23)),0)</f>
        <v/>
      </c>
      <c r="LR23" s="402">
        <f>IF(AND(326&gt;=$NR$23,326&lt;=$NS$23),IF($NP$23="Single_Point",IF(326=$NR$23,$NN$23,0),IF($NP$23="Bell_Curve",$NN$23*(326-$NR$23+1)*($NS$23-326+1)/$NU$23,$NN$23/$NT$23)),0)</f>
        <v/>
      </c>
      <c r="LS23" s="402">
        <f>IF(AND(327&gt;=$NR$23,327&lt;=$NS$23),IF($NP$23="Single_Point",IF(327=$NR$23,$NN$23,0),IF($NP$23="Bell_Curve",$NN$23*(327-$NR$23+1)*($NS$23-327+1)/$NU$23,$NN$23/$NT$23)),0)</f>
        <v/>
      </c>
      <c r="LT23" s="402">
        <f>IF(AND(328&gt;=$NR$23,328&lt;=$NS$23),IF($NP$23="Single_Point",IF(328=$NR$23,$NN$23,0),IF($NP$23="Bell_Curve",$NN$23*(328-$NR$23+1)*($NS$23-328+1)/$NU$23,$NN$23/$NT$23)),0)</f>
        <v/>
      </c>
      <c r="LU23" s="402">
        <f>IF(AND(329&gt;=$NR$23,329&lt;=$NS$23),IF($NP$23="Single_Point",IF(329=$NR$23,$NN$23,0),IF($NP$23="Bell_Curve",$NN$23*(329-$NR$23+1)*($NS$23-329+1)/$NU$23,$NN$23/$NT$23)),0)</f>
        <v/>
      </c>
      <c r="LV23" s="402">
        <f>IF(AND(330&gt;=$NR$23,330&lt;=$NS$23),IF($NP$23="Single_Point",IF(330=$NR$23,$NN$23,0),IF($NP$23="Bell_Curve",$NN$23*(330-$NR$23+1)*($NS$23-330+1)/$NU$23,$NN$23/$NT$23)),0)</f>
        <v/>
      </c>
      <c r="LW23" s="402">
        <f>IF(AND(331&gt;=$NR$23,331&lt;=$NS$23),IF($NP$23="Single_Point",IF(331=$NR$23,$NN$23,0),IF($NP$23="Bell_Curve",$NN$23*(331-$NR$23+1)*($NS$23-331+1)/$NU$23,$NN$23/$NT$23)),0)</f>
        <v/>
      </c>
      <c r="LX23" s="402">
        <f>IF(AND(332&gt;=$NR$23,332&lt;=$NS$23),IF($NP$23="Single_Point",IF(332=$NR$23,$NN$23,0),IF($NP$23="Bell_Curve",$NN$23*(332-$NR$23+1)*($NS$23-332+1)/$NU$23,$NN$23/$NT$23)),0)</f>
        <v/>
      </c>
      <c r="LY23" s="402">
        <f>IF(AND(333&gt;=$NR$23,333&lt;=$NS$23),IF($NP$23="Single_Point",IF(333=$NR$23,$NN$23,0),IF($NP$23="Bell_Curve",$NN$23*(333-$NR$23+1)*($NS$23-333+1)/$NU$23,$NN$23/$NT$23)),0)</f>
        <v/>
      </c>
      <c r="LZ23" s="402">
        <f>IF(AND(334&gt;=$NR$23,334&lt;=$NS$23),IF($NP$23="Single_Point",IF(334=$NR$23,$NN$23,0),IF($NP$23="Bell_Curve",$NN$23*(334-$NR$23+1)*($NS$23-334+1)/$NU$23,$NN$23/$NT$23)),0)</f>
        <v/>
      </c>
      <c r="MA23" s="402">
        <f>IF(AND(335&gt;=$NR$23,335&lt;=$NS$23),IF($NP$23="Single_Point",IF(335=$NR$23,$NN$23,0),IF($NP$23="Bell_Curve",$NN$23*(335-$NR$23+1)*($NS$23-335+1)/$NU$23,$NN$23/$NT$23)),0)</f>
        <v/>
      </c>
      <c r="MB23" s="402">
        <f>IF(AND(336&gt;=$NR$23,336&lt;=$NS$23),IF($NP$23="Single_Point",IF(336=$NR$23,$NN$23,0),IF($NP$23="Bell_Curve",$NN$23*(336-$NR$23+1)*($NS$23-336+1)/$NU$23,$NN$23/$NT$23)),0)</f>
        <v/>
      </c>
      <c r="MC23" s="402">
        <f>IF(AND(337&gt;=$NR$23,337&lt;=$NS$23),IF($NP$23="Single_Point",IF(337=$NR$23,$NN$23,0),IF($NP$23="Bell_Curve",$NN$23*(337-$NR$23+1)*($NS$23-337+1)/$NU$23,$NN$23/$NT$23)),0)</f>
        <v/>
      </c>
      <c r="MD23" s="402">
        <f>IF(AND(338&gt;=$NR$23,338&lt;=$NS$23),IF($NP$23="Single_Point",IF(338=$NR$23,$NN$23,0),IF($NP$23="Bell_Curve",$NN$23*(338-$NR$23+1)*($NS$23-338+1)/$NU$23,$NN$23/$NT$23)),0)</f>
        <v/>
      </c>
      <c r="ME23" s="402">
        <f>IF(AND(339&gt;=$NR$23,339&lt;=$NS$23),IF($NP$23="Single_Point",IF(339=$NR$23,$NN$23,0),IF($NP$23="Bell_Curve",$NN$23*(339-$NR$23+1)*($NS$23-339+1)/$NU$23,$NN$23/$NT$23)),0)</f>
        <v/>
      </c>
      <c r="MF23" s="402">
        <f>IF(AND(340&gt;=$NR$23,340&lt;=$NS$23),IF($NP$23="Single_Point",IF(340=$NR$23,$NN$23,0),IF($NP$23="Bell_Curve",$NN$23*(340-$NR$23+1)*($NS$23-340+1)/$NU$23,$NN$23/$NT$23)),0)</f>
        <v/>
      </c>
      <c r="MG23" s="402">
        <f>IF(AND(341&gt;=$NR$23,341&lt;=$NS$23),IF($NP$23="Single_Point",IF(341=$NR$23,$NN$23,0),IF($NP$23="Bell_Curve",$NN$23*(341-$NR$23+1)*($NS$23-341+1)/$NU$23,$NN$23/$NT$23)),0)</f>
        <v/>
      </c>
      <c r="MH23" s="402">
        <f>IF(AND(342&gt;=$NR$23,342&lt;=$NS$23),IF($NP$23="Single_Point",IF(342=$NR$23,$NN$23,0),IF($NP$23="Bell_Curve",$NN$23*(342-$NR$23+1)*($NS$23-342+1)/$NU$23,$NN$23/$NT$23)),0)</f>
        <v/>
      </c>
      <c r="MI23" s="402">
        <f>IF(AND(343&gt;=$NR$23,343&lt;=$NS$23),IF($NP$23="Single_Point",IF(343=$NR$23,$NN$23,0),IF($NP$23="Bell_Curve",$NN$23*(343-$NR$23+1)*($NS$23-343+1)/$NU$23,$NN$23/$NT$23)),0)</f>
        <v/>
      </c>
      <c r="MJ23" s="402">
        <f>IF(AND(344&gt;=$NR$23,344&lt;=$NS$23),IF($NP$23="Single_Point",IF(344=$NR$23,$NN$23,0),IF($NP$23="Bell_Curve",$NN$23*(344-$NR$23+1)*($NS$23-344+1)/$NU$23,$NN$23/$NT$23)),0)</f>
        <v/>
      </c>
      <c r="MK23" s="402">
        <f>IF(AND(345&gt;=$NR$23,345&lt;=$NS$23),IF($NP$23="Single_Point",IF(345=$NR$23,$NN$23,0),IF($NP$23="Bell_Curve",$NN$23*(345-$NR$23+1)*($NS$23-345+1)/$NU$23,$NN$23/$NT$23)),0)</f>
        <v/>
      </c>
      <c r="ML23" s="402">
        <f>IF(AND(346&gt;=$NR$23,346&lt;=$NS$23),IF($NP$23="Single_Point",IF(346=$NR$23,$NN$23,0),IF($NP$23="Bell_Curve",$NN$23*(346-$NR$23+1)*($NS$23-346+1)/$NU$23,$NN$23/$NT$23)),0)</f>
        <v/>
      </c>
      <c r="MM23" s="402">
        <f>IF(AND(347&gt;=$NR$23,347&lt;=$NS$23),IF($NP$23="Single_Point",IF(347=$NR$23,$NN$23,0),IF($NP$23="Bell_Curve",$NN$23*(347-$NR$23+1)*($NS$23-347+1)/$NU$23,$NN$23/$NT$23)),0)</f>
        <v/>
      </c>
      <c r="MN23" s="402">
        <f>IF(AND(348&gt;=$NR$23,348&lt;=$NS$23),IF($NP$23="Single_Point",IF(348=$NR$23,$NN$23,0),IF($NP$23="Bell_Curve",$NN$23*(348-$NR$23+1)*($NS$23-348+1)/$NU$23,$NN$23/$NT$23)),0)</f>
        <v/>
      </c>
      <c r="MO23" s="402">
        <f>IF(AND(349&gt;=$NR$23,349&lt;=$NS$23),IF($NP$23="Single_Point",IF(349=$NR$23,$NN$23,0),IF($NP$23="Bell_Curve",$NN$23*(349-$NR$23+1)*($NS$23-349+1)/$NU$23,$NN$23/$NT$23)),0)</f>
        <v/>
      </c>
      <c r="MP23" s="402">
        <f>IF(AND(350&gt;=$NR$23,350&lt;=$NS$23),IF($NP$23="Single_Point",IF(350=$NR$23,$NN$23,0),IF($NP$23="Bell_Curve",$NN$23*(350-$NR$23+1)*($NS$23-350+1)/$NU$23,$NN$23/$NT$23)),0)</f>
        <v/>
      </c>
      <c r="MQ23" s="402">
        <f>IF(AND(351&gt;=$NR$23,351&lt;=$NS$23),IF($NP$23="Single_Point",IF(351=$NR$23,$NN$23,0),IF($NP$23="Bell_Curve",$NN$23*(351-$NR$23+1)*($NS$23-351+1)/$NU$23,$NN$23/$NT$23)),0)</f>
        <v/>
      </c>
      <c r="MR23" s="402">
        <f>IF(AND(352&gt;=$NR$23,352&lt;=$NS$23),IF($NP$23="Single_Point",IF(352=$NR$23,$NN$23,0),IF($NP$23="Bell_Curve",$NN$23*(352-$NR$23+1)*($NS$23-352+1)/$NU$23,$NN$23/$NT$23)),0)</f>
        <v/>
      </c>
      <c r="MS23" s="402">
        <f>IF(AND(353&gt;=$NR$23,353&lt;=$NS$23),IF($NP$23="Single_Point",IF(353=$NR$23,$NN$23,0),IF($NP$23="Bell_Curve",$NN$23*(353-$NR$23+1)*($NS$23-353+1)/$NU$23,$NN$23/$NT$23)),0)</f>
        <v/>
      </c>
      <c r="MT23" s="402">
        <f>IF(AND(354&gt;=$NR$23,354&lt;=$NS$23),IF($NP$23="Single_Point",IF(354=$NR$23,$NN$23,0),IF($NP$23="Bell_Curve",$NN$23*(354-$NR$23+1)*($NS$23-354+1)/$NU$23,$NN$23/$NT$23)),0)</f>
        <v/>
      </c>
      <c r="MU23" s="402">
        <f>IF(AND(355&gt;=$NR$23,355&lt;=$NS$23),IF($NP$23="Single_Point",IF(355=$NR$23,$NN$23,0),IF($NP$23="Bell_Curve",$NN$23*(355-$NR$23+1)*($NS$23-355+1)/$NU$23,$NN$23/$NT$23)),0)</f>
        <v/>
      </c>
      <c r="MV23" s="402">
        <f>IF(AND(356&gt;=$NR$23,356&lt;=$NS$23),IF($NP$23="Single_Point",IF(356=$NR$23,$NN$23,0),IF($NP$23="Bell_Curve",$NN$23*(356-$NR$23+1)*($NS$23-356+1)/$NU$23,$NN$23/$NT$23)),0)</f>
        <v/>
      </c>
      <c r="MW23" s="402">
        <f>IF(AND(357&gt;=$NR$23,357&lt;=$NS$23),IF($NP$23="Single_Point",IF(357=$NR$23,$NN$23,0),IF($NP$23="Bell_Curve",$NN$23*(357-$NR$23+1)*($NS$23-357+1)/$NU$23,$NN$23/$NT$23)),0)</f>
        <v/>
      </c>
      <c r="MX23" s="402">
        <f>IF(AND(358&gt;=$NR$23,358&lt;=$NS$23),IF($NP$23="Single_Point",IF(358=$NR$23,$NN$23,0),IF($NP$23="Bell_Curve",$NN$23*(358-$NR$23+1)*($NS$23-358+1)/$NU$23,$NN$23/$NT$23)),0)</f>
        <v/>
      </c>
      <c r="MY23" s="402">
        <f>IF(AND(359&gt;=$NR$23,359&lt;=$NS$23),IF($NP$23="Single_Point",IF(359=$NR$23,$NN$23,0),IF($NP$23="Bell_Curve",$NN$23*(359-$NR$23+1)*($NS$23-359+1)/$NU$23,$NN$23/$NT$23)),0)</f>
        <v/>
      </c>
      <c r="MZ23" s="402">
        <f>IF(AND(360&gt;=$NR$23,360&lt;=$NS$23),IF($NP$23="Single_Point",IF(360=$NR$23,$NN$23,0),IF($NP$23="Bell_Curve",$NN$23*(360-$NR$23+1)*($NS$23-360+1)/$NU$23,$NN$23/$NT$23)),0)</f>
        <v/>
      </c>
      <c r="NA23" s="402">
        <f>IF(AND(361&gt;=$NR$23,361&lt;=$NS$23),IF($NP$23="Single_Point",IF(361=$NR$23,$NN$23,0),IF($NP$23="Bell_Curve",$NN$23*(361-$NR$23+1)*($NS$23-361+1)/$NU$23,$NN$23/$NT$23)),0)</f>
        <v/>
      </c>
      <c r="NB23" s="402">
        <f>IF(AND(362&gt;=$NR$23,362&lt;=$NS$23),IF($NP$23="Single_Point",IF(362=$NR$23,$NN$23,0),IF($NP$23="Bell_Curve",$NN$23*(362-$NR$23+1)*($NS$23-362+1)/$NU$23,$NN$23/$NT$23)),0)</f>
        <v/>
      </c>
      <c r="NC23" s="402">
        <f>IF(AND(363&gt;=$NR$23,363&lt;=$NS$23),IF($NP$23="Single_Point",IF(363=$NR$23,$NN$23,0),IF($NP$23="Bell_Curve",$NN$23*(363-$NR$23+1)*($NS$23-363+1)/$NU$23,$NN$23/$NT$23)),0)</f>
        <v/>
      </c>
      <c r="ND23" s="402">
        <f>IF(AND(364&gt;=$NR$23,364&lt;=$NS$23),IF($NP$23="Single_Point",IF(364=$NR$23,$NN$23,0),IF($NP$23="Bell_Curve",$NN$23*(364-$NR$23+1)*($NS$23-364+1)/$NU$23,$NN$23/$NT$23)),0)</f>
        <v/>
      </c>
      <c r="NE23" s="402">
        <f>IF(AND(365&gt;=$NR$23,365&lt;=$NS$23),IF($NP$23="Single_Point",IF(365=$NR$23,$NN$23,0),IF($NP$23="Bell_Curve",$NN$23*(365-$NR$23+1)*($NS$23-365+1)/$NU$23,$NN$23/$NT$23)),0)</f>
        <v/>
      </c>
      <c r="NF23" s="402">
        <f>IF(AND(366&gt;=$NR$23,366&lt;=$NS$23),IF($NP$23="Single_Point",IF(366=$NR$23,$NN$23,0),IF($NP$23="Bell_Curve",$NN$23*(366-$NR$23+1)*($NS$23-366+1)/$NU$23,$NN$23/$NT$23)),0)</f>
        <v/>
      </c>
      <c r="NG23" s="402">
        <f>IF(AND(367&gt;=$NR$23,367&lt;=$NS$23),IF($NP$23="Single_Point",IF(367=$NR$23,$NN$23,0),IF($NP$23="Bell_Curve",$NN$23*(367-$NR$23+1)*($NS$23-367+1)/$NU$23,$NN$23/$NT$23)),0)</f>
        <v/>
      </c>
      <c r="NH23" s="402">
        <f>IF(AND(368&gt;=$NR$23,368&lt;=$NS$23),IF($NP$23="Single_Point",IF(368=$NR$23,$NN$23,0),IF($NP$23="Bell_Curve",$NN$23*(368-$NR$23+1)*($NS$23-368+1)/$NU$23,$NN$23/$NT$23)),0)</f>
        <v/>
      </c>
      <c r="NI23" s="402">
        <f>IF(AND(369&gt;=$NR$23,369&lt;=$NS$23),IF($NP$23="Single_Point",IF(369=$NR$23,$NN$23,0),IF($NP$23="Bell_Curve",$NN$23*(369-$NR$23+1)*($NS$23-369+1)/$NU$23,$NN$23/$NT$23)),0)</f>
        <v/>
      </c>
      <c r="NJ23" s="402">
        <f>IF(AND(370&gt;=$NR$23,370&lt;=$NS$23),IF($NP$23="Single_Point",IF(370=$NR$23,$NN$23,0),IF($NP$23="Bell_Curve",$NN$23*(370-$NR$23+1)*($NS$23-370+1)/$NU$23,$NN$23/$NT$23)),0)</f>
        <v/>
      </c>
      <c r="NK23" s="402">
        <f>IF(AND(371&gt;=$NR$23,371&lt;=$NS$23),IF($NP$23="Single_Point",IF(371=$NR$23,$NN$23,0),IF($NP$23="Bell_Curve",$NN$23*(371-$NR$23+1)*($NS$23-371+1)/$NU$23,$NN$23/$NT$23)),0)</f>
        <v/>
      </c>
      <c r="NL23" s="426">
        <f>IF(AND(372&gt;=$NR$23,372&lt;=$NS$23),IF($NP$23="Single_Point",IF(372=$NR$23,$NN$23,0),IF($NP$23="Bell_Curve",$NN$23*(372-$NR$23+1)*($NS$23-372+1)/$NU$23,$NN$23/$NT$23)),0)</f>
        <v/>
      </c>
      <c r="NM23">
        <f>Budget!C22</f>
        <v/>
      </c>
      <c r="NN23" s="218">
        <f>Budget!J22</f>
        <v/>
      </c>
      <c r="NO23" s="144">
        <f>Budget!G22</f>
        <v/>
      </c>
      <c r="NP23" s="144">
        <f>Budget!H22</f>
        <v/>
      </c>
      <c r="NQ23" s="85">
        <f>Budget!I22</f>
        <v/>
      </c>
      <c r="NR23" s="248">
        <f>MAX(1,MIN(372,INDEX(MilestoneStart,MATCH(NO23,MilestoneNames,0))+NQ23))</f>
        <v/>
      </c>
      <c r="NS23" s="248">
        <f>MAX(NR23,MIN(372,INDEX(MilestoneEnd,MATCH(NO23,MilestoneNames,0))+NQ23))</f>
        <v/>
      </c>
      <c r="NT23" s="85">
        <f>NS23-NR23+1</f>
        <v/>
      </c>
      <c r="NU23" s="85">
        <f>NT23*(NT23+1)*(NT23+2)/6</f>
        <v/>
      </c>
    </row>
    <row r="24">
      <c r="B24" s="296">
        <f>Budget!B23</f>
        <v/>
      </c>
      <c r="D24" s="425">
        <f>SUM(E24:NL24)</f>
        <v/>
      </c>
      <c r="E24" s="402">
        <f>IF(AND(1&gt;=$NR$24,1&lt;=$NS$24),IF($NP$24="Single_Point",IF(1=$NR$24,$NN$24,0),IF($NP$24="Bell_Curve",$NN$24*(1-$NR$24+1)*($NS$24-1+1)/$NU$24,$NN$24/$NT$24)),0)</f>
        <v/>
      </c>
      <c r="F24" s="402">
        <f>IF(AND(2&gt;=$NR$24,2&lt;=$NS$24),IF($NP$24="Single_Point",IF(2=$NR$24,$NN$24,0),IF($NP$24="Bell_Curve",$NN$24*(2-$NR$24+1)*($NS$24-2+1)/$NU$24,$NN$24/$NT$24)),0)</f>
        <v/>
      </c>
      <c r="G24" s="402">
        <f>IF(AND(3&gt;=$NR$24,3&lt;=$NS$24),IF($NP$24="Single_Point",IF(3=$NR$24,$NN$24,0),IF($NP$24="Bell_Curve",$NN$24*(3-$NR$24+1)*($NS$24-3+1)/$NU$24,$NN$24/$NT$24)),0)</f>
        <v/>
      </c>
      <c r="H24" s="402">
        <f>IF(AND(4&gt;=$NR$24,4&lt;=$NS$24),IF($NP$24="Single_Point",IF(4=$NR$24,$NN$24,0),IF($NP$24="Bell_Curve",$NN$24*(4-$NR$24+1)*($NS$24-4+1)/$NU$24,$NN$24/$NT$24)),0)</f>
        <v/>
      </c>
      <c r="I24" s="402">
        <f>IF(AND(5&gt;=$NR$24,5&lt;=$NS$24),IF($NP$24="Single_Point",IF(5=$NR$24,$NN$24,0),IF($NP$24="Bell_Curve",$NN$24*(5-$NR$24+1)*($NS$24-5+1)/$NU$24,$NN$24/$NT$24)),0)</f>
        <v/>
      </c>
      <c r="J24" s="402">
        <f>IF(AND(6&gt;=$NR$24,6&lt;=$NS$24),IF($NP$24="Single_Point",IF(6=$NR$24,$NN$24,0),IF($NP$24="Bell_Curve",$NN$24*(6-$NR$24+1)*($NS$24-6+1)/$NU$24,$NN$24/$NT$24)),0)</f>
        <v/>
      </c>
      <c r="K24" s="402">
        <f>IF(AND(7&gt;=$NR$24,7&lt;=$NS$24),IF($NP$24="Single_Point",IF(7=$NR$24,$NN$24,0),IF($NP$24="Bell_Curve",$NN$24*(7-$NR$24+1)*($NS$24-7+1)/$NU$24,$NN$24/$NT$24)),0)</f>
        <v/>
      </c>
      <c r="L24" s="402">
        <f>IF(AND(8&gt;=$NR$24,8&lt;=$NS$24),IF($NP$24="Single_Point",IF(8=$NR$24,$NN$24,0),IF($NP$24="Bell_Curve",$NN$24*(8-$NR$24+1)*($NS$24-8+1)/$NU$24,$NN$24/$NT$24)),0)</f>
        <v/>
      </c>
      <c r="M24" s="402">
        <f>IF(AND(9&gt;=$NR$24,9&lt;=$NS$24),IF($NP$24="Single_Point",IF(9=$NR$24,$NN$24,0),IF($NP$24="Bell_Curve",$NN$24*(9-$NR$24+1)*($NS$24-9+1)/$NU$24,$NN$24/$NT$24)),0)</f>
        <v/>
      </c>
      <c r="N24" s="402">
        <f>IF(AND(10&gt;=$NR$24,10&lt;=$NS$24),IF($NP$24="Single_Point",IF(10=$NR$24,$NN$24,0),IF($NP$24="Bell_Curve",$NN$24*(10-$NR$24+1)*($NS$24-10+1)/$NU$24,$NN$24/$NT$24)),0)</f>
        <v/>
      </c>
      <c r="O24" s="402">
        <f>IF(AND(11&gt;=$NR$24,11&lt;=$NS$24),IF($NP$24="Single_Point",IF(11=$NR$24,$NN$24,0),IF($NP$24="Bell_Curve",$NN$24*(11-$NR$24+1)*($NS$24-11+1)/$NU$24,$NN$24/$NT$24)),0)</f>
        <v/>
      </c>
      <c r="P24" s="402">
        <f>IF(AND(12&gt;=$NR$24,12&lt;=$NS$24),IF($NP$24="Single_Point",IF(12=$NR$24,$NN$24,0),IF($NP$24="Bell_Curve",$NN$24*(12-$NR$24+1)*($NS$24-12+1)/$NU$24,$NN$24/$NT$24)),0)</f>
        <v/>
      </c>
      <c r="Q24" s="402">
        <f>IF(AND(13&gt;=$NR$24,13&lt;=$NS$24),IF($NP$24="Single_Point",IF(13=$NR$24,$NN$24,0),IF($NP$24="Bell_Curve",$NN$24*(13-$NR$24+1)*($NS$24-13+1)/$NU$24,$NN$24/$NT$24)),0)</f>
        <v/>
      </c>
      <c r="R24" s="402">
        <f>IF(AND(14&gt;=$NR$24,14&lt;=$NS$24),IF($NP$24="Single_Point",IF(14=$NR$24,$NN$24,0),IF($NP$24="Bell_Curve",$NN$24*(14-$NR$24+1)*($NS$24-14+1)/$NU$24,$NN$24/$NT$24)),0)</f>
        <v/>
      </c>
      <c r="S24" s="402">
        <f>IF(AND(15&gt;=$NR$24,15&lt;=$NS$24),IF($NP$24="Single_Point",IF(15=$NR$24,$NN$24,0),IF($NP$24="Bell_Curve",$NN$24*(15-$NR$24+1)*($NS$24-15+1)/$NU$24,$NN$24/$NT$24)),0)</f>
        <v/>
      </c>
      <c r="T24" s="402">
        <f>IF(AND(16&gt;=$NR$24,16&lt;=$NS$24),IF($NP$24="Single_Point",IF(16=$NR$24,$NN$24,0),IF($NP$24="Bell_Curve",$NN$24*(16-$NR$24+1)*($NS$24-16+1)/$NU$24,$NN$24/$NT$24)),0)</f>
        <v/>
      </c>
      <c r="U24" s="402">
        <f>IF(AND(17&gt;=$NR$24,17&lt;=$NS$24),IF($NP$24="Single_Point",IF(17=$NR$24,$NN$24,0),IF($NP$24="Bell_Curve",$NN$24*(17-$NR$24+1)*($NS$24-17+1)/$NU$24,$NN$24/$NT$24)),0)</f>
        <v/>
      </c>
      <c r="V24" s="402">
        <f>IF(AND(18&gt;=$NR$24,18&lt;=$NS$24),IF($NP$24="Single_Point",IF(18=$NR$24,$NN$24,0),IF($NP$24="Bell_Curve",$NN$24*(18-$NR$24+1)*($NS$24-18+1)/$NU$24,$NN$24/$NT$24)),0)</f>
        <v/>
      </c>
      <c r="W24" s="402">
        <f>IF(AND(19&gt;=$NR$24,19&lt;=$NS$24),IF($NP$24="Single_Point",IF(19=$NR$24,$NN$24,0),IF($NP$24="Bell_Curve",$NN$24*(19-$NR$24+1)*($NS$24-19+1)/$NU$24,$NN$24/$NT$24)),0)</f>
        <v/>
      </c>
      <c r="X24" s="402">
        <f>IF(AND(20&gt;=$NR$24,20&lt;=$NS$24),IF($NP$24="Single_Point",IF(20=$NR$24,$NN$24,0),IF($NP$24="Bell_Curve",$NN$24*(20-$NR$24+1)*($NS$24-20+1)/$NU$24,$NN$24/$NT$24)),0)</f>
        <v/>
      </c>
      <c r="Y24" s="402">
        <f>IF(AND(21&gt;=$NR$24,21&lt;=$NS$24),IF($NP$24="Single_Point",IF(21=$NR$24,$NN$24,0),IF($NP$24="Bell_Curve",$NN$24*(21-$NR$24+1)*($NS$24-21+1)/$NU$24,$NN$24/$NT$24)),0)</f>
        <v/>
      </c>
      <c r="Z24" s="402">
        <f>IF(AND(22&gt;=$NR$24,22&lt;=$NS$24),IF($NP$24="Single_Point",IF(22=$NR$24,$NN$24,0),IF($NP$24="Bell_Curve",$NN$24*(22-$NR$24+1)*($NS$24-22+1)/$NU$24,$NN$24/$NT$24)),0)</f>
        <v/>
      </c>
      <c r="AA24" s="402">
        <f>IF(AND(23&gt;=$NR$24,23&lt;=$NS$24),IF($NP$24="Single_Point",IF(23=$NR$24,$NN$24,0),IF($NP$24="Bell_Curve",$NN$24*(23-$NR$24+1)*($NS$24-23+1)/$NU$24,$NN$24/$NT$24)),0)</f>
        <v/>
      </c>
      <c r="AB24" s="402">
        <f>IF(AND(24&gt;=$NR$24,24&lt;=$NS$24),IF($NP$24="Single_Point",IF(24=$NR$24,$NN$24,0),IF($NP$24="Bell_Curve",$NN$24*(24-$NR$24+1)*($NS$24-24+1)/$NU$24,$NN$24/$NT$24)),0)</f>
        <v/>
      </c>
      <c r="AC24" s="402">
        <f>IF(AND(25&gt;=$NR$24,25&lt;=$NS$24),IF($NP$24="Single_Point",IF(25=$NR$24,$NN$24,0),IF($NP$24="Bell_Curve",$NN$24*(25-$NR$24+1)*($NS$24-25+1)/$NU$24,$NN$24/$NT$24)),0)</f>
        <v/>
      </c>
      <c r="AD24" s="402">
        <f>IF(AND(26&gt;=$NR$24,26&lt;=$NS$24),IF($NP$24="Single_Point",IF(26=$NR$24,$NN$24,0),IF($NP$24="Bell_Curve",$NN$24*(26-$NR$24+1)*($NS$24-26+1)/$NU$24,$NN$24/$NT$24)),0)</f>
        <v/>
      </c>
      <c r="AE24" s="402">
        <f>IF(AND(27&gt;=$NR$24,27&lt;=$NS$24),IF($NP$24="Single_Point",IF(27=$NR$24,$NN$24,0),IF($NP$24="Bell_Curve",$NN$24*(27-$NR$24+1)*($NS$24-27+1)/$NU$24,$NN$24/$NT$24)),0)</f>
        <v/>
      </c>
      <c r="AF24" s="402">
        <f>IF(AND(28&gt;=$NR$24,28&lt;=$NS$24),IF($NP$24="Single_Point",IF(28=$NR$24,$NN$24,0),IF($NP$24="Bell_Curve",$NN$24*(28-$NR$24+1)*($NS$24-28+1)/$NU$24,$NN$24/$NT$24)),0)</f>
        <v/>
      </c>
      <c r="AG24" s="402">
        <f>IF(AND(29&gt;=$NR$24,29&lt;=$NS$24),IF($NP$24="Single_Point",IF(29=$NR$24,$NN$24,0),IF($NP$24="Bell_Curve",$NN$24*(29-$NR$24+1)*($NS$24-29+1)/$NU$24,$NN$24/$NT$24)),0)</f>
        <v/>
      </c>
      <c r="AH24" s="402">
        <f>IF(AND(30&gt;=$NR$24,30&lt;=$NS$24),IF($NP$24="Single_Point",IF(30=$NR$24,$NN$24,0),IF($NP$24="Bell_Curve",$NN$24*(30-$NR$24+1)*($NS$24-30+1)/$NU$24,$NN$24/$NT$24)),0)</f>
        <v/>
      </c>
      <c r="AI24" s="402">
        <f>IF(AND(31&gt;=$NR$24,31&lt;=$NS$24),IF($NP$24="Single_Point",IF(31=$NR$24,$NN$24,0),IF($NP$24="Bell_Curve",$NN$24*(31-$NR$24+1)*($NS$24-31+1)/$NU$24,$NN$24/$NT$24)),0)</f>
        <v/>
      </c>
      <c r="AJ24" s="402">
        <f>IF(AND(32&gt;=$NR$24,32&lt;=$NS$24),IF($NP$24="Single_Point",IF(32=$NR$24,$NN$24,0),IF($NP$24="Bell_Curve",$NN$24*(32-$NR$24+1)*($NS$24-32+1)/$NU$24,$NN$24/$NT$24)),0)</f>
        <v/>
      </c>
      <c r="AK24" s="402">
        <f>IF(AND(33&gt;=$NR$24,33&lt;=$NS$24),IF($NP$24="Single_Point",IF(33=$NR$24,$NN$24,0),IF($NP$24="Bell_Curve",$NN$24*(33-$NR$24+1)*($NS$24-33+1)/$NU$24,$NN$24/$NT$24)),0)</f>
        <v/>
      </c>
      <c r="AL24" s="402">
        <f>IF(AND(34&gt;=$NR$24,34&lt;=$NS$24),IF($NP$24="Single_Point",IF(34=$NR$24,$NN$24,0),IF($NP$24="Bell_Curve",$NN$24*(34-$NR$24+1)*($NS$24-34+1)/$NU$24,$NN$24/$NT$24)),0)</f>
        <v/>
      </c>
      <c r="AM24" s="402">
        <f>IF(AND(35&gt;=$NR$24,35&lt;=$NS$24),IF($NP$24="Single_Point",IF(35=$NR$24,$NN$24,0),IF($NP$24="Bell_Curve",$NN$24*(35-$NR$24+1)*($NS$24-35+1)/$NU$24,$NN$24/$NT$24)),0)</f>
        <v/>
      </c>
      <c r="AN24" s="402">
        <f>IF(AND(36&gt;=$NR$24,36&lt;=$NS$24),IF($NP$24="Single_Point",IF(36=$NR$24,$NN$24,0),IF($NP$24="Bell_Curve",$NN$24*(36-$NR$24+1)*($NS$24-36+1)/$NU$24,$NN$24/$NT$24)),0)</f>
        <v/>
      </c>
      <c r="AO24" s="402">
        <f>IF(AND(37&gt;=$NR$24,37&lt;=$NS$24),IF($NP$24="Single_Point",IF(37=$NR$24,$NN$24,0),IF($NP$24="Bell_Curve",$NN$24*(37-$NR$24+1)*($NS$24-37+1)/$NU$24,$NN$24/$NT$24)),0)</f>
        <v/>
      </c>
      <c r="AP24" s="402">
        <f>IF(AND(38&gt;=$NR$24,38&lt;=$NS$24),IF($NP$24="Single_Point",IF(38=$NR$24,$NN$24,0),IF($NP$24="Bell_Curve",$NN$24*(38-$NR$24+1)*($NS$24-38+1)/$NU$24,$NN$24/$NT$24)),0)</f>
        <v/>
      </c>
      <c r="AQ24" s="402">
        <f>IF(AND(39&gt;=$NR$24,39&lt;=$NS$24),IF($NP$24="Single_Point",IF(39=$NR$24,$NN$24,0),IF($NP$24="Bell_Curve",$NN$24*(39-$NR$24+1)*($NS$24-39+1)/$NU$24,$NN$24/$NT$24)),0)</f>
        <v/>
      </c>
      <c r="AR24" s="402">
        <f>IF(AND(40&gt;=$NR$24,40&lt;=$NS$24),IF($NP$24="Single_Point",IF(40=$NR$24,$NN$24,0),IF($NP$24="Bell_Curve",$NN$24*(40-$NR$24+1)*($NS$24-40+1)/$NU$24,$NN$24/$NT$24)),0)</f>
        <v/>
      </c>
      <c r="AS24" s="402">
        <f>IF(AND(41&gt;=$NR$24,41&lt;=$NS$24),IF($NP$24="Single_Point",IF(41=$NR$24,$NN$24,0),IF($NP$24="Bell_Curve",$NN$24*(41-$NR$24+1)*($NS$24-41+1)/$NU$24,$NN$24/$NT$24)),0)</f>
        <v/>
      </c>
      <c r="AT24" s="402">
        <f>IF(AND(42&gt;=$NR$24,42&lt;=$NS$24),IF($NP$24="Single_Point",IF(42=$NR$24,$NN$24,0),IF($NP$24="Bell_Curve",$NN$24*(42-$NR$24+1)*($NS$24-42+1)/$NU$24,$NN$24/$NT$24)),0)</f>
        <v/>
      </c>
      <c r="AU24" s="402">
        <f>IF(AND(43&gt;=$NR$24,43&lt;=$NS$24),IF($NP$24="Single_Point",IF(43=$NR$24,$NN$24,0),IF($NP$24="Bell_Curve",$NN$24*(43-$NR$24+1)*($NS$24-43+1)/$NU$24,$NN$24/$NT$24)),0)</f>
        <v/>
      </c>
      <c r="AV24" s="402">
        <f>IF(AND(44&gt;=$NR$24,44&lt;=$NS$24),IF($NP$24="Single_Point",IF(44=$NR$24,$NN$24,0),IF($NP$24="Bell_Curve",$NN$24*(44-$NR$24+1)*($NS$24-44+1)/$NU$24,$NN$24/$NT$24)),0)</f>
        <v/>
      </c>
      <c r="AW24" s="402">
        <f>IF(AND(45&gt;=$NR$24,45&lt;=$NS$24),IF($NP$24="Single_Point",IF(45=$NR$24,$NN$24,0),IF($NP$24="Bell_Curve",$NN$24*(45-$NR$24+1)*($NS$24-45+1)/$NU$24,$NN$24/$NT$24)),0)</f>
        <v/>
      </c>
      <c r="AX24" s="402">
        <f>IF(AND(46&gt;=$NR$24,46&lt;=$NS$24),IF($NP$24="Single_Point",IF(46=$NR$24,$NN$24,0),IF($NP$24="Bell_Curve",$NN$24*(46-$NR$24+1)*($NS$24-46+1)/$NU$24,$NN$24/$NT$24)),0)</f>
        <v/>
      </c>
      <c r="AY24" s="402">
        <f>IF(AND(47&gt;=$NR$24,47&lt;=$NS$24),IF($NP$24="Single_Point",IF(47=$NR$24,$NN$24,0),IF($NP$24="Bell_Curve",$NN$24*(47-$NR$24+1)*($NS$24-47+1)/$NU$24,$NN$24/$NT$24)),0)</f>
        <v/>
      </c>
      <c r="AZ24" s="402">
        <f>IF(AND(48&gt;=$NR$24,48&lt;=$NS$24),IF($NP$24="Single_Point",IF(48=$NR$24,$NN$24,0),IF($NP$24="Bell_Curve",$NN$24*(48-$NR$24+1)*($NS$24-48+1)/$NU$24,$NN$24/$NT$24)),0)</f>
        <v/>
      </c>
      <c r="BA24" s="402">
        <f>IF(AND(49&gt;=$NR$24,49&lt;=$NS$24),IF($NP$24="Single_Point",IF(49=$NR$24,$NN$24,0),IF($NP$24="Bell_Curve",$NN$24*(49-$NR$24+1)*($NS$24-49+1)/$NU$24,$NN$24/$NT$24)),0)</f>
        <v/>
      </c>
      <c r="BB24" s="402">
        <f>IF(AND(50&gt;=$NR$24,50&lt;=$NS$24),IF($NP$24="Single_Point",IF(50=$NR$24,$NN$24,0),IF($NP$24="Bell_Curve",$NN$24*(50-$NR$24+1)*($NS$24-50+1)/$NU$24,$NN$24/$NT$24)),0)</f>
        <v/>
      </c>
      <c r="BC24" s="402">
        <f>IF(AND(51&gt;=$NR$24,51&lt;=$NS$24),IF($NP$24="Single_Point",IF(51=$NR$24,$NN$24,0),IF($NP$24="Bell_Curve",$NN$24*(51-$NR$24+1)*($NS$24-51+1)/$NU$24,$NN$24/$NT$24)),0)</f>
        <v/>
      </c>
      <c r="BD24" s="402">
        <f>IF(AND(52&gt;=$NR$24,52&lt;=$NS$24),IF($NP$24="Single_Point",IF(52=$NR$24,$NN$24,0),IF($NP$24="Bell_Curve",$NN$24*(52-$NR$24+1)*($NS$24-52+1)/$NU$24,$NN$24/$NT$24)),0)</f>
        <v/>
      </c>
      <c r="BE24" s="402">
        <f>IF(AND(53&gt;=$NR$24,53&lt;=$NS$24),IF($NP$24="Single_Point",IF(53=$NR$24,$NN$24,0),IF($NP$24="Bell_Curve",$NN$24*(53-$NR$24+1)*($NS$24-53+1)/$NU$24,$NN$24/$NT$24)),0)</f>
        <v/>
      </c>
      <c r="BF24" s="402">
        <f>IF(AND(54&gt;=$NR$24,54&lt;=$NS$24),IF($NP$24="Single_Point",IF(54=$NR$24,$NN$24,0),IF($NP$24="Bell_Curve",$NN$24*(54-$NR$24+1)*($NS$24-54+1)/$NU$24,$NN$24/$NT$24)),0)</f>
        <v/>
      </c>
      <c r="BG24" s="402">
        <f>IF(AND(55&gt;=$NR$24,55&lt;=$NS$24),IF($NP$24="Single_Point",IF(55=$NR$24,$NN$24,0),IF($NP$24="Bell_Curve",$NN$24*(55-$NR$24+1)*($NS$24-55+1)/$NU$24,$NN$24/$NT$24)),0)</f>
        <v/>
      </c>
      <c r="BH24" s="402">
        <f>IF(AND(56&gt;=$NR$24,56&lt;=$NS$24),IF($NP$24="Single_Point",IF(56=$NR$24,$NN$24,0),IF($NP$24="Bell_Curve",$NN$24*(56-$NR$24+1)*($NS$24-56+1)/$NU$24,$NN$24/$NT$24)),0)</f>
        <v/>
      </c>
      <c r="BI24" s="402">
        <f>IF(AND(57&gt;=$NR$24,57&lt;=$NS$24),IF($NP$24="Single_Point",IF(57=$NR$24,$NN$24,0),IF($NP$24="Bell_Curve",$NN$24*(57-$NR$24+1)*($NS$24-57+1)/$NU$24,$NN$24/$NT$24)),0)</f>
        <v/>
      </c>
      <c r="BJ24" s="402">
        <f>IF(AND(58&gt;=$NR$24,58&lt;=$NS$24),IF($NP$24="Single_Point",IF(58=$NR$24,$NN$24,0),IF($NP$24="Bell_Curve",$NN$24*(58-$NR$24+1)*($NS$24-58+1)/$NU$24,$NN$24/$NT$24)),0)</f>
        <v/>
      </c>
      <c r="BK24" s="402">
        <f>IF(AND(59&gt;=$NR$24,59&lt;=$NS$24),IF($NP$24="Single_Point",IF(59=$NR$24,$NN$24,0),IF($NP$24="Bell_Curve",$NN$24*(59-$NR$24+1)*($NS$24-59+1)/$NU$24,$NN$24/$NT$24)),0)</f>
        <v/>
      </c>
      <c r="BL24" s="402">
        <f>IF(AND(60&gt;=$NR$24,60&lt;=$NS$24),IF($NP$24="Single_Point",IF(60=$NR$24,$NN$24,0),IF($NP$24="Bell_Curve",$NN$24*(60-$NR$24+1)*($NS$24-60+1)/$NU$24,$NN$24/$NT$24)),0)</f>
        <v/>
      </c>
      <c r="BM24" s="402">
        <f>IF(AND(61&gt;=$NR$24,61&lt;=$NS$24),IF($NP$24="Single_Point",IF(61=$NR$24,$NN$24,0),IF($NP$24="Bell_Curve",$NN$24*(61-$NR$24+1)*($NS$24-61+1)/$NU$24,$NN$24/$NT$24)),0)</f>
        <v/>
      </c>
      <c r="BN24" s="402">
        <f>IF(AND(62&gt;=$NR$24,62&lt;=$NS$24),IF($NP$24="Single_Point",IF(62=$NR$24,$NN$24,0),IF($NP$24="Bell_Curve",$NN$24*(62-$NR$24+1)*($NS$24-62+1)/$NU$24,$NN$24/$NT$24)),0)</f>
        <v/>
      </c>
      <c r="BO24" s="402">
        <f>IF(AND(63&gt;=$NR$24,63&lt;=$NS$24),IF($NP$24="Single_Point",IF(63=$NR$24,$NN$24,0),IF($NP$24="Bell_Curve",$NN$24*(63-$NR$24+1)*($NS$24-63+1)/$NU$24,$NN$24/$NT$24)),0)</f>
        <v/>
      </c>
      <c r="BP24" s="402">
        <f>IF(AND(64&gt;=$NR$24,64&lt;=$NS$24),IF($NP$24="Single_Point",IF(64=$NR$24,$NN$24,0),IF($NP$24="Bell_Curve",$NN$24*(64-$NR$24+1)*($NS$24-64+1)/$NU$24,$NN$24/$NT$24)),0)</f>
        <v/>
      </c>
      <c r="BQ24" s="402">
        <f>IF(AND(65&gt;=$NR$24,65&lt;=$NS$24),IF($NP$24="Single_Point",IF(65=$NR$24,$NN$24,0),IF($NP$24="Bell_Curve",$NN$24*(65-$NR$24+1)*($NS$24-65+1)/$NU$24,$NN$24/$NT$24)),0)</f>
        <v/>
      </c>
      <c r="BR24" s="402">
        <f>IF(AND(66&gt;=$NR$24,66&lt;=$NS$24),IF($NP$24="Single_Point",IF(66=$NR$24,$NN$24,0),IF($NP$24="Bell_Curve",$NN$24*(66-$NR$24+1)*($NS$24-66+1)/$NU$24,$NN$24/$NT$24)),0)</f>
        <v/>
      </c>
      <c r="BS24" s="402">
        <f>IF(AND(67&gt;=$NR$24,67&lt;=$NS$24),IF($NP$24="Single_Point",IF(67=$NR$24,$NN$24,0),IF($NP$24="Bell_Curve",$NN$24*(67-$NR$24+1)*($NS$24-67+1)/$NU$24,$NN$24/$NT$24)),0)</f>
        <v/>
      </c>
      <c r="BT24" s="402">
        <f>IF(AND(68&gt;=$NR$24,68&lt;=$NS$24),IF($NP$24="Single_Point",IF(68=$NR$24,$NN$24,0),IF($NP$24="Bell_Curve",$NN$24*(68-$NR$24+1)*($NS$24-68+1)/$NU$24,$NN$24/$NT$24)),0)</f>
        <v/>
      </c>
      <c r="BU24" s="402">
        <f>IF(AND(69&gt;=$NR$24,69&lt;=$NS$24),IF($NP$24="Single_Point",IF(69=$NR$24,$NN$24,0),IF($NP$24="Bell_Curve",$NN$24*(69-$NR$24+1)*($NS$24-69+1)/$NU$24,$NN$24/$NT$24)),0)</f>
        <v/>
      </c>
      <c r="BV24" s="402">
        <f>IF(AND(70&gt;=$NR$24,70&lt;=$NS$24),IF($NP$24="Single_Point",IF(70=$NR$24,$NN$24,0),IF($NP$24="Bell_Curve",$NN$24*(70-$NR$24+1)*($NS$24-70+1)/$NU$24,$NN$24/$NT$24)),0)</f>
        <v/>
      </c>
      <c r="BW24" s="402">
        <f>IF(AND(71&gt;=$NR$24,71&lt;=$NS$24),IF($NP$24="Single_Point",IF(71=$NR$24,$NN$24,0),IF($NP$24="Bell_Curve",$NN$24*(71-$NR$24+1)*($NS$24-71+1)/$NU$24,$NN$24/$NT$24)),0)</f>
        <v/>
      </c>
      <c r="BX24" s="402">
        <f>IF(AND(72&gt;=$NR$24,72&lt;=$NS$24),IF($NP$24="Single_Point",IF(72=$NR$24,$NN$24,0),IF($NP$24="Bell_Curve",$NN$24*(72-$NR$24+1)*($NS$24-72+1)/$NU$24,$NN$24/$NT$24)),0)</f>
        <v/>
      </c>
      <c r="BY24" s="402">
        <f>IF(AND(73&gt;=$NR$24,73&lt;=$NS$24),IF($NP$24="Single_Point",IF(73=$NR$24,$NN$24,0),IF($NP$24="Bell_Curve",$NN$24*(73-$NR$24+1)*($NS$24-73+1)/$NU$24,$NN$24/$NT$24)),0)</f>
        <v/>
      </c>
      <c r="BZ24" s="402">
        <f>IF(AND(74&gt;=$NR$24,74&lt;=$NS$24),IF($NP$24="Single_Point",IF(74=$NR$24,$NN$24,0),IF($NP$24="Bell_Curve",$NN$24*(74-$NR$24+1)*($NS$24-74+1)/$NU$24,$NN$24/$NT$24)),0)</f>
        <v/>
      </c>
      <c r="CA24" s="402">
        <f>IF(AND(75&gt;=$NR$24,75&lt;=$NS$24),IF($NP$24="Single_Point",IF(75=$NR$24,$NN$24,0),IF($NP$24="Bell_Curve",$NN$24*(75-$NR$24+1)*($NS$24-75+1)/$NU$24,$NN$24/$NT$24)),0)</f>
        <v/>
      </c>
      <c r="CB24" s="402">
        <f>IF(AND(76&gt;=$NR$24,76&lt;=$NS$24),IF($NP$24="Single_Point",IF(76=$NR$24,$NN$24,0),IF($NP$24="Bell_Curve",$NN$24*(76-$NR$24+1)*($NS$24-76+1)/$NU$24,$NN$24/$NT$24)),0)</f>
        <v/>
      </c>
      <c r="CC24" s="402">
        <f>IF(AND(77&gt;=$NR$24,77&lt;=$NS$24),IF($NP$24="Single_Point",IF(77=$NR$24,$NN$24,0),IF($NP$24="Bell_Curve",$NN$24*(77-$NR$24+1)*($NS$24-77+1)/$NU$24,$NN$24/$NT$24)),0)</f>
        <v/>
      </c>
      <c r="CD24" s="402">
        <f>IF(AND(78&gt;=$NR$24,78&lt;=$NS$24),IF($NP$24="Single_Point",IF(78=$NR$24,$NN$24,0),IF($NP$24="Bell_Curve",$NN$24*(78-$NR$24+1)*($NS$24-78+1)/$NU$24,$NN$24/$NT$24)),0)</f>
        <v/>
      </c>
      <c r="CE24" s="402">
        <f>IF(AND(79&gt;=$NR$24,79&lt;=$NS$24),IF($NP$24="Single_Point",IF(79=$NR$24,$NN$24,0),IF($NP$24="Bell_Curve",$NN$24*(79-$NR$24+1)*($NS$24-79+1)/$NU$24,$NN$24/$NT$24)),0)</f>
        <v/>
      </c>
      <c r="CF24" s="402">
        <f>IF(AND(80&gt;=$NR$24,80&lt;=$NS$24),IF($NP$24="Single_Point",IF(80=$NR$24,$NN$24,0),IF($NP$24="Bell_Curve",$NN$24*(80-$NR$24+1)*($NS$24-80+1)/$NU$24,$NN$24/$NT$24)),0)</f>
        <v/>
      </c>
      <c r="CG24" s="402">
        <f>IF(AND(81&gt;=$NR$24,81&lt;=$NS$24),IF($NP$24="Single_Point",IF(81=$NR$24,$NN$24,0),IF($NP$24="Bell_Curve",$NN$24*(81-$NR$24+1)*($NS$24-81+1)/$NU$24,$NN$24/$NT$24)),0)</f>
        <v/>
      </c>
      <c r="CH24" s="402">
        <f>IF(AND(82&gt;=$NR$24,82&lt;=$NS$24),IF($NP$24="Single_Point",IF(82=$NR$24,$NN$24,0),IF($NP$24="Bell_Curve",$NN$24*(82-$NR$24+1)*($NS$24-82+1)/$NU$24,$NN$24/$NT$24)),0)</f>
        <v/>
      </c>
      <c r="CI24" s="402">
        <f>IF(AND(83&gt;=$NR$24,83&lt;=$NS$24),IF($NP$24="Single_Point",IF(83=$NR$24,$NN$24,0),IF($NP$24="Bell_Curve",$NN$24*(83-$NR$24+1)*($NS$24-83+1)/$NU$24,$NN$24/$NT$24)),0)</f>
        <v/>
      </c>
      <c r="CJ24" s="402">
        <f>IF(AND(84&gt;=$NR$24,84&lt;=$NS$24),IF($NP$24="Single_Point",IF(84=$NR$24,$NN$24,0),IF($NP$24="Bell_Curve",$NN$24*(84-$NR$24+1)*($NS$24-84+1)/$NU$24,$NN$24/$NT$24)),0)</f>
        <v/>
      </c>
      <c r="CK24" s="402">
        <f>IF(AND(85&gt;=$NR$24,85&lt;=$NS$24),IF($NP$24="Single_Point",IF(85=$NR$24,$NN$24,0),IF($NP$24="Bell_Curve",$NN$24*(85-$NR$24+1)*($NS$24-85+1)/$NU$24,$NN$24/$NT$24)),0)</f>
        <v/>
      </c>
      <c r="CL24" s="402">
        <f>IF(AND(86&gt;=$NR$24,86&lt;=$NS$24),IF($NP$24="Single_Point",IF(86=$NR$24,$NN$24,0),IF($NP$24="Bell_Curve",$NN$24*(86-$NR$24+1)*($NS$24-86+1)/$NU$24,$NN$24/$NT$24)),0)</f>
        <v/>
      </c>
      <c r="CM24" s="402">
        <f>IF(AND(87&gt;=$NR$24,87&lt;=$NS$24),IF($NP$24="Single_Point",IF(87=$NR$24,$NN$24,0),IF($NP$24="Bell_Curve",$NN$24*(87-$NR$24+1)*($NS$24-87+1)/$NU$24,$NN$24/$NT$24)),0)</f>
        <v/>
      </c>
      <c r="CN24" s="402">
        <f>IF(AND(88&gt;=$NR$24,88&lt;=$NS$24),IF($NP$24="Single_Point",IF(88=$NR$24,$NN$24,0),IF($NP$24="Bell_Curve",$NN$24*(88-$NR$24+1)*($NS$24-88+1)/$NU$24,$NN$24/$NT$24)),0)</f>
        <v/>
      </c>
      <c r="CO24" s="402">
        <f>IF(AND(89&gt;=$NR$24,89&lt;=$NS$24),IF($NP$24="Single_Point",IF(89=$NR$24,$NN$24,0),IF($NP$24="Bell_Curve",$NN$24*(89-$NR$24+1)*($NS$24-89+1)/$NU$24,$NN$24/$NT$24)),0)</f>
        <v/>
      </c>
      <c r="CP24" s="402">
        <f>IF(AND(90&gt;=$NR$24,90&lt;=$NS$24),IF($NP$24="Single_Point",IF(90=$NR$24,$NN$24,0),IF($NP$24="Bell_Curve",$NN$24*(90-$NR$24+1)*($NS$24-90+1)/$NU$24,$NN$24/$NT$24)),0)</f>
        <v/>
      </c>
      <c r="CQ24" s="402">
        <f>IF(AND(91&gt;=$NR$24,91&lt;=$NS$24),IF($NP$24="Single_Point",IF(91=$NR$24,$NN$24,0),IF($NP$24="Bell_Curve",$NN$24*(91-$NR$24+1)*($NS$24-91+1)/$NU$24,$NN$24/$NT$24)),0)</f>
        <v/>
      </c>
      <c r="CR24" s="402">
        <f>IF(AND(92&gt;=$NR$24,92&lt;=$NS$24),IF($NP$24="Single_Point",IF(92=$NR$24,$NN$24,0),IF($NP$24="Bell_Curve",$NN$24*(92-$NR$24+1)*($NS$24-92+1)/$NU$24,$NN$24/$NT$24)),0)</f>
        <v/>
      </c>
      <c r="CS24" s="402">
        <f>IF(AND(93&gt;=$NR$24,93&lt;=$NS$24),IF($NP$24="Single_Point",IF(93=$NR$24,$NN$24,0),IF($NP$24="Bell_Curve",$NN$24*(93-$NR$24+1)*($NS$24-93+1)/$NU$24,$NN$24/$NT$24)),0)</f>
        <v/>
      </c>
      <c r="CT24" s="402">
        <f>IF(AND(94&gt;=$NR$24,94&lt;=$NS$24),IF($NP$24="Single_Point",IF(94=$NR$24,$NN$24,0),IF($NP$24="Bell_Curve",$NN$24*(94-$NR$24+1)*($NS$24-94+1)/$NU$24,$NN$24/$NT$24)),0)</f>
        <v/>
      </c>
      <c r="CU24" s="402">
        <f>IF(AND(95&gt;=$NR$24,95&lt;=$NS$24),IF($NP$24="Single_Point",IF(95=$NR$24,$NN$24,0),IF($NP$24="Bell_Curve",$NN$24*(95-$NR$24+1)*($NS$24-95+1)/$NU$24,$NN$24/$NT$24)),0)</f>
        <v/>
      </c>
      <c r="CV24" s="402">
        <f>IF(AND(96&gt;=$NR$24,96&lt;=$NS$24),IF($NP$24="Single_Point",IF(96=$NR$24,$NN$24,0),IF($NP$24="Bell_Curve",$NN$24*(96-$NR$24+1)*($NS$24-96+1)/$NU$24,$NN$24/$NT$24)),0)</f>
        <v/>
      </c>
      <c r="CW24" s="402">
        <f>IF(AND(97&gt;=$NR$24,97&lt;=$NS$24),IF($NP$24="Single_Point",IF(97=$NR$24,$NN$24,0),IF($NP$24="Bell_Curve",$NN$24*(97-$NR$24+1)*($NS$24-97+1)/$NU$24,$NN$24/$NT$24)),0)</f>
        <v/>
      </c>
      <c r="CX24" s="402">
        <f>IF(AND(98&gt;=$NR$24,98&lt;=$NS$24),IF($NP$24="Single_Point",IF(98=$NR$24,$NN$24,0),IF($NP$24="Bell_Curve",$NN$24*(98-$NR$24+1)*($NS$24-98+1)/$NU$24,$NN$24/$NT$24)),0)</f>
        <v/>
      </c>
      <c r="CY24" s="402">
        <f>IF(AND(99&gt;=$NR$24,99&lt;=$NS$24),IF($NP$24="Single_Point",IF(99=$NR$24,$NN$24,0),IF($NP$24="Bell_Curve",$NN$24*(99-$NR$24+1)*($NS$24-99+1)/$NU$24,$NN$24/$NT$24)),0)</f>
        <v/>
      </c>
      <c r="CZ24" s="402">
        <f>IF(AND(100&gt;=$NR$24,100&lt;=$NS$24),IF($NP$24="Single_Point",IF(100=$NR$24,$NN$24,0),IF($NP$24="Bell_Curve",$NN$24*(100-$NR$24+1)*($NS$24-100+1)/$NU$24,$NN$24/$NT$24)),0)</f>
        <v/>
      </c>
      <c r="DA24" s="402">
        <f>IF(AND(101&gt;=$NR$24,101&lt;=$NS$24),IF($NP$24="Single_Point",IF(101=$NR$24,$NN$24,0),IF($NP$24="Bell_Curve",$NN$24*(101-$NR$24+1)*($NS$24-101+1)/$NU$24,$NN$24/$NT$24)),0)</f>
        <v/>
      </c>
      <c r="DB24" s="402">
        <f>IF(AND(102&gt;=$NR$24,102&lt;=$NS$24),IF($NP$24="Single_Point",IF(102=$NR$24,$NN$24,0),IF($NP$24="Bell_Curve",$NN$24*(102-$NR$24+1)*($NS$24-102+1)/$NU$24,$NN$24/$NT$24)),0)</f>
        <v/>
      </c>
      <c r="DC24" s="402">
        <f>IF(AND(103&gt;=$NR$24,103&lt;=$NS$24),IF($NP$24="Single_Point",IF(103=$NR$24,$NN$24,0),IF($NP$24="Bell_Curve",$NN$24*(103-$NR$24+1)*($NS$24-103+1)/$NU$24,$NN$24/$NT$24)),0)</f>
        <v/>
      </c>
      <c r="DD24" s="402">
        <f>IF(AND(104&gt;=$NR$24,104&lt;=$NS$24),IF($NP$24="Single_Point",IF(104=$NR$24,$NN$24,0),IF($NP$24="Bell_Curve",$NN$24*(104-$NR$24+1)*($NS$24-104+1)/$NU$24,$NN$24/$NT$24)),0)</f>
        <v/>
      </c>
      <c r="DE24" s="402">
        <f>IF(AND(105&gt;=$NR$24,105&lt;=$NS$24),IF($NP$24="Single_Point",IF(105=$NR$24,$NN$24,0),IF($NP$24="Bell_Curve",$NN$24*(105-$NR$24+1)*($NS$24-105+1)/$NU$24,$NN$24/$NT$24)),0)</f>
        <v/>
      </c>
      <c r="DF24" s="402">
        <f>IF(AND(106&gt;=$NR$24,106&lt;=$NS$24),IF($NP$24="Single_Point",IF(106=$NR$24,$NN$24,0),IF($NP$24="Bell_Curve",$NN$24*(106-$NR$24+1)*($NS$24-106+1)/$NU$24,$NN$24/$NT$24)),0)</f>
        <v/>
      </c>
      <c r="DG24" s="402">
        <f>IF(AND(107&gt;=$NR$24,107&lt;=$NS$24),IF($NP$24="Single_Point",IF(107=$NR$24,$NN$24,0),IF($NP$24="Bell_Curve",$NN$24*(107-$NR$24+1)*($NS$24-107+1)/$NU$24,$NN$24/$NT$24)),0)</f>
        <v/>
      </c>
      <c r="DH24" s="402">
        <f>IF(AND(108&gt;=$NR$24,108&lt;=$NS$24),IF($NP$24="Single_Point",IF(108=$NR$24,$NN$24,0),IF($NP$24="Bell_Curve",$NN$24*(108-$NR$24+1)*($NS$24-108+1)/$NU$24,$NN$24/$NT$24)),0)</f>
        <v/>
      </c>
      <c r="DI24" s="402">
        <f>IF(AND(109&gt;=$NR$24,109&lt;=$NS$24),IF($NP$24="Single_Point",IF(109=$NR$24,$NN$24,0),IF($NP$24="Bell_Curve",$NN$24*(109-$NR$24+1)*($NS$24-109+1)/$NU$24,$NN$24/$NT$24)),0)</f>
        <v/>
      </c>
      <c r="DJ24" s="402">
        <f>IF(AND(110&gt;=$NR$24,110&lt;=$NS$24),IF($NP$24="Single_Point",IF(110=$NR$24,$NN$24,0),IF($NP$24="Bell_Curve",$NN$24*(110-$NR$24+1)*($NS$24-110+1)/$NU$24,$NN$24/$NT$24)),0)</f>
        <v/>
      </c>
      <c r="DK24" s="402">
        <f>IF(AND(111&gt;=$NR$24,111&lt;=$NS$24),IF($NP$24="Single_Point",IF(111=$NR$24,$NN$24,0),IF($NP$24="Bell_Curve",$NN$24*(111-$NR$24+1)*($NS$24-111+1)/$NU$24,$NN$24/$NT$24)),0)</f>
        <v/>
      </c>
      <c r="DL24" s="402">
        <f>IF(AND(112&gt;=$NR$24,112&lt;=$NS$24),IF($NP$24="Single_Point",IF(112=$NR$24,$NN$24,0),IF($NP$24="Bell_Curve",$NN$24*(112-$NR$24+1)*($NS$24-112+1)/$NU$24,$NN$24/$NT$24)),0)</f>
        <v/>
      </c>
      <c r="DM24" s="402">
        <f>IF(AND(113&gt;=$NR$24,113&lt;=$NS$24),IF($NP$24="Single_Point",IF(113=$NR$24,$NN$24,0),IF($NP$24="Bell_Curve",$NN$24*(113-$NR$24+1)*($NS$24-113+1)/$NU$24,$NN$24/$NT$24)),0)</f>
        <v/>
      </c>
      <c r="DN24" s="402">
        <f>IF(AND(114&gt;=$NR$24,114&lt;=$NS$24),IF($NP$24="Single_Point",IF(114=$NR$24,$NN$24,0),IF($NP$24="Bell_Curve",$NN$24*(114-$NR$24+1)*($NS$24-114+1)/$NU$24,$NN$24/$NT$24)),0)</f>
        <v/>
      </c>
      <c r="DO24" s="402">
        <f>IF(AND(115&gt;=$NR$24,115&lt;=$NS$24),IF($NP$24="Single_Point",IF(115=$NR$24,$NN$24,0),IF($NP$24="Bell_Curve",$NN$24*(115-$NR$24+1)*($NS$24-115+1)/$NU$24,$NN$24/$NT$24)),0)</f>
        <v/>
      </c>
      <c r="DP24" s="402">
        <f>IF(AND(116&gt;=$NR$24,116&lt;=$NS$24),IF($NP$24="Single_Point",IF(116=$NR$24,$NN$24,0),IF($NP$24="Bell_Curve",$NN$24*(116-$NR$24+1)*($NS$24-116+1)/$NU$24,$NN$24/$NT$24)),0)</f>
        <v/>
      </c>
      <c r="DQ24" s="402">
        <f>IF(AND(117&gt;=$NR$24,117&lt;=$NS$24),IF($NP$24="Single_Point",IF(117=$NR$24,$NN$24,0),IF($NP$24="Bell_Curve",$NN$24*(117-$NR$24+1)*($NS$24-117+1)/$NU$24,$NN$24/$NT$24)),0)</f>
        <v/>
      </c>
      <c r="DR24" s="402">
        <f>IF(AND(118&gt;=$NR$24,118&lt;=$NS$24),IF($NP$24="Single_Point",IF(118=$NR$24,$NN$24,0),IF($NP$24="Bell_Curve",$NN$24*(118-$NR$24+1)*($NS$24-118+1)/$NU$24,$NN$24/$NT$24)),0)</f>
        <v/>
      </c>
      <c r="DS24" s="402">
        <f>IF(AND(119&gt;=$NR$24,119&lt;=$NS$24),IF($NP$24="Single_Point",IF(119=$NR$24,$NN$24,0),IF($NP$24="Bell_Curve",$NN$24*(119-$NR$24+1)*($NS$24-119+1)/$NU$24,$NN$24/$NT$24)),0)</f>
        <v/>
      </c>
      <c r="DT24" s="402">
        <f>IF(AND(120&gt;=$NR$24,120&lt;=$NS$24),IF($NP$24="Single_Point",IF(120=$NR$24,$NN$24,0),IF($NP$24="Bell_Curve",$NN$24*(120-$NR$24+1)*($NS$24-120+1)/$NU$24,$NN$24/$NT$24)),0)</f>
        <v/>
      </c>
      <c r="DU24" s="402">
        <f>IF(AND(121&gt;=$NR$24,121&lt;=$NS$24),IF($NP$24="Single_Point",IF(121=$NR$24,$NN$24,0),IF($NP$24="Bell_Curve",$NN$24*(121-$NR$24+1)*($NS$24-121+1)/$NU$24,$NN$24/$NT$24)),0)</f>
        <v/>
      </c>
      <c r="DV24" s="402">
        <f>IF(AND(122&gt;=$NR$24,122&lt;=$NS$24),IF($NP$24="Single_Point",IF(122=$NR$24,$NN$24,0),IF($NP$24="Bell_Curve",$NN$24*(122-$NR$24+1)*($NS$24-122+1)/$NU$24,$NN$24/$NT$24)),0)</f>
        <v/>
      </c>
      <c r="DW24" s="402">
        <f>IF(AND(123&gt;=$NR$24,123&lt;=$NS$24),IF($NP$24="Single_Point",IF(123=$NR$24,$NN$24,0),IF($NP$24="Bell_Curve",$NN$24*(123-$NR$24+1)*($NS$24-123+1)/$NU$24,$NN$24/$NT$24)),0)</f>
        <v/>
      </c>
      <c r="DX24" s="402">
        <f>IF(AND(124&gt;=$NR$24,124&lt;=$NS$24),IF($NP$24="Single_Point",IF(124=$NR$24,$NN$24,0),IF($NP$24="Bell_Curve",$NN$24*(124-$NR$24+1)*($NS$24-124+1)/$NU$24,$NN$24/$NT$24)),0)</f>
        <v/>
      </c>
      <c r="DY24" s="402">
        <f>IF(AND(125&gt;=$NR$24,125&lt;=$NS$24),IF($NP$24="Single_Point",IF(125=$NR$24,$NN$24,0),IF($NP$24="Bell_Curve",$NN$24*(125-$NR$24+1)*($NS$24-125+1)/$NU$24,$NN$24/$NT$24)),0)</f>
        <v/>
      </c>
      <c r="DZ24" s="402">
        <f>IF(AND(126&gt;=$NR$24,126&lt;=$NS$24),IF($NP$24="Single_Point",IF(126=$NR$24,$NN$24,0),IF($NP$24="Bell_Curve",$NN$24*(126-$NR$24+1)*($NS$24-126+1)/$NU$24,$NN$24/$NT$24)),0)</f>
        <v/>
      </c>
      <c r="EA24" s="402">
        <f>IF(AND(127&gt;=$NR$24,127&lt;=$NS$24),IF($NP$24="Single_Point",IF(127=$NR$24,$NN$24,0),IF($NP$24="Bell_Curve",$NN$24*(127-$NR$24+1)*($NS$24-127+1)/$NU$24,$NN$24/$NT$24)),0)</f>
        <v/>
      </c>
      <c r="EB24" s="402">
        <f>IF(AND(128&gt;=$NR$24,128&lt;=$NS$24),IF($NP$24="Single_Point",IF(128=$NR$24,$NN$24,0),IF($NP$24="Bell_Curve",$NN$24*(128-$NR$24+1)*($NS$24-128+1)/$NU$24,$NN$24/$NT$24)),0)</f>
        <v/>
      </c>
      <c r="EC24" s="402">
        <f>IF(AND(129&gt;=$NR$24,129&lt;=$NS$24),IF($NP$24="Single_Point",IF(129=$NR$24,$NN$24,0),IF($NP$24="Bell_Curve",$NN$24*(129-$NR$24+1)*($NS$24-129+1)/$NU$24,$NN$24/$NT$24)),0)</f>
        <v/>
      </c>
      <c r="ED24" s="402">
        <f>IF(AND(130&gt;=$NR$24,130&lt;=$NS$24),IF($NP$24="Single_Point",IF(130=$NR$24,$NN$24,0),IF($NP$24="Bell_Curve",$NN$24*(130-$NR$24+1)*($NS$24-130+1)/$NU$24,$NN$24/$NT$24)),0)</f>
        <v/>
      </c>
      <c r="EE24" s="402">
        <f>IF(AND(131&gt;=$NR$24,131&lt;=$NS$24),IF($NP$24="Single_Point",IF(131=$NR$24,$NN$24,0),IF($NP$24="Bell_Curve",$NN$24*(131-$NR$24+1)*($NS$24-131+1)/$NU$24,$NN$24/$NT$24)),0)</f>
        <v/>
      </c>
      <c r="EF24" s="402">
        <f>IF(AND(132&gt;=$NR$24,132&lt;=$NS$24),IF($NP$24="Single_Point",IF(132=$NR$24,$NN$24,0),IF($NP$24="Bell_Curve",$NN$24*(132-$NR$24+1)*($NS$24-132+1)/$NU$24,$NN$24/$NT$24)),0)</f>
        <v/>
      </c>
      <c r="EG24" s="402">
        <f>IF(AND(133&gt;=$NR$24,133&lt;=$NS$24),IF($NP$24="Single_Point",IF(133=$NR$24,$NN$24,0),IF($NP$24="Bell_Curve",$NN$24*(133-$NR$24+1)*($NS$24-133+1)/$NU$24,$NN$24/$NT$24)),0)</f>
        <v/>
      </c>
      <c r="EH24" s="402">
        <f>IF(AND(134&gt;=$NR$24,134&lt;=$NS$24),IF($NP$24="Single_Point",IF(134=$NR$24,$NN$24,0),IF($NP$24="Bell_Curve",$NN$24*(134-$NR$24+1)*($NS$24-134+1)/$NU$24,$NN$24/$NT$24)),0)</f>
        <v/>
      </c>
      <c r="EI24" s="402">
        <f>IF(AND(135&gt;=$NR$24,135&lt;=$NS$24),IF($NP$24="Single_Point",IF(135=$NR$24,$NN$24,0),IF($NP$24="Bell_Curve",$NN$24*(135-$NR$24+1)*($NS$24-135+1)/$NU$24,$NN$24/$NT$24)),0)</f>
        <v/>
      </c>
      <c r="EJ24" s="402">
        <f>IF(AND(136&gt;=$NR$24,136&lt;=$NS$24),IF($NP$24="Single_Point",IF(136=$NR$24,$NN$24,0),IF($NP$24="Bell_Curve",$NN$24*(136-$NR$24+1)*($NS$24-136+1)/$NU$24,$NN$24/$NT$24)),0)</f>
        <v/>
      </c>
      <c r="EK24" s="402">
        <f>IF(AND(137&gt;=$NR$24,137&lt;=$NS$24),IF($NP$24="Single_Point",IF(137=$NR$24,$NN$24,0),IF($NP$24="Bell_Curve",$NN$24*(137-$NR$24+1)*($NS$24-137+1)/$NU$24,$NN$24/$NT$24)),0)</f>
        <v/>
      </c>
      <c r="EL24" s="402">
        <f>IF(AND(138&gt;=$NR$24,138&lt;=$NS$24),IF($NP$24="Single_Point",IF(138=$NR$24,$NN$24,0),IF($NP$24="Bell_Curve",$NN$24*(138-$NR$24+1)*($NS$24-138+1)/$NU$24,$NN$24/$NT$24)),0)</f>
        <v/>
      </c>
      <c r="EM24" s="402">
        <f>IF(AND(139&gt;=$NR$24,139&lt;=$NS$24),IF($NP$24="Single_Point",IF(139=$NR$24,$NN$24,0),IF($NP$24="Bell_Curve",$NN$24*(139-$NR$24+1)*($NS$24-139+1)/$NU$24,$NN$24/$NT$24)),0)</f>
        <v/>
      </c>
      <c r="EN24" s="402">
        <f>IF(AND(140&gt;=$NR$24,140&lt;=$NS$24),IF($NP$24="Single_Point",IF(140=$NR$24,$NN$24,0),IF($NP$24="Bell_Curve",$NN$24*(140-$NR$24+1)*($NS$24-140+1)/$NU$24,$NN$24/$NT$24)),0)</f>
        <v/>
      </c>
      <c r="EO24" s="402">
        <f>IF(AND(141&gt;=$NR$24,141&lt;=$NS$24),IF($NP$24="Single_Point",IF(141=$NR$24,$NN$24,0),IF($NP$24="Bell_Curve",$NN$24*(141-$NR$24+1)*($NS$24-141+1)/$NU$24,$NN$24/$NT$24)),0)</f>
        <v/>
      </c>
      <c r="EP24" s="402">
        <f>IF(AND(142&gt;=$NR$24,142&lt;=$NS$24),IF($NP$24="Single_Point",IF(142=$NR$24,$NN$24,0),IF($NP$24="Bell_Curve",$NN$24*(142-$NR$24+1)*($NS$24-142+1)/$NU$24,$NN$24/$NT$24)),0)</f>
        <v/>
      </c>
      <c r="EQ24" s="402">
        <f>IF(AND(143&gt;=$NR$24,143&lt;=$NS$24),IF($NP$24="Single_Point",IF(143=$NR$24,$NN$24,0),IF($NP$24="Bell_Curve",$NN$24*(143-$NR$24+1)*($NS$24-143+1)/$NU$24,$NN$24/$NT$24)),0)</f>
        <v/>
      </c>
      <c r="ER24" s="402">
        <f>IF(AND(144&gt;=$NR$24,144&lt;=$NS$24),IF($NP$24="Single_Point",IF(144=$NR$24,$NN$24,0),IF($NP$24="Bell_Curve",$NN$24*(144-$NR$24+1)*($NS$24-144+1)/$NU$24,$NN$24/$NT$24)),0)</f>
        <v/>
      </c>
      <c r="ES24" s="402">
        <f>IF(AND(145&gt;=$NR$24,145&lt;=$NS$24),IF($NP$24="Single_Point",IF(145=$NR$24,$NN$24,0),IF($NP$24="Bell_Curve",$NN$24*(145-$NR$24+1)*($NS$24-145+1)/$NU$24,$NN$24/$NT$24)),0)</f>
        <v/>
      </c>
      <c r="ET24" s="402">
        <f>IF(AND(146&gt;=$NR$24,146&lt;=$NS$24),IF($NP$24="Single_Point",IF(146=$NR$24,$NN$24,0),IF($NP$24="Bell_Curve",$NN$24*(146-$NR$24+1)*($NS$24-146+1)/$NU$24,$NN$24/$NT$24)),0)</f>
        <v/>
      </c>
      <c r="EU24" s="402">
        <f>IF(AND(147&gt;=$NR$24,147&lt;=$NS$24),IF($NP$24="Single_Point",IF(147=$NR$24,$NN$24,0),IF($NP$24="Bell_Curve",$NN$24*(147-$NR$24+1)*($NS$24-147+1)/$NU$24,$NN$24/$NT$24)),0)</f>
        <v/>
      </c>
      <c r="EV24" s="402">
        <f>IF(AND(148&gt;=$NR$24,148&lt;=$NS$24),IF($NP$24="Single_Point",IF(148=$NR$24,$NN$24,0),IF($NP$24="Bell_Curve",$NN$24*(148-$NR$24+1)*($NS$24-148+1)/$NU$24,$NN$24/$NT$24)),0)</f>
        <v/>
      </c>
      <c r="EW24" s="402">
        <f>IF(AND(149&gt;=$NR$24,149&lt;=$NS$24),IF($NP$24="Single_Point",IF(149=$NR$24,$NN$24,0),IF($NP$24="Bell_Curve",$NN$24*(149-$NR$24+1)*($NS$24-149+1)/$NU$24,$NN$24/$NT$24)),0)</f>
        <v/>
      </c>
      <c r="EX24" s="402">
        <f>IF(AND(150&gt;=$NR$24,150&lt;=$NS$24),IF($NP$24="Single_Point",IF(150=$NR$24,$NN$24,0),IF($NP$24="Bell_Curve",$NN$24*(150-$NR$24+1)*($NS$24-150+1)/$NU$24,$NN$24/$NT$24)),0)</f>
        <v/>
      </c>
      <c r="EY24" s="402">
        <f>IF(AND(151&gt;=$NR$24,151&lt;=$NS$24),IF($NP$24="Single_Point",IF(151=$NR$24,$NN$24,0),IF($NP$24="Bell_Curve",$NN$24*(151-$NR$24+1)*($NS$24-151+1)/$NU$24,$NN$24/$NT$24)),0)</f>
        <v/>
      </c>
      <c r="EZ24" s="402">
        <f>IF(AND(152&gt;=$NR$24,152&lt;=$NS$24),IF($NP$24="Single_Point",IF(152=$NR$24,$NN$24,0),IF($NP$24="Bell_Curve",$NN$24*(152-$NR$24+1)*($NS$24-152+1)/$NU$24,$NN$24/$NT$24)),0)</f>
        <v/>
      </c>
      <c r="FA24" s="402">
        <f>IF(AND(153&gt;=$NR$24,153&lt;=$NS$24),IF($NP$24="Single_Point",IF(153=$NR$24,$NN$24,0),IF($NP$24="Bell_Curve",$NN$24*(153-$NR$24+1)*($NS$24-153+1)/$NU$24,$NN$24/$NT$24)),0)</f>
        <v/>
      </c>
      <c r="FB24" s="402">
        <f>IF(AND(154&gt;=$NR$24,154&lt;=$NS$24),IF($NP$24="Single_Point",IF(154=$NR$24,$NN$24,0),IF($NP$24="Bell_Curve",$NN$24*(154-$NR$24+1)*($NS$24-154+1)/$NU$24,$NN$24/$NT$24)),0)</f>
        <v/>
      </c>
      <c r="FC24" s="402">
        <f>IF(AND(155&gt;=$NR$24,155&lt;=$NS$24),IF($NP$24="Single_Point",IF(155=$NR$24,$NN$24,0),IF($NP$24="Bell_Curve",$NN$24*(155-$NR$24+1)*($NS$24-155+1)/$NU$24,$NN$24/$NT$24)),0)</f>
        <v/>
      </c>
      <c r="FD24" s="402">
        <f>IF(AND(156&gt;=$NR$24,156&lt;=$NS$24),IF($NP$24="Single_Point",IF(156=$NR$24,$NN$24,0),IF($NP$24="Bell_Curve",$NN$24*(156-$NR$24+1)*($NS$24-156+1)/$NU$24,$NN$24/$NT$24)),0)</f>
        <v/>
      </c>
      <c r="FE24" s="402">
        <f>IF(AND(157&gt;=$NR$24,157&lt;=$NS$24),IF($NP$24="Single_Point",IF(157=$NR$24,$NN$24,0),IF($NP$24="Bell_Curve",$NN$24*(157-$NR$24+1)*($NS$24-157+1)/$NU$24,$NN$24/$NT$24)),0)</f>
        <v/>
      </c>
      <c r="FF24" s="402">
        <f>IF(AND(158&gt;=$NR$24,158&lt;=$NS$24),IF($NP$24="Single_Point",IF(158=$NR$24,$NN$24,0),IF($NP$24="Bell_Curve",$NN$24*(158-$NR$24+1)*($NS$24-158+1)/$NU$24,$NN$24/$NT$24)),0)</f>
        <v/>
      </c>
      <c r="FG24" s="402">
        <f>IF(AND(159&gt;=$NR$24,159&lt;=$NS$24),IF($NP$24="Single_Point",IF(159=$NR$24,$NN$24,0),IF($NP$24="Bell_Curve",$NN$24*(159-$NR$24+1)*($NS$24-159+1)/$NU$24,$NN$24/$NT$24)),0)</f>
        <v/>
      </c>
      <c r="FH24" s="402">
        <f>IF(AND(160&gt;=$NR$24,160&lt;=$NS$24),IF($NP$24="Single_Point",IF(160=$NR$24,$NN$24,0),IF($NP$24="Bell_Curve",$NN$24*(160-$NR$24+1)*($NS$24-160+1)/$NU$24,$NN$24/$NT$24)),0)</f>
        <v/>
      </c>
      <c r="FI24" s="402">
        <f>IF(AND(161&gt;=$NR$24,161&lt;=$NS$24),IF($NP$24="Single_Point",IF(161=$NR$24,$NN$24,0),IF($NP$24="Bell_Curve",$NN$24*(161-$NR$24+1)*($NS$24-161+1)/$NU$24,$NN$24/$NT$24)),0)</f>
        <v/>
      </c>
      <c r="FJ24" s="402">
        <f>IF(AND(162&gt;=$NR$24,162&lt;=$NS$24),IF($NP$24="Single_Point",IF(162=$NR$24,$NN$24,0),IF($NP$24="Bell_Curve",$NN$24*(162-$NR$24+1)*($NS$24-162+1)/$NU$24,$NN$24/$NT$24)),0)</f>
        <v/>
      </c>
      <c r="FK24" s="402">
        <f>IF(AND(163&gt;=$NR$24,163&lt;=$NS$24),IF($NP$24="Single_Point",IF(163=$NR$24,$NN$24,0),IF($NP$24="Bell_Curve",$NN$24*(163-$NR$24+1)*($NS$24-163+1)/$NU$24,$NN$24/$NT$24)),0)</f>
        <v/>
      </c>
      <c r="FL24" s="402">
        <f>IF(AND(164&gt;=$NR$24,164&lt;=$NS$24),IF($NP$24="Single_Point",IF(164=$NR$24,$NN$24,0),IF($NP$24="Bell_Curve",$NN$24*(164-$NR$24+1)*($NS$24-164+1)/$NU$24,$NN$24/$NT$24)),0)</f>
        <v/>
      </c>
      <c r="FM24" s="402">
        <f>IF(AND(165&gt;=$NR$24,165&lt;=$NS$24),IF($NP$24="Single_Point",IF(165=$NR$24,$NN$24,0),IF($NP$24="Bell_Curve",$NN$24*(165-$NR$24+1)*($NS$24-165+1)/$NU$24,$NN$24/$NT$24)),0)</f>
        <v/>
      </c>
      <c r="FN24" s="402">
        <f>IF(AND(166&gt;=$NR$24,166&lt;=$NS$24),IF($NP$24="Single_Point",IF(166=$NR$24,$NN$24,0),IF($NP$24="Bell_Curve",$NN$24*(166-$NR$24+1)*($NS$24-166+1)/$NU$24,$NN$24/$NT$24)),0)</f>
        <v/>
      </c>
      <c r="FO24" s="402">
        <f>IF(AND(167&gt;=$NR$24,167&lt;=$NS$24),IF($NP$24="Single_Point",IF(167=$NR$24,$NN$24,0),IF($NP$24="Bell_Curve",$NN$24*(167-$NR$24+1)*($NS$24-167+1)/$NU$24,$NN$24/$NT$24)),0)</f>
        <v/>
      </c>
      <c r="FP24" s="402">
        <f>IF(AND(168&gt;=$NR$24,168&lt;=$NS$24),IF($NP$24="Single_Point",IF(168=$NR$24,$NN$24,0),IF($NP$24="Bell_Curve",$NN$24*(168-$NR$24+1)*($NS$24-168+1)/$NU$24,$NN$24/$NT$24)),0)</f>
        <v/>
      </c>
      <c r="FQ24" s="402">
        <f>IF(AND(169&gt;=$NR$24,169&lt;=$NS$24),IF($NP$24="Single_Point",IF(169=$NR$24,$NN$24,0),IF($NP$24="Bell_Curve",$NN$24*(169-$NR$24+1)*($NS$24-169+1)/$NU$24,$NN$24/$NT$24)),0)</f>
        <v/>
      </c>
      <c r="FR24" s="402">
        <f>IF(AND(170&gt;=$NR$24,170&lt;=$NS$24),IF($NP$24="Single_Point",IF(170=$NR$24,$NN$24,0),IF($NP$24="Bell_Curve",$NN$24*(170-$NR$24+1)*($NS$24-170+1)/$NU$24,$NN$24/$NT$24)),0)</f>
        <v/>
      </c>
      <c r="FS24" s="402">
        <f>IF(AND(171&gt;=$NR$24,171&lt;=$NS$24),IF($NP$24="Single_Point",IF(171=$NR$24,$NN$24,0),IF($NP$24="Bell_Curve",$NN$24*(171-$NR$24+1)*($NS$24-171+1)/$NU$24,$NN$24/$NT$24)),0)</f>
        <v/>
      </c>
      <c r="FT24" s="402">
        <f>IF(AND(172&gt;=$NR$24,172&lt;=$NS$24),IF($NP$24="Single_Point",IF(172=$NR$24,$NN$24,0),IF($NP$24="Bell_Curve",$NN$24*(172-$NR$24+1)*($NS$24-172+1)/$NU$24,$NN$24/$NT$24)),0)</f>
        <v/>
      </c>
      <c r="FU24" s="402">
        <f>IF(AND(173&gt;=$NR$24,173&lt;=$NS$24),IF($NP$24="Single_Point",IF(173=$NR$24,$NN$24,0),IF($NP$24="Bell_Curve",$NN$24*(173-$NR$24+1)*($NS$24-173+1)/$NU$24,$NN$24/$NT$24)),0)</f>
        <v/>
      </c>
      <c r="FV24" s="402">
        <f>IF(AND(174&gt;=$NR$24,174&lt;=$NS$24),IF($NP$24="Single_Point",IF(174=$NR$24,$NN$24,0),IF($NP$24="Bell_Curve",$NN$24*(174-$NR$24+1)*($NS$24-174+1)/$NU$24,$NN$24/$NT$24)),0)</f>
        <v/>
      </c>
      <c r="FW24" s="402">
        <f>IF(AND(175&gt;=$NR$24,175&lt;=$NS$24),IF($NP$24="Single_Point",IF(175=$NR$24,$NN$24,0),IF($NP$24="Bell_Curve",$NN$24*(175-$NR$24+1)*($NS$24-175+1)/$NU$24,$NN$24/$NT$24)),0)</f>
        <v/>
      </c>
      <c r="FX24" s="402">
        <f>IF(AND(176&gt;=$NR$24,176&lt;=$NS$24),IF($NP$24="Single_Point",IF(176=$NR$24,$NN$24,0),IF($NP$24="Bell_Curve",$NN$24*(176-$NR$24+1)*($NS$24-176+1)/$NU$24,$NN$24/$NT$24)),0)</f>
        <v/>
      </c>
      <c r="FY24" s="402">
        <f>IF(AND(177&gt;=$NR$24,177&lt;=$NS$24),IF($NP$24="Single_Point",IF(177=$NR$24,$NN$24,0),IF($NP$24="Bell_Curve",$NN$24*(177-$NR$24+1)*($NS$24-177+1)/$NU$24,$NN$24/$NT$24)),0)</f>
        <v/>
      </c>
      <c r="FZ24" s="402">
        <f>IF(AND(178&gt;=$NR$24,178&lt;=$NS$24),IF($NP$24="Single_Point",IF(178=$NR$24,$NN$24,0),IF($NP$24="Bell_Curve",$NN$24*(178-$NR$24+1)*($NS$24-178+1)/$NU$24,$NN$24/$NT$24)),0)</f>
        <v/>
      </c>
      <c r="GA24" s="402">
        <f>IF(AND(179&gt;=$NR$24,179&lt;=$NS$24),IF($NP$24="Single_Point",IF(179=$NR$24,$NN$24,0),IF($NP$24="Bell_Curve",$NN$24*(179-$NR$24+1)*($NS$24-179+1)/$NU$24,$NN$24/$NT$24)),0)</f>
        <v/>
      </c>
      <c r="GB24" s="402">
        <f>IF(AND(180&gt;=$NR$24,180&lt;=$NS$24),IF($NP$24="Single_Point",IF(180=$NR$24,$NN$24,0),IF($NP$24="Bell_Curve",$NN$24*(180-$NR$24+1)*($NS$24-180+1)/$NU$24,$NN$24/$NT$24)),0)</f>
        <v/>
      </c>
      <c r="GC24" s="402">
        <f>IF(AND(181&gt;=$NR$24,181&lt;=$NS$24),IF($NP$24="Single_Point",IF(181=$NR$24,$NN$24,0),IF($NP$24="Bell_Curve",$NN$24*(181-$NR$24+1)*($NS$24-181+1)/$NU$24,$NN$24/$NT$24)),0)</f>
        <v/>
      </c>
      <c r="GD24" s="402">
        <f>IF(AND(182&gt;=$NR$24,182&lt;=$NS$24),IF($NP$24="Single_Point",IF(182=$NR$24,$NN$24,0),IF($NP$24="Bell_Curve",$NN$24*(182-$NR$24+1)*($NS$24-182+1)/$NU$24,$NN$24/$NT$24)),0)</f>
        <v/>
      </c>
      <c r="GE24" s="402">
        <f>IF(AND(183&gt;=$NR$24,183&lt;=$NS$24),IF($NP$24="Single_Point",IF(183=$NR$24,$NN$24,0),IF($NP$24="Bell_Curve",$NN$24*(183-$NR$24+1)*($NS$24-183+1)/$NU$24,$NN$24/$NT$24)),0)</f>
        <v/>
      </c>
      <c r="GF24" s="402">
        <f>IF(AND(184&gt;=$NR$24,184&lt;=$NS$24),IF($NP$24="Single_Point",IF(184=$NR$24,$NN$24,0),IF($NP$24="Bell_Curve",$NN$24*(184-$NR$24+1)*($NS$24-184+1)/$NU$24,$NN$24/$NT$24)),0)</f>
        <v/>
      </c>
      <c r="GG24" s="402">
        <f>IF(AND(185&gt;=$NR$24,185&lt;=$NS$24),IF($NP$24="Single_Point",IF(185=$NR$24,$NN$24,0),IF($NP$24="Bell_Curve",$NN$24*(185-$NR$24+1)*($NS$24-185+1)/$NU$24,$NN$24/$NT$24)),0)</f>
        <v/>
      </c>
      <c r="GH24" s="402">
        <f>IF(AND(186&gt;=$NR$24,186&lt;=$NS$24),IF($NP$24="Single_Point",IF(186=$NR$24,$NN$24,0),IF($NP$24="Bell_Curve",$NN$24*(186-$NR$24+1)*($NS$24-186+1)/$NU$24,$NN$24/$NT$24)),0)</f>
        <v/>
      </c>
      <c r="GI24" s="402">
        <f>IF(AND(187&gt;=$NR$24,187&lt;=$NS$24),IF($NP$24="Single_Point",IF(187=$NR$24,$NN$24,0),IF($NP$24="Bell_Curve",$NN$24*(187-$NR$24+1)*($NS$24-187+1)/$NU$24,$NN$24/$NT$24)),0)</f>
        <v/>
      </c>
      <c r="GJ24" s="402">
        <f>IF(AND(188&gt;=$NR$24,188&lt;=$NS$24),IF($NP$24="Single_Point",IF(188=$NR$24,$NN$24,0),IF($NP$24="Bell_Curve",$NN$24*(188-$NR$24+1)*($NS$24-188+1)/$NU$24,$NN$24/$NT$24)),0)</f>
        <v/>
      </c>
      <c r="GK24" s="402">
        <f>IF(AND(189&gt;=$NR$24,189&lt;=$NS$24),IF($NP$24="Single_Point",IF(189=$NR$24,$NN$24,0),IF($NP$24="Bell_Curve",$NN$24*(189-$NR$24+1)*($NS$24-189+1)/$NU$24,$NN$24/$NT$24)),0)</f>
        <v/>
      </c>
      <c r="GL24" s="402">
        <f>IF(AND(190&gt;=$NR$24,190&lt;=$NS$24),IF($NP$24="Single_Point",IF(190=$NR$24,$NN$24,0),IF($NP$24="Bell_Curve",$NN$24*(190-$NR$24+1)*($NS$24-190+1)/$NU$24,$NN$24/$NT$24)),0)</f>
        <v/>
      </c>
      <c r="GM24" s="402">
        <f>IF(AND(191&gt;=$NR$24,191&lt;=$NS$24),IF($NP$24="Single_Point",IF(191=$NR$24,$NN$24,0),IF($NP$24="Bell_Curve",$NN$24*(191-$NR$24+1)*($NS$24-191+1)/$NU$24,$NN$24/$NT$24)),0)</f>
        <v/>
      </c>
      <c r="GN24" s="402">
        <f>IF(AND(192&gt;=$NR$24,192&lt;=$NS$24),IF($NP$24="Single_Point",IF(192=$NR$24,$NN$24,0),IF($NP$24="Bell_Curve",$NN$24*(192-$NR$24+1)*($NS$24-192+1)/$NU$24,$NN$24/$NT$24)),0)</f>
        <v/>
      </c>
      <c r="GO24" s="402">
        <f>IF(AND(193&gt;=$NR$24,193&lt;=$NS$24),IF($NP$24="Single_Point",IF(193=$NR$24,$NN$24,0),IF($NP$24="Bell_Curve",$NN$24*(193-$NR$24+1)*($NS$24-193+1)/$NU$24,$NN$24/$NT$24)),0)</f>
        <v/>
      </c>
      <c r="GP24" s="402">
        <f>IF(AND(194&gt;=$NR$24,194&lt;=$NS$24),IF($NP$24="Single_Point",IF(194=$NR$24,$NN$24,0),IF($NP$24="Bell_Curve",$NN$24*(194-$NR$24+1)*($NS$24-194+1)/$NU$24,$NN$24/$NT$24)),0)</f>
        <v/>
      </c>
      <c r="GQ24" s="402">
        <f>IF(AND(195&gt;=$NR$24,195&lt;=$NS$24),IF($NP$24="Single_Point",IF(195=$NR$24,$NN$24,0),IF($NP$24="Bell_Curve",$NN$24*(195-$NR$24+1)*($NS$24-195+1)/$NU$24,$NN$24/$NT$24)),0)</f>
        <v/>
      </c>
      <c r="GR24" s="402">
        <f>IF(AND(196&gt;=$NR$24,196&lt;=$NS$24),IF($NP$24="Single_Point",IF(196=$NR$24,$NN$24,0),IF($NP$24="Bell_Curve",$NN$24*(196-$NR$24+1)*($NS$24-196+1)/$NU$24,$NN$24/$NT$24)),0)</f>
        <v/>
      </c>
      <c r="GS24" s="402">
        <f>IF(AND(197&gt;=$NR$24,197&lt;=$NS$24),IF($NP$24="Single_Point",IF(197=$NR$24,$NN$24,0),IF($NP$24="Bell_Curve",$NN$24*(197-$NR$24+1)*($NS$24-197+1)/$NU$24,$NN$24/$NT$24)),0)</f>
        <v/>
      </c>
      <c r="GT24" s="402">
        <f>IF(AND(198&gt;=$NR$24,198&lt;=$NS$24),IF($NP$24="Single_Point",IF(198=$NR$24,$NN$24,0),IF($NP$24="Bell_Curve",$NN$24*(198-$NR$24+1)*($NS$24-198+1)/$NU$24,$NN$24/$NT$24)),0)</f>
        <v/>
      </c>
      <c r="GU24" s="402">
        <f>IF(AND(199&gt;=$NR$24,199&lt;=$NS$24),IF($NP$24="Single_Point",IF(199=$NR$24,$NN$24,0),IF($NP$24="Bell_Curve",$NN$24*(199-$NR$24+1)*($NS$24-199+1)/$NU$24,$NN$24/$NT$24)),0)</f>
        <v/>
      </c>
      <c r="GV24" s="402">
        <f>IF(AND(200&gt;=$NR$24,200&lt;=$NS$24),IF($NP$24="Single_Point",IF(200=$NR$24,$NN$24,0),IF($NP$24="Bell_Curve",$NN$24*(200-$NR$24+1)*($NS$24-200+1)/$NU$24,$NN$24/$NT$24)),0)</f>
        <v/>
      </c>
      <c r="GW24" s="402">
        <f>IF(AND(201&gt;=$NR$24,201&lt;=$NS$24),IF($NP$24="Single_Point",IF(201=$NR$24,$NN$24,0),IF($NP$24="Bell_Curve",$NN$24*(201-$NR$24+1)*($NS$24-201+1)/$NU$24,$NN$24/$NT$24)),0)</f>
        <v/>
      </c>
      <c r="GX24" s="402">
        <f>IF(AND(202&gt;=$NR$24,202&lt;=$NS$24),IF($NP$24="Single_Point",IF(202=$NR$24,$NN$24,0),IF($NP$24="Bell_Curve",$NN$24*(202-$NR$24+1)*($NS$24-202+1)/$NU$24,$NN$24/$NT$24)),0)</f>
        <v/>
      </c>
      <c r="GY24" s="402">
        <f>IF(AND(203&gt;=$NR$24,203&lt;=$NS$24),IF($NP$24="Single_Point",IF(203=$NR$24,$NN$24,0),IF($NP$24="Bell_Curve",$NN$24*(203-$NR$24+1)*($NS$24-203+1)/$NU$24,$NN$24/$NT$24)),0)</f>
        <v/>
      </c>
      <c r="GZ24" s="402">
        <f>IF(AND(204&gt;=$NR$24,204&lt;=$NS$24),IF($NP$24="Single_Point",IF(204=$NR$24,$NN$24,0),IF($NP$24="Bell_Curve",$NN$24*(204-$NR$24+1)*($NS$24-204+1)/$NU$24,$NN$24/$NT$24)),0)</f>
        <v/>
      </c>
      <c r="HA24" s="402">
        <f>IF(AND(205&gt;=$NR$24,205&lt;=$NS$24),IF($NP$24="Single_Point",IF(205=$NR$24,$NN$24,0),IF($NP$24="Bell_Curve",$NN$24*(205-$NR$24+1)*($NS$24-205+1)/$NU$24,$NN$24/$NT$24)),0)</f>
        <v/>
      </c>
      <c r="HB24" s="402">
        <f>IF(AND(206&gt;=$NR$24,206&lt;=$NS$24),IF($NP$24="Single_Point",IF(206=$NR$24,$NN$24,0),IF($NP$24="Bell_Curve",$NN$24*(206-$NR$24+1)*($NS$24-206+1)/$NU$24,$NN$24/$NT$24)),0)</f>
        <v/>
      </c>
      <c r="HC24" s="402">
        <f>IF(AND(207&gt;=$NR$24,207&lt;=$NS$24),IF($NP$24="Single_Point",IF(207=$NR$24,$NN$24,0),IF($NP$24="Bell_Curve",$NN$24*(207-$NR$24+1)*($NS$24-207+1)/$NU$24,$NN$24/$NT$24)),0)</f>
        <v/>
      </c>
      <c r="HD24" s="402">
        <f>IF(AND(208&gt;=$NR$24,208&lt;=$NS$24),IF($NP$24="Single_Point",IF(208=$NR$24,$NN$24,0),IF($NP$24="Bell_Curve",$NN$24*(208-$NR$24+1)*($NS$24-208+1)/$NU$24,$NN$24/$NT$24)),0)</f>
        <v/>
      </c>
      <c r="HE24" s="402">
        <f>IF(AND(209&gt;=$NR$24,209&lt;=$NS$24),IF($NP$24="Single_Point",IF(209=$NR$24,$NN$24,0),IF($NP$24="Bell_Curve",$NN$24*(209-$NR$24+1)*($NS$24-209+1)/$NU$24,$NN$24/$NT$24)),0)</f>
        <v/>
      </c>
      <c r="HF24" s="402">
        <f>IF(AND(210&gt;=$NR$24,210&lt;=$NS$24),IF($NP$24="Single_Point",IF(210=$NR$24,$NN$24,0),IF($NP$24="Bell_Curve",$NN$24*(210-$NR$24+1)*($NS$24-210+1)/$NU$24,$NN$24/$NT$24)),0)</f>
        <v/>
      </c>
      <c r="HG24" s="402">
        <f>IF(AND(211&gt;=$NR$24,211&lt;=$NS$24),IF($NP$24="Single_Point",IF(211=$NR$24,$NN$24,0),IF($NP$24="Bell_Curve",$NN$24*(211-$NR$24+1)*($NS$24-211+1)/$NU$24,$NN$24/$NT$24)),0)</f>
        <v/>
      </c>
      <c r="HH24" s="402">
        <f>IF(AND(212&gt;=$NR$24,212&lt;=$NS$24),IF($NP$24="Single_Point",IF(212=$NR$24,$NN$24,0),IF($NP$24="Bell_Curve",$NN$24*(212-$NR$24+1)*($NS$24-212+1)/$NU$24,$NN$24/$NT$24)),0)</f>
        <v/>
      </c>
      <c r="HI24" s="402">
        <f>IF(AND(213&gt;=$NR$24,213&lt;=$NS$24),IF($NP$24="Single_Point",IF(213=$NR$24,$NN$24,0),IF($NP$24="Bell_Curve",$NN$24*(213-$NR$24+1)*($NS$24-213+1)/$NU$24,$NN$24/$NT$24)),0)</f>
        <v/>
      </c>
      <c r="HJ24" s="402">
        <f>IF(AND(214&gt;=$NR$24,214&lt;=$NS$24),IF($NP$24="Single_Point",IF(214=$NR$24,$NN$24,0),IF($NP$24="Bell_Curve",$NN$24*(214-$NR$24+1)*($NS$24-214+1)/$NU$24,$NN$24/$NT$24)),0)</f>
        <v/>
      </c>
      <c r="HK24" s="402">
        <f>IF(AND(215&gt;=$NR$24,215&lt;=$NS$24),IF($NP$24="Single_Point",IF(215=$NR$24,$NN$24,0),IF($NP$24="Bell_Curve",$NN$24*(215-$NR$24+1)*($NS$24-215+1)/$NU$24,$NN$24/$NT$24)),0)</f>
        <v/>
      </c>
      <c r="HL24" s="402">
        <f>IF(AND(216&gt;=$NR$24,216&lt;=$NS$24),IF($NP$24="Single_Point",IF(216=$NR$24,$NN$24,0),IF($NP$24="Bell_Curve",$NN$24*(216-$NR$24+1)*($NS$24-216+1)/$NU$24,$NN$24/$NT$24)),0)</f>
        <v/>
      </c>
      <c r="HM24" s="402">
        <f>IF(AND(217&gt;=$NR$24,217&lt;=$NS$24),IF($NP$24="Single_Point",IF(217=$NR$24,$NN$24,0),IF($NP$24="Bell_Curve",$NN$24*(217-$NR$24+1)*($NS$24-217+1)/$NU$24,$NN$24/$NT$24)),0)</f>
        <v/>
      </c>
      <c r="HN24" s="402">
        <f>IF(AND(218&gt;=$NR$24,218&lt;=$NS$24),IF($NP$24="Single_Point",IF(218=$NR$24,$NN$24,0),IF($NP$24="Bell_Curve",$NN$24*(218-$NR$24+1)*($NS$24-218+1)/$NU$24,$NN$24/$NT$24)),0)</f>
        <v/>
      </c>
      <c r="HO24" s="402">
        <f>IF(AND(219&gt;=$NR$24,219&lt;=$NS$24),IF($NP$24="Single_Point",IF(219=$NR$24,$NN$24,0),IF($NP$24="Bell_Curve",$NN$24*(219-$NR$24+1)*($NS$24-219+1)/$NU$24,$NN$24/$NT$24)),0)</f>
        <v/>
      </c>
      <c r="HP24" s="402">
        <f>IF(AND(220&gt;=$NR$24,220&lt;=$NS$24),IF($NP$24="Single_Point",IF(220=$NR$24,$NN$24,0),IF($NP$24="Bell_Curve",$NN$24*(220-$NR$24+1)*($NS$24-220+1)/$NU$24,$NN$24/$NT$24)),0)</f>
        <v/>
      </c>
      <c r="HQ24" s="402">
        <f>IF(AND(221&gt;=$NR$24,221&lt;=$NS$24),IF($NP$24="Single_Point",IF(221=$NR$24,$NN$24,0),IF($NP$24="Bell_Curve",$NN$24*(221-$NR$24+1)*($NS$24-221+1)/$NU$24,$NN$24/$NT$24)),0)</f>
        <v/>
      </c>
      <c r="HR24" s="402">
        <f>IF(AND(222&gt;=$NR$24,222&lt;=$NS$24),IF($NP$24="Single_Point",IF(222=$NR$24,$NN$24,0),IF($NP$24="Bell_Curve",$NN$24*(222-$NR$24+1)*($NS$24-222+1)/$NU$24,$NN$24/$NT$24)),0)</f>
        <v/>
      </c>
      <c r="HS24" s="402">
        <f>IF(AND(223&gt;=$NR$24,223&lt;=$NS$24),IF($NP$24="Single_Point",IF(223=$NR$24,$NN$24,0),IF($NP$24="Bell_Curve",$NN$24*(223-$NR$24+1)*($NS$24-223+1)/$NU$24,$NN$24/$NT$24)),0)</f>
        <v/>
      </c>
      <c r="HT24" s="402">
        <f>IF(AND(224&gt;=$NR$24,224&lt;=$NS$24),IF($NP$24="Single_Point",IF(224=$NR$24,$NN$24,0),IF($NP$24="Bell_Curve",$NN$24*(224-$NR$24+1)*($NS$24-224+1)/$NU$24,$NN$24/$NT$24)),0)</f>
        <v/>
      </c>
      <c r="HU24" s="402">
        <f>IF(AND(225&gt;=$NR$24,225&lt;=$NS$24),IF($NP$24="Single_Point",IF(225=$NR$24,$NN$24,0),IF($NP$24="Bell_Curve",$NN$24*(225-$NR$24+1)*($NS$24-225+1)/$NU$24,$NN$24/$NT$24)),0)</f>
        <v/>
      </c>
      <c r="HV24" s="402">
        <f>IF(AND(226&gt;=$NR$24,226&lt;=$NS$24),IF($NP$24="Single_Point",IF(226=$NR$24,$NN$24,0),IF($NP$24="Bell_Curve",$NN$24*(226-$NR$24+1)*($NS$24-226+1)/$NU$24,$NN$24/$NT$24)),0)</f>
        <v/>
      </c>
      <c r="HW24" s="402">
        <f>IF(AND(227&gt;=$NR$24,227&lt;=$NS$24),IF($NP$24="Single_Point",IF(227=$NR$24,$NN$24,0),IF($NP$24="Bell_Curve",$NN$24*(227-$NR$24+1)*($NS$24-227+1)/$NU$24,$NN$24/$NT$24)),0)</f>
        <v/>
      </c>
      <c r="HX24" s="402">
        <f>IF(AND(228&gt;=$NR$24,228&lt;=$NS$24),IF($NP$24="Single_Point",IF(228=$NR$24,$NN$24,0),IF($NP$24="Bell_Curve",$NN$24*(228-$NR$24+1)*($NS$24-228+1)/$NU$24,$NN$24/$NT$24)),0)</f>
        <v/>
      </c>
      <c r="HY24" s="402">
        <f>IF(AND(229&gt;=$NR$24,229&lt;=$NS$24),IF($NP$24="Single_Point",IF(229=$NR$24,$NN$24,0),IF($NP$24="Bell_Curve",$NN$24*(229-$NR$24+1)*($NS$24-229+1)/$NU$24,$NN$24/$NT$24)),0)</f>
        <v/>
      </c>
      <c r="HZ24" s="402">
        <f>IF(AND(230&gt;=$NR$24,230&lt;=$NS$24),IF($NP$24="Single_Point",IF(230=$NR$24,$NN$24,0),IF($NP$24="Bell_Curve",$NN$24*(230-$NR$24+1)*($NS$24-230+1)/$NU$24,$NN$24/$NT$24)),0)</f>
        <v/>
      </c>
      <c r="IA24" s="402">
        <f>IF(AND(231&gt;=$NR$24,231&lt;=$NS$24),IF($NP$24="Single_Point",IF(231=$NR$24,$NN$24,0),IF($NP$24="Bell_Curve",$NN$24*(231-$NR$24+1)*($NS$24-231+1)/$NU$24,$NN$24/$NT$24)),0)</f>
        <v/>
      </c>
      <c r="IB24" s="402">
        <f>IF(AND(232&gt;=$NR$24,232&lt;=$NS$24),IF($NP$24="Single_Point",IF(232=$NR$24,$NN$24,0),IF($NP$24="Bell_Curve",$NN$24*(232-$NR$24+1)*($NS$24-232+1)/$NU$24,$NN$24/$NT$24)),0)</f>
        <v/>
      </c>
      <c r="IC24" s="402">
        <f>IF(AND(233&gt;=$NR$24,233&lt;=$NS$24),IF($NP$24="Single_Point",IF(233=$NR$24,$NN$24,0),IF($NP$24="Bell_Curve",$NN$24*(233-$NR$24+1)*($NS$24-233+1)/$NU$24,$NN$24/$NT$24)),0)</f>
        <v/>
      </c>
      <c r="ID24" s="402">
        <f>IF(AND(234&gt;=$NR$24,234&lt;=$NS$24),IF($NP$24="Single_Point",IF(234=$NR$24,$NN$24,0),IF($NP$24="Bell_Curve",$NN$24*(234-$NR$24+1)*($NS$24-234+1)/$NU$24,$NN$24/$NT$24)),0)</f>
        <v/>
      </c>
      <c r="IE24" s="402">
        <f>IF(AND(235&gt;=$NR$24,235&lt;=$NS$24),IF($NP$24="Single_Point",IF(235=$NR$24,$NN$24,0),IF($NP$24="Bell_Curve",$NN$24*(235-$NR$24+1)*($NS$24-235+1)/$NU$24,$NN$24/$NT$24)),0)</f>
        <v/>
      </c>
      <c r="IF24" s="402">
        <f>IF(AND(236&gt;=$NR$24,236&lt;=$NS$24),IF($NP$24="Single_Point",IF(236=$NR$24,$NN$24,0),IF($NP$24="Bell_Curve",$NN$24*(236-$NR$24+1)*($NS$24-236+1)/$NU$24,$NN$24/$NT$24)),0)</f>
        <v/>
      </c>
      <c r="IG24" s="402">
        <f>IF(AND(237&gt;=$NR$24,237&lt;=$NS$24),IF($NP$24="Single_Point",IF(237=$NR$24,$NN$24,0),IF($NP$24="Bell_Curve",$NN$24*(237-$NR$24+1)*($NS$24-237+1)/$NU$24,$NN$24/$NT$24)),0)</f>
        <v/>
      </c>
      <c r="IH24" s="402">
        <f>IF(AND(238&gt;=$NR$24,238&lt;=$NS$24),IF($NP$24="Single_Point",IF(238=$NR$24,$NN$24,0),IF($NP$24="Bell_Curve",$NN$24*(238-$NR$24+1)*($NS$24-238+1)/$NU$24,$NN$24/$NT$24)),0)</f>
        <v/>
      </c>
      <c r="II24" s="402">
        <f>IF(AND(239&gt;=$NR$24,239&lt;=$NS$24),IF($NP$24="Single_Point",IF(239=$NR$24,$NN$24,0),IF($NP$24="Bell_Curve",$NN$24*(239-$NR$24+1)*($NS$24-239+1)/$NU$24,$NN$24/$NT$24)),0)</f>
        <v/>
      </c>
      <c r="IJ24" s="402">
        <f>IF(AND(240&gt;=$NR$24,240&lt;=$NS$24),IF($NP$24="Single_Point",IF(240=$NR$24,$NN$24,0),IF($NP$24="Bell_Curve",$NN$24*(240-$NR$24+1)*($NS$24-240+1)/$NU$24,$NN$24/$NT$24)),0)</f>
        <v/>
      </c>
      <c r="IK24" s="402">
        <f>IF(AND(241&gt;=$NR$24,241&lt;=$NS$24),IF($NP$24="Single_Point",IF(241=$NR$24,$NN$24,0),IF($NP$24="Bell_Curve",$NN$24*(241-$NR$24+1)*($NS$24-241+1)/$NU$24,$NN$24/$NT$24)),0)</f>
        <v/>
      </c>
      <c r="IL24" s="402">
        <f>IF(AND(242&gt;=$NR$24,242&lt;=$NS$24),IF($NP$24="Single_Point",IF(242=$NR$24,$NN$24,0),IF($NP$24="Bell_Curve",$NN$24*(242-$NR$24+1)*($NS$24-242+1)/$NU$24,$NN$24/$NT$24)),0)</f>
        <v/>
      </c>
      <c r="IM24" s="402">
        <f>IF(AND(243&gt;=$NR$24,243&lt;=$NS$24),IF($NP$24="Single_Point",IF(243=$NR$24,$NN$24,0),IF($NP$24="Bell_Curve",$NN$24*(243-$NR$24+1)*($NS$24-243+1)/$NU$24,$NN$24/$NT$24)),0)</f>
        <v/>
      </c>
      <c r="IN24" s="402">
        <f>IF(AND(244&gt;=$NR$24,244&lt;=$NS$24),IF($NP$24="Single_Point",IF(244=$NR$24,$NN$24,0),IF($NP$24="Bell_Curve",$NN$24*(244-$NR$24+1)*($NS$24-244+1)/$NU$24,$NN$24/$NT$24)),0)</f>
        <v/>
      </c>
      <c r="IO24" s="402">
        <f>IF(AND(245&gt;=$NR$24,245&lt;=$NS$24),IF($NP$24="Single_Point",IF(245=$NR$24,$NN$24,0),IF($NP$24="Bell_Curve",$NN$24*(245-$NR$24+1)*($NS$24-245+1)/$NU$24,$NN$24/$NT$24)),0)</f>
        <v/>
      </c>
      <c r="IP24" s="402">
        <f>IF(AND(246&gt;=$NR$24,246&lt;=$NS$24),IF($NP$24="Single_Point",IF(246=$NR$24,$NN$24,0),IF($NP$24="Bell_Curve",$NN$24*(246-$NR$24+1)*($NS$24-246+1)/$NU$24,$NN$24/$NT$24)),0)</f>
        <v/>
      </c>
      <c r="IQ24" s="402">
        <f>IF(AND(247&gt;=$NR$24,247&lt;=$NS$24),IF($NP$24="Single_Point",IF(247=$NR$24,$NN$24,0),IF($NP$24="Bell_Curve",$NN$24*(247-$NR$24+1)*($NS$24-247+1)/$NU$24,$NN$24/$NT$24)),0)</f>
        <v/>
      </c>
      <c r="IR24" s="402">
        <f>IF(AND(248&gt;=$NR$24,248&lt;=$NS$24),IF($NP$24="Single_Point",IF(248=$NR$24,$NN$24,0),IF($NP$24="Bell_Curve",$NN$24*(248-$NR$24+1)*($NS$24-248+1)/$NU$24,$NN$24/$NT$24)),0)</f>
        <v/>
      </c>
      <c r="IS24" s="402">
        <f>IF(AND(249&gt;=$NR$24,249&lt;=$NS$24),IF($NP$24="Single_Point",IF(249=$NR$24,$NN$24,0),IF($NP$24="Bell_Curve",$NN$24*(249-$NR$24+1)*($NS$24-249+1)/$NU$24,$NN$24/$NT$24)),0)</f>
        <v/>
      </c>
      <c r="IT24" s="402">
        <f>IF(AND(250&gt;=$NR$24,250&lt;=$NS$24),IF($NP$24="Single_Point",IF(250=$NR$24,$NN$24,0),IF($NP$24="Bell_Curve",$NN$24*(250-$NR$24+1)*($NS$24-250+1)/$NU$24,$NN$24/$NT$24)),0)</f>
        <v/>
      </c>
      <c r="IU24" s="402">
        <f>IF(AND(251&gt;=$NR$24,251&lt;=$NS$24),IF($NP$24="Single_Point",IF(251=$NR$24,$NN$24,0),IF($NP$24="Bell_Curve",$NN$24*(251-$NR$24+1)*($NS$24-251+1)/$NU$24,$NN$24/$NT$24)),0)</f>
        <v/>
      </c>
      <c r="IV24" s="402">
        <f>IF(AND(252&gt;=$NR$24,252&lt;=$NS$24),IF($NP$24="Single_Point",IF(252=$NR$24,$NN$24,0),IF($NP$24="Bell_Curve",$NN$24*(252-$NR$24+1)*($NS$24-252+1)/$NU$24,$NN$24/$NT$24)),0)</f>
        <v/>
      </c>
      <c r="IW24" s="402">
        <f>IF(AND(253&gt;=$NR$24,253&lt;=$NS$24),IF($NP$24="Single_Point",IF(253=$NR$24,$NN$24,0),IF($NP$24="Bell_Curve",$NN$24*(253-$NR$24+1)*($NS$24-253+1)/$NU$24,$NN$24/$NT$24)),0)</f>
        <v/>
      </c>
      <c r="IX24" s="402">
        <f>IF(AND(254&gt;=$NR$24,254&lt;=$NS$24),IF($NP$24="Single_Point",IF(254=$NR$24,$NN$24,0),IF($NP$24="Bell_Curve",$NN$24*(254-$NR$24+1)*($NS$24-254+1)/$NU$24,$NN$24/$NT$24)),0)</f>
        <v/>
      </c>
      <c r="IY24" s="402">
        <f>IF(AND(255&gt;=$NR$24,255&lt;=$NS$24),IF($NP$24="Single_Point",IF(255=$NR$24,$NN$24,0),IF($NP$24="Bell_Curve",$NN$24*(255-$NR$24+1)*($NS$24-255+1)/$NU$24,$NN$24/$NT$24)),0)</f>
        <v/>
      </c>
      <c r="IZ24" s="402">
        <f>IF(AND(256&gt;=$NR$24,256&lt;=$NS$24),IF($NP$24="Single_Point",IF(256=$NR$24,$NN$24,0),IF($NP$24="Bell_Curve",$NN$24*(256-$NR$24+1)*($NS$24-256+1)/$NU$24,$NN$24/$NT$24)),0)</f>
        <v/>
      </c>
      <c r="JA24" s="402">
        <f>IF(AND(257&gt;=$NR$24,257&lt;=$NS$24),IF($NP$24="Single_Point",IF(257=$NR$24,$NN$24,0),IF($NP$24="Bell_Curve",$NN$24*(257-$NR$24+1)*($NS$24-257+1)/$NU$24,$NN$24/$NT$24)),0)</f>
        <v/>
      </c>
      <c r="JB24" s="402">
        <f>IF(AND(258&gt;=$NR$24,258&lt;=$NS$24),IF($NP$24="Single_Point",IF(258=$NR$24,$NN$24,0),IF($NP$24="Bell_Curve",$NN$24*(258-$NR$24+1)*($NS$24-258+1)/$NU$24,$NN$24/$NT$24)),0)</f>
        <v/>
      </c>
      <c r="JC24" s="402">
        <f>IF(AND(259&gt;=$NR$24,259&lt;=$NS$24),IF($NP$24="Single_Point",IF(259=$NR$24,$NN$24,0),IF($NP$24="Bell_Curve",$NN$24*(259-$NR$24+1)*($NS$24-259+1)/$NU$24,$NN$24/$NT$24)),0)</f>
        <v/>
      </c>
      <c r="JD24" s="402">
        <f>IF(AND(260&gt;=$NR$24,260&lt;=$NS$24),IF($NP$24="Single_Point",IF(260=$NR$24,$NN$24,0),IF($NP$24="Bell_Curve",$NN$24*(260-$NR$24+1)*($NS$24-260+1)/$NU$24,$NN$24/$NT$24)),0)</f>
        <v/>
      </c>
      <c r="JE24" s="402">
        <f>IF(AND(261&gt;=$NR$24,261&lt;=$NS$24),IF($NP$24="Single_Point",IF(261=$NR$24,$NN$24,0),IF($NP$24="Bell_Curve",$NN$24*(261-$NR$24+1)*($NS$24-261+1)/$NU$24,$NN$24/$NT$24)),0)</f>
        <v/>
      </c>
      <c r="JF24" s="402">
        <f>IF(AND(262&gt;=$NR$24,262&lt;=$NS$24),IF($NP$24="Single_Point",IF(262=$NR$24,$NN$24,0),IF($NP$24="Bell_Curve",$NN$24*(262-$NR$24+1)*($NS$24-262+1)/$NU$24,$NN$24/$NT$24)),0)</f>
        <v/>
      </c>
      <c r="JG24" s="402">
        <f>IF(AND(263&gt;=$NR$24,263&lt;=$NS$24),IF($NP$24="Single_Point",IF(263=$NR$24,$NN$24,0),IF($NP$24="Bell_Curve",$NN$24*(263-$NR$24+1)*($NS$24-263+1)/$NU$24,$NN$24/$NT$24)),0)</f>
        <v/>
      </c>
      <c r="JH24" s="402">
        <f>IF(AND(264&gt;=$NR$24,264&lt;=$NS$24),IF($NP$24="Single_Point",IF(264=$NR$24,$NN$24,0),IF($NP$24="Bell_Curve",$NN$24*(264-$NR$24+1)*($NS$24-264+1)/$NU$24,$NN$24/$NT$24)),0)</f>
        <v/>
      </c>
      <c r="JI24" s="402">
        <f>IF(AND(265&gt;=$NR$24,265&lt;=$NS$24),IF($NP$24="Single_Point",IF(265=$NR$24,$NN$24,0),IF($NP$24="Bell_Curve",$NN$24*(265-$NR$24+1)*($NS$24-265+1)/$NU$24,$NN$24/$NT$24)),0)</f>
        <v/>
      </c>
      <c r="JJ24" s="402">
        <f>IF(AND(266&gt;=$NR$24,266&lt;=$NS$24),IF($NP$24="Single_Point",IF(266=$NR$24,$NN$24,0),IF($NP$24="Bell_Curve",$NN$24*(266-$NR$24+1)*($NS$24-266+1)/$NU$24,$NN$24/$NT$24)),0)</f>
        <v/>
      </c>
      <c r="JK24" s="402">
        <f>IF(AND(267&gt;=$NR$24,267&lt;=$NS$24),IF($NP$24="Single_Point",IF(267=$NR$24,$NN$24,0),IF($NP$24="Bell_Curve",$NN$24*(267-$NR$24+1)*($NS$24-267+1)/$NU$24,$NN$24/$NT$24)),0)</f>
        <v/>
      </c>
      <c r="JL24" s="402">
        <f>IF(AND(268&gt;=$NR$24,268&lt;=$NS$24),IF($NP$24="Single_Point",IF(268=$NR$24,$NN$24,0),IF($NP$24="Bell_Curve",$NN$24*(268-$NR$24+1)*($NS$24-268+1)/$NU$24,$NN$24/$NT$24)),0)</f>
        <v/>
      </c>
      <c r="JM24" s="402">
        <f>IF(AND(269&gt;=$NR$24,269&lt;=$NS$24),IF($NP$24="Single_Point",IF(269=$NR$24,$NN$24,0),IF($NP$24="Bell_Curve",$NN$24*(269-$NR$24+1)*($NS$24-269+1)/$NU$24,$NN$24/$NT$24)),0)</f>
        <v/>
      </c>
      <c r="JN24" s="402">
        <f>IF(AND(270&gt;=$NR$24,270&lt;=$NS$24),IF($NP$24="Single_Point",IF(270=$NR$24,$NN$24,0),IF($NP$24="Bell_Curve",$NN$24*(270-$NR$24+1)*($NS$24-270+1)/$NU$24,$NN$24/$NT$24)),0)</f>
        <v/>
      </c>
      <c r="JO24" s="402">
        <f>IF(AND(271&gt;=$NR$24,271&lt;=$NS$24),IF($NP$24="Single_Point",IF(271=$NR$24,$NN$24,0),IF($NP$24="Bell_Curve",$NN$24*(271-$NR$24+1)*($NS$24-271+1)/$NU$24,$NN$24/$NT$24)),0)</f>
        <v/>
      </c>
      <c r="JP24" s="402">
        <f>IF(AND(272&gt;=$NR$24,272&lt;=$NS$24),IF($NP$24="Single_Point",IF(272=$NR$24,$NN$24,0),IF($NP$24="Bell_Curve",$NN$24*(272-$NR$24+1)*($NS$24-272+1)/$NU$24,$NN$24/$NT$24)),0)</f>
        <v/>
      </c>
      <c r="JQ24" s="402">
        <f>IF(AND(273&gt;=$NR$24,273&lt;=$NS$24),IF($NP$24="Single_Point",IF(273=$NR$24,$NN$24,0),IF($NP$24="Bell_Curve",$NN$24*(273-$NR$24+1)*($NS$24-273+1)/$NU$24,$NN$24/$NT$24)),0)</f>
        <v/>
      </c>
      <c r="JR24" s="402">
        <f>IF(AND(274&gt;=$NR$24,274&lt;=$NS$24),IF($NP$24="Single_Point",IF(274=$NR$24,$NN$24,0),IF($NP$24="Bell_Curve",$NN$24*(274-$NR$24+1)*($NS$24-274+1)/$NU$24,$NN$24/$NT$24)),0)</f>
        <v/>
      </c>
      <c r="JS24" s="402">
        <f>IF(AND(275&gt;=$NR$24,275&lt;=$NS$24),IF($NP$24="Single_Point",IF(275=$NR$24,$NN$24,0),IF($NP$24="Bell_Curve",$NN$24*(275-$NR$24+1)*($NS$24-275+1)/$NU$24,$NN$24/$NT$24)),0)</f>
        <v/>
      </c>
      <c r="JT24" s="402">
        <f>IF(AND(276&gt;=$NR$24,276&lt;=$NS$24),IF($NP$24="Single_Point",IF(276=$NR$24,$NN$24,0),IF($NP$24="Bell_Curve",$NN$24*(276-$NR$24+1)*($NS$24-276+1)/$NU$24,$NN$24/$NT$24)),0)</f>
        <v/>
      </c>
      <c r="JU24" s="402">
        <f>IF(AND(277&gt;=$NR$24,277&lt;=$NS$24),IF($NP$24="Single_Point",IF(277=$NR$24,$NN$24,0),IF($NP$24="Bell_Curve",$NN$24*(277-$NR$24+1)*($NS$24-277+1)/$NU$24,$NN$24/$NT$24)),0)</f>
        <v/>
      </c>
      <c r="JV24" s="402">
        <f>IF(AND(278&gt;=$NR$24,278&lt;=$NS$24),IF($NP$24="Single_Point",IF(278=$NR$24,$NN$24,0),IF($NP$24="Bell_Curve",$NN$24*(278-$NR$24+1)*($NS$24-278+1)/$NU$24,$NN$24/$NT$24)),0)</f>
        <v/>
      </c>
      <c r="JW24" s="402">
        <f>IF(AND(279&gt;=$NR$24,279&lt;=$NS$24),IF($NP$24="Single_Point",IF(279=$NR$24,$NN$24,0),IF($NP$24="Bell_Curve",$NN$24*(279-$NR$24+1)*($NS$24-279+1)/$NU$24,$NN$24/$NT$24)),0)</f>
        <v/>
      </c>
      <c r="JX24" s="402">
        <f>IF(AND(280&gt;=$NR$24,280&lt;=$NS$24),IF($NP$24="Single_Point",IF(280=$NR$24,$NN$24,0),IF($NP$24="Bell_Curve",$NN$24*(280-$NR$24+1)*($NS$24-280+1)/$NU$24,$NN$24/$NT$24)),0)</f>
        <v/>
      </c>
      <c r="JY24" s="402">
        <f>IF(AND(281&gt;=$NR$24,281&lt;=$NS$24),IF($NP$24="Single_Point",IF(281=$NR$24,$NN$24,0),IF($NP$24="Bell_Curve",$NN$24*(281-$NR$24+1)*($NS$24-281+1)/$NU$24,$NN$24/$NT$24)),0)</f>
        <v/>
      </c>
      <c r="JZ24" s="402">
        <f>IF(AND(282&gt;=$NR$24,282&lt;=$NS$24),IF($NP$24="Single_Point",IF(282=$NR$24,$NN$24,0),IF($NP$24="Bell_Curve",$NN$24*(282-$NR$24+1)*($NS$24-282+1)/$NU$24,$NN$24/$NT$24)),0)</f>
        <v/>
      </c>
      <c r="KA24" s="402">
        <f>IF(AND(283&gt;=$NR$24,283&lt;=$NS$24),IF($NP$24="Single_Point",IF(283=$NR$24,$NN$24,0),IF($NP$24="Bell_Curve",$NN$24*(283-$NR$24+1)*($NS$24-283+1)/$NU$24,$NN$24/$NT$24)),0)</f>
        <v/>
      </c>
      <c r="KB24" s="402">
        <f>IF(AND(284&gt;=$NR$24,284&lt;=$NS$24),IF($NP$24="Single_Point",IF(284=$NR$24,$NN$24,0),IF($NP$24="Bell_Curve",$NN$24*(284-$NR$24+1)*($NS$24-284+1)/$NU$24,$NN$24/$NT$24)),0)</f>
        <v/>
      </c>
      <c r="KC24" s="402">
        <f>IF(AND(285&gt;=$NR$24,285&lt;=$NS$24),IF($NP$24="Single_Point",IF(285=$NR$24,$NN$24,0),IF($NP$24="Bell_Curve",$NN$24*(285-$NR$24+1)*($NS$24-285+1)/$NU$24,$NN$24/$NT$24)),0)</f>
        <v/>
      </c>
      <c r="KD24" s="402">
        <f>IF(AND(286&gt;=$NR$24,286&lt;=$NS$24),IF($NP$24="Single_Point",IF(286=$NR$24,$NN$24,0),IF($NP$24="Bell_Curve",$NN$24*(286-$NR$24+1)*($NS$24-286+1)/$NU$24,$NN$24/$NT$24)),0)</f>
        <v/>
      </c>
      <c r="KE24" s="402">
        <f>IF(AND(287&gt;=$NR$24,287&lt;=$NS$24),IF($NP$24="Single_Point",IF(287=$NR$24,$NN$24,0),IF($NP$24="Bell_Curve",$NN$24*(287-$NR$24+1)*($NS$24-287+1)/$NU$24,$NN$24/$NT$24)),0)</f>
        <v/>
      </c>
      <c r="KF24" s="402">
        <f>IF(AND(288&gt;=$NR$24,288&lt;=$NS$24),IF($NP$24="Single_Point",IF(288=$NR$24,$NN$24,0),IF($NP$24="Bell_Curve",$NN$24*(288-$NR$24+1)*($NS$24-288+1)/$NU$24,$NN$24/$NT$24)),0)</f>
        <v/>
      </c>
      <c r="KG24" s="402">
        <f>IF(AND(289&gt;=$NR$24,289&lt;=$NS$24),IF($NP$24="Single_Point",IF(289=$NR$24,$NN$24,0),IF($NP$24="Bell_Curve",$NN$24*(289-$NR$24+1)*($NS$24-289+1)/$NU$24,$NN$24/$NT$24)),0)</f>
        <v/>
      </c>
      <c r="KH24" s="402">
        <f>IF(AND(290&gt;=$NR$24,290&lt;=$NS$24),IF($NP$24="Single_Point",IF(290=$NR$24,$NN$24,0),IF($NP$24="Bell_Curve",$NN$24*(290-$NR$24+1)*($NS$24-290+1)/$NU$24,$NN$24/$NT$24)),0)</f>
        <v/>
      </c>
      <c r="KI24" s="402">
        <f>IF(AND(291&gt;=$NR$24,291&lt;=$NS$24),IF($NP$24="Single_Point",IF(291=$NR$24,$NN$24,0),IF($NP$24="Bell_Curve",$NN$24*(291-$NR$24+1)*($NS$24-291+1)/$NU$24,$NN$24/$NT$24)),0)</f>
        <v/>
      </c>
      <c r="KJ24" s="402">
        <f>IF(AND(292&gt;=$NR$24,292&lt;=$NS$24),IF($NP$24="Single_Point",IF(292=$NR$24,$NN$24,0),IF($NP$24="Bell_Curve",$NN$24*(292-$NR$24+1)*($NS$24-292+1)/$NU$24,$NN$24/$NT$24)),0)</f>
        <v/>
      </c>
      <c r="KK24" s="402">
        <f>IF(AND(293&gt;=$NR$24,293&lt;=$NS$24),IF($NP$24="Single_Point",IF(293=$NR$24,$NN$24,0),IF($NP$24="Bell_Curve",$NN$24*(293-$NR$24+1)*($NS$24-293+1)/$NU$24,$NN$24/$NT$24)),0)</f>
        <v/>
      </c>
      <c r="KL24" s="402">
        <f>IF(AND(294&gt;=$NR$24,294&lt;=$NS$24),IF($NP$24="Single_Point",IF(294=$NR$24,$NN$24,0),IF($NP$24="Bell_Curve",$NN$24*(294-$NR$24+1)*($NS$24-294+1)/$NU$24,$NN$24/$NT$24)),0)</f>
        <v/>
      </c>
      <c r="KM24" s="402">
        <f>IF(AND(295&gt;=$NR$24,295&lt;=$NS$24),IF($NP$24="Single_Point",IF(295=$NR$24,$NN$24,0),IF($NP$24="Bell_Curve",$NN$24*(295-$NR$24+1)*($NS$24-295+1)/$NU$24,$NN$24/$NT$24)),0)</f>
        <v/>
      </c>
      <c r="KN24" s="402">
        <f>IF(AND(296&gt;=$NR$24,296&lt;=$NS$24),IF($NP$24="Single_Point",IF(296=$NR$24,$NN$24,0),IF($NP$24="Bell_Curve",$NN$24*(296-$NR$24+1)*($NS$24-296+1)/$NU$24,$NN$24/$NT$24)),0)</f>
        <v/>
      </c>
      <c r="KO24" s="402">
        <f>IF(AND(297&gt;=$NR$24,297&lt;=$NS$24),IF($NP$24="Single_Point",IF(297=$NR$24,$NN$24,0),IF($NP$24="Bell_Curve",$NN$24*(297-$NR$24+1)*($NS$24-297+1)/$NU$24,$NN$24/$NT$24)),0)</f>
        <v/>
      </c>
      <c r="KP24" s="402">
        <f>IF(AND(298&gt;=$NR$24,298&lt;=$NS$24),IF($NP$24="Single_Point",IF(298=$NR$24,$NN$24,0),IF($NP$24="Bell_Curve",$NN$24*(298-$NR$24+1)*($NS$24-298+1)/$NU$24,$NN$24/$NT$24)),0)</f>
        <v/>
      </c>
      <c r="KQ24" s="402">
        <f>IF(AND(299&gt;=$NR$24,299&lt;=$NS$24),IF($NP$24="Single_Point",IF(299=$NR$24,$NN$24,0),IF($NP$24="Bell_Curve",$NN$24*(299-$NR$24+1)*($NS$24-299+1)/$NU$24,$NN$24/$NT$24)),0)</f>
        <v/>
      </c>
      <c r="KR24" s="402">
        <f>IF(AND(300&gt;=$NR$24,300&lt;=$NS$24),IF($NP$24="Single_Point",IF(300=$NR$24,$NN$24,0),IF($NP$24="Bell_Curve",$NN$24*(300-$NR$24+1)*($NS$24-300+1)/$NU$24,$NN$24/$NT$24)),0)</f>
        <v/>
      </c>
      <c r="KS24" s="402">
        <f>IF(AND(301&gt;=$NR$24,301&lt;=$NS$24),IF($NP$24="Single_Point",IF(301=$NR$24,$NN$24,0),IF($NP$24="Bell_Curve",$NN$24*(301-$NR$24+1)*($NS$24-301+1)/$NU$24,$NN$24/$NT$24)),0)</f>
        <v/>
      </c>
      <c r="KT24" s="402">
        <f>IF(AND(302&gt;=$NR$24,302&lt;=$NS$24),IF($NP$24="Single_Point",IF(302=$NR$24,$NN$24,0),IF($NP$24="Bell_Curve",$NN$24*(302-$NR$24+1)*($NS$24-302+1)/$NU$24,$NN$24/$NT$24)),0)</f>
        <v/>
      </c>
      <c r="KU24" s="402">
        <f>IF(AND(303&gt;=$NR$24,303&lt;=$NS$24),IF($NP$24="Single_Point",IF(303=$NR$24,$NN$24,0),IF($NP$24="Bell_Curve",$NN$24*(303-$NR$24+1)*($NS$24-303+1)/$NU$24,$NN$24/$NT$24)),0)</f>
        <v/>
      </c>
      <c r="KV24" s="402">
        <f>IF(AND(304&gt;=$NR$24,304&lt;=$NS$24),IF($NP$24="Single_Point",IF(304=$NR$24,$NN$24,0),IF($NP$24="Bell_Curve",$NN$24*(304-$NR$24+1)*($NS$24-304+1)/$NU$24,$NN$24/$NT$24)),0)</f>
        <v/>
      </c>
      <c r="KW24" s="402">
        <f>IF(AND(305&gt;=$NR$24,305&lt;=$NS$24),IF($NP$24="Single_Point",IF(305=$NR$24,$NN$24,0),IF($NP$24="Bell_Curve",$NN$24*(305-$NR$24+1)*($NS$24-305+1)/$NU$24,$NN$24/$NT$24)),0)</f>
        <v/>
      </c>
      <c r="KX24" s="402">
        <f>IF(AND(306&gt;=$NR$24,306&lt;=$NS$24),IF($NP$24="Single_Point",IF(306=$NR$24,$NN$24,0),IF($NP$24="Bell_Curve",$NN$24*(306-$NR$24+1)*($NS$24-306+1)/$NU$24,$NN$24/$NT$24)),0)</f>
        <v/>
      </c>
      <c r="KY24" s="402">
        <f>IF(AND(307&gt;=$NR$24,307&lt;=$NS$24),IF($NP$24="Single_Point",IF(307=$NR$24,$NN$24,0),IF($NP$24="Bell_Curve",$NN$24*(307-$NR$24+1)*($NS$24-307+1)/$NU$24,$NN$24/$NT$24)),0)</f>
        <v/>
      </c>
      <c r="KZ24" s="402">
        <f>IF(AND(308&gt;=$NR$24,308&lt;=$NS$24),IF($NP$24="Single_Point",IF(308=$NR$24,$NN$24,0),IF($NP$24="Bell_Curve",$NN$24*(308-$NR$24+1)*($NS$24-308+1)/$NU$24,$NN$24/$NT$24)),0)</f>
        <v/>
      </c>
      <c r="LA24" s="402">
        <f>IF(AND(309&gt;=$NR$24,309&lt;=$NS$24),IF($NP$24="Single_Point",IF(309=$NR$24,$NN$24,0),IF($NP$24="Bell_Curve",$NN$24*(309-$NR$24+1)*($NS$24-309+1)/$NU$24,$NN$24/$NT$24)),0)</f>
        <v/>
      </c>
      <c r="LB24" s="402">
        <f>IF(AND(310&gt;=$NR$24,310&lt;=$NS$24),IF($NP$24="Single_Point",IF(310=$NR$24,$NN$24,0),IF($NP$24="Bell_Curve",$NN$24*(310-$NR$24+1)*($NS$24-310+1)/$NU$24,$NN$24/$NT$24)),0)</f>
        <v/>
      </c>
      <c r="LC24" s="402">
        <f>IF(AND(311&gt;=$NR$24,311&lt;=$NS$24),IF($NP$24="Single_Point",IF(311=$NR$24,$NN$24,0),IF($NP$24="Bell_Curve",$NN$24*(311-$NR$24+1)*($NS$24-311+1)/$NU$24,$NN$24/$NT$24)),0)</f>
        <v/>
      </c>
      <c r="LD24" s="402">
        <f>IF(AND(312&gt;=$NR$24,312&lt;=$NS$24),IF($NP$24="Single_Point",IF(312=$NR$24,$NN$24,0),IF($NP$24="Bell_Curve",$NN$24*(312-$NR$24+1)*($NS$24-312+1)/$NU$24,$NN$24/$NT$24)),0)</f>
        <v/>
      </c>
      <c r="LE24" s="402">
        <f>IF(AND(313&gt;=$NR$24,313&lt;=$NS$24),IF($NP$24="Single_Point",IF(313=$NR$24,$NN$24,0),IF($NP$24="Bell_Curve",$NN$24*(313-$NR$24+1)*($NS$24-313+1)/$NU$24,$NN$24/$NT$24)),0)</f>
        <v/>
      </c>
      <c r="LF24" s="402">
        <f>IF(AND(314&gt;=$NR$24,314&lt;=$NS$24),IF($NP$24="Single_Point",IF(314=$NR$24,$NN$24,0),IF($NP$24="Bell_Curve",$NN$24*(314-$NR$24+1)*($NS$24-314+1)/$NU$24,$NN$24/$NT$24)),0)</f>
        <v/>
      </c>
      <c r="LG24" s="402">
        <f>IF(AND(315&gt;=$NR$24,315&lt;=$NS$24),IF($NP$24="Single_Point",IF(315=$NR$24,$NN$24,0),IF($NP$24="Bell_Curve",$NN$24*(315-$NR$24+1)*($NS$24-315+1)/$NU$24,$NN$24/$NT$24)),0)</f>
        <v/>
      </c>
      <c r="LH24" s="402">
        <f>IF(AND(316&gt;=$NR$24,316&lt;=$NS$24),IF($NP$24="Single_Point",IF(316=$NR$24,$NN$24,0),IF($NP$24="Bell_Curve",$NN$24*(316-$NR$24+1)*($NS$24-316+1)/$NU$24,$NN$24/$NT$24)),0)</f>
        <v/>
      </c>
      <c r="LI24" s="402">
        <f>IF(AND(317&gt;=$NR$24,317&lt;=$NS$24),IF($NP$24="Single_Point",IF(317=$NR$24,$NN$24,0),IF($NP$24="Bell_Curve",$NN$24*(317-$NR$24+1)*($NS$24-317+1)/$NU$24,$NN$24/$NT$24)),0)</f>
        <v/>
      </c>
      <c r="LJ24" s="402">
        <f>IF(AND(318&gt;=$NR$24,318&lt;=$NS$24),IF($NP$24="Single_Point",IF(318=$NR$24,$NN$24,0),IF($NP$24="Bell_Curve",$NN$24*(318-$NR$24+1)*($NS$24-318+1)/$NU$24,$NN$24/$NT$24)),0)</f>
        <v/>
      </c>
      <c r="LK24" s="402">
        <f>IF(AND(319&gt;=$NR$24,319&lt;=$NS$24),IF($NP$24="Single_Point",IF(319=$NR$24,$NN$24,0),IF($NP$24="Bell_Curve",$NN$24*(319-$NR$24+1)*($NS$24-319+1)/$NU$24,$NN$24/$NT$24)),0)</f>
        <v/>
      </c>
      <c r="LL24" s="402">
        <f>IF(AND(320&gt;=$NR$24,320&lt;=$NS$24),IF($NP$24="Single_Point",IF(320=$NR$24,$NN$24,0),IF($NP$24="Bell_Curve",$NN$24*(320-$NR$24+1)*($NS$24-320+1)/$NU$24,$NN$24/$NT$24)),0)</f>
        <v/>
      </c>
      <c r="LM24" s="402">
        <f>IF(AND(321&gt;=$NR$24,321&lt;=$NS$24),IF($NP$24="Single_Point",IF(321=$NR$24,$NN$24,0),IF($NP$24="Bell_Curve",$NN$24*(321-$NR$24+1)*($NS$24-321+1)/$NU$24,$NN$24/$NT$24)),0)</f>
        <v/>
      </c>
      <c r="LN24" s="402">
        <f>IF(AND(322&gt;=$NR$24,322&lt;=$NS$24),IF($NP$24="Single_Point",IF(322=$NR$24,$NN$24,0),IF($NP$24="Bell_Curve",$NN$24*(322-$NR$24+1)*($NS$24-322+1)/$NU$24,$NN$24/$NT$24)),0)</f>
        <v/>
      </c>
      <c r="LO24" s="402">
        <f>IF(AND(323&gt;=$NR$24,323&lt;=$NS$24),IF($NP$24="Single_Point",IF(323=$NR$24,$NN$24,0),IF($NP$24="Bell_Curve",$NN$24*(323-$NR$24+1)*($NS$24-323+1)/$NU$24,$NN$24/$NT$24)),0)</f>
        <v/>
      </c>
      <c r="LP24" s="402">
        <f>IF(AND(324&gt;=$NR$24,324&lt;=$NS$24),IF($NP$24="Single_Point",IF(324=$NR$24,$NN$24,0),IF($NP$24="Bell_Curve",$NN$24*(324-$NR$24+1)*($NS$24-324+1)/$NU$24,$NN$24/$NT$24)),0)</f>
        <v/>
      </c>
      <c r="LQ24" s="402">
        <f>IF(AND(325&gt;=$NR$24,325&lt;=$NS$24),IF($NP$24="Single_Point",IF(325=$NR$24,$NN$24,0),IF($NP$24="Bell_Curve",$NN$24*(325-$NR$24+1)*($NS$24-325+1)/$NU$24,$NN$24/$NT$24)),0)</f>
        <v/>
      </c>
      <c r="LR24" s="402">
        <f>IF(AND(326&gt;=$NR$24,326&lt;=$NS$24),IF($NP$24="Single_Point",IF(326=$NR$24,$NN$24,0),IF($NP$24="Bell_Curve",$NN$24*(326-$NR$24+1)*($NS$24-326+1)/$NU$24,$NN$24/$NT$24)),0)</f>
        <v/>
      </c>
      <c r="LS24" s="402">
        <f>IF(AND(327&gt;=$NR$24,327&lt;=$NS$24),IF($NP$24="Single_Point",IF(327=$NR$24,$NN$24,0),IF($NP$24="Bell_Curve",$NN$24*(327-$NR$24+1)*($NS$24-327+1)/$NU$24,$NN$24/$NT$24)),0)</f>
        <v/>
      </c>
      <c r="LT24" s="402">
        <f>IF(AND(328&gt;=$NR$24,328&lt;=$NS$24),IF($NP$24="Single_Point",IF(328=$NR$24,$NN$24,0),IF($NP$24="Bell_Curve",$NN$24*(328-$NR$24+1)*($NS$24-328+1)/$NU$24,$NN$24/$NT$24)),0)</f>
        <v/>
      </c>
      <c r="LU24" s="402">
        <f>IF(AND(329&gt;=$NR$24,329&lt;=$NS$24),IF($NP$24="Single_Point",IF(329=$NR$24,$NN$24,0),IF($NP$24="Bell_Curve",$NN$24*(329-$NR$24+1)*($NS$24-329+1)/$NU$24,$NN$24/$NT$24)),0)</f>
        <v/>
      </c>
      <c r="LV24" s="402">
        <f>IF(AND(330&gt;=$NR$24,330&lt;=$NS$24),IF($NP$24="Single_Point",IF(330=$NR$24,$NN$24,0),IF($NP$24="Bell_Curve",$NN$24*(330-$NR$24+1)*($NS$24-330+1)/$NU$24,$NN$24/$NT$24)),0)</f>
        <v/>
      </c>
      <c r="LW24" s="402">
        <f>IF(AND(331&gt;=$NR$24,331&lt;=$NS$24),IF($NP$24="Single_Point",IF(331=$NR$24,$NN$24,0),IF($NP$24="Bell_Curve",$NN$24*(331-$NR$24+1)*($NS$24-331+1)/$NU$24,$NN$24/$NT$24)),0)</f>
        <v/>
      </c>
      <c r="LX24" s="402">
        <f>IF(AND(332&gt;=$NR$24,332&lt;=$NS$24),IF($NP$24="Single_Point",IF(332=$NR$24,$NN$24,0),IF($NP$24="Bell_Curve",$NN$24*(332-$NR$24+1)*($NS$24-332+1)/$NU$24,$NN$24/$NT$24)),0)</f>
        <v/>
      </c>
      <c r="LY24" s="402">
        <f>IF(AND(333&gt;=$NR$24,333&lt;=$NS$24),IF($NP$24="Single_Point",IF(333=$NR$24,$NN$24,0),IF($NP$24="Bell_Curve",$NN$24*(333-$NR$24+1)*($NS$24-333+1)/$NU$24,$NN$24/$NT$24)),0)</f>
        <v/>
      </c>
      <c r="LZ24" s="402">
        <f>IF(AND(334&gt;=$NR$24,334&lt;=$NS$24),IF($NP$24="Single_Point",IF(334=$NR$24,$NN$24,0),IF($NP$24="Bell_Curve",$NN$24*(334-$NR$24+1)*($NS$24-334+1)/$NU$24,$NN$24/$NT$24)),0)</f>
        <v/>
      </c>
      <c r="MA24" s="402">
        <f>IF(AND(335&gt;=$NR$24,335&lt;=$NS$24),IF($NP$24="Single_Point",IF(335=$NR$24,$NN$24,0),IF($NP$24="Bell_Curve",$NN$24*(335-$NR$24+1)*($NS$24-335+1)/$NU$24,$NN$24/$NT$24)),0)</f>
        <v/>
      </c>
      <c r="MB24" s="402">
        <f>IF(AND(336&gt;=$NR$24,336&lt;=$NS$24),IF($NP$24="Single_Point",IF(336=$NR$24,$NN$24,0),IF($NP$24="Bell_Curve",$NN$24*(336-$NR$24+1)*($NS$24-336+1)/$NU$24,$NN$24/$NT$24)),0)</f>
        <v/>
      </c>
      <c r="MC24" s="402">
        <f>IF(AND(337&gt;=$NR$24,337&lt;=$NS$24),IF($NP$24="Single_Point",IF(337=$NR$24,$NN$24,0),IF($NP$24="Bell_Curve",$NN$24*(337-$NR$24+1)*($NS$24-337+1)/$NU$24,$NN$24/$NT$24)),0)</f>
        <v/>
      </c>
      <c r="MD24" s="402">
        <f>IF(AND(338&gt;=$NR$24,338&lt;=$NS$24),IF($NP$24="Single_Point",IF(338=$NR$24,$NN$24,0),IF($NP$24="Bell_Curve",$NN$24*(338-$NR$24+1)*($NS$24-338+1)/$NU$24,$NN$24/$NT$24)),0)</f>
        <v/>
      </c>
      <c r="ME24" s="402">
        <f>IF(AND(339&gt;=$NR$24,339&lt;=$NS$24),IF($NP$24="Single_Point",IF(339=$NR$24,$NN$24,0),IF($NP$24="Bell_Curve",$NN$24*(339-$NR$24+1)*($NS$24-339+1)/$NU$24,$NN$24/$NT$24)),0)</f>
        <v/>
      </c>
      <c r="MF24" s="402">
        <f>IF(AND(340&gt;=$NR$24,340&lt;=$NS$24),IF($NP$24="Single_Point",IF(340=$NR$24,$NN$24,0),IF($NP$24="Bell_Curve",$NN$24*(340-$NR$24+1)*($NS$24-340+1)/$NU$24,$NN$24/$NT$24)),0)</f>
        <v/>
      </c>
      <c r="MG24" s="402">
        <f>IF(AND(341&gt;=$NR$24,341&lt;=$NS$24),IF($NP$24="Single_Point",IF(341=$NR$24,$NN$24,0),IF($NP$24="Bell_Curve",$NN$24*(341-$NR$24+1)*($NS$24-341+1)/$NU$24,$NN$24/$NT$24)),0)</f>
        <v/>
      </c>
      <c r="MH24" s="402">
        <f>IF(AND(342&gt;=$NR$24,342&lt;=$NS$24),IF($NP$24="Single_Point",IF(342=$NR$24,$NN$24,0),IF($NP$24="Bell_Curve",$NN$24*(342-$NR$24+1)*($NS$24-342+1)/$NU$24,$NN$24/$NT$24)),0)</f>
        <v/>
      </c>
      <c r="MI24" s="402">
        <f>IF(AND(343&gt;=$NR$24,343&lt;=$NS$24),IF($NP$24="Single_Point",IF(343=$NR$24,$NN$24,0),IF($NP$24="Bell_Curve",$NN$24*(343-$NR$24+1)*($NS$24-343+1)/$NU$24,$NN$24/$NT$24)),0)</f>
        <v/>
      </c>
      <c r="MJ24" s="402">
        <f>IF(AND(344&gt;=$NR$24,344&lt;=$NS$24),IF($NP$24="Single_Point",IF(344=$NR$24,$NN$24,0),IF($NP$24="Bell_Curve",$NN$24*(344-$NR$24+1)*($NS$24-344+1)/$NU$24,$NN$24/$NT$24)),0)</f>
        <v/>
      </c>
      <c r="MK24" s="402">
        <f>IF(AND(345&gt;=$NR$24,345&lt;=$NS$24),IF($NP$24="Single_Point",IF(345=$NR$24,$NN$24,0),IF($NP$24="Bell_Curve",$NN$24*(345-$NR$24+1)*($NS$24-345+1)/$NU$24,$NN$24/$NT$24)),0)</f>
        <v/>
      </c>
      <c r="ML24" s="402">
        <f>IF(AND(346&gt;=$NR$24,346&lt;=$NS$24),IF($NP$24="Single_Point",IF(346=$NR$24,$NN$24,0),IF($NP$24="Bell_Curve",$NN$24*(346-$NR$24+1)*($NS$24-346+1)/$NU$24,$NN$24/$NT$24)),0)</f>
        <v/>
      </c>
      <c r="MM24" s="402">
        <f>IF(AND(347&gt;=$NR$24,347&lt;=$NS$24),IF($NP$24="Single_Point",IF(347=$NR$24,$NN$24,0),IF($NP$24="Bell_Curve",$NN$24*(347-$NR$24+1)*($NS$24-347+1)/$NU$24,$NN$24/$NT$24)),0)</f>
        <v/>
      </c>
      <c r="MN24" s="402">
        <f>IF(AND(348&gt;=$NR$24,348&lt;=$NS$24),IF($NP$24="Single_Point",IF(348=$NR$24,$NN$24,0),IF($NP$24="Bell_Curve",$NN$24*(348-$NR$24+1)*($NS$24-348+1)/$NU$24,$NN$24/$NT$24)),0)</f>
        <v/>
      </c>
      <c r="MO24" s="402">
        <f>IF(AND(349&gt;=$NR$24,349&lt;=$NS$24),IF($NP$24="Single_Point",IF(349=$NR$24,$NN$24,0),IF($NP$24="Bell_Curve",$NN$24*(349-$NR$24+1)*($NS$24-349+1)/$NU$24,$NN$24/$NT$24)),0)</f>
        <v/>
      </c>
      <c r="MP24" s="402">
        <f>IF(AND(350&gt;=$NR$24,350&lt;=$NS$24),IF($NP$24="Single_Point",IF(350=$NR$24,$NN$24,0),IF($NP$24="Bell_Curve",$NN$24*(350-$NR$24+1)*($NS$24-350+1)/$NU$24,$NN$24/$NT$24)),0)</f>
        <v/>
      </c>
      <c r="MQ24" s="402">
        <f>IF(AND(351&gt;=$NR$24,351&lt;=$NS$24),IF($NP$24="Single_Point",IF(351=$NR$24,$NN$24,0),IF($NP$24="Bell_Curve",$NN$24*(351-$NR$24+1)*($NS$24-351+1)/$NU$24,$NN$24/$NT$24)),0)</f>
        <v/>
      </c>
      <c r="MR24" s="402">
        <f>IF(AND(352&gt;=$NR$24,352&lt;=$NS$24),IF($NP$24="Single_Point",IF(352=$NR$24,$NN$24,0),IF($NP$24="Bell_Curve",$NN$24*(352-$NR$24+1)*($NS$24-352+1)/$NU$24,$NN$24/$NT$24)),0)</f>
        <v/>
      </c>
      <c r="MS24" s="402">
        <f>IF(AND(353&gt;=$NR$24,353&lt;=$NS$24),IF($NP$24="Single_Point",IF(353=$NR$24,$NN$24,0),IF($NP$24="Bell_Curve",$NN$24*(353-$NR$24+1)*($NS$24-353+1)/$NU$24,$NN$24/$NT$24)),0)</f>
        <v/>
      </c>
      <c r="MT24" s="402">
        <f>IF(AND(354&gt;=$NR$24,354&lt;=$NS$24),IF($NP$24="Single_Point",IF(354=$NR$24,$NN$24,0),IF($NP$24="Bell_Curve",$NN$24*(354-$NR$24+1)*($NS$24-354+1)/$NU$24,$NN$24/$NT$24)),0)</f>
        <v/>
      </c>
      <c r="MU24" s="402">
        <f>IF(AND(355&gt;=$NR$24,355&lt;=$NS$24),IF($NP$24="Single_Point",IF(355=$NR$24,$NN$24,0),IF($NP$24="Bell_Curve",$NN$24*(355-$NR$24+1)*($NS$24-355+1)/$NU$24,$NN$24/$NT$24)),0)</f>
        <v/>
      </c>
      <c r="MV24" s="402">
        <f>IF(AND(356&gt;=$NR$24,356&lt;=$NS$24),IF($NP$24="Single_Point",IF(356=$NR$24,$NN$24,0),IF($NP$24="Bell_Curve",$NN$24*(356-$NR$24+1)*($NS$24-356+1)/$NU$24,$NN$24/$NT$24)),0)</f>
        <v/>
      </c>
      <c r="MW24" s="402">
        <f>IF(AND(357&gt;=$NR$24,357&lt;=$NS$24),IF($NP$24="Single_Point",IF(357=$NR$24,$NN$24,0),IF($NP$24="Bell_Curve",$NN$24*(357-$NR$24+1)*($NS$24-357+1)/$NU$24,$NN$24/$NT$24)),0)</f>
        <v/>
      </c>
      <c r="MX24" s="402">
        <f>IF(AND(358&gt;=$NR$24,358&lt;=$NS$24),IF($NP$24="Single_Point",IF(358=$NR$24,$NN$24,0),IF($NP$24="Bell_Curve",$NN$24*(358-$NR$24+1)*($NS$24-358+1)/$NU$24,$NN$24/$NT$24)),0)</f>
        <v/>
      </c>
      <c r="MY24" s="402">
        <f>IF(AND(359&gt;=$NR$24,359&lt;=$NS$24),IF($NP$24="Single_Point",IF(359=$NR$24,$NN$24,0),IF($NP$24="Bell_Curve",$NN$24*(359-$NR$24+1)*($NS$24-359+1)/$NU$24,$NN$24/$NT$24)),0)</f>
        <v/>
      </c>
      <c r="MZ24" s="402">
        <f>IF(AND(360&gt;=$NR$24,360&lt;=$NS$24),IF($NP$24="Single_Point",IF(360=$NR$24,$NN$24,0),IF($NP$24="Bell_Curve",$NN$24*(360-$NR$24+1)*($NS$24-360+1)/$NU$24,$NN$24/$NT$24)),0)</f>
        <v/>
      </c>
      <c r="NA24" s="402">
        <f>IF(AND(361&gt;=$NR$24,361&lt;=$NS$24),IF($NP$24="Single_Point",IF(361=$NR$24,$NN$24,0),IF($NP$24="Bell_Curve",$NN$24*(361-$NR$24+1)*($NS$24-361+1)/$NU$24,$NN$24/$NT$24)),0)</f>
        <v/>
      </c>
      <c r="NB24" s="402">
        <f>IF(AND(362&gt;=$NR$24,362&lt;=$NS$24),IF($NP$24="Single_Point",IF(362=$NR$24,$NN$24,0),IF($NP$24="Bell_Curve",$NN$24*(362-$NR$24+1)*($NS$24-362+1)/$NU$24,$NN$24/$NT$24)),0)</f>
        <v/>
      </c>
      <c r="NC24" s="402">
        <f>IF(AND(363&gt;=$NR$24,363&lt;=$NS$24),IF($NP$24="Single_Point",IF(363=$NR$24,$NN$24,0),IF($NP$24="Bell_Curve",$NN$24*(363-$NR$24+1)*($NS$24-363+1)/$NU$24,$NN$24/$NT$24)),0)</f>
        <v/>
      </c>
      <c r="ND24" s="402">
        <f>IF(AND(364&gt;=$NR$24,364&lt;=$NS$24),IF($NP$24="Single_Point",IF(364=$NR$24,$NN$24,0),IF($NP$24="Bell_Curve",$NN$24*(364-$NR$24+1)*($NS$24-364+1)/$NU$24,$NN$24/$NT$24)),0)</f>
        <v/>
      </c>
      <c r="NE24" s="402">
        <f>IF(AND(365&gt;=$NR$24,365&lt;=$NS$24),IF($NP$24="Single_Point",IF(365=$NR$24,$NN$24,0),IF($NP$24="Bell_Curve",$NN$24*(365-$NR$24+1)*($NS$24-365+1)/$NU$24,$NN$24/$NT$24)),0)</f>
        <v/>
      </c>
      <c r="NF24" s="402">
        <f>IF(AND(366&gt;=$NR$24,366&lt;=$NS$24),IF($NP$24="Single_Point",IF(366=$NR$24,$NN$24,0),IF($NP$24="Bell_Curve",$NN$24*(366-$NR$24+1)*($NS$24-366+1)/$NU$24,$NN$24/$NT$24)),0)</f>
        <v/>
      </c>
      <c r="NG24" s="402">
        <f>IF(AND(367&gt;=$NR$24,367&lt;=$NS$24),IF($NP$24="Single_Point",IF(367=$NR$24,$NN$24,0),IF($NP$24="Bell_Curve",$NN$24*(367-$NR$24+1)*($NS$24-367+1)/$NU$24,$NN$24/$NT$24)),0)</f>
        <v/>
      </c>
      <c r="NH24" s="402">
        <f>IF(AND(368&gt;=$NR$24,368&lt;=$NS$24),IF($NP$24="Single_Point",IF(368=$NR$24,$NN$24,0),IF($NP$24="Bell_Curve",$NN$24*(368-$NR$24+1)*($NS$24-368+1)/$NU$24,$NN$24/$NT$24)),0)</f>
        <v/>
      </c>
      <c r="NI24" s="402">
        <f>IF(AND(369&gt;=$NR$24,369&lt;=$NS$24),IF($NP$24="Single_Point",IF(369=$NR$24,$NN$24,0),IF($NP$24="Bell_Curve",$NN$24*(369-$NR$24+1)*($NS$24-369+1)/$NU$24,$NN$24/$NT$24)),0)</f>
        <v/>
      </c>
      <c r="NJ24" s="402">
        <f>IF(AND(370&gt;=$NR$24,370&lt;=$NS$24),IF($NP$24="Single_Point",IF(370=$NR$24,$NN$24,0),IF($NP$24="Bell_Curve",$NN$24*(370-$NR$24+1)*($NS$24-370+1)/$NU$24,$NN$24/$NT$24)),0)</f>
        <v/>
      </c>
      <c r="NK24" s="402">
        <f>IF(AND(371&gt;=$NR$24,371&lt;=$NS$24),IF($NP$24="Single_Point",IF(371=$NR$24,$NN$24,0),IF($NP$24="Bell_Curve",$NN$24*(371-$NR$24+1)*($NS$24-371+1)/$NU$24,$NN$24/$NT$24)),0)</f>
        <v/>
      </c>
      <c r="NL24" s="426">
        <f>IF(AND(372&gt;=$NR$24,372&lt;=$NS$24),IF($NP$24="Single_Point",IF(372=$NR$24,$NN$24,0),IF($NP$24="Bell_Curve",$NN$24*(372-$NR$24+1)*($NS$24-372+1)/$NU$24,$NN$24/$NT$24)),0)</f>
        <v/>
      </c>
      <c r="NM24">
        <f>Budget!C23</f>
        <v/>
      </c>
      <c r="NN24" s="218">
        <f>Budget!J23</f>
        <v/>
      </c>
      <c r="NO24" s="144">
        <f>Budget!G23</f>
        <v/>
      </c>
      <c r="NP24" s="144">
        <f>Budget!H23</f>
        <v/>
      </c>
      <c r="NQ24" s="85">
        <f>Budget!I23</f>
        <v/>
      </c>
      <c r="NR24" s="248">
        <f>MAX(1,MIN(372,INDEX(MilestoneStart,MATCH(NO24,MilestoneNames,0))+NQ24))</f>
        <v/>
      </c>
      <c r="NS24" s="248">
        <f>MAX(NR24,MIN(372,INDEX(MilestoneEnd,MATCH(NO24,MilestoneNames,0))+NQ24))</f>
        <v/>
      </c>
      <c r="NT24" s="85">
        <f>NS24-NR24+1</f>
        <v/>
      </c>
      <c r="NU24" s="85">
        <f>NT24*(NT24+1)*(NT24+2)/6</f>
        <v/>
      </c>
    </row>
    <row r="25">
      <c r="B25" s="296">
        <f>Budget!B24</f>
        <v/>
      </c>
      <c r="D25" s="425">
        <f>SUM(E25:NL25)</f>
        <v/>
      </c>
      <c r="E25" s="402">
        <f>IF(AND(1&gt;=$NR$25,1&lt;=$NS$25),IF($NP$25="Single_Point",IF(1=$NR$25,$NN$25,0),IF($NP$25="Bell_Curve",$NN$25*(1-$NR$25+1)*($NS$25-1+1)/$NU$25,$NN$25/$NT$25)),0)</f>
        <v/>
      </c>
      <c r="F25" s="402">
        <f>IF(AND(2&gt;=$NR$25,2&lt;=$NS$25),IF($NP$25="Single_Point",IF(2=$NR$25,$NN$25,0),IF($NP$25="Bell_Curve",$NN$25*(2-$NR$25+1)*($NS$25-2+1)/$NU$25,$NN$25/$NT$25)),0)</f>
        <v/>
      </c>
      <c r="G25" s="402">
        <f>IF(AND(3&gt;=$NR$25,3&lt;=$NS$25),IF($NP$25="Single_Point",IF(3=$NR$25,$NN$25,0),IF($NP$25="Bell_Curve",$NN$25*(3-$NR$25+1)*($NS$25-3+1)/$NU$25,$NN$25/$NT$25)),0)</f>
        <v/>
      </c>
      <c r="H25" s="402">
        <f>IF(AND(4&gt;=$NR$25,4&lt;=$NS$25),IF($NP$25="Single_Point",IF(4=$NR$25,$NN$25,0),IF($NP$25="Bell_Curve",$NN$25*(4-$NR$25+1)*($NS$25-4+1)/$NU$25,$NN$25/$NT$25)),0)</f>
        <v/>
      </c>
      <c r="I25" s="402">
        <f>IF(AND(5&gt;=$NR$25,5&lt;=$NS$25),IF($NP$25="Single_Point",IF(5=$NR$25,$NN$25,0),IF($NP$25="Bell_Curve",$NN$25*(5-$NR$25+1)*($NS$25-5+1)/$NU$25,$NN$25/$NT$25)),0)</f>
        <v/>
      </c>
      <c r="J25" s="402">
        <f>IF(AND(6&gt;=$NR$25,6&lt;=$NS$25),IF($NP$25="Single_Point",IF(6=$NR$25,$NN$25,0),IF($NP$25="Bell_Curve",$NN$25*(6-$NR$25+1)*($NS$25-6+1)/$NU$25,$NN$25/$NT$25)),0)</f>
        <v/>
      </c>
      <c r="K25" s="402">
        <f>IF(AND(7&gt;=$NR$25,7&lt;=$NS$25),IF($NP$25="Single_Point",IF(7=$NR$25,$NN$25,0),IF($NP$25="Bell_Curve",$NN$25*(7-$NR$25+1)*($NS$25-7+1)/$NU$25,$NN$25/$NT$25)),0)</f>
        <v/>
      </c>
      <c r="L25" s="402">
        <f>IF(AND(8&gt;=$NR$25,8&lt;=$NS$25),IF($NP$25="Single_Point",IF(8=$NR$25,$NN$25,0),IF($NP$25="Bell_Curve",$NN$25*(8-$NR$25+1)*($NS$25-8+1)/$NU$25,$NN$25/$NT$25)),0)</f>
        <v/>
      </c>
      <c r="M25" s="402">
        <f>IF(AND(9&gt;=$NR$25,9&lt;=$NS$25),IF($NP$25="Single_Point",IF(9=$NR$25,$NN$25,0),IF($NP$25="Bell_Curve",$NN$25*(9-$NR$25+1)*($NS$25-9+1)/$NU$25,$NN$25/$NT$25)),0)</f>
        <v/>
      </c>
      <c r="N25" s="402">
        <f>IF(AND(10&gt;=$NR$25,10&lt;=$NS$25),IF($NP$25="Single_Point",IF(10=$NR$25,$NN$25,0),IF($NP$25="Bell_Curve",$NN$25*(10-$NR$25+1)*($NS$25-10+1)/$NU$25,$NN$25/$NT$25)),0)</f>
        <v/>
      </c>
      <c r="O25" s="402">
        <f>IF(AND(11&gt;=$NR$25,11&lt;=$NS$25),IF($NP$25="Single_Point",IF(11=$NR$25,$NN$25,0),IF($NP$25="Bell_Curve",$NN$25*(11-$NR$25+1)*($NS$25-11+1)/$NU$25,$NN$25/$NT$25)),0)</f>
        <v/>
      </c>
      <c r="P25" s="402">
        <f>IF(AND(12&gt;=$NR$25,12&lt;=$NS$25),IF($NP$25="Single_Point",IF(12=$NR$25,$NN$25,0),IF($NP$25="Bell_Curve",$NN$25*(12-$NR$25+1)*($NS$25-12+1)/$NU$25,$NN$25/$NT$25)),0)</f>
        <v/>
      </c>
      <c r="Q25" s="402">
        <f>IF(AND(13&gt;=$NR$25,13&lt;=$NS$25),IF($NP$25="Single_Point",IF(13=$NR$25,$NN$25,0),IF($NP$25="Bell_Curve",$NN$25*(13-$NR$25+1)*($NS$25-13+1)/$NU$25,$NN$25/$NT$25)),0)</f>
        <v/>
      </c>
      <c r="R25" s="402">
        <f>IF(AND(14&gt;=$NR$25,14&lt;=$NS$25),IF($NP$25="Single_Point",IF(14=$NR$25,$NN$25,0),IF($NP$25="Bell_Curve",$NN$25*(14-$NR$25+1)*($NS$25-14+1)/$NU$25,$NN$25/$NT$25)),0)</f>
        <v/>
      </c>
      <c r="S25" s="402">
        <f>IF(AND(15&gt;=$NR$25,15&lt;=$NS$25),IF($NP$25="Single_Point",IF(15=$NR$25,$NN$25,0),IF($NP$25="Bell_Curve",$NN$25*(15-$NR$25+1)*($NS$25-15+1)/$NU$25,$NN$25/$NT$25)),0)</f>
        <v/>
      </c>
      <c r="T25" s="402">
        <f>IF(AND(16&gt;=$NR$25,16&lt;=$NS$25),IF($NP$25="Single_Point",IF(16=$NR$25,$NN$25,0),IF($NP$25="Bell_Curve",$NN$25*(16-$NR$25+1)*($NS$25-16+1)/$NU$25,$NN$25/$NT$25)),0)</f>
        <v/>
      </c>
      <c r="U25" s="402">
        <f>IF(AND(17&gt;=$NR$25,17&lt;=$NS$25),IF($NP$25="Single_Point",IF(17=$NR$25,$NN$25,0),IF($NP$25="Bell_Curve",$NN$25*(17-$NR$25+1)*($NS$25-17+1)/$NU$25,$NN$25/$NT$25)),0)</f>
        <v/>
      </c>
      <c r="V25" s="402">
        <f>IF(AND(18&gt;=$NR$25,18&lt;=$NS$25),IF($NP$25="Single_Point",IF(18=$NR$25,$NN$25,0),IF($NP$25="Bell_Curve",$NN$25*(18-$NR$25+1)*($NS$25-18+1)/$NU$25,$NN$25/$NT$25)),0)</f>
        <v/>
      </c>
      <c r="W25" s="402">
        <f>IF(AND(19&gt;=$NR$25,19&lt;=$NS$25),IF($NP$25="Single_Point",IF(19=$NR$25,$NN$25,0),IF($NP$25="Bell_Curve",$NN$25*(19-$NR$25+1)*($NS$25-19+1)/$NU$25,$NN$25/$NT$25)),0)</f>
        <v/>
      </c>
      <c r="X25" s="402">
        <f>IF(AND(20&gt;=$NR$25,20&lt;=$NS$25),IF($NP$25="Single_Point",IF(20=$NR$25,$NN$25,0),IF($NP$25="Bell_Curve",$NN$25*(20-$NR$25+1)*($NS$25-20+1)/$NU$25,$NN$25/$NT$25)),0)</f>
        <v/>
      </c>
      <c r="Y25" s="402">
        <f>IF(AND(21&gt;=$NR$25,21&lt;=$NS$25),IF($NP$25="Single_Point",IF(21=$NR$25,$NN$25,0),IF($NP$25="Bell_Curve",$NN$25*(21-$NR$25+1)*($NS$25-21+1)/$NU$25,$NN$25/$NT$25)),0)</f>
        <v/>
      </c>
      <c r="Z25" s="402">
        <f>IF(AND(22&gt;=$NR$25,22&lt;=$NS$25),IF($NP$25="Single_Point",IF(22=$NR$25,$NN$25,0),IF($NP$25="Bell_Curve",$NN$25*(22-$NR$25+1)*($NS$25-22+1)/$NU$25,$NN$25/$NT$25)),0)</f>
        <v/>
      </c>
      <c r="AA25" s="402">
        <f>IF(AND(23&gt;=$NR$25,23&lt;=$NS$25),IF($NP$25="Single_Point",IF(23=$NR$25,$NN$25,0),IF($NP$25="Bell_Curve",$NN$25*(23-$NR$25+1)*($NS$25-23+1)/$NU$25,$NN$25/$NT$25)),0)</f>
        <v/>
      </c>
      <c r="AB25" s="402">
        <f>IF(AND(24&gt;=$NR$25,24&lt;=$NS$25),IF($NP$25="Single_Point",IF(24=$NR$25,$NN$25,0),IF($NP$25="Bell_Curve",$NN$25*(24-$NR$25+1)*($NS$25-24+1)/$NU$25,$NN$25/$NT$25)),0)</f>
        <v/>
      </c>
      <c r="AC25" s="402">
        <f>IF(AND(25&gt;=$NR$25,25&lt;=$NS$25),IF($NP$25="Single_Point",IF(25=$NR$25,$NN$25,0),IF($NP$25="Bell_Curve",$NN$25*(25-$NR$25+1)*($NS$25-25+1)/$NU$25,$NN$25/$NT$25)),0)</f>
        <v/>
      </c>
      <c r="AD25" s="402">
        <f>IF(AND(26&gt;=$NR$25,26&lt;=$NS$25),IF($NP$25="Single_Point",IF(26=$NR$25,$NN$25,0),IF($NP$25="Bell_Curve",$NN$25*(26-$NR$25+1)*($NS$25-26+1)/$NU$25,$NN$25/$NT$25)),0)</f>
        <v/>
      </c>
      <c r="AE25" s="402">
        <f>IF(AND(27&gt;=$NR$25,27&lt;=$NS$25),IF($NP$25="Single_Point",IF(27=$NR$25,$NN$25,0),IF($NP$25="Bell_Curve",$NN$25*(27-$NR$25+1)*($NS$25-27+1)/$NU$25,$NN$25/$NT$25)),0)</f>
        <v/>
      </c>
      <c r="AF25" s="402">
        <f>IF(AND(28&gt;=$NR$25,28&lt;=$NS$25),IF($NP$25="Single_Point",IF(28=$NR$25,$NN$25,0),IF($NP$25="Bell_Curve",$NN$25*(28-$NR$25+1)*($NS$25-28+1)/$NU$25,$NN$25/$NT$25)),0)</f>
        <v/>
      </c>
      <c r="AG25" s="402">
        <f>IF(AND(29&gt;=$NR$25,29&lt;=$NS$25),IF($NP$25="Single_Point",IF(29=$NR$25,$NN$25,0),IF($NP$25="Bell_Curve",$NN$25*(29-$NR$25+1)*($NS$25-29+1)/$NU$25,$NN$25/$NT$25)),0)</f>
        <v/>
      </c>
      <c r="AH25" s="402">
        <f>IF(AND(30&gt;=$NR$25,30&lt;=$NS$25),IF($NP$25="Single_Point",IF(30=$NR$25,$NN$25,0),IF($NP$25="Bell_Curve",$NN$25*(30-$NR$25+1)*($NS$25-30+1)/$NU$25,$NN$25/$NT$25)),0)</f>
        <v/>
      </c>
      <c r="AI25" s="402">
        <f>IF(AND(31&gt;=$NR$25,31&lt;=$NS$25),IF($NP$25="Single_Point",IF(31=$NR$25,$NN$25,0),IF($NP$25="Bell_Curve",$NN$25*(31-$NR$25+1)*($NS$25-31+1)/$NU$25,$NN$25/$NT$25)),0)</f>
        <v/>
      </c>
      <c r="AJ25" s="402">
        <f>IF(AND(32&gt;=$NR$25,32&lt;=$NS$25),IF($NP$25="Single_Point",IF(32=$NR$25,$NN$25,0),IF($NP$25="Bell_Curve",$NN$25*(32-$NR$25+1)*($NS$25-32+1)/$NU$25,$NN$25/$NT$25)),0)</f>
        <v/>
      </c>
      <c r="AK25" s="402">
        <f>IF(AND(33&gt;=$NR$25,33&lt;=$NS$25),IF($NP$25="Single_Point",IF(33=$NR$25,$NN$25,0),IF($NP$25="Bell_Curve",$NN$25*(33-$NR$25+1)*($NS$25-33+1)/$NU$25,$NN$25/$NT$25)),0)</f>
        <v/>
      </c>
      <c r="AL25" s="402">
        <f>IF(AND(34&gt;=$NR$25,34&lt;=$NS$25),IF($NP$25="Single_Point",IF(34=$NR$25,$NN$25,0),IF($NP$25="Bell_Curve",$NN$25*(34-$NR$25+1)*($NS$25-34+1)/$NU$25,$NN$25/$NT$25)),0)</f>
        <v/>
      </c>
      <c r="AM25" s="402">
        <f>IF(AND(35&gt;=$NR$25,35&lt;=$NS$25),IF($NP$25="Single_Point",IF(35=$NR$25,$NN$25,0),IF($NP$25="Bell_Curve",$NN$25*(35-$NR$25+1)*($NS$25-35+1)/$NU$25,$NN$25/$NT$25)),0)</f>
        <v/>
      </c>
      <c r="AN25" s="402">
        <f>IF(AND(36&gt;=$NR$25,36&lt;=$NS$25),IF($NP$25="Single_Point",IF(36=$NR$25,$NN$25,0),IF($NP$25="Bell_Curve",$NN$25*(36-$NR$25+1)*($NS$25-36+1)/$NU$25,$NN$25/$NT$25)),0)</f>
        <v/>
      </c>
      <c r="AO25" s="402">
        <f>IF(AND(37&gt;=$NR$25,37&lt;=$NS$25),IF($NP$25="Single_Point",IF(37=$NR$25,$NN$25,0),IF($NP$25="Bell_Curve",$NN$25*(37-$NR$25+1)*($NS$25-37+1)/$NU$25,$NN$25/$NT$25)),0)</f>
        <v/>
      </c>
      <c r="AP25" s="402">
        <f>IF(AND(38&gt;=$NR$25,38&lt;=$NS$25),IF($NP$25="Single_Point",IF(38=$NR$25,$NN$25,0),IF($NP$25="Bell_Curve",$NN$25*(38-$NR$25+1)*($NS$25-38+1)/$NU$25,$NN$25/$NT$25)),0)</f>
        <v/>
      </c>
      <c r="AQ25" s="402">
        <f>IF(AND(39&gt;=$NR$25,39&lt;=$NS$25),IF($NP$25="Single_Point",IF(39=$NR$25,$NN$25,0),IF($NP$25="Bell_Curve",$NN$25*(39-$NR$25+1)*($NS$25-39+1)/$NU$25,$NN$25/$NT$25)),0)</f>
        <v/>
      </c>
      <c r="AR25" s="402">
        <f>IF(AND(40&gt;=$NR$25,40&lt;=$NS$25),IF($NP$25="Single_Point",IF(40=$NR$25,$NN$25,0),IF($NP$25="Bell_Curve",$NN$25*(40-$NR$25+1)*($NS$25-40+1)/$NU$25,$NN$25/$NT$25)),0)</f>
        <v/>
      </c>
      <c r="AS25" s="402">
        <f>IF(AND(41&gt;=$NR$25,41&lt;=$NS$25),IF($NP$25="Single_Point",IF(41=$NR$25,$NN$25,0),IF($NP$25="Bell_Curve",$NN$25*(41-$NR$25+1)*($NS$25-41+1)/$NU$25,$NN$25/$NT$25)),0)</f>
        <v/>
      </c>
      <c r="AT25" s="402">
        <f>IF(AND(42&gt;=$NR$25,42&lt;=$NS$25),IF($NP$25="Single_Point",IF(42=$NR$25,$NN$25,0),IF($NP$25="Bell_Curve",$NN$25*(42-$NR$25+1)*($NS$25-42+1)/$NU$25,$NN$25/$NT$25)),0)</f>
        <v/>
      </c>
      <c r="AU25" s="402">
        <f>IF(AND(43&gt;=$NR$25,43&lt;=$NS$25),IF($NP$25="Single_Point",IF(43=$NR$25,$NN$25,0),IF($NP$25="Bell_Curve",$NN$25*(43-$NR$25+1)*($NS$25-43+1)/$NU$25,$NN$25/$NT$25)),0)</f>
        <v/>
      </c>
      <c r="AV25" s="402">
        <f>IF(AND(44&gt;=$NR$25,44&lt;=$NS$25),IF($NP$25="Single_Point",IF(44=$NR$25,$NN$25,0),IF($NP$25="Bell_Curve",$NN$25*(44-$NR$25+1)*($NS$25-44+1)/$NU$25,$NN$25/$NT$25)),0)</f>
        <v/>
      </c>
      <c r="AW25" s="402">
        <f>IF(AND(45&gt;=$NR$25,45&lt;=$NS$25),IF($NP$25="Single_Point",IF(45=$NR$25,$NN$25,0),IF($NP$25="Bell_Curve",$NN$25*(45-$NR$25+1)*($NS$25-45+1)/$NU$25,$NN$25/$NT$25)),0)</f>
        <v/>
      </c>
      <c r="AX25" s="402">
        <f>IF(AND(46&gt;=$NR$25,46&lt;=$NS$25),IF($NP$25="Single_Point",IF(46=$NR$25,$NN$25,0),IF($NP$25="Bell_Curve",$NN$25*(46-$NR$25+1)*($NS$25-46+1)/$NU$25,$NN$25/$NT$25)),0)</f>
        <v/>
      </c>
      <c r="AY25" s="402">
        <f>IF(AND(47&gt;=$NR$25,47&lt;=$NS$25),IF($NP$25="Single_Point",IF(47=$NR$25,$NN$25,0),IF($NP$25="Bell_Curve",$NN$25*(47-$NR$25+1)*($NS$25-47+1)/$NU$25,$NN$25/$NT$25)),0)</f>
        <v/>
      </c>
      <c r="AZ25" s="402">
        <f>IF(AND(48&gt;=$NR$25,48&lt;=$NS$25),IF($NP$25="Single_Point",IF(48=$NR$25,$NN$25,0),IF($NP$25="Bell_Curve",$NN$25*(48-$NR$25+1)*($NS$25-48+1)/$NU$25,$NN$25/$NT$25)),0)</f>
        <v/>
      </c>
      <c r="BA25" s="402">
        <f>IF(AND(49&gt;=$NR$25,49&lt;=$NS$25),IF($NP$25="Single_Point",IF(49=$NR$25,$NN$25,0),IF($NP$25="Bell_Curve",$NN$25*(49-$NR$25+1)*($NS$25-49+1)/$NU$25,$NN$25/$NT$25)),0)</f>
        <v/>
      </c>
      <c r="BB25" s="402">
        <f>IF(AND(50&gt;=$NR$25,50&lt;=$NS$25),IF($NP$25="Single_Point",IF(50=$NR$25,$NN$25,0),IF($NP$25="Bell_Curve",$NN$25*(50-$NR$25+1)*($NS$25-50+1)/$NU$25,$NN$25/$NT$25)),0)</f>
        <v/>
      </c>
      <c r="BC25" s="402">
        <f>IF(AND(51&gt;=$NR$25,51&lt;=$NS$25),IF($NP$25="Single_Point",IF(51=$NR$25,$NN$25,0),IF($NP$25="Bell_Curve",$NN$25*(51-$NR$25+1)*($NS$25-51+1)/$NU$25,$NN$25/$NT$25)),0)</f>
        <v/>
      </c>
      <c r="BD25" s="402">
        <f>IF(AND(52&gt;=$NR$25,52&lt;=$NS$25),IF($NP$25="Single_Point",IF(52=$NR$25,$NN$25,0),IF($NP$25="Bell_Curve",$NN$25*(52-$NR$25+1)*($NS$25-52+1)/$NU$25,$NN$25/$NT$25)),0)</f>
        <v/>
      </c>
      <c r="BE25" s="402">
        <f>IF(AND(53&gt;=$NR$25,53&lt;=$NS$25),IF($NP$25="Single_Point",IF(53=$NR$25,$NN$25,0),IF($NP$25="Bell_Curve",$NN$25*(53-$NR$25+1)*($NS$25-53+1)/$NU$25,$NN$25/$NT$25)),0)</f>
        <v/>
      </c>
      <c r="BF25" s="402">
        <f>IF(AND(54&gt;=$NR$25,54&lt;=$NS$25),IF($NP$25="Single_Point",IF(54=$NR$25,$NN$25,0),IF($NP$25="Bell_Curve",$NN$25*(54-$NR$25+1)*($NS$25-54+1)/$NU$25,$NN$25/$NT$25)),0)</f>
        <v/>
      </c>
      <c r="BG25" s="402">
        <f>IF(AND(55&gt;=$NR$25,55&lt;=$NS$25),IF($NP$25="Single_Point",IF(55=$NR$25,$NN$25,0),IF($NP$25="Bell_Curve",$NN$25*(55-$NR$25+1)*($NS$25-55+1)/$NU$25,$NN$25/$NT$25)),0)</f>
        <v/>
      </c>
      <c r="BH25" s="402">
        <f>IF(AND(56&gt;=$NR$25,56&lt;=$NS$25),IF($NP$25="Single_Point",IF(56=$NR$25,$NN$25,0),IF($NP$25="Bell_Curve",$NN$25*(56-$NR$25+1)*($NS$25-56+1)/$NU$25,$NN$25/$NT$25)),0)</f>
        <v/>
      </c>
      <c r="BI25" s="402">
        <f>IF(AND(57&gt;=$NR$25,57&lt;=$NS$25),IF($NP$25="Single_Point",IF(57=$NR$25,$NN$25,0),IF($NP$25="Bell_Curve",$NN$25*(57-$NR$25+1)*($NS$25-57+1)/$NU$25,$NN$25/$NT$25)),0)</f>
        <v/>
      </c>
      <c r="BJ25" s="402">
        <f>IF(AND(58&gt;=$NR$25,58&lt;=$NS$25),IF($NP$25="Single_Point",IF(58=$NR$25,$NN$25,0),IF($NP$25="Bell_Curve",$NN$25*(58-$NR$25+1)*($NS$25-58+1)/$NU$25,$NN$25/$NT$25)),0)</f>
        <v/>
      </c>
      <c r="BK25" s="402">
        <f>IF(AND(59&gt;=$NR$25,59&lt;=$NS$25),IF($NP$25="Single_Point",IF(59=$NR$25,$NN$25,0),IF($NP$25="Bell_Curve",$NN$25*(59-$NR$25+1)*($NS$25-59+1)/$NU$25,$NN$25/$NT$25)),0)</f>
        <v/>
      </c>
      <c r="BL25" s="402">
        <f>IF(AND(60&gt;=$NR$25,60&lt;=$NS$25),IF($NP$25="Single_Point",IF(60=$NR$25,$NN$25,0),IF($NP$25="Bell_Curve",$NN$25*(60-$NR$25+1)*($NS$25-60+1)/$NU$25,$NN$25/$NT$25)),0)</f>
        <v/>
      </c>
      <c r="BM25" s="402">
        <f>IF(AND(61&gt;=$NR$25,61&lt;=$NS$25),IF($NP$25="Single_Point",IF(61=$NR$25,$NN$25,0),IF($NP$25="Bell_Curve",$NN$25*(61-$NR$25+1)*($NS$25-61+1)/$NU$25,$NN$25/$NT$25)),0)</f>
        <v/>
      </c>
      <c r="BN25" s="402">
        <f>IF(AND(62&gt;=$NR$25,62&lt;=$NS$25),IF($NP$25="Single_Point",IF(62=$NR$25,$NN$25,0),IF($NP$25="Bell_Curve",$NN$25*(62-$NR$25+1)*($NS$25-62+1)/$NU$25,$NN$25/$NT$25)),0)</f>
        <v/>
      </c>
      <c r="BO25" s="402">
        <f>IF(AND(63&gt;=$NR$25,63&lt;=$NS$25),IF($NP$25="Single_Point",IF(63=$NR$25,$NN$25,0),IF($NP$25="Bell_Curve",$NN$25*(63-$NR$25+1)*($NS$25-63+1)/$NU$25,$NN$25/$NT$25)),0)</f>
        <v/>
      </c>
      <c r="BP25" s="402">
        <f>IF(AND(64&gt;=$NR$25,64&lt;=$NS$25),IF($NP$25="Single_Point",IF(64=$NR$25,$NN$25,0),IF($NP$25="Bell_Curve",$NN$25*(64-$NR$25+1)*($NS$25-64+1)/$NU$25,$NN$25/$NT$25)),0)</f>
        <v/>
      </c>
      <c r="BQ25" s="402">
        <f>IF(AND(65&gt;=$NR$25,65&lt;=$NS$25),IF($NP$25="Single_Point",IF(65=$NR$25,$NN$25,0),IF($NP$25="Bell_Curve",$NN$25*(65-$NR$25+1)*($NS$25-65+1)/$NU$25,$NN$25/$NT$25)),0)</f>
        <v/>
      </c>
      <c r="BR25" s="402">
        <f>IF(AND(66&gt;=$NR$25,66&lt;=$NS$25),IF($NP$25="Single_Point",IF(66=$NR$25,$NN$25,0),IF($NP$25="Bell_Curve",$NN$25*(66-$NR$25+1)*($NS$25-66+1)/$NU$25,$NN$25/$NT$25)),0)</f>
        <v/>
      </c>
      <c r="BS25" s="402">
        <f>IF(AND(67&gt;=$NR$25,67&lt;=$NS$25),IF($NP$25="Single_Point",IF(67=$NR$25,$NN$25,0),IF($NP$25="Bell_Curve",$NN$25*(67-$NR$25+1)*($NS$25-67+1)/$NU$25,$NN$25/$NT$25)),0)</f>
        <v/>
      </c>
      <c r="BT25" s="402">
        <f>IF(AND(68&gt;=$NR$25,68&lt;=$NS$25),IF($NP$25="Single_Point",IF(68=$NR$25,$NN$25,0),IF($NP$25="Bell_Curve",$NN$25*(68-$NR$25+1)*($NS$25-68+1)/$NU$25,$NN$25/$NT$25)),0)</f>
        <v/>
      </c>
      <c r="BU25" s="402">
        <f>IF(AND(69&gt;=$NR$25,69&lt;=$NS$25),IF($NP$25="Single_Point",IF(69=$NR$25,$NN$25,0),IF($NP$25="Bell_Curve",$NN$25*(69-$NR$25+1)*($NS$25-69+1)/$NU$25,$NN$25/$NT$25)),0)</f>
        <v/>
      </c>
      <c r="BV25" s="402">
        <f>IF(AND(70&gt;=$NR$25,70&lt;=$NS$25),IF($NP$25="Single_Point",IF(70=$NR$25,$NN$25,0),IF($NP$25="Bell_Curve",$NN$25*(70-$NR$25+1)*($NS$25-70+1)/$NU$25,$NN$25/$NT$25)),0)</f>
        <v/>
      </c>
      <c r="BW25" s="402">
        <f>IF(AND(71&gt;=$NR$25,71&lt;=$NS$25),IF($NP$25="Single_Point",IF(71=$NR$25,$NN$25,0),IF($NP$25="Bell_Curve",$NN$25*(71-$NR$25+1)*($NS$25-71+1)/$NU$25,$NN$25/$NT$25)),0)</f>
        <v/>
      </c>
      <c r="BX25" s="402">
        <f>IF(AND(72&gt;=$NR$25,72&lt;=$NS$25),IF($NP$25="Single_Point",IF(72=$NR$25,$NN$25,0),IF($NP$25="Bell_Curve",$NN$25*(72-$NR$25+1)*($NS$25-72+1)/$NU$25,$NN$25/$NT$25)),0)</f>
        <v/>
      </c>
      <c r="BY25" s="402">
        <f>IF(AND(73&gt;=$NR$25,73&lt;=$NS$25),IF($NP$25="Single_Point",IF(73=$NR$25,$NN$25,0),IF($NP$25="Bell_Curve",$NN$25*(73-$NR$25+1)*($NS$25-73+1)/$NU$25,$NN$25/$NT$25)),0)</f>
        <v/>
      </c>
      <c r="BZ25" s="402">
        <f>IF(AND(74&gt;=$NR$25,74&lt;=$NS$25),IF($NP$25="Single_Point",IF(74=$NR$25,$NN$25,0),IF($NP$25="Bell_Curve",$NN$25*(74-$NR$25+1)*($NS$25-74+1)/$NU$25,$NN$25/$NT$25)),0)</f>
        <v/>
      </c>
      <c r="CA25" s="402">
        <f>IF(AND(75&gt;=$NR$25,75&lt;=$NS$25),IF($NP$25="Single_Point",IF(75=$NR$25,$NN$25,0),IF($NP$25="Bell_Curve",$NN$25*(75-$NR$25+1)*($NS$25-75+1)/$NU$25,$NN$25/$NT$25)),0)</f>
        <v/>
      </c>
      <c r="CB25" s="402">
        <f>IF(AND(76&gt;=$NR$25,76&lt;=$NS$25),IF($NP$25="Single_Point",IF(76=$NR$25,$NN$25,0),IF($NP$25="Bell_Curve",$NN$25*(76-$NR$25+1)*($NS$25-76+1)/$NU$25,$NN$25/$NT$25)),0)</f>
        <v/>
      </c>
      <c r="CC25" s="402">
        <f>IF(AND(77&gt;=$NR$25,77&lt;=$NS$25),IF($NP$25="Single_Point",IF(77=$NR$25,$NN$25,0),IF($NP$25="Bell_Curve",$NN$25*(77-$NR$25+1)*($NS$25-77+1)/$NU$25,$NN$25/$NT$25)),0)</f>
        <v/>
      </c>
      <c r="CD25" s="402">
        <f>IF(AND(78&gt;=$NR$25,78&lt;=$NS$25),IF($NP$25="Single_Point",IF(78=$NR$25,$NN$25,0),IF($NP$25="Bell_Curve",$NN$25*(78-$NR$25+1)*($NS$25-78+1)/$NU$25,$NN$25/$NT$25)),0)</f>
        <v/>
      </c>
      <c r="CE25" s="402">
        <f>IF(AND(79&gt;=$NR$25,79&lt;=$NS$25),IF($NP$25="Single_Point",IF(79=$NR$25,$NN$25,0),IF($NP$25="Bell_Curve",$NN$25*(79-$NR$25+1)*($NS$25-79+1)/$NU$25,$NN$25/$NT$25)),0)</f>
        <v/>
      </c>
      <c r="CF25" s="402">
        <f>IF(AND(80&gt;=$NR$25,80&lt;=$NS$25),IF($NP$25="Single_Point",IF(80=$NR$25,$NN$25,0),IF($NP$25="Bell_Curve",$NN$25*(80-$NR$25+1)*($NS$25-80+1)/$NU$25,$NN$25/$NT$25)),0)</f>
        <v/>
      </c>
      <c r="CG25" s="402">
        <f>IF(AND(81&gt;=$NR$25,81&lt;=$NS$25),IF($NP$25="Single_Point",IF(81=$NR$25,$NN$25,0),IF($NP$25="Bell_Curve",$NN$25*(81-$NR$25+1)*($NS$25-81+1)/$NU$25,$NN$25/$NT$25)),0)</f>
        <v/>
      </c>
      <c r="CH25" s="402">
        <f>IF(AND(82&gt;=$NR$25,82&lt;=$NS$25),IF($NP$25="Single_Point",IF(82=$NR$25,$NN$25,0),IF($NP$25="Bell_Curve",$NN$25*(82-$NR$25+1)*($NS$25-82+1)/$NU$25,$NN$25/$NT$25)),0)</f>
        <v/>
      </c>
      <c r="CI25" s="402">
        <f>IF(AND(83&gt;=$NR$25,83&lt;=$NS$25),IF($NP$25="Single_Point",IF(83=$NR$25,$NN$25,0),IF($NP$25="Bell_Curve",$NN$25*(83-$NR$25+1)*($NS$25-83+1)/$NU$25,$NN$25/$NT$25)),0)</f>
        <v/>
      </c>
      <c r="CJ25" s="402">
        <f>IF(AND(84&gt;=$NR$25,84&lt;=$NS$25),IF($NP$25="Single_Point",IF(84=$NR$25,$NN$25,0),IF($NP$25="Bell_Curve",$NN$25*(84-$NR$25+1)*($NS$25-84+1)/$NU$25,$NN$25/$NT$25)),0)</f>
        <v/>
      </c>
      <c r="CK25" s="402">
        <f>IF(AND(85&gt;=$NR$25,85&lt;=$NS$25),IF($NP$25="Single_Point",IF(85=$NR$25,$NN$25,0),IF($NP$25="Bell_Curve",$NN$25*(85-$NR$25+1)*($NS$25-85+1)/$NU$25,$NN$25/$NT$25)),0)</f>
        <v/>
      </c>
      <c r="CL25" s="402">
        <f>IF(AND(86&gt;=$NR$25,86&lt;=$NS$25),IF($NP$25="Single_Point",IF(86=$NR$25,$NN$25,0),IF($NP$25="Bell_Curve",$NN$25*(86-$NR$25+1)*($NS$25-86+1)/$NU$25,$NN$25/$NT$25)),0)</f>
        <v/>
      </c>
      <c r="CM25" s="402">
        <f>IF(AND(87&gt;=$NR$25,87&lt;=$NS$25),IF($NP$25="Single_Point",IF(87=$NR$25,$NN$25,0),IF($NP$25="Bell_Curve",$NN$25*(87-$NR$25+1)*($NS$25-87+1)/$NU$25,$NN$25/$NT$25)),0)</f>
        <v/>
      </c>
      <c r="CN25" s="402">
        <f>IF(AND(88&gt;=$NR$25,88&lt;=$NS$25),IF($NP$25="Single_Point",IF(88=$NR$25,$NN$25,0),IF($NP$25="Bell_Curve",$NN$25*(88-$NR$25+1)*($NS$25-88+1)/$NU$25,$NN$25/$NT$25)),0)</f>
        <v/>
      </c>
      <c r="CO25" s="402">
        <f>IF(AND(89&gt;=$NR$25,89&lt;=$NS$25),IF($NP$25="Single_Point",IF(89=$NR$25,$NN$25,0),IF($NP$25="Bell_Curve",$NN$25*(89-$NR$25+1)*($NS$25-89+1)/$NU$25,$NN$25/$NT$25)),0)</f>
        <v/>
      </c>
      <c r="CP25" s="402">
        <f>IF(AND(90&gt;=$NR$25,90&lt;=$NS$25),IF($NP$25="Single_Point",IF(90=$NR$25,$NN$25,0),IF($NP$25="Bell_Curve",$NN$25*(90-$NR$25+1)*($NS$25-90+1)/$NU$25,$NN$25/$NT$25)),0)</f>
        <v/>
      </c>
      <c r="CQ25" s="402">
        <f>IF(AND(91&gt;=$NR$25,91&lt;=$NS$25),IF($NP$25="Single_Point",IF(91=$NR$25,$NN$25,0),IF($NP$25="Bell_Curve",$NN$25*(91-$NR$25+1)*($NS$25-91+1)/$NU$25,$NN$25/$NT$25)),0)</f>
        <v/>
      </c>
      <c r="CR25" s="402">
        <f>IF(AND(92&gt;=$NR$25,92&lt;=$NS$25),IF($NP$25="Single_Point",IF(92=$NR$25,$NN$25,0),IF($NP$25="Bell_Curve",$NN$25*(92-$NR$25+1)*($NS$25-92+1)/$NU$25,$NN$25/$NT$25)),0)</f>
        <v/>
      </c>
      <c r="CS25" s="402">
        <f>IF(AND(93&gt;=$NR$25,93&lt;=$NS$25),IF($NP$25="Single_Point",IF(93=$NR$25,$NN$25,0),IF($NP$25="Bell_Curve",$NN$25*(93-$NR$25+1)*($NS$25-93+1)/$NU$25,$NN$25/$NT$25)),0)</f>
        <v/>
      </c>
      <c r="CT25" s="402">
        <f>IF(AND(94&gt;=$NR$25,94&lt;=$NS$25),IF($NP$25="Single_Point",IF(94=$NR$25,$NN$25,0),IF($NP$25="Bell_Curve",$NN$25*(94-$NR$25+1)*($NS$25-94+1)/$NU$25,$NN$25/$NT$25)),0)</f>
        <v/>
      </c>
      <c r="CU25" s="402">
        <f>IF(AND(95&gt;=$NR$25,95&lt;=$NS$25),IF($NP$25="Single_Point",IF(95=$NR$25,$NN$25,0),IF($NP$25="Bell_Curve",$NN$25*(95-$NR$25+1)*($NS$25-95+1)/$NU$25,$NN$25/$NT$25)),0)</f>
        <v/>
      </c>
      <c r="CV25" s="402">
        <f>IF(AND(96&gt;=$NR$25,96&lt;=$NS$25),IF($NP$25="Single_Point",IF(96=$NR$25,$NN$25,0),IF($NP$25="Bell_Curve",$NN$25*(96-$NR$25+1)*($NS$25-96+1)/$NU$25,$NN$25/$NT$25)),0)</f>
        <v/>
      </c>
      <c r="CW25" s="402">
        <f>IF(AND(97&gt;=$NR$25,97&lt;=$NS$25),IF($NP$25="Single_Point",IF(97=$NR$25,$NN$25,0),IF($NP$25="Bell_Curve",$NN$25*(97-$NR$25+1)*($NS$25-97+1)/$NU$25,$NN$25/$NT$25)),0)</f>
        <v/>
      </c>
      <c r="CX25" s="402">
        <f>IF(AND(98&gt;=$NR$25,98&lt;=$NS$25),IF($NP$25="Single_Point",IF(98=$NR$25,$NN$25,0),IF($NP$25="Bell_Curve",$NN$25*(98-$NR$25+1)*($NS$25-98+1)/$NU$25,$NN$25/$NT$25)),0)</f>
        <v/>
      </c>
      <c r="CY25" s="402">
        <f>IF(AND(99&gt;=$NR$25,99&lt;=$NS$25),IF($NP$25="Single_Point",IF(99=$NR$25,$NN$25,0),IF($NP$25="Bell_Curve",$NN$25*(99-$NR$25+1)*($NS$25-99+1)/$NU$25,$NN$25/$NT$25)),0)</f>
        <v/>
      </c>
      <c r="CZ25" s="402">
        <f>IF(AND(100&gt;=$NR$25,100&lt;=$NS$25),IF($NP$25="Single_Point",IF(100=$NR$25,$NN$25,0),IF($NP$25="Bell_Curve",$NN$25*(100-$NR$25+1)*($NS$25-100+1)/$NU$25,$NN$25/$NT$25)),0)</f>
        <v/>
      </c>
      <c r="DA25" s="402">
        <f>IF(AND(101&gt;=$NR$25,101&lt;=$NS$25),IF($NP$25="Single_Point",IF(101=$NR$25,$NN$25,0),IF($NP$25="Bell_Curve",$NN$25*(101-$NR$25+1)*($NS$25-101+1)/$NU$25,$NN$25/$NT$25)),0)</f>
        <v/>
      </c>
      <c r="DB25" s="402">
        <f>IF(AND(102&gt;=$NR$25,102&lt;=$NS$25),IF($NP$25="Single_Point",IF(102=$NR$25,$NN$25,0),IF($NP$25="Bell_Curve",$NN$25*(102-$NR$25+1)*($NS$25-102+1)/$NU$25,$NN$25/$NT$25)),0)</f>
        <v/>
      </c>
      <c r="DC25" s="402">
        <f>IF(AND(103&gt;=$NR$25,103&lt;=$NS$25),IF($NP$25="Single_Point",IF(103=$NR$25,$NN$25,0),IF($NP$25="Bell_Curve",$NN$25*(103-$NR$25+1)*($NS$25-103+1)/$NU$25,$NN$25/$NT$25)),0)</f>
        <v/>
      </c>
      <c r="DD25" s="402">
        <f>IF(AND(104&gt;=$NR$25,104&lt;=$NS$25),IF($NP$25="Single_Point",IF(104=$NR$25,$NN$25,0),IF($NP$25="Bell_Curve",$NN$25*(104-$NR$25+1)*($NS$25-104+1)/$NU$25,$NN$25/$NT$25)),0)</f>
        <v/>
      </c>
      <c r="DE25" s="402">
        <f>IF(AND(105&gt;=$NR$25,105&lt;=$NS$25),IF($NP$25="Single_Point",IF(105=$NR$25,$NN$25,0),IF($NP$25="Bell_Curve",$NN$25*(105-$NR$25+1)*($NS$25-105+1)/$NU$25,$NN$25/$NT$25)),0)</f>
        <v/>
      </c>
      <c r="DF25" s="402">
        <f>IF(AND(106&gt;=$NR$25,106&lt;=$NS$25),IF($NP$25="Single_Point",IF(106=$NR$25,$NN$25,0),IF($NP$25="Bell_Curve",$NN$25*(106-$NR$25+1)*($NS$25-106+1)/$NU$25,$NN$25/$NT$25)),0)</f>
        <v/>
      </c>
      <c r="DG25" s="402">
        <f>IF(AND(107&gt;=$NR$25,107&lt;=$NS$25),IF($NP$25="Single_Point",IF(107=$NR$25,$NN$25,0),IF($NP$25="Bell_Curve",$NN$25*(107-$NR$25+1)*($NS$25-107+1)/$NU$25,$NN$25/$NT$25)),0)</f>
        <v/>
      </c>
      <c r="DH25" s="402">
        <f>IF(AND(108&gt;=$NR$25,108&lt;=$NS$25),IF($NP$25="Single_Point",IF(108=$NR$25,$NN$25,0),IF($NP$25="Bell_Curve",$NN$25*(108-$NR$25+1)*($NS$25-108+1)/$NU$25,$NN$25/$NT$25)),0)</f>
        <v/>
      </c>
      <c r="DI25" s="402">
        <f>IF(AND(109&gt;=$NR$25,109&lt;=$NS$25),IF($NP$25="Single_Point",IF(109=$NR$25,$NN$25,0),IF($NP$25="Bell_Curve",$NN$25*(109-$NR$25+1)*($NS$25-109+1)/$NU$25,$NN$25/$NT$25)),0)</f>
        <v/>
      </c>
      <c r="DJ25" s="402">
        <f>IF(AND(110&gt;=$NR$25,110&lt;=$NS$25),IF($NP$25="Single_Point",IF(110=$NR$25,$NN$25,0),IF($NP$25="Bell_Curve",$NN$25*(110-$NR$25+1)*($NS$25-110+1)/$NU$25,$NN$25/$NT$25)),0)</f>
        <v/>
      </c>
      <c r="DK25" s="402">
        <f>IF(AND(111&gt;=$NR$25,111&lt;=$NS$25),IF($NP$25="Single_Point",IF(111=$NR$25,$NN$25,0),IF($NP$25="Bell_Curve",$NN$25*(111-$NR$25+1)*($NS$25-111+1)/$NU$25,$NN$25/$NT$25)),0)</f>
        <v/>
      </c>
      <c r="DL25" s="402">
        <f>IF(AND(112&gt;=$NR$25,112&lt;=$NS$25),IF($NP$25="Single_Point",IF(112=$NR$25,$NN$25,0),IF($NP$25="Bell_Curve",$NN$25*(112-$NR$25+1)*($NS$25-112+1)/$NU$25,$NN$25/$NT$25)),0)</f>
        <v/>
      </c>
      <c r="DM25" s="402">
        <f>IF(AND(113&gt;=$NR$25,113&lt;=$NS$25),IF($NP$25="Single_Point",IF(113=$NR$25,$NN$25,0),IF($NP$25="Bell_Curve",$NN$25*(113-$NR$25+1)*($NS$25-113+1)/$NU$25,$NN$25/$NT$25)),0)</f>
        <v/>
      </c>
      <c r="DN25" s="402">
        <f>IF(AND(114&gt;=$NR$25,114&lt;=$NS$25),IF($NP$25="Single_Point",IF(114=$NR$25,$NN$25,0),IF($NP$25="Bell_Curve",$NN$25*(114-$NR$25+1)*($NS$25-114+1)/$NU$25,$NN$25/$NT$25)),0)</f>
        <v/>
      </c>
      <c r="DO25" s="402">
        <f>IF(AND(115&gt;=$NR$25,115&lt;=$NS$25),IF($NP$25="Single_Point",IF(115=$NR$25,$NN$25,0),IF($NP$25="Bell_Curve",$NN$25*(115-$NR$25+1)*($NS$25-115+1)/$NU$25,$NN$25/$NT$25)),0)</f>
        <v/>
      </c>
      <c r="DP25" s="402">
        <f>IF(AND(116&gt;=$NR$25,116&lt;=$NS$25),IF($NP$25="Single_Point",IF(116=$NR$25,$NN$25,0),IF($NP$25="Bell_Curve",$NN$25*(116-$NR$25+1)*($NS$25-116+1)/$NU$25,$NN$25/$NT$25)),0)</f>
        <v/>
      </c>
      <c r="DQ25" s="402">
        <f>IF(AND(117&gt;=$NR$25,117&lt;=$NS$25),IF($NP$25="Single_Point",IF(117=$NR$25,$NN$25,0),IF($NP$25="Bell_Curve",$NN$25*(117-$NR$25+1)*($NS$25-117+1)/$NU$25,$NN$25/$NT$25)),0)</f>
        <v/>
      </c>
      <c r="DR25" s="402">
        <f>IF(AND(118&gt;=$NR$25,118&lt;=$NS$25),IF($NP$25="Single_Point",IF(118=$NR$25,$NN$25,0),IF($NP$25="Bell_Curve",$NN$25*(118-$NR$25+1)*($NS$25-118+1)/$NU$25,$NN$25/$NT$25)),0)</f>
        <v/>
      </c>
      <c r="DS25" s="402">
        <f>IF(AND(119&gt;=$NR$25,119&lt;=$NS$25),IF($NP$25="Single_Point",IF(119=$NR$25,$NN$25,0),IF($NP$25="Bell_Curve",$NN$25*(119-$NR$25+1)*($NS$25-119+1)/$NU$25,$NN$25/$NT$25)),0)</f>
        <v/>
      </c>
      <c r="DT25" s="402">
        <f>IF(AND(120&gt;=$NR$25,120&lt;=$NS$25),IF($NP$25="Single_Point",IF(120=$NR$25,$NN$25,0),IF($NP$25="Bell_Curve",$NN$25*(120-$NR$25+1)*($NS$25-120+1)/$NU$25,$NN$25/$NT$25)),0)</f>
        <v/>
      </c>
      <c r="DU25" s="402">
        <f>IF(AND(121&gt;=$NR$25,121&lt;=$NS$25),IF($NP$25="Single_Point",IF(121=$NR$25,$NN$25,0),IF($NP$25="Bell_Curve",$NN$25*(121-$NR$25+1)*($NS$25-121+1)/$NU$25,$NN$25/$NT$25)),0)</f>
        <v/>
      </c>
      <c r="DV25" s="402">
        <f>IF(AND(122&gt;=$NR$25,122&lt;=$NS$25),IF($NP$25="Single_Point",IF(122=$NR$25,$NN$25,0),IF($NP$25="Bell_Curve",$NN$25*(122-$NR$25+1)*($NS$25-122+1)/$NU$25,$NN$25/$NT$25)),0)</f>
        <v/>
      </c>
      <c r="DW25" s="402">
        <f>IF(AND(123&gt;=$NR$25,123&lt;=$NS$25),IF($NP$25="Single_Point",IF(123=$NR$25,$NN$25,0),IF($NP$25="Bell_Curve",$NN$25*(123-$NR$25+1)*($NS$25-123+1)/$NU$25,$NN$25/$NT$25)),0)</f>
        <v/>
      </c>
      <c r="DX25" s="402">
        <f>IF(AND(124&gt;=$NR$25,124&lt;=$NS$25),IF($NP$25="Single_Point",IF(124=$NR$25,$NN$25,0),IF($NP$25="Bell_Curve",$NN$25*(124-$NR$25+1)*($NS$25-124+1)/$NU$25,$NN$25/$NT$25)),0)</f>
        <v/>
      </c>
      <c r="DY25" s="402">
        <f>IF(AND(125&gt;=$NR$25,125&lt;=$NS$25),IF($NP$25="Single_Point",IF(125=$NR$25,$NN$25,0),IF($NP$25="Bell_Curve",$NN$25*(125-$NR$25+1)*($NS$25-125+1)/$NU$25,$NN$25/$NT$25)),0)</f>
        <v/>
      </c>
      <c r="DZ25" s="402">
        <f>IF(AND(126&gt;=$NR$25,126&lt;=$NS$25),IF($NP$25="Single_Point",IF(126=$NR$25,$NN$25,0),IF($NP$25="Bell_Curve",$NN$25*(126-$NR$25+1)*($NS$25-126+1)/$NU$25,$NN$25/$NT$25)),0)</f>
        <v/>
      </c>
      <c r="EA25" s="402">
        <f>IF(AND(127&gt;=$NR$25,127&lt;=$NS$25),IF($NP$25="Single_Point",IF(127=$NR$25,$NN$25,0),IF($NP$25="Bell_Curve",$NN$25*(127-$NR$25+1)*($NS$25-127+1)/$NU$25,$NN$25/$NT$25)),0)</f>
        <v/>
      </c>
      <c r="EB25" s="402">
        <f>IF(AND(128&gt;=$NR$25,128&lt;=$NS$25),IF($NP$25="Single_Point",IF(128=$NR$25,$NN$25,0),IF($NP$25="Bell_Curve",$NN$25*(128-$NR$25+1)*($NS$25-128+1)/$NU$25,$NN$25/$NT$25)),0)</f>
        <v/>
      </c>
      <c r="EC25" s="402">
        <f>IF(AND(129&gt;=$NR$25,129&lt;=$NS$25),IF($NP$25="Single_Point",IF(129=$NR$25,$NN$25,0),IF($NP$25="Bell_Curve",$NN$25*(129-$NR$25+1)*($NS$25-129+1)/$NU$25,$NN$25/$NT$25)),0)</f>
        <v/>
      </c>
      <c r="ED25" s="402">
        <f>IF(AND(130&gt;=$NR$25,130&lt;=$NS$25),IF($NP$25="Single_Point",IF(130=$NR$25,$NN$25,0),IF($NP$25="Bell_Curve",$NN$25*(130-$NR$25+1)*($NS$25-130+1)/$NU$25,$NN$25/$NT$25)),0)</f>
        <v/>
      </c>
      <c r="EE25" s="402">
        <f>IF(AND(131&gt;=$NR$25,131&lt;=$NS$25),IF($NP$25="Single_Point",IF(131=$NR$25,$NN$25,0),IF($NP$25="Bell_Curve",$NN$25*(131-$NR$25+1)*($NS$25-131+1)/$NU$25,$NN$25/$NT$25)),0)</f>
        <v/>
      </c>
      <c r="EF25" s="402">
        <f>IF(AND(132&gt;=$NR$25,132&lt;=$NS$25),IF($NP$25="Single_Point",IF(132=$NR$25,$NN$25,0),IF($NP$25="Bell_Curve",$NN$25*(132-$NR$25+1)*($NS$25-132+1)/$NU$25,$NN$25/$NT$25)),0)</f>
        <v/>
      </c>
      <c r="EG25" s="402">
        <f>IF(AND(133&gt;=$NR$25,133&lt;=$NS$25),IF($NP$25="Single_Point",IF(133=$NR$25,$NN$25,0),IF($NP$25="Bell_Curve",$NN$25*(133-$NR$25+1)*($NS$25-133+1)/$NU$25,$NN$25/$NT$25)),0)</f>
        <v/>
      </c>
      <c r="EH25" s="402">
        <f>IF(AND(134&gt;=$NR$25,134&lt;=$NS$25),IF($NP$25="Single_Point",IF(134=$NR$25,$NN$25,0),IF($NP$25="Bell_Curve",$NN$25*(134-$NR$25+1)*($NS$25-134+1)/$NU$25,$NN$25/$NT$25)),0)</f>
        <v/>
      </c>
      <c r="EI25" s="402">
        <f>IF(AND(135&gt;=$NR$25,135&lt;=$NS$25),IF($NP$25="Single_Point",IF(135=$NR$25,$NN$25,0),IF($NP$25="Bell_Curve",$NN$25*(135-$NR$25+1)*($NS$25-135+1)/$NU$25,$NN$25/$NT$25)),0)</f>
        <v/>
      </c>
      <c r="EJ25" s="402">
        <f>IF(AND(136&gt;=$NR$25,136&lt;=$NS$25),IF($NP$25="Single_Point",IF(136=$NR$25,$NN$25,0),IF($NP$25="Bell_Curve",$NN$25*(136-$NR$25+1)*($NS$25-136+1)/$NU$25,$NN$25/$NT$25)),0)</f>
        <v/>
      </c>
      <c r="EK25" s="402">
        <f>IF(AND(137&gt;=$NR$25,137&lt;=$NS$25),IF($NP$25="Single_Point",IF(137=$NR$25,$NN$25,0),IF($NP$25="Bell_Curve",$NN$25*(137-$NR$25+1)*($NS$25-137+1)/$NU$25,$NN$25/$NT$25)),0)</f>
        <v/>
      </c>
      <c r="EL25" s="402">
        <f>IF(AND(138&gt;=$NR$25,138&lt;=$NS$25),IF($NP$25="Single_Point",IF(138=$NR$25,$NN$25,0),IF($NP$25="Bell_Curve",$NN$25*(138-$NR$25+1)*($NS$25-138+1)/$NU$25,$NN$25/$NT$25)),0)</f>
        <v/>
      </c>
      <c r="EM25" s="402">
        <f>IF(AND(139&gt;=$NR$25,139&lt;=$NS$25),IF($NP$25="Single_Point",IF(139=$NR$25,$NN$25,0),IF($NP$25="Bell_Curve",$NN$25*(139-$NR$25+1)*($NS$25-139+1)/$NU$25,$NN$25/$NT$25)),0)</f>
        <v/>
      </c>
      <c r="EN25" s="402">
        <f>IF(AND(140&gt;=$NR$25,140&lt;=$NS$25),IF($NP$25="Single_Point",IF(140=$NR$25,$NN$25,0),IF($NP$25="Bell_Curve",$NN$25*(140-$NR$25+1)*($NS$25-140+1)/$NU$25,$NN$25/$NT$25)),0)</f>
        <v/>
      </c>
      <c r="EO25" s="402">
        <f>IF(AND(141&gt;=$NR$25,141&lt;=$NS$25),IF($NP$25="Single_Point",IF(141=$NR$25,$NN$25,0),IF($NP$25="Bell_Curve",$NN$25*(141-$NR$25+1)*($NS$25-141+1)/$NU$25,$NN$25/$NT$25)),0)</f>
        <v/>
      </c>
      <c r="EP25" s="402">
        <f>IF(AND(142&gt;=$NR$25,142&lt;=$NS$25),IF($NP$25="Single_Point",IF(142=$NR$25,$NN$25,0),IF($NP$25="Bell_Curve",$NN$25*(142-$NR$25+1)*($NS$25-142+1)/$NU$25,$NN$25/$NT$25)),0)</f>
        <v/>
      </c>
      <c r="EQ25" s="402">
        <f>IF(AND(143&gt;=$NR$25,143&lt;=$NS$25),IF($NP$25="Single_Point",IF(143=$NR$25,$NN$25,0),IF($NP$25="Bell_Curve",$NN$25*(143-$NR$25+1)*($NS$25-143+1)/$NU$25,$NN$25/$NT$25)),0)</f>
        <v/>
      </c>
      <c r="ER25" s="402">
        <f>IF(AND(144&gt;=$NR$25,144&lt;=$NS$25),IF($NP$25="Single_Point",IF(144=$NR$25,$NN$25,0),IF($NP$25="Bell_Curve",$NN$25*(144-$NR$25+1)*($NS$25-144+1)/$NU$25,$NN$25/$NT$25)),0)</f>
        <v/>
      </c>
      <c r="ES25" s="402">
        <f>IF(AND(145&gt;=$NR$25,145&lt;=$NS$25),IF($NP$25="Single_Point",IF(145=$NR$25,$NN$25,0),IF($NP$25="Bell_Curve",$NN$25*(145-$NR$25+1)*($NS$25-145+1)/$NU$25,$NN$25/$NT$25)),0)</f>
        <v/>
      </c>
      <c r="ET25" s="402">
        <f>IF(AND(146&gt;=$NR$25,146&lt;=$NS$25),IF($NP$25="Single_Point",IF(146=$NR$25,$NN$25,0),IF($NP$25="Bell_Curve",$NN$25*(146-$NR$25+1)*($NS$25-146+1)/$NU$25,$NN$25/$NT$25)),0)</f>
        <v/>
      </c>
      <c r="EU25" s="402">
        <f>IF(AND(147&gt;=$NR$25,147&lt;=$NS$25),IF($NP$25="Single_Point",IF(147=$NR$25,$NN$25,0),IF($NP$25="Bell_Curve",$NN$25*(147-$NR$25+1)*($NS$25-147+1)/$NU$25,$NN$25/$NT$25)),0)</f>
        <v/>
      </c>
      <c r="EV25" s="402">
        <f>IF(AND(148&gt;=$NR$25,148&lt;=$NS$25),IF($NP$25="Single_Point",IF(148=$NR$25,$NN$25,0),IF($NP$25="Bell_Curve",$NN$25*(148-$NR$25+1)*($NS$25-148+1)/$NU$25,$NN$25/$NT$25)),0)</f>
        <v/>
      </c>
      <c r="EW25" s="402">
        <f>IF(AND(149&gt;=$NR$25,149&lt;=$NS$25),IF($NP$25="Single_Point",IF(149=$NR$25,$NN$25,0),IF($NP$25="Bell_Curve",$NN$25*(149-$NR$25+1)*($NS$25-149+1)/$NU$25,$NN$25/$NT$25)),0)</f>
        <v/>
      </c>
      <c r="EX25" s="402">
        <f>IF(AND(150&gt;=$NR$25,150&lt;=$NS$25),IF($NP$25="Single_Point",IF(150=$NR$25,$NN$25,0),IF($NP$25="Bell_Curve",$NN$25*(150-$NR$25+1)*($NS$25-150+1)/$NU$25,$NN$25/$NT$25)),0)</f>
        <v/>
      </c>
      <c r="EY25" s="402">
        <f>IF(AND(151&gt;=$NR$25,151&lt;=$NS$25),IF($NP$25="Single_Point",IF(151=$NR$25,$NN$25,0),IF($NP$25="Bell_Curve",$NN$25*(151-$NR$25+1)*($NS$25-151+1)/$NU$25,$NN$25/$NT$25)),0)</f>
        <v/>
      </c>
      <c r="EZ25" s="402">
        <f>IF(AND(152&gt;=$NR$25,152&lt;=$NS$25),IF($NP$25="Single_Point",IF(152=$NR$25,$NN$25,0),IF($NP$25="Bell_Curve",$NN$25*(152-$NR$25+1)*($NS$25-152+1)/$NU$25,$NN$25/$NT$25)),0)</f>
        <v/>
      </c>
      <c r="FA25" s="402">
        <f>IF(AND(153&gt;=$NR$25,153&lt;=$NS$25),IF($NP$25="Single_Point",IF(153=$NR$25,$NN$25,0),IF($NP$25="Bell_Curve",$NN$25*(153-$NR$25+1)*($NS$25-153+1)/$NU$25,$NN$25/$NT$25)),0)</f>
        <v/>
      </c>
      <c r="FB25" s="402">
        <f>IF(AND(154&gt;=$NR$25,154&lt;=$NS$25),IF($NP$25="Single_Point",IF(154=$NR$25,$NN$25,0),IF($NP$25="Bell_Curve",$NN$25*(154-$NR$25+1)*($NS$25-154+1)/$NU$25,$NN$25/$NT$25)),0)</f>
        <v/>
      </c>
      <c r="FC25" s="402">
        <f>IF(AND(155&gt;=$NR$25,155&lt;=$NS$25),IF($NP$25="Single_Point",IF(155=$NR$25,$NN$25,0),IF($NP$25="Bell_Curve",$NN$25*(155-$NR$25+1)*($NS$25-155+1)/$NU$25,$NN$25/$NT$25)),0)</f>
        <v/>
      </c>
      <c r="FD25" s="402">
        <f>IF(AND(156&gt;=$NR$25,156&lt;=$NS$25),IF($NP$25="Single_Point",IF(156=$NR$25,$NN$25,0),IF($NP$25="Bell_Curve",$NN$25*(156-$NR$25+1)*($NS$25-156+1)/$NU$25,$NN$25/$NT$25)),0)</f>
        <v/>
      </c>
      <c r="FE25" s="402">
        <f>IF(AND(157&gt;=$NR$25,157&lt;=$NS$25),IF($NP$25="Single_Point",IF(157=$NR$25,$NN$25,0),IF($NP$25="Bell_Curve",$NN$25*(157-$NR$25+1)*($NS$25-157+1)/$NU$25,$NN$25/$NT$25)),0)</f>
        <v/>
      </c>
      <c r="FF25" s="402">
        <f>IF(AND(158&gt;=$NR$25,158&lt;=$NS$25),IF($NP$25="Single_Point",IF(158=$NR$25,$NN$25,0),IF($NP$25="Bell_Curve",$NN$25*(158-$NR$25+1)*($NS$25-158+1)/$NU$25,$NN$25/$NT$25)),0)</f>
        <v/>
      </c>
      <c r="FG25" s="402">
        <f>IF(AND(159&gt;=$NR$25,159&lt;=$NS$25),IF($NP$25="Single_Point",IF(159=$NR$25,$NN$25,0),IF($NP$25="Bell_Curve",$NN$25*(159-$NR$25+1)*($NS$25-159+1)/$NU$25,$NN$25/$NT$25)),0)</f>
        <v/>
      </c>
      <c r="FH25" s="402">
        <f>IF(AND(160&gt;=$NR$25,160&lt;=$NS$25),IF($NP$25="Single_Point",IF(160=$NR$25,$NN$25,0),IF($NP$25="Bell_Curve",$NN$25*(160-$NR$25+1)*($NS$25-160+1)/$NU$25,$NN$25/$NT$25)),0)</f>
        <v/>
      </c>
      <c r="FI25" s="402">
        <f>IF(AND(161&gt;=$NR$25,161&lt;=$NS$25),IF($NP$25="Single_Point",IF(161=$NR$25,$NN$25,0),IF($NP$25="Bell_Curve",$NN$25*(161-$NR$25+1)*($NS$25-161+1)/$NU$25,$NN$25/$NT$25)),0)</f>
        <v/>
      </c>
      <c r="FJ25" s="402">
        <f>IF(AND(162&gt;=$NR$25,162&lt;=$NS$25),IF($NP$25="Single_Point",IF(162=$NR$25,$NN$25,0),IF($NP$25="Bell_Curve",$NN$25*(162-$NR$25+1)*($NS$25-162+1)/$NU$25,$NN$25/$NT$25)),0)</f>
        <v/>
      </c>
      <c r="FK25" s="402">
        <f>IF(AND(163&gt;=$NR$25,163&lt;=$NS$25),IF($NP$25="Single_Point",IF(163=$NR$25,$NN$25,0),IF($NP$25="Bell_Curve",$NN$25*(163-$NR$25+1)*($NS$25-163+1)/$NU$25,$NN$25/$NT$25)),0)</f>
        <v/>
      </c>
      <c r="FL25" s="402">
        <f>IF(AND(164&gt;=$NR$25,164&lt;=$NS$25),IF($NP$25="Single_Point",IF(164=$NR$25,$NN$25,0),IF($NP$25="Bell_Curve",$NN$25*(164-$NR$25+1)*($NS$25-164+1)/$NU$25,$NN$25/$NT$25)),0)</f>
        <v/>
      </c>
      <c r="FM25" s="402">
        <f>IF(AND(165&gt;=$NR$25,165&lt;=$NS$25),IF($NP$25="Single_Point",IF(165=$NR$25,$NN$25,0),IF($NP$25="Bell_Curve",$NN$25*(165-$NR$25+1)*($NS$25-165+1)/$NU$25,$NN$25/$NT$25)),0)</f>
        <v/>
      </c>
      <c r="FN25" s="402">
        <f>IF(AND(166&gt;=$NR$25,166&lt;=$NS$25),IF($NP$25="Single_Point",IF(166=$NR$25,$NN$25,0),IF($NP$25="Bell_Curve",$NN$25*(166-$NR$25+1)*($NS$25-166+1)/$NU$25,$NN$25/$NT$25)),0)</f>
        <v/>
      </c>
      <c r="FO25" s="402">
        <f>IF(AND(167&gt;=$NR$25,167&lt;=$NS$25),IF($NP$25="Single_Point",IF(167=$NR$25,$NN$25,0),IF($NP$25="Bell_Curve",$NN$25*(167-$NR$25+1)*($NS$25-167+1)/$NU$25,$NN$25/$NT$25)),0)</f>
        <v/>
      </c>
      <c r="FP25" s="402">
        <f>IF(AND(168&gt;=$NR$25,168&lt;=$NS$25),IF($NP$25="Single_Point",IF(168=$NR$25,$NN$25,0),IF($NP$25="Bell_Curve",$NN$25*(168-$NR$25+1)*($NS$25-168+1)/$NU$25,$NN$25/$NT$25)),0)</f>
        <v/>
      </c>
      <c r="FQ25" s="402">
        <f>IF(AND(169&gt;=$NR$25,169&lt;=$NS$25),IF($NP$25="Single_Point",IF(169=$NR$25,$NN$25,0),IF($NP$25="Bell_Curve",$NN$25*(169-$NR$25+1)*($NS$25-169+1)/$NU$25,$NN$25/$NT$25)),0)</f>
        <v/>
      </c>
      <c r="FR25" s="402">
        <f>IF(AND(170&gt;=$NR$25,170&lt;=$NS$25),IF($NP$25="Single_Point",IF(170=$NR$25,$NN$25,0),IF($NP$25="Bell_Curve",$NN$25*(170-$NR$25+1)*($NS$25-170+1)/$NU$25,$NN$25/$NT$25)),0)</f>
        <v/>
      </c>
      <c r="FS25" s="402">
        <f>IF(AND(171&gt;=$NR$25,171&lt;=$NS$25),IF($NP$25="Single_Point",IF(171=$NR$25,$NN$25,0),IF($NP$25="Bell_Curve",$NN$25*(171-$NR$25+1)*($NS$25-171+1)/$NU$25,$NN$25/$NT$25)),0)</f>
        <v/>
      </c>
      <c r="FT25" s="402">
        <f>IF(AND(172&gt;=$NR$25,172&lt;=$NS$25),IF($NP$25="Single_Point",IF(172=$NR$25,$NN$25,0),IF($NP$25="Bell_Curve",$NN$25*(172-$NR$25+1)*($NS$25-172+1)/$NU$25,$NN$25/$NT$25)),0)</f>
        <v/>
      </c>
      <c r="FU25" s="402">
        <f>IF(AND(173&gt;=$NR$25,173&lt;=$NS$25),IF($NP$25="Single_Point",IF(173=$NR$25,$NN$25,0),IF($NP$25="Bell_Curve",$NN$25*(173-$NR$25+1)*($NS$25-173+1)/$NU$25,$NN$25/$NT$25)),0)</f>
        <v/>
      </c>
      <c r="FV25" s="402">
        <f>IF(AND(174&gt;=$NR$25,174&lt;=$NS$25),IF($NP$25="Single_Point",IF(174=$NR$25,$NN$25,0),IF($NP$25="Bell_Curve",$NN$25*(174-$NR$25+1)*($NS$25-174+1)/$NU$25,$NN$25/$NT$25)),0)</f>
        <v/>
      </c>
      <c r="FW25" s="402">
        <f>IF(AND(175&gt;=$NR$25,175&lt;=$NS$25),IF($NP$25="Single_Point",IF(175=$NR$25,$NN$25,0),IF($NP$25="Bell_Curve",$NN$25*(175-$NR$25+1)*($NS$25-175+1)/$NU$25,$NN$25/$NT$25)),0)</f>
        <v/>
      </c>
      <c r="FX25" s="402">
        <f>IF(AND(176&gt;=$NR$25,176&lt;=$NS$25),IF($NP$25="Single_Point",IF(176=$NR$25,$NN$25,0),IF($NP$25="Bell_Curve",$NN$25*(176-$NR$25+1)*($NS$25-176+1)/$NU$25,$NN$25/$NT$25)),0)</f>
        <v/>
      </c>
      <c r="FY25" s="402">
        <f>IF(AND(177&gt;=$NR$25,177&lt;=$NS$25),IF($NP$25="Single_Point",IF(177=$NR$25,$NN$25,0),IF($NP$25="Bell_Curve",$NN$25*(177-$NR$25+1)*($NS$25-177+1)/$NU$25,$NN$25/$NT$25)),0)</f>
        <v/>
      </c>
      <c r="FZ25" s="402">
        <f>IF(AND(178&gt;=$NR$25,178&lt;=$NS$25),IF($NP$25="Single_Point",IF(178=$NR$25,$NN$25,0),IF($NP$25="Bell_Curve",$NN$25*(178-$NR$25+1)*($NS$25-178+1)/$NU$25,$NN$25/$NT$25)),0)</f>
        <v/>
      </c>
      <c r="GA25" s="402">
        <f>IF(AND(179&gt;=$NR$25,179&lt;=$NS$25),IF($NP$25="Single_Point",IF(179=$NR$25,$NN$25,0),IF($NP$25="Bell_Curve",$NN$25*(179-$NR$25+1)*($NS$25-179+1)/$NU$25,$NN$25/$NT$25)),0)</f>
        <v/>
      </c>
      <c r="GB25" s="402">
        <f>IF(AND(180&gt;=$NR$25,180&lt;=$NS$25),IF($NP$25="Single_Point",IF(180=$NR$25,$NN$25,0),IF($NP$25="Bell_Curve",$NN$25*(180-$NR$25+1)*($NS$25-180+1)/$NU$25,$NN$25/$NT$25)),0)</f>
        <v/>
      </c>
      <c r="GC25" s="402">
        <f>IF(AND(181&gt;=$NR$25,181&lt;=$NS$25),IF($NP$25="Single_Point",IF(181=$NR$25,$NN$25,0),IF($NP$25="Bell_Curve",$NN$25*(181-$NR$25+1)*($NS$25-181+1)/$NU$25,$NN$25/$NT$25)),0)</f>
        <v/>
      </c>
      <c r="GD25" s="402">
        <f>IF(AND(182&gt;=$NR$25,182&lt;=$NS$25),IF($NP$25="Single_Point",IF(182=$NR$25,$NN$25,0),IF($NP$25="Bell_Curve",$NN$25*(182-$NR$25+1)*($NS$25-182+1)/$NU$25,$NN$25/$NT$25)),0)</f>
        <v/>
      </c>
      <c r="GE25" s="402">
        <f>IF(AND(183&gt;=$NR$25,183&lt;=$NS$25),IF($NP$25="Single_Point",IF(183=$NR$25,$NN$25,0),IF($NP$25="Bell_Curve",$NN$25*(183-$NR$25+1)*($NS$25-183+1)/$NU$25,$NN$25/$NT$25)),0)</f>
        <v/>
      </c>
      <c r="GF25" s="402">
        <f>IF(AND(184&gt;=$NR$25,184&lt;=$NS$25),IF($NP$25="Single_Point",IF(184=$NR$25,$NN$25,0),IF($NP$25="Bell_Curve",$NN$25*(184-$NR$25+1)*($NS$25-184+1)/$NU$25,$NN$25/$NT$25)),0)</f>
        <v/>
      </c>
      <c r="GG25" s="402">
        <f>IF(AND(185&gt;=$NR$25,185&lt;=$NS$25),IF($NP$25="Single_Point",IF(185=$NR$25,$NN$25,0),IF($NP$25="Bell_Curve",$NN$25*(185-$NR$25+1)*($NS$25-185+1)/$NU$25,$NN$25/$NT$25)),0)</f>
        <v/>
      </c>
      <c r="GH25" s="402">
        <f>IF(AND(186&gt;=$NR$25,186&lt;=$NS$25),IF($NP$25="Single_Point",IF(186=$NR$25,$NN$25,0),IF($NP$25="Bell_Curve",$NN$25*(186-$NR$25+1)*($NS$25-186+1)/$NU$25,$NN$25/$NT$25)),0)</f>
        <v/>
      </c>
      <c r="GI25" s="402">
        <f>IF(AND(187&gt;=$NR$25,187&lt;=$NS$25),IF($NP$25="Single_Point",IF(187=$NR$25,$NN$25,0),IF($NP$25="Bell_Curve",$NN$25*(187-$NR$25+1)*($NS$25-187+1)/$NU$25,$NN$25/$NT$25)),0)</f>
        <v/>
      </c>
      <c r="GJ25" s="402">
        <f>IF(AND(188&gt;=$NR$25,188&lt;=$NS$25),IF($NP$25="Single_Point",IF(188=$NR$25,$NN$25,0),IF($NP$25="Bell_Curve",$NN$25*(188-$NR$25+1)*($NS$25-188+1)/$NU$25,$NN$25/$NT$25)),0)</f>
        <v/>
      </c>
      <c r="GK25" s="402">
        <f>IF(AND(189&gt;=$NR$25,189&lt;=$NS$25),IF($NP$25="Single_Point",IF(189=$NR$25,$NN$25,0),IF($NP$25="Bell_Curve",$NN$25*(189-$NR$25+1)*($NS$25-189+1)/$NU$25,$NN$25/$NT$25)),0)</f>
        <v/>
      </c>
      <c r="GL25" s="402">
        <f>IF(AND(190&gt;=$NR$25,190&lt;=$NS$25),IF($NP$25="Single_Point",IF(190=$NR$25,$NN$25,0),IF($NP$25="Bell_Curve",$NN$25*(190-$NR$25+1)*($NS$25-190+1)/$NU$25,$NN$25/$NT$25)),0)</f>
        <v/>
      </c>
      <c r="GM25" s="402">
        <f>IF(AND(191&gt;=$NR$25,191&lt;=$NS$25),IF($NP$25="Single_Point",IF(191=$NR$25,$NN$25,0),IF($NP$25="Bell_Curve",$NN$25*(191-$NR$25+1)*($NS$25-191+1)/$NU$25,$NN$25/$NT$25)),0)</f>
        <v/>
      </c>
      <c r="GN25" s="402">
        <f>IF(AND(192&gt;=$NR$25,192&lt;=$NS$25),IF($NP$25="Single_Point",IF(192=$NR$25,$NN$25,0),IF($NP$25="Bell_Curve",$NN$25*(192-$NR$25+1)*($NS$25-192+1)/$NU$25,$NN$25/$NT$25)),0)</f>
        <v/>
      </c>
      <c r="GO25" s="402">
        <f>IF(AND(193&gt;=$NR$25,193&lt;=$NS$25),IF($NP$25="Single_Point",IF(193=$NR$25,$NN$25,0),IF($NP$25="Bell_Curve",$NN$25*(193-$NR$25+1)*($NS$25-193+1)/$NU$25,$NN$25/$NT$25)),0)</f>
        <v/>
      </c>
      <c r="GP25" s="402">
        <f>IF(AND(194&gt;=$NR$25,194&lt;=$NS$25),IF($NP$25="Single_Point",IF(194=$NR$25,$NN$25,0),IF($NP$25="Bell_Curve",$NN$25*(194-$NR$25+1)*($NS$25-194+1)/$NU$25,$NN$25/$NT$25)),0)</f>
        <v/>
      </c>
      <c r="GQ25" s="402">
        <f>IF(AND(195&gt;=$NR$25,195&lt;=$NS$25),IF($NP$25="Single_Point",IF(195=$NR$25,$NN$25,0),IF($NP$25="Bell_Curve",$NN$25*(195-$NR$25+1)*($NS$25-195+1)/$NU$25,$NN$25/$NT$25)),0)</f>
        <v/>
      </c>
      <c r="GR25" s="402">
        <f>IF(AND(196&gt;=$NR$25,196&lt;=$NS$25),IF($NP$25="Single_Point",IF(196=$NR$25,$NN$25,0),IF($NP$25="Bell_Curve",$NN$25*(196-$NR$25+1)*($NS$25-196+1)/$NU$25,$NN$25/$NT$25)),0)</f>
        <v/>
      </c>
      <c r="GS25" s="402">
        <f>IF(AND(197&gt;=$NR$25,197&lt;=$NS$25),IF($NP$25="Single_Point",IF(197=$NR$25,$NN$25,0),IF($NP$25="Bell_Curve",$NN$25*(197-$NR$25+1)*($NS$25-197+1)/$NU$25,$NN$25/$NT$25)),0)</f>
        <v/>
      </c>
      <c r="GT25" s="402">
        <f>IF(AND(198&gt;=$NR$25,198&lt;=$NS$25),IF($NP$25="Single_Point",IF(198=$NR$25,$NN$25,0),IF($NP$25="Bell_Curve",$NN$25*(198-$NR$25+1)*($NS$25-198+1)/$NU$25,$NN$25/$NT$25)),0)</f>
        <v/>
      </c>
      <c r="GU25" s="402">
        <f>IF(AND(199&gt;=$NR$25,199&lt;=$NS$25),IF($NP$25="Single_Point",IF(199=$NR$25,$NN$25,0),IF($NP$25="Bell_Curve",$NN$25*(199-$NR$25+1)*($NS$25-199+1)/$NU$25,$NN$25/$NT$25)),0)</f>
        <v/>
      </c>
      <c r="GV25" s="402">
        <f>IF(AND(200&gt;=$NR$25,200&lt;=$NS$25),IF($NP$25="Single_Point",IF(200=$NR$25,$NN$25,0),IF($NP$25="Bell_Curve",$NN$25*(200-$NR$25+1)*($NS$25-200+1)/$NU$25,$NN$25/$NT$25)),0)</f>
        <v/>
      </c>
      <c r="GW25" s="402">
        <f>IF(AND(201&gt;=$NR$25,201&lt;=$NS$25),IF($NP$25="Single_Point",IF(201=$NR$25,$NN$25,0),IF($NP$25="Bell_Curve",$NN$25*(201-$NR$25+1)*($NS$25-201+1)/$NU$25,$NN$25/$NT$25)),0)</f>
        <v/>
      </c>
      <c r="GX25" s="402">
        <f>IF(AND(202&gt;=$NR$25,202&lt;=$NS$25),IF($NP$25="Single_Point",IF(202=$NR$25,$NN$25,0),IF($NP$25="Bell_Curve",$NN$25*(202-$NR$25+1)*($NS$25-202+1)/$NU$25,$NN$25/$NT$25)),0)</f>
        <v/>
      </c>
      <c r="GY25" s="402">
        <f>IF(AND(203&gt;=$NR$25,203&lt;=$NS$25),IF($NP$25="Single_Point",IF(203=$NR$25,$NN$25,0),IF($NP$25="Bell_Curve",$NN$25*(203-$NR$25+1)*($NS$25-203+1)/$NU$25,$NN$25/$NT$25)),0)</f>
        <v/>
      </c>
      <c r="GZ25" s="402">
        <f>IF(AND(204&gt;=$NR$25,204&lt;=$NS$25),IF($NP$25="Single_Point",IF(204=$NR$25,$NN$25,0),IF($NP$25="Bell_Curve",$NN$25*(204-$NR$25+1)*($NS$25-204+1)/$NU$25,$NN$25/$NT$25)),0)</f>
        <v/>
      </c>
      <c r="HA25" s="402">
        <f>IF(AND(205&gt;=$NR$25,205&lt;=$NS$25),IF($NP$25="Single_Point",IF(205=$NR$25,$NN$25,0),IF($NP$25="Bell_Curve",$NN$25*(205-$NR$25+1)*($NS$25-205+1)/$NU$25,$NN$25/$NT$25)),0)</f>
        <v/>
      </c>
      <c r="HB25" s="402">
        <f>IF(AND(206&gt;=$NR$25,206&lt;=$NS$25),IF($NP$25="Single_Point",IF(206=$NR$25,$NN$25,0),IF($NP$25="Bell_Curve",$NN$25*(206-$NR$25+1)*($NS$25-206+1)/$NU$25,$NN$25/$NT$25)),0)</f>
        <v/>
      </c>
      <c r="HC25" s="402">
        <f>IF(AND(207&gt;=$NR$25,207&lt;=$NS$25),IF($NP$25="Single_Point",IF(207=$NR$25,$NN$25,0),IF($NP$25="Bell_Curve",$NN$25*(207-$NR$25+1)*($NS$25-207+1)/$NU$25,$NN$25/$NT$25)),0)</f>
        <v/>
      </c>
      <c r="HD25" s="402">
        <f>IF(AND(208&gt;=$NR$25,208&lt;=$NS$25),IF($NP$25="Single_Point",IF(208=$NR$25,$NN$25,0),IF($NP$25="Bell_Curve",$NN$25*(208-$NR$25+1)*($NS$25-208+1)/$NU$25,$NN$25/$NT$25)),0)</f>
        <v/>
      </c>
      <c r="HE25" s="402">
        <f>IF(AND(209&gt;=$NR$25,209&lt;=$NS$25),IF($NP$25="Single_Point",IF(209=$NR$25,$NN$25,0),IF($NP$25="Bell_Curve",$NN$25*(209-$NR$25+1)*($NS$25-209+1)/$NU$25,$NN$25/$NT$25)),0)</f>
        <v/>
      </c>
      <c r="HF25" s="402">
        <f>IF(AND(210&gt;=$NR$25,210&lt;=$NS$25),IF($NP$25="Single_Point",IF(210=$NR$25,$NN$25,0),IF($NP$25="Bell_Curve",$NN$25*(210-$NR$25+1)*($NS$25-210+1)/$NU$25,$NN$25/$NT$25)),0)</f>
        <v/>
      </c>
      <c r="HG25" s="402">
        <f>IF(AND(211&gt;=$NR$25,211&lt;=$NS$25),IF($NP$25="Single_Point",IF(211=$NR$25,$NN$25,0),IF($NP$25="Bell_Curve",$NN$25*(211-$NR$25+1)*($NS$25-211+1)/$NU$25,$NN$25/$NT$25)),0)</f>
        <v/>
      </c>
      <c r="HH25" s="402">
        <f>IF(AND(212&gt;=$NR$25,212&lt;=$NS$25),IF($NP$25="Single_Point",IF(212=$NR$25,$NN$25,0),IF($NP$25="Bell_Curve",$NN$25*(212-$NR$25+1)*($NS$25-212+1)/$NU$25,$NN$25/$NT$25)),0)</f>
        <v/>
      </c>
      <c r="HI25" s="402">
        <f>IF(AND(213&gt;=$NR$25,213&lt;=$NS$25),IF($NP$25="Single_Point",IF(213=$NR$25,$NN$25,0),IF($NP$25="Bell_Curve",$NN$25*(213-$NR$25+1)*($NS$25-213+1)/$NU$25,$NN$25/$NT$25)),0)</f>
        <v/>
      </c>
      <c r="HJ25" s="402">
        <f>IF(AND(214&gt;=$NR$25,214&lt;=$NS$25),IF($NP$25="Single_Point",IF(214=$NR$25,$NN$25,0),IF($NP$25="Bell_Curve",$NN$25*(214-$NR$25+1)*($NS$25-214+1)/$NU$25,$NN$25/$NT$25)),0)</f>
        <v/>
      </c>
      <c r="HK25" s="402">
        <f>IF(AND(215&gt;=$NR$25,215&lt;=$NS$25),IF($NP$25="Single_Point",IF(215=$NR$25,$NN$25,0),IF($NP$25="Bell_Curve",$NN$25*(215-$NR$25+1)*($NS$25-215+1)/$NU$25,$NN$25/$NT$25)),0)</f>
        <v/>
      </c>
      <c r="HL25" s="402">
        <f>IF(AND(216&gt;=$NR$25,216&lt;=$NS$25),IF($NP$25="Single_Point",IF(216=$NR$25,$NN$25,0),IF($NP$25="Bell_Curve",$NN$25*(216-$NR$25+1)*($NS$25-216+1)/$NU$25,$NN$25/$NT$25)),0)</f>
        <v/>
      </c>
      <c r="HM25" s="402">
        <f>IF(AND(217&gt;=$NR$25,217&lt;=$NS$25),IF($NP$25="Single_Point",IF(217=$NR$25,$NN$25,0),IF($NP$25="Bell_Curve",$NN$25*(217-$NR$25+1)*($NS$25-217+1)/$NU$25,$NN$25/$NT$25)),0)</f>
        <v/>
      </c>
      <c r="HN25" s="402">
        <f>IF(AND(218&gt;=$NR$25,218&lt;=$NS$25),IF($NP$25="Single_Point",IF(218=$NR$25,$NN$25,0),IF($NP$25="Bell_Curve",$NN$25*(218-$NR$25+1)*($NS$25-218+1)/$NU$25,$NN$25/$NT$25)),0)</f>
        <v/>
      </c>
      <c r="HO25" s="402">
        <f>IF(AND(219&gt;=$NR$25,219&lt;=$NS$25),IF($NP$25="Single_Point",IF(219=$NR$25,$NN$25,0),IF($NP$25="Bell_Curve",$NN$25*(219-$NR$25+1)*($NS$25-219+1)/$NU$25,$NN$25/$NT$25)),0)</f>
        <v/>
      </c>
      <c r="HP25" s="402">
        <f>IF(AND(220&gt;=$NR$25,220&lt;=$NS$25),IF($NP$25="Single_Point",IF(220=$NR$25,$NN$25,0),IF($NP$25="Bell_Curve",$NN$25*(220-$NR$25+1)*($NS$25-220+1)/$NU$25,$NN$25/$NT$25)),0)</f>
        <v/>
      </c>
      <c r="HQ25" s="402">
        <f>IF(AND(221&gt;=$NR$25,221&lt;=$NS$25),IF($NP$25="Single_Point",IF(221=$NR$25,$NN$25,0),IF($NP$25="Bell_Curve",$NN$25*(221-$NR$25+1)*($NS$25-221+1)/$NU$25,$NN$25/$NT$25)),0)</f>
        <v/>
      </c>
      <c r="HR25" s="402">
        <f>IF(AND(222&gt;=$NR$25,222&lt;=$NS$25),IF($NP$25="Single_Point",IF(222=$NR$25,$NN$25,0),IF($NP$25="Bell_Curve",$NN$25*(222-$NR$25+1)*($NS$25-222+1)/$NU$25,$NN$25/$NT$25)),0)</f>
        <v/>
      </c>
      <c r="HS25" s="402">
        <f>IF(AND(223&gt;=$NR$25,223&lt;=$NS$25),IF($NP$25="Single_Point",IF(223=$NR$25,$NN$25,0),IF($NP$25="Bell_Curve",$NN$25*(223-$NR$25+1)*($NS$25-223+1)/$NU$25,$NN$25/$NT$25)),0)</f>
        <v/>
      </c>
      <c r="HT25" s="402">
        <f>IF(AND(224&gt;=$NR$25,224&lt;=$NS$25),IF($NP$25="Single_Point",IF(224=$NR$25,$NN$25,0),IF($NP$25="Bell_Curve",$NN$25*(224-$NR$25+1)*($NS$25-224+1)/$NU$25,$NN$25/$NT$25)),0)</f>
        <v/>
      </c>
      <c r="HU25" s="402">
        <f>IF(AND(225&gt;=$NR$25,225&lt;=$NS$25),IF($NP$25="Single_Point",IF(225=$NR$25,$NN$25,0),IF($NP$25="Bell_Curve",$NN$25*(225-$NR$25+1)*($NS$25-225+1)/$NU$25,$NN$25/$NT$25)),0)</f>
        <v/>
      </c>
      <c r="HV25" s="402">
        <f>IF(AND(226&gt;=$NR$25,226&lt;=$NS$25),IF($NP$25="Single_Point",IF(226=$NR$25,$NN$25,0),IF($NP$25="Bell_Curve",$NN$25*(226-$NR$25+1)*($NS$25-226+1)/$NU$25,$NN$25/$NT$25)),0)</f>
        <v/>
      </c>
      <c r="HW25" s="402">
        <f>IF(AND(227&gt;=$NR$25,227&lt;=$NS$25),IF($NP$25="Single_Point",IF(227=$NR$25,$NN$25,0),IF($NP$25="Bell_Curve",$NN$25*(227-$NR$25+1)*($NS$25-227+1)/$NU$25,$NN$25/$NT$25)),0)</f>
        <v/>
      </c>
      <c r="HX25" s="402">
        <f>IF(AND(228&gt;=$NR$25,228&lt;=$NS$25),IF($NP$25="Single_Point",IF(228=$NR$25,$NN$25,0),IF($NP$25="Bell_Curve",$NN$25*(228-$NR$25+1)*($NS$25-228+1)/$NU$25,$NN$25/$NT$25)),0)</f>
        <v/>
      </c>
      <c r="HY25" s="402">
        <f>IF(AND(229&gt;=$NR$25,229&lt;=$NS$25),IF($NP$25="Single_Point",IF(229=$NR$25,$NN$25,0),IF($NP$25="Bell_Curve",$NN$25*(229-$NR$25+1)*($NS$25-229+1)/$NU$25,$NN$25/$NT$25)),0)</f>
        <v/>
      </c>
      <c r="HZ25" s="402">
        <f>IF(AND(230&gt;=$NR$25,230&lt;=$NS$25),IF($NP$25="Single_Point",IF(230=$NR$25,$NN$25,0),IF($NP$25="Bell_Curve",$NN$25*(230-$NR$25+1)*($NS$25-230+1)/$NU$25,$NN$25/$NT$25)),0)</f>
        <v/>
      </c>
      <c r="IA25" s="402">
        <f>IF(AND(231&gt;=$NR$25,231&lt;=$NS$25),IF($NP$25="Single_Point",IF(231=$NR$25,$NN$25,0),IF($NP$25="Bell_Curve",$NN$25*(231-$NR$25+1)*($NS$25-231+1)/$NU$25,$NN$25/$NT$25)),0)</f>
        <v/>
      </c>
      <c r="IB25" s="402">
        <f>IF(AND(232&gt;=$NR$25,232&lt;=$NS$25),IF($NP$25="Single_Point",IF(232=$NR$25,$NN$25,0),IF($NP$25="Bell_Curve",$NN$25*(232-$NR$25+1)*($NS$25-232+1)/$NU$25,$NN$25/$NT$25)),0)</f>
        <v/>
      </c>
      <c r="IC25" s="402">
        <f>IF(AND(233&gt;=$NR$25,233&lt;=$NS$25),IF($NP$25="Single_Point",IF(233=$NR$25,$NN$25,0),IF($NP$25="Bell_Curve",$NN$25*(233-$NR$25+1)*($NS$25-233+1)/$NU$25,$NN$25/$NT$25)),0)</f>
        <v/>
      </c>
      <c r="ID25" s="402">
        <f>IF(AND(234&gt;=$NR$25,234&lt;=$NS$25),IF($NP$25="Single_Point",IF(234=$NR$25,$NN$25,0),IF($NP$25="Bell_Curve",$NN$25*(234-$NR$25+1)*($NS$25-234+1)/$NU$25,$NN$25/$NT$25)),0)</f>
        <v/>
      </c>
      <c r="IE25" s="402">
        <f>IF(AND(235&gt;=$NR$25,235&lt;=$NS$25),IF($NP$25="Single_Point",IF(235=$NR$25,$NN$25,0),IF($NP$25="Bell_Curve",$NN$25*(235-$NR$25+1)*($NS$25-235+1)/$NU$25,$NN$25/$NT$25)),0)</f>
        <v/>
      </c>
      <c r="IF25" s="402">
        <f>IF(AND(236&gt;=$NR$25,236&lt;=$NS$25),IF($NP$25="Single_Point",IF(236=$NR$25,$NN$25,0),IF($NP$25="Bell_Curve",$NN$25*(236-$NR$25+1)*($NS$25-236+1)/$NU$25,$NN$25/$NT$25)),0)</f>
        <v/>
      </c>
      <c r="IG25" s="402">
        <f>IF(AND(237&gt;=$NR$25,237&lt;=$NS$25),IF($NP$25="Single_Point",IF(237=$NR$25,$NN$25,0),IF($NP$25="Bell_Curve",$NN$25*(237-$NR$25+1)*($NS$25-237+1)/$NU$25,$NN$25/$NT$25)),0)</f>
        <v/>
      </c>
      <c r="IH25" s="402">
        <f>IF(AND(238&gt;=$NR$25,238&lt;=$NS$25),IF($NP$25="Single_Point",IF(238=$NR$25,$NN$25,0),IF($NP$25="Bell_Curve",$NN$25*(238-$NR$25+1)*($NS$25-238+1)/$NU$25,$NN$25/$NT$25)),0)</f>
        <v/>
      </c>
      <c r="II25" s="402">
        <f>IF(AND(239&gt;=$NR$25,239&lt;=$NS$25),IF($NP$25="Single_Point",IF(239=$NR$25,$NN$25,0),IF($NP$25="Bell_Curve",$NN$25*(239-$NR$25+1)*($NS$25-239+1)/$NU$25,$NN$25/$NT$25)),0)</f>
        <v/>
      </c>
      <c r="IJ25" s="402">
        <f>IF(AND(240&gt;=$NR$25,240&lt;=$NS$25),IF($NP$25="Single_Point",IF(240=$NR$25,$NN$25,0),IF($NP$25="Bell_Curve",$NN$25*(240-$NR$25+1)*($NS$25-240+1)/$NU$25,$NN$25/$NT$25)),0)</f>
        <v/>
      </c>
      <c r="IK25" s="402">
        <f>IF(AND(241&gt;=$NR$25,241&lt;=$NS$25),IF($NP$25="Single_Point",IF(241=$NR$25,$NN$25,0),IF($NP$25="Bell_Curve",$NN$25*(241-$NR$25+1)*($NS$25-241+1)/$NU$25,$NN$25/$NT$25)),0)</f>
        <v/>
      </c>
      <c r="IL25" s="402">
        <f>IF(AND(242&gt;=$NR$25,242&lt;=$NS$25),IF($NP$25="Single_Point",IF(242=$NR$25,$NN$25,0),IF($NP$25="Bell_Curve",$NN$25*(242-$NR$25+1)*($NS$25-242+1)/$NU$25,$NN$25/$NT$25)),0)</f>
        <v/>
      </c>
      <c r="IM25" s="402">
        <f>IF(AND(243&gt;=$NR$25,243&lt;=$NS$25),IF($NP$25="Single_Point",IF(243=$NR$25,$NN$25,0),IF($NP$25="Bell_Curve",$NN$25*(243-$NR$25+1)*($NS$25-243+1)/$NU$25,$NN$25/$NT$25)),0)</f>
        <v/>
      </c>
      <c r="IN25" s="402">
        <f>IF(AND(244&gt;=$NR$25,244&lt;=$NS$25),IF($NP$25="Single_Point",IF(244=$NR$25,$NN$25,0),IF($NP$25="Bell_Curve",$NN$25*(244-$NR$25+1)*($NS$25-244+1)/$NU$25,$NN$25/$NT$25)),0)</f>
        <v/>
      </c>
      <c r="IO25" s="402">
        <f>IF(AND(245&gt;=$NR$25,245&lt;=$NS$25),IF($NP$25="Single_Point",IF(245=$NR$25,$NN$25,0),IF($NP$25="Bell_Curve",$NN$25*(245-$NR$25+1)*($NS$25-245+1)/$NU$25,$NN$25/$NT$25)),0)</f>
        <v/>
      </c>
      <c r="IP25" s="402">
        <f>IF(AND(246&gt;=$NR$25,246&lt;=$NS$25),IF($NP$25="Single_Point",IF(246=$NR$25,$NN$25,0),IF($NP$25="Bell_Curve",$NN$25*(246-$NR$25+1)*($NS$25-246+1)/$NU$25,$NN$25/$NT$25)),0)</f>
        <v/>
      </c>
      <c r="IQ25" s="402">
        <f>IF(AND(247&gt;=$NR$25,247&lt;=$NS$25),IF($NP$25="Single_Point",IF(247=$NR$25,$NN$25,0),IF($NP$25="Bell_Curve",$NN$25*(247-$NR$25+1)*($NS$25-247+1)/$NU$25,$NN$25/$NT$25)),0)</f>
        <v/>
      </c>
      <c r="IR25" s="402">
        <f>IF(AND(248&gt;=$NR$25,248&lt;=$NS$25),IF($NP$25="Single_Point",IF(248=$NR$25,$NN$25,0),IF($NP$25="Bell_Curve",$NN$25*(248-$NR$25+1)*($NS$25-248+1)/$NU$25,$NN$25/$NT$25)),0)</f>
        <v/>
      </c>
      <c r="IS25" s="402">
        <f>IF(AND(249&gt;=$NR$25,249&lt;=$NS$25),IF($NP$25="Single_Point",IF(249=$NR$25,$NN$25,0),IF($NP$25="Bell_Curve",$NN$25*(249-$NR$25+1)*($NS$25-249+1)/$NU$25,$NN$25/$NT$25)),0)</f>
        <v/>
      </c>
      <c r="IT25" s="402">
        <f>IF(AND(250&gt;=$NR$25,250&lt;=$NS$25),IF($NP$25="Single_Point",IF(250=$NR$25,$NN$25,0),IF($NP$25="Bell_Curve",$NN$25*(250-$NR$25+1)*($NS$25-250+1)/$NU$25,$NN$25/$NT$25)),0)</f>
        <v/>
      </c>
      <c r="IU25" s="402">
        <f>IF(AND(251&gt;=$NR$25,251&lt;=$NS$25),IF($NP$25="Single_Point",IF(251=$NR$25,$NN$25,0),IF($NP$25="Bell_Curve",$NN$25*(251-$NR$25+1)*($NS$25-251+1)/$NU$25,$NN$25/$NT$25)),0)</f>
        <v/>
      </c>
      <c r="IV25" s="402">
        <f>IF(AND(252&gt;=$NR$25,252&lt;=$NS$25),IF($NP$25="Single_Point",IF(252=$NR$25,$NN$25,0),IF($NP$25="Bell_Curve",$NN$25*(252-$NR$25+1)*($NS$25-252+1)/$NU$25,$NN$25/$NT$25)),0)</f>
        <v/>
      </c>
      <c r="IW25" s="402">
        <f>IF(AND(253&gt;=$NR$25,253&lt;=$NS$25),IF($NP$25="Single_Point",IF(253=$NR$25,$NN$25,0),IF($NP$25="Bell_Curve",$NN$25*(253-$NR$25+1)*($NS$25-253+1)/$NU$25,$NN$25/$NT$25)),0)</f>
        <v/>
      </c>
      <c r="IX25" s="402">
        <f>IF(AND(254&gt;=$NR$25,254&lt;=$NS$25),IF($NP$25="Single_Point",IF(254=$NR$25,$NN$25,0),IF($NP$25="Bell_Curve",$NN$25*(254-$NR$25+1)*($NS$25-254+1)/$NU$25,$NN$25/$NT$25)),0)</f>
        <v/>
      </c>
      <c r="IY25" s="402">
        <f>IF(AND(255&gt;=$NR$25,255&lt;=$NS$25),IF($NP$25="Single_Point",IF(255=$NR$25,$NN$25,0),IF($NP$25="Bell_Curve",$NN$25*(255-$NR$25+1)*($NS$25-255+1)/$NU$25,$NN$25/$NT$25)),0)</f>
        <v/>
      </c>
      <c r="IZ25" s="402">
        <f>IF(AND(256&gt;=$NR$25,256&lt;=$NS$25),IF($NP$25="Single_Point",IF(256=$NR$25,$NN$25,0),IF($NP$25="Bell_Curve",$NN$25*(256-$NR$25+1)*($NS$25-256+1)/$NU$25,$NN$25/$NT$25)),0)</f>
        <v/>
      </c>
      <c r="JA25" s="402">
        <f>IF(AND(257&gt;=$NR$25,257&lt;=$NS$25),IF($NP$25="Single_Point",IF(257=$NR$25,$NN$25,0),IF($NP$25="Bell_Curve",$NN$25*(257-$NR$25+1)*($NS$25-257+1)/$NU$25,$NN$25/$NT$25)),0)</f>
        <v/>
      </c>
      <c r="JB25" s="402">
        <f>IF(AND(258&gt;=$NR$25,258&lt;=$NS$25),IF($NP$25="Single_Point",IF(258=$NR$25,$NN$25,0),IF($NP$25="Bell_Curve",$NN$25*(258-$NR$25+1)*($NS$25-258+1)/$NU$25,$NN$25/$NT$25)),0)</f>
        <v/>
      </c>
      <c r="JC25" s="402">
        <f>IF(AND(259&gt;=$NR$25,259&lt;=$NS$25),IF($NP$25="Single_Point",IF(259=$NR$25,$NN$25,0),IF($NP$25="Bell_Curve",$NN$25*(259-$NR$25+1)*($NS$25-259+1)/$NU$25,$NN$25/$NT$25)),0)</f>
        <v/>
      </c>
      <c r="JD25" s="402">
        <f>IF(AND(260&gt;=$NR$25,260&lt;=$NS$25),IF($NP$25="Single_Point",IF(260=$NR$25,$NN$25,0),IF($NP$25="Bell_Curve",$NN$25*(260-$NR$25+1)*($NS$25-260+1)/$NU$25,$NN$25/$NT$25)),0)</f>
        <v/>
      </c>
      <c r="JE25" s="402">
        <f>IF(AND(261&gt;=$NR$25,261&lt;=$NS$25),IF($NP$25="Single_Point",IF(261=$NR$25,$NN$25,0),IF($NP$25="Bell_Curve",$NN$25*(261-$NR$25+1)*($NS$25-261+1)/$NU$25,$NN$25/$NT$25)),0)</f>
        <v/>
      </c>
      <c r="JF25" s="402">
        <f>IF(AND(262&gt;=$NR$25,262&lt;=$NS$25),IF($NP$25="Single_Point",IF(262=$NR$25,$NN$25,0),IF($NP$25="Bell_Curve",$NN$25*(262-$NR$25+1)*($NS$25-262+1)/$NU$25,$NN$25/$NT$25)),0)</f>
        <v/>
      </c>
      <c r="JG25" s="402">
        <f>IF(AND(263&gt;=$NR$25,263&lt;=$NS$25),IF($NP$25="Single_Point",IF(263=$NR$25,$NN$25,0),IF($NP$25="Bell_Curve",$NN$25*(263-$NR$25+1)*($NS$25-263+1)/$NU$25,$NN$25/$NT$25)),0)</f>
        <v/>
      </c>
      <c r="JH25" s="402">
        <f>IF(AND(264&gt;=$NR$25,264&lt;=$NS$25),IF($NP$25="Single_Point",IF(264=$NR$25,$NN$25,0),IF($NP$25="Bell_Curve",$NN$25*(264-$NR$25+1)*($NS$25-264+1)/$NU$25,$NN$25/$NT$25)),0)</f>
        <v/>
      </c>
      <c r="JI25" s="402">
        <f>IF(AND(265&gt;=$NR$25,265&lt;=$NS$25),IF($NP$25="Single_Point",IF(265=$NR$25,$NN$25,0),IF($NP$25="Bell_Curve",$NN$25*(265-$NR$25+1)*($NS$25-265+1)/$NU$25,$NN$25/$NT$25)),0)</f>
        <v/>
      </c>
      <c r="JJ25" s="402">
        <f>IF(AND(266&gt;=$NR$25,266&lt;=$NS$25),IF($NP$25="Single_Point",IF(266=$NR$25,$NN$25,0),IF($NP$25="Bell_Curve",$NN$25*(266-$NR$25+1)*($NS$25-266+1)/$NU$25,$NN$25/$NT$25)),0)</f>
        <v/>
      </c>
      <c r="JK25" s="402">
        <f>IF(AND(267&gt;=$NR$25,267&lt;=$NS$25),IF($NP$25="Single_Point",IF(267=$NR$25,$NN$25,0),IF($NP$25="Bell_Curve",$NN$25*(267-$NR$25+1)*($NS$25-267+1)/$NU$25,$NN$25/$NT$25)),0)</f>
        <v/>
      </c>
      <c r="JL25" s="402">
        <f>IF(AND(268&gt;=$NR$25,268&lt;=$NS$25),IF($NP$25="Single_Point",IF(268=$NR$25,$NN$25,0),IF($NP$25="Bell_Curve",$NN$25*(268-$NR$25+1)*($NS$25-268+1)/$NU$25,$NN$25/$NT$25)),0)</f>
        <v/>
      </c>
      <c r="JM25" s="402">
        <f>IF(AND(269&gt;=$NR$25,269&lt;=$NS$25),IF($NP$25="Single_Point",IF(269=$NR$25,$NN$25,0),IF($NP$25="Bell_Curve",$NN$25*(269-$NR$25+1)*($NS$25-269+1)/$NU$25,$NN$25/$NT$25)),0)</f>
        <v/>
      </c>
      <c r="JN25" s="402">
        <f>IF(AND(270&gt;=$NR$25,270&lt;=$NS$25),IF($NP$25="Single_Point",IF(270=$NR$25,$NN$25,0),IF($NP$25="Bell_Curve",$NN$25*(270-$NR$25+1)*($NS$25-270+1)/$NU$25,$NN$25/$NT$25)),0)</f>
        <v/>
      </c>
      <c r="JO25" s="402">
        <f>IF(AND(271&gt;=$NR$25,271&lt;=$NS$25),IF($NP$25="Single_Point",IF(271=$NR$25,$NN$25,0),IF($NP$25="Bell_Curve",$NN$25*(271-$NR$25+1)*($NS$25-271+1)/$NU$25,$NN$25/$NT$25)),0)</f>
        <v/>
      </c>
      <c r="JP25" s="402">
        <f>IF(AND(272&gt;=$NR$25,272&lt;=$NS$25),IF($NP$25="Single_Point",IF(272=$NR$25,$NN$25,0),IF($NP$25="Bell_Curve",$NN$25*(272-$NR$25+1)*($NS$25-272+1)/$NU$25,$NN$25/$NT$25)),0)</f>
        <v/>
      </c>
      <c r="JQ25" s="402">
        <f>IF(AND(273&gt;=$NR$25,273&lt;=$NS$25),IF($NP$25="Single_Point",IF(273=$NR$25,$NN$25,0),IF($NP$25="Bell_Curve",$NN$25*(273-$NR$25+1)*($NS$25-273+1)/$NU$25,$NN$25/$NT$25)),0)</f>
        <v/>
      </c>
      <c r="JR25" s="402">
        <f>IF(AND(274&gt;=$NR$25,274&lt;=$NS$25),IF($NP$25="Single_Point",IF(274=$NR$25,$NN$25,0),IF($NP$25="Bell_Curve",$NN$25*(274-$NR$25+1)*($NS$25-274+1)/$NU$25,$NN$25/$NT$25)),0)</f>
        <v/>
      </c>
      <c r="JS25" s="402">
        <f>IF(AND(275&gt;=$NR$25,275&lt;=$NS$25),IF($NP$25="Single_Point",IF(275=$NR$25,$NN$25,0),IF($NP$25="Bell_Curve",$NN$25*(275-$NR$25+1)*($NS$25-275+1)/$NU$25,$NN$25/$NT$25)),0)</f>
        <v/>
      </c>
      <c r="JT25" s="402">
        <f>IF(AND(276&gt;=$NR$25,276&lt;=$NS$25),IF($NP$25="Single_Point",IF(276=$NR$25,$NN$25,0),IF($NP$25="Bell_Curve",$NN$25*(276-$NR$25+1)*($NS$25-276+1)/$NU$25,$NN$25/$NT$25)),0)</f>
        <v/>
      </c>
      <c r="JU25" s="402">
        <f>IF(AND(277&gt;=$NR$25,277&lt;=$NS$25),IF($NP$25="Single_Point",IF(277=$NR$25,$NN$25,0),IF($NP$25="Bell_Curve",$NN$25*(277-$NR$25+1)*($NS$25-277+1)/$NU$25,$NN$25/$NT$25)),0)</f>
        <v/>
      </c>
      <c r="JV25" s="402">
        <f>IF(AND(278&gt;=$NR$25,278&lt;=$NS$25),IF($NP$25="Single_Point",IF(278=$NR$25,$NN$25,0),IF($NP$25="Bell_Curve",$NN$25*(278-$NR$25+1)*($NS$25-278+1)/$NU$25,$NN$25/$NT$25)),0)</f>
        <v/>
      </c>
      <c r="JW25" s="402">
        <f>IF(AND(279&gt;=$NR$25,279&lt;=$NS$25),IF($NP$25="Single_Point",IF(279=$NR$25,$NN$25,0),IF($NP$25="Bell_Curve",$NN$25*(279-$NR$25+1)*($NS$25-279+1)/$NU$25,$NN$25/$NT$25)),0)</f>
        <v/>
      </c>
      <c r="JX25" s="402">
        <f>IF(AND(280&gt;=$NR$25,280&lt;=$NS$25),IF($NP$25="Single_Point",IF(280=$NR$25,$NN$25,0),IF($NP$25="Bell_Curve",$NN$25*(280-$NR$25+1)*($NS$25-280+1)/$NU$25,$NN$25/$NT$25)),0)</f>
        <v/>
      </c>
      <c r="JY25" s="402">
        <f>IF(AND(281&gt;=$NR$25,281&lt;=$NS$25),IF($NP$25="Single_Point",IF(281=$NR$25,$NN$25,0),IF($NP$25="Bell_Curve",$NN$25*(281-$NR$25+1)*($NS$25-281+1)/$NU$25,$NN$25/$NT$25)),0)</f>
        <v/>
      </c>
      <c r="JZ25" s="402">
        <f>IF(AND(282&gt;=$NR$25,282&lt;=$NS$25),IF($NP$25="Single_Point",IF(282=$NR$25,$NN$25,0),IF($NP$25="Bell_Curve",$NN$25*(282-$NR$25+1)*($NS$25-282+1)/$NU$25,$NN$25/$NT$25)),0)</f>
        <v/>
      </c>
      <c r="KA25" s="402">
        <f>IF(AND(283&gt;=$NR$25,283&lt;=$NS$25),IF($NP$25="Single_Point",IF(283=$NR$25,$NN$25,0),IF($NP$25="Bell_Curve",$NN$25*(283-$NR$25+1)*($NS$25-283+1)/$NU$25,$NN$25/$NT$25)),0)</f>
        <v/>
      </c>
      <c r="KB25" s="402">
        <f>IF(AND(284&gt;=$NR$25,284&lt;=$NS$25),IF($NP$25="Single_Point",IF(284=$NR$25,$NN$25,0),IF($NP$25="Bell_Curve",$NN$25*(284-$NR$25+1)*($NS$25-284+1)/$NU$25,$NN$25/$NT$25)),0)</f>
        <v/>
      </c>
      <c r="KC25" s="402">
        <f>IF(AND(285&gt;=$NR$25,285&lt;=$NS$25),IF($NP$25="Single_Point",IF(285=$NR$25,$NN$25,0),IF($NP$25="Bell_Curve",$NN$25*(285-$NR$25+1)*($NS$25-285+1)/$NU$25,$NN$25/$NT$25)),0)</f>
        <v/>
      </c>
      <c r="KD25" s="402">
        <f>IF(AND(286&gt;=$NR$25,286&lt;=$NS$25),IF($NP$25="Single_Point",IF(286=$NR$25,$NN$25,0),IF($NP$25="Bell_Curve",$NN$25*(286-$NR$25+1)*($NS$25-286+1)/$NU$25,$NN$25/$NT$25)),0)</f>
        <v/>
      </c>
      <c r="KE25" s="402">
        <f>IF(AND(287&gt;=$NR$25,287&lt;=$NS$25),IF($NP$25="Single_Point",IF(287=$NR$25,$NN$25,0),IF($NP$25="Bell_Curve",$NN$25*(287-$NR$25+1)*($NS$25-287+1)/$NU$25,$NN$25/$NT$25)),0)</f>
        <v/>
      </c>
      <c r="KF25" s="402">
        <f>IF(AND(288&gt;=$NR$25,288&lt;=$NS$25),IF($NP$25="Single_Point",IF(288=$NR$25,$NN$25,0),IF($NP$25="Bell_Curve",$NN$25*(288-$NR$25+1)*($NS$25-288+1)/$NU$25,$NN$25/$NT$25)),0)</f>
        <v/>
      </c>
      <c r="KG25" s="402">
        <f>IF(AND(289&gt;=$NR$25,289&lt;=$NS$25),IF($NP$25="Single_Point",IF(289=$NR$25,$NN$25,0),IF($NP$25="Bell_Curve",$NN$25*(289-$NR$25+1)*($NS$25-289+1)/$NU$25,$NN$25/$NT$25)),0)</f>
        <v/>
      </c>
      <c r="KH25" s="402">
        <f>IF(AND(290&gt;=$NR$25,290&lt;=$NS$25),IF($NP$25="Single_Point",IF(290=$NR$25,$NN$25,0),IF($NP$25="Bell_Curve",$NN$25*(290-$NR$25+1)*($NS$25-290+1)/$NU$25,$NN$25/$NT$25)),0)</f>
        <v/>
      </c>
      <c r="KI25" s="402">
        <f>IF(AND(291&gt;=$NR$25,291&lt;=$NS$25),IF($NP$25="Single_Point",IF(291=$NR$25,$NN$25,0),IF($NP$25="Bell_Curve",$NN$25*(291-$NR$25+1)*($NS$25-291+1)/$NU$25,$NN$25/$NT$25)),0)</f>
        <v/>
      </c>
      <c r="KJ25" s="402">
        <f>IF(AND(292&gt;=$NR$25,292&lt;=$NS$25),IF($NP$25="Single_Point",IF(292=$NR$25,$NN$25,0),IF($NP$25="Bell_Curve",$NN$25*(292-$NR$25+1)*($NS$25-292+1)/$NU$25,$NN$25/$NT$25)),0)</f>
        <v/>
      </c>
      <c r="KK25" s="402">
        <f>IF(AND(293&gt;=$NR$25,293&lt;=$NS$25),IF($NP$25="Single_Point",IF(293=$NR$25,$NN$25,0),IF($NP$25="Bell_Curve",$NN$25*(293-$NR$25+1)*($NS$25-293+1)/$NU$25,$NN$25/$NT$25)),0)</f>
        <v/>
      </c>
      <c r="KL25" s="402">
        <f>IF(AND(294&gt;=$NR$25,294&lt;=$NS$25),IF($NP$25="Single_Point",IF(294=$NR$25,$NN$25,0),IF($NP$25="Bell_Curve",$NN$25*(294-$NR$25+1)*($NS$25-294+1)/$NU$25,$NN$25/$NT$25)),0)</f>
        <v/>
      </c>
      <c r="KM25" s="402">
        <f>IF(AND(295&gt;=$NR$25,295&lt;=$NS$25),IF($NP$25="Single_Point",IF(295=$NR$25,$NN$25,0),IF($NP$25="Bell_Curve",$NN$25*(295-$NR$25+1)*($NS$25-295+1)/$NU$25,$NN$25/$NT$25)),0)</f>
        <v/>
      </c>
      <c r="KN25" s="402">
        <f>IF(AND(296&gt;=$NR$25,296&lt;=$NS$25),IF($NP$25="Single_Point",IF(296=$NR$25,$NN$25,0),IF($NP$25="Bell_Curve",$NN$25*(296-$NR$25+1)*($NS$25-296+1)/$NU$25,$NN$25/$NT$25)),0)</f>
        <v/>
      </c>
      <c r="KO25" s="402">
        <f>IF(AND(297&gt;=$NR$25,297&lt;=$NS$25),IF($NP$25="Single_Point",IF(297=$NR$25,$NN$25,0),IF($NP$25="Bell_Curve",$NN$25*(297-$NR$25+1)*($NS$25-297+1)/$NU$25,$NN$25/$NT$25)),0)</f>
        <v/>
      </c>
      <c r="KP25" s="402">
        <f>IF(AND(298&gt;=$NR$25,298&lt;=$NS$25),IF($NP$25="Single_Point",IF(298=$NR$25,$NN$25,0),IF($NP$25="Bell_Curve",$NN$25*(298-$NR$25+1)*($NS$25-298+1)/$NU$25,$NN$25/$NT$25)),0)</f>
        <v/>
      </c>
      <c r="KQ25" s="402">
        <f>IF(AND(299&gt;=$NR$25,299&lt;=$NS$25),IF($NP$25="Single_Point",IF(299=$NR$25,$NN$25,0),IF($NP$25="Bell_Curve",$NN$25*(299-$NR$25+1)*($NS$25-299+1)/$NU$25,$NN$25/$NT$25)),0)</f>
        <v/>
      </c>
      <c r="KR25" s="402">
        <f>IF(AND(300&gt;=$NR$25,300&lt;=$NS$25),IF($NP$25="Single_Point",IF(300=$NR$25,$NN$25,0),IF($NP$25="Bell_Curve",$NN$25*(300-$NR$25+1)*($NS$25-300+1)/$NU$25,$NN$25/$NT$25)),0)</f>
        <v/>
      </c>
      <c r="KS25" s="402">
        <f>IF(AND(301&gt;=$NR$25,301&lt;=$NS$25),IF($NP$25="Single_Point",IF(301=$NR$25,$NN$25,0),IF($NP$25="Bell_Curve",$NN$25*(301-$NR$25+1)*($NS$25-301+1)/$NU$25,$NN$25/$NT$25)),0)</f>
        <v/>
      </c>
      <c r="KT25" s="402">
        <f>IF(AND(302&gt;=$NR$25,302&lt;=$NS$25),IF($NP$25="Single_Point",IF(302=$NR$25,$NN$25,0),IF($NP$25="Bell_Curve",$NN$25*(302-$NR$25+1)*($NS$25-302+1)/$NU$25,$NN$25/$NT$25)),0)</f>
        <v/>
      </c>
      <c r="KU25" s="402">
        <f>IF(AND(303&gt;=$NR$25,303&lt;=$NS$25),IF($NP$25="Single_Point",IF(303=$NR$25,$NN$25,0),IF($NP$25="Bell_Curve",$NN$25*(303-$NR$25+1)*($NS$25-303+1)/$NU$25,$NN$25/$NT$25)),0)</f>
        <v/>
      </c>
      <c r="KV25" s="402">
        <f>IF(AND(304&gt;=$NR$25,304&lt;=$NS$25),IF($NP$25="Single_Point",IF(304=$NR$25,$NN$25,0),IF($NP$25="Bell_Curve",$NN$25*(304-$NR$25+1)*($NS$25-304+1)/$NU$25,$NN$25/$NT$25)),0)</f>
        <v/>
      </c>
      <c r="KW25" s="402">
        <f>IF(AND(305&gt;=$NR$25,305&lt;=$NS$25),IF($NP$25="Single_Point",IF(305=$NR$25,$NN$25,0),IF($NP$25="Bell_Curve",$NN$25*(305-$NR$25+1)*($NS$25-305+1)/$NU$25,$NN$25/$NT$25)),0)</f>
        <v/>
      </c>
      <c r="KX25" s="402">
        <f>IF(AND(306&gt;=$NR$25,306&lt;=$NS$25),IF($NP$25="Single_Point",IF(306=$NR$25,$NN$25,0),IF($NP$25="Bell_Curve",$NN$25*(306-$NR$25+1)*($NS$25-306+1)/$NU$25,$NN$25/$NT$25)),0)</f>
        <v/>
      </c>
      <c r="KY25" s="402">
        <f>IF(AND(307&gt;=$NR$25,307&lt;=$NS$25),IF($NP$25="Single_Point",IF(307=$NR$25,$NN$25,0),IF($NP$25="Bell_Curve",$NN$25*(307-$NR$25+1)*($NS$25-307+1)/$NU$25,$NN$25/$NT$25)),0)</f>
        <v/>
      </c>
      <c r="KZ25" s="402">
        <f>IF(AND(308&gt;=$NR$25,308&lt;=$NS$25),IF($NP$25="Single_Point",IF(308=$NR$25,$NN$25,0),IF($NP$25="Bell_Curve",$NN$25*(308-$NR$25+1)*($NS$25-308+1)/$NU$25,$NN$25/$NT$25)),0)</f>
        <v/>
      </c>
      <c r="LA25" s="402">
        <f>IF(AND(309&gt;=$NR$25,309&lt;=$NS$25),IF($NP$25="Single_Point",IF(309=$NR$25,$NN$25,0),IF($NP$25="Bell_Curve",$NN$25*(309-$NR$25+1)*($NS$25-309+1)/$NU$25,$NN$25/$NT$25)),0)</f>
        <v/>
      </c>
      <c r="LB25" s="402">
        <f>IF(AND(310&gt;=$NR$25,310&lt;=$NS$25),IF($NP$25="Single_Point",IF(310=$NR$25,$NN$25,0),IF($NP$25="Bell_Curve",$NN$25*(310-$NR$25+1)*($NS$25-310+1)/$NU$25,$NN$25/$NT$25)),0)</f>
        <v/>
      </c>
      <c r="LC25" s="402">
        <f>IF(AND(311&gt;=$NR$25,311&lt;=$NS$25),IF($NP$25="Single_Point",IF(311=$NR$25,$NN$25,0),IF($NP$25="Bell_Curve",$NN$25*(311-$NR$25+1)*($NS$25-311+1)/$NU$25,$NN$25/$NT$25)),0)</f>
        <v/>
      </c>
      <c r="LD25" s="402">
        <f>IF(AND(312&gt;=$NR$25,312&lt;=$NS$25),IF($NP$25="Single_Point",IF(312=$NR$25,$NN$25,0),IF($NP$25="Bell_Curve",$NN$25*(312-$NR$25+1)*($NS$25-312+1)/$NU$25,$NN$25/$NT$25)),0)</f>
        <v/>
      </c>
      <c r="LE25" s="402">
        <f>IF(AND(313&gt;=$NR$25,313&lt;=$NS$25),IF($NP$25="Single_Point",IF(313=$NR$25,$NN$25,0),IF($NP$25="Bell_Curve",$NN$25*(313-$NR$25+1)*($NS$25-313+1)/$NU$25,$NN$25/$NT$25)),0)</f>
        <v/>
      </c>
      <c r="LF25" s="402">
        <f>IF(AND(314&gt;=$NR$25,314&lt;=$NS$25),IF($NP$25="Single_Point",IF(314=$NR$25,$NN$25,0),IF($NP$25="Bell_Curve",$NN$25*(314-$NR$25+1)*($NS$25-314+1)/$NU$25,$NN$25/$NT$25)),0)</f>
        <v/>
      </c>
      <c r="LG25" s="402">
        <f>IF(AND(315&gt;=$NR$25,315&lt;=$NS$25),IF($NP$25="Single_Point",IF(315=$NR$25,$NN$25,0),IF($NP$25="Bell_Curve",$NN$25*(315-$NR$25+1)*($NS$25-315+1)/$NU$25,$NN$25/$NT$25)),0)</f>
        <v/>
      </c>
      <c r="LH25" s="402">
        <f>IF(AND(316&gt;=$NR$25,316&lt;=$NS$25),IF($NP$25="Single_Point",IF(316=$NR$25,$NN$25,0),IF($NP$25="Bell_Curve",$NN$25*(316-$NR$25+1)*($NS$25-316+1)/$NU$25,$NN$25/$NT$25)),0)</f>
        <v/>
      </c>
      <c r="LI25" s="402">
        <f>IF(AND(317&gt;=$NR$25,317&lt;=$NS$25),IF($NP$25="Single_Point",IF(317=$NR$25,$NN$25,0),IF($NP$25="Bell_Curve",$NN$25*(317-$NR$25+1)*($NS$25-317+1)/$NU$25,$NN$25/$NT$25)),0)</f>
        <v/>
      </c>
      <c r="LJ25" s="402">
        <f>IF(AND(318&gt;=$NR$25,318&lt;=$NS$25),IF($NP$25="Single_Point",IF(318=$NR$25,$NN$25,0),IF($NP$25="Bell_Curve",$NN$25*(318-$NR$25+1)*($NS$25-318+1)/$NU$25,$NN$25/$NT$25)),0)</f>
        <v/>
      </c>
      <c r="LK25" s="402">
        <f>IF(AND(319&gt;=$NR$25,319&lt;=$NS$25),IF($NP$25="Single_Point",IF(319=$NR$25,$NN$25,0),IF($NP$25="Bell_Curve",$NN$25*(319-$NR$25+1)*($NS$25-319+1)/$NU$25,$NN$25/$NT$25)),0)</f>
        <v/>
      </c>
      <c r="LL25" s="402">
        <f>IF(AND(320&gt;=$NR$25,320&lt;=$NS$25),IF($NP$25="Single_Point",IF(320=$NR$25,$NN$25,0),IF($NP$25="Bell_Curve",$NN$25*(320-$NR$25+1)*($NS$25-320+1)/$NU$25,$NN$25/$NT$25)),0)</f>
        <v/>
      </c>
      <c r="LM25" s="402">
        <f>IF(AND(321&gt;=$NR$25,321&lt;=$NS$25),IF($NP$25="Single_Point",IF(321=$NR$25,$NN$25,0),IF($NP$25="Bell_Curve",$NN$25*(321-$NR$25+1)*($NS$25-321+1)/$NU$25,$NN$25/$NT$25)),0)</f>
        <v/>
      </c>
      <c r="LN25" s="402">
        <f>IF(AND(322&gt;=$NR$25,322&lt;=$NS$25),IF($NP$25="Single_Point",IF(322=$NR$25,$NN$25,0),IF($NP$25="Bell_Curve",$NN$25*(322-$NR$25+1)*($NS$25-322+1)/$NU$25,$NN$25/$NT$25)),0)</f>
        <v/>
      </c>
      <c r="LO25" s="402">
        <f>IF(AND(323&gt;=$NR$25,323&lt;=$NS$25),IF($NP$25="Single_Point",IF(323=$NR$25,$NN$25,0),IF($NP$25="Bell_Curve",$NN$25*(323-$NR$25+1)*($NS$25-323+1)/$NU$25,$NN$25/$NT$25)),0)</f>
        <v/>
      </c>
      <c r="LP25" s="402">
        <f>IF(AND(324&gt;=$NR$25,324&lt;=$NS$25),IF($NP$25="Single_Point",IF(324=$NR$25,$NN$25,0),IF($NP$25="Bell_Curve",$NN$25*(324-$NR$25+1)*($NS$25-324+1)/$NU$25,$NN$25/$NT$25)),0)</f>
        <v/>
      </c>
      <c r="LQ25" s="402">
        <f>IF(AND(325&gt;=$NR$25,325&lt;=$NS$25),IF($NP$25="Single_Point",IF(325=$NR$25,$NN$25,0),IF($NP$25="Bell_Curve",$NN$25*(325-$NR$25+1)*($NS$25-325+1)/$NU$25,$NN$25/$NT$25)),0)</f>
        <v/>
      </c>
      <c r="LR25" s="402">
        <f>IF(AND(326&gt;=$NR$25,326&lt;=$NS$25),IF($NP$25="Single_Point",IF(326=$NR$25,$NN$25,0),IF($NP$25="Bell_Curve",$NN$25*(326-$NR$25+1)*($NS$25-326+1)/$NU$25,$NN$25/$NT$25)),0)</f>
        <v/>
      </c>
      <c r="LS25" s="402">
        <f>IF(AND(327&gt;=$NR$25,327&lt;=$NS$25),IF($NP$25="Single_Point",IF(327=$NR$25,$NN$25,0),IF($NP$25="Bell_Curve",$NN$25*(327-$NR$25+1)*($NS$25-327+1)/$NU$25,$NN$25/$NT$25)),0)</f>
        <v/>
      </c>
      <c r="LT25" s="402">
        <f>IF(AND(328&gt;=$NR$25,328&lt;=$NS$25),IF($NP$25="Single_Point",IF(328=$NR$25,$NN$25,0),IF($NP$25="Bell_Curve",$NN$25*(328-$NR$25+1)*($NS$25-328+1)/$NU$25,$NN$25/$NT$25)),0)</f>
        <v/>
      </c>
      <c r="LU25" s="402">
        <f>IF(AND(329&gt;=$NR$25,329&lt;=$NS$25),IF($NP$25="Single_Point",IF(329=$NR$25,$NN$25,0),IF($NP$25="Bell_Curve",$NN$25*(329-$NR$25+1)*($NS$25-329+1)/$NU$25,$NN$25/$NT$25)),0)</f>
        <v/>
      </c>
      <c r="LV25" s="402">
        <f>IF(AND(330&gt;=$NR$25,330&lt;=$NS$25),IF($NP$25="Single_Point",IF(330=$NR$25,$NN$25,0),IF($NP$25="Bell_Curve",$NN$25*(330-$NR$25+1)*($NS$25-330+1)/$NU$25,$NN$25/$NT$25)),0)</f>
        <v/>
      </c>
      <c r="LW25" s="402">
        <f>IF(AND(331&gt;=$NR$25,331&lt;=$NS$25),IF($NP$25="Single_Point",IF(331=$NR$25,$NN$25,0),IF($NP$25="Bell_Curve",$NN$25*(331-$NR$25+1)*($NS$25-331+1)/$NU$25,$NN$25/$NT$25)),0)</f>
        <v/>
      </c>
      <c r="LX25" s="402">
        <f>IF(AND(332&gt;=$NR$25,332&lt;=$NS$25),IF($NP$25="Single_Point",IF(332=$NR$25,$NN$25,0),IF($NP$25="Bell_Curve",$NN$25*(332-$NR$25+1)*($NS$25-332+1)/$NU$25,$NN$25/$NT$25)),0)</f>
        <v/>
      </c>
      <c r="LY25" s="402">
        <f>IF(AND(333&gt;=$NR$25,333&lt;=$NS$25),IF($NP$25="Single_Point",IF(333=$NR$25,$NN$25,0),IF($NP$25="Bell_Curve",$NN$25*(333-$NR$25+1)*($NS$25-333+1)/$NU$25,$NN$25/$NT$25)),0)</f>
        <v/>
      </c>
      <c r="LZ25" s="402">
        <f>IF(AND(334&gt;=$NR$25,334&lt;=$NS$25),IF($NP$25="Single_Point",IF(334=$NR$25,$NN$25,0),IF($NP$25="Bell_Curve",$NN$25*(334-$NR$25+1)*($NS$25-334+1)/$NU$25,$NN$25/$NT$25)),0)</f>
        <v/>
      </c>
      <c r="MA25" s="402">
        <f>IF(AND(335&gt;=$NR$25,335&lt;=$NS$25),IF($NP$25="Single_Point",IF(335=$NR$25,$NN$25,0),IF($NP$25="Bell_Curve",$NN$25*(335-$NR$25+1)*($NS$25-335+1)/$NU$25,$NN$25/$NT$25)),0)</f>
        <v/>
      </c>
      <c r="MB25" s="402">
        <f>IF(AND(336&gt;=$NR$25,336&lt;=$NS$25),IF($NP$25="Single_Point",IF(336=$NR$25,$NN$25,0),IF($NP$25="Bell_Curve",$NN$25*(336-$NR$25+1)*($NS$25-336+1)/$NU$25,$NN$25/$NT$25)),0)</f>
        <v/>
      </c>
      <c r="MC25" s="402">
        <f>IF(AND(337&gt;=$NR$25,337&lt;=$NS$25),IF($NP$25="Single_Point",IF(337=$NR$25,$NN$25,0),IF($NP$25="Bell_Curve",$NN$25*(337-$NR$25+1)*($NS$25-337+1)/$NU$25,$NN$25/$NT$25)),0)</f>
        <v/>
      </c>
      <c r="MD25" s="402">
        <f>IF(AND(338&gt;=$NR$25,338&lt;=$NS$25),IF($NP$25="Single_Point",IF(338=$NR$25,$NN$25,0),IF($NP$25="Bell_Curve",$NN$25*(338-$NR$25+1)*($NS$25-338+1)/$NU$25,$NN$25/$NT$25)),0)</f>
        <v/>
      </c>
      <c r="ME25" s="402">
        <f>IF(AND(339&gt;=$NR$25,339&lt;=$NS$25),IF($NP$25="Single_Point",IF(339=$NR$25,$NN$25,0),IF($NP$25="Bell_Curve",$NN$25*(339-$NR$25+1)*($NS$25-339+1)/$NU$25,$NN$25/$NT$25)),0)</f>
        <v/>
      </c>
      <c r="MF25" s="402">
        <f>IF(AND(340&gt;=$NR$25,340&lt;=$NS$25),IF($NP$25="Single_Point",IF(340=$NR$25,$NN$25,0),IF($NP$25="Bell_Curve",$NN$25*(340-$NR$25+1)*($NS$25-340+1)/$NU$25,$NN$25/$NT$25)),0)</f>
        <v/>
      </c>
      <c r="MG25" s="402">
        <f>IF(AND(341&gt;=$NR$25,341&lt;=$NS$25),IF($NP$25="Single_Point",IF(341=$NR$25,$NN$25,0),IF($NP$25="Bell_Curve",$NN$25*(341-$NR$25+1)*($NS$25-341+1)/$NU$25,$NN$25/$NT$25)),0)</f>
        <v/>
      </c>
      <c r="MH25" s="402">
        <f>IF(AND(342&gt;=$NR$25,342&lt;=$NS$25),IF($NP$25="Single_Point",IF(342=$NR$25,$NN$25,0),IF($NP$25="Bell_Curve",$NN$25*(342-$NR$25+1)*($NS$25-342+1)/$NU$25,$NN$25/$NT$25)),0)</f>
        <v/>
      </c>
      <c r="MI25" s="402">
        <f>IF(AND(343&gt;=$NR$25,343&lt;=$NS$25),IF($NP$25="Single_Point",IF(343=$NR$25,$NN$25,0),IF($NP$25="Bell_Curve",$NN$25*(343-$NR$25+1)*($NS$25-343+1)/$NU$25,$NN$25/$NT$25)),0)</f>
        <v/>
      </c>
      <c r="MJ25" s="402">
        <f>IF(AND(344&gt;=$NR$25,344&lt;=$NS$25),IF($NP$25="Single_Point",IF(344=$NR$25,$NN$25,0),IF($NP$25="Bell_Curve",$NN$25*(344-$NR$25+1)*($NS$25-344+1)/$NU$25,$NN$25/$NT$25)),0)</f>
        <v/>
      </c>
      <c r="MK25" s="402">
        <f>IF(AND(345&gt;=$NR$25,345&lt;=$NS$25),IF($NP$25="Single_Point",IF(345=$NR$25,$NN$25,0),IF($NP$25="Bell_Curve",$NN$25*(345-$NR$25+1)*($NS$25-345+1)/$NU$25,$NN$25/$NT$25)),0)</f>
        <v/>
      </c>
      <c r="ML25" s="402">
        <f>IF(AND(346&gt;=$NR$25,346&lt;=$NS$25),IF($NP$25="Single_Point",IF(346=$NR$25,$NN$25,0),IF($NP$25="Bell_Curve",$NN$25*(346-$NR$25+1)*($NS$25-346+1)/$NU$25,$NN$25/$NT$25)),0)</f>
        <v/>
      </c>
      <c r="MM25" s="402">
        <f>IF(AND(347&gt;=$NR$25,347&lt;=$NS$25),IF($NP$25="Single_Point",IF(347=$NR$25,$NN$25,0),IF($NP$25="Bell_Curve",$NN$25*(347-$NR$25+1)*($NS$25-347+1)/$NU$25,$NN$25/$NT$25)),0)</f>
        <v/>
      </c>
      <c r="MN25" s="402">
        <f>IF(AND(348&gt;=$NR$25,348&lt;=$NS$25),IF($NP$25="Single_Point",IF(348=$NR$25,$NN$25,0),IF($NP$25="Bell_Curve",$NN$25*(348-$NR$25+1)*($NS$25-348+1)/$NU$25,$NN$25/$NT$25)),0)</f>
        <v/>
      </c>
      <c r="MO25" s="402">
        <f>IF(AND(349&gt;=$NR$25,349&lt;=$NS$25),IF($NP$25="Single_Point",IF(349=$NR$25,$NN$25,0),IF($NP$25="Bell_Curve",$NN$25*(349-$NR$25+1)*($NS$25-349+1)/$NU$25,$NN$25/$NT$25)),0)</f>
        <v/>
      </c>
      <c r="MP25" s="402">
        <f>IF(AND(350&gt;=$NR$25,350&lt;=$NS$25),IF($NP$25="Single_Point",IF(350=$NR$25,$NN$25,0),IF($NP$25="Bell_Curve",$NN$25*(350-$NR$25+1)*($NS$25-350+1)/$NU$25,$NN$25/$NT$25)),0)</f>
        <v/>
      </c>
      <c r="MQ25" s="402">
        <f>IF(AND(351&gt;=$NR$25,351&lt;=$NS$25),IF($NP$25="Single_Point",IF(351=$NR$25,$NN$25,0),IF($NP$25="Bell_Curve",$NN$25*(351-$NR$25+1)*($NS$25-351+1)/$NU$25,$NN$25/$NT$25)),0)</f>
        <v/>
      </c>
      <c r="MR25" s="402">
        <f>IF(AND(352&gt;=$NR$25,352&lt;=$NS$25),IF($NP$25="Single_Point",IF(352=$NR$25,$NN$25,0),IF($NP$25="Bell_Curve",$NN$25*(352-$NR$25+1)*($NS$25-352+1)/$NU$25,$NN$25/$NT$25)),0)</f>
        <v/>
      </c>
      <c r="MS25" s="402">
        <f>IF(AND(353&gt;=$NR$25,353&lt;=$NS$25),IF($NP$25="Single_Point",IF(353=$NR$25,$NN$25,0),IF($NP$25="Bell_Curve",$NN$25*(353-$NR$25+1)*($NS$25-353+1)/$NU$25,$NN$25/$NT$25)),0)</f>
        <v/>
      </c>
      <c r="MT25" s="402">
        <f>IF(AND(354&gt;=$NR$25,354&lt;=$NS$25),IF($NP$25="Single_Point",IF(354=$NR$25,$NN$25,0),IF($NP$25="Bell_Curve",$NN$25*(354-$NR$25+1)*($NS$25-354+1)/$NU$25,$NN$25/$NT$25)),0)</f>
        <v/>
      </c>
      <c r="MU25" s="402">
        <f>IF(AND(355&gt;=$NR$25,355&lt;=$NS$25),IF($NP$25="Single_Point",IF(355=$NR$25,$NN$25,0),IF($NP$25="Bell_Curve",$NN$25*(355-$NR$25+1)*($NS$25-355+1)/$NU$25,$NN$25/$NT$25)),0)</f>
        <v/>
      </c>
      <c r="MV25" s="402">
        <f>IF(AND(356&gt;=$NR$25,356&lt;=$NS$25),IF($NP$25="Single_Point",IF(356=$NR$25,$NN$25,0),IF($NP$25="Bell_Curve",$NN$25*(356-$NR$25+1)*($NS$25-356+1)/$NU$25,$NN$25/$NT$25)),0)</f>
        <v/>
      </c>
      <c r="MW25" s="402">
        <f>IF(AND(357&gt;=$NR$25,357&lt;=$NS$25),IF($NP$25="Single_Point",IF(357=$NR$25,$NN$25,0),IF($NP$25="Bell_Curve",$NN$25*(357-$NR$25+1)*($NS$25-357+1)/$NU$25,$NN$25/$NT$25)),0)</f>
        <v/>
      </c>
      <c r="MX25" s="402">
        <f>IF(AND(358&gt;=$NR$25,358&lt;=$NS$25),IF($NP$25="Single_Point",IF(358=$NR$25,$NN$25,0),IF($NP$25="Bell_Curve",$NN$25*(358-$NR$25+1)*($NS$25-358+1)/$NU$25,$NN$25/$NT$25)),0)</f>
        <v/>
      </c>
      <c r="MY25" s="402">
        <f>IF(AND(359&gt;=$NR$25,359&lt;=$NS$25),IF($NP$25="Single_Point",IF(359=$NR$25,$NN$25,0),IF($NP$25="Bell_Curve",$NN$25*(359-$NR$25+1)*($NS$25-359+1)/$NU$25,$NN$25/$NT$25)),0)</f>
        <v/>
      </c>
      <c r="MZ25" s="402">
        <f>IF(AND(360&gt;=$NR$25,360&lt;=$NS$25),IF($NP$25="Single_Point",IF(360=$NR$25,$NN$25,0),IF($NP$25="Bell_Curve",$NN$25*(360-$NR$25+1)*($NS$25-360+1)/$NU$25,$NN$25/$NT$25)),0)</f>
        <v/>
      </c>
      <c r="NA25" s="402">
        <f>IF(AND(361&gt;=$NR$25,361&lt;=$NS$25),IF($NP$25="Single_Point",IF(361=$NR$25,$NN$25,0),IF($NP$25="Bell_Curve",$NN$25*(361-$NR$25+1)*($NS$25-361+1)/$NU$25,$NN$25/$NT$25)),0)</f>
        <v/>
      </c>
      <c r="NB25" s="402">
        <f>IF(AND(362&gt;=$NR$25,362&lt;=$NS$25),IF($NP$25="Single_Point",IF(362=$NR$25,$NN$25,0),IF($NP$25="Bell_Curve",$NN$25*(362-$NR$25+1)*($NS$25-362+1)/$NU$25,$NN$25/$NT$25)),0)</f>
        <v/>
      </c>
      <c r="NC25" s="402">
        <f>IF(AND(363&gt;=$NR$25,363&lt;=$NS$25),IF($NP$25="Single_Point",IF(363=$NR$25,$NN$25,0),IF($NP$25="Bell_Curve",$NN$25*(363-$NR$25+1)*($NS$25-363+1)/$NU$25,$NN$25/$NT$25)),0)</f>
        <v/>
      </c>
      <c r="ND25" s="402">
        <f>IF(AND(364&gt;=$NR$25,364&lt;=$NS$25),IF($NP$25="Single_Point",IF(364=$NR$25,$NN$25,0),IF($NP$25="Bell_Curve",$NN$25*(364-$NR$25+1)*($NS$25-364+1)/$NU$25,$NN$25/$NT$25)),0)</f>
        <v/>
      </c>
      <c r="NE25" s="402">
        <f>IF(AND(365&gt;=$NR$25,365&lt;=$NS$25),IF($NP$25="Single_Point",IF(365=$NR$25,$NN$25,0),IF($NP$25="Bell_Curve",$NN$25*(365-$NR$25+1)*($NS$25-365+1)/$NU$25,$NN$25/$NT$25)),0)</f>
        <v/>
      </c>
      <c r="NF25" s="402">
        <f>IF(AND(366&gt;=$NR$25,366&lt;=$NS$25),IF($NP$25="Single_Point",IF(366=$NR$25,$NN$25,0),IF($NP$25="Bell_Curve",$NN$25*(366-$NR$25+1)*($NS$25-366+1)/$NU$25,$NN$25/$NT$25)),0)</f>
        <v/>
      </c>
      <c r="NG25" s="402">
        <f>IF(AND(367&gt;=$NR$25,367&lt;=$NS$25),IF($NP$25="Single_Point",IF(367=$NR$25,$NN$25,0),IF($NP$25="Bell_Curve",$NN$25*(367-$NR$25+1)*($NS$25-367+1)/$NU$25,$NN$25/$NT$25)),0)</f>
        <v/>
      </c>
      <c r="NH25" s="402">
        <f>IF(AND(368&gt;=$NR$25,368&lt;=$NS$25),IF($NP$25="Single_Point",IF(368=$NR$25,$NN$25,0),IF($NP$25="Bell_Curve",$NN$25*(368-$NR$25+1)*($NS$25-368+1)/$NU$25,$NN$25/$NT$25)),0)</f>
        <v/>
      </c>
      <c r="NI25" s="402">
        <f>IF(AND(369&gt;=$NR$25,369&lt;=$NS$25),IF($NP$25="Single_Point",IF(369=$NR$25,$NN$25,0),IF($NP$25="Bell_Curve",$NN$25*(369-$NR$25+1)*($NS$25-369+1)/$NU$25,$NN$25/$NT$25)),0)</f>
        <v/>
      </c>
      <c r="NJ25" s="402">
        <f>IF(AND(370&gt;=$NR$25,370&lt;=$NS$25),IF($NP$25="Single_Point",IF(370=$NR$25,$NN$25,0),IF($NP$25="Bell_Curve",$NN$25*(370-$NR$25+1)*($NS$25-370+1)/$NU$25,$NN$25/$NT$25)),0)</f>
        <v/>
      </c>
      <c r="NK25" s="402">
        <f>IF(AND(371&gt;=$NR$25,371&lt;=$NS$25),IF($NP$25="Single_Point",IF(371=$NR$25,$NN$25,0),IF($NP$25="Bell_Curve",$NN$25*(371-$NR$25+1)*($NS$25-371+1)/$NU$25,$NN$25/$NT$25)),0)</f>
        <v/>
      </c>
      <c r="NL25" s="426">
        <f>IF(AND(372&gt;=$NR$25,372&lt;=$NS$25),IF($NP$25="Single_Point",IF(372=$NR$25,$NN$25,0),IF($NP$25="Bell_Curve",$NN$25*(372-$NR$25+1)*($NS$25-372+1)/$NU$25,$NN$25/$NT$25)),0)</f>
        <v/>
      </c>
      <c r="NM25">
        <f>Budget!C24</f>
        <v/>
      </c>
      <c r="NN25" s="218">
        <f>Budget!J24</f>
        <v/>
      </c>
      <c r="NO25" s="144">
        <f>Budget!G24</f>
        <v/>
      </c>
      <c r="NP25" s="144">
        <f>Budget!H24</f>
        <v/>
      </c>
      <c r="NQ25" s="85">
        <f>Budget!I24</f>
        <v/>
      </c>
      <c r="NR25" s="248">
        <f>MAX(1,MIN(372,INDEX(MilestoneStart,MATCH(NO25,MilestoneNames,0))+NQ25))</f>
        <v/>
      </c>
      <c r="NS25" s="248">
        <f>MAX(NR25,MIN(372,INDEX(MilestoneEnd,MATCH(NO25,MilestoneNames,0))+NQ25))</f>
        <v/>
      </c>
      <c r="NT25" s="85">
        <f>NS25-NR25+1</f>
        <v/>
      </c>
      <c r="NU25" s="85">
        <f>NT25*(NT25+1)*(NT25+2)/6</f>
        <v/>
      </c>
    </row>
    <row r="26">
      <c r="B26" s="296">
        <f>Budget!B25</f>
        <v/>
      </c>
      <c r="D26" s="425">
        <f>SUM(E26:NL26)</f>
        <v/>
      </c>
      <c r="E26" s="402">
        <f>IF(AND(1&gt;=$NR$26,1&lt;=$NS$26),IF($NP$26="Single_Point",IF(1=$NR$26,$NN$26,0),IF($NP$26="Bell_Curve",$NN$26*(1-$NR$26+1)*($NS$26-1+1)/$NU$26,$NN$26/$NT$26)),0)</f>
        <v/>
      </c>
      <c r="F26" s="402">
        <f>IF(AND(2&gt;=$NR$26,2&lt;=$NS$26),IF($NP$26="Single_Point",IF(2=$NR$26,$NN$26,0),IF($NP$26="Bell_Curve",$NN$26*(2-$NR$26+1)*($NS$26-2+1)/$NU$26,$NN$26/$NT$26)),0)</f>
        <v/>
      </c>
      <c r="G26" s="402">
        <f>IF(AND(3&gt;=$NR$26,3&lt;=$NS$26),IF($NP$26="Single_Point",IF(3=$NR$26,$NN$26,0),IF($NP$26="Bell_Curve",$NN$26*(3-$NR$26+1)*($NS$26-3+1)/$NU$26,$NN$26/$NT$26)),0)</f>
        <v/>
      </c>
      <c r="H26" s="402">
        <f>IF(AND(4&gt;=$NR$26,4&lt;=$NS$26),IF($NP$26="Single_Point",IF(4=$NR$26,$NN$26,0),IF($NP$26="Bell_Curve",$NN$26*(4-$NR$26+1)*($NS$26-4+1)/$NU$26,$NN$26/$NT$26)),0)</f>
        <v/>
      </c>
      <c r="I26" s="402">
        <f>IF(AND(5&gt;=$NR$26,5&lt;=$NS$26),IF($NP$26="Single_Point",IF(5=$NR$26,$NN$26,0),IF($NP$26="Bell_Curve",$NN$26*(5-$NR$26+1)*($NS$26-5+1)/$NU$26,$NN$26/$NT$26)),0)</f>
        <v/>
      </c>
      <c r="J26" s="402">
        <f>IF(AND(6&gt;=$NR$26,6&lt;=$NS$26),IF($NP$26="Single_Point",IF(6=$NR$26,$NN$26,0),IF($NP$26="Bell_Curve",$NN$26*(6-$NR$26+1)*($NS$26-6+1)/$NU$26,$NN$26/$NT$26)),0)</f>
        <v/>
      </c>
      <c r="K26" s="402">
        <f>IF(AND(7&gt;=$NR$26,7&lt;=$NS$26),IF($NP$26="Single_Point",IF(7=$NR$26,$NN$26,0),IF($NP$26="Bell_Curve",$NN$26*(7-$NR$26+1)*($NS$26-7+1)/$NU$26,$NN$26/$NT$26)),0)</f>
        <v/>
      </c>
      <c r="L26" s="402">
        <f>IF(AND(8&gt;=$NR$26,8&lt;=$NS$26),IF($NP$26="Single_Point",IF(8=$NR$26,$NN$26,0),IF($NP$26="Bell_Curve",$NN$26*(8-$NR$26+1)*($NS$26-8+1)/$NU$26,$NN$26/$NT$26)),0)</f>
        <v/>
      </c>
      <c r="M26" s="402">
        <f>IF(AND(9&gt;=$NR$26,9&lt;=$NS$26),IF($NP$26="Single_Point",IF(9=$NR$26,$NN$26,0),IF($NP$26="Bell_Curve",$NN$26*(9-$NR$26+1)*($NS$26-9+1)/$NU$26,$NN$26/$NT$26)),0)</f>
        <v/>
      </c>
      <c r="N26" s="402">
        <f>IF(AND(10&gt;=$NR$26,10&lt;=$NS$26),IF($NP$26="Single_Point",IF(10=$NR$26,$NN$26,0),IF($NP$26="Bell_Curve",$NN$26*(10-$NR$26+1)*($NS$26-10+1)/$NU$26,$NN$26/$NT$26)),0)</f>
        <v/>
      </c>
      <c r="O26" s="402">
        <f>IF(AND(11&gt;=$NR$26,11&lt;=$NS$26),IF($NP$26="Single_Point",IF(11=$NR$26,$NN$26,0),IF($NP$26="Bell_Curve",$NN$26*(11-$NR$26+1)*($NS$26-11+1)/$NU$26,$NN$26/$NT$26)),0)</f>
        <v/>
      </c>
      <c r="P26" s="402">
        <f>IF(AND(12&gt;=$NR$26,12&lt;=$NS$26),IF($NP$26="Single_Point",IF(12=$NR$26,$NN$26,0),IF($NP$26="Bell_Curve",$NN$26*(12-$NR$26+1)*($NS$26-12+1)/$NU$26,$NN$26/$NT$26)),0)</f>
        <v/>
      </c>
      <c r="Q26" s="402">
        <f>IF(AND(13&gt;=$NR$26,13&lt;=$NS$26),IF($NP$26="Single_Point",IF(13=$NR$26,$NN$26,0),IF($NP$26="Bell_Curve",$NN$26*(13-$NR$26+1)*($NS$26-13+1)/$NU$26,$NN$26/$NT$26)),0)</f>
        <v/>
      </c>
      <c r="R26" s="402">
        <f>IF(AND(14&gt;=$NR$26,14&lt;=$NS$26),IF($NP$26="Single_Point",IF(14=$NR$26,$NN$26,0),IF($NP$26="Bell_Curve",$NN$26*(14-$NR$26+1)*($NS$26-14+1)/$NU$26,$NN$26/$NT$26)),0)</f>
        <v/>
      </c>
      <c r="S26" s="402">
        <f>IF(AND(15&gt;=$NR$26,15&lt;=$NS$26),IF($NP$26="Single_Point",IF(15=$NR$26,$NN$26,0),IF($NP$26="Bell_Curve",$NN$26*(15-$NR$26+1)*($NS$26-15+1)/$NU$26,$NN$26/$NT$26)),0)</f>
        <v/>
      </c>
      <c r="T26" s="402">
        <f>IF(AND(16&gt;=$NR$26,16&lt;=$NS$26),IF($NP$26="Single_Point",IF(16=$NR$26,$NN$26,0),IF($NP$26="Bell_Curve",$NN$26*(16-$NR$26+1)*($NS$26-16+1)/$NU$26,$NN$26/$NT$26)),0)</f>
        <v/>
      </c>
      <c r="U26" s="402">
        <f>IF(AND(17&gt;=$NR$26,17&lt;=$NS$26),IF($NP$26="Single_Point",IF(17=$NR$26,$NN$26,0),IF($NP$26="Bell_Curve",$NN$26*(17-$NR$26+1)*($NS$26-17+1)/$NU$26,$NN$26/$NT$26)),0)</f>
        <v/>
      </c>
      <c r="V26" s="402">
        <f>IF(AND(18&gt;=$NR$26,18&lt;=$NS$26),IF($NP$26="Single_Point",IF(18=$NR$26,$NN$26,0),IF($NP$26="Bell_Curve",$NN$26*(18-$NR$26+1)*($NS$26-18+1)/$NU$26,$NN$26/$NT$26)),0)</f>
        <v/>
      </c>
      <c r="W26" s="402">
        <f>IF(AND(19&gt;=$NR$26,19&lt;=$NS$26),IF($NP$26="Single_Point",IF(19=$NR$26,$NN$26,0),IF($NP$26="Bell_Curve",$NN$26*(19-$NR$26+1)*($NS$26-19+1)/$NU$26,$NN$26/$NT$26)),0)</f>
        <v/>
      </c>
      <c r="X26" s="402">
        <f>IF(AND(20&gt;=$NR$26,20&lt;=$NS$26),IF($NP$26="Single_Point",IF(20=$NR$26,$NN$26,0),IF($NP$26="Bell_Curve",$NN$26*(20-$NR$26+1)*($NS$26-20+1)/$NU$26,$NN$26/$NT$26)),0)</f>
        <v/>
      </c>
      <c r="Y26" s="402">
        <f>IF(AND(21&gt;=$NR$26,21&lt;=$NS$26),IF($NP$26="Single_Point",IF(21=$NR$26,$NN$26,0),IF($NP$26="Bell_Curve",$NN$26*(21-$NR$26+1)*($NS$26-21+1)/$NU$26,$NN$26/$NT$26)),0)</f>
        <v/>
      </c>
      <c r="Z26" s="402">
        <f>IF(AND(22&gt;=$NR$26,22&lt;=$NS$26),IF($NP$26="Single_Point",IF(22=$NR$26,$NN$26,0),IF($NP$26="Bell_Curve",$NN$26*(22-$NR$26+1)*($NS$26-22+1)/$NU$26,$NN$26/$NT$26)),0)</f>
        <v/>
      </c>
      <c r="AA26" s="402">
        <f>IF(AND(23&gt;=$NR$26,23&lt;=$NS$26),IF($NP$26="Single_Point",IF(23=$NR$26,$NN$26,0),IF($NP$26="Bell_Curve",$NN$26*(23-$NR$26+1)*($NS$26-23+1)/$NU$26,$NN$26/$NT$26)),0)</f>
        <v/>
      </c>
      <c r="AB26" s="402">
        <f>IF(AND(24&gt;=$NR$26,24&lt;=$NS$26),IF($NP$26="Single_Point",IF(24=$NR$26,$NN$26,0),IF($NP$26="Bell_Curve",$NN$26*(24-$NR$26+1)*($NS$26-24+1)/$NU$26,$NN$26/$NT$26)),0)</f>
        <v/>
      </c>
      <c r="AC26" s="402">
        <f>IF(AND(25&gt;=$NR$26,25&lt;=$NS$26),IF($NP$26="Single_Point",IF(25=$NR$26,$NN$26,0),IF($NP$26="Bell_Curve",$NN$26*(25-$NR$26+1)*($NS$26-25+1)/$NU$26,$NN$26/$NT$26)),0)</f>
        <v/>
      </c>
      <c r="AD26" s="402">
        <f>IF(AND(26&gt;=$NR$26,26&lt;=$NS$26),IF($NP$26="Single_Point",IF(26=$NR$26,$NN$26,0),IF($NP$26="Bell_Curve",$NN$26*(26-$NR$26+1)*($NS$26-26+1)/$NU$26,$NN$26/$NT$26)),0)</f>
        <v/>
      </c>
      <c r="AE26" s="402">
        <f>IF(AND(27&gt;=$NR$26,27&lt;=$NS$26),IF($NP$26="Single_Point",IF(27=$NR$26,$NN$26,0),IF($NP$26="Bell_Curve",$NN$26*(27-$NR$26+1)*($NS$26-27+1)/$NU$26,$NN$26/$NT$26)),0)</f>
        <v/>
      </c>
      <c r="AF26" s="402">
        <f>IF(AND(28&gt;=$NR$26,28&lt;=$NS$26),IF($NP$26="Single_Point",IF(28=$NR$26,$NN$26,0),IF($NP$26="Bell_Curve",$NN$26*(28-$NR$26+1)*($NS$26-28+1)/$NU$26,$NN$26/$NT$26)),0)</f>
        <v/>
      </c>
      <c r="AG26" s="402">
        <f>IF(AND(29&gt;=$NR$26,29&lt;=$NS$26),IF($NP$26="Single_Point",IF(29=$NR$26,$NN$26,0),IF($NP$26="Bell_Curve",$NN$26*(29-$NR$26+1)*($NS$26-29+1)/$NU$26,$NN$26/$NT$26)),0)</f>
        <v/>
      </c>
      <c r="AH26" s="402">
        <f>IF(AND(30&gt;=$NR$26,30&lt;=$NS$26),IF($NP$26="Single_Point",IF(30=$NR$26,$NN$26,0),IF($NP$26="Bell_Curve",$NN$26*(30-$NR$26+1)*($NS$26-30+1)/$NU$26,$NN$26/$NT$26)),0)</f>
        <v/>
      </c>
      <c r="AI26" s="402">
        <f>IF(AND(31&gt;=$NR$26,31&lt;=$NS$26),IF($NP$26="Single_Point",IF(31=$NR$26,$NN$26,0),IF($NP$26="Bell_Curve",$NN$26*(31-$NR$26+1)*($NS$26-31+1)/$NU$26,$NN$26/$NT$26)),0)</f>
        <v/>
      </c>
      <c r="AJ26" s="402">
        <f>IF(AND(32&gt;=$NR$26,32&lt;=$NS$26),IF($NP$26="Single_Point",IF(32=$NR$26,$NN$26,0),IF($NP$26="Bell_Curve",$NN$26*(32-$NR$26+1)*($NS$26-32+1)/$NU$26,$NN$26/$NT$26)),0)</f>
        <v/>
      </c>
      <c r="AK26" s="402">
        <f>IF(AND(33&gt;=$NR$26,33&lt;=$NS$26),IF($NP$26="Single_Point",IF(33=$NR$26,$NN$26,0),IF($NP$26="Bell_Curve",$NN$26*(33-$NR$26+1)*($NS$26-33+1)/$NU$26,$NN$26/$NT$26)),0)</f>
        <v/>
      </c>
      <c r="AL26" s="402">
        <f>IF(AND(34&gt;=$NR$26,34&lt;=$NS$26),IF($NP$26="Single_Point",IF(34=$NR$26,$NN$26,0),IF($NP$26="Bell_Curve",$NN$26*(34-$NR$26+1)*($NS$26-34+1)/$NU$26,$NN$26/$NT$26)),0)</f>
        <v/>
      </c>
      <c r="AM26" s="402">
        <f>IF(AND(35&gt;=$NR$26,35&lt;=$NS$26),IF($NP$26="Single_Point",IF(35=$NR$26,$NN$26,0),IF($NP$26="Bell_Curve",$NN$26*(35-$NR$26+1)*($NS$26-35+1)/$NU$26,$NN$26/$NT$26)),0)</f>
        <v/>
      </c>
      <c r="AN26" s="402">
        <f>IF(AND(36&gt;=$NR$26,36&lt;=$NS$26),IF($NP$26="Single_Point",IF(36=$NR$26,$NN$26,0),IF($NP$26="Bell_Curve",$NN$26*(36-$NR$26+1)*($NS$26-36+1)/$NU$26,$NN$26/$NT$26)),0)</f>
        <v/>
      </c>
      <c r="AO26" s="402">
        <f>IF(AND(37&gt;=$NR$26,37&lt;=$NS$26),IF($NP$26="Single_Point",IF(37=$NR$26,$NN$26,0),IF($NP$26="Bell_Curve",$NN$26*(37-$NR$26+1)*($NS$26-37+1)/$NU$26,$NN$26/$NT$26)),0)</f>
        <v/>
      </c>
      <c r="AP26" s="402">
        <f>IF(AND(38&gt;=$NR$26,38&lt;=$NS$26),IF($NP$26="Single_Point",IF(38=$NR$26,$NN$26,0),IF($NP$26="Bell_Curve",$NN$26*(38-$NR$26+1)*($NS$26-38+1)/$NU$26,$NN$26/$NT$26)),0)</f>
        <v/>
      </c>
      <c r="AQ26" s="402">
        <f>IF(AND(39&gt;=$NR$26,39&lt;=$NS$26),IF($NP$26="Single_Point",IF(39=$NR$26,$NN$26,0),IF($NP$26="Bell_Curve",$NN$26*(39-$NR$26+1)*($NS$26-39+1)/$NU$26,$NN$26/$NT$26)),0)</f>
        <v/>
      </c>
      <c r="AR26" s="402">
        <f>IF(AND(40&gt;=$NR$26,40&lt;=$NS$26),IF($NP$26="Single_Point",IF(40=$NR$26,$NN$26,0),IF($NP$26="Bell_Curve",$NN$26*(40-$NR$26+1)*($NS$26-40+1)/$NU$26,$NN$26/$NT$26)),0)</f>
        <v/>
      </c>
      <c r="AS26" s="402">
        <f>IF(AND(41&gt;=$NR$26,41&lt;=$NS$26),IF($NP$26="Single_Point",IF(41=$NR$26,$NN$26,0),IF($NP$26="Bell_Curve",$NN$26*(41-$NR$26+1)*($NS$26-41+1)/$NU$26,$NN$26/$NT$26)),0)</f>
        <v/>
      </c>
      <c r="AT26" s="402">
        <f>IF(AND(42&gt;=$NR$26,42&lt;=$NS$26),IF($NP$26="Single_Point",IF(42=$NR$26,$NN$26,0),IF($NP$26="Bell_Curve",$NN$26*(42-$NR$26+1)*($NS$26-42+1)/$NU$26,$NN$26/$NT$26)),0)</f>
        <v/>
      </c>
      <c r="AU26" s="402">
        <f>IF(AND(43&gt;=$NR$26,43&lt;=$NS$26),IF($NP$26="Single_Point",IF(43=$NR$26,$NN$26,0),IF($NP$26="Bell_Curve",$NN$26*(43-$NR$26+1)*($NS$26-43+1)/$NU$26,$NN$26/$NT$26)),0)</f>
        <v/>
      </c>
      <c r="AV26" s="402">
        <f>IF(AND(44&gt;=$NR$26,44&lt;=$NS$26),IF($NP$26="Single_Point",IF(44=$NR$26,$NN$26,0),IF($NP$26="Bell_Curve",$NN$26*(44-$NR$26+1)*($NS$26-44+1)/$NU$26,$NN$26/$NT$26)),0)</f>
        <v/>
      </c>
      <c r="AW26" s="402">
        <f>IF(AND(45&gt;=$NR$26,45&lt;=$NS$26),IF($NP$26="Single_Point",IF(45=$NR$26,$NN$26,0),IF($NP$26="Bell_Curve",$NN$26*(45-$NR$26+1)*($NS$26-45+1)/$NU$26,$NN$26/$NT$26)),0)</f>
        <v/>
      </c>
      <c r="AX26" s="402">
        <f>IF(AND(46&gt;=$NR$26,46&lt;=$NS$26),IF($NP$26="Single_Point",IF(46=$NR$26,$NN$26,0),IF($NP$26="Bell_Curve",$NN$26*(46-$NR$26+1)*($NS$26-46+1)/$NU$26,$NN$26/$NT$26)),0)</f>
        <v/>
      </c>
      <c r="AY26" s="402">
        <f>IF(AND(47&gt;=$NR$26,47&lt;=$NS$26),IF($NP$26="Single_Point",IF(47=$NR$26,$NN$26,0),IF($NP$26="Bell_Curve",$NN$26*(47-$NR$26+1)*($NS$26-47+1)/$NU$26,$NN$26/$NT$26)),0)</f>
        <v/>
      </c>
      <c r="AZ26" s="402">
        <f>IF(AND(48&gt;=$NR$26,48&lt;=$NS$26),IF($NP$26="Single_Point",IF(48=$NR$26,$NN$26,0),IF($NP$26="Bell_Curve",$NN$26*(48-$NR$26+1)*($NS$26-48+1)/$NU$26,$NN$26/$NT$26)),0)</f>
        <v/>
      </c>
      <c r="BA26" s="402">
        <f>IF(AND(49&gt;=$NR$26,49&lt;=$NS$26),IF($NP$26="Single_Point",IF(49=$NR$26,$NN$26,0),IF($NP$26="Bell_Curve",$NN$26*(49-$NR$26+1)*($NS$26-49+1)/$NU$26,$NN$26/$NT$26)),0)</f>
        <v/>
      </c>
      <c r="BB26" s="402">
        <f>IF(AND(50&gt;=$NR$26,50&lt;=$NS$26),IF($NP$26="Single_Point",IF(50=$NR$26,$NN$26,0),IF($NP$26="Bell_Curve",$NN$26*(50-$NR$26+1)*($NS$26-50+1)/$NU$26,$NN$26/$NT$26)),0)</f>
        <v/>
      </c>
      <c r="BC26" s="402">
        <f>IF(AND(51&gt;=$NR$26,51&lt;=$NS$26),IF($NP$26="Single_Point",IF(51=$NR$26,$NN$26,0),IF($NP$26="Bell_Curve",$NN$26*(51-$NR$26+1)*($NS$26-51+1)/$NU$26,$NN$26/$NT$26)),0)</f>
        <v/>
      </c>
      <c r="BD26" s="402">
        <f>IF(AND(52&gt;=$NR$26,52&lt;=$NS$26),IF($NP$26="Single_Point",IF(52=$NR$26,$NN$26,0),IF($NP$26="Bell_Curve",$NN$26*(52-$NR$26+1)*($NS$26-52+1)/$NU$26,$NN$26/$NT$26)),0)</f>
        <v/>
      </c>
      <c r="BE26" s="402">
        <f>IF(AND(53&gt;=$NR$26,53&lt;=$NS$26),IF($NP$26="Single_Point",IF(53=$NR$26,$NN$26,0),IF($NP$26="Bell_Curve",$NN$26*(53-$NR$26+1)*($NS$26-53+1)/$NU$26,$NN$26/$NT$26)),0)</f>
        <v/>
      </c>
      <c r="BF26" s="402">
        <f>IF(AND(54&gt;=$NR$26,54&lt;=$NS$26),IF($NP$26="Single_Point",IF(54=$NR$26,$NN$26,0),IF($NP$26="Bell_Curve",$NN$26*(54-$NR$26+1)*($NS$26-54+1)/$NU$26,$NN$26/$NT$26)),0)</f>
        <v/>
      </c>
      <c r="BG26" s="402">
        <f>IF(AND(55&gt;=$NR$26,55&lt;=$NS$26),IF($NP$26="Single_Point",IF(55=$NR$26,$NN$26,0),IF($NP$26="Bell_Curve",$NN$26*(55-$NR$26+1)*($NS$26-55+1)/$NU$26,$NN$26/$NT$26)),0)</f>
        <v/>
      </c>
      <c r="BH26" s="402">
        <f>IF(AND(56&gt;=$NR$26,56&lt;=$NS$26),IF($NP$26="Single_Point",IF(56=$NR$26,$NN$26,0),IF($NP$26="Bell_Curve",$NN$26*(56-$NR$26+1)*($NS$26-56+1)/$NU$26,$NN$26/$NT$26)),0)</f>
        <v/>
      </c>
      <c r="BI26" s="402">
        <f>IF(AND(57&gt;=$NR$26,57&lt;=$NS$26),IF($NP$26="Single_Point",IF(57=$NR$26,$NN$26,0),IF($NP$26="Bell_Curve",$NN$26*(57-$NR$26+1)*($NS$26-57+1)/$NU$26,$NN$26/$NT$26)),0)</f>
        <v/>
      </c>
      <c r="BJ26" s="402">
        <f>IF(AND(58&gt;=$NR$26,58&lt;=$NS$26),IF($NP$26="Single_Point",IF(58=$NR$26,$NN$26,0),IF($NP$26="Bell_Curve",$NN$26*(58-$NR$26+1)*($NS$26-58+1)/$NU$26,$NN$26/$NT$26)),0)</f>
        <v/>
      </c>
      <c r="BK26" s="402">
        <f>IF(AND(59&gt;=$NR$26,59&lt;=$NS$26),IF($NP$26="Single_Point",IF(59=$NR$26,$NN$26,0),IF($NP$26="Bell_Curve",$NN$26*(59-$NR$26+1)*($NS$26-59+1)/$NU$26,$NN$26/$NT$26)),0)</f>
        <v/>
      </c>
      <c r="BL26" s="402">
        <f>IF(AND(60&gt;=$NR$26,60&lt;=$NS$26),IF($NP$26="Single_Point",IF(60=$NR$26,$NN$26,0),IF($NP$26="Bell_Curve",$NN$26*(60-$NR$26+1)*($NS$26-60+1)/$NU$26,$NN$26/$NT$26)),0)</f>
        <v/>
      </c>
      <c r="BM26" s="402">
        <f>IF(AND(61&gt;=$NR$26,61&lt;=$NS$26),IF($NP$26="Single_Point",IF(61=$NR$26,$NN$26,0),IF($NP$26="Bell_Curve",$NN$26*(61-$NR$26+1)*($NS$26-61+1)/$NU$26,$NN$26/$NT$26)),0)</f>
        <v/>
      </c>
      <c r="BN26" s="402">
        <f>IF(AND(62&gt;=$NR$26,62&lt;=$NS$26),IF($NP$26="Single_Point",IF(62=$NR$26,$NN$26,0),IF($NP$26="Bell_Curve",$NN$26*(62-$NR$26+1)*($NS$26-62+1)/$NU$26,$NN$26/$NT$26)),0)</f>
        <v/>
      </c>
      <c r="BO26" s="402">
        <f>IF(AND(63&gt;=$NR$26,63&lt;=$NS$26),IF($NP$26="Single_Point",IF(63=$NR$26,$NN$26,0),IF($NP$26="Bell_Curve",$NN$26*(63-$NR$26+1)*($NS$26-63+1)/$NU$26,$NN$26/$NT$26)),0)</f>
        <v/>
      </c>
      <c r="BP26" s="402">
        <f>IF(AND(64&gt;=$NR$26,64&lt;=$NS$26),IF($NP$26="Single_Point",IF(64=$NR$26,$NN$26,0),IF($NP$26="Bell_Curve",$NN$26*(64-$NR$26+1)*($NS$26-64+1)/$NU$26,$NN$26/$NT$26)),0)</f>
        <v/>
      </c>
      <c r="BQ26" s="402">
        <f>IF(AND(65&gt;=$NR$26,65&lt;=$NS$26),IF($NP$26="Single_Point",IF(65=$NR$26,$NN$26,0),IF($NP$26="Bell_Curve",$NN$26*(65-$NR$26+1)*($NS$26-65+1)/$NU$26,$NN$26/$NT$26)),0)</f>
        <v/>
      </c>
      <c r="BR26" s="402">
        <f>IF(AND(66&gt;=$NR$26,66&lt;=$NS$26),IF($NP$26="Single_Point",IF(66=$NR$26,$NN$26,0),IF($NP$26="Bell_Curve",$NN$26*(66-$NR$26+1)*($NS$26-66+1)/$NU$26,$NN$26/$NT$26)),0)</f>
        <v/>
      </c>
      <c r="BS26" s="402">
        <f>IF(AND(67&gt;=$NR$26,67&lt;=$NS$26),IF($NP$26="Single_Point",IF(67=$NR$26,$NN$26,0),IF($NP$26="Bell_Curve",$NN$26*(67-$NR$26+1)*($NS$26-67+1)/$NU$26,$NN$26/$NT$26)),0)</f>
        <v/>
      </c>
      <c r="BT26" s="402">
        <f>IF(AND(68&gt;=$NR$26,68&lt;=$NS$26),IF($NP$26="Single_Point",IF(68=$NR$26,$NN$26,0),IF($NP$26="Bell_Curve",$NN$26*(68-$NR$26+1)*($NS$26-68+1)/$NU$26,$NN$26/$NT$26)),0)</f>
        <v/>
      </c>
      <c r="BU26" s="402">
        <f>IF(AND(69&gt;=$NR$26,69&lt;=$NS$26),IF($NP$26="Single_Point",IF(69=$NR$26,$NN$26,0),IF($NP$26="Bell_Curve",$NN$26*(69-$NR$26+1)*($NS$26-69+1)/$NU$26,$NN$26/$NT$26)),0)</f>
        <v/>
      </c>
      <c r="BV26" s="402">
        <f>IF(AND(70&gt;=$NR$26,70&lt;=$NS$26),IF($NP$26="Single_Point",IF(70=$NR$26,$NN$26,0),IF($NP$26="Bell_Curve",$NN$26*(70-$NR$26+1)*($NS$26-70+1)/$NU$26,$NN$26/$NT$26)),0)</f>
        <v/>
      </c>
      <c r="BW26" s="402">
        <f>IF(AND(71&gt;=$NR$26,71&lt;=$NS$26),IF($NP$26="Single_Point",IF(71=$NR$26,$NN$26,0),IF($NP$26="Bell_Curve",$NN$26*(71-$NR$26+1)*($NS$26-71+1)/$NU$26,$NN$26/$NT$26)),0)</f>
        <v/>
      </c>
      <c r="BX26" s="402">
        <f>IF(AND(72&gt;=$NR$26,72&lt;=$NS$26),IF($NP$26="Single_Point",IF(72=$NR$26,$NN$26,0),IF($NP$26="Bell_Curve",$NN$26*(72-$NR$26+1)*($NS$26-72+1)/$NU$26,$NN$26/$NT$26)),0)</f>
        <v/>
      </c>
      <c r="BY26" s="402">
        <f>IF(AND(73&gt;=$NR$26,73&lt;=$NS$26),IF($NP$26="Single_Point",IF(73=$NR$26,$NN$26,0),IF($NP$26="Bell_Curve",$NN$26*(73-$NR$26+1)*($NS$26-73+1)/$NU$26,$NN$26/$NT$26)),0)</f>
        <v/>
      </c>
      <c r="BZ26" s="402">
        <f>IF(AND(74&gt;=$NR$26,74&lt;=$NS$26),IF($NP$26="Single_Point",IF(74=$NR$26,$NN$26,0),IF($NP$26="Bell_Curve",$NN$26*(74-$NR$26+1)*($NS$26-74+1)/$NU$26,$NN$26/$NT$26)),0)</f>
        <v/>
      </c>
      <c r="CA26" s="402">
        <f>IF(AND(75&gt;=$NR$26,75&lt;=$NS$26),IF($NP$26="Single_Point",IF(75=$NR$26,$NN$26,0),IF($NP$26="Bell_Curve",$NN$26*(75-$NR$26+1)*($NS$26-75+1)/$NU$26,$NN$26/$NT$26)),0)</f>
        <v/>
      </c>
      <c r="CB26" s="402">
        <f>IF(AND(76&gt;=$NR$26,76&lt;=$NS$26),IF($NP$26="Single_Point",IF(76=$NR$26,$NN$26,0),IF($NP$26="Bell_Curve",$NN$26*(76-$NR$26+1)*($NS$26-76+1)/$NU$26,$NN$26/$NT$26)),0)</f>
        <v/>
      </c>
      <c r="CC26" s="402">
        <f>IF(AND(77&gt;=$NR$26,77&lt;=$NS$26),IF($NP$26="Single_Point",IF(77=$NR$26,$NN$26,0),IF($NP$26="Bell_Curve",$NN$26*(77-$NR$26+1)*($NS$26-77+1)/$NU$26,$NN$26/$NT$26)),0)</f>
        <v/>
      </c>
      <c r="CD26" s="402">
        <f>IF(AND(78&gt;=$NR$26,78&lt;=$NS$26),IF($NP$26="Single_Point",IF(78=$NR$26,$NN$26,0),IF($NP$26="Bell_Curve",$NN$26*(78-$NR$26+1)*($NS$26-78+1)/$NU$26,$NN$26/$NT$26)),0)</f>
        <v/>
      </c>
      <c r="CE26" s="402">
        <f>IF(AND(79&gt;=$NR$26,79&lt;=$NS$26),IF($NP$26="Single_Point",IF(79=$NR$26,$NN$26,0),IF($NP$26="Bell_Curve",$NN$26*(79-$NR$26+1)*($NS$26-79+1)/$NU$26,$NN$26/$NT$26)),0)</f>
        <v/>
      </c>
      <c r="CF26" s="402">
        <f>IF(AND(80&gt;=$NR$26,80&lt;=$NS$26),IF($NP$26="Single_Point",IF(80=$NR$26,$NN$26,0),IF($NP$26="Bell_Curve",$NN$26*(80-$NR$26+1)*($NS$26-80+1)/$NU$26,$NN$26/$NT$26)),0)</f>
        <v/>
      </c>
      <c r="CG26" s="402">
        <f>IF(AND(81&gt;=$NR$26,81&lt;=$NS$26),IF($NP$26="Single_Point",IF(81=$NR$26,$NN$26,0),IF($NP$26="Bell_Curve",$NN$26*(81-$NR$26+1)*($NS$26-81+1)/$NU$26,$NN$26/$NT$26)),0)</f>
        <v/>
      </c>
      <c r="CH26" s="402">
        <f>IF(AND(82&gt;=$NR$26,82&lt;=$NS$26),IF($NP$26="Single_Point",IF(82=$NR$26,$NN$26,0),IF($NP$26="Bell_Curve",$NN$26*(82-$NR$26+1)*($NS$26-82+1)/$NU$26,$NN$26/$NT$26)),0)</f>
        <v/>
      </c>
      <c r="CI26" s="402">
        <f>IF(AND(83&gt;=$NR$26,83&lt;=$NS$26),IF($NP$26="Single_Point",IF(83=$NR$26,$NN$26,0),IF($NP$26="Bell_Curve",$NN$26*(83-$NR$26+1)*($NS$26-83+1)/$NU$26,$NN$26/$NT$26)),0)</f>
        <v/>
      </c>
      <c r="CJ26" s="402">
        <f>IF(AND(84&gt;=$NR$26,84&lt;=$NS$26),IF($NP$26="Single_Point",IF(84=$NR$26,$NN$26,0),IF($NP$26="Bell_Curve",$NN$26*(84-$NR$26+1)*($NS$26-84+1)/$NU$26,$NN$26/$NT$26)),0)</f>
        <v/>
      </c>
      <c r="CK26" s="402">
        <f>IF(AND(85&gt;=$NR$26,85&lt;=$NS$26),IF($NP$26="Single_Point",IF(85=$NR$26,$NN$26,0),IF($NP$26="Bell_Curve",$NN$26*(85-$NR$26+1)*($NS$26-85+1)/$NU$26,$NN$26/$NT$26)),0)</f>
        <v/>
      </c>
      <c r="CL26" s="402">
        <f>IF(AND(86&gt;=$NR$26,86&lt;=$NS$26),IF($NP$26="Single_Point",IF(86=$NR$26,$NN$26,0),IF($NP$26="Bell_Curve",$NN$26*(86-$NR$26+1)*($NS$26-86+1)/$NU$26,$NN$26/$NT$26)),0)</f>
        <v/>
      </c>
      <c r="CM26" s="402">
        <f>IF(AND(87&gt;=$NR$26,87&lt;=$NS$26),IF($NP$26="Single_Point",IF(87=$NR$26,$NN$26,0),IF($NP$26="Bell_Curve",$NN$26*(87-$NR$26+1)*($NS$26-87+1)/$NU$26,$NN$26/$NT$26)),0)</f>
        <v/>
      </c>
      <c r="CN26" s="402">
        <f>IF(AND(88&gt;=$NR$26,88&lt;=$NS$26),IF($NP$26="Single_Point",IF(88=$NR$26,$NN$26,0),IF($NP$26="Bell_Curve",$NN$26*(88-$NR$26+1)*($NS$26-88+1)/$NU$26,$NN$26/$NT$26)),0)</f>
        <v/>
      </c>
      <c r="CO26" s="402">
        <f>IF(AND(89&gt;=$NR$26,89&lt;=$NS$26),IF($NP$26="Single_Point",IF(89=$NR$26,$NN$26,0),IF($NP$26="Bell_Curve",$NN$26*(89-$NR$26+1)*($NS$26-89+1)/$NU$26,$NN$26/$NT$26)),0)</f>
        <v/>
      </c>
      <c r="CP26" s="402">
        <f>IF(AND(90&gt;=$NR$26,90&lt;=$NS$26),IF($NP$26="Single_Point",IF(90=$NR$26,$NN$26,0),IF($NP$26="Bell_Curve",$NN$26*(90-$NR$26+1)*($NS$26-90+1)/$NU$26,$NN$26/$NT$26)),0)</f>
        <v/>
      </c>
      <c r="CQ26" s="402">
        <f>IF(AND(91&gt;=$NR$26,91&lt;=$NS$26),IF($NP$26="Single_Point",IF(91=$NR$26,$NN$26,0),IF($NP$26="Bell_Curve",$NN$26*(91-$NR$26+1)*($NS$26-91+1)/$NU$26,$NN$26/$NT$26)),0)</f>
        <v/>
      </c>
      <c r="CR26" s="402">
        <f>IF(AND(92&gt;=$NR$26,92&lt;=$NS$26),IF($NP$26="Single_Point",IF(92=$NR$26,$NN$26,0),IF($NP$26="Bell_Curve",$NN$26*(92-$NR$26+1)*($NS$26-92+1)/$NU$26,$NN$26/$NT$26)),0)</f>
        <v/>
      </c>
      <c r="CS26" s="402">
        <f>IF(AND(93&gt;=$NR$26,93&lt;=$NS$26),IF($NP$26="Single_Point",IF(93=$NR$26,$NN$26,0),IF($NP$26="Bell_Curve",$NN$26*(93-$NR$26+1)*($NS$26-93+1)/$NU$26,$NN$26/$NT$26)),0)</f>
        <v/>
      </c>
      <c r="CT26" s="402">
        <f>IF(AND(94&gt;=$NR$26,94&lt;=$NS$26),IF($NP$26="Single_Point",IF(94=$NR$26,$NN$26,0),IF($NP$26="Bell_Curve",$NN$26*(94-$NR$26+1)*($NS$26-94+1)/$NU$26,$NN$26/$NT$26)),0)</f>
        <v/>
      </c>
      <c r="CU26" s="402">
        <f>IF(AND(95&gt;=$NR$26,95&lt;=$NS$26),IF($NP$26="Single_Point",IF(95=$NR$26,$NN$26,0),IF($NP$26="Bell_Curve",$NN$26*(95-$NR$26+1)*($NS$26-95+1)/$NU$26,$NN$26/$NT$26)),0)</f>
        <v/>
      </c>
      <c r="CV26" s="402">
        <f>IF(AND(96&gt;=$NR$26,96&lt;=$NS$26),IF($NP$26="Single_Point",IF(96=$NR$26,$NN$26,0),IF($NP$26="Bell_Curve",$NN$26*(96-$NR$26+1)*($NS$26-96+1)/$NU$26,$NN$26/$NT$26)),0)</f>
        <v/>
      </c>
      <c r="CW26" s="402">
        <f>IF(AND(97&gt;=$NR$26,97&lt;=$NS$26),IF($NP$26="Single_Point",IF(97=$NR$26,$NN$26,0),IF($NP$26="Bell_Curve",$NN$26*(97-$NR$26+1)*($NS$26-97+1)/$NU$26,$NN$26/$NT$26)),0)</f>
        <v/>
      </c>
      <c r="CX26" s="402">
        <f>IF(AND(98&gt;=$NR$26,98&lt;=$NS$26),IF($NP$26="Single_Point",IF(98=$NR$26,$NN$26,0),IF($NP$26="Bell_Curve",$NN$26*(98-$NR$26+1)*($NS$26-98+1)/$NU$26,$NN$26/$NT$26)),0)</f>
        <v/>
      </c>
      <c r="CY26" s="402">
        <f>IF(AND(99&gt;=$NR$26,99&lt;=$NS$26),IF($NP$26="Single_Point",IF(99=$NR$26,$NN$26,0),IF($NP$26="Bell_Curve",$NN$26*(99-$NR$26+1)*($NS$26-99+1)/$NU$26,$NN$26/$NT$26)),0)</f>
        <v/>
      </c>
      <c r="CZ26" s="402">
        <f>IF(AND(100&gt;=$NR$26,100&lt;=$NS$26),IF($NP$26="Single_Point",IF(100=$NR$26,$NN$26,0),IF($NP$26="Bell_Curve",$NN$26*(100-$NR$26+1)*($NS$26-100+1)/$NU$26,$NN$26/$NT$26)),0)</f>
        <v/>
      </c>
      <c r="DA26" s="402">
        <f>IF(AND(101&gt;=$NR$26,101&lt;=$NS$26),IF($NP$26="Single_Point",IF(101=$NR$26,$NN$26,0),IF($NP$26="Bell_Curve",$NN$26*(101-$NR$26+1)*($NS$26-101+1)/$NU$26,$NN$26/$NT$26)),0)</f>
        <v/>
      </c>
      <c r="DB26" s="402">
        <f>IF(AND(102&gt;=$NR$26,102&lt;=$NS$26),IF($NP$26="Single_Point",IF(102=$NR$26,$NN$26,0),IF($NP$26="Bell_Curve",$NN$26*(102-$NR$26+1)*($NS$26-102+1)/$NU$26,$NN$26/$NT$26)),0)</f>
        <v/>
      </c>
      <c r="DC26" s="402">
        <f>IF(AND(103&gt;=$NR$26,103&lt;=$NS$26),IF($NP$26="Single_Point",IF(103=$NR$26,$NN$26,0),IF($NP$26="Bell_Curve",$NN$26*(103-$NR$26+1)*($NS$26-103+1)/$NU$26,$NN$26/$NT$26)),0)</f>
        <v/>
      </c>
      <c r="DD26" s="402">
        <f>IF(AND(104&gt;=$NR$26,104&lt;=$NS$26),IF($NP$26="Single_Point",IF(104=$NR$26,$NN$26,0),IF($NP$26="Bell_Curve",$NN$26*(104-$NR$26+1)*($NS$26-104+1)/$NU$26,$NN$26/$NT$26)),0)</f>
        <v/>
      </c>
      <c r="DE26" s="402">
        <f>IF(AND(105&gt;=$NR$26,105&lt;=$NS$26),IF($NP$26="Single_Point",IF(105=$NR$26,$NN$26,0),IF($NP$26="Bell_Curve",$NN$26*(105-$NR$26+1)*($NS$26-105+1)/$NU$26,$NN$26/$NT$26)),0)</f>
        <v/>
      </c>
      <c r="DF26" s="402">
        <f>IF(AND(106&gt;=$NR$26,106&lt;=$NS$26),IF($NP$26="Single_Point",IF(106=$NR$26,$NN$26,0),IF($NP$26="Bell_Curve",$NN$26*(106-$NR$26+1)*($NS$26-106+1)/$NU$26,$NN$26/$NT$26)),0)</f>
        <v/>
      </c>
      <c r="DG26" s="402">
        <f>IF(AND(107&gt;=$NR$26,107&lt;=$NS$26),IF($NP$26="Single_Point",IF(107=$NR$26,$NN$26,0),IF($NP$26="Bell_Curve",$NN$26*(107-$NR$26+1)*($NS$26-107+1)/$NU$26,$NN$26/$NT$26)),0)</f>
        <v/>
      </c>
      <c r="DH26" s="402">
        <f>IF(AND(108&gt;=$NR$26,108&lt;=$NS$26),IF($NP$26="Single_Point",IF(108=$NR$26,$NN$26,0),IF($NP$26="Bell_Curve",$NN$26*(108-$NR$26+1)*($NS$26-108+1)/$NU$26,$NN$26/$NT$26)),0)</f>
        <v/>
      </c>
      <c r="DI26" s="402">
        <f>IF(AND(109&gt;=$NR$26,109&lt;=$NS$26),IF($NP$26="Single_Point",IF(109=$NR$26,$NN$26,0),IF($NP$26="Bell_Curve",$NN$26*(109-$NR$26+1)*($NS$26-109+1)/$NU$26,$NN$26/$NT$26)),0)</f>
        <v/>
      </c>
      <c r="DJ26" s="402">
        <f>IF(AND(110&gt;=$NR$26,110&lt;=$NS$26),IF($NP$26="Single_Point",IF(110=$NR$26,$NN$26,0),IF($NP$26="Bell_Curve",$NN$26*(110-$NR$26+1)*($NS$26-110+1)/$NU$26,$NN$26/$NT$26)),0)</f>
        <v/>
      </c>
      <c r="DK26" s="402">
        <f>IF(AND(111&gt;=$NR$26,111&lt;=$NS$26),IF($NP$26="Single_Point",IF(111=$NR$26,$NN$26,0),IF($NP$26="Bell_Curve",$NN$26*(111-$NR$26+1)*($NS$26-111+1)/$NU$26,$NN$26/$NT$26)),0)</f>
        <v/>
      </c>
      <c r="DL26" s="402">
        <f>IF(AND(112&gt;=$NR$26,112&lt;=$NS$26),IF($NP$26="Single_Point",IF(112=$NR$26,$NN$26,0),IF($NP$26="Bell_Curve",$NN$26*(112-$NR$26+1)*($NS$26-112+1)/$NU$26,$NN$26/$NT$26)),0)</f>
        <v/>
      </c>
      <c r="DM26" s="402">
        <f>IF(AND(113&gt;=$NR$26,113&lt;=$NS$26),IF($NP$26="Single_Point",IF(113=$NR$26,$NN$26,0),IF($NP$26="Bell_Curve",$NN$26*(113-$NR$26+1)*($NS$26-113+1)/$NU$26,$NN$26/$NT$26)),0)</f>
        <v/>
      </c>
      <c r="DN26" s="402">
        <f>IF(AND(114&gt;=$NR$26,114&lt;=$NS$26),IF($NP$26="Single_Point",IF(114=$NR$26,$NN$26,0),IF($NP$26="Bell_Curve",$NN$26*(114-$NR$26+1)*($NS$26-114+1)/$NU$26,$NN$26/$NT$26)),0)</f>
        <v/>
      </c>
      <c r="DO26" s="402">
        <f>IF(AND(115&gt;=$NR$26,115&lt;=$NS$26),IF($NP$26="Single_Point",IF(115=$NR$26,$NN$26,0),IF($NP$26="Bell_Curve",$NN$26*(115-$NR$26+1)*($NS$26-115+1)/$NU$26,$NN$26/$NT$26)),0)</f>
        <v/>
      </c>
      <c r="DP26" s="402">
        <f>IF(AND(116&gt;=$NR$26,116&lt;=$NS$26),IF($NP$26="Single_Point",IF(116=$NR$26,$NN$26,0),IF($NP$26="Bell_Curve",$NN$26*(116-$NR$26+1)*($NS$26-116+1)/$NU$26,$NN$26/$NT$26)),0)</f>
        <v/>
      </c>
      <c r="DQ26" s="402">
        <f>IF(AND(117&gt;=$NR$26,117&lt;=$NS$26),IF($NP$26="Single_Point",IF(117=$NR$26,$NN$26,0),IF($NP$26="Bell_Curve",$NN$26*(117-$NR$26+1)*($NS$26-117+1)/$NU$26,$NN$26/$NT$26)),0)</f>
        <v/>
      </c>
      <c r="DR26" s="402">
        <f>IF(AND(118&gt;=$NR$26,118&lt;=$NS$26),IF($NP$26="Single_Point",IF(118=$NR$26,$NN$26,0),IF($NP$26="Bell_Curve",$NN$26*(118-$NR$26+1)*($NS$26-118+1)/$NU$26,$NN$26/$NT$26)),0)</f>
        <v/>
      </c>
      <c r="DS26" s="402">
        <f>IF(AND(119&gt;=$NR$26,119&lt;=$NS$26),IF($NP$26="Single_Point",IF(119=$NR$26,$NN$26,0),IF($NP$26="Bell_Curve",$NN$26*(119-$NR$26+1)*($NS$26-119+1)/$NU$26,$NN$26/$NT$26)),0)</f>
        <v/>
      </c>
      <c r="DT26" s="402">
        <f>IF(AND(120&gt;=$NR$26,120&lt;=$NS$26),IF($NP$26="Single_Point",IF(120=$NR$26,$NN$26,0),IF($NP$26="Bell_Curve",$NN$26*(120-$NR$26+1)*($NS$26-120+1)/$NU$26,$NN$26/$NT$26)),0)</f>
        <v/>
      </c>
      <c r="DU26" s="402">
        <f>IF(AND(121&gt;=$NR$26,121&lt;=$NS$26),IF($NP$26="Single_Point",IF(121=$NR$26,$NN$26,0),IF($NP$26="Bell_Curve",$NN$26*(121-$NR$26+1)*($NS$26-121+1)/$NU$26,$NN$26/$NT$26)),0)</f>
        <v/>
      </c>
      <c r="DV26" s="402">
        <f>IF(AND(122&gt;=$NR$26,122&lt;=$NS$26),IF($NP$26="Single_Point",IF(122=$NR$26,$NN$26,0),IF($NP$26="Bell_Curve",$NN$26*(122-$NR$26+1)*($NS$26-122+1)/$NU$26,$NN$26/$NT$26)),0)</f>
        <v/>
      </c>
      <c r="DW26" s="402">
        <f>IF(AND(123&gt;=$NR$26,123&lt;=$NS$26),IF($NP$26="Single_Point",IF(123=$NR$26,$NN$26,0),IF($NP$26="Bell_Curve",$NN$26*(123-$NR$26+1)*($NS$26-123+1)/$NU$26,$NN$26/$NT$26)),0)</f>
        <v/>
      </c>
      <c r="DX26" s="402">
        <f>IF(AND(124&gt;=$NR$26,124&lt;=$NS$26),IF($NP$26="Single_Point",IF(124=$NR$26,$NN$26,0),IF($NP$26="Bell_Curve",$NN$26*(124-$NR$26+1)*($NS$26-124+1)/$NU$26,$NN$26/$NT$26)),0)</f>
        <v/>
      </c>
      <c r="DY26" s="402">
        <f>IF(AND(125&gt;=$NR$26,125&lt;=$NS$26),IF($NP$26="Single_Point",IF(125=$NR$26,$NN$26,0),IF($NP$26="Bell_Curve",$NN$26*(125-$NR$26+1)*($NS$26-125+1)/$NU$26,$NN$26/$NT$26)),0)</f>
        <v/>
      </c>
      <c r="DZ26" s="402">
        <f>IF(AND(126&gt;=$NR$26,126&lt;=$NS$26),IF($NP$26="Single_Point",IF(126=$NR$26,$NN$26,0),IF($NP$26="Bell_Curve",$NN$26*(126-$NR$26+1)*($NS$26-126+1)/$NU$26,$NN$26/$NT$26)),0)</f>
        <v/>
      </c>
      <c r="EA26" s="402">
        <f>IF(AND(127&gt;=$NR$26,127&lt;=$NS$26),IF($NP$26="Single_Point",IF(127=$NR$26,$NN$26,0),IF($NP$26="Bell_Curve",$NN$26*(127-$NR$26+1)*($NS$26-127+1)/$NU$26,$NN$26/$NT$26)),0)</f>
        <v/>
      </c>
      <c r="EB26" s="402">
        <f>IF(AND(128&gt;=$NR$26,128&lt;=$NS$26),IF($NP$26="Single_Point",IF(128=$NR$26,$NN$26,0),IF($NP$26="Bell_Curve",$NN$26*(128-$NR$26+1)*($NS$26-128+1)/$NU$26,$NN$26/$NT$26)),0)</f>
        <v/>
      </c>
      <c r="EC26" s="402">
        <f>IF(AND(129&gt;=$NR$26,129&lt;=$NS$26),IF($NP$26="Single_Point",IF(129=$NR$26,$NN$26,0),IF($NP$26="Bell_Curve",$NN$26*(129-$NR$26+1)*($NS$26-129+1)/$NU$26,$NN$26/$NT$26)),0)</f>
        <v/>
      </c>
      <c r="ED26" s="402">
        <f>IF(AND(130&gt;=$NR$26,130&lt;=$NS$26),IF($NP$26="Single_Point",IF(130=$NR$26,$NN$26,0),IF($NP$26="Bell_Curve",$NN$26*(130-$NR$26+1)*($NS$26-130+1)/$NU$26,$NN$26/$NT$26)),0)</f>
        <v/>
      </c>
      <c r="EE26" s="402">
        <f>IF(AND(131&gt;=$NR$26,131&lt;=$NS$26),IF($NP$26="Single_Point",IF(131=$NR$26,$NN$26,0),IF($NP$26="Bell_Curve",$NN$26*(131-$NR$26+1)*($NS$26-131+1)/$NU$26,$NN$26/$NT$26)),0)</f>
        <v/>
      </c>
      <c r="EF26" s="402">
        <f>IF(AND(132&gt;=$NR$26,132&lt;=$NS$26),IF($NP$26="Single_Point",IF(132=$NR$26,$NN$26,0),IF($NP$26="Bell_Curve",$NN$26*(132-$NR$26+1)*($NS$26-132+1)/$NU$26,$NN$26/$NT$26)),0)</f>
        <v/>
      </c>
      <c r="EG26" s="402">
        <f>IF(AND(133&gt;=$NR$26,133&lt;=$NS$26),IF($NP$26="Single_Point",IF(133=$NR$26,$NN$26,0),IF($NP$26="Bell_Curve",$NN$26*(133-$NR$26+1)*($NS$26-133+1)/$NU$26,$NN$26/$NT$26)),0)</f>
        <v/>
      </c>
      <c r="EH26" s="402">
        <f>IF(AND(134&gt;=$NR$26,134&lt;=$NS$26),IF($NP$26="Single_Point",IF(134=$NR$26,$NN$26,0),IF($NP$26="Bell_Curve",$NN$26*(134-$NR$26+1)*($NS$26-134+1)/$NU$26,$NN$26/$NT$26)),0)</f>
        <v/>
      </c>
      <c r="EI26" s="402">
        <f>IF(AND(135&gt;=$NR$26,135&lt;=$NS$26),IF($NP$26="Single_Point",IF(135=$NR$26,$NN$26,0),IF($NP$26="Bell_Curve",$NN$26*(135-$NR$26+1)*($NS$26-135+1)/$NU$26,$NN$26/$NT$26)),0)</f>
        <v/>
      </c>
      <c r="EJ26" s="402">
        <f>IF(AND(136&gt;=$NR$26,136&lt;=$NS$26),IF($NP$26="Single_Point",IF(136=$NR$26,$NN$26,0),IF($NP$26="Bell_Curve",$NN$26*(136-$NR$26+1)*($NS$26-136+1)/$NU$26,$NN$26/$NT$26)),0)</f>
        <v/>
      </c>
      <c r="EK26" s="402">
        <f>IF(AND(137&gt;=$NR$26,137&lt;=$NS$26),IF($NP$26="Single_Point",IF(137=$NR$26,$NN$26,0),IF($NP$26="Bell_Curve",$NN$26*(137-$NR$26+1)*($NS$26-137+1)/$NU$26,$NN$26/$NT$26)),0)</f>
        <v/>
      </c>
      <c r="EL26" s="402">
        <f>IF(AND(138&gt;=$NR$26,138&lt;=$NS$26),IF($NP$26="Single_Point",IF(138=$NR$26,$NN$26,0),IF($NP$26="Bell_Curve",$NN$26*(138-$NR$26+1)*($NS$26-138+1)/$NU$26,$NN$26/$NT$26)),0)</f>
        <v/>
      </c>
      <c r="EM26" s="402">
        <f>IF(AND(139&gt;=$NR$26,139&lt;=$NS$26),IF($NP$26="Single_Point",IF(139=$NR$26,$NN$26,0),IF($NP$26="Bell_Curve",$NN$26*(139-$NR$26+1)*($NS$26-139+1)/$NU$26,$NN$26/$NT$26)),0)</f>
        <v/>
      </c>
      <c r="EN26" s="402">
        <f>IF(AND(140&gt;=$NR$26,140&lt;=$NS$26),IF($NP$26="Single_Point",IF(140=$NR$26,$NN$26,0),IF($NP$26="Bell_Curve",$NN$26*(140-$NR$26+1)*($NS$26-140+1)/$NU$26,$NN$26/$NT$26)),0)</f>
        <v/>
      </c>
      <c r="EO26" s="402">
        <f>IF(AND(141&gt;=$NR$26,141&lt;=$NS$26),IF($NP$26="Single_Point",IF(141=$NR$26,$NN$26,0),IF($NP$26="Bell_Curve",$NN$26*(141-$NR$26+1)*($NS$26-141+1)/$NU$26,$NN$26/$NT$26)),0)</f>
        <v/>
      </c>
      <c r="EP26" s="402">
        <f>IF(AND(142&gt;=$NR$26,142&lt;=$NS$26),IF($NP$26="Single_Point",IF(142=$NR$26,$NN$26,0),IF($NP$26="Bell_Curve",$NN$26*(142-$NR$26+1)*($NS$26-142+1)/$NU$26,$NN$26/$NT$26)),0)</f>
        <v/>
      </c>
      <c r="EQ26" s="402">
        <f>IF(AND(143&gt;=$NR$26,143&lt;=$NS$26),IF($NP$26="Single_Point",IF(143=$NR$26,$NN$26,0),IF($NP$26="Bell_Curve",$NN$26*(143-$NR$26+1)*($NS$26-143+1)/$NU$26,$NN$26/$NT$26)),0)</f>
        <v/>
      </c>
      <c r="ER26" s="402">
        <f>IF(AND(144&gt;=$NR$26,144&lt;=$NS$26),IF($NP$26="Single_Point",IF(144=$NR$26,$NN$26,0),IF($NP$26="Bell_Curve",$NN$26*(144-$NR$26+1)*($NS$26-144+1)/$NU$26,$NN$26/$NT$26)),0)</f>
        <v/>
      </c>
      <c r="ES26" s="402">
        <f>IF(AND(145&gt;=$NR$26,145&lt;=$NS$26),IF($NP$26="Single_Point",IF(145=$NR$26,$NN$26,0),IF($NP$26="Bell_Curve",$NN$26*(145-$NR$26+1)*($NS$26-145+1)/$NU$26,$NN$26/$NT$26)),0)</f>
        <v/>
      </c>
      <c r="ET26" s="402">
        <f>IF(AND(146&gt;=$NR$26,146&lt;=$NS$26),IF($NP$26="Single_Point",IF(146=$NR$26,$NN$26,0),IF($NP$26="Bell_Curve",$NN$26*(146-$NR$26+1)*($NS$26-146+1)/$NU$26,$NN$26/$NT$26)),0)</f>
        <v/>
      </c>
      <c r="EU26" s="402">
        <f>IF(AND(147&gt;=$NR$26,147&lt;=$NS$26),IF($NP$26="Single_Point",IF(147=$NR$26,$NN$26,0),IF($NP$26="Bell_Curve",$NN$26*(147-$NR$26+1)*($NS$26-147+1)/$NU$26,$NN$26/$NT$26)),0)</f>
        <v/>
      </c>
      <c r="EV26" s="402">
        <f>IF(AND(148&gt;=$NR$26,148&lt;=$NS$26),IF($NP$26="Single_Point",IF(148=$NR$26,$NN$26,0),IF($NP$26="Bell_Curve",$NN$26*(148-$NR$26+1)*($NS$26-148+1)/$NU$26,$NN$26/$NT$26)),0)</f>
        <v/>
      </c>
      <c r="EW26" s="402">
        <f>IF(AND(149&gt;=$NR$26,149&lt;=$NS$26),IF($NP$26="Single_Point",IF(149=$NR$26,$NN$26,0),IF($NP$26="Bell_Curve",$NN$26*(149-$NR$26+1)*($NS$26-149+1)/$NU$26,$NN$26/$NT$26)),0)</f>
        <v/>
      </c>
      <c r="EX26" s="402">
        <f>IF(AND(150&gt;=$NR$26,150&lt;=$NS$26),IF($NP$26="Single_Point",IF(150=$NR$26,$NN$26,0),IF($NP$26="Bell_Curve",$NN$26*(150-$NR$26+1)*($NS$26-150+1)/$NU$26,$NN$26/$NT$26)),0)</f>
        <v/>
      </c>
      <c r="EY26" s="402">
        <f>IF(AND(151&gt;=$NR$26,151&lt;=$NS$26),IF($NP$26="Single_Point",IF(151=$NR$26,$NN$26,0),IF($NP$26="Bell_Curve",$NN$26*(151-$NR$26+1)*($NS$26-151+1)/$NU$26,$NN$26/$NT$26)),0)</f>
        <v/>
      </c>
      <c r="EZ26" s="402">
        <f>IF(AND(152&gt;=$NR$26,152&lt;=$NS$26),IF($NP$26="Single_Point",IF(152=$NR$26,$NN$26,0),IF($NP$26="Bell_Curve",$NN$26*(152-$NR$26+1)*($NS$26-152+1)/$NU$26,$NN$26/$NT$26)),0)</f>
        <v/>
      </c>
      <c r="FA26" s="402">
        <f>IF(AND(153&gt;=$NR$26,153&lt;=$NS$26),IF($NP$26="Single_Point",IF(153=$NR$26,$NN$26,0),IF($NP$26="Bell_Curve",$NN$26*(153-$NR$26+1)*($NS$26-153+1)/$NU$26,$NN$26/$NT$26)),0)</f>
        <v/>
      </c>
      <c r="FB26" s="402">
        <f>IF(AND(154&gt;=$NR$26,154&lt;=$NS$26),IF($NP$26="Single_Point",IF(154=$NR$26,$NN$26,0),IF($NP$26="Bell_Curve",$NN$26*(154-$NR$26+1)*($NS$26-154+1)/$NU$26,$NN$26/$NT$26)),0)</f>
        <v/>
      </c>
      <c r="FC26" s="402">
        <f>IF(AND(155&gt;=$NR$26,155&lt;=$NS$26),IF($NP$26="Single_Point",IF(155=$NR$26,$NN$26,0),IF($NP$26="Bell_Curve",$NN$26*(155-$NR$26+1)*($NS$26-155+1)/$NU$26,$NN$26/$NT$26)),0)</f>
        <v/>
      </c>
      <c r="FD26" s="402">
        <f>IF(AND(156&gt;=$NR$26,156&lt;=$NS$26),IF($NP$26="Single_Point",IF(156=$NR$26,$NN$26,0),IF($NP$26="Bell_Curve",$NN$26*(156-$NR$26+1)*($NS$26-156+1)/$NU$26,$NN$26/$NT$26)),0)</f>
        <v/>
      </c>
      <c r="FE26" s="402">
        <f>IF(AND(157&gt;=$NR$26,157&lt;=$NS$26),IF($NP$26="Single_Point",IF(157=$NR$26,$NN$26,0),IF($NP$26="Bell_Curve",$NN$26*(157-$NR$26+1)*($NS$26-157+1)/$NU$26,$NN$26/$NT$26)),0)</f>
        <v/>
      </c>
      <c r="FF26" s="402">
        <f>IF(AND(158&gt;=$NR$26,158&lt;=$NS$26),IF($NP$26="Single_Point",IF(158=$NR$26,$NN$26,0),IF($NP$26="Bell_Curve",$NN$26*(158-$NR$26+1)*($NS$26-158+1)/$NU$26,$NN$26/$NT$26)),0)</f>
        <v/>
      </c>
      <c r="FG26" s="402">
        <f>IF(AND(159&gt;=$NR$26,159&lt;=$NS$26),IF($NP$26="Single_Point",IF(159=$NR$26,$NN$26,0),IF($NP$26="Bell_Curve",$NN$26*(159-$NR$26+1)*($NS$26-159+1)/$NU$26,$NN$26/$NT$26)),0)</f>
        <v/>
      </c>
      <c r="FH26" s="402">
        <f>IF(AND(160&gt;=$NR$26,160&lt;=$NS$26),IF($NP$26="Single_Point",IF(160=$NR$26,$NN$26,0),IF($NP$26="Bell_Curve",$NN$26*(160-$NR$26+1)*($NS$26-160+1)/$NU$26,$NN$26/$NT$26)),0)</f>
        <v/>
      </c>
      <c r="FI26" s="402">
        <f>IF(AND(161&gt;=$NR$26,161&lt;=$NS$26),IF($NP$26="Single_Point",IF(161=$NR$26,$NN$26,0),IF($NP$26="Bell_Curve",$NN$26*(161-$NR$26+1)*($NS$26-161+1)/$NU$26,$NN$26/$NT$26)),0)</f>
        <v/>
      </c>
      <c r="FJ26" s="402">
        <f>IF(AND(162&gt;=$NR$26,162&lt;=$NS$26),IF($NP$26="Single_Point",IF(162=$NR$26,$NN$26,0),IF($NP$26="Bell_Curve",$NN$26*(162-$NR$26+1)*($NS$26-162+1)/$NU$26,$NN$26/$NT$26)),0)</f>
        <v/>
      </c>
      <c r="FK26" s="402">
        <f>IF(AND(163&gt;=$NR$26,163&lt;=$NS$26),IF($NP$26="Single_Point",IF(163=$NR$26,$NN$26,0),IF($NP$26="Bell_Curve",$NN$26*(163-$NR$26+1)*($NS$26-163+1)/$NU$26,$NN$26/$NT$26)),0)</f>
        <v/>
      </c>
      <c r="FL26" s="402">
        <f>IF(AND(164&gt;=$NR$26,164&lt;=$NS$26),IF($NP$26="Single_Point",IF(164=$NR$26,$NN$26,0),IF($NP$26="Bell_Curve",$NN$26*(164-$NR$26+1)*($NS$26-164+1)/$NU$26,$NN$26/$NT$26)),0)</f>
        <v/>
      </c>
      <c r="FM26" s="402">
        <f>IF(AND(165&gt;=$NR$26,165&lt;=$NS$26),IF($NP$26="Single_Point",IF(165=$NR$26,$NN$26,0),IF($NP$26="Bell_Curve",$NN$26*(165-$NR$26+1)*($NS$26-165+1)/$NU$26,$NN$26/$NT$26)),0)</f>
        <v/>
      </c>
      <c r="FN26" s="402">
        <f>IF(AND(166&gt;=$NR$26,166&lt;=$NS$26),IF($NP$26="Single_Point",IF(166=$NR$26,$NN$26,0),IF($NP$26="Bell_Curve",$NN$26*(166-$NR$26+1)*($NS$26-166+1)/$NU$26,$NN$26/$NT$26)),0)</f>
        <v/>
      </c>
      <c r="FO26" s="402">
        <f>IF(AND(167&gt;=$NR$26,167&lt;=$NS$26),IF($NP$26="Single_Point",IF(167=$NR$26,$NN$26,0),IF($NP$26="Bell_Curve",$NN$26*(167-$NR$26+1)*($NS$26-167+1)/$NU$26,$NN$26/$NT$26)),0)</f>
        <v/>
      </c>
      <c r="FP26" s="402">
        <f>IF(AND(168&gt;=$NR$26,168&lt;=$NS$26),IF($NP$26="Single_Point",IF(168=$NR$26,$NN$26,0),IF($NP$26="Bell_Curve",$NN$26*(168-$NR$26+1)*($NS$26-168+1)/$NU$26,$NN$26/$NT$26)),0)</f>
        <v/>
      </c>
      <c r="FQ26" s="402">
        <f>IF(AND(169&gt;=$NR$26,169&lt;=$NS$26),IF($NP$26="Single_Point",IF(169=$NR$26,$NN$26,0),IF($NP$26="Bell_Curve",$NN$26*(169-$NR$26+1)*($NS$26-169+1)/$NU$26,$NN$26/$NT$26)),0)</f>
        <v/>
      </c>
      <c r="FR26" s="402">
        <f>IF(AND(170&gt;=$NR$26,170&lt;=$NS$26),IF($NP$26="Single_Point",IF(170=$NR$26,$NN$26,0),IF($NP$26="Bell_Curve",$NN$26*(170-$NR$26+1)*($NS$26-170+1)/$NU$26,$NN$26/$NT$26)),0)</f>
        <v/>
      </c>
      <c r="FS26" s="402">
        <f>IF(AND(171&gt;=$NR$26,171&lt;=$NS$26),IF($NP$26="Single_Point",IF(171=$NR$26,$NN$26,0),IF($NP$26="Bell_Curve",$NN$26*(171-$NR$26+1)*($NS$26-171+1)/$NU$26,$NN$26/$NT$26)),0)</f>
        <v/>
      </c>
      <c r="FT26" s="402">
        <f>IF(AND(172&gt;=$NR$26,172&lt;=$NS$26),IF($NP$26="Single_Point",IF(172=$NR$26,$NN$26,0),IF($NP$26="Bell_Curve",$NN$26*(172-$NR$26+1)*($NS$26-172+1)/$NU$26,$NN$26/$NT$26)),0)</f>
        <v/>
      </c>
      <c r="FU26" s="402">
        <f>IF(AND(173&gt;=$NR$26,173&lt;=$NS$26),IF($NP$26="Single_Point",IF(173=$NR$26,$NN$26,0),IF($NP$26="Bell_Curve",$NN$26*(173-$NR$26+1)*($NS$26-173+1)/$NU$26,$NN$26/$NT$26)),0)</f>
        <v/>
      </c>
      <c r="FV26" s="402">
        <f>IF(AND(174&gt;=$NR$26,174&lt;=$NS$26),IF($NP$26="Single_Point",IF(174=$NR$26,$NN$26,0),IF($NP$26="Bell_Curve",$NN$26*(174-$NR$26+1)*($NS$26-174+1)/$NU$26,$NN$26/$NT$26)),0)</f>
        <v/>
      </c>
      <c r="FW26" s="402">
        <f>IF(AND(175&gt;=$NR$26,175&lt;=$NS$26),IF($NP$26="Single_Point",IF(175=$NR$26,$NN$26,0),IF($NP$26="Bell_Curve",$NN$26*(175-$NR$26+1)*($NS$26-175+1)/$NU$26,$NN$26/$NT$26)),0)</f>
        <v/>
      </c>
      <c r="FX26" s="402">
        <f>IF(AND(176&gt;=$NR$26,176&lt;=$NS$26),IF($NP$26="Single_Point",IF(176=$NR$26,$NN$26,0),IF($NP$26="Bell_Curve",$NN$26*(176-$NR$26+1)*($NS$26-176+1)/$NU$26,$NN$26/$NT$26)),0)</f>
        <v/>
      </c>
      <c r="FY26" s="402">
        <f>IF(AND(177&gt;=$NR$26,177&lt;=$NS$26),IF($NP$26="Single_Point",IF(177=$NR$26,$NN$26,0),IF($NP$26="Bell_Curve",$NN$26*(177-$NR$26+1)*($NS$26-177+1)/$NU$26,$NN$26/$NT$26)),0)</f>
        <v/>
      </c>
      <c r="FZ26" s="402">
        <f>IF(AND(178&gt;=$NR$26,178&lt;=$NS$26),IF($NP$26="Single_Point",IF(178=$NR$26,$NN$26,0),IF($NP$26="Bell_Curve",$NN$26*(178-$NR$26+1)*($NS$26-178+1)/$NU$26,$NN$26/$NT$26)),0)</f>
        <v/>
      </c>
      <c r="GA26" s="402">
        <f>IF(AND(179&gt;=$NR$26,179&lt;=$NS$26),IF($NP$26="Single_Point",IF(179=$NR$26,$NN$26,0),IF($NP$26="Bell_Curve",$NN$26*(179-$NR$26+1)*($NS$26-179+1)/$NU$26,$NN$26/$NT$26)),0)</f>
        <v/>
      </c>
      <c r="GB26" s="402">
        <f>IF(AND(180&gt;=$NR$26,180&lt;=$NS$26),IF($NP$26="Single_Point",IF(180=$NR$26,$NN$26,0),IF($NP$26="Bell_Curve",$NN$26*(180-$NR$26+1)*($NS$26-180+1)/$NU$26,$NN$26/$NT$26)),0)</f>
        <v/>
      </c>
      <c r="GC26" s="402">
        <f>IF(AND(181&gt;=$NR$26,181&lt;=$NS$26),IF($NP$26="Single_Point",IF(181=$NR$26,$NN$26,0),IF($NP$26="Bell_Curve",$NN$26*(181-$NR$26+1)*($NS$26-181+1)/$NU$26,$NN$26/$NT$26)),0)</f>
        <v/>
      </c>
      <c r="GD26" s="402">
        <f>IF(AND(182&gt;=$NR$26,182&lt;=$NS$26),IF($NP$26="Single_Point",IF(182=$NR$26,$NN$26,0),IF($NP$26="Bell_Curve",$NN$26*(182-$NR$26+1)*($NS$26-182+1)/$NU$26,$NN$26/$NT$26)),0)</f>
        <v/>
      </c>
      <c r="GE26" s="402">
        <f>IF(AND(183&gt;=$NR$26,183&lt;=$NS$26),IF($NP$26="Single_Point",IF(183=$NR$26,$NN$26,0),IF($NP$26="Bell_Curve",$NN$26*(183-$NR$26+1)*($NS$26-183+1)/$NU$26,$NN$26/$NT$26)),0)</f>
        <v/>
      </c>
      <c r="GF26" s="402">
        <f>IF(AND(184&gt;=$NR$26,184&lt;=$NS$26),IF($NP$26="Single_Point",IF(184=$NR$26,$NN$26,0),IF($NP$26="Bell_Curve",$NN$26*(184-$NR$26+1)*($NS$26-184+1)/$NU$26,$NN$26/$NT$26)),0)</f>
        <v/>
      </c>
      <c r="GG26" s="402">
        <f>IF(AND(185&gt;=$NR$26,185&lt;=$NS$26),IF($NP$26="Single_Point",IF(185=$NR$26,$NN$26,0),IF($NP$26="Bell_Curve",$NN$26*(185-$NR$26+1)*($NS$26-185+1)/$NU$26,$NN$26/$NT$26)),0)</f>
        <v/>
      </c>
      <c r="GH26" s="402">
        <f>IF(AND(186&gt;=$NR$26,186&lt;=$NS$26),IF($NP$26="Single_Point",IF(186=$NR$26,$NN$26,0),IF($NP$26="Bell_Curve",$NN$26*(186-$NR$26+1)*($NS$26-186+1)/$NU$26,$NN$26/$NT$26)),0)</f>
        <v/>
      </c>
      <c r="GI26" s="402">
        <f>IF(AND(187&gt;=$NR$26,187&lt;=$NS$26),IF($NP$26="Single_Point",IF(187=$NR$26,$NN$26,0),IF($NP$26="Bell_Curve",$NN$26*(187-$NR$26+1)*($NS$26-187+1)/$NU$26,$NN$26/$NT$26)),0)</f>
        <v/>
      </c>
      <c r="GJ26" s="402">
        <f>IF(AND(188&gt;=$NR$26,188&lt;=$NS$26),IF($NP$26="Single_Point",IF(188=$NR$26,$NN$26,0),IF($NP$26="Bell_Curve",$NN$26*(188-$NR$26+1)*($NS$26-188+1)/$NU$26,$NN$26/$NT$26)),0)</f>
        <v/>
      </c>
      <c r="GK26" s="402">
        <f>IF(AND(189&gt;=$NR$26,189&lt;=$NS$26),IF($NP$26="Single_Point",IF(189=$NR$26,$NN$26,0),IF($NP$26="Bell_Curve",$NN$26*(189-$NR$26+1)*($NS$26-189+1)/$NU$26,$NN$26/$NT$26)),0)</f>
        <v/>
      </c>
      <c r="GL26" s="402">
        <f>IF(AND(190&gt;=$NR$26,190&lt;=$NS$26),IF($NP$26="Single_Point",IF(190=$NR$26,$NN$26,0),IF($NP$26="Bell_Curve",$NN$26*(190-$NR$26+1)*($NS$26-190+1)/$NU$26,$NN$26/$NT$26)),0)</f>
        <v/>
      </c>
      <c r="GM26" s="402">
        <f>IF(AND(191&gt;=$NR$26,191&lt;=$NS$26),IF($NP$26="Single_Point",IF(191=$NR$26,$NN$26,0),IF($NP$26="Bell_Curve",$NN$26*(191-$NR$26+1)*($NS$26-191+1)/$NU$26,$NN$26/$NT$26)),0)</f>
        <v/>
      </c>
      <c r="GN26" s="402">
        <f>IF(AND(192&gt;=$NR$26,192&lt;=$NS$26),IF($NP$26="Single_Point",IF(192=$NR$26,$NN$26,0),IF($NP$26="Bell_Curve",$NN$26*(192-$NR$26+1)*($NS$26-192+1)/$NU$26,$NN$26/$NT$26)),0)</f>
        <v/>
      </c>
      <c r="GO26" s="402">
        <f>IF(AND(193&gt;=$NR$26,193&lt;=$NS$26),IF($NP$26="Single_Point",IF(193=$NR$26,$NN$26,0),IF($NP$26="Bell_Curve",$NN$26*(193-$NR$26+1)*($NS$26-193+1)/$NU$26,$NN$26/$NT$26)),0)</f>
        <v/>
      </c>
      <c r="GP26" s="402">
        <f>IF(AND(194&gt;=$NR$26,194&lt;=$NS$26),IF($NP$26="Single_Point",IF(194=$NR$26,$NN$26,0),IF($NP$26="Bell_Curve",$NN$26*(194-$NR$26+1)*($NS$26-194+1)/$NU$26,$NN$26/$NT$26)),0)</f>
        <v/>
      </c>
      <c r="GQ26" s="402">
        <f>IF(AND(195&gt;=$NR$26,195&lt;=$NS$26),IF($NP$26="Single_Point",IF(195=$NR$26,$NN$26,0),IF($NP$26="Bell_Curve",$NN$26*(195-$NR$26+1)*($NS$26-195+1)/$NU$26,$NN$26/$NT$26)),0)</f>
        <v/>
      </c>
      <c r="GR26" s="402">
        <f>IF(AND(196&gt;=$NR$26,196&lt;=$NS$26),IF($NP$26="Single_Point",IF(196=$NR$26,$NN$26,0),IF($NP$26="Bell_Curve",$NN$26*(196-$NR$26+1)*($NS$26-196+1)/$NU$26,$NN$26/$NT$26)),0)</f>
        <v/>
      </c>
      <c r="GS26" s="402">
        <f>IF(AND(197&gt;=$NR$26,197&lt;=$NS$26),IF($NP$26="Single_Point",IF(197=$NR$26,$NN$26,0),IF($NP$26="Bell_Curve",$NN$26*(197-$NR$26+1)*($NS$26-197+1)/$NU$26,$NN$26/$NT$26)),0)</f>
        <v/>
      </c>
      <c r="GT26" s="402">
        <f>IF(AND(198&gt;=$NR$26,198&lt;=$NS$26),IF($NP$26="Single_Point",IF(198=$NR$26,$NN$26,0),IF($NP$26="Bell_Curve",$NN$26*(198-$NR$26+1)*($NS$26-198+1)/$NU$26,$NN$26/$NT$26)),0)</f>
        <v/>
      </c>
      <c r="GU26" s="402">
        <f>IF(AND(199&gt;=$NR$26,199&lt;=$NS$26),IF($NP$26="Single_Point",IF(199=$NR$26,$NN$26,0),IF($NP$26="Bell_Curve",$NN$26*(199-$NR$26+1)*($NS$26-199+1)/$NU$26,$NN$26/$NT$26)),0)</f>
        <v/>
      </c>
      <c r="GV26" s="402">
        <f>IF(AND(200&gt;=$NR$26,200&lt;=$NS$26),IF($NP$26="Single_Point",IF(200=$NR$26,$NN$26,0),IF($NP$26="Bell_Curve",$NN$26*(200-$NR$26+1)*($NS$26-200+1)/$NU$26,$NN$26/$NT$26)),0)</f>
        <v/>
      </c>
      <c r="GW26" s="402">
        <f>IF(AND(201&gt;=$NR$26,201&lt;=$NS$26),IF($NP$26="Single_Point",IF(201=$NR$26,$NN$26,0),IF($NP$26="Bell_Curve",$NN$26*(201-$NR$26+1)*($NS$26-201+1)/$NU$26,$NN$26/$NT$26)),0)</f>
        <v/>
      </c>
      <c r="GX26" s="402">
        <f>IF(AND(202&gt;=$NR$26,202&lt;=$NS$26),IF($NP$26="Single_Point",IF(202=$NR$26,$NN$26,0),IF($NP$26="Bell_Curve",$NN$26*(202-$NR$26+1)*($NS$26-202+1)/$NU$26,$NN$26/$NT$26)),0)</f>
        <v/>
      </c>
      <c r="GY26" s="402">
        <f>IF(AND(203&gt;=$NR$26,203&lt;=$NS$26),IF($NP$26="Single_Point",IF(203=$NR$26,$NN$26,0),IF($NP$26="Bell_Curve",$NN$26*(203-$NR$26+1)*($NS$26-203+1)/$NU$26,$NN$26/$NT$26)),0)</f>
        <v/>
      </c>
      <c r="GZ26" s="402">
        <f>IF(AND(204&gt;=$NR$26,204&lt;=$NS$26),IF($NP$26="Single_Point",IF(204=$NR$26,$NN$26,0),IF($NP$26="Bell_Curve",$NN$26*(204-$NR$26+1)*($NS$26-204+1)/$NU$26,$NN$26/$NT$26)),0)</f>
        <v/>
      </c>
      <c r="HA26" s="402">
        <f>IF(AND(205&gt;=$NR$26,205&lt;=$NS$26),IF($NP$26="Single_Point",IF(205=$NR$26,$NN$26,0),IF($NP$26="Bell_Curve",$NN$26*(205-$NR$26+1)*($NS$26-205+1)/$NU$26,$NN$26/$NT$26)),0)</f>
        <v/>
      </c>
      <c r="HB26" s="402">
        <f>IF(AND(206&gt;=$NR$26,206&lt;=$NS$26),IF($NP$26="Single_Point",IF(206=$NR$26,$NN$26,0),IF($NP$26="Bell_Curve",$NN$26*(206-$NR$26+1)*($NS$26-206+1)/$NU$26,$NN$26/$NT$26)),0)</f>
        <v/>
      </c>
      <c r="HC26" s="402">
        <f>IF(AND(207&gt;=$NR$26,207&lt;=$NS$26),IF($NP$26="Single_Point",IF(207=$NR$26,$NN$26,0),IF($NP$26="Bell_Curve",$NN$26*(207-$NR$26+1)*($NS$26-207+1)/$NU$26,$NN$26/$NT$26)),0)</f>
        <v/>
      </c>
      <c r="HD26" s="402">
        <f>IF(AND(208&gt;=$NR$26,208&lt;=$NS$26),IF($NP$26="Single_Point",IF(208=$NR$26,$NN$26,0),IF($NP$26="Bell_Curve",$NN$26*(208-$NR$26+1)*($NS$26-208+1)/$NU$26,$NN$26/$NT$26)),0)</f>
        <v/>
      </c>
      <c r="HE26" s="402">
        <f>IF(AND(209&gt;=$NR$26,209&lt;=$NS$26),IF($NP$26="Single_Point",IF(209=$NR$26,$NN$26,0),IF($NP$26="Bell_Curve",$NN$26*(209-$NR$26+1)*($NS$26-209+1)/$NU$26,$NN$26/$NT$26)),0)</f>
        <v/>
      </c>
      <c r="HF26" s="402">
        <f>IF(AND(210&gt;=$NR$26,210&lt;=$NS$26),IF($NP$26="Single_Point",IF(210=$NR$26,$NN$26,0),IF($NP$26="Bell_Curve",$NN$26*(210-$NR$26+1)*($NS$26-210+1)/$NU$26,$NN$26/$NT$26)),0)</f>
        <v/>
      </c>
      <c r="HG26" s="402">
        <f>IF(AND(211&gt;=$NR$26,211&lt;=$NS$26),IF($NP$26="Single_Point",IF(211=$NR$26,$NN$26,0),IF($NP$26="Bell_Curve",$NN$26*(211-$NR$26+1)*($NS$26-211+1)/$NU$26,$NN$26/$NT$26)),0)</f>
        <v/>
      </c>
      <c r="HH26" s="402">
        <f>IF(AND(212&gt;=$NR$26,212&lt;=$NS$26),IF($NP$26="Single_Point",IF(212=$NR$26,$NN$26,0),IF($NP$26="Bell_Curve",$NN$26*(212-$NR$26+1)*($NS$26-212+1)/$NU$26,$NN$26/$NT$26)),0)</f>
        <v/>
      </c>
      <c r="HI26" s="402">
        <f>IF(AND(213&gt;=$NR$26,213&lt;=$NS$26),IF($NP$26="Single_Point",IF(213=$NR$26,$NN$26,0),IF($NP$26="Bell_Curve",$NN$26*(213-$NR$26+1)*($NS$26-213+1)/$NU$26,$NN$26/$NT$26)),0)</f>
        <v/>
      </c>
      <c r="HJ26" s="402">
        <f>IF(AND(214&gt;=$NR$26,214&lt;=$NS$26),IF($NP$26="Single_Point",IF(214=$NR$26,$NN$26,0),IF($NP$26="Bell_Curve",$NN$26*(214-$NR$26+1)*($NS$26-214+1)/$NU$26,$NN$26/$NT$26)),0)</f>
        <v/>
      </c>
      <c r="HK26" s="402">
        <f>IF(AND(215&gt;=$NR$26,215&lt;=$NS$26),IF($NP$26="Single_Point",IF(215=$NR$26,$NN$26,0),IF($NP$26="Bell_Curve",$NN$26*(215-$NR$26+1)*($NS$26-215+1)/$NU$26,$NN$26/$NT$26)),0)</f>
        <v/>
      </c>
      <c r="HL26" s="402">
        <f>IF(AND(216&gt;=$NR$26,216&lt;=$NS$26),IF($NP$26="Single_Point",IF(216=$NR$26,$NN$26,0),IF($NP$26="Bell_Curve",$NN$26*(216-$NR$26+1)*($NS$26-216+1)/$NU$26,$NN$26/$NT$26)),0)</f>
        <v/>
      </c>
      <c r="HM26" s="402">
        <f>IF(AND(217&gt;=$NR$26,217&lt;=$NS$26),IF($NP$26="Single_Point",IF(217=$NR$26,$NN$26,0),IF($NP$26="Bell_Curve",$NN$26*(217-$NR$26+1)*($NS$26-217+1)/$NU$26,$NN$26/$NT$26)),0)</f>
        <v/>
      </c>
      <c r="HN26" s="402">
        <f>IF(AND(218&gt;=$NR$26,218&lt;=$NS$26),IF($NP$26="Single_Point",IF(218=$NR$26,$NN$26,0),IF($NP$26="Bell_Curve",$NN$26*(218-$NR$26+1)*($NS$26-218+1)/$NU$26,$NN$26/$NT$26)),0)</f>
        <v/>
      </c>
      <c r="HO26" s="402">
        <f>IF(AND(219&gt;=$NR$26,219&lt;=$NS$26),IF($NP$26="Single_Point",IF(219=$NR$26,$NN$26,0),IF($NP$26="Bell_Curve",$NN$26*(219-$NR$26+1)*($NS$26-219+1)/$NU$26,$NN$26/$NT$26)),0)</f>
        <v/>
      </c>
      <c r="HP26" s="402">
        <f>IF(AND(220&gt;=$NR$26,220&lt;=$NS$26),IF($NP$26="Single_Point",IF(220=$NR$26,$NN$26,0),IF($NP$26="Bell_Curve",$NN$26*(220-$NR$26+1)*($NS$26-220+1)/$NU$26,$NN$26/$NT$26)),0)</f>
        <v/>
      </c>
      <c r="HQ26" s="402">
        <f>IF(AND(221&gt;=$NR$26,221&lt;=$NS$26),IF($NP$26="Single_Point",IF(221=$NR$26,$NN$26,0),IF($NP$26="Bell_Curve",$NN$26*(221-$NR$26+1)*($NS$26-221+1)/$NU$26,$NN$26/$NT$26)),0)</f>
        <v/>
      </c>
      <c r="HR26" s="402">
        <f>IF(AND(222&gt;=$NR$26,222&lt;=$NS$26),IF($NP$26="Single_Point",IF(222=$NR$26,$NN$26,0),IF($NP$26="Bell_Curve",$NN$26*(222-$NR$26+1)*($NS$26-222+1)/$NU$26,$NN$26/$NT$26)),0)</f>
        <v/>
      </c>
      <c r="HS26" s="402">
        <f>IF(AND(223&gt;=$NR$26,223&lt;=$NS$26),IF($NP$26="Single_Point",IF(223=$NR$26,$NN$26,0),IF($NP$26="Bell_Curve",$NN$26*(223-$NR$26+1)*($NS$26-223+1)/$NU$26,$NN$26/$NT$26)),0)</f>
        <v/>
      </c>
      <c r="HT26" s="402">
        <f>IF(AND(224&gt;=$NR$26,224&lt;=$NS$26),IF($NP$26="Single_Point",IF(224=$NR$26,$NN$26,0),IF($NP$26="Bell_Curve",$NN$26*(224-$NR$26+1)*($NS$26-224+1)/$NU$26,$NN$26/$NT$26)),0)</f>
        <v/>
      </c>
      <c r="HU26" s="402">
        <f>IF(AND(225&gt;=$NR$26,225&lt;=$NS$26),IF($NP$26="Single_Point",IF(225=$NR$26,$NN$26,0),IF($NP$26="Bell_Curve",$NN$26*(225-$NR$26+1)*($NS$26-225+1)/$NU$26,$NN$26/$NT$26)),0)</f>
        <v/>
      </c>
      <c r="HV26" s="402">
        <f>IF(AND(226&gt;=$NR$26,226&lt;=$NS$26),IF($NP$26="Single_Point",IF(226=$NR$26,$NN$26,0),IF($NP$26="Bell_Curve",$NN$26*(226-$NR$26+1)*($NS$26-226+1)/$NU$26,$NN$26/$NT$26)),0)</f>
        <v/>
      </c>
      <c r="HW26" s="402">
        <f>IF(AND(227&gt;=$NR$26,227&lt;=$NS$26),IF($NP$26="Single_Point",IF(227=$NR$26,$NN$26,0),IF($NP$26="Bell_Curve",$NN$26*(227-$NR$26+1)*($NS$26-227+1)/$NU$26,$NN$26/$NT$26)),0)</f>
        <v/>
      </c>
      <c r="HX26" s="402">
        <f>IF(AND(228&gt;=$NR$26,228&lt;=$NS$26),IF($NP$26="Single_Point",IF(228=$NR$26,$NN$26,0),IF($NP$26="Bell_Curve",$NN$26*(228-$NR$26+1)*($NS$26-228+1)/$NU$26,$NN$26/$NT$26)),0)</f>
        <v/>
      </c>
      <c r="HY26" s="402">
        <f>IF(AND(229&gt;=$NR$26,229&lt;=$NS$26),IF($NP$26="Single_Point",IF(229=$NR$26,$NN$26,0),IF($NP$26="Bell_Curve",$NN$26*(229-$NR$26+1)*($NS$26-229+1)/$NU$26,$NN$26/$NT$26)),0)</f>
        <v/>
      </c>
      <c r="HZ26" s="402">
        <f>IF(AND(230&gt;=$NR$26,230&lt;=$NS$26),IF($NP$26="Single_Point",IF(230=$NR$26,$NN$26,0),IF($NP$26="Bell_Curve",$NN$26*(230-$NR$26+1)*($NS$26-230+1)/$NU$26,$NN$26/$NT$26)),0)</f>
        <v/>
      </c>
      <c r="IA26" s="402">
        <f>IF(AND(231&gt;=$NR$26,231&lt;=$NS$26),IF($NP$26="Single_Point",IF(231=$NR$26,$NN$26,0),IF($NP$26="Bell_Curve",$NN$26*(231-$NR$26+1)*($NS$26-231+1)/$NU$26,$NN$26/$NT$26)),0)</f>
        <v/>
      </c>
      <c r="IB26" s="402">
        <f>IF(AND(232&gt;=$NR$26,232&lt;=$NS$26),IF($NP$26="Single_Point",IF(232=$NR$26,$NN$26,0),IF($NP$26="Bell_Curve",$NN$26*(232-$NR$26+1)*($NS$26-232+1)/$NU$26,$NN$26/$NT$26)),0)</f>
        <v/>
      </c>
      <c r="IC26" s="402">
        <f>IF(AND(233&gt;=$NR$26,233&lt;=$NS$26),IF($NP$26="Single_Point",IF(233=$NR$26,$NN$26,0),IF($NP$26="Bell_Curve",$NN$26*(233-$NR$26+1)*($NS$26-233+1)/$NU$26,$NN$26/$NT$26)),0)</f>
        <v/>
      </c>
      <c r="ID26" s="402">
        <f>IF(AND(234&gt;=$NR$26,234&lt;=$NS$26),IF($NP$26="Single_Point",IF(234=$NR$26,$NN$26,0),IF($NP$26="Bell_Curve",$NN$26*(234-$NR$26+1)*($NS$26-234+1)/$NU$26,$NN$26/$NT$26)),0)</f>
        <v/>
      </c>
      <c r="IE26" s="402">
        <f>IF(AND(235&gt;=$NR$26,235&lt;=$NS$26),IF($NP$26="Single_Point",IF(235=$NR$26,$NN$26,0),IF($NP$26="Bell_Curve",$NN$26*(235-$NR$26+1)*($NS$26-235+1)/$NU$26,$NN$26/$NT$26)),0)</f>
        <v/>
      </c>
      <c r="IF26" s="402">
        <f>IF(AND(236&gt;=$NR$26,236&lt;=$NS$26),IF($NP$26="Single_Point",IF(236=$NR$26,$NN$26,0),IF($NP$26="Bell_Curve",$NN$26*(236-$NR$26+1)*($NS$26-236+1)/$NU$26,$NN$26/$NT$26)),0)</f>
        <v/>
      </c>
      <c r="IG26" s="402">
        <f>IF(AND(237&gt;=$NR$26,237&lt;=$NS$26),IF($NP$26="Single_Point",IF(237=$NR$26,$NN$26,0),IF($NP$26="Bell_Curve",$NN$26*(237-$NR$26+1)*($NS$26-237+1)/$NU$26,$NN$26/$NT$26)),0)</f>
        <v/>
      </c>
      <c r="IH26" s="402">
        <f>IF(AND(238&gt;=$NR$26,238&lt;=$NS$26),IF($NP$26="Single_Point",IF(238=$NR$26,$NN$26,0),IF($NP$26="Bell_Curve",$NN$26*(238-$NR$26+1)*($NS$26-238+1)/$NU$26,$NN$26/$NT$26)),0)</f>
        <v/>
      </c>
      <c r="II26" s="402">
        <f>IF(AND(239&gt;=$NR$26,239&lt;=$NS$26),IF($NP$26="Single_Point",IF(239=$NR$26,$NN$26,0),IF($NP$26="Bell_Curve",$NN$26*(239-$NR$26+1)*($NS$26-239+1)/$NU$26,$NN$26/$NT$26)),0)</f>
        <v/>
      </c>
      <c r="IJ26" s="402">
        <f>IF(AND(240&gt;=$NR$26,240&lt;=$NS$26),IF($NP$26="Single_Point",IF(240=$NR$26,$NN$26,0),IF($NP$26="Bell_Curve",$NN$26*(240-$NR$26+1)*($NS$26-240+1)/$NU$26,$NN$26/$NT$26)),0)</f>
        <v/>
      </c>
      <c r="IK26" s="402">
        <f>IF(AND(241&gt;=$NR$26,241&lt;=$NS$26),IF($NP$26="Single_Point",IF(241=$NR$26,$NN$26,0),IF($NP$26="Bell_Curve",$NN$26*(241-$NR$26+1)*($NS$26-241+1)/$NU$26,$NN$26/$NT$26)),0)</f>
        <v/>
      </c>
      <c r="IL26" s="402">
        <f>IF(AND(242&gt;=$NR$26,242&lt;=$NS$26),IF($NP$26="Single_Point",IF(242=$NR$26,$NN$26,0),IF($NP$26="Bell_Curve",$NN$26*(242-$NR$26+1)*($NS$26-242+1)/$NU$26,$NN$26/$NT$26)),0)</f>
        <v/>
      </c>
      <c r="IM26" s="402">
        <f>IF(AND(243&gt;=$NR$26,243&lt;=$NS$26),IF($NP$26="Single_Point",IF(243=$NR$26,$NN$26,0),IF($NP$26="Bell_Curve",$NN$26*(243-$NR$26+1)*($NS$26-243+1)/$NU$26,$NN$26/$NT$26)),0)</f>
        <v/>
      </c>
      <c r="IN26" s="402">
        <f>IF(AND(244&gt;=$NR$26,244&lt;=$NS$26),IF($NP$26="Single_Point",IF(244=$NR$26,$NN$26,0),IF($NP$26="Bell_Curve",$NN$26*(244-$NR$26+1)*($NS$26-244+1)/$NU$26,$NN$26/$NT$26)),0)</f>
        <v/>
      </c>
      <c r="IO26" s="402">
        <f>IF(AND(245&gt;=$NR$26,245&lt;=$NS$26),IF($NP$26="Single_Point",IF(245=$NR$26,$NN$26,0),IF($NP$26="Bell_Curve",$NN$26*(245-$NR$26+1)*($NS$26-245+1)/$NU$26,$NN$26/$NT$26)),0)</f>
        <v/>
      </c>
      <c r="IP26" s="402">
        <f>IF(AND(246&gt;=$NR$26,246&lt;=$NS$26),IF($NP$26="Single_Point",IF(246=$NR$26,$NN$26,0),IF($NP$26="Bell_Curve",$NN$26*(246-$NR$26+1)*($NS$26-246+1)/$NU$26,$NN$26/$NT$26)),0)</f>
        <v/>
      </c>
      <c r="IQ26" s="402">
        <f>IF(AND(247&gt;=$NR$26,247&lt;=$NS$26),IF($NP$26="Single_Point",IF(247=$NR$26,$NN$26,0),IF($NP$26="Bell_Curve",$NN$26*(247-$NR$26+1)*($NS$26-247+1)/$NU$26,$NN$26/$NT$26)),0)</f>
        <v/>
      </c>
      <c r="IR26" s="402">
        <f>IF(AND(248&gt;=$NR$26,248&lt;=$NS$26),IF($NP$26="Single_Point",IF(248=$NR$26,$NN$26,0),IF($NP$26="Bell_Curve",$NN$26*(248-$NR$26+1)*($NS$26-248+1)/$NU$26,$NN$26/$NT$26)),0)</f>
        <v/>
      </c>
      <c r="IS26" s="402">
        <f>IF(AND(249&gt;=$NR$26,249&lt;=$NS$26),IF($NP$26="Single_Point",IF(249=$NR$26,$NN$26,0),IF($NP$26="Bell_Curve",$NN$26*(249-$NR$26+1)*($NS$26-249+1)/$NU$26,$NN$26/$NT$26)),0)</f>
        <v/>
      </c>
      <c r="IT26" s="402">
        <f>IF(AND(250&gt;=$NR$26,250&lt;=$NS$26),IF($NP$26="Single_Point",IF(250=$NR$26,$NN$26,0),IF($NP$26="Bell_Curve",$NN$26*(250-$NR$26+1)*($NS$26-250+1)/$NU$26,$NN$26/$NT$26)),0)</f>
        <v/>
      </c>
      <c r="IU26" s="402">
        <f>IF(AND(251&gt;=$NR$26,251&lt;=$NS$26),IF($NP$26="Single_Point",IF(251=$NR$26,$NN$26,0),IF($NP$26="Bell_Curve",$NN$26*(251-$NR$26+1)*($NS$26-251+1)/$NU$26,$NN$26/$NT$26)),0)</f>
        <v/>
      </c>
      <c r="IV26" s="402">
        <f>IF(AND(252&gt;=$NR$26,252&lt;=$NS$26),IF($NP$26="Single_Point",IF(252=$NR$26,$NN$26,0),IF($NP$26="Bell_Curve",$NN$26*(252-$NR$26+1)*($NS$26-252+1)/$NU$26,$NN$26/$NT$26)),0)</f>
        <v/>
      </c>
      <c r="IW26" s="402">
        <f>IF(AND(253&gt;=$NR$26,253&lt;=$NS$26),IF($NP$26="Single_Point",IF(253=$NR$26,$NN$26,0),IF($NP$26="Bell_Curve",$NN$26*(253-$NR$26+1)*($NS$26-253+1)/$NU$26,$NN$26/$NT$26)),0)</f>
        <v/>
      </c>
      <c r="IX26" s="402">
        <f>IF(AND(254&gt;=$NR$26,254&lt;=$NS$26),IF($NP$26="Single_Point",IF(254=$NR$26,$NN$26,0),IF($NP$26="Bell_Curve",$NN$26*(254-$NR$26+1)*($NS$26-254+1)/$NU$26,$NN$26/$NT$26)),0)</f>
        <v/>
      </c>
      <c r="IY26" s="402">
        <f>IF(AND(255&gt;=$NR$26,255&lt;=$NS$26),IF($NP$26="Single_Point",IF(255=$NR$26,$NN$26,0),IF($NP$26="Bell_Curve",$NN$26*(255-$NR$26+1)*($NS$26-255+1)/$NU$26,$NN$26/$NT$26)),0)</f>
        <v/>
      </c>
      <c r="IZ26" s="402">
        <f>IF(AND(256&gt;=$NR$26,256&lt;=$NS$26),IF($NP$26="Single_Point",IF(256=$NR$26,$NN$26,0),IF($NP$26="Bell_Curve",$NN$26*(256-$NR$26+1)*($NS$26-256+1)/$NU$26,$NN$26/$NT$26)),0)</f>
        <v/>
      </c>
      <c r="JA26" s="402">
        <f>IF(AND(257&gt;=$NR$26,257&lt;=$NS$26),IF($NP$26="Single_Point",IF(257=$NR$26,$NN$26,0),IF($NP$26="Bell_Curve",$NN$26*(257-$NR$26+1)*($NS$26-257+1)/$NU$26,$NN$26/$NT$26)),0)</f>
        <v/>
      </c>
      <c r="JB26" s="402">
        <f>IF(AND(258&gt;=$NR$26,258&lt;=$NS$26),IF($NP$26="Single_Point",IF(258=$NR$26,$NN$26,0),IF($NP$26="Bell_Curve",$NN$26*(258-$NR$26+1)*($NS$26-258+1)/$NU$26,$NN$26/$NT$26)),0)</f>
        <v/>
      </c>
      <c r="JC26" s="402">
        <f>IF(AND(259&gt;=$NR$26,259&lt;=$NS$26),IF($NP$26="Single_Point",IF(259=$NR$26,$NN$26,0),IF($NP$26="Bell_Curve",$NN$26*(259-$NR$26+1)*($NS$26-259+1)/$NU$26,$NN$26/$NT$26)),0)</f>
        <v/>
      </c>
      <c r="JD26" s="402">
        <f>IF(AND(260&gt;=$NR$26,260&lt;=$NS$26),IF($NP$26="Single_Point",IF(260=$NR$26,$NN$26,0),IF($NP$26="Bell_Curve",$NN$26*(260-$NR$26+1)*($NS$26-260+1)/$NU$26,$NN$26/$NT$26)),0)</f>
        <v/>
      </c>
      <c r="JE26" s="402">
        <f>IF(AND(261&gt;=$NR$26,261&lt;=$NS$26),IF($NP$26="Single_Point",IF(261=$NR$26,$NN$26,0),IF($NP$26="Bell_Curve",$NN$26*(261-$NR$26+1)*($NS$26-261+1)/$NU$26,$NN$26/$NT$26)),0)</f>
        <v/>
      </c>
      <c r="JF26" s="402">
        <f>IF(AND(262&gt;=$NR$26,262&lt;=$NS$26),IF($NP$26="Single_Point",IF(262=$NR$26,$NN$26,0),IF($NP$26="Bell_Curve",$NN$26*(262-$NR$26+1)*($NS$26-262+1)/$NU$26,$NN$26/$NT$26)),0)</f>
        <v/>
      </c>
      <c r="JG26" s="402">
        <f>IF(AND(263&gt;=$NR$26,263&lt;=$NS$26),IF($NP$26="Single_Point",IF(263=$NR$26,$NN$26,0),IF($NP$26="Bell_Curve",$NN$26*(263-$NR$26+1)*($NS$26-263+1)/$NU$26,$NN$26/$NT$26)),0)</f>
        <v/>
      </c>
      <c r="JH26" s="402">
        <f>IF(AND(264&gt;=$NR$26,264&lt;=$NS$26),IF($NP$26="Single_Point",IF(264=$NR$26,$NN$26,0),IF($NP$26="Bell_Curve",$NN$26*(264-$NR$26+1)*($NS$26-264+1)/$NU$26,$NN$26/$NT$26)),0)</f>
        <v/>
      </c>
      <c r="JI26" s="402">
        <f>IF(AND(265&gt;=$NR$26,265&lt;=$NS$26),IF($NP$26="Single_Point",IF(265=$NR$26,$NN$26,0),IF($NP$26="Bell_Curve",$NN$26*(265-$NR$26+1)*($NS$26-265+1)/$NU$26,$NN$26/$NT$26)),0)</f>
        <v/>
      </c>
      <c r="JJ26" s="402">
        <f>IF(AND(266&gt;=$NR$26,266&lt;=$NS$26),IF($NP$26="Single_Point",IF(266=$NR$26,$NN$26,0),IF($NP$26="Bell_Curve",$NN$26*(266-$NR$26+1)*($NS$26-266+1)/$NU$26,$NN$26/$NT$26)),0)</f>
        <v/>
      </c>
      <c r="JK26" s="402">
        <f>IF(AND(267&gt;=$NR$26,267&lt;=$NS$26),IF($NP$26="Single_Point",IF(267=$NR$26,$NN$26,0),IF($NP$26="Bell_Curve",$NN$26*(267-$NR$26+1)*($NS$26-267+1)/$NU$26,$NN$26/$NT$26)),0)</f>
        <v/>
      </c>
      <c r="JL26" s="402">
        <f>IF(AND(268&gt;=$NR$26,268&lt;=$NS$26),IF($NP$26="Single_Point",IF(268=$NR$26,$NN$26,0),IF($NP$26="Bell_Curve",$NN$26*(268-$NR$26+1)*($NS$26-268+1)/$NU$26,$NN$26/$NT$26)),0)</f>
        <v/>
      </c>
      <c r="JM26" s="402">
        <f>IF(AND(269&gt;=$NR$26,269&lt;=$NS$26),IF($NP$26="Single_Point",IF(269=$NR$26,$NN$26,0),IF($NP$26="Bell_Curve",$NN$26*(269-$NR$26+1)*($NS$26-269+1)/$NU$26,$NN$26/$NT$26)),0)</f>
        <v/>
      </c>
      <c r="JN26" s="402">
        <f>IF(AND(270&gt;=$NR$26,270&lt;=$NS$26),IF($NP$26="Single_Point",IF(270=$NR$26,$NN$26,0),IF($NP$26="Bell_Curve",$NN$26*(270-$NR$26+1)*($NS$26-270+1)/$NU$26,$NN$26/$NT$26)),0)</f>
        <v/>
      </c>
      <c r="JO26" s="402">
        <f>IF(AND(271&gt;=$NR$26,271&lt;=$NS$26),IF($NP$26="Single_Point",IF(271=$NR$26,$NN$26,0),IF($NP$26="Bell_Curve",$NN$26*(271-$NR$26+1)*($NS$26-271+1)/$NU$26,$NN$26/$NT$26)),0)</f>
        <v/>
      </c>
      <c r="JP26" s="402">
        <f>IF(AND(272&gt;=$NR$26,272&lt;=$NS$26),IF($NP$26="Single_Point",IF(272=$NR$26,$NN$26,0),IF($NP$26="Bell_Curve",$NN$26*(272-$NR$26+1)*($NS$26-272+1)/$NU$26,$NN$26/$NT$26)),0)</f>
        <v/>
      </c>
      <c r="JQ26" s="402">
        <f>IF(AND(273&gt;=$NR$26,273&lt;=$NS$26),IF($NP$26="Single_Point",IF(273=$NR$26,$NN$26,0),IF($NP$26="Bell_Curve",$NN$26*(273-$NR$26+1)*($NS$26-273+1)/$NU$26,$NN$26/$NT$26)),0)</f>
        <v/>
      </c>
      <c r="JR26" s="402">
        <f>IF(AND(274&gt;=$NR$26,274&lt;=$NS$26),IF($NP$26="Single_Point",IF(274=$NR$26,$NN$26,0),IF($NP$26="Bell_Curve",$NN$26*(274-$NR$26+1)*($NS$26-274+1)/$NU$26,$NN$26/$NT$26)),0)</f>
        <v/>
      </c>
      <c r="JS26" s="402">
        <f>IF(AND(275&gt;=$NR$26,275&lt;=$NS$26),IF($NP$26="Single_Point",IF(275=$NR$26,$NN$26,0),IF($NP$26="Bell_Curve",$NN$26*(275-$NR$26+1)*($NS$26-275+1)/$NU$26,$NN$26/$NT$26)),0)</f>
        <v/>
      </c>
      <c r="JT26" s="402">
        <f>IF(AND(276&gt;=$NR$26,276&lt;=$NS$26),IF($NP$26="Single_Point",IF(276=$NR$26,$NN$26,0),IF($NP$26="Bell_Curve",$NN$26*(276-$NR$26+1)*($NS$26-276+1)/$NU$26,$NN$26/$NT$26)),0)</f>
        <v/>
      </c>
      <c r="JU26" s="402">
        <f>IF(AND(277&gt;=$NR$26,277&lt;=$NS$26),IF($NP$26="Single_Point",IF(277=$NR$26,$NN$26,0),IF($NP$26="Bell_Curve",$NN$26*(277-$NR$26+1)*($NS$26-277+1)/$NU$26,$NN$26/$NT$26)),0)</f>
        <v/>
      </c>
      <c r="JV26" s="402">
        <f>IF(AND(278&gt;=$NR$26,278&lt;=$NS$26),IF($NP$26="Single_Point",IF(278=$NR$26,$NN$26,0),IF($NP$26="Bell_Curve",$NN$26*(278-$NR$26+1)*($NS$26-278+1)/$NU$26,$NN$26/$NT$26)),0)</f>
        <v/>
      </c>
      <c r="JW26" s="402">
        <f>IF(AND(279&gt;=$NR$26,279&lt;=$NS$26),IF($NP$26="Single_Point",IF(279=$NR$26,$NN$26,0),IF($NP$26="Bell_Curve",$NN$26*(279-$NR$26+1)*($NS$26-279+1)/$NU$26,$NN$26/$NT$26)),0)</f>
        <v/>
      </c>
      <c r="JX26" s="402">
        <f>IF(AND(280&gt;=$NR$26,280&lt;=$NS$26),IF($NP$26="Single_Point",IF(280=$NR$26,$NN$26,0),IF($NP$26="Bell_Curve",$NN$26*(280-$NR$26+1)*($NS$26-280+1)/$NU$26,$NN$26/$NT$26)),0)</f>
        <v/>
      </c>
      <c r="JY26" s="402">
        <f>IF(AND(281&gt;=$NR$26,281&lt;=$NS$26),IF($NP$26="Single_Point",IF(281=$NR$26,$NN$26,0),IF($NP$26="Bell_Curve",$NN$26*(281-$NR$26+1)*($NS$26-281+1)/$NU$26,$NN$26/$NT$26)),0)</f>
        <v/>
      </c>
      <c r="JZ26" s="402">
        <f>IF(AND(282&gt;=$NR$26,282&lt;=$NS$26),IF($NP$26="Single_Point",IF(282=$NR$26,$NN$26,0),IF($NP$26="Bell_Curve",$NN$26*(282-$NR$26+1)*($NS$26-282+1)/$NU$26,$NN$26/$NT$26)),0)</f>
        <v/>
      </c>
      <c r="KA26" s="402">
        <f>IF(AND(283&gt;=$NR$26,283&lt;=$NS$26),IF($NP$26="Single_Point",IF(283=$NR$26,$NN$26,0),IF($NP$26="Bell_Curve",$NN$26*(283-$NR$26+1)*($NS$26-283+1)/$NU$26,$NN$26/$NT$26)),0)</f>
        <v/>
      </c>
      <c r="KB26" s="402">
        <f>IF(AND(284&gt;=$NR$26,284&lt;=$NS$26),IF($NP$26="Single_Point",IF(284=$NR$26,$NN$26,0),IF($NP$26="Bell_Curve",$NN$26*(284-$NR$26+1)*($NS$26-284+1)/$NU$26,$NN$26/$NT$26)),0)</f>
        <v/>
      </c>
      <c r="KC26" s="402">
        <f>IF(AND(285&gt;=$NR$26,285&lt;=$NS$26),IF($NP$26="Single_Point",IF(285=$NR$26,$NN$26,0),IF($NP$26="Bell_Curve",$NN$26*(285-$NR$26+1)*($NS$26-285+1)/$NU$26,$NN$26/$NT$26)),0)</f>
        <v/>
      </c>
      <c r="KD26" s="402">
        <f>IF(AND(286&gt;=$NR$26,286&lt;=$NS$26),IF($NP$26="Single_Point",IF(286=$NR$26,$NN$26,0),IF($NP$26="Bell_Curve",$NN$26*(286-$NR$26+1)*($NS$26-286+1)/$NU$26,$NN$26/$NT$26)),0)</f>
        <v/>
      </c>
      <c r="KE26" s="402">
        <f>IF(AND(287&gt;=$NR$26,287&lt;=$NS$26),IF($NP$26="Single_Point",IF(287=$NR$26,$NN$26,0),IF($NP$26="Bell_Curve",$NN$26*(287-$NR$26+1)*($NS$26-287+1)/$NU$26,$NN$26/$NT$26)),0)</f>
        <v/>
      </c>
      <c r="KF26" s="402">
        <f>IF(AND(288&gt;=$NR$26,288&lt;=$NS$26),IF($NP$26="Single_Point",IF(288=$NR$26,$NN$26,0),IF($NP$26="Bell_Curve",$NN$26*(288-$NR$26+1)*($NS$26-288+1)/$NU$26,$NN$26/$NT$26)),0)</f>
        <v/>
      </c>
      <c r="KG26" s="402">
        <f>IF(AND(289&gt;=$NR$26,289&lt;=$NS$26),IF($NP$26="Single_Point",IF(289=$NR$26,$NN$26,0),IF($NP$26="Bell_Curve",$NN$26*(289-$NR$26+1)*($NS$26-289+1)/$NU$26,$NN$26/$NT$26)),0)</f>
        <v/>
      </c>
      <c r="KH26" s="402">
        <f>IF(AND(290&gt;=$NR$26,290&lt;=$NS$26),IF($NP$26="Single_Point",IF(290=$NR$26,$NN$26,0),IF($NP$26="Bell_Curve",$NN$26*(290-$NR$26+1)*($NS$26-290+1)/$NU$26,$NN$26/$NT$26)),0)</f>
        <v/>
      </c>
      <c r="KI26" s="402">
        <f>IF(AND(291&gt;=$NR$26,291&lt;=$NS$26),IF($NP$26="Single_Point",IF(291=$NR$26,$NN$26,0),IF($NP$26="Bell_Curve",$NN$26*(291-$NR$26+1)*($NS$26-291+1)/$NU$26,$NN$26/$NT$26)),0)</f>
        <v/>
      </c>
      <c r="KJ26" s="402">
        <f>IF(AND(292&gt;=$NR$26,292&lt;=$NS$26),IF($NP$26="Single_Point",IF(292=$NR$26,$NN$26,0),IF($NP$26="Bell_Curve",$NN$26*(292-$NR$26+1)*($NS$26-292+1)/$NU$26,$NN$26/$NT$26)),0)</f>
        <v/>
      </c>
      <c r="KK26" s="402">
        <f>IF(AND(293&gt;=$NR$26,293&lt;=$NS$26),IF($NP$26="Single_Point",IF(293=$NR$26,$NN$26,0),IF($NP$26="Bell_Curve",$NN$26*(293-$NR$26+1)*($NS$26-293+1)/$NU$26,$NN$26/$NT$26)),0)</f>
        <v/>
      </c>
      <c r="KL26" s="402">
        <f>IF(AND(294&gt;=$NR$26,294&lt;=$NS$26),IF($NP$26="Single_Point",IF(294=$NR$26,$NN$26,0),IF($NP$26="Bell_Curve",$NN$26*(294-$NR$26+1)*($NS$26-294+1)/$NU$26,$NN$26/$NT$26)),0)</f>
        <v/>
      </c>
      <c r="KM26" s="402">
        <f>IF(AND(295&gt;=$NR$26,295&lt;=$NS$26),IF($NP$26="Single_Point",IF(295=$NR$26,$NN$26,0),IF($NP$26="Bell_Curve",$NN$26*(295-$NR$26+1)*($NS$26-295+1)/$NU$26,$NN$26/$NT$26)),0)</f>
        <v/>
      </c>
      <c r="KN26" s="402">
        <f>IF(AND(296&gt;=$NR$26,296&lt;=$NS$26),IF($NP$26="Single_Point",IF(296=$NR$26,$NN$26,0),IF($NP$26="Bell_Curve",$NN$26*(296-$NR$26+1)*($NS$26-296+1)/$NU$26,$NN$26/$NT$26)),0)</f>
        <v/>
      </c>
      <c r="KO26" s="402">
        <f>IF(AND(297&gt;=$NR$26,297&lt;=$NS$26),IF($NP$26="Single_Point",IF(297=$NR$26,$NN$26,0),IF($NP$26="Bell_Curve",$NN$26*(297-$NR$26+1)*($NS$26-297+1)/$NU$26,$NN$26/$NT$26)),0)</f>
        <v/>
      </c>
      <c r="KP26" s="402">
        <f>IF(AND(298&gt;=$NR$26,298&lt;=$NS$26),IF($NP$26="Single_Point",IF(298=$NR$26,$NN$26,0),IF($NP$26="Bell_Curve",$NN$26*(298-$NR$26+1)*($NS$26-298+1)/$NU$26,$NN$26/$NT$26)),0)</f>
        <v/>
      </c>
      <c r="KQ26" s="402">
        <f>IF(AND(299&gt;=$NR$26,299&lt;=$NS$26),IF($NP$26="Single_Point",IF(299=$NR$26,$NN$26,0),IF($NP$26="Bell_Curve",$NN$26*(299-$NR$26+1)*($NS$26-299+1)/$NU$26,$NN$26/$NT$26)),0)</f>
        <v/>
      </c>
      <c r="KR26" s="402">
        <f>IF(AND(300&gt;=$NR$26,300&lt;=$NS$26),IF($NP$26="Single_Point",IF(300=$NR$26,$NN$26,0),IF($NP$26="Bell_Curve",$NN$26*(300-$NR$26+1)*($NS$26-300+1)/$NU$26,$NN$26/$NT$26)),0)</f>
        <v/>
      </c>
      <c r="KS26" s="402">
        <f>IF(AND(301&gt;=$NR$26,301&lt;=$NS$26),IF($NP$26="Single_Point",IF(301=$NR$26,$NN$26,0),IF($NP$26="Bell_Curve",$NN$26*(301-$NR$26+1)*($NS$26-301+1)/$NU$26,$NN$26/$NT$26)),0)</f>
        <v/>
      </c>
      <c r="KT26" s="402">
        <f>IF(AND(302&gt;=$NR$26,302&lt;=$NS$26),IF($NP$26="Single_Point",IF(302=$NR$26,$NN$26,0),IF($NP$26="Bell_Curve",$NN$26*(302-$NR$26+1)*($NS$26-302+1)/$NU$26,$NN$26/$NT$26)),0)</f>
        <v/>
      </c>
      <c r="KU26" s="402">
        <f>IF(AND(303&gt;=$NR$26,303&lt;=$NS$26),IF($NP$26="Single_Point",IF(303=$NR$26,$NN$26,0),IF($NP$26="Bell_Curve",$NN$26*(303-$NR$26+1)*($NS$26-303+1)/$NU$26,$NN$26/$NT$26)),0)</f>
        <v/>
      </c>
      <c r="KV26" s="402">
        <f>IF(AND(304&gt;=$NR$26,304&lt;=$NS$26),IF($NP$26="Single_Point",IF(304=$NR$26,$NN$26,0),IF($NP$26="Bell_Curve",$NN$26*(304-$NR$26+1)*($NS$26-304+1)/$NU$26,$NN$26/$NT$26)),0)</f>
        <v/>
      </c>
      <c r="KW26" s="402">
        <f>IF(AND(305&gt;=$NR$26,305&lt;=$NS$26),IF($NP$26="Single_Point",IF(305=$NR$26,$NN$26,0),IF($NP$26="Bell_Curve",$NN$26*(305-$NR$26+1)*($NS$26-305+1)/$NU$26,$NN$26/$NT$26)),0)</f>
        <v/>
      </c>
      <c r="KX26" s="402">
        <f>IF(AND(306&gt;=$NR$26,306&lt;=$NS$26),IF($NP$26="Single_Point",IF(306=$NR$26,$NN$26,0),IF($NP$26="Bell_Curve",$NN$26*(306-$NR$26+1)*($NS$26-306+1)/$NU$26,$NN$26/$NT$26)),0)</f>
        <v/>
      </c>
      <c r="KY26" s="402">
        <f>IF(AND(307&gt;=$NR$26,307&lt;=$NS$26),IF($NP$26="Single_Point",IF(307=$NR$26,$NN$26,0),IF($NP$26="Bell_Curve",$NN$26*(307-$NR$26+1)*($NS$26-307+1)/$NU$26,$NN$26/$NT$26)),0)</f>
        <v/>
      </c>
      <c r="KZ26" s="402">
        <f>IF(AND(308&gt;=$NR$26,308&lt;=$NS$26),IF($NP$26="Single_Point",IF(308=$NR$26,$NN$26,0),IF($NP$26="Bell_Curve",$NN$26*(308-$NR$26+1)*($NS$26-308+1)/$NU$26,$NN$26/$NT$26)),0)</f>
        <v/>
      </c>
      <c r="LA26" s="402">
        <f>IF(AND(309&gt;=$NR$26,309&lt;=$NS$26),IF($NP$26="Single_Point",IF(309=$NR$26,$NN$26,0),IF($NP$26="Bell_Curve",$NN$26*(309-$NR$26+1)*($NS$26-309+1)/$NU$26,$NN$26/$NT$26)),0)</f>
        <v/>
      </c>
      <c r="LB26" s="402">
        <f>IF(AND(310&gt;=$NR$26,310&lt;=$NS$26),IF($NP$26="Single_Point",IF(310=$NR$26,$NN$26,0),IF($NP$26="Bell_Curve",$NN$26*(310-$NR$26+1)*($NS$26-310+1)/$NU$26,$NN$26/$NT$26)),0)</f>
        <v/>
      </c>
      <c r="LC26" s="402">
        <f>IF(AND(311&gt;=$NR$26,311&lt;=$NS$26),IF($NP$26="Single_Point",IF(311=$NR$26,$NN$26,0),IF($NP$26="Bell_Curve",$NN$26*(311-$NR$26+1)*($NS$26-311+1)/$NU$26,$NN$26/$NT$26)),0)</f>
        <v/>
      </c>
      <c r="LD26" s="402">
        <f>IF(AND(312&gt;=$NR$26,312&lt;=$NS$26),IF($NP$26="Single_Point",IF(312=$NR$26,$NN$26,0),IF($NP$26="Bell_Curve",$NN$26*(312-$NR$26+1)*($NS$26-312+1)/$NU$26,$NN$26/$NT$26)),0)</f>
        <v/>
      </c>
      <c r="LE26" s="402">
        <f>IF(AND(313&gt;=$NR$26,313&lt;=$NS$26),IF($NP$26="Single_Point",IF(313=$NR$26,$NN$26,0),IF($NP$26="Bell_Curve",$NN$26*(313-$NR$26+1)*($NS$26-313+1)/$NU$26,$NN$26/$NT$26)),0)</f>
        <v/>
      </c>
      <c r="LF26" s="402">
        <f>IF(AND(314&gt;=$NR$26,314&lt;=$NS$26),IF($NP$26="Single_Point",IF(314=$NR$26,$NN$26,0),IF($NP$26="Bell_Curve",$NN$26*(314-$NR$26+1)*($NS$26-314+1)/$NU$26,$NN$26/$NT$26)),0)</f>
        <v/>
      </c>
      <c r="LG26" s="402">
        <f>IF(AND(315&gt;=$NR$26,315&lt;=$NS$26),IF($NP$26="Single_Point",IF(315=$NR$26,$NN$26,0),IF($NP$26="Bell_Curve",$NN$26*(315-$NR$26+1)*($NS$26-315+1)/$NU$26,$NN$26/$NT$26)),0)</f>
        <v/>
      </c>
      <c r="LH26" s="402">
        <f>IF(AND(316&gt;=$NR$26,316&lt;=$NS$26),IF($NP$26="Single_Point",IF(316=$NR$26,$NN$26,0),IF($NP$26="Bell_Curve",$NN$26*(316-$NR$26+1)*($NS$26-316+1)/$NU$26,$NN$26/$NT$26)),0)</f>
        <v/>
      </c>
      <c r="LI26" s="402">
        <f>IF(AND(317&gt;=$NR$26,317&lt;=$NS$26),IF($NP$26="Single_Point",IF(317=$NR$26,$NN$26,0),IF($NP$26="Bell_Curve",$NN$26*(317-$NR$26+1)*($NS$26-317+1)/$NU$26,$NN$26/$NT$26)),0)</f>
        <v/>
      </c>
      <c r="LJ26" s="402">
        <f>IF(AND(318&gt;=$NR$26,318&lt;=$NS$26),IF($NP$26="Single_Point",IF(318=$NR$26,$NN$26,0),IF($NP$26="Bell_Curve",$NN$26*(318-$NR$26+1)*($NS$26-318+1)/$NU$26,$NN$26/$NT$26)),0)</f>
        <v/>
      </c>
      <c r="LK26" s="402">
        <f>IF(AND(319&gt;=$NR$26,319&lt;=$NS$26),IF($NP$26="Single_Point",IF(319=$NR$26,$NN$26,0),IF($NP$26="Bell_Curve",$NN$26*(319-$NR$26+1)*($NS$26-319+1)/$NU$26,$NN$26/$NT$26)),0)</f>
        <v/>
      </c>
      <c r="LL26" s="402">
        <f>IF(AND(320&gt;=$NR$26,320&lt;=$NS$26),IF($NP$26="Single_Point",IF(320=$NR$26,$NN$26,0),IF($NP$26="Bell_Curve",$NN$26*(320-$NR$26+1)*($NS$26-320+1)/$NU$26,$NN$26/$NT$26)),0)</f>
        <v/>
      </c>
      <c r="LM26" s="402">
        <f>IF(AND(321&gt;=$NR$26,321&lt;=$NS$26),IF($NP$26="Single_Point",IF(321=$NR$26,$NN$26,0),IF($NP$26="Bell_Curve",$NN$26*(321-$NR$26+1)*($NS$26-321+1)/$NU$26,$NN$26/$NT$26)),0)</f>
        <v/>
      </c>
      <c r="LN26" s="402">
        <f>IF(AND(322&gt;=$NR$26,322&lt;=$NS$26),IF($NP$26="Single_Point",IF(322=$NR$26,$NN$26,0),IF($NP$26="Bell_Curve",$NN$26*(322-$NR$26+1)*($NS$26-322+1)/$NU$26,$NN$26/$NT$26)),0)</f>
        <v/>
      </c>
      <c r="LO26" s="402">
        <f>IF(AND(323&gt;=$NR$26,323&lt;=$NS$26),IF($NP$26="Single_Point",IF(323=$NR$26,$NN$26,0),IF($NP$26="Bell_Curve",$NN$26*(323-$NR$26+1)*($NS$26-323+1)/$NU$26,$NN$26/$NT$26)),0)</f>
        <v/>
      </c>
      <c r="LP26" s="402">
        <f>IF(AND(324&gt;=$NR$26,324&lt;=$NS$26),IF($NP$26="Single_Point",IF(324=$NR$26,$NN$26,0),IF($NP$26="Bell_Curve",$NN$26*(324-$NR$26+1)*($NS$26-324+1)/$NU$26,$NN$26/$NT$26)),0)</f>
        <v/>
      </c>
      <c r="LQ26" s="402">
        <f>IF(AND(325&gt;=$NR$26,325&lt;=$NS$26),IF($NP$26="Single_Point",IF(325=$NR$26,$NN$26,0),IF($NP$26="Bell_Curve",$NN$26*(325-$NR$26+1)*($NS$26-325+1)/$NU$26,$NN$26/$NT$26)),0)</f>
        <v/>
      </c>
      <c r="LR26" s="402">
        <f>IF(AND(326&gt;=$NR$26,326&lt;=$NS$26),IF($NP$26="Single_Point",IF(326=$NR$26,$NN$26,0),IF($NP$26="Bell_Curve",$NN$26*(326-$NR$26+1)*($NS$26-326+1)/$NU$26,$NN$26/$NT$26)),0)</f>
        <v/>
      </c>
      <c r="LS26" s="402">
        <f>IF(AND(327&gt;=$NR$26,327&lt;=$NS$26),IF($NP$26="Single_Point",IF(327=$NR$26,$NN$26,0),IF($NP$26="Bell_Curve",$NN$26*(327-$NR$26+1)*($NS$26-327+1)/$NU$26,$NN$26/$NT$26)),0)</f>
        <v/>
      </c>
      <c r="LT26" s="402">
        <f>IF(AND(328&gt;=$NR$26,328&lt;=$NS$26),IF($NP$26="Single_Point",IF(328=$NR$26,$NN$26,0),IF($NP$26="Bell_Curve",$NN$26*(328-$NR$26+1)*($NS$26-328+1)/$NU$26,$NN$26/$NT$26)),0)</f>
        <v/>
      </c>
      <c r="LU26" s="402">
        <f>IF(AND(329&gt;=$NR$26,329&lt;=$NS$26),IF($NP$26="Single_Point",IF(329=$NR$26,$NN$26,0),IF($NP$26="Bell_Curve",$NN$26*(329-$NR$26+1)*($NS$26-329+1)/$NU$26,$NN$26/$NT$26)),0)</f>
        <v/>
      </c>
      <c r="LV26" s="402">
        <f>IF(AND(330&gt;=$NR$26,330&lt;=$NS$26),IF($NP$26="Single_Point",IF(330=$NR$26,$NN$26,0),IF($NP$26="Bell_Curve",$NN$26*(330-$NR$26+1)*($NS$26-330+1)/$NU$26,$NN$26/$NT$26)),0)</f>
        <v/>
      </c>
      <c r="LW26" s="402">
        <f>IF(AND(331&gt;=$NR$26,331&lt;=$NS$26),IF($NP$26="Single_Point",IF(331=$NR$26,$NN$26,0),IF($NP$26="Bell_Curve",$NN$26*(331-$NR$26+1)*($NS$26-331+1)/$NU$26,$NN$26/$NT$26)),0)</f>
        <v/>
      </c>
      <c r="LX26" s="402">
        <f>IF(AND(332&gt;=$NR$26,332&lt;=$NS$26),IF($NP$26="Single_Point",IF(332=$NR$26,$NN$26,0),IF($NP$26="Bell_Curve",$NN$26*(332-$NR$26+1)*($NS$26-332+1)/$NU$26,$NN$26/$NT$26)),0)</f>
        <v/>
      </c>
      <c r="LY26" s="402">
        <f>IF(AND(333&gt;=$NR$26,333&lt;=$NS$26),IF($NP$26="Single_Point",IF(333=$NR$26,$NN$26,0),IF($NP$26="Bell_Curve",$NN$26*(333-$NR$26+1)*($NS$26-333+1)/$NU$26,$NN$26/$NT$26)),0)</f>
        <v/>
      </c>
      <c r="LZ26" s="402">
        <f>IF(AND(334&gt;=$NR$26,334&lt;=$NS$26),IF($NP$26="Single_Point",IF(334=$NR$26,$NN$26,0),IF($NP$26="Bell_Curve",$NN$26*(334-$NR$26+1)*($NS$26-334+1)/$NU$26,$NN$26/$NT$26)),0)</f>
        <v/>
      </c>
      <c r="MA26" s="402">
        <f>IF(AND(335&gt;=$NR$26,335&lt;=$NS$26),IF($NP$26="Single_Point",IF(335=$NR$26,$NN$26,0),IF($NP$26="Bell_Curve",$NN$26*(335-$NR$26+1)*($NS$26-335+1)/$NU$26,$NN$26/$NT$26)),0)</f>
        <v/>
      </c>
      <c r="MB26" s="402">
        <f>IF(AND(336&gt;=$NR$26,336&lt;=$NS$26),IF($NP$26="Single_Point",IF(336=$NR$26,$NN$26,0),IF($NP$26="Bell_Curve",$NN$26*(336-$NR$26+1)*($NS$26-336+1)/$NU$26,$NN$26/$NT$26)),0)</f>
        <v/>
      </c>
      <c r="MC26" s="402">
        <f>IF(AND(337&gt;=$NR$26,337&lt;=$NS$26),IF($NP$26="Single_Point",IF(337=$NR$26,$NN$26,0),IF($NP$26="Bell_Curve",$NN$26*(337-$NR$26+1)*($NS$26-337+1)/$NU$26,$NN$26/$NT$26)),0)</f>
        <v/>
      </c>
      <c r="MD26" s="402">
        <f>IF(AND(338&gt;=$NR$26,338&lt;=$NS$26),IF($NP$26="Single_Point",IF(338=$NR$26,$NN$26,0),IF($NP$26="Bell_Curve",$NN$26*(338-$NR$26+1)*($NS$26-338+1)/$NU$26,$NN$26/$NT$26)),0)</f>
        <v/>
      </c>
      <c r="ME26" s="402">
        <f>IF(AND(339&gt;=$NR$26,339&lt;=$NS$26),IF($NP$26="Single_Point",IF(339=$NR$26,$NN$26,0),IF($NP$26="Bell_Curve",$NN$26*(339-$NR$26+1)*($NS$26-339+1)/$NU$26,$NN$26/$NT$26)),0)</f>
        <v/>
      </c>
      <c r="MF26" s="402">
        <f>IF(AND(340&gt;=$NR$26,340&lt;=$NS$26),IF($NP$26="Single_Point",IF(340=$NR$26,$NN$26,0),IF($NP$26="Bell_Curve",$NN$26*(340-$NR$26+1)*($NS$26-340+1)/$NU$26,$NN$26/$NT$26)),0)</f>
        <v/>
      </c>
      <c r="MG26" s="402">
        <f>IF(AND(341&gt;=$NR$26,341&lt;=$NS$26),IF($NP$26="Single_Point",IF(341=$NR$26,$NN$26,0),IF($NP$26="Bell_Curve",$NN$26*(341-$NR$26+1)*($NS$26-341+1)/$NU$26,$NN$26/$NT$26)),0)</f>
        <v/>
      </c>
      <c r="MH26" s="402">
        <f>IF(AND(342&gt;=$NR$26,342&lt;=$NS$26),IF($NP$26="Single_Point",IF(342=$NR$26,$NN$26,0),IF($NP$26="Bell_Curve",$NN$26*(342-$NR$26+1)*($NS$26-342+1)/$NU$26,$NN$26/$NT$26)),0)</f>
        <v/>
      </c>
      <c r="MI26" s="402">
        <f>IF(AND(343&gt;=$NR$26,343&lt;=$NS$26),IF($NP$26="Single_Point",IF(343=$NR$26,$NN$26,0),IF($NP$26="Bell_Curve",$NN$26*(343-$NR$26+1)*($NS$26-343+1)/$NU$26,$NN$26/$NT$26)),0)</f>
        <v/>
      </c>
      <c r="MJ26" s="402">
        <f>IF(AND(344&gt;=$NR$26,344&lt;=$NS$26),IF($NP$26="Single_Point",IF(344=$NR$26,$NN$26,0),IF($NP$26="Bell_Curve",$NN$26*(344-$NR$26+1)*($NS$26-344+1)/$NU$26,$NN$26/$NT$26)),0)</f>
        <v/>
      </c>
      <c r="MK26" s="402">
        <f>IF(AND(345&gt;=$NR$26,345&lt;=$NS$26),IF($NP$26="Single_Point",IF(345=$NR$26,$NN$26,0),IF($NP$26="Bell_Curve",$NN$26*(345-$NR$26+1)*($NS$26-345+1)/$NU$26,$NN$26/$NT$26)),0)</f>
        <v/>
      </c>
      <c r="ML26" s="402">
        <f>IF(AND(346&gt;=$NR$26,346&lt;=$NS$26),IF($NP$26="Single_Point",IF(346=$NR$26,$NN$26,0),IF($NP$26="Bell_Curve",$NN$26*(346-$NR$26+1)*($NS$26-346+1)/$NU$26,$NN$26/$NT$26)),0)</f>
        <v/>
      </c>
      <c r="MM26" s="402">
        <f>IF(AND(347&gt;=$NR$26,347&lt;=$NS$26),IF($NP$26="Single_Point",IF(347=$NR$26,$NN$26,0),IF($NP$26="Bell_Curve",$NN$26*(347-$NR$26+1)*($NS$26-347+1)/$NU$26,$NN$26/$NT$26)),0)</f>
        <v/>
      </c>
      <c r="MN26" s="402">
        <f>IF(AND(348&gt;=$NR$26,348&lt;=$NS$26),IF($NP$26="Single_Point",IF(348=$NR$26,$NN$26,0),IF($NP$26="Bell_Curve",$NN$26*(348-$NR$26+1)*($NS$26-348+1)/$NU$26,$NN$26/$NT$26)),0)</f>
        <v/>
      </c>
      <c r="MO26" s="402">
        <f>IF(AND(349&gt;=$NR$26,349&lt;=$NS$26),IF($NP$26="Single_Point",IF(349=$NR$26,$NN$26,0),IF($NP$26="Bell_Curve",$NN$26*(349-$NR$26+1)*($NS$26-349+1)/$NU$26,$NN$26/$NT$26)),0)</f>
        <v/>
      </c>
      <c r="MP26" s="402">
        <f>IF(AND(350&gt;=$NR$26,350&lt;=$NS$26),IF($NP$26="Single_Point",IF(350=$NR$26,$NN$26,0),IF($NP$26="Bell_Curve",$NN$26*(350-$NR$26+1)*($NS$26-350+1)/$NU$26,$NN$26/$NT$26)),0)</f>
        <v/>
      </c>
      <c r="MQ26" s="402">
        <f>IF(AND(351&gt;=$NR$26,351&lt;=$NS$26),IF($NP$26="Single_Point",IF(351=$NR$26,$NN$26,0),IF($NP$26="Bell_Curve",$NN$26*(351-$NR$26+1)*($NS$26-351+1)/$NU$26,$NN$26/$NT$26)),0)</f>
        <v/>
      </c>
      <c r="MR26" s="402">
        <f>IF(AND(352&gt;=$NR$26,352&lt;=$NS$26),IF($NP$26="Single_Point",IF(352=$NR$26,$NN$26,0),IF($NP$26="Bell_Curve",$NN$26*(352-$NR$26+1)*($NS$26-352+1)/$NU$26,$NN$26/$NT$26)),0)</f>
        <v/>
      </c>
      <c r="MS26" s="402">
        <f>IF(AND(353&gt;=$NR$26,353&lt;=$NS$26),IF($NP$26="Single_Point",IF(353=$NR$26,$NN$26,0),IF($NP$26="Bell_Curve",$NN$26*(353-$NR$26+1)*($NS$26-353+1)/$NU$26,$NN$26/$NT$26)),0)</f>
        <v/>
      </c>
      <c r="MT26" s="402">
        <f>IF(AND(354&gt;=$NR$26,354&lt;=$NS$26),IF($NP$26="Single_Point",IF(354=$NR$26,$NN$26,0),IF($NP$26="Bell_Curve",$NN$26*(354-$NR$26+1)*($NS$26-354+1)/$NU$26,$NN$26/$NT$26)),0)</f>
        <v/>
      </c>
      <c r="MU26" s="402">
        <f>IF(AND(355&gt;=$NR$26,355&lt;=$NS$26),IF($NP$26="Single_Point",IF(355=$NR$26,$NN$26,0),IF($NP$26="Bell_Curve",$NN$26*(355-$NR$26+1)*($NS$26-355+1)/$NU$26,$NN$26/$NT$26)),0)</f>
        <v/>
      </c>
      <c r="MV26" s="402">
        <f>IF(AND(356&gt;=$NR$26,356&lt;=$NS$26),IF($NP$26="Single_Point",IF(356=$NR$26,$NN$26,0),IF($NP$26="Bell_Curve",$NN$26*(356-$NR$26+1)*($NS$26-356+1)/$NU$26,$NN$26/$NT$26)),0)</f>
        <v/>
      </c>
      <c r="MW26" s="402">
        <f>IF(AND(357&gt;=$NR$26,357&lt;=$NS$26),IF($NP$26="Single_Point",IF(357=$NR$26,$NN$26,0),IF($NP$26="Bell_Curve",$NN$26*(357-$NR$26+1)*($NS$26-357+1)/$NU$26,$NN$26/$NT$26)),0)</f>
        <v/>
      </c>
      <c r="MX26" s="402">
        <f>IF(AND(358&gt;=$NR$26,358&lt;=$NS$26),IF($NP$26="Single_Point",IF(358=$NR$26,$NN$26,0),IF($NP$26="Bell_Curve",$NN$26*(358-$NR$26+1)*($NS$26-358+1)/$NU$26,$NN$26/$NT$26)),0)</f>
        <v/>
      </c>
      <c r="MY26" s="402">
        <f>IF(AND(359&gt;=$NR$26,359&lt;=$NS$26),IF($NP$26="Single_Point",IF(359=$NR$26,$NN$26,0),IF($NP$26="Bell_Curve",$NN$26*(359-$NR$26+1)*($NS$26-359+1)/$NU$26,$NN$26/$NT$26)),0)</f>
        <v/>
      </c>
      <c r="MZ26" s="402">
        <f>IF(AND(360&gt;=$NR$26,360&lt;=$NS$26),IF($NP$26="Single_Point",IF(360=$NR$26,$NN$26,0),IF($NP$26="Bell_Curve",$NN$26*(360-$NR$26+1)*($NS$26-360+1)/$NU$26,$NN$26/$NT$26)),0)</f>
        <v/>
      </c>
      <c r="NA26" s="402">
        <f>IF(AND(361&gt;=$NR$26,361&lt;=$NS$26),IF($NP$26="Single_Point",IF(361=$NR$26,$NN$26,0),IF($NP$26="Bell_Curve",$NN$26*(361-$NR$26+1)*($NS$26-361+1)/$NU$26,$NN$26/$NT$26)),0)</f>
        <v/>
      </c>
      <c r="NB26" s="402">
        <f>IF(AND(362&gt;=$NR$26,362&lt;=$NS$26),IF($NP$26="Single_Point",IF(362=$NR$26,$NN$26,0),IF($NP$26="Bell_Curve",$NN$26*(362-$NR$26+1)*($NS$26-362+1)/$NU$26,$NN$26/$NT$26)),0)</f>
        <v/>
      </c>
      <c r="NC26" s="402">
        <f>IF(AND(363&gt;=$NR$26,363&lt;=$NS$26),IF($NP$26="Single_Point",IF(363=$NR$26,$NN$26,0),IF($NP$26="Bell_Curve",$NN$26*(363-$NR$26+1)*($NS$26-363+1)/$NU$26,$NN$26/$NT$26)),0)</f>
        <v/>
      </c>
      <c r="ND26" s="402">
        <f>IF(AND(364&gt;=$NR$26,364&lt;=$NS$26),IF($NP$26="Single_Point",IF(364=$NR$26,$NN$26,0),IF($NP$26="Bell_Curve",$NN$26*(364-$NR$26+1)*($NS$26-364+1)/$NU$26,$NN$26/$NT$26)),0)</f>
        <v/>
      </c>
      <c r="NE26" s="402">
        <f>IF(AND(365&gt;=$NR$26,365&lt;=$NS$26),IF($NP$26="Single_Point",IF(365=$NR$26,$NN$26,0),IF($NP$26="Bell_Curve",$NN$26*(365-$NR$26+1)*($NS$26-365+1)/$NU$26,$NN$26/$NT$26)),0)</f>
        <v/>
      </c>
      <c r="NF26" s="402">
        <f>IF(AND(366&gt;=$NR$26,366&lt;=$NS$26),IF($NP$26="Single_Point",IF(366=$NR$26,$NN$26,0),IF($NP$26="Bell_Curve",$NN$26*(366-$NR$26+1)*($NS$26-366+1)/$NU$26,$NN$26/$NT$26)),0)</f>
        <v/>
      </c>
      <c r="NG26" s="402">
        <f>IF(AND(367&gt;=$NR$26,367&lt;=$NS$26),IF($NP$26="Single_Point",IF(367=$NR$26,$NN$26,0),IF($NP$26="Bell_Curve",$NN$26*(367-$NR$26+1)*($NS$26-367+1)/$NU$26,$NN$26/$NT$26)),0)</f>
        <v/>
      </c>
      <c r="NH26" s="402">
        <f>IF(AND(368&gt;=$NR$26,368&lt;=$NS$26),IF($NP$26="Single_Point",IF(368=$NR$26,$NN$26,0),IF($NP$26="Bell_Curve",$NN$26*(368-$NR$26+1)*($NS$26-368+1)/$NU$26,$NN$26/$NT$26)),0)</f>
        <v/>
      </c>
      <c r="NI26" s="402">
        <f>IF(AND(369&gt;=$NR$26,369&lt;=$NS$26),IF($NP$26="Single_Point",IF(369=$NR$26,$NN$26,0),IF($NP$26="Bell_Curve",$NN$26*(369-$NR$26+1)*($NS$26-369+1)/$NU$26,$NN$26/$NT$26)),0)</f>
        <v/>
      </c>
      <c r="NJ26" s="402">
        <f>IF(AND(370&gt;=$NR$26,370&lt;=$NS$26),IF($NP$26="Single_Point",IF(370=$NR$26,$NN$26,0),IF($NP$26="Bell_Curve",$NN$26*(370-$NR$26+1)*($NS$26-370+1)/$NU$26,$NN$26/$NT$26)),0)</f>
        <v/>
      </c>
      <c r="NK26" s="402">
        <f>IF(AND(371&gt;=$NR$26,371&lt;=$NS$26),IF($NP$26="Single_Point",IF(371=$NR$26,$NN$26,0),IF($NP$26="Bell_Curve",$NN$26*(371-$NR$26+1)*($NS$26-371+1)/$NU$26,$NN$26/$NT$26)),0)</f>
        <v/>
      </c>
      <c r="NL26" s="426">
        <f>IF(AND(372&gt;=$NR$26,372&lt;=$NS$26),IF($NP$26="Single_Point",IF(372=$NR$26,$NN$26,0),IF($NP$26="Bell_Curve",$NN$26*(372-$NR$26+1)*($NS$26-372+1)/$NU$26,$NN$26/$NT$26)),0)</f>
        <v/>
      </c>
      <c r="NM26">
        <f>Budget!C25</f>
        <v/>
      </c>
      <c r="NN26" s="218">
        <f>Budget!J25</f>
        <v/>
      </c>
      <c r="NO26" s="144">
        <f>Budget!G25</f>
        <v/>
      </c>
      <c r="NP26" s="144">
        <f>Budget!H25</f>
        <v/>
      </c>
      <c r="NQ26" s="85">
        <f>Budget!I25</f>
        <v/>
      </c>
      <c r="NR26" s="248">
        <f>MAX(1,MIN(372,INDEX(MilestoneStart,MATCH(NO26,MilestoneNames,0))+NQ26))</f>
        <v/>
      </c>
      <c r="NS26" s="248">
        <f>MAX(NR26,MIN(372,INDEX(MilestoneEnd,MATCH(NO26,MilestoneNames,0))+NQ26))</f>
        <v/>
      </c>
      <c r="NT26" s="85">
        <f>NS26-NR26+1</f>
        <v/>
      </c>
      <c r="NU26" s="85">
        <f>NT26*(NT26+1)*(NT26+2)/6</f>
        <v/>
      </c>
    </row>
    <row r="27">
      <c r="B27" s="296">
        <f>Budget!B26</f>
        <v/>
      </c>
      <c r="D27" s="425">
        <f>SUM(E27:NL27)</f>
        <v/>
      </c>
      <c r="E27" s="402">
        <f>IF(AND(1&gt;=$NR$27,1&lt;=$NS$27),IF($NP$27="Single_Point",IF(1=$NR$27,$NN$27,0),IF($NP$27="Bell_Curve",$NN$27*(1-$NR$27+1)*($NS$27-1+1)/$NU$27,$NN$27/$NT$27)),0)</f>
        <v/>
      </c>
      <c r="F27" s="402">
        <f>IF(AND(2&gt;=$NR$27,2&lt;=$NS$27),IF($NP$27="Single_Point",IF(2=$NR$27,$NN$27,0),IF($NP$27="Bell_Curve",$NN$27*(2-$NR$27+1)*($NS$27-2+1)/$NU$27,$NN$27/$NT$27)),0)</f>
        <v/>
      </c>
      <c r="G27" s="402">
        <f>IF(AND(3&gt;=$NR$27,3&lt;=$NS$27),IF($NP$27="Single_Point",IF(3=$NR$27,$NN$27,0),IF($NP$27="Bell_Curve",$NN$27*(3-$NR$27+1)*($NS$27-3+1)/$NU$27,$NN$27/$NT$27)),0)</f>
        <v/>
      </c>
      <c r="H27" s="402">
        <f>IF(AND(4&gt;=$NR$27,4&lt;=$NS$27),IF($NP$27="Single_Point",IF(4=$NR$27,$NN$27,0),IF($NP$27="Bell_Curve",$NN$27*(4-$NR$27+1)*($NS$27-4+1)/$NU$27,$NN$27/$NT$27)),0)</f>
        <v/>
      </c>
      <c r="I27" s="402">
        <f>IF(AND(5&gt;=$NR$27,5&lt;=$NS$27),IF($NP$27="Single_Point",IF(5=$NR$27,$NN$27,0),IF($NP$27="Bell_Curve",$NN$27*(5-$NR$27+1)*($NS$27-5+1)/$NU$27,$NN$27/$NT$27)),0)</f>
        <v/>
      </c>
      <c r="J27" s="402">
        <f>IF(AND(6&gt;=$NR$27,6&lt;=$NS$27),IF($NP$27="Single_Point",IF(6=$NR$27,$NN$27,0),IF($NP$27="Bell_Curve",$NN$27*(6-$NR$27+1)*($NS$27-6+1)/$NU$27,$NN$27/$NT$27)),0)</f>
        <v/>
      </c>
      <c r="K27" s="402">
        <f>IF(AND(7&gt;=$NR$27,7&lt;=$NS$27),IF($NP$27="Single_Point",IF(7=$NR$27,$NN$27,0),IF($NP$27="Bell_Curve",$NN$27*(7-$NR$27+1)*($NS$27-7+1)/$NU$27,$NN$27/$NT$27)),0)</f>
        <v/>
      </c>
      <c r="L27" s="402">
        <f>IF(AND(8&gt;=$NR$27,8&lt;=$NS$27),IF($NP$27="Single_Point",IF(8=$NR$27,$NN$27,0),IF($NP$27="Bell_Curve",$NN$27*(8-$NR$27+1)*($NS$27-8+1)/$NU$27,$NN$27/$NT$27)),0)</f>
        <v/>
      </c>
      <c r="M27" s="402">
        <f>IF(AND(9&gt;=$NR$27,9&lt;=$NS$27),IF($NP$27="Single_Point",IF(9=$NR$27,$NN$27,0),IF($NP$27="Bell_Curve",$NN$27*(9-$NR$27+1)*($NS$27-9+1)/$NU$27,$NN$27/$NT$27)),0)</f>
        <v/>
      </c>
      <c r="N27" s="402">
        <f>IF(AND(10&gt;=$NR$27,10&lt;=$NS$27),IF($NP$27="Single_Point",IF(10=$NR$27,$NN$27,0),IF($NP$27="Bell_Curve",$NN$27*(10-$NR$27+1)*($NS$27-10+1)/$NU$27,$NN$27/$NT$27)),0)</f>
        <v/>
      </c>
      <c r="O27" s="402">
        <f>IF(AND(11&gt;=$NR$27,11&lt;=$NS$27),IF($NP$27="Single_Point",IF(11=$NR$27,$NN$27,0),IF($NP$27="Bell_Curve",$NN$27*(11-$NR$27+1)*($NS$27-11+1)/$NU$27,$NN$27/$NT$27)),0)</f>
        <v/>
      </c>
      <c r="P27" s="402">
        <f>IF(AND(12&gt;=$NR$27,12&lt;=$NS$27),IF($NP$27="Single_Point",IF(12=$NR$27,$NN$27,0),IF($NP$27="Bell_Curve",$NN$27*(12-$NR$27+1)*($NS$27-12+1)/$NU$27,$NN$27/$NT$27)),0)</f>
        <v/>
      </c>
      <c r="Q27" s="402">
        <f>IF(AND(13&gt;=$NR$27,13&lt;=$NS$27),IF($NP$27="Single_Point",IF(13=$NR$27,$NN$27,0),IF($NP$27="Bell_Curve",$NN$27*(13-$NR$27+1)*($NS$27-13+1)/$NU$27,$NN$27/$NT$27)),0)</f>
        <v/>
      </c>
      <c r="R27" s="402">
        <f>IF(AND(14&gt;=$NR$27,14&lt;=$NS$27),IF($NP$27="Single_Point",IF(14=$NR$27,$NN$27,0),IF($NP$27="Bell_Curve",$NN$27*(14-$NR$27+1)*($NS$27-14+1)/$NU$27,$NN$27/$NT$27)),0)</f>
        <v/>
      </c>
      <c r="S27" s="402">
        <f>IF(AND(15&gt;=$NR$27,15&lt;=$NS$27),IF($NP$27="Single_Point",IF(15=$NR$27,$NN$27,0),IF($NP$27="Bell_Curve",$NN$27*(15-$NR$27+1)*($NS$27-15+1)/$NU$27,$NN$27/$NT$27)),0)</f>
        <v/>
      </c>
      <c r="T27" s="402">
        <f>IF(AND(16&gt;=$NR$27,16&lt;=$NS$27),IF($NP$27="Single_Point",IF(16=$NR$27,$NN$27,0),IF($NP$27="Bell_Curve",$NN$27*(16-$NR$27+1)*($NS$27-16+1)/$NU$27,$NN$27/$NT$27)),0)</f>
        <v/>
      </c>
      <c r="U27" s="402">
        <f>IF(AND(17&gt;=$NR$27,17&lt;=$NS$27),IF($NP$27="Single_Point",IF(17=$NR$27,$NN$27,0),IF($NP$27="Bell_Curve",$NN$27*(17-$NR$27+1)*($NS$27-17+1)/$NU$27,$NN$27/$NT$27)),0)</f>
        <v/>
      </c>
      <c r="V27" s="402">
        <f>IF(AND(18&gt;=$NR$27,18&lt;=$NS$27),IF($NP$27="Single_Point",IF(18=$NR$27,$NN$27,0),IF($NP$27="Bell_Curve",$NN$27*(18-$NR$27+1)*($NS$27-18+1)/$NU$27,$NN$27/$NT$27)),0)</f>
        <v/>
      </c>
      <c r="W27" s="402">
        <f>IF(AND(19&gt;=$NR$27,19&lt;=$NS$27),IF($NP$27="Single_Point",IF(19=$NR$27,$NN$27,0),IF($NP$27="Bell_Curve",$NN$27*(19-$NR$27+1)*($NS$27-19+1)/$NU$27,$NN$27/$NT$27)),0)</f>
        <v/>
      </c>
      <c r="X27" s="402">
        <f>IF(AND(20&gt;=$NR$27,20&lt;=$NS$27),IF($NP$27="Single_Point",IF(20=$NR$27,$NN$27,0),IF($NP$27="Bell_Curve",$NN$27*(20-$NR$27+1)*($NS$27-20+1)/$NU$27,$NN$27/$NT$27)),0)</f>
        <v/>
      </c>
      <c r="Y27" s="402">
        <f>IF(AND(21&gt;=$NR$27,21&lt;=$NS$27),IF($NP$27="Single_Point",IF(21=$NR$27,$NN$27,0),IF($NP$27="Bell_Curve",$NN$27*(21-$NR$27+1)*($NS$27-21+1)/$NU$27,$NN$27/$NT$27)),0)</f>
        <v/>
      </c>
      <c r="Z27" s="402">
        <f>IF(AND(22&gt;=$NR$27,22&lt;=$NS$27),IF($NP$27="Single_Point",IF(22=$NR$27,$NN$27,0),IF($NP$27="Bell_Curve",$NN$27*(22-$NR$27+1)*($NS$27-22+1)/$NU$27,$NN$27/$NT$27)),0)</f>
        <v/>
      </c>
      <c r="AA27" s="402">
        <f>IF(AND(23&gt;=$NR$27,23&lt;=$NS$27),IF($NP$27="Single_Point",IF(23=$NR$27,$NN$27,0),IF($NP$27="Bell_Curve",$NN$27*(23-$NR$27+1)*($NS$27-23+1)/$NU$27,$NN$27/$NT$27)),0)</f>
        <v/>
      </c>
      <c r="AB27" s="402">
        <f>IF(AND(24&gt;=$NR$27,24&lt;=$NS$27),IF($NP$27="Single_Point",IF(24=$NR$27,$NN$27,0),IF($NP$27="Bell_Curve",$NN$27*(24-$NR$27+1)*($NS$27-24+1)/$NU$27,$NN$27/$NT$27)),0)</f>
        <v/>
      </c>
      <c r="AC27" s="402">
        <f>IF(AND(25&gt;=$NR$27,25&lt;=$NS$27),IF($NP$27="Single_Point",IF(25=$NR$27,$NN$27,0),IF($NP$27="Bell_Curve",$NN$27*(25-$NR$27+1)*($NS$27-25+1)/$NU$27,$NN$27/$NT$27)),0)</f>
        <v/>
      </c>
      <c r="AD27" s="402">
        <f>IF(AND(26&gt;=$NR$27,26&lt;=$NS$27),IF($NP$27="Single_Point",IF(26=$NR$27,$NN$27,0),IF($NP$27="Bell_Curve",$NN$27*(26-$NR$27+1)*($NS$27-26+1)/$NU$27,$NN$27/$NT$27)),0)</f>
        <v/>
      </c>
      <c r="AE27" s="402">
        <f>IF(AND(27&gt;=$NR$27,27&lt;=$NS$27),IF($NP$27="Single_Point",IF(27=$NR$27,$NN$27,0),IF($NP$27="Bell_Curve",$NN$27*(27-$NR$27+1)*($NS$27-27+1)/$NU$27,$NN$27/$NT$27)),0)</f>
        <v/>
      </c>
      <c r="AF27" s="402">
        <f>IF(AND(28&gt;=$NR$27,28&lt;=$NS$27),IF($NP$27="Single_Point",IF(28=$NR$27,$NN$27,0),IF($NP$27="Bell_Curve",$NN$27*(28-$NR$27+1)*($NS$27-28+1)/$NU$27,$NN$27/$NT$27)),0)</f>
        <v/>
      </c>
      <c r="AG27" s="402">
        <f>IF(AND(29&gt;=$NR$27,29&lt;=$NS$27),IF($NP$27="Single_Point",IF(29=$NR$27,$NN$27,0),IF($NP$27="Bell_Curve",$NN$27*(29-$NR$27+1)*($NS$27-29+1)/$NU$27,$NN$27/$NT$27)),0)</f>
        <v/>
      </c>
      <c r="AH27" s="402">
        <f>IF(AND(30&gt;=$NR$27,30&lt;=$NS$27),IF($NP$27="Single_Point",IF(30=$NR$27,$NN$27,0),IF($NP$27="Bell_Curve",$NN$27*(30-$NR$27+1)*($NS$27-30+1)/$NU$27,$NN$27/$NT$27)),0)</f>
        <v/>
      </c>
      <c r="AI27" s="402">
        <f>IF(AND(31&gt;=$NR$27,31&lt;=$NS$27),IF($NP$27="Single_Point",IF(31=$NR$27,$NN$27,0),IF($NP$27="Bell_Curve",$NN$27*(31-$NR$27+1)*($NS$27-31+1)/$NU$27,$NN$27/$NT$27)),0)</f>
        <v/>
      </c>
      <c r="AJ27" s="402">
        <f>IF(AND(32&gt;=$NR$27,32&lt;=$NS$27),IF($NP$27="Single_Point",IF(32=$NR$27,$NN$27,0),IF($NP$27="Bell_Curve",$NN$27*(32-$NR$27+1)*($NS$27-32+1)/$NU$27,$NN$27/$NT$27)),0)</f>
        <v/>
      </c>
      <c r="AK27" s="402">
        <f>IF(AND(33&gt;=$NR$27,33&lt;=$NS$27),IF($NP$27="Single_Point",IF(33=$NR$27,$NN$27,0),IF($NP$27="Bell_Curve",$NN$27*(33-$NR$27+1)*($NS$27-33+1)/$NU$27,$NN$27/$NT$27)),0)</f>
        <v/>
      </c>
      <c r="AL27" s="402">
        <f>IF(AND(34&gt;=$NR$27,34&lt;=$NS$27),IF($NP$27="Single_Point",IF(34=$NR$27,$NN$27,0),IF($NP$27="Bell_Curve",$NN$27*(34-$NR$27+1)*($NS$27-34+1)/$NU$27,$NN$27/$NT$27)),0)</f>
        <v/>
      </c>
      <c r="AM27" s="402">
        <f>IF(AND(35&gt;=$NR$27,35&lt;=$NS$27),IF($NP$27="Single_Point",IF(35=$NR$27,$NN$27,0),IF($NP$27="Bell_Curve",$NN$27*(35-$NR$27+1)*($NS$27-35+1)/$NU$27,$NN$27/$NT$27)),0)</f>
        <v/>
      </c>
      <c r="AN27" s="402">
        <f>IF(AND(36&gt;=$NR$27,36&lt;=$NS$27),IF($NP$27="Single_Point",IF(36=$NR$27,$NN$27,0),IF($NP$27="Bell_Curve",$NN$27*(36-$NR$27+1)*($NS$27-36+1)/$NU$27,$NN$27/$NT$27)),0)</f>
        <v/>
      </c>
      <c r="AO27" s="402">
        <f>IF(AND(37&gt;=$NR$27,37&lt;=$NS$27),IF($NP$27="Single_Point",IF(37=$NR$27,$NN$27,0),IF($NP$27="Bell_Curve",$NN$27*(37-$NR$27+1)*($NS$27-37+1)/$NU$27,$NN$27/$NT$27)),0)</f>
        <v/>
      </c>
      <c r="AP27" s="402">
        <f>IF(AND(38&gt;=$NR$27,38&lt;=$NS$27),IF($NP$27="Single_Point",IF(38=$NR$27,$NN$27,0),IF($NP$27="Bell_Curve",$NN$27*(38-$NR$27+1)*($NS$27-38+1)/$NU$27,$NN$27/$NT$27)),0)</f>
        <v/>
      </c>
      <c r="AQ27" s="402">
        <f>IF(AND(39&gt;=$NR$27,39&lt;=$NS$27),IF($NP$27="Single_Point",IF(39=$NR$27,$NN$27,0),IF($NP$27="Bell_Curve",$NN$27*(39-$NR$27+1)*($NS$27-39+1)/$NU$27,$NN$27/$NT$27)),0)</f>
        <v/>
      </c>
      <c r="AR27" s="402">
        <f>IF(AND(40&gt;=$NR$27,40&lt;=$NS$27),IF($NP$27="Single_Point",IF(40=$NR$27,$NN$27,0),IF($NP$27="Bell_Curve",$NN$27*(40-$NR$27+1)*($NS$27-40+1)/$NU$27,$NN$27/$NT$27)),0)</f>
        <v/>
      </c>
      <c r="AS27" s="402">
        <f>IF(AND(41&gt;=$NR$27,41&lt;=$NS$27),IF($NP$27="Single_Point",IF(41=$NR$27,$NN$27,0),IF($NP$27="Bell_Curve",$NN$27*(41-$NR$27+1)*($NS$27-41+1)/$NU$27,$NN$27/$NT$27)),0)</f>
        <v/>
      </c>
      <c r="AT27" s="402">
        <f>IF(AND(42&gt;=$NR$27,42&lt;=$NS$27),IF($NP$27="Single_Point",IF(42=$NR$27,$NN$27,0),IF($NP$27="Bell_Curve",$NN$27*(42-$NR$27+1)*($NS$27-42+1)/$NU$27,$NN$27/$NT$27)),0)</f>
        <v/>
      </c>
      <c r="AU27" s="402">
        <f>IF(AND(43&gt;=$NR$27,43&lt;=$NS$27),IF($NP$27="Single_Point",IF(43=$NR$27,$NN$27,0),IF($NP$27="Bell_Curve",$NN$27*(43-$NR$27+1)*($NS$27-43+1)/$NU$27,$NN$27/$NT$27)),0)</f>
        <v/>
      </c>
      <c r="AV27" s="402">
        <f>IF(AND(44&gt;=$NR$27,44&lt;=$NS$27),IF($NP$27="Single_Point",IF(44=$NR$27,$NN$27,0),IF($NP$27="Bell_Curve",$NN$27*(44-$NR$27+1)*($NS$27-44+1)/$NU$27,$NN$27/$NT$27)),0)</f>
        <v/>
      </c>
      <c r="AW27" s="402">
        <f>IF(AND(45&gt;=$NR$27,45&lt;=$NS$27),IF($NP$27="Single_Point",IF(45=$NR$27,$NN$27,0),IF($NP$27="Bell_Curve",$NN$27*(45-$NR$27+1)*($NS$27-45+1)/$NU$27,$NN$27/$NT$27)),0)</f>
        <v/>
      </c>
      <c r="AX27" s="402">
        <f>IF(AND(46&gt;=$NR$27,46&lt;=$NS$27),IF($NP$27="Single_Point",IF(46=$NR$27,$NN$27,0),IF($NP$27="Bell_Curve",$NN$27*(46-$NR$27+1)*($NS$27-46+1)/$NU$27,$NN$27/$NT$27)),0)</f>
        <v/>
      </c>
      <c r="AY27" s="402">
        <f>IF(AND(47&gt;=$NR$27,47&lt;=$NS$27),IF($NP$27="Single_Point",IF(47=$NR$27,$NN$27,0),IF($NP$27="Bell_Curve",$NN$27*(47-$NR$27+1)*($NS$27-47+1)/$NU$27,$NN$27/$NT$27)),0)</f>
        <v/>
      </c>
      <c r="AZ27" s="402">
        <f>IF(AND(48&gt;=$NR$27,48&lt;=$NS$27),IF($NP$27="Single_Point",IF(48=$NR$27,$NN$27,0),IF($NP$27="Bell_Curve",$NN$27*(48-$NR$27+1)*($NS$27-48+1)/$NU$27,$NN$27/$NT$27)),0)</f>
        <v/>
      </c>
      <c r="BA27" s="402">
        <f>IF(AND(49&gt;=$NR$27,49&lt;=$NS$27),IF($NP$27="Single_Point",IF(49=$NR$27,$NN$27,0),IF($NP$27="Bell_Curve",$NN$27*(49-$NR$27+1)*($NS$27-49+1)/$NU$27,$NN$27/$NT$27)),0)</f>
        <v/>
      </c>
      <c r="BB27" s="402">
        <f>IF(AND(50&gt;=$NR$27,50&lt;=$NS$27),IF($NP$27="Single_Point",IF(50=$NR$27,$NN$27,0),IF($NP$27="Bell_Curve",$NN$27*(50-$NR$27+1)*($NS$27-50+1)/$NU$27,$NN$27/$NT$27)),0)</f>
        <v/>
      </c>
      <c r="BC27" s="402">
        <f>IF(AND(51&gt;=$NR$27,51&lt;=$NS$27),IF($NP$27="Single_Point",IF(51=$NR$27,$NN$27,0),IF($NP$27="Bell_Curve",$NN$27*(51-$NR$27+1)*($NS$27-51+1)/$NU$27,$NN$27/$NT$27)),0)</f>
        <v/>
      </c>
      <c r="BD27" s="402">
        <f>IF(AND(52&gt;=$NR$27,52&lt;=$NS$27),IF($NP$27="Single_Point",IF(52=$NR$27,$NN$27,0),IF($NP$27="Bell_Curve",$NN$27*(52-$NR$27+1)*($NS$27-52+1)/$NU$27,$NN$27/$NT$27)),0)</f>
        <v/>
      </c>
      <c r="BE27" s="402">
        <f>IF(AND(53&gt;=$NR$27,53&lt;=$NS$27),IF($NP$27="Single_Point",IF(53=$NR$27,$NN$27,0),IF($NP$27="Bell_Curve",$NN$27*(53-$NR$27+1)*($NS$27-53+1)/$NU$27,$NN$27/$NT$27)),0)</f>
        <v/>
      </c>
      <c r="BF27" s="402">
        <f>IF(AND(54&gt;=$NR$27,54&lt;=$NS$27),IF($NP$27="Single_Point",IF(54=$NR$27,$NN$27,0),IF($NP$27="Bell_Curve",$NN$27*(54-$NR$27+1)*($NS$27-54+1)/$NU$27,$NN$27/$NT$27)),0)</f>
        <v/>
      </c>
      <c r="BG27" s="402">
        <f>IF(AND(55&gt;=$NR$27,55&lt;=$NS$27),IF($NP$27="Single_Point",IF(55=$NR$27,$NN$27,0),IF($NP$27="Bell_Curve",$NN$27*(55-$NR$27+1)*($NS$27-55+1)/$NU$27,$NN$27/$NT$27)),0)</f>
        <v/>
      </c>
      <c r="BH27" s="402">
        <f>IF(AND(56&gt;=$NR$27,56&lt;=$NS$27),IF($NP$27="Single_Point",IF(56=$NR$27,$NN$27,0),IF($NP$27="Bell_Curve",$NN$27*(56-$NR$27+1)*($NS$27-56+1)/$NU$27,$NN$27/$NT$27)),0)</f>
        <v/>
      </c>
      <c r="BI27" s="402">
        <f>IF(AND(57&gt;=$NR$27,57&lt;=$NS$27),IF($NP$27="Single_Point",IF(57=$NR$27,$NN$27,0),IF($NP$27="Bell_Curve",$NN$27*(57-$NR$27+1)*($NS$27-57+1)/$NU$27,$NN$27/$NT$27)),0)</f>
        <v/>
      </c>
      <c r="BJ27" s="402">
        <f>IF(AND(58&gt;=$NR$27,58&lt;=$NS$27),IF($NP$27="Single_Point",IF(58=$NR$27,$NN$27,0),IF($NP$27="Bell_Curve",$NN$27*(58-$NR$27+1)*($NS$27-58+1)/$NU$27,$NN$27/$NT$27)),0)</f>
        <v/>
      </c>
      <c r="BK27" s="402">
        <f>IF(AND(59&gt;=$NR$27,59&lt;=$NS$27),IF($NP$27="Single_Point",IF(59=$NR$27,$NN$27,0),IF($NP$27="Bell_Curve",$NN$27*(59-$NR$27+1)*($NS$27-59+1)/$NU$27,$NN$27/$NT$27)),0)</f>
        <v/>
      </c>
      <c r="BL27" s="402">
        <f>IF(AND(60&gt;=$NR$27,60&lt;=$NS$27),IF($NP$27="Single_Point",IF(60=$NR$27,$NN$27,0),IF($NP$27="Bell_Curve",$NN$27*(60-$NR$27+1)*($NS$27-60+1)/$NU$27,$NN$27/$NT$27)),0)</f>
        <v/>
      </c>
      <c r="BM27" s="402">
        <f>IF(AND(61&gt;=$NR$27,61&lt;=$NS$27),IF($NP$27="Single_Point",IF(61=$NR$27,$NN$27,0),IF($NP$27="Bell_Curve",$NN$27*(61-$NR$27+1)*($NS$27-61+1)/$NU$27,$NN$27/$NT$27)),0)</f>
        <v/>
      </c>
      <c r="BN27" s="402">
        <f>IF(AND(62&gt;=$NR$27,62&lt;=$NS$27),IF($NP$27="Single_Point",IF(62=$NR$27,$NN$27,0),IF($NP$27="Bell_Curve",$NN$27*(62-$NR$27+1)*($NS$27-62+1)/$NU$27,$NN$27/$NT$27)),0)</f>
        <v/>
      </c>
      <c r="BO27" s="402">
        <f>IF(AND(63&gt;=$NR$27,63&lt;=$NS$27),IF($NP$27="Single_Point",IF(63=$NR$27,$NN$27,0),IF($NP$27="Bell_Curve",$NN$27*(63-$NR$27+1)*($NS$27-63+1)/$NU$27,$NN$27/$NT$27)),0)</f>
        <v/>
      </c>
      <c r="BP27" s="402">
        <f>IF(AND(64&gt;=$NR$27,64&lt;=$NS$27),IF($NP$27="Single_Point",IF(64=$NR$27,$NN$27,0),IF($NP$27="Bell_Curve",$NN$27*(64-$NR$27+1)*($NS$27-64+1)/$NU$27,$NN$27/$NT$27)),0)</f>
        <v/>
      </c>
      <c r="BQ27" s="402">
        <f>IF(AND(65&gt;=$NR$27,65&lt;=$NS$27),IF($NP$27="Single_Point",IF(65=$NR$27,$NN$27,0),IF($NP$27="Bell_Curve",$NN$27*(65-$NR$27+1)*($NS$27-65+1)/$NU$27,$NN$27/$NT$27)),0)</f>
        <v/>
      </c>
      <c r="BR27" s="402">
        <f>IF(AND(66&gt;=$NR$27,66&lt;=$NS$27),IF($NP$27="Single_Point",IF(66=$NR$27,$NN$27,0),IF($NP$27="Bell_Curve",$NN$27*(66-$NR$27+1)*($NS$27-66+1)/$NU$27,$NN$27/$NT$27)),0)</f>
        <v/>
      </c>
      <c r="BS27" s="402">
        <f>IF(AND(67&gt;=$NR$27,67&lt;=$NS$27),IF($NP$27="Single_Point",IF(67=$NR$27,$NN$27,0),IF($NP$27="Bell_Curve",$NN$27*(67-$NR$27+1)*($NS$27-67+1)/$NU$27,$NN$27/$NT$27)),0)</f>
        <v/>
      </c>
      <c r="BT27" s="402">
        <f>IF(AND(68&gt;=$NR$27,68&lt;=$NS$27),IF($NP$27="Single_Point",IF(68=$NR$27,$NN$27,0),IF($NP$27="Bell_Curve",$NN$27*(68-$NR$27+1)*($NS$27-68+1)/$NU$27,$NN$27/$NT$27)),0)</f>
        <v/>
      </c>
      <c r="BU27" s="402">
        <f>IF(AND(69&gt;=$NR$27,69&lt;=$NS$27),IF($NP$27="Single_Point",IF(69=$NR$27,$NN$27,0),IF($NP$27="Bell_Curve",$NN$27*(69-$NR$27+1)*($NS$27-69+1)/$NU$27,$NN$27/$NT$27)),0)</f>
        <v/>
      </c>
      <c r="BV27" s="402">
        <f>IF(AND(70&gt;=$NR$27,70&lt;=$NS$27),IF($NP$27="Single_Point",IF(70=$NR$27,$NN$27,0),IF($NP$27="Bell_Curve",$NN$27*(70-$NR$27+1)*($NS$27-70+1)/$NU$27,$NN$27/$NT$27)),0)</f>
        <v/>
      </c>
      <c r="BW27" s="402">
        <f>IF(AND(71&gt;=$NR$27,71&lt;=$NS$27),IF($NP$27="Single_Point",IF(71=$NR$27,$NN$27,0),IF($NP$27="Bell_Curve",$NN$27*(71-$NR$27+1)*($NS$27-71+1)/$NU$27,$NN$27/$NT$27)),0)</f>
        <v/>
      </c>
      <c r="BX27" s="402">
        <f>IF(AND(72&gt;=$NR$27,72&lt;=$NS$27),IF($NP$27="Single_Point",IF(72=$NR$27,$NN$27,0),IF($NP$27="Bell_Curve",$NN$27*(72-$NR$27+1)*($NS$27-72+1)/$NU$27,$NN$27/$NT$27)),0)</f>
        <v/>
      </c>
      <c r="BY27" s="402">
        <f>IF(AND(73&gt;=$NR$27,73&lt;=$NS$27),IF($NP$27="Single_Point",IF(73=$NR$27,$NN$27,0),IF($NP$27="Bell_Curve",$NN$27*(73-$NR$27+1)*($NS$27-73+1)/$NU$27,$NN$27/$NT$27)),0)</f>
        <v/>
      </c>
      <c r="BZ27" s="402">
        <f>IF(AND(74&gt;=$NR$27,74&lt;=$NS$27),IF($NP$27="Single_Point",IF(74=$NR$27,$NN$27,0),IF($NP$27="Bell_Curve",$NN$27*(74-$NR$27+1)*($NS$27-74+1)/$NU$27,$NN$27/$NT$27)),0)</f>
        <v/>
      </c>
      <c r="CA27" s="402">
        <f>IF(AND(75&gt;=$NR$27,75&lt;=$NS$27),IF($NP$27="Single_Point",IF(75=$NR$27,$NN$27,0),IF($NP$27="Bell_Curve",$NN$27*(75-$NR$27+1)*($NS$27-75+1)/$NU$27,$NN$27/$NT$27)),0)</f>
        <v/>
      </c>
      <c r="CB27" s="402">
        <f>IF(AND(76&gt;=$NR$27,76&lt;=$NS$27),IF($NP$27="Single_Point",IF(76=$NR$27,$NN$27,0),IF($NP$27="Bell_Curve",$NN$27*(76-$NR$27+1)*($NS$27-76+1)/$NU$27,$NN$27/$NT$27)),0)</f>
        <v/>
      </c>
      <c r="CC27" s="402">
        <f>IF(AND(77&gt;=$NR$27,77&lt;=$NS$27),IF($NP$27="Single_Point",IF(77=$NR$27,$NN$27,0),IF($NP$27="Bell_Curve",$NN$27*(77-$NR$27+1)*($NS$27-77+1)/$NU$27,$NN$27/$NT$27)),0)</f>
        <v/>
      </c>
      <c r="CD27" s="402">
        <f>IF(AND(78&gt;=$NR$27,78&lt;=$NS$27),IF($NP$27="Single_Point",IF(78=$NR$27,$NN$27,0),IF($NP$27="Bell_Curve",$NN$27*(78-$NR$27+1)*($NS$27-78+1)/$NU$27,$NN$27/$NT$27)),0)</f>
        <v/>
      </c>
      <c r="CE27" s="402">
        <f>IF(AND(79&gt;=$NR$27,79&lt;=$NS$27),IF($NP$27="Single_Point",IF(79=$NR$27,$NN$27,0),IF($NP$27="Bell_Curve",$NN$27*(79-$NR$27+1)*($NS$27-79+1)/$NU$27,$NN$27/$NT$27)),0)</f>
        <v/>
      </c>
      <c r="CF27" s="402">
        <f>IF(AND(80&gt;=$NR$27,80&lt;=$NS$27),IF($NP$27="Single_Point",IF(80=$NR$27,$NN$27,0),IF($NP$27="Bell_Curve",$NN$27*(80-$NR$27+1)*($NS$27-80+1)/$NU$27,$NN$27/$NT$27)),0)</f>
        <v/>
      </c>
      <c r="CG27" s="402">
        <f>IF(AND(81&gt;=$NR$27,81&lt;=$NS$27),IF($NP$27="Single_Point",IF(81=$NR$27,$NN$27,0),IF($NP$27="Bell_Curve",$NN$27*(81-$NR$27+1)*($NS$27-81+1)/$NU$27,$NN$27/$NT$27)),0)</f>
        <v/>
      </c>
      <c r="CH27" s="402">
        <f>IF(AND(82&gt;=$NR$27,82&lt;=$NS$27),IF($NP$27="Single_Point",IF(82=$NR$27,$NN$27,0),IF($NP$27="Bell_Curve",$NN$27*(82-$NR$27+1)*($NS$27-82+1)/$NU$27,$NN$27/$NT$27)),0)</f>
        <v/>
      </c>
      <c r="CI27" s="402">
        <f>IF(AND(83&gt;=$NR$27,83&lt;=$NS$27),IF($NP$27="Single_Point",IF(83=$NR$27,$NN$27,0),IF($NP$27="Bell_Curve",$NN$27*(83-$NR$27+1)*($NS$27-83+1)/$NU$27,$NN$27/$NT$27)),0)</f>
        <v/>
      </c>
      <c r="CJ27" s="402">
        <f>IF(AND(84&gt;=$NR$27,84&lt;=$NS$27),IF($NP$27="Single_Point",IF(84=$NR$27,$NN$27,0),IF($NP$27="Bell_Curve",$NN$27*(84-$NR$27+1)*($NS$27-84+1)/$NU$27,$NN$27/$NT$27)),0)</f>
        <v/>
      </c>
      <c r="CK27" s="402">
        <f>IF(AND(85&gt;=$NR$27,85&lt;=$NS$27),IF($NP$27="Single_Point",IF(85=$NR$27,$NN$27,0),IF($NP$27="Bell_Curve",$NN$27*(85-$NR$27+1)*($NS$27-85+1)/$NU$27,$NN$27/$NT$27)),0)</f>
        <v/>
      </c>
      <c r="CL27" s="402">
        <f>IF(AND(86&gt;=$NR$27,86&lt;=$NS$27),IF($NP$27="Single_Point",IF(86=$NR$27,$NN$27,0),IF($NP$27="Bell_Curve",$NN$27*(86-$NR$27+1)*($NS$27-86+1)/$NU$27,$NN$27/$NT$27)),0)</f>
        <v/>
      </c>
      <c r="CM27" s="402">
        <f>IF(AND(87&gt;=$NR$27,87&lt;=$NS$27),IF($NP$27="Single_Point",IF(87=$NR$27,$NN$27,0),IF($NP$27="Bell_Curve",$NN$27*(87-$NR$27+1)*($NS$27-87+1)/$NU$27,$NN$27/$NT$27)),0)</f>
        <v/>
      </c>
      <c r="CN27" s="402">
        <f>IF(AND(88&gt;=$NR$27,88&lt;=$NS$27),IF($NP$27="Single_Point",IF(88=$NR$27,$NN$27,0),IF($NP$27="Bell_Curve",$NN$27*(88-$NR$27+1)*($NS$27-88+1)/$NU$27,$NN$27/$NT$27)),0)</f>
        <v/>
      </c>
      <c r="CO27" s="402">
        <f>IF(AND(89&gt;=$NR$27,89&lt;=$NS$27),IF($NP$27="Single_Point",IF(89=$NR$27,$NN$27,0),IF($NP$27="Bell_Curve",$NN$27*(89-$NR$27+1)*($NS$27-89+1)/$NU$27,$NN$27/$NT$27)),0)</f>
        <v/>
      </c>
      <c r="CP27" s="402">
        <f>IF(AND(90&gt;=$NR$27,90&lt;=$NS$27),IF($NP$27="Single_Point",IF(90=$NR$27,$NN$27,0),IF($NP$27="Bell_Curve",$NN$27*(90-$NR$27+1)*($NS$27-90+1)/$NU$27,$NN$27/$NT$27)),0)</f>
        <v/>
      </c>
      <c r="CQ27" s="402">
        <f>IF(AND(91&gt;=$NR$27,91&lt;=$NS$27),IF($NP$27="Single_Point",IF(91=$NR$27,$NN$27,0),IF($NP$27="Bell_Curve",$NN$27*(91-$NR$27+1)*($NS$27-91+1)/$NU$27,$NN$27/$NT$27)),0)</f>
        <v/>
      </c>
      <c r="CR27" s="402">
        <f>IF(AND(92&gt;=$NR$27,92&lt;=$NS$27),IF($NP$27="Single_Point",IF(92=$NR$27,$NN$27,0),IF($NP$27="Bell_Curve",$NN$27*(92-$NR$27+1)*($NS$27-92+1)/$NU$27,$NN$27/$NT$27)),0)</f>
        <v/>
      </c>
      <c r="CS27" s="402">
        <f>IF(AND(93&gt;=$NR$27,93&lt;=$NS$27),IF($NP$27="Single_Point",IF(93=$NR$27,$NN$27,0),IF($NP$27="Bell_Curve",$NN$27*(93-$NR$27+1)*($NS$27-93+1)/$NU$27,$NN$27/$NT$27)),0)</f>
        <v/>
      </c>
      <c r="CT27" s="402">
        <f>IF(AND(94&gt;=$NR$27,94&lt;=$NS$27),IF($NP$27="Single_Point",IF(94=$NR$27,$NN$27,0),IF($NP$27="Bell_Curve",$NN$27*(94-$NR$27+1)*($NS$27-94+1)/$NU$27,$NN$27/$NT$27)),0)</f>
        <v/>
      </c>
      <c r="CU27" s="402">
        <f>IF(AND(95&gt;=$NR$27,95&lt;=$NS$27),IF($NP$27="Single_Point",IF(95=$NR$27,$NN$27,0),IF($NP$27="Bell_Curve",$NN$27*(95-$NR$27+1)*($NS$27-95+1)/$NU$27,$NN$27/$NT$27)),0)</f>
        <v/>
      </c>
      <c r="CV27" s="402">
        <f>IF(AND(96&gt;=$NR$27,96&lt;=$NS$27),IF($NP$27="Single_Point",IF(96=$NR$27,$NN$27,0),IF($NP$27="Bell_Curve",$NN$27*(96-$NR$27+1)*($NS$27-96+1)/$NU$27,$NN$27/$NT$27)),0)</f>
        <v/>
      </c>
      <c r="CW27" s="402">
        <f>IF(AND(97&gt;=$NR$27,97&lt;=$NS$27),IF($NP$27="Single_Point",IF(97=$NR$27,$NN$27,0),IF($NP$27="Bell_Curve",$NN$27*(97-$NR$27+1)*($NS$27-97+1)/$NU$27,$NN$27/$NT$27)),0)</f>
        <v/>
      </c>
      <c r="CX27" s="402">
        <f>IF(AND(98&gt;=$NR$27,98&lt;=$NS$27),IF($NP$27="Single_Point",IF(98=$NR$27,$NN$27,0),IF($NP$27="Bell_Curve",$NN$27*(98-$NR$27+1)*($NS$27-98+1)/$NU$27,$NN$27/$NT$27)),0)</f>
        <v/>
      </c>
      <c r="CY27" s="402">
        <f>IF(AND(99&gt;=$NR$27,99&lt;=$NS$27),IF($NP$27="Single_Point",IF(99=$NR$27,$NN$27,0),IF($NP$27="Bell_Curve",$NN$27*(99-$NR$27+1)*($NS$27-99+1)/$NU$27,$NN$27/$NT$27)),0)</f>
        <v/>
      </c>
      <c r="CZ27" s="402">
        <f>IF(AND(100&gt;=$NR$27,100&lt;=$NS$27),IF($NP$27="Single_Point",IF(100=$NR$27,$NN$27,0),IF($NP$27="Bell_Curve",$NN$27*(100-$NR$27+1)*($NS$27-100+1)/$NU$27,$NN$27/$NT$27)),0)</f>
        <v/>
      </c>
      <c r="DA27" s="402">
        <f>IF(AND(101&gt;=$NR$27,101&lt;=$NS$27),IF($NP$27="Single_Point",IF(101=$NR$27,$NN$27,0),IF($NP$27="Bell_Curve",$NN$27*(101-$NR$27+1)*($NS$27-101+1)/$NU$27,$NN$27/$NT$27)),0)</f>
        <v/>
      </c>
      <c r="DB27" s="402">
        <f>IF(AND(102&gt;=$NR$27,102&lt;=$NS$27),IF($NP$27="Single_Point",IF(102=$NR$27,$NN$27,0),IF($NP$27="Bell_Curve",$NN$27*(102-$NR$27+1)*($NS$27-102+1)/$NU$27,$NN$27/$NT$27)),0)</f>
        <v/>
      </c>
      <c r="DC27" s="402">
        <f>IF(AND(103&gt;=$NR$27,103&lt;=$NS$27),IF($NP$27="Single_Point",IF(103=$NR$27,$NN$27,0),IF($NP$27="Bell_Curve",$NN$27*(103-$NR$27+1)*($NS$27-103+1)/$NU$27,$NN$27/$NT$27)),0)</f>
        <v/>
      </c>
      <c r="DD27" s="402">
        <f>IF(AND(104&gt;=$NR$27,104&lt;=$NS$27),IF($NP$27="Single_Point",IF(104=$NR$27,$NN$27,0),IF($NP$27="Bell_Curve",$NN$27*(104-$NR$27+1)*($NS$27-104+1)/$NU$27,$NN$27/$NT$27)),0)</f>
        <v/>
      </c>
      <c r="DE27" s="402">
        <f>IF(AND(105&gt;=$NR$27,105&lt;=$NS$27),IF($NP$27="Single_Point",IF(105=$NR$27,$NN$27,0),IF($NP$27="Bell_Curve",$NN$27*(105-$NR$27+1)*($NS$27-105+1)/$NU$27,$NN$27/$NT$27)),0)</f>
        <v/>
      </c>
      <c r="DF27" s="402">
        <f>IF(AND(106&gt;=$NR$27,106&lt;=$NS$27),IF($NP$27="Single_Point",IF(106=$NR$27,$NN$27,0),IF($NP$27="Bell_Curve",$NN$27*(106-$NR$27+1)*($NS$27-106+1)/$NU$27,$NN$27/$NT$27)),0)</f>
        <v/>
      </c>
      <c r="DG27" s="402">
        <f>IF(AND(107&gt;=$NR$27,107&lt;=$NS$27),IF($NP$27="Single_Point",IF(107=$NR$27,$NN$27,0),IF($NP$27="Bell_Curve",$NN$27*(107-$NR$27+1)*($NS$27-107+1)/$NU$27,$NN$27/$NT$27)),0)</f>
        <v/>
      </c>
      <c r="DH27" s="402">
        <f>IF(AND(108&gt;=$NR$27,108&lt;=$NS$27),IF($NP$27="Single_Point",IF(108=$NR$27,$NN$27,0),IF($NP$27="Bell_Curve",$NN$27*(108-$NR$27+1)*($NS$27-108+1)/$NU$27,$NN$27/$NT$27)),0)</f>
        <v/>
      </c>
      <c r="DI27" s="402">
        <f>IF(AND(109&gt;=$NR$27,109&lt;=$NS$27),IF($NP$27="Single_Point",IF(109=$NR$27,$NN$27,0),IF($NP$27="Bell_Curve",$NN$27*(109-$NR$27+1)*($NS$27-109+1)/$NU$27,$NN$27/$NT$27)),0)</f>
        <v/>
      </c>
      <c r="DJ27" s="402">
        <f>IF(AND(110&gt;=$NR$27,110&lt;=$NS$27),IF($NP$27="Single_Point",IF(110=$NR$27,$NN$27,0),IF($NP$27="Bell_Curve",$NN$27*(110-$NR$27+1)*($NS$27-110+1)/$NU$27,$NN$27/$NT$27)),0)</f>
        <v/>
      </c>
      <c r="DK27" s="402">
        <f>IF(AND(111&gt;=$NR$27,111&lt;=$NS$27),IF($NP$27="Single_Point",IF(111=$NR$27,$NN$27,0),IF($NP$27="Bell_Curve",$NN$27*(111-$NR$27+1)*($NS$27-111+1)/$NU$27,$NN$27/$NT$27)),0)</f>
        <v/>
      </c>
      <c r="DL27" s="402">
        <f>IF(AND(112&gt;=$NR$27,112&lt;=$NS$27),IF($NP$27="Single_Point",IF(112=$NR$27,$NN$27,0),IF($NP$27="Bell_Curve",$NN$27*(112-$NR$27+1)*($NS$27-112+1)/$NU$27,$NN$27/$NT$27)),0)</f>
        <v/>
      </c>
      <c r="DM27" s="402">
        <f>IF(AND(113&gt;=$NR$27,113&lt;=$NS$27),IF($NP$27="Single_Point",IF(113=$NR$27,$NN$27,0),IF($NP$27="Bell_Curve",$NN$27*(113-$NR$27+1)*($NS$27-113+1)/$NU$27,$NN$27/$NT$27)),0)</f>
        <v/>
      </c>
      <c r="DN27" s="402">
        <f>IF(AND(114&gt;=$NR$27,114&lt;=$NS$27),IF($NP$27="Single_Point",IF(114=$NR$27,$NN$27,0),IF($NP$27="Bell_Curve",$NN$27*(114-$NR$27+1)*($NS$27-114+1)/$NU$27,$NN$27/$NT$27)),0)</f>
        <v/>
      </c>
      <c r="DO27" s="402">
        <f>IF(AND(115&gt;=$NR$27,115&lt;=$NS$27),IF($NP$27="Single_Point",IF(115=$NR$27,$NN$27,0),IF($NP$27="Bell_Curve",$NN$27*(115-$NR$27+1)*($NS$27-115+1)/$NU$27,$NN$27/$NT$27)),0)</f>
        <v/>
      </c>
      <c r="DP27" s="402">
        <f>IF(AND(116&gt;=$NR$27,116&lt;=$NS$27),IF($NP$27="Single_Point",IF(116=$NR$27,$NN$27,0),IF($NP$27="Bell_Curve",$NN$27*(116-$NR$27+1)*($NS$27-116+1)/$NU$27,$NN$27/$NT$27)),0)</f>
        <v/>
      </c>
      <c r="DQ27" s="402">
        <f>IF(AND(117&gt;=$NR$27,117&lt;=$NS$27),IF($NP$27="Single_Point",IF(117=$NR$27,$NN$27,0),IF($NP$27="Bell_Curve",$NN$27*(117-$NR$27+1)*($NS$27-117+1)/$NU$27,$NN$27/$NT$27)),0)</f>
        <v/>
      </c>
      <c r="DR27" s="402">
        <f>IF(AND(118&gt;=$NR$27,118&lt;=$NS$27),IF($NP$27="Single_Point",IF(118=$NR$27,$NN$27,0),IF($NP$27="Bell_Curve",$NN$27*(118-$NR$27+1)*($NS$27-118+1)/$NU$27,$NN$27/$NT$27)),0)</f>
        <v/>
      </c>
      <c r="DS27" s="402">
        <f>IF(AND(119&gt;=$NR$27,119&lt;=$NS$27),IF($NP$27="Single_Point",IF(119=$NR$27,$NN$27,0),IF($NP$27="Bell_Curve",$NN$27*(119-$NR$27+1)*($NS$27-119+1)/$NU$27,$NN$27/$NT$27)),0)</f>
        <v/>
      </c>
      <c r="DT27" s="402">
        <f>IF(AND(120&gt;=$NR$27,120&lt;=$NS$27),IF($NP$27="Single_Point",IF(120=$NR$27,$NN$27,0),IF($NP$27="Bell_Curve",$NN$27*(120-$NR$27+1)*($NS$27-120+1)/$NU$27,$NN$27/$NT$27)),0)</f>
        <v/>
      </c>
      <c r="DU27" s="402">
        <f>IF(AND(121&gt;=$NR$27,121&lt;=$NS$27),IF($NP$27="Single_Point",IF(121=$NR$27,$NN$27,0),IF($NP$27="Bell_Curve",$NN$27*(121-$NR$27+1)*($NS$27-121+1)/$NU$27,$NN$27/$NT$27)),0)</f>
        <v/>
      </c>
      <c r="DV27" s="402">
        <f>IF(AND(122&gt;=$NR$27,122&lt;=$NS$27),IF($NP$27="Single_Point",IF(122=$NR$27,$NN$27,0),IF($NP$27="Bell_Curve",$NN$27*(122-$NR$27+1)*($NS$27-122+1)/$NU$27,$NN$27/$NT$27)),0)</f>
        <v/>
      </c>
      <c r="DW27" s="402">
        <f>IF(AND(123&gt;=$NR$27,123&lt;=$NS$27),IF($NP$27="Single_Point",IF(123=$NR$27,$NN$27,0),IF($NP$27="Bell_Curve",$NN$27*(123-$NR$27+1)*($NS$27-123+1)/$NU$27,$NN$27/$NT$27)),0)</f>
        <v/>
      </c>
      <c r="DX27" s="402">
        <f>IF(AND(124&gt;=$NR$27,124&lt;=$NS$27),IF($NP$27="Single_Point",IF(124=$NR$27,$NN$27,0),IF($NP$27="Bell_Curve",$NN$27*(124-$NR$27+1)*($NS$27-124+1)/$NU$27,$NN$27/$NT$27)),0)</f>
        <v/>
      </c>
      <c r="DY27" s="402">
        <f>IF(AND(125&gt;=$NR$27,125&lt;=$NS$27),IF($NP$27="Single_Point",IF(125=$NR$27,$NN$27,0),IF($NP$27="Bell_Curve",$NN$27*(125-$NR$27+1)*($NS$27-125+1)/$NU$27,$NN$27/$NT$27)),0)</f>
        <v/>
      </c>
      <c r="DZ27" s="402">
        <f>IF(AND(126&gt;=$NR$27,126&lt;=$NS$27),IF($NP$27="Single_Point",IF(126=$NR$27,$NN$27,0),IF($NP$27="Bell_Curve",$NN$27*(126-$NR$27+1)*($NS$27-126+1)/$NU$27,$NN$27/$NT$27)),0)</f>
        <v/>
      </c>
      <c r="EA27" s="402">
        <f>IF(AND(127&gt;=$NR$27,127&lt;=$NS$27),IF($NP$27="Single_Point",IF(127=$NR$27,$NN$27,0),IF($NP$27="Bell_Curve",$NN$27*(127-$NR$27+1)*($NS$27-127+1)/$NU$27,$NN$27/$NT$27)),0)</f>
        <v/>
      </c>
      <c r="EB27" s="402">
        <f>IF(AND(128&gt;=$NR$27,128&lt;=$NS$27),IF($NP$27="Single_Point",IF(128=$NR$27,$NN$27,0),IF($NP$27="Bell_Curve",$NN$27*(128-$NR$27+1)*($NS$27-128+1)/$NU$27,$NN$27/$NT$27)),0)</f>
        <v/>
      </c>
      <c r="EC27" s="402">
        <f>IF(AND(129&gt;=$NR$27,129&lt;=$NS$27),IF($NP$27="Single_Point",IF(129=$NR$27,$NN$27,0),IF($NP$27="Bell_Curve",$NN$27*(129-$NR$27+1)*($NS$27-129+1)/$NU$27,$NN$27/$NT$27)),0)</f>
        <v/>
      </c>
      <c r="ED27" s="402">
        <f>IF(AND(130&gt;=$NR$27,130&lt;=$NS$27),IF($NP$27="Single_Point",IF(130=$NR$27,$NN$27,0),IF($NP$27="Bell_Curve",$NN$27*(130-$NR$27+1)*($NS$27-130+1)/$NU$27,$NN$27/$NT$27)),0)</f>
        <v/>
      </c>
      <c r="EE27" s="402">
        <f>IF(AND(131&gt;=$NR$27,131&lt;=$NS$27),IF($NP$27="Single_Point",IF(131=$NR$27,$NN$27,0),IF($NP$27="Bell_Curve",$NN$27*(131-$NR$27+1)*($NS$27-131+1)/$NU$27,$NN$27/$NT$27)),0)</f>
        <v/>
      </c>
      <c r="EF27" s="402">
        <f>IF(AND(132&gt;=$NR$27,132&lt;=$NS$27),IF($NP$27="Single_Point",IF(132=$NR$27,$NN$27,0),IF($NP$27="Bell_Curve",$NN$27*(132-$NR$27+1)*($NS$27-132+1)/$NU$27,$NN$27/$NT$27)),0)</f>
        <v/>
      </c>
      <c r="EG27" s="402">
        <f>IF(AND(133&gt;=$NR$27,133&lt;=$NS$27),IF($NP$27="Single_Point",IF(133=$NR$27,$NN$27,0),IF($NP$27="Bell_Curve",$NN$27*(133-$NR$27+1)*($NS$27-133+1)/$NU$27,$NN$27/$NT$27)),0)</f>
        <v/>
      </c>
      <c r="EH27" s="402">
        <f>IF(AND(134&gt;=$NR$27,134&lt;=$NS$27),IF($NP$27="Single_Point",IF(134=$NR$27,$NN$27,0),IF($NP$27="Bell_Curve",$NN$27*(134-$NR$27+1)*($NS$27-134+1)/$NU$27,$NN$27/$NT$27)),0)</f>
        <v/>
      </c>
      <c r="EI27" s="402">
        <f>IF(AND(135&gt;=$NR$27,135&lt;=$NS$27),IF($NP$27="Single_Point",IF(135=$NR$27,$NN$27,0),IF($NP$27="Bell_Curve",$NN$27*(135-$NR$27+1)*($NS$27-135+1)/$NU$27,$NN$27/$NT$27)),0)</f>
        <v/>
      </c>
      <c r="EJ27" s="402">
        <f>IF(AND(136&gt;=$NR$27,136&lt;=$NS$27),IF($NP$27="Single_Point",IF(136=$NR$27,$NN$27,0),IF($NP$27="Bell_Curve",$NN$27*(136-$NR$27+1)*($NS$27-136+1)/$NU$27,$NN$27/$NT$27)),0)</f>
        <v/>
      </c>
      <c r="EK27" s="402">
        <f>IF(AND(137&gt;=$NR$27,137&lt;=$NS$27),IF($NP$27="Single_Point",IF(137=$NR$27,$NN$27,0),IF($NP$27="Bell_Curve",$NN$27*(137-$NR$27+1)*($NS$27-137+1)/$NU$27,$NN$27/$NT$27)),0)</f>
        <v/>
      </c>
      <c r="EL27" s="402">
        <f>IF(AND(138&gt;=$NR$27,138&lt;=$NS$27),IF($NP$27="Single_Point",IF(138=$NR$27,$NN$27,0),IF($NP$27="Bell_Curve",$NN$27*(138-$NR$27+1)*($NS$27-138+1)/$NU$27,$NN$27/$NT$27)),0)</f>
        <v/>
      </c>
      <c r="EM27" s="402">
        <f>IF(AND(139&gt;=$NR$27,139&lt;=$NS$27),IF($NP$27="Single_Point",IF(139=$NR$27,$NN$27,0),IF($NP$27="Bell_Curve",$NN$27*(139-$NR$27+1)*($NS$27-139+1)/$NU$27,$NN$27/$NT$27)),0)</f>
        <v/>
      </c>
      <c r="EN27" s="402">
        <f>IF(AND(140&gt;=$NR$27,140&lt;=$NS$27),IF($NP$27="Single_Point",IF(140=$NR$27,$NN$27,0),IF($NP$27="Bell_Curve",$NN$27*(140-$NR$27+1)*($NS$27-140+1)/$NU$27,$NN$27/$NT$27)),0)</f>
        <v/>
      </c>
      <c r="EO27" s="402">
        <f>IF(AND(141&gt;=$NR$27,141&lt;=$NS$27),IF($NP$27="Single_Point",IF(141=$NR$27,$NN$27,0),IF($NP$27="Bell_Curve",$NN$27*(141-$NR$27+1)*($NS$27-141+1)/$NU$27,$NN$27/$NT$27)),0)</f>
        <v/>
      </c>
      <c r="EP27" s="402">
        <f>IF(AND(142&gt;=$NR$27,142&lt;=$NS$27),IF($NP$27="Single_Point",IF(142=$NR$27,$NN$27,0),IF($NP$27="Bell_Curve",$NN$27*(142-$NR$27+1)*($NS$27-142+1)/$NU$27,$NN$27/$NT$27)),0)</f>
        <v/>
      </c>
      <c r="EQ27" s="402">
        <f>IF(AND(143&gt;=$NR$27,143&lt;=$NS$27),IF($NP$27="Single_Point",IF(143=$NR$27,$NN$27,0),IF($NP$27="Bell_Curve",$NN$27*(143-$NR$27+1)*($NS$27-143+1)/$NU$27,$NN$27/$NT$27)),0)</f>
        <v/>
      </c>
      <c r="ER27" s="402">
        <f>IF(AND(144&gt;=$NR$27,144&lt;=$NS$27),IF($NP$27="Single_Point",IF(144=$NR$27,$NN$27,0),IF($NP$27="Bell_Curve",$NN$27*(144-$NR$27+1)*($NS$27-144+1)/$NU$27,$NN$27/$NT$27)),0)</f>
        <v/>
      </c>
      <c r="ES27" s="402">
        <f>IF(AND(145&gt;=$NR$27,145&lt;=$NS$27),IF($NP$27="Single_Point",IF(145=$NR$27,$NN$27,0),IF($NP$27="Bell_Curve",$NN$27*(145-$NR$27+1)*($NS$27-145+1)/$NU$27,$NN$27/$NT$27)),0)</f>
        <v/>
      </c>
      <c r="ET27" s="402">
        <f>IF(AND(146&gt;=$NR$27,146&lt;=$NS$27),IF($NP$27="Single_Point",IF(146=$NR$27,$NN$27,0),IF($NP$27="Bell_Curve",$NN$27*(146-$NR$27+1)*($NS$27-146+1)/$NU$27,$NN$27/$NT$27)),0)</f>
        <v/>
      </c>
      <c r="EU27" s="402">
        <f>IF(AND(147&gt;=$NR$27,147&lt;=$NS$27),IF($NP$27="Single_Point",IF(147=$NR$27,$NN$27,0),IF($NP$27="Bell_Curve",$NN$27*(147-$NR$27+1)*($NS$27-147+1)/$NU$27,$NN$27/$NT$27)),0)</f>
        <v/>
      </c>
      <c r="EV27" s="402">
        <f>IF(AND(148&gt;=$NR$27,148&lt;=$NS$27),IF($NP$27="Single_Point",IF(148=$NR$27,$NN$27,0),IF($NP$27="Bell_Curve",$NN$27*(148-$NR$27+1)*($NS$27-148+1)/$NU$27,$NN$27/$NT$27)),0)</f>
        <v/>
      </c>
      <c r="EW27" s="402">
        <f>IF(AND(149&gt;=$NR$27,149&lt;=$NS$27),IF($NP$27="Single_Point",IF(149=$NR$27,$NN$27,0),IF($NP$27="Bell_Curve",$NN$27*(149-$NR$27+1)*($NS$27-149+1)/$NU$27,$NN$27/$NT$27)),0)</f>
        <v/>
      </c>
      <c r="EX27" s="402">
        <f>IF(AND(150&gt;=$NR$27,150&lt;=$NS$27),IF($NP$27="Single_Point",IF(150=$NR$27,$NN$27,0),IF($NP$27="Bell_Curve",$NN$27*(150-$NR$27+1)*($NS$27-150+1)/$NU$27,$NN$27/$NT$27)),0)</f>
        <v/>
      </c>
      <c r="EY27" s="402">
        <f>IF(AND(151&gt;=$NR$27,151&lt;=$NS$27),IF($NP$27="Single_Point",IF(151=$NR$27,$NN$27,0),IF($NP$27="Bell_Curve",$NN$27*(151-$NR$27+1)*($NS$27-151+1)/$NU$27,$NN$27/$NT$27)),0)</f>
        <v/>
      </c>
      <c r="EZ27" s="402">
        <f>IF(AND(152&gt;=$NR$27,152&lt;=$NS$27),IF($NP$27="Single_Point",IF(152=$NR$27,$NN$27,0),IF($NP$27="Bell_Curve",$NN$27*(152-$NR$27+1)*($NS$27-152+1)/$NU$27,$NN$27/$NT$27)),0)</f>
        <v/>
      </c>
      <c r="FA27" s="402">
        <f>IF(AND(153&gt;=$NR$27,153&lt;=$NS$27),IF($NP$27="Single_Point",IF(153=$NR$27,$NN$27,0),IF($NP$27="Bell_Curve",$NN$27*(153-$NR$27+1)*($NS$27-153+1)/$NU$27,$NN$27/$NT$27)),0)</f>
        <v/>
      </c>
      <c r="FB27" s="402">
        <f>IF(AND(154&gt;=$NR$27,154&lt;=$NS$27),IF($NP$27="Single_Point",IF(154=$NR$27,$NN$27,0),IF($NP$27="Bell_Curve",$NN$27*(154-$NR$27+1)*($NS$27-154+1)/$NU$27,$NN$27/$NT$27)),0)</f>
        <v/>
      </c>
      <c r="FC27" s="402">
        <f>IF(AND(155&gt;=$NR$27,155&lt;=$NS$27),IF($NP$27="Single_Point",IF(155=$NR$27,$NN$27,0),IF($NP$27="Bell_Curve",$NN$27*(155-$NR$27+1)*($NS$27-155+1)/$NU$27,$NN$27/$NT$27)),0)</f>
        <v/>
      </c>
      <c r="FD27" s="402">
        <f>IF(AND(156&gt;=$NR$27,156&lt;=$NS$27),IF($NP$27="Single_Point",IF(156=$NR$27,$NN$27,0),IF($NP$27="Bell_Curve",$NN$27*(156-$NR$27+1)*($NS$27-156+1)/$NU$27,$NN$27/$NT$27)),0)</f>
        <v/>
      </c>
      <c r="FE27" s="402">
        <f>IF(AND(157&gt;=$NR$27,157&lt;=$NS$27),IF($NP$27="Single_Point",IF(157=$NR$27,$NN$27,0),IF($NP$27="Bell_Curve",$NN$27*(157-$NR$27+1)*($NS$27-157+1)/$NU$27,$NN$27/$NT$27)),0)</f>
        <v/>
      </c>
      <c r="FF27" s="402">
        <f>IF(AND(158&gt;=$NR$27,158&lt;=$NS$27),IF($NP$27="Single_Point",IF(158=$NR$27,$NN$27,0),IF($NP$27="Bell_Curve",$NN$27*(158-$NR$27+1)*($NS$27-158+1)/$NU$27,$NN$27/$NT$27)),0)</f>
        <v/>
      </c>
      <c r="FG27" s="402">
        <f>IF(AND(159&gt;=$NR$27,159&lt;=$NS$27),IF($NP$27="Single_Point",IF(159=$NR$27,$NN$27,0),IF($NP$27="Bell_Curve",$NN$27*(159-$NR$27+1)*($NS$27-159+1)/$NU$27,$NN$27/$NT$27)),0)</f>
        <v/>
      </c>
      <c r="FH27" s="402">
        <f>IF(AND(160&gt;=$NR$27,160&lt;=$NS$27),IF($NP$27="Single_Point",IF(160=$NR$27,$NN$27,0),IF($NP$27="Bell_Curve",$NN$27*(160-$NR$27+1)*($NS$27-160+1)/$NU$27,$NN$27/$NT$27)),0)</f>
        <v/>
      </c>
      <c r="FI27" s="402">
        <f>IF(AND(161&gt;=$NR$27,161&lt;=$NS$27),IF($NP$27="Single_Point",IF(161=$NR$27,$NN$27,0),IF($NP$27="Bell_Curve",$NN$27*(161-$NR$27+1)*($NS$27-161+1)/$NU$27,$NN$27/$NT$27)),0)</f>
        <v/>
      </c>
      <c r="FJ27" s="402">
        <f>IF(AND(162&gt;=$NR$27,162&lt;=$NS$27),IF($NP$27="Single_Point",IF(162=$NR$27,$NN$27,0),IF($NP$27="Bell_Curve",$NN$27*(162-$NR$27+1)*($NS$27-162+1)/$NU$27,$NN$27/$NT$27)),0)</f>
        <v/>
      </c>
      <c r="FK27" s="402">
        <f>IF(AND(163&gt;=$NR$27,163&lt;=$NS$27),IF($NP$27="Single_Point",IF(163=$NR$27,$NN$27,0),IF($NP$27="Bell_Curve",$NN$27*(163-$NR$27+1)*($NS$27-163+1)/$NU$27,$NN$27/$NT$27)),0)</f>
        <v/>
      </c>
      <c r="FL27" s="402">
        <f>IF(AND(164&gt;=$NR$27,164&lt;=$NS$27),IF($NP$27="Single_Point",IF(164=$NR$27,$NN$27,0),IF($NP$27="Bell_Curve",$NN$27*(164-$NR$27+1)*($NS$27-164+1)/$NU$27,$NN$27/$NT$27)),0)</f>
        <v/>
      </c>
      <c r="FM27" s="402">
        <f>IF(AND(165&gt;=$NR$27,165&lt;=$NS$27),IF($NP$27="Single_Point",IF(165=$NR$27,$NN$27,0),IF($NP$27="Bell_Curve",$NN$27*(165-$NR$27+1)*($NS$27-165+1)/$NU$27,$NN$27/$NT$27)),0)</f>
        <v/>
      </c>
      <c r="FN27" s="402">
        <f>IF(AND(166&gt;=$NR$27,166&lt;=$NS$27),IF($NP$27="Single_Point",IF(166=$NR$27,$NN$27,0),IF($NP$27="Bell_Curve",$NN$27*(166-$NR$27+1)*($NS$27-166+1)/$NU$27,$NN$27/$NT$27)),0)</f>
        <v/>
      </c>
      <c r="FO27" s="402">
        <f>IF(AND(167&gt;=$NR$27,167&lt;=$NS$27),IF($NP$27="Single_Point",IF(167=$NR$27,$NN$27,0),IF($NP$27="Bell_Curve",$NN$27*(167-$NR$27+1)*($NS$27-167+1)/$NU$27,$NN$27/$NT$27)),0)</f>
        <v/>
      </c>
      <c r="FP27" s="402">
        <f>IF(AND(168&gt;=$NR$27,168&lt;=$NS$27),IF($NP$27="Single_Point",IF(168=$NR$27,$NN$27,0),IF($NP$27="Bell_Curve",$NN$27*(168-$NR$27+1)*($NS$27-168+1)/$NU$27,$NN$27/$NT$27)),0)</f>
        <v/>
      </c>
      <c r="FQ27" s="402">
        <f>IF(AND(169&gt;=$NR$27,169&lt;=$NS$27),IF($NP$27="Single_Point",IF(169=$NR$27,$NN$27,0),IF($NP$27="Bell_Curve",$NN$27*(169-$NR$27+1)*($NS$27-169+1)/$NU$27,$NN$27/$NT$27)),0)</f>
        <v/>
      </c>
      <c r="FR27" s="402">
        <f>IF(AND(170&gt;=$NR$27,170&lt;=$NS$27),IF($NP$27="Single_Point",IF(170=$NR$27,$NN$27,0),IF($NP$27="Bell_Curve",$NN$27*(170-$NR$27+1)*($NS$27-170+1)/$NU$27,$NN$27/$NT$27)),0)</f>
        <v/>
      </c>
      <c r="FS27" s="402">
        <f>IF(AND(171&gt;=$NR$27,171&lt;=$NS$27),IF($NP$27="Single_Point",IF(171=$NR$27,$NN$27,0),IF($NP$27="Bell_Curve",$NN$27*(171-$NR$27+1)*($NS$27-171+1)/$NU$27,$NN$27/$NT$27)),0)</f>
        <v/>
      </c>
      <c r="FT27" s="402">
        <f>IF(AND(172&gt;=$NR$27,172&lt;=$NS$27),IF($NP$27="Single_Point",IF(172=$NR$27,$NN$27,0),IF($NP$27="Bell_Curve",$NN$27*(172-$NR$27+1)*($NS$27-172+1)/$NU$27,$NN$27/$NT$27)),0)</f>
        <v/>
      </c>
      <c r="FU27" s="402">
        <f>IF(AND(173&gt;=$NR$27,173&lt;=$NS$27),IF($NP$27="Single_Point",IF(173=$NR$27,$NN$27,0),IF($NP$27="Bell_Curve",$NN$27*(173-$NR$27+1)*($NS$27-173+1)/$NU$27,$NN$27/$NT$27)),0)</f>
        <v/>
      </c>
      <c r="FV27" s="402">
        <f>IF(AND(174&gt;=$NR$27,174&lt;=$NS$27),IF($NP$27="Single_Point",IF(174=$NR$27,$NN$27,0),IF($NP$27="Bell_Curve",$NN$27*(174-$NR$27+1)*($NS$27-174+1)/$NU$27,$NN$27/$NT$27)),0)</f>
        <v/>
      </c>
      <c r="FW27" s="402">
        <f>IF(AND(175&gt;=$NR$27,175&lt;=$NS$27),IF($NP$27="Single_Point",IF(175=$NR$27,$NN$27,0),IF($NP$27="Bell_Curve",$NN$27*(175-$NR$27+1)*($NS$27-175+1)/$NU$27,$NN$27/$NT$27)),0)</f>
        <v/>
      </c>
      <c r="FX27" s="402">
        <f>IF(AND(176&gt;=$NR$27,176&lt;=$NS$27),IF($NP$27="Single_Point",IF(176=$NR$27,$NN$27,0),IF($NP$27="Bell_Curve",$NN$27*(176-$NR$27+1)*($NS$27-176+1)/$NU$27,$NN$27/$NT$27)),0)</f>
        <v/>
      </c>
      <c r="FY27" s="402">
        <f>IF(AND(177&gt;=$NR$27,177&lt;=$NS$27),IF($NP$27="Single_Point",IF(177=$NR$27,$NN$27,0),IF($NP$27="Bell_Curve",$NN$27*(177-$NR$27+1)*($NS$27-177+1)/$NU$27,$NN$27/$NT$27)),0)</f>
        <v/>
      </c>
      <c r="FZ27" s="402">
        <f>IF(AND(178&gt;=$NR$27,178&lt;=$NS$27),IF($NP$27="Single_Point",IF(178=$NR$27,$NN$27,0),IF($NP$27="Bell_Curve",$NN$27*(178-$NR$27+1)*($NS$27-178+1)/$NU$27,$NN$27/$NT$27)),0)</f>
        <v/>
      </c>
      <c r="GA27" s="402">
        <f>IF(AND(179&gt;=$NR$27,179&lt;=$NS$27),IF($NP$27="Single_Point",IF(179=$NR$27,$NN$27,0),IF($NP$27="Bell_Curve",$NN$27*(179-$NR$27+1)*($NS$27-179+1)/$NU$27,$NN$27/$NT$27)),0)</f>
        <v/>
      </c>
      <c r="GB27" s="402">
        <f>IF(AND(180&gt;=$NR$27,180&lt;=$NS$27),IF($NP$27="Single_Point",IF(180=$NR$27,$NN$27,0),IF($NP$27="Bell_Curve",$NN$27*(180-$NR$27+1)*($NS$27-180+1)/$NU$27,$NN$27/$NT$27)),0)</f>
        <v/>
      </c>
      <c r="GC27" s="402">
        <f>IF(AND(181&gt;=$NR$27,181&lt;=$NS$27),IF($NP$27="Single_Point",IF(181=$NR$27,$NN$27,0),IF($NP$27="Bell_Curve",$NN$27*(181-$NR$27+1)*($NS$27-181+1)/$NU$27,$NN$27/$NT$27)),0)</f>
        <v/>
      </c>
      <c r="GD27" s="402">
        <f>IF(AND(182&gt;=$NR$27,182&lt;=$NS$27),IF($NP$27="Single_Point",IF(182=$NR$27,$NN$27,0),IF($NP$27="Bell_Curve",$NN$27*(182-$NR$27+1)*($NS$27-182+1)/$NU$27,$NN$27/$NT$27)),0)</f>
        <v/>
      </c>
      <c r="GE27" s="402">
        <f>IF(AND(183&gt;=$NR$27,183&lt;=$NS$27),IF($NP$27="Single_Point",IF(183=$NR$27,$NN$27,0),IF($NP$27="Bell_Curve",$NN$27*(183-$NR$27+1)*($NS$27-183+1)/$NU$27,$NN$27/$NT$27)),0)</f>
        <v/>
      </c>
      <c r="GF27" s="402">
        <f>IF(AND(184&gt;=$NR$27,184&lt;=$NS$27),IF($NP$27="Single_Point",IF(184=$NR$27,$NN$27,0),IF($NP$27="Bell_Curve",$NN$27*(184-$NR$27+1)*($NS$27-184+1)/$NU$27,$NN$27/$NT$27)),0)</f>
        <v/>
      </c>
      <c r="GG27" s="402">
        <f>IF(AND(185&gt;=$NR$27,185&lt;=$NS$27),IF($NP$27="Single_Point",IF(185=$NR$27,$NN$27,0),IF($NP$27="Bell_Curve",$NN$27*(185-$NR$27+1)*($NS$27-185+1)/$NU$27,$NN$27/$NT$27)),0)</f>
        <v/>
      </c>
      <c r="GH27" s="402">
        <f>IF(AND(186&gt;=$NR$27,186&lt;=$NS$27),IF($NP$27="Single_Point",IF(186=$NR$27,$NN$27,0),IF($NP$27="Bell_Curve",$NN$27*(186-$NR$27+1)*($NS$27-186+1)/$NU$27,$NN$27/$NT$27)),0)</f>
        <v/>
      </c>
      <c r="GI27" s="402">
        <f>IF(AND(187&gt;=$NR$27,187&lt;=$NS$27),IF($NP$27="Single_Point",IF(187=$NR$27,$NN$27,0),IF($NP$27="Bell_Curve",$NN$27*(187-$NR$27+1)*($NS$27-187+1)/$NU$27,$NN$27/$NT$27)),0)</f>
        <v/>
      </c>
      <c r="GJ27" s="402">
        <f>IF(AND(188&gt;=$NR$27,188&lt;=$NS$27),IF($NP$27="Single_Point",IF(188=$NR$27,$NN$27,0),IF($NP$27="Bell_Curve",$NN$27*(188-$NR$27+1)*($NS$27-188+1)/$NU$27,$NN$27/$NT$27)),0)</f>
        <v/>
      </c>
      <c r="GK27" s="402">
        <f>IF(AND(189&gt;=$NR$27,189&lt;=$NS$27),IF($NP$27="Single_Point",IF(189=$NR$27,$NN$27,0),IF($NP$27="Bell_Curve",$NN$27*(189-$NR$27+1)*($NS$27-189+1)/$NU$27,$NN$27/$NT$27)),0)</f>
        <v/>
      </c>
      <c r="GL27" s="402">
        <f>IF(AND(190&gt;=$NR$27,190&lt;=$NS$27),IF($NP$27="Single_Point",IF(190=$NR$27,$NN$27,0),IF($NP$27="Bell_Curve",$NN$27*(190-$NR$27+1)*($NS$27-190+1)/$NU$27,$NN$27/$NT$27)),0)</f>
        <v/>
      </c>
      <c r="GM27" s="402">
        <f>IF(AND(191&gt;=$NR$27,191&lt;=$NS$27),IF($NP$27="Single_Point",IF(191=$NR$27,$NN$27,0),IF($NP$27="Bell_Curve",$NN$27*(191-$NR$27+1)*($NS$27-191+1)/$NU$27,$NN$27/$NT$27)),0)</f>
        <v/>
      </c>
      <c r="GN27" s="402">
        <f>IF(AND(192&gt;=$NR$27,192&lt;=$NS$27),IF($NP$27="Single_Point",IF(192=$NR$27,$NN$27,0),IF($NP$27="Bell_Curve",$NN$27*(192-$NR$27+1)*($NS$27-192+1)/$NU$27,$NN$27/$NT$27)),0)</f>
        <v/>
      </c>
      <c r="GO27" s="402">
        <f>IF(AND(193&gt;=$NR$27,193&lt;=$NS$27),IF($NP$27="Single_Point",IF(193=$NR$27,$NN$27,0),IF($NP$27="Bell_Curve",$NN$27*(193-$NR$27+1)*($NS$27-193+1)/$NU$27,$NN$27/$NT$27)),0)</f>
        <v/>
      </c>
      <c r="GP27" s="402">
        <f>IF(AND(194&gt;=$NR$27,194&lt;=$NS$27),IF($NP$27="Single_Point",IF(194=$NR$27,$NN$27,0),IF($NP$27="Bell_Curve",$NN$27*(194-$NR$27+1)*($NS$27-194+1)/$NU$27,$NN$27/$NT$27)),0)</f>
        <v/>
      </c>
      <c r="GQ27" s="402">
        <f>IF(AND(195&gt;=$NR$27,195&lt;=$NS$27),IF($NP$27="Single_Point",IF(195=$NR$27,$NN$27,0),IF($NP$27="Bell_Curve",$NN$27*(195-$NR$27+1)*($NS$27-195+1)/$NU$27,$NN$27/$NT$27)),0)</f>
        <v/>
      </c>
      <c r="GR27" s="402">
        <f>IF(AND(196&gt;=$NR$27,196&lt;=$NS$27),IF($NP$27="Single_Point",IF(196=$NR$27,$NN$27,0),IF($NP$27="Bell_Curve",$NN$27*(196-$NR$27+1)*($NS$27-196+1)/$NU$27,$NN$27/$NT$27)),0)</f>
        <v/>
      </c>
      <c r="GS27" s="402">
        <f>IF(AND(197&gt;=$NR$27,197&lt;=$NS$27),IF($NP$27="Single_Point",IF(197=$NR$27,$NN$27,0),IF($NP$27="Bell_Curve",$NN$27*(197-$NR$27+1)*($NS$27-197+1)/$NU$27,$NN$27/$NT$27)),0)</f>
        <v/>
      </c>
      <c r="GT27" s="402">
        <f>IF(AND(198&gt;=$NR$27,198&lt;=$NS$27),IF($NP$27="Single_Point",IF(198=$NR$27,$NN$27,0),IF($NP$27="Bell_Curve",$NN$27*(198-$NR$27+1)*($NS$27-198+1)/$NU$27,$NN$27/$NT$27)),0)</f>
        <v/>
      </c>
      <c r="GU27" s="402">
        <f>IF(AND(199&gt;=$NR$27,199&lt;=$NS$27),IF($NP$27="Single_Point",IF(199=$NR$27,$NN$27,0),IF($NP$27="Bell_Curve",$NN$27*(199-$NR$27+1)*($NS$27-199+1)/$NU$27,$NN$27/$NT$27)),0)</f>
        <v/>
      </c>
      <c r="GV27" s="402">
        <f>IF(AND(200&gt;=$NR$27,200&lt;=$NS$27),IF($NP$27="Single_Point",IF(200=$NR$27,$NN$27,0),IF($NP$27="Bell_Curve",$NN$27*(200-$NR$27+1)*($NS$27-200+1)/$NU$27,$NN$27/$NT$27)),0)</f>
        <v/>
      </c>
      <c r="GW27" s="402">
        <f>IF(AND(201&gt;=$NR$27,201&lt;=$NS$27),IF($NP$27="Single_Point",IF(201=$NR$27,$NN$27,0),IF($NP$27="Bell_Curve",$NN$27*(201-$NR$27+1)*($NS$27-201+1)/$NU$27,$NN$27/$NT$27)),0)</f>
        <v/>
      </c>
      <c r="GX27" s="402">
        <f>IF(AND(202&gt;=$NR$27,202&lt;=$NS$27),IF($NP$27="Single_Point",IF(202=$NR$27,$NN$27,0),IF($NP$27="Bell_Curve",$NN$27*(202-$NR$27+1)*($NS$27-202+1)/$NU$27,$NN$27/$NT$27)),0)</f>
        <v/>
      </c>
      <c r="GY27" s="402">
        <f>IF(AND(203&gt;=$NR$27,203&lt;=$NS$27),IF($NP$27="Single_Point",IF(203=$NR$27,$NN$27,0),IF($NP$27="Bell_Curve",$NN$27*(203-$NR$27+1)*($NS$27-203+1)/$NU$27,$NN$27/$NT$27)),0)</f>
        <v/>
      </c>
      <c r="GZ27" s="402">
        <f>IF(AND(204&gt;=$NR$27,204&lt;=$NS$27),IF($NP$27="Single_Point",IF(204=$NR$27,$NN$27,0),IF($NP$27="Bell_Curve",$NN$27*(204-$NR$27+1)*($NS$27-204+1)/$NU$27,$NN$27/$NT$27)),0)</f>
        <v/>
      </c>
      <c r="HA27" s="402">
        <f>IF(AND(205&gt;=$NR$27,205&lt;=$NS$27),IF($NP$27="Single_Point",IF(205=$NR$27,$NN$27,0),IF($NP$27="Bell_Curve",$NN$27*(205-$NR$27+1)*($NS$27-205+1)/$NU$27,$NN$27/$NT$27)),0)</f>
        <v/>
      </c>
      <c r="HB27" s="402">
        <f>IF(AND(206&gt;=$NR$27,206&lt;=$NS$27),IF($NP$27="Single_Point",IF(206=$NR$27,$NN$27,0),IF($NP$27="Bell_Curve",$NN$27*(206-$NR$27+1)*($NS$27-206+1)/$NU$27,$NN$27/$NT$27)),0)</f>
        <v/>
      </c>
      <c r="HC27" s="402">
        <f>IF(AND(207&gt;=$NR$27,207&lt;=$NS$27),IF($NP$27="Single_Point",IF(207=$NR$27,$NN$27,0),IF($NP$27="Bell_Curve",$NN$27*(207-$NR$27+1)*($NS$27-207+1)/$NU$27,$NN$27/$NT$27)),0)</f>
        <v/>
      </c>
      <c r="HD27" s="402">
        <f>IF(AND(208&gt;=$NR$27,208&lt;=$NS$27),IF($NP$27="Single_Point",IF(208=$NR$27,$NN$27,0),IF($NP$27="Bell_Curve",$NN$27*(208-$NR$27+1)*($NS$27-208+1)/$NU$27,$NN$27/$NT$27)),0)</f>
        <v/>
      </c>
      <c r="HE27" s="402">
        <f>IF(AND(209&gt;=$NR$27,209&lt;=$NS$27),IF($NP$27="Single_Point",IF(209=$NR$27,$NN$27,0),IF($NP$27="Bell_Curve",$NN$27*(209-$NR$27+1)*($NS$27-209+1)/$NU$27,$NN$27/$NT$27)),0)</f>
        <v/>
      </c>
      <c r="HF27" s="402">
        <f>IF(AND(210&gt;=$NR$27,210&lt;=$NS$27),IF($NP$27="Single_Point",IF(210=$NR$27,$NN$27,0),IF($NP$27="Bell_Curve",$NN$27*(210-$NR$27+1)*($NS$27-210+1)/$NU$27,$NN$27/$NT$27)),0)</f>
        <v/>
      </c>
      <c r="HG27" s="402">
        <f>IF(AND(211&gt;=$NR$27,211&lt;=$NS$27),IF($NP$27="Single_Point",IF(211=$NR$27,$NN$27,0),IF($NP$27="Bell_Curve",$NN$27*(211-$NR$27+1)*($NS$27-211+1)/$NU$27,$NN$27/$NT$27)),0)</f>
        <v/>
      </c>
      <c r="HH27" s="402">
        <f>IF(AND(212&gt;=$NR$27,212&lt;=$NS$27),IF($NP$27="Single_Point",IF(212=$NR$27,$NN$27,0),IF($NP$27="Bell_Curve",$NN$27*(212-$NR$27+1)*($NS$27-212+1)/$NU$27,$NN$27/$NT$27)),0)</f>
        <v/>
      </c>
      <c r="HI27" s="402">
        <f>IF(AND(213&gt;=$NR$27,213&lt;=$NS$27),IF($NP$27="Single_Point",IF(213=$NR$27,$NN$27,0),IF($NP$27="Bell_Curve",$NN$27*(213-$NR$27+1)*($NS$27-213+1)/$NU$27,$NN$27/$NT$27)),0)</f>
        <v/>
      </c>
      <c r="HJ27" s="402">
        <f>IF(AND(214&gt;=$NR$27,214&lt;=$NS$27),IF($NP$27="Single_Point",IF(214=$NR$27,$NN$27,0),IF($NP$27="Bell_Curve",$NN$27*(214-$NR$27+1)*($NS$27-214+1)/$NU$27,$NN$27/$NT$27)),0)</f>
        <v/>
      </c>
      <c r="HK27" s="402">
        <f>IF(AND(215&gt;=$NR$27,215&lt;=$NS$27),IF($NP$27="Single_Point",IF(215=$NR$27,$NN$27,0),IF($NP$27="Bell_Curve",$NN$27*(215-$NR$27+1)*($NS$27-215+1)/$NU$27,$NN$27/$NT$27)),0)</f>
        <v/>
      </c>
      <c r="HL27" s="402">
        <f>IF(AND(216&gt;=$NR$27,216&lt;=$NS$27),IF($NP$27="Single_Point",IF(216=$NR$27,$NN$27,0),IF($NP$27="Bell_Curve",$NN$27*(216-$NR$27+1)*($NS$27-216+1)/$NU$27,$NN$27/$NT$27)),0)</f>
        <v/>
      </c>
      <c r="HM27" s="402">
        <f>IF(AND(217&gt;=$NR$27,217&lt;=$NS$27),IF($NP$27="Single_Point",IF(217=$NR$27,$NN$27,0),IF($NP$27="Bell_Curve",$NN$27*(217-$NR$27+1)*($NS$27-217+1)/$NU$27,$NN$27/$NT$27)),0)</f>
        <v/>
      </c>
      <c r="HN27" s="402">
        <f>IF(AND(218&gt;=$NR$27,218&lt;=$NS$27),IF($NP$27="Single_Point",IF(218=$NR$27,$NN$27,0),IF($NP$27="Bell_Curve",$NN$27*(218-$NR$27+1)*($NS$27-218+1)/$NU$27,$NN$27/$NT$27)),0)</f>
        <v/>
      </c>
      <c r="HO27" s="402">
        <f>IF(AND(219&gt;=$NR$27,219&lt;=$NS$27),IF($NP$27="Single_Point",IF(219=$NR$27,$NN$27,0),IF($NP$27="Bell_Curve",$NN$27*(219-$NR$27+1)*($NS$27-219+1)/$NU$27,$NN$27/$NT$27)),0)</f>
        <v/>
      </c>
      <c r="HP27" s="402">
        <f>IF(AND(220&gt;=$NR$27,220&lt;=$NS$27),IF($NP$27="Single_Point",IF(220=$NR$27,$NN$27,0),IF($NP$27="Bell_Curve",$NN$27*(220-$NR$27+1)*($NS$27-220+1)/$NU$27,$NN$27/$NT$27)),0)</f>
        <v/>
      </c>
      <c r="HQ27" s="402">
        <f>IF(AND(221&gt;=$NR$27,221&lt;=$NS$27),IF($NP$27="Single_Point",IF(221=$NR$27,$NN$27,0),IF($NP$27="Bell_Curve",$NN$27*(221-$NR$27+1)*($NS$27-221+1)/$NU$27,$NN$27/$NT$27)),0)</f>
        <v/>
      </c>
      <c r="HR27" s="402">
        <f>IF(AND(222&gt;=$NR$27,222&lt;=$NS$27),IF($NP$27="Single_Point",IF(222=$NR$27,$NN$27,0),IF($NP$27="Bell_Curve",$NN$27*(222-$NR$27+1)*($NS$27-222+1)/$NU$27,$NN$27/$NT$27)),0)</f>
        <v/>
      </c>
      <c r="HS27" s="402">
        <f>IF(AND(223&gt;=$NR$27,223&lt;=$NS$27),IF($NP$27="Single_Point",IF(223=$NR$27,$NN$27,0),IF($NP$27="Bell_Curve",$NN$27*(223-$NR$27+1)*($NS$27-223+1)/$NU$27,$NN$27/$NT$27)),0)</f>
        <v/>
      </c>
      <c r="HT27" s="402">
        <f>IF(AND(224&gt;=$NR$27,224&lt;=$NS$27),IF($NP$27="Single_Point",IF(224=$NR$27,$NN$27,0),IF($NP$27="Bell_Curve",$NN$27*(224-$NR$27+1)*($NS$27-224+1)/$NU$27,$NN$27/$NT$27)),0)</f>
        <v/>
      </c>
      <c r="HU27" s="402">
        <f>IF(AND(225&gt;=$NR$27,225&lt;=$NS$27),IF($NP$27="Single_Point",IF(225=$NR$27,$NN$27,0),IF($NP$27="Bell_Curve",$NN$27*(225-$NR$27+1)*($NS$27-225+1)/$NU$27,$NN$27/$NT$27)),0)</f>
        <v/>
      </c>
      <c r="HV27" s="402">
        <f>IF(AND(226&gt;=$NR$27,226&lt;=$NS$27),IF($NP$27="Single_Point",IF(226=$NR$27,$NN$27,0),IF($NP$27="Bell_Curve",$NN$27*(226-$NR$27+1)*($NS$27-226+1)/$NU$27,$NN$27/$NT$27)),0)</f>
        <v/>
      </c>
      <c r="HW27" s="402">
        <f>IF(AND(227&gt;=$NR$27,227&lt;=$NS$27),IF($NP$27="Single_Point",IF(227=$NR$27,$NN$27,0),IF($NP$27="Bell_Curve",$NN$27*(227-$NR$27+1)*($NS$27-227+1)/$NU$27,$NN$27/$NT$27)),0)</f>
        <v/>
      </c>
      <c r="HX27" s="402">
        <f>IF(AND(228&gt;=$NR$27,228&lt;=$NS$27),IF($NP$27="Single_Point",IF(228=$NR$27,$NN$27,0),IF($NP$27="Bell_Curve",$NN$27*(228-$NR$27+1)*($NS$27-228+1)/$NU$27,$NN$27/$NT$27)),0)</f>
        <v/>
      </c>
      <c r="HY27" s="402">
        <f>IF(AND(229&gt;=$NR$27,229&lt;=$NS$27),IF($NP$27="Single_Point",IF(229=$NR$27,$NN$27,0),IF($NP$27="Bell_Curve",$NN$27*(229-$NR$27+1)*($NS$27-229+1)/$NU$27,$NN$27/$NT$27)),0)</f>
        <v/>
      </c>
      <c r="HZ27" s="402">
        <f>IF(AND(230&gt;=$NR$27,230&lt;=$NS$27),IF($NP$27="Single_Point",IF(230=$NR$27,$NN$27,0),IF($NP$27="Bell_Curve",$NN$27*(230-$NR$27+1)*($NS$27-230+1)/$NU$27,$NN$27/$NT$27)),0)</f>
        <v/>
      </c>
      <c r="IA27" s="402">
        <f>IF(AND(231&gt;=$NR$27,231&lt;=$NS$27),IF($NP$27="Single_Point",IF(231=$NR$27,$NN$27,0),IF($NP$27="Bell_Curve",$NN$27*(231-$NR$27+1)*($NS$27-231+1)/$NU$27,$NN$27/$NT$27)),0)</f>
        <v/>
      </c>
      <c r="IB27" s="402">
        <f>IF(AND(232&gt;=$NR$27,232&lt;=$NS$27),IF($NP$27="Single_Point",IF(232=$NR$27,$NN$27,0),IF($NP$27="Bell_Curve",$NN$27*(232-$NR$27+1)*($NS$27-232+1)/$NU$27,$NN$27/$NT$27)),0)</f>
        <v/>
      </c>
      <c r="IC27" s="402">
        <f>IF(AND(233&gt;=$NR$27,233&lt;=$NS$27),IF($NP$27="Single_Point",IF(233=$NR$27,$NN$27,0),IF($NP$27="Bell_Curve",$NN$27*(233-$NR$27+1)*($NS$27-233+1)/$NU$27,$NN$27/$NT$27)),0)</f>
        <v/>
      </c>
      <c r="ID27" s="402">
        <f>IF(AND(234&gt;=$NR$27,234&lt;=$NS$27),IF($NP$27="Single_Point",IF(234=$NR$27,$NN$27,0),IF($NP$27="Bell_Curve",$NN$27*(234-$NR$27+1)*($NS$27-234+1)/$NU$27,$NN$27/$NT$27)),0)</f>
        <v/>
      </c>
      <c r="IE27" s="402">
        <f>IF(AND(235&gt;=$NR$27,235&lt;=$NS$27),IF($NP$27="Single_Point",IF(235=$NR$27,$NN$27,0),IF($NP$27="Bell_Curve",$NN$27*(235-$NR$27+1)*($NS$27-235+1)/$NU$27,$NN$27/$NT$27)),0)</f>
        <v/>
      </c>
      <c r="IF27" s="402">
        <f>IF(AND(236&gt;=$NR$27,236&lt;=$NS$27),IF($NP$27="Single_Point",IF(236=$NR$27,$NN$27,0),IF($NP$27="Bell_Curve",$NN$27*(236-$NR$27+1)*($NS$27-236+1)/$NU$27,$NN$27/$NT$27)),0)</f>
        <v/>
      </c>
      <c r="IG27" s="402">
        <f>IF(AND(237&gt;=$NR$27,237&lt;=$NS$27),IF($NP$27="Single_Point",IF(237=$NR$27,$NN$27,0),IF($NP$27="Bell_Curve",$NN$27*(237-$NR$27+1)*($NS$27-237+1)/$NU$27,$NN$27/$NT$27)),0)</f>
        <v/>
      </c>
      <c r="IH27" s="402">
        <f>IF(AND(238&gt;=$NR$27,238&lt;=$NS$27),IF($NP$27="Single_Point",IF(238=$NR$27,$NN$27,0),IF($NP$27="Bell_Curve",$NN$27*(238-$NR$27+1)*($NS$27-238+1)/$NU$27,$NN$27/$NT$27)),0)</f>
        <v/>
      </c>
      <c r="II27" s="402">
        <f>IF(AND(239&gt;=$NR$27,239&lt;=$NS$27),IF($NP$27="Single_Point",IF(239=$NR$27,$NN$27,0),IF($NP$27="Bell_Curve",$NN$27*(239-$NR$27+1)*($NS$27-239+1)/$NU$27,$NN$27/$NT$27)),0)</f>
        <v/>
      </c>
      <c r="IJ27" s="402">
        <f>IF(AND(240&gt;=$NR$27,240&lt;=$NS$27),IF($NP$27="Single_Point",IF(240=$NR$27,$NN$27,0),IF($NP$27="Bell_Curve",$NN$27*(240-$NR$27+1)*($NS$27-240+1)/$NU$27,$NN$27/$NT$27)),0)</f>
        <v/>
      </c>
      <c r="IK27" s="402">
        <f>IF(AND(241&gt;=$NR$27,241&lt;=$NS$27),IF($NP$27="Single_Point",IF(241=$NR$27,$NN$27,0),IF($NP$27="Bell_Curve",$NN$27*(241-$NR$27+1)*($NS$27-241+1)/$NU$27,$NN$27/$NT$27)),0)</f>
        <v/>
      </c>
      <c r="IL27" s="402">
        <f>IF(AND(242&gt;=$NR$27,242&lt;=$NS$27),IF($NP$27="Single_Point",IF(242=$NR$27,$NN$27,0),IF($NP$27="Bell_Curve",$NN$27*(242-$NR$27+1)*($NS$27-242+1)/$NU$27,$NN$27/$NT$27)),0)</f>
        <v/>
      </c>
      <c r="IM27" s="402">
        <f>IF(AND(243&gt;=$NR$27,243&lt;=$NS$27),IF($NP$27="Single_Point",IF(243=$NR$27,$NN$27,0),IF($NP$27="Bell_Curve",$NN$27*(243-$NR$27+1)*($NS$27-243+1)/$NU$27,$NN$27/$NT$27)),0)</f>
        <v/>
      </c>
      <c r="IN27" s="402">
        <f>IF(AND(244&gt;=$NR$27,244&lt;=$NS$27),IF($NP$27="Single_Point",IF(244=$NR$27,$NN$27,0),IF($NP$27="Bell_Curve",$NN$27*(244-$NR$27+1)*($NS$27-244+1)/$NU$27,$NN$27/$NT$27)),0)</f>
        <v/>
      </c>
      <c r="IO27" s="402">
        <f>IF(AND(245&gt;=$NR$27,245&lt;=$NS$27),IF($NP$27="Single_Point",IF(245=$NR$27,$NN$27,0),IF($NP$27="Bell_Curve",$NN$27*(245-$NR$27+1)*($NS$27-245+1)/$NU$27,$NN$27/$NT$27)),0)</f>
        <v/>
      </c>
      <c r="IP27" s="402">
        <f>IF(AND(246&gt;=$NR$27,246&lt;=$NS$27),IF($NP$27="Single_Point",IF(246=$NR$27,$NN$27,0),IF($NP$27="Bell_Curve",$NN$27*(246-$NR$27+1)*($NS$27-246+1)/$NU$27,$NN$27/$NT$27)),0)</f>
        <v/>
      </c>
      <c r="IQ27" s="402">
        <f>IF(AND(247&gt;=$NR$27,247&lt;=$NS$27),IF($NP$27="Single_Point",IF(247=$NR$27,$NN$27,0),IF($NP$27="Bell_Curve",$NN$27*(247-$NR$27+1)*($NS$27-247+1)/$NU$27,$NN$27/$NT$27)),0)</f>
        <v/>
      </c>
      <c r="IR27" s="402">
        <f>IF(AND(248&gt;=$NR$27,248&lt;=$NS$27),IF($NP$27="Single_Point",IF(248=$NR$27,$NN$27,0),IF($NP$27="Bell_Curve",$NN$27*(248-$NR$27+1)*($NS$27-248+1)/$NU$27,$NN$27/$NT$27)),0)</f>
        <v/>
      </c>
      <c r="IS27" s="402">
        <f>IF(AND(249&gt;=$NR$27,249&lt;=$NS$27),IF($NP$27="Single_Point",IF(249=$NR$27,$NN$27,0),IF($NP$27="Bell_Curve",$NN$27*(249-$NR$27+1)*($NS$27-249+1)/$NU$27,$NN$27/$NT$27)),0)</f>
        <v/>
      </c>
      <c r="IT27" s="402">
        <f>IF(AND(250&gt;=$NR$27,250&lt;=$NS$27),IF($NP$27="Single_Point",IF(250=$NR$27,$NN$27,0),IF($NP$27="Bell_Curve",$NN$27*(250-$NR$27+1)*($NS$27-250+1)/$NU$27,$NN$27/$NT$27)),0)</f>
        <v/>
      </c>
      <c r="IU27" s="402">
        <f>IF(AND(251&gt;=$NR$27,251&lt;=$NS$27),IF($NP$27="Single_Point",IF(251=$NR$27,$NN$27,0),IF($NP$27="Bell_Curve",$NN$27*(251-$NR$27+1)*($NS$27-251+1)/$NU$27,$NN$27/$NT$27)),0)</f>
        <v/>
      </c>
      <c r="IV27" s="402">
        <f>IF(AND(252&gt;=$NR$27,252&lt;=$NS$27),IF($NP$27="Single_Point",IF(252=$NR$27,$NN$27,0),IF($NP$27="Bell_Curve",$NN$27*(252-$NR$27+1)*($NS$27-252+1)/$NU$27,$NN$27/$NT$27)),0)</f>
        <v/>
      </c>
      <c r="IW27" s="402">
        <f>IF(AND(253&gt;=$NR$27,253&lt;=$NS$27),IF($NP$27="Single_Point",IF(253=$NR$27,$NN$27,0),IF($NP$27="Bell_Curve",$NN$27*(253-$NR$27+1)*($NS$27-253+1)/$NU$27,$NN$27/$NT$27)),0)</f>
        <v/>
      </c>
      <c r="IX27" s="402">
        <f>IF(AND(254&gt;=$NR$27,254&lt;=$NS$27),IF($NP$27="Single_Point",IF(254=$NR$27,$NN$27,0),IF($NP$27="Bell_Curve",$NN$27*(254-$NR$27+1)*($NS$27-254+1)/$NU$27,$NN$27/$NT$27)),0)</f>
        <v/>
      </c>
      <c r="IY27" s="402">
        <f>IF(AND(255&gt;=$NR$27,255&lt;=$NS$27),IF($NP$27="Single_Point",IF(255=$NR$27,$NN$27,0),IF($NP$27="Bell_Curve",$NN$27*(255-$NR$27+1)*($NS$27-255+1)/$NU$27,$NN$27/$NT$27)),0)</f>
        <v/>
      </c>
      <c r="IZ27" s="402">
        <f>IF(AND(256&gt;=$NR$27,256&lt;=$NS$27),IF($NP$27="Single_Point",IF(256=$NR$27,$NN$27,0),IF($NP$27="Bell_Curve",$NN$27*(256-$NR$27+1)*($NS$27-256+1)/$NU$27,$NN$27/$NT$27)),0)</f>
        <v/>
      </c>
      <c r="JA27" s="402">
        <f>IF(AND(257&gt;=$NR$27,257&lt;=$NS$27),IF($NP$27="Single_Point",IF(257=$NR$27,$NN$27,0),IF($NP$27="Bell_Curve",$NN$27*(257-$NR$27+1)*($NS$27-257+1)/$NU$27,$NN$27/$NT$27)),0)</f>
        <v/>
      </c>
      <c r="JB27" s="402">
        <f>IF(AND(258&gt;=$NR$27,258&lt;=$NS$27),IF($NP$27="Single_Point",IF(258=$NR$27,$NN$27,0),IF($NP$27="Bell_Curve",$NN$27*(258-$NR$27+1)*($NS$27-258+1)/$NU$27,$NN$27/$NT$27)),0)</f>
        <v/>
      </c>
      <c r="JC27" s="402">
        <f>IF(AND(259&gt;=$NR$27,259&lt;=$NS$27),IF($NP$27="Single_Point",IF(259=$NR$27,$NN$27,0),IF($NP$27="Bell_Curve",$NN$27*(259-$NR$27+1)*($NS$27-259+1)/$NU$27,$NN$27/$NT$27)),0)</f>
        <v/>
      </c>
      <c r="JD27" s="402">
        <f>IF(AND(260&gt;=$NR$27,260&lt;=$NS$27),IF($NP$27="Single_Point",IF(260=$NR$27,$NN$27,0),IF($NP$27="Bell_Curve",$NN$27*(260-$NR$27+1)*($NS$27-260+1)/$NU$27,$NN$27/$NT$27)),0)</f>
        <v/>
      </c>
      <c r="JE27" s="402">
        <f>IF(AND(261&gt;=$NR$27,261&lt;=$NS$27),IF($NP$27="Single_Point",IF(261=$NR$27,$NN$27,0),IF($NP$27="Bell_Curve",$NN$27*(261-$NR$27+1)*($NS$27-261+1)/$NU$27,$NN$27/$NT$27)),0)</f>
        <v/>
      </c>
      <c r="JF27" s="402">
        <f>IF(AND(262&gt;=$NR$27,262&lt;=$NS$27),IF($NP$27="Single_Point",IF(262=$NR$27,$NN$27,0),IF($NP$27="Bell_Curve",$NN$27*(262-$NR$27+1)*($NS$27-262+1)/$NU$27,$NN$27/$NT$27)),0)</f>
        <v/>
      </c>
      <c r="JG27" s="402">
        <f>IF(AND(263&gt;=$NR$27,263&lt;=$NS$27),IF($NP$27="Single_Point",IF(263=$NR$27,$NN$27,0),IF($NP$27="Bell_Curve",$NN$27*(263-$NR$27+1)*($NS$27-263+1)/$NU$27,$NN$27/$NT$27)),0)</f>
        <v/>
      </c>
      <c r="JH27" s="402">
        <f>IF(AND(264&gt;=$NR$27,264&lt;=$NS$27),IF($NP$27="Single_Point",IF(264=$NR$27,$NN$27,0),IF($NP$27="Bell_Curve",$NN$27*(264-$NR$27+1)*($NS$27-264+1)/$NU$27,$NN$27/$NT$27)),0)</f>
        <v/>
      </c>
      <c r="JI27" s="402">
        <f>IF(AND(265&gt;=$NR$27,265&lt;=$NS$27),IF($NP$27="Single_Point",IF(265=$NR$27,$NN$27,0),IF($NP$27="Bell_Curve",$NN$27*(265-$NR$27+1)*($NS$27-265+1)/$NU$27,$NN$27/$NT$27)),0)</f>
        <v/>
      </c>
      <c r="JJ27" s="402">
        <f>IF(AND(266&gt;=$NR$27,266&lt;=$NS$27),IF($NP$27="Single_Point",IF(266=$NR$27,$NN$27,0),IF($NP$27="Bell_Curve",$NN$27*(266-$NR$27+1)*($NS$27-266+1)/$NU$27,$NN$27/$NT$27)),0)</f>
        <v/>
      </c>
      <c r="JK27" s="402">
        <f>IF(AND(267&gt;=$NR$27,267&lt;=$NS$27),IF($NP$27="Single_Point",IF(267=$NR$27,$NN$27,0),IF($NP$27="Bell_Curve",$NN$27*(267-$NR$27+1)*($NS$27-267+1)/$NU$27,$NN$27/$NT$27)),0)</f>
        <v/>
      </c>
      <c r="JL27" s="402">
        <f>IF(AND(268&gt;=$NR$27,268&lt;=$NS$27),IF($NP$27="Single_Point",IF(268=$NR$27,$NN$27,0),IF($NP$27="Bell_Curve",$NN$27*(268-$NR$27+1)*($NS$27-268+1)/$NU$27,$NN$27/$NT$27)),0)</f>
        <v/>
      </c>
      <c r="JM27" s="402">
        <f>IF(AND(269&gt;=$NR$27,269&lt;=$NS$27),IF($NP$27="Single_Point",IF(269=$NR$27,$NN$27,0),IF($NP$27="Bell_Curve",$NN$27*(269-$NR$27+1)*($NS$27-269+1)/$NU$27,$NN$27/$NT$27)),0)</f>
        <v/>
      </c>
      <c r="JN27" s="402">
        <f>IF(AND(270&gt;=$NR$27,270&lt;=$NS$27),IF($NP$27="Single_Point",IF(270=$NR$27,$NN$27,0),IF($NP$27="Bell_Curve",$NN$27*(270-$NR$27+1)*($NS$27-270+1)/$NU$27,$NN$27/$NT$27)),0)</f>
        <v/>
      </c>
      <c r="JO27" s="402">
        <f>IF(AND(271&gt;=$NR$27,271&lt;=$NS$27),IF($NP$27="Single_Point",IF(271=$NR$27,$NN$27,0),IF($NP$27="Bell_Curve",$NN$27*(271-$NR$27+1)*($NS$27-271+1)/$NU$27,$NN$27/$NT$27)),0)</f>
        <v/>
      </c>
      <c r="JP27" s="402">
        <f>IF(AND(272&gt;=$NR$27,272&lt;=$NS$27),IF($NP$27="Single_Point",IF(272=$NR$27,$NN$27,0),IF($NP$27="Bell_Curve",$NN$27*(272-$NR$27+1)*($NS$27-272+1)/$NU$27,$NN$27/$NT$27)),0)</f>
        <v/>
      </c>
      <c r="JQ27" s="402">
        <f>IF(AND(273&gt;=$NR$27,273&lt;=$NS$27),IF($NP$27="Single_Point",IF(273=$NR$27,$NN$27,0),IF($NP$27="Bell_Curve",$NN$27*(273-$NR$27+1)*($NS$27-273+1)/$NU$27,$NN$27/$NT$27)),0)</f>
        <v/>
      </c>
      <c r="JR27" s="402">
        <f>IF(AND(274&gt;=$NR$27,274&lt;=$NS$27),IF($NP$27="Single_Point",IF(274=$NR$27,$NN$27,0),IF($NP$27="Bell_Curve",$NN$27*(274-$NR$27+1)*($NS$27-274+1)/$NU$27,$NN$27/$NT$27)),0)</f>
        <v/>
      </c>
      <c r="JS27" s="402">
        <f>IF(AND(275&gt;=$NR$27,275&lt;=$NS$27),IF($NP$27="Single_Point",IF(275=$NR$27,$NN$27,0),IF($NP$27="Bell_Curve",$NN$27*(275-$NR$27+1)*($NS$27-275+1)/$NU$27,$NN$27/$NT$27)),0)</f>
        <v/>
      </c>
      <c r="JT27" s="402">
        <f>IF(AND(276&gt;=$NR$27,276&lt;=$NS$27),IF($NP$27="Single_Point",IF(276=$NR$27,$NN$27,0),IF($NP$27="Bell_Curve",$NN$27*(276-$NR$27+1)*($NS$27-276+1)/$NU$27,$NN$27/$NT$27)),0)</f>
        <v/>
      </c>
      <c r="JU27" s="402">
        <f>IF(AND(277&gt;=$NR$27,277&lt;=$NS$27),IF($NP$27="Single_Point",IF(277=$NR$27,$NN$27,0),IF($NP$27="Bell_Curve",$NN$27*(277-$NR$27+1)*($NS$27-277+1)/$NU$27,$NN$27/$NT$27)),0)</f>
        <v/>
      </c>
      <c r="JV27" s="402">
        <f>IF(AND(278&gt;=$NR$27,278&lt;=$NS$27),IF($NP$27="Single_Point",IF(278=$NR$27,$NN$27,0),IF($NP$27="Bell_Curve",$NN$27*(278-$NR$27+1)*($NS$27-278+1)/$NU$27,$NN$27/$NT$27)),0)</f>
        <v/>
      </c>
      <c r="JW27" s="402">
        <f>IF(AND(279&gt;=$NR$27,279&lt;=$NS$27),IF($NP$27="Single_Point",IF(279=$NR$27,$NN$27,0),IF($NP$27="Bell_Curve",$NN$27*(279-$NR$27+1)*($NS$27-279+1)/$NU$27,$NN$27/$NT$27)),0)</f>
        <v/>
      </c>
      <c r="JX27" s="402">
        <f>IF(AND(280&gt;=$NR$27,280&lt;=$NS$27),IF($NP$27="Single_Point",IF(280=$NR$27,$NN$27,0),IF($NP$27="Bell_Curve",$NN$27*(280-$NR$27+1)*($NS$27-280+1)/$NU$27,$NN$27/$NT$27)),0)</f>
        <v/>
      </c>
      <c r="JY27" s="402">
        <f>IF(AND(281&gt;=$NR$27,281&lt;=$NS$27),IF($NP$27="Single_Point",IF(281=$NR$27,$NN$27,0),IF($NP$27="Bell_Curve",$NN$27*(281-$NR$27+1)*($NS$27-281+1)/$NU$27,$NN$27/$NT$27)),0)</f>
        <v/>
      </c>
      <c r="JZ27" s="402">
        <f>IF(AND(282&gt;=$NR$27,282&lt;=$NS$27),IF($NP$27="Single_Point",IF(282=$NR$27,$NN$27,0),IF($NP$27="Bell_Curve",$NN$27*(282-$NR$27+1)*($NS$27-282+1)/$NU$27,$NN$27/$NT$27)),0)</f>
        <v/>
      </c>
      <c r="KA27" s="402">
        <f>IF(AND(283&gt;=$NR$27,283&lt;=$NS$27),IF($NP$27="Single_Point",IF(283=$NR$27,$NN$27,0),IF($NP$27="Bell_Curve",$NN$27*(283-$NR$27+1)*($NS$27-283+1)/$NU$27,$NN$27/$NT$27)),0)</f>
        <v/>
      </c>
      <c r="KB27" s="402">
        <f>IF(AND(284&gt;=$NR$27,284&lt;=$NS$27),IF($NP$27="Single_Point",IF(284=$NR$27,$NN$27,0),IF($NP$27="Bell_Curve",$NN$27*(284-$NR$27+1)*($NS$27-284+1)/$NU$27,$NN$27/$NT$27)),0)</f>
        <v/>
      </c>
      <c r="KC27" s="402">
        <f>IF(AND(285&gt;=$NR$27,285&lt;=$NS$27),IF($NP$27="Single_Point",IF(285=$NR$27,$NN$27,0),IF($NP$27="Bell_Curve",$NN$27*(285-$NR$27+1)*($NS$27-285+1)/$NU$27,$NN$27/$NT$27)),0)</f>
        <v/>
      </c>
      <c r="KD27" s="402">
        <f>IF(AND(286&gt;=$NR$27,286&lt;=$NS$27),IF($NP$27="Single_Point",IF(286=$NR$27,$NN$27,0),IF($NP$27="Bell_Curve",$NN$27*(286-$NR$27+1)*($NS$27-286+1)/$NU$27,$NN$27/$NT$27)),0)</f>
        <v/>
      </c>
      <c r="KE27" s="402">
        <f>IF(AND(287&gt;=$NR$27,287&lt;=$NS$27),IF($NP$27="Single_Point",IF(287=$NR$27,$NN$27,0),IF($NP$27="Bell_Curve",$NN$27*(287-$NR$27+1)*($NS$27-287+1)/$NU$27,$NN$27/$NT$27)),0)</f>
        <v/>
      </c>
      <c r="KF27" s="402">
        <f>IF(AND(288&gt;=$NR$27,288&lt;=$NS$27),IF($NP$27="Single_Point",IF(288=$NR$27,$NN$27,0),IF($NP$27="Bell_Curve",$NN$27*(288-$NR$27+1)*($NS$27-288+1)/$NU$27,$NN$27/$NT$27)),0)</f>
        <v/>
      </c>
      <c r="KG27" s="402">
        <f>IF(AND(289&gt;=$NR$27,289&lt;=$NS$27),IF($NP$27="Single_Point",IF(289=$NR$27,$NN$27,0),IF($NP$27="Bell_Curve",$NN$27*(289-$NR$27+1)*($NS$27-289+1)/$NU$27,$NN$27/$NT$27)),0)</f>
        <v/>
      </c>
      <c r="KH27" s="402">
        <f>IF(AND(290&gt;=$NR$27,290&lt;=$NS$27),IF($NP$27="Single_Point",IF(290=$NR$27,$NN$27,0),IF($NP$27="Bell_Curve",$NN$27*(290-$NR$27+1)*($NS$27-290+1)/$NU$27,$NN$27/$NT$27)),0)</f>
        <v/>
      </c>
      <c r="KI27" s="402">
        <f>IF(AND(291&gt;=$NR$27,291&lt;=$NS$27),IF($NP$27="Single_Point",IF(291=$NR$27,$NN$27,0),IF($NP$27="Bell_Curve",$NN$27*(291-$NR$27+1)*($NS$27-291+1)/$NU$27,$NN$27/$NT$27)),0)</f>
        <v/>
      </c>
      <c r="KJ27" s="402">
        <f>IF(AND(292&gt;=$NR$27,292&lt;=$NS$27),IF($NP$27="Single_Point",IF(292=$NR$27,$NN$27,0),IF($NP$27="Bell_Curve",$NN$27*(292-$NR$27+1)*($NS$27-292+1)/$NU$27,$NN$27/$NT$27)),0)</f>
        <v/>
      </c>
      <c r="KK27" s="402">
        <f>IF(AND(293&gt;=$NR$27,293&lt;=$NS$27),IF($NP$27="Single_Point",IF(293=$NR$27,$NN$27,0),IF($NP$27="Bell_Curve",$NN$27*(293-$NR$27+1)*($NS$27-293+1)/$NU$27,$NN$27/$NT$27)),0)</f>
        <v/>
      </c>
      <c r="KL27" s="402">
        <f>IF(AND(294&gt;=$NR$27,294&lt;=$NS$27),IF($NP$27="Single_Point",IF(294=$NR$27,$NN$27,0),IF($NP$27="Bell_Curve",$NN$27*(294-$NR$27+1)*($NS$27-294+1)/$NU$27,$NN$27/$NT$27)),0)</f>
        <v/>
      </c>
      <c r="KM27" s="402">
        <f>IF(AND(295&gt;=$NR$27,295&lt;=$NS$27),IF($NP$27="Single_Point",IF(295=$NR$27,$NN$27,0),IF($NP$27="Bell_Curve",$NN$27*(295-$NR$27+1)*($NS$27-295+1)/$NU$27,$NN$27/$NT$27)),0)</f>
        <v/>
      </c>
      <c r="KN27" s="402">
        <f>IF(AND(296&gt;=$NR$27,296&lt;=$NS$27),IF($NP$27="Single_Point",IF(296=$NR$27,$NN$27,0),IF($NP$27="Bell_Curve",$NN$27*(296-$NR$27+1)*($NS$27-296+1)/$NU$27,$NN$27/$NT$27)),0)</f>
        <v/>
      </c>
      <c r="KO27" s="402">
        <f>IF(AND(297&gt;=$NR$27,297&lt;=$NS$27),IF($NP$27="Single_Point",IF(297=$NR$27,$NN$27,0),IF($NP$27="Bell_Curve",$NN$27*(297-$NR$27+1)*($NS$27-297+1)/$NU$27,$NN$27/$NT$27)),0)</f>
        <v/>
      </c>
      <c r="KP27" s="402">
        <f>IF(AND(298&gt;=$NR$27,298&lt;=$NS$27),IF($NP$27="Single_Point",IF(298=$NR$27,$NN$27,0),IF($NP$27="Bell_Curve",$NN$27*(298-$NR$27+1)*($NS$27-298+1)/$NU$27,$NN$27/$NT$27)),0)</f>
        <v/>
      </c>
      <c r="KQ27" s="402">
        <f>IF(AND(299&gt;=$NR$27,299&lt;=$NS$27),IF($NP$27="Single_Point",IF(299=$NR$27,$NN$27,0),IF($NP$27="Bell_Curve",$NN$27*(299-$NR$27+1)*($NS$27-299+1)/$NU$27,$NN$27/$NT$27)),0)</f>
        <v/>
      </c>
      <c r="KR27" s="402">
        <f>IF(AND(300&gt;=$NR$27,300&lt;=$NS$27),IF($NP$27="Single_Point",IF(300=$NR$27,$NN$27,0),IF($NP$27="Bell_Curve",$NN$27*(300-$NR$27+1)*($NS$27-300+1)/$NU$27,$NN$27/$NT$27)),0)</f>
        <v/>
      </c>
      <c r="KS27" s="402">
        <f>IF(AND(301&gt;=$NR$27,301&lt;=$NS$27),IF($NP$27="Single_Point",IF(301=$NR$27,$NN$27,0),IF($NP$27="Bell_Curve",$NN$27*(301-$NR$27+1)*($NS$27-301+1)/$NU$27,$NN$27/$NT$27)),0)</f>
        <v/>
      </c>
      <c r="KT27" s="402">
        <f>IF(AND(302&gt;=$NR$27,302&lt;=$NS$27),IF($NP$27="Single_Point",IF(302=$NR$27,$NN$27,0),IF($NP$27="Bell_Curve",$NN$27*(302-$NR$27+1)*($NS$27-302+1)/$NU$27,$NN$27/$NT$27)),0)</f>
        <v/>
      </c>
      <c r="KU27" s="402">
        <f>IF(AND(303&gt;=$NR$27,303&lt;=$NS$27),IF($NP$27="Single_Point",IF(303=$NR$27,$NN$27,0),IF($NP$27="Bell_Curve",$NN$27*(303-$NR$27+1)*($NS$27-303+1)/$NU$27,$NN$27/$NT$27)),0)</f>
        <v/>
      </c>
      <c r="KV27" s="402">
        <f>IF(AND(304&gt;=$NR$27,304&lt;=$NS$27),IF($NP$27="Single_Point",IF(304=$NR$27,$NN$27,0),IF($NP$27="Bell_Curve",$NN$27*(304-$NR$27+1)*($NS$27-304+1)/$NU$27,$NN$27/$NT$27)),0)</f>
        <v/>
      </c>
      <c r="KW27" s="402">
        <f>IF(AND(305&gt;=$NR$27,305&lt;=$NS$27),IF($NP$27="Single_Point",IF(305=$NR$27,$NN$27,0),IF($NP$27="Bell_Curve",$NN$27*(305-$NR$27+1)*($NS$27-305+1)/$NU$27,$NN$27/$NT$27)),0)</f>
        <v/>
      </c>
      <c r="KX27" s="402">
        <f>IF(AND(306&gt;=$NR$27,306&lt;=$NS$27),IF($NP$27="Single_Point",IF(306=$NR$27,$NN$27,0),IF($NP$27="Bell_Curve",$NN$27*(306-$NR$27+1)*($NS$27-306+1)/$NU$27,$NN$27/$NT$27)),0)</f>
        <v/>
      </c>
      <c r="KY27" s="402">
        <f>IF(AND(307&gt;=$NR$27,307&lt;=$NS$27),IF($NP$27="Single_Point",IF(307=$NR$27,$NN$27,0),IF($NP$27="Bell_Curve",$NN$27*(307-$NR$27+1)*($NS$27-307+1)/$NU$27,$NN$27/$NT$27)),0)</f>
        <v/>
      </c>
      <c r="KZ27" s="402">
        <f>IF(AND(308&gt;=$NR$27,308&lt;=$NS$27),IF($NP$27="Single_Point",IF(308=$NR$27,$NN$27,0),IF($NP$27="Bell_Curve",$NN$27*(308-$NR$27+1)*($NS$27-308+1)/$NU$27,$NN$27/$NT$27)),0)</f>
        <v/>
      </c>
      <c r="LA27" s="402">
        <f>IF(AND(309&gt;=$NR$27,309&lt;=$NS$27),IF($NP$27="Single_Point",IF(309=$NR$27,$NN$27,0),IF($NP$27="Bell_Curve",$NN$27*(309-$NR$27+1)*($NS$27-309+1)/$NU$27,$NN$27/$NT$27)),0)</f>
        <v/>
      </c>
      <c r="LB27" s="402">
        <f>IF(AND(310&gt;=$NR$27,310&lt;=$NS$27),IF($NP$27="Single_Point",IF(310=$NR$27,$NN$27,0),IF($NP$27="Bell_Curve",$NN$27*(310-$NR$27+1)*($NS$27-310+1)/$NU$27,$NN$27/$NT$27)),0)</f>
        <v/>
      </c>
      <c r="LC27" s="402">
        <f>IF(AND(311&gt;=$NR$27,311&lt;=$NS$27),IF($NP$27="Single_Point",IF(311=$NR$27,$NN$27,0),IF($NP$27="Bell_Curve",$NN$27*(311-$NR$27+1)*($NS$27-311+1)/$NU$27,$NN$27/$NT$27)),0)</f>
        <v/>
      </c>
      <c r="LD27" s="402">
        <f>IF(AND(312&gt;=$NR$27,312&lt;=$NS$27),IF($NP$27="Single_Point",IF(312=$NR$27,$NN$27,0),IF($NP$27="Bell_Curve",$NN$27*(312-$NR$27+1)*($NS$27-312+1)/$NU$27,$NN$27/$NT$27)),0)</f>
        <v/>
      </c>
      <c r="LE27" s="402">
        <f>IF(AND(313&gt;=$NR$27,313&lt;=$NS$27),IF($NP$27="Single_Point",IF(313=$NR$27,$NN$27,0),IF($NP$27="Bell_Curve",$NN$27*(313-$NR$27+1)*($NS$27-313+1)/$NU$27,$NN$27/$NT$27)),0)</f>
        <v/>
      </c>
      <c r="LF27" s="402">
        <f>IF(AND(314&gt;=$NR$27,314&lt;=$NS$27),IF($NP$27="Single_Point",IF(314=$NR$27,$NN$27,0),IF($NP$27="Bell_Curve",$NN$27*(314-$NR$27+1)*($NS$27-314+1)/$NU$27,$NN$27/$NT$27)),0)</f>
        <v/>
      </c>
      <c r="LG27" s="402">
        <f>IF(AND(315&gt;=$NR$27,315&lt;=$NS$27),IF($NP$27="Single_Point",IF(315=$NR$27,$NN$27,0),IF($NP$27="Bell_Curve",$NN$27*(315-$NR$27+1)*($NS$27-315+1)/$NU$27,$NN$27/$NT$27)),0)</f>
        <v/>
      </c>
      <c r="LH27" s="402">
        <f>IF(AND(316&gt;=$NR$27,316&lt;=$NS$27),IF($NP$27="Single_Point",IF(316=$NR$27,$NN$27,0),IF($NP$27="Bell_Curve",$NN$27*(316-$NR$27+1)*($NS$27-316+1)/$NU$27,$NN$27/$NT$27)),0)</f>
        <v/>
      </c>
      <c r="LI27" s="402">
        <f>IF(AND(317&gt;=$NR$27,317&lt;=$NS$27),IF($NP$27="Single_Point",IF(317=$NR$27,$NN$27,0),IF($NP$27="Bell_Curve",$NN$27*(317-$NR$27+1)*($NS$27-317+1)/$NU$27,$NN$27/$NT$27)),0)</f>
        <v/>
      </c>
      <c r="LJ27" s="402">
        <f>IF(AND(318&gt;=$NR$27,318&lt;=$NS$27),IF($NP$27="Single_Point",IF(318=$NR$27,$NN$27,0),IF($NP$27="Bell_Curve",$NN$27*(318-$NR$27+1)*($NS$27-318+1)/$NU$27,$NN$27/$NT$27)),0)</f>
        <v/>
      </c>
      <c r="LK27" s="402">
        <f>IF(AND(319&gt;=$NR$27,319&lt;=$NS$27),IF($NP$27="Single_Point",IF(319=$NR$27,$NN$27,0),IF($NP$27="Bell_Curve",$NN$27*(319-$NR$27+1)*($NS$27-319+1)/$NU$27,$NN$27/$NT$27)),0)</f>
        <v/>
      </c>
      <c r="LL27" s="402">
        <f>IF(AND(320&gt;=$NR$27,320&lt;=$NS$27),IF($NP$27="Single_Point",IF(320=$NR$27,$NN$27,0),IF($NP$27="Bell_Curve",$NN$27*(320-$NR$27+1)*($NS$27-320+1)/$NU$27,$NN$27/$NT$27)),0)</f>
        <v/>
      </c>
      <c r="LM27" s="402">
        <f>IF(AND(321&gt;=$NR$27,321&lt;=$NS$27),IF($NP$27="Single_Point",IF(321=$NR$27,$NN$27,0),IF($NP$27="Bell_Curve",$NN$27*(321-$NR$27+1)*($NS$27-321+1)/$NU$27,$NN$27/$NT$27)),0)</f>
        <v/>
      </c>
      <c r="LN27" s="402">
        <f>IF(AND(322&gt;=$NR$27,322&lt;=$NS$27),IF($NP$27="Single_Point",IF(322=$NR$27,$NN$27,0),IF($NP$27="Bell_Curve",$NN$27*(322-$NR$27+1)*($NS$27-322+1)/$NU$27,$NN$27/$NT$27)),0)</f>
        <v/>
      </c>
      <c r="LO27" s="402">
        <f>IF(AND(323&gt;=$NR$27,323&lt;=$NS$27),IF($NP$27="Single_Point",IF(323=$NR$27,$NN$27,0),IF($NP$27="Bell_Curve",$NN$27*(323-$NR$27+1)*($NS$27-323+1)/$NU$27,$NN$27/$NT$27)),0)</f>
        <v/>
      </c>
      <c r="LP27" s="402">
        <f>IF(AND(324&gt;=$NR$27,324&lt;=$NS$27),IF($NP$27="Single_Point",IF(324=$NR$27,$NN$27,0),IF($NP$27="Bell_Curve",$NN$27*(324-$NR$27+1)*($NS$27-324+1)/$NU$27,$NN$27/$NT$27)),0)</f>
        <v/>
      </c>
      <c r="LQ27" s="402">
        <f>IF(AND(325&gt;=$NR$27,325&lt;=$NS$27),IF($NP$27="Single_Point",IF(325=$NR$27,$NN$27,0),IF($NP$27="Bell_Curve",$NN$27*(325-$NR$27+1)*($NS$27-325+1)/$NU$27,$NN$27/$NT$27)),0)</f>
        <v/>
      </c>
      <c r="LR27" s="402">
        <f>IF(AND(326&gt;=$NR$27,326&lt;=$NS$27),IF($NP$27="Single_Point",IF(326=$NR$27,$NN$27,0),IF($NP$27="Bell_Curve",$NN$27*(326-$NR$27+1)*($NS$27-326+1)/$NU$27,$NN$27/$NT$27)),0)</f>
        <v/>
      </c>
      <c r="LS27" s="402">
        <f>IF(AND(327&gt;=$NR$27,327&lt;=$NS$27),IF($NP$27="Single_Point",IF(327=$NR$27,$NN$27,0),IF($NP$27="Bell_Curve",$NN$27*(327-$NR$27+1)*($NS$27-327+1)/$NU$27,$NN$27/$NT$27)),0)</f>
        <v/>
      </c>
      <c r="LT27" s="402">
        <f>IF(AND(328&gt;=$NR$27,328&lt;=$NS$27),IF($NP$27="Single_Point",IF(328=$NR$27,$NN$27,0),IF($NP$27="Bell_Curve",$NN$27*(328-$NR$27+1)*($NS$27-328+1)/$NU$27,$NN$27/$NT$27)),0)</f>
        <v/>
      </c>
      <c r="LU27" s="402">
        <f>IF(AND(329&gt;=$NR$27,329&lt;=$NS$27),IF($NP$27="Single_Point",IF(329=$NR$27,$NN$27,0),IF($NP$27="Bell_Curve",$NN$27*(329-$NR$27+1)*($NS$27-329+1)/$NU$27,$NN$27/$NT$27)),0)</f>
        <v/>
      </c>
      <c r="LV27" s="402">
        <f>IF(AND(330&gt;=$NR$27,330&lt;=$NS$27),IF($NP$27="Single_Point",IF(330=$NR$27,$NN$27,0),IF($NP$27="Bell_Curve",$NN$27*(330-$NR$27+1)*($NS$27-330+1)/$NU$27,$NN$27/$NT$27)),0)</f>
        <v/>
      </c>
      <c r="LW27" s="402">
        <f>IF(AND(331&gt;=$NR$27,331&lt;=$NS$27),IF($NP$27="Single_Point",IF(331=$NR$27,$NN$27,0),IF($NP$27="Bell_Curve",$NN$27*(331-$NR$27+1)*($NS$27-331+1)/$NU$27,$NN$27/$NT$27)),0)</f>
        <v/>
      </c>
      <c r="LX27" s="402">
        <f>IF(AND(332&gt;=$NR$27,332&lt;=$NS$27),IF($NP$27="Single_Point",IF(332=$NR$27,$NN$27,0),IF($NP$27="Bell_Curve",$NN$27*(332-$NR$27+1)*($NS$27-332+1)/$NU$27,$NN$27/$NT$27)),0)</f>
        <v/>
      </c>
      <c r="LY27" s="402">
        <f>IF(AND(333&gt;=$NR$27,333&lt;=$NS$27),IF($NP$27="Single_Point",IF(333=$NR$27,$NN$27,0),IF($NP$27="Bell_Curve",$NN$27*(333-$NR$27+1)*($NS$27-333+1)/$NU$27,$NN$27/$NT$27)),0)</f>
        <v/>
      </c>
      <c r="LZ27" s="402">
        <f>IF(AND(334&gt;=$NR$27,334&lt;=$NS$27),IF($NP$27="Single_Point",IF(334=$NR$27,$NN$27,0),IF($NP$27="Bell_Curve",$NN$27*(334-$NR$27+1)*($NS$27-334+1)/$NU$27,$NN$27/$NT$27)),0)</f>
        <v/>
      </c>
      <c r="MA27" s="402">
        <f>IF(AND(335&gt;=$NR$27,335&lt;=$NS$27),IF($NP$27="Single_Point",IF(335=$NR$27,$NN$27,0),IF($NP$27="Bell_Curve",$NN$27*(335-$NR$27+1)*($NS$27-335+1)/$NU$27,$NN$27/$NT$27)),0)</f>
        <v/>
      </c>
      <c r="MB27" s="402">
        <f>IF(AND(336&gt;=$NR$27,336&lt;=$NS$27),IF($NP$27="Single_Point",IF(336=$NR$27,$NN$27,0),IF($NP$27="Bell_Curve",$NN$27*(336-$NR$27+1)*($NS$27-336+1)/$NU$27,$NN$27/$NT$27)),0)</f>
        <v/>
      </c>
      <c r="MC27" s="402">
        <f>IF(AND(337&gt;=$NR$27,337&lt;=$NS$27),IF($NP$27="Single_Point",IF(337=$NR$27,$NN$27,0),IF($NP$27="Bell_Curve",$NN$27*(337-$NR$27+1)*($NS$27-337+1)/$NU$27,$NN$27/$NT$27)),0)</f>
        <v/>
      </c>
      <c r="MD27" s="402">
        <f>IF(AND(338&gt;=$NR$27,338&lt;=$NS$27),IF($NP$27="Single_Point",IF(338=$NR$27,$NN$27,0),IF($NP$27="Bell_Curve",$NN$27*(338-$NR$27+1)*($NS$27-338+1)/$NU$27,$NN$27/$NT$27)),0)</f>
        <v/>
      </c>
      <c r="ME27" s="402">
        <f>IF(AND(339&gt;=$NR$27,339&lt;=$NS$27),IF($NP$27="Single_Point",IF(339=$NR$27,$NN$27,0),IF($NP$27="Bell_Curve",$NN$27*(339-$NR$27+1)*($NS$27-339+1)/$NU$27,$NN$27/$NT$27)),0)</f>
        <v/>
      </c>
      <c r="MF27" s="402">
        <f>IF(AND(340&gt;=$NR$27,340&lt;=$NS$27),IF($NP$27="Single_Point",IF(340=$NR$27,$NN$27,0),IF($NP$27="Bell_Curve",$NN$27*(340-$NR$27+1)*($NS$27-340+1)/$NU$27,$NN$27/$NT$27)),0)</f>
        <v/>
      </c>
      <c r="MG27" s="402">
        <f>IF(AND(341&gt;=$NR$27,341&lt;=$NS$27),IF($NP$27="Single_Point",IF(341=$NR$27,$NN$27,0),IF($NP$27="Bell_Curve",$NN$27*(341-$NR$27+1)*($NS$27-341+1)/$NU$27,$NN$27/$NT$27)),0)</f>
        <v/>
      </c>
      <c r="MH27" s="402">
        <f>IF(AND(342&gt;=$NR$27,342&lt;=$NS$27),IF($NP$27="Single_Point",IF(342=$NR$27,$NN$27,0),IF($NP$27="Bell_Curve",$NN$27*(342-$NR$27+1)*($NS$27-342+1)/$NU$27,$NN$27/$NT$27)),0)</f>
        <v/>
      </c>
      <c r="MI27" s="402">
        <f>IF(AND(343&gt;=$NR$27,343&lt;=$NS$27),IF($NP$27="Single_Point",IF(343=$NR$27,$NN$27,0),IF($NP$27="Bell_Curve",$NN$27*(343-$NR$27+1)*($NS$27-343+1)/$NU$27,$NN$27/$NT$27)),0)</f>
        <v/>
      </c>
      <c r="MJ27" s="402">
        <f>IF(AND(344&gt;=$NR$27,344&lt;=$NS$27),IF($NP$27="Single_Point",IF(344=$NR$27,$NN$27,0),IF($NP$27="Bell_Curve",$NN$27*(344-$NR$27+1)*($NS$27-344+1)/$NU$27,$NN$27/$NT$27)),0)</f>
        <v/>
      </c>
      <c r="MK27" s="402">
        <f>IF(AND(345&gt;=$NR$27,345&lt;=$NS$27),IF($NP$27="Single_Point",IF(345=$NR$27,$NN$27,0),IF($NP$27="Bell_Curve",$NN$27*(345-$NR$27+1)*($NS$27-345+1)/$NU$27,$NN$27/$NT$27)),0)</f>
        <v/>
      </c>
      <c r="ML27" s="402">
        <f>IF(AND(346&gt;=$NR$27,346&lt;=$NS$27),IF($NP$27="Single_Point",IF(346=$NR$27,$NN$27,0),IF($NP$27="Bell_Curve",$NN$27*(346-$NR$27+1)*($NS$27-346+1)/$NU$27,$NN$27/$NT$27)),0)</f>
        <v/>
      </c>
      <c r="MM27" s="402">
        <f>IF(AND(347&gt;=$NR$27,347&lt;=$NS$27),IF($NP$27="Single_Point",IF(347=$NR$27,$NN$27,0),IF($NP$27="Bell_Curve",$NN$27*(347-$NR$27+1)*($NS$27-347+1)/$NU$27,$NN$27/$NT$27)),0)</f>
        <v/>
      </c>
      <c r="MN27" s="402">
        <f>IF(AND(348&gt;=$NR$27,348&lt;=$NS$27),IF($NP$27="Single_Point",IF(348=$NR$27,$NN$27,0),IF($NP$27="Bell_Curve",$NN$27*(348-$NR$27+1)*($NS$27-348+1)/$NU$27,$NN$27/$NT$27)),0)</f>
        <v/>
      </c>
      <c r="MO27" s="402">
        <f>IF(AND(349&gt;=$NR$27,349&lt;=$NS$27),IF($NP$27="Single_Point",IF(349=$NR$27,$NN$27,0),IF($NP$27="Bell_Curve",$NN$27*(349-$NR$27+1)*($NS$27-349+1)/$NU$27,$NN$27/$NT$27)),0)</f>
        <v/>
      </c>
      <c r="MP27" s="402">
        <f>IF(AND(350&gt;=$NR$27,350&lt;=$NS$27),IF($NP$27="Single_Point",IF(350=$NR$27,$NN$27,0),IF($NP$27="Bell_Curve",$NN$27*(350-$NR$27+1)*($NS$27-350+1)/$NU$27,$NN$27/$NT$27)),0)</f>
        <v/>
      </c>
      <c r="MQ27" s="402">
        <f>IF(AND(351&gt;=$NR$27,351&lt;=$NS$27),IF($NP$27="Single_Point",IF(351=$NR$27,$NN$27,0),IF($NP$27="Bell_Curve",$NN$27*(351-$NR$27+1)*($NS$27-351+1)/$NU$27,$NN$27/$NT$27)),0)</f>
        <v/>
      </c>
      <c r="MR27" s="402">
        <f>IF(AND(352&gt;=$NR$27,352&lt;=$NS$27),IF($NP$27="Single_Point",IF(352=$NR$27,$NN$27,0),IF($NP$27="Bell_Curve",$NN$27*(352-$NR$27+1)*($NS$27-352+1)/$NU$27,$NN$27/$NT$27)),0)</f>
        <v/>
      </c>
      <c r="MS27" s="402">
        <f>IF(AND(353&gt;=$NR$27,353&lt;=$NS$27),IF($NP$27="Single_Point",IF(353=$NR$27,$NN$27,0),IF($NP$27="Bell_Curve",$NN$27*(353-$NR$27+1)*($NS$27-353+1)/$NU$27,$NN$27/$NT$27)),0)</f>
        <v/>
      </c>
      <c r="MT27" s="402">
        <f>IF(AND(354&gt;=$NR$27,354&lt;=$NS$27),IF($NP$27="Single_Point",IF(354=$NR$27,$NN$27,0),IF($NP$27="Bell_Curve",$NN$27*(354-$NR$27+1)*($NS$27-354+1)/$NU$27,$NN$27/$NT$27)),0)</f>
        <v/>
      </c>
      <c r="MU27" s="402">
        <f>IF(AND(355&gt;=$NR$27,355&lt;=$NS$27),IF($NP$27="Single_Point",IF(355=$NR$27,$NN$27,0),IF($NP$27="Bell_Curve",$NN$27*(355-$NR$27+1)*($NS$27-355+1)/$NU$27,$NN$27/$NT$27)),0)</f>
        <v/>
      </c>
      <c r="MV27" s="402">
        <f>IF(AND(356&gt;=$NR$27,356&lt;=$NS$27),IF($NP$27="Single_Point",IF(356=$NR$27,$NN$27,0),IF($NP$27="Bell_Curve",$NN$27*(356-$NR$27+1)*($NS$27-356+1)/$NU$27,$NN$27/$NT$27)),0)</f>
        <v/>
      </c>
      <c r="MW27" s="402">
        <f>IF(AND(357&gt;=$NR$27,357&lt;=$NS$27),IF($NP$27="Single_Point",IF(357=$NR$27,$NN$27,0),IF($NP$27="Bell_Curve",$NN$27*(357-$NR$27+1)*($NS$27-357+1)/$NU$27,$NN$27/$NT$27)),0)</f>
        <v/>
      </c>
      <c r="MX27" s="402">
        <f>IF(AND(358&gt;=$NR$27,358&lt;=$NS$27),IF($NP$27="Single_Point",IF(358=$NR$27,$NN$27,0),IF($NP$27="Bell_Curve",$NN$27*(358-$NR$27+1)*($NS$27-358+1)/$NU$27,$NN$27/$NT$27)),0)</f>
        <v/>
      </c>
      <c r="MY27" s="402">
        <f>IF(AND(359&gt;=$NR$27,359&lt;=$NS$27),IF($NP$27="Single_Point",IF(359=$NR$27,$NN$27,0),IF($NP$27="Bell_Curve",$NN$27*(359-$NR$27+1)*($NS$27-359+1)/$NU$27,$NN$27/$NT$27)),0)</f>
        <v/>
      </c>
      <c r="MZ27" s="402">
        <f>IF(AND(360&gt;=$NR$27,360&lt;=$NS$27),IF($NP$27="Single_Point",IF(360=$NR$27,$NN$27,0),IF($NP$27="Bell_Curve",$NN$27*(360-$NR$27+1)*($NS$27-360+1)/$NU$27,$NN$27/$NT$27)),0)</f>
        <v/>
      </c>
      <c r="NA27" s="402">
        <f>IF(AND(361&gt;=$NR$27,361&lt;=$NS$27),IF($NP$27="Single_Point",IF(361=$NR$27,$NN$27,0),IF($NP$27="Bell_Curve",$NN$27*(361-$NR$27+1)*($NS$27-361+1)/$NU$27,$NN$27/$NT$27)),0)</f>
        <v/>
      </c>
      <c r="NB27" s="402">
        <f>IF(AND(362&gt;=$NR$27,362&lt;=$NS$27),IF($NP$27="Single_Point",IF(362=$NR$27,$NN$27,0),IF($NP$27="Bell_Curve",$NN$27*(362-$NR$27+1)*($NS$27-362+1)/$NU$27,$NN$27/$NT$27)),0)</f>
        <v/>
      </c>
      <c r="NC27" s="402">
        <f>IF(AND(363&gt;=$NR$27,363&lt;=$NS$27),IF($NP$27="Single_Point",IF(363=$NR$27,$NN$27,0),IF($NP$27="Bell_Curve",$NN$27*(363-$NR$27+1)*($NS$27-363+1)/$NU$27,$NN$27/$NT$27)),0)</f>
        <v/>
      </c>
      <c r="ND27" s="402">
        <f>IF(AND(364&gt;=$NR$27,364&lt;=$NS$27),IF($NP$27="Single_Point",IF(364=$NR$27,$NN$27,0),IF($NP$27="Bell_Curve",$NN$27*(364-$NR$27+1)*($NS$27-364+1)/$NU$27,$NN$27/$NT$27)),0)</f>
        <v/>
      </c>
      <c r="NE27" s="402">
        <f>IF(AND(365&gt;=$NR$27,365&lt;=$NS$27),IF($NP$27="Single_Point",IF(365=$NR$27,$NN$27,0),IF($NP$27="Bell_Curve",$NN$27*(365-$NR$27+1)*($NS$27-365+1)/$NU$27,$NN$27/$NT$27)),0)</f>
        <v/>
      </c>
      <c r="NF27" s="402">
        <f>IF(AND(366&gt;=$NR$27,366&lt;=$NS$27),IF($NP$27="Single_Point",IF(366=$NR$27,$NN$27,0),IF($NP$27="Bell_Curve",$NN$27*(366-$NR$27+1)*($NS$27-366+1)/$NU$27,$NN$27/$NT$27)),0)</f>
        <v/>
      </c>
      <c r="NG27" s="402">
        <f>IF(AND(367&gt;=$NR$27,367&lt;=$NS$27),IF($NP$27="Single_Point",IF(367=$NR$27,$NN$27,0),IF($NP$27="Bell_Curve",$NN$27*(367-$NR$27+1)*($NS$27-367+1)/$NU$27,$NN$27/$NT$27)),0)</f>
        <v/>
      </c>
      <c r="NH27" s="402">
        <f>IF(AND(368&gt;=$NR$27,368&lt;=$NS$27),IF($NP$27="Single_Point",IF(368=$NR$27,$NN$27,0),IF($NP$27="Bell_Curve",$NN$27*(368-$NR$27+1)*($NS$27-368+1)/$NU$27,$NN$27/$NT$27)),0)</f>
        <v/>
      </c>
      <c r="NI27" s="402">
        <f>IF(AND(369&gt;=$NR$27,369&lt;=$NS$27),IF($NP$27="Single_Point",IF(369=$NR$27,$NN$27,0),IF($NP$27="Bell_Curve",$NN$27*(369-$NR$27+1)*($NS$27-369+1)/$NU$27,$NN$27/$NT$27)),0)</f>
        <v/>
      </c>
      <c r="NJ27" s="402">
        <f>IF(AND(370&gt;=$NR$27,370&lt;=$NS$27),IF($NP$27="Single_Point",IF(370=$NR$27,$NN$27,0),IF($NP$27="Bell_Curve",$NN$27*(370-$NR$27+1)*($NS$27-370+1)/$NU$27,$NN$27/$NT$27)),0)</f>
        <v/>
      </c>
      <c r="NK27" s="402">
        <f>IF(AND(371&gt;=$NR$27,371&lt;=$NS$27),IF($NP$27="Single_Point",IF(371=$NR$27,$NN$27,0),IF($NP$27="Bell_Curve",$NN$27*(371-$NR$27+1)*($NS$27-371+1)/$NU$27,$NN$27/$NT$27)),0)</f>
        <v/>
      </c>
      <c r="NL27" s="426">
        <f>IF(AND(372&gt;=$NR$27,372&lt;=$NS$27),IF($NP$27="Single_Point",IF(372=$NR$27,$NN$27,0),IF($NP$27="Bell_Curve",$NN$27*(372-$NR$27+1)*($NS$27-372+1)/$NU$27,$NN$27/$NT$27)),0)</f>
        <v/>
      </c>
      <c r="NM27">
        <f>Budget!C26</f>
        <v/>
      </c>
      <c r="NN27" s="218">
        <f>Budget!J26</f>
        <v/>
      </c>
      <c r="NO27" s="144">
        <f>Budget!G26</f>
        <v/>
      </c>
      <c r="NP27" s="144">
        <f>Budget!H26</f>
        <v/>
      </c>
      <c r="NQ27" s="85">
        <f>Budget!I26</f>
        <v/>
      </c>
      <c r="NR27" s="248">
        <f>MAX(1,MIN(372,INDEX(MilestoneStart,MATCH(NO27,MilestoneNames,0))+NQ27))</f>
        <v/>
      </c>
      <c r="NS27" s="248">
        <f>MAX(NR27,MIN(372,INDEX(MilestoneEnd,MATCH(NO27,MilestoneNames,0))+NQ27))</f>
        <v/>
      </c>
      <c r="NT27" s="85">
        <f>NS27-NR27+1</f>
        <v/>
      </c>
      <c r="NU27" s="85">
        <f>NT27*(NT27+1)*(NT27+2)/6</f>
        <v/>
      </c>
    </row>
    <row r="28">
      <c r="B28" s="296">
        <f>Budget!B27</f>
        <v/>
      </c>
      <c r="D28" s="425">
        <f>SUM(E28:NL28)</f>
        <v/>
      </c>
      <c r="E28" s="402">
        <f>IF(AND(1&gt;=$NR$28,1&lt;=$NS$28),IF($NP$28="Single_Point",IF(1=$NR$28,$NN$28,0),IF($NP$28="Bell_Curve",$NN$28*(1-$NR$28+1)*($NS$28-1+1)/$NU$28,$NN$28/$NT$28)),0)</f>
        <v/>
      </c>
      <c r="F28" s="402">
        <f>IF(AND(2&gt;=$NR$28,2&lt;=$NS$28),IF($NP$28="Single_Point",IF(2=$NR$28,$NN$28,0),IF($NP$28="Bell_Curve",$NN$28*(2-$NR$28+1)*($NS$28-2+1)/$NU$28,$NN$28/$NT$28)),0)</f>
        <v/>
      </c>
      <c r="G28" s="402">
        <f>IF(AND(3&gt;=$NR$28,3&lt;=$NS$28),IF($NP$28="Single_Point",IF(3=$NR$28,$NN$28,0),IF($NP$28="Bell_Curve",$NN$28*(3-$NR$28+1)*($NS$28-3+1)/$NU$28,$NN$28/$NT$28)),0)</f>
        <v/>
      </c>
      <c r="H28" s="402">
        <f>IF(AND(4&gt;=$NR$28,4&lt;=$NS$28),IF($NP$28="Single_Point",IF(4=$NR$28,$NN$28,0),IF($NP$28="Bell_Curve",$NN$28*(4-$NR$28+1)*($NS$28-4+1)/$NU$28,$NN$28/$NT$28)),0)</f>
        <v/>
      </c>
      <c r="I28" s="402">
        <f>IF(AND(5&gt;=$NR$28,5&lt;=$NS$28),IF($NP$28="Single_Point",IF(5=$NR$28,$NN$28,0),IF($NP$28="Bell_Curve",$NN$28*(5-$NR$28+1)*($NS$28-5+1)/$NU$28,$NN$28/$NT$28)),0)</f>
        <v/>
      </c>
      <c r="J28" s="402">
        <f>IF(AND(6&gt;=$NR$28,6&lt;=$NS$28),IF($NP$28="Single_Point",IF(6=$NR$28,$NN$28,0),IF($NP$28="Bell_Curve",$NN$28*(6-$NR$28+1)*($NS$28-6+1)/$NU$28,$NN$28/$NT$28)),0)</f>
        <v/>
      </c>
      <c r="K28" s="402">
        <f>IF(AND(7&gt;=$NR$28,7&lt;=$NS$28),IF($NP$28="Single_Point",IF(7=$NR$28,$NN$28,0),IF($NP$28="Bell_Curve",$NN$28*(7-$NR$28+1)*($NS$28-7+1)/$NU$28,$NN$28/$NT$28)),0)</f>
        <v/>
      </c>
      <c r="L28" s="402">
        <f>IF(AND(8&gt;=$NR$28,8&lt;=$NS$28),IF($NP$28="Single_Point",IF(8=$NR$28,$NN$28,0),IF($NP$28="Bell_Curve",$NN$28*(8-$NR$28+1)*($NS$28-8+1)/$NU$28,$NN$28/$NT$28)),0)</f>
        <v/>
      </c>
      <c r="M28" s="402">
        <f>IF(AND(9&gt;=$NR$28,9&lt;=$NS$28),IF($NP$28="Single_Point",IF(9=$NR$28,$NN$28,0),IF($NP$28="Bell_Curve",$NN$28*(9-$NR$28+1)*($NS$28-9+1)/$NU$28,$NN$28/$NT$28)),0)</f>
        <v/>
      </c>
      <c r="N28" s="402">
        <f>IF(AND(10&gt;=$NR$28,10&lt;=$NS$28),IF($NP$28="Single_Point",IF(10=$NR$28,$NN$28,0),IF($NP$28="Bell_Curve",$NN$28*(10-$NR$28+1)*($NS$28-10+1)/$NU$28,$NN$28/$NT$28)),0)</f>
        <v/>
      </c>
      <c r="O28" s="402">
        <f>IF(AND(11&gt;=$NR$28,11&lt;=$NS$28),IF($NP$28="Single_Point",IF(11=$NR$28,$NN$28,0),IF($NP$28="Bell_Curve",$NN$28*(11-$NR$28+1)*($NS$28-11+1)/$NU$28,$NN$28/$NT$28)),0)</f>
        <v/>
      </c>
      <c r="P28" s="402">
        <f>IF(AND(12&gt;=$NR$28,12&lt;=$NS$28),IF($NP$28="Single_Point",IF(12=$NR$28,$NN$28,0),IF($NP$28="Bell_Curve",$NN$28*(12-$NR$28+1)*($NS$28-12+1)/$NU$28,$NN$28/$NT$28)),0)</f>
        <v/>
      </c>
      <c r="Q28" s="402">
        <f>IF(AND(13&gt;=$NR$28,13&lt;=$NS$28),IF($NP$28="Single_Point",IF(13=$NR$28,$NN$28,0),IF($NP$28="Bell_Curve",$NN$28*(13-$NR$28+1)*($NS$28-13+1)/$NU$28,$NN$28/$NT$28)),0)</f>
        <v/>
      </c>
      <c r="R28" s="402">
        <f>IF(AND(14&gt;=$NR$28,14&lt;=$NS$28),IF($NP$28="Single_Point",IF(14=$NR$28,$NN$28,0),IF($NP$28="Bell_Curve",$NN$28*(14-$NR$28+1)*($NS$28-14+1)/$NU$28,$NN$28/$NT$28)),0)</f>
        <v/>
      </c>
      <c r="S28" s="402">
        <f>IF(AND(15&gt;=$NR$28,15&lt;=$NS$28),IF($NP$28="Single_Point",IF(15=$NR$28,$NN$28,0),IF($NP$28="Bell_Curve",$NN$28*(15-$NR$28+1)*($NS$28-15+1)/$NU$28,$NN$28/$NT$28)),0)</f>
        <v/>
      </c>
      <c r="T28" s="402">
        <f>IF(AND(16&gt;=$NR$28,16&lt;=$NS$28),IF($NP$28="Single_Point",IF(16=$NR$28,$NN$28,0),IF($NP$28="Bell_Curve",$NN$28*(16-$NR$28+1)*($NS$28-16+1)/$NU$28,$NN$28/$NT$28)),0)</f>
        <v/>
      </c>
      <c r="U28" s="402">
        <f>IF(AND(17&gt;=$NR$28,17&lt;=$NS$28),IF($NP$28="Single_Point",IF(17=$NR$28,$NN$28,0),IF($NP$28="Bell_Curve",$NN$28*(17-$NR$28+1)*($NS$28-17+1)/$NU$28,$NN$28/$NT$28)),0)</f>
        <v/>
      </c>
      <c r="V28" s="402">
        <f>IF(AND(18&gt;=$NR$28,18&lt;=$NS$28),IF($NP$28="Single_Point",IF(18=$NR$28,$NN$28,0),IF($NP$28="Bell_Curve",$NN$28*(18-$NR$28+1)*($NS$28-18+1)/$NU$28,$NN$28/$NT$28)),0)</f>
        <v/>
      </c>
      <c r="W28" s="402">
        <f>IF(AND(19&gt;=$NR$28,19&lt;=$NS$28),IF($NP$28="Single_Point",IF(19=$NR$28,$NN$28,0),IF($NP$28="Bell_Curve",$NN$28*(19-$NR$28+1)*($NS$28-19+1)/$NU$28,$NN$28/$NT$28)),0)</f>
        <v/>
      </c>
      <c r="X28" s="402">
        <f>IF(AND(20&gt;=$NR$28,20&lt;=$NS$28),IF($NP$28="Single_Point",IF(20=$NR$28,$NN$28,0),IF($NP$28="Bell_Curve",$NN$28*(20-$NR$28+1)*($NS$28-20+1)/$NU$28,$NN$28/$NT$28)),0)</f>
        <v/>
      </c>
      <c r="Y28" s="402">
        <f>IF(AND(21&gt;=$NR$28,21&lt;=$NS$28),IF($NP$28="Single_Point",IF(21=$NR$28,$NN$28,0),IF($NP$28="Bell_Curve",$NN$28*(21-$NR$28+1)*($NS$28-21+1)/$NU$28,$NN$28/$NT$28)),0)</f>
        <v/>
      </c>
      <c r="Z28" s="402">
        <f>IF(AND(22&gt;=$NR$28,22&lt;=$NS$28),IF($NP$28="Single_Point",IF(22=$NR$28,$NN$28,0),IF($NP$28="Bell_Curve",$NN$28*(22-$NR$28+1)*($NS$28-22+1)/$NU$28,$NN$28/$NT$28)),0)</f>
        <v/>
      </c>
      <c r="AA28" s="402">
        <f>IF(AND(23&gt;=$NR$28,23&lt;=$NS$28),IF($NP$28="Single_Point",IF(23=$NR$28,$NN$28,0),IF($NP$28="Bell_Curve",$NN$28*(23-$NR$28+1)*($NS$28-23+1)/$NU$28,$NN$28/$NT$28)),0)</f>
        <v/>
      </c>
      <c r="AB28" s="402">
        <f>IF(AND(24&gt;=$NR$28,24&lt;=$NS$28),IF($NP$28="Single_Point",IF(24=$NR$28,$NN$28,0),IF($NP$28="Bell_Curve",$NN$28*(24-$NR$28+1)*($NS$28-24+1)/$NU$28,$NN$28/$NT$28)),0)</f>
        <v/>
      </c>
      <c r="AC28" s="402">
        <f>IF(AND(25&gt;=$NR$28,25&lt;=$NS$28),IF($NP$28="Single_Point",IF(25=$NR$28,$NN$28,0),IF($NP$28="Bell_Curve",$NN$28*(25-$NR$28+1)*($NS$28-25+1)/$NU$28,$NN$28/$NT$28)),0)</f>
        <v/>
      </c>
      <c r="AD28" s="402">
        <f>IF(AND(26&gt;=$NR$28,26&lt;=$NS$28),IF($NP$28="Single_Point",IF(26=$NR$28,$NN$28,0),IF($NP$28="Bell_Curve",$NN$28*(26-$NR$28+1)*($NS$28-26+1)/$NU$28,$NN$28/$NT$28)),0)</f>
        <v/>
      </c>
      <c r="AE28" s="402">
        <f>IF(AND(27&gt;=$NR$28,27&lt;=$NS$28),IF($NP$28="Single_Point",IF(27=$NR$28,$NN$28,0),IF($NP$28="Bell_Curve",$NN$28*(27-$NR$28+1)*($NS$28-27+1)/$NU$28,$NN$28/$NT$28)),0)</f>
        <v/>
      </c>
      <c r="AF28" s="402">
        <f>IF(AND(28&gt;=$NR$28,28&lt;=$NS$28),IF($NP$28="Single_Point",IF(28=$NR$28,$NN$28,0),IF($NP$28="Bell_Curve",$NN$28*(28-$NR$28+1)*($NS$28-28+1)/$NU$28,$NN$28/$NT$28)),0)</f>
        <v/>
      </c>
      <c r="AG28" s="402">
        <f>IF(AND(29&gt;=$NR$28,29&lt;=$NS$28),IF($NP$28="Single_Point",IF(29=$NR$28,$NN$28,0),IF($NP$28="Bell_Curve",$NN$28*(29-$NR$28+1)*($NS$28-29+1)/$NU$28,$NN$28/$NT$28)),0)</f>
        <v/>
      </c>
      <c r="AH28" s="402">
        <f>IF(AND(30&gt;=$NR$28,30&lt;=$NS$28),IF($NP$28="Single_Point",IF(30=$NR$28,$NN$28,0),IF($NP$28="Bell_Curve",$NN$28*(30-$NR$28+1)*($NS$28-30+1)/$NU$28,$NN$28/$NT$28)),0)</f>
        <v/>
      </c>
      <c r="AI28" s="402">
        <f>IF(AND(31&gt;=$NR$28,31&lt;=$NS$28),IF($NP$28="Single_Point",IF(31=$NR$28,$NN$28,0),IF($NP$28="Bell_Curve",$NN$28*(31-$NR$28+1)*($NS$28-31+1)/$NU$28,$NN$28/$NT$28)),0)</f>
        <v/>
      </c>
      <c r="AJ28" s="402">
        <f>IF(AND(32&gt;=$NR$28,32&lt;=$NS$28),IF($NP$28="Single_Point",IF(32=$NR$28,$NN$28,0),IF($NP$28="Bell_Curve",$NN$28*(32-$NR$28+1)*($NS$28-32+1)/$NU$28,$NN$28/$NT$28)),0)</f>
        <v/>
      </c>
      <c r="AK28" s="402">
        <f>IF(AND(33&gt;=$NR$28,33&lt;=$NS$28),IF($NP$28="Single_Point",IF(33=$NR$28,$NN$28,0),IF($NP$28="Bell_Curve",$NN$28*(33-$NR$28+1)*($NS$28-33+1)/$NU$28,$NN$28/$NT$28)),0)</f>
        <v/>
      </c>
      <c r="AL28" s="402">
        <f>IF(AND(34&gt;=$NR$28,34&lt;=$NS$28),IF($NP$28="Single_Point",IF(34=$NR$28,$NN$28,0),IF($NP$28="Bell_Curve",$NN$28*(34-$NR$28+1)*($NS$28-34+1)/$NU$28,$NN$28/$NT$28)),0)</f>
        <v/>
      </c>
      <c r="AM28" s="402">
        <f>IF(AND(35&gt;=$NR$28,35&lt;=$NS$28),IF($NP$28="Single_Point",IF(35=$NR$28,$NN$28,0),IF($NP$28="Bell_Curve",$NN$28*(35-$NR$28+1)*($NS$28-35+1)/$NU$28,$NN$28/$NT$28)),0)</f>
        <v/>
      </c>
      <c r="AN28" s="402">
        <f>IF(AND(36&gt;=$NR$28,36&lt;=$NS$28),IF($NP$28="Single_Point",IF(36=$NR$28,$NN$28,0),IF($NP$28="Bell_Curve",$NN$28*(36-$NR$28+1)*($NS$28-36+1)/$NU$28,$NN$28/$NT$28)),0)</f>
        <v/>
      </c>
      <c r="AO28" s="402">
        <f>IF(AND(37&gt;=$NR$28,37&lt;=$NS$28),IF($NP$28="Single_Point",IF(37=$NR$28,$NN$28,0),IF($NP$28="Bell_Curve",$NN$28*(37-$NR$28+1)*($NS$28-37+1)/$NU$28,$NN$28/$NT$28)),0)</f>
        <v/>
      </c>
      <c r="AP28" s="402">
        <f>IF(AND(38&gt;=$NR$28,38&lt;=$NS$28),IF($NP$28="Single_Point",IF(38=$NR$28,$NN$28,0),IF($NP$28="Bell_Curve",$NN$28*(38-$NR$28+1)*($NS$28-38+1)/$NU$28,$NN$28/$NT$28)),0)</f>
        <v/>
      </c>
      <c r="AQ28" s="402">
        <f>IF(AND(39&gt;=$NR$28,39&lt;=$NS$28),IF($NP$28="Single_Point",IF(39=$NR$28,$NN$28,0),IF($NP$28="Bell_Curve",$NN$28*(39-$NR$28+1)*($NS$28-39+1)/$NU$28,$NN$28/$NT$28)),0)</f>
        <v/>
      </c>
      <c r="AR28" s="402">
        <f>IF(AND(40&gt;=$NR$28,40&lt;=$NS$28),IF($NP$28="Single_Point",IF(40=$NR$28,$NN$28,0),IF($NP$28="Bell_Curve",$NN$28*(40-$NR$28+1)*($NS$28-40+1)/$NU$28,$NN$28/$NT$28)),0)</f>
        <v/>
      </c>
      <c r="AS28" s="402">
        <f>IF(AND(41&gt;=$NR$28,41&lt;=$NS$28),IF($NP$28="Single_Point",IF(41=$NR$28,$NN$28,0),IF($NP$28="Bell_Curve",$NN$28*(41-$NR$28+1)*($NS$28-41+1)/$NU$28,$NN$28/$NT$28)),0)</f>
        <v/>
      </c>
      <c r="AT28" s="402">
        <f>IF(AND(42&gt;=$NR$28,42&lt;=$NS$28),IF($NP$28="Single_Point",IF(42=$NR$28,$NN$28,0),IF($NP$28="Bell_Curve",$NN$28*(42-$NR$28+1)*($NS$28-42+1)/$NU$28,$NN$28/$NT$28)),0)</f>
        <v/>
      </c>
      <c r="AU28" s="402">
        <f>IF(AND(43&gt;=$NR$28,43&lt;=$NS$28),IF($NP$28="Single_Point",IF(43=$NR$28,$NN$28,0),IF($NP$28="Bell_Curve",$NN$28*(43-$NR$28+1)*($NS$28-43+1)/$NU$28,$NN$28/$NT$28)),0)</f>
        <v/>
      </c>
      <c r="AV28" s="402">
        <f>IF(AND(44&gt;=$NR$28,44&lt;=$NS$28),IF($NP$28="Single_Point",IF(44=$NR$28,$NN$28,0),IF($NP$28="Bell_Curve",$NN$28*(44-$NR$28+1)*($NS$28-44+1)/$NU$28,$NN$28/$NT$28)),0)</f>
        <v/>
      </c>
      <c r="AW28" s="402">
        <f>IF(AND(45&gt;=$NR$28,45&lt;=$NS$28),IF($NP$28="Single_Point",IF(45=$NR$28,$NN$28,0),IF($NP$28="Bell_Curve",$NN$28*(45-$NR$28+1)*($NS$28-45+1)/$NU$28,$NN$28/$NT$28)),0)</f>
        <v/>
      </c>
      <c r="AX28" s="402">
        <f>IF(AND(46&gt;=$NR$28,46&lt;=$NS$28),IF($NP$28="Single_Point",IF(46=$NR$28,$NN$28,0),IF($NP$28="Bell_Curve",$NN$28*(46-$NR$28+1)*($NS$28-46+1)/$NU$28,$NN$28/$NT$28)),0)</f>
        <v/>
      </c>
      <c r="AY28" s="402">
        <f>IF(AND(47&gt;=$NR$28,47&lt;=$NS$28),IF($NP$28="Single_Point",IF(47=$NR$28,$NN$28,0),IF($NP$28="Bell_Curve",$NN$28*(47-$NR$28+1)*($NS$28-47+1)/$NU$28,$NN$28/$NT$28)),0)</f>
        <v/>
      </c>
      <c r="AZ28" s="402">
        <f>IF(AND(48&gt;=$NR$28,48&lt;=$NS$28),IF($NP$28="Single_Point",IF(48=$NR$28,$NN$28,0),IF($NP$28="Bell_Curve",$NN$28*(48-$NR$28+1)*($NS$28-48+1)/$NU$28,$NN$28/$NT$28)),0)</f>
        <v/>
      </c>
      <c r="BA28" s="402">
        <f>IF(AND(49&gt;=$NR$28,49&lt;=$NS$28),IF($NP$28="Single_Point",IF(49=$NR$28,$NN$28,0),IF($NP$28="Bell_Curve",$NN$28*(49-$NR$28+1)*($NS$28-49+1)/$NU$28,$NN$28/$NT$28)),0)</f>
        <v/>
      </c>
      <c r="BB28" s="402">
        <f>IF(AND(50&gt;=$NR$28,50&lt;=$NS$28),IF($NP$28="Single_Point",IF(50=$NR$28,$NN$28,0),IF($NP$28="Bell_Curve",$NN$28*(50-$NR$28+1)*($NS$28-50+1)/$NU$28,$NN$28/$NT$28)),0)</f>
        <v/>
      </c>
      <c r="BC28" s="402">
        <f>IF(AND(51&gt;=$NR$28,51&lt;=$NS$28),IF($NP$28="Single_Point",IF(51=$NR$28,$NN$28,0),IF($NP$28="Bell_Curve",$NN$28*(51-$NR$28+1)*($NS$28-51+1)/$NU$28,$NN$28/$NT$28)),0)</f>
        <v/>
      </c>
      <c r="BD28" s="402">
        <f>IF(AND(52&gt;=$NR$28,52&lt;=$NS$28),IF($NP$28="Single_Point",IF(52=$NR$28,$NN$28,0),IF($NP$28="Bell_Curve",$NN$28*(52-$NR$28+1)*($NS$28-52+1)/$NU$28,$NN$28/$NT$28)),0)</f>
        <v/>
      </c>
      <c r="BE28" s="402">
        <f>IF(AND(53&gt;=$NR$28,53&lt;=$NS$28),IF($NP$28="Single_Point",IF(53=$NR$28,$NN$28,0),IF($NP$28="Bell_Curve",$NN$28*(53-$NR$28+1)*($NS$28-53+1)/$NU$28,$NN$28/$NT$28)),0)</f>
        <v/>
      </c>
      <c r="BF28" s="402">
        <f>IF(AND(54&gt;=$NR$28,54&lt;=$NS$28),IF($NP$28="Single_Point",IF(54=$NR$28,$NN$28,0),IF($NP$28="Bell_Curve",$NN$28*(54-$NR$28+1)*($NS$28-54+1)/$NU$28,$NN$28/$NT$28)),0)</f>
        <v/>
      </c>
      <c r="BG28" s="402">
        <f>IF(AND(55&gt;=$NR$28,55&lt;=$NS$28),IF($NP$28="Single_Point",IF(55=$NR$28,$NN$28,0),IF($NP$28="Bell_Curve",$NN$28*(55-$NR$28+1)*($NS$28-55+1)/$NU$28,$NN$28/$NT$28)),0)</f>
        <v/>
      </c>
      <c r="BH28" s="402">
        <f>IF(AND(56&gt;=$NR$28,56&lt;=$NS$28),IF($NP$28="Single_Point",IF(56=$NR$28,$NN$28,0),IF($NP$28="Bell_Curve",$NN$28*(56-$NR$28+1)*($NS$28-56+1)/$NU$28,$NN$28/$NT$28)),0)</f>
        <v/>
      </c>
      <c r="BI28" s="402">
        <f>IF(AND(57&gt;=$NR$28,57&lt;=$NS$28),IF($NP$28="Single_Point",IF(57=$NR$28,$NN$28,0),IF($NP$28="Bell_Curve",$NN$28*(57-$NR$28+1)*($NS$28-57+1)/$NU$28,$NN$28/$NT$28)),0)</f>
        <v/>
      </c>
      <c r="BJ28" s="402">
        <f>IF(AND(58&gt;=$NR$28,58&lt;=$NS$28),IF($NP$28="Single_Point",IF(58=$NR$28,$NN$28,0),IF($NP$28="Bell_Curve",$NN$28*(58-$NR$28+1)*($NS$28-58+1)/$NU$28,$NN$28/$NT$28)),0)</f>
        <v/>
      </c>
      <c r="BK28" s="402">
        <f>IF(AND(59&gt;=$NR$28,59&lt;=$NS$28),IF($NP$28="Single_Point",IF(59=$NR$28,$NN$28,0),IF($NP$28="Bell_Curve",$NN$28*(59-$NR$28+1)*($NS$28-59+1)/$NU$28,$NN$28/$NT$28)),0)</f>
        <v/>
      </c>
      <c r="BL28" s="402">
        <f>IF(AND(60&gt;=$NR$28,60&lt;=$NS$28),IF($NP$28="Single_Point",IF(60=$NR$28,$NN$28,0),IF($NP$28="Bell_Curve",$NN$28*(60-$NR$28+1)*($NS$28-60+1)/$NU$28,$NN$28/$NT$28)),0)</f>
        <v/>
      </c>
      <c r="BM28" s="402">
        <f>IF(AND(61&gt;=$NR$28,61&lt;=$NS$28),IF($NP$28="Single_Point",IF(61=$NR$28,$NN$28,0),IF($NP$28="Bell_Curve",$NN$28*(61-$NR$28+1)*($NS$28-61+1)/$NU$28,$NN$28/$NT$28)),0)</f>
        <v/>
      </c>
      <c r="BN28" s="402">
        <f>IF(AND(62&gt;=$NR$28,62&lt;=$NS$28),IF($NP$28="Single_Point",IF(62=$NR$28,$NN$28,0),IF($NP$28="Bell_Curve",$NN$28*(62-$NR$28+1)*($NS$28-62+1)/$NU$28,$NN$28/$NT$28)),0)</f>
        <v/>
      </c>
      <c r="BO28" s="402">
        <f>IF(AND(63&gt;=$NR$28,63&lt;=$NS$28),IF($NP$28="Single_Point",IF(63=$NR$28,$NN$28,0),IF($NP$28="Bell_Curve",$NN$28*(63-$NR$28+1)*($NS$28-63+1)/$NU$28,$NN$28/$NT$28)),0)</f>
        <v/>
      </c>
      <c r="BP28" s="402">
        <f>IF(AND(64&gt;=$NR$28,64&lt;=$NS$28),IF($NP$28="Single_Point",IF(64=$NR$28,$NN$28,0),IF($NP$28="Bell_Curve",$NN$28*(64-$NR$28+1)*($NS$28-64+1)/$NU$28,$NN$28/$NT$28)),0)</f>
        <v/>
      </c>
      <c r="BQ28" s="402">
        <f>IF(AND(65&gt;=$NR$28,65&lt;=$NS$28),IF($NP$28="Single_Point",IF(65=$NR$28,$NN$28,0),IF($NP$28="Bell_Curve",$NN$28*(65-$NR$28+1)*($NS$28-65+1)/$NU$28,$NN$28/$NT$28)),0)</f>
        <v/>
      </c>
      <c r="BR28" s="402">
        <f>IF(AND(66&gt;=$NR$28,66&lt;=$NS$28),IF($NP$28="Single_Point",IF(66=$NR$28,$NN$28,0),IF($NP$28="Bell_Curve",$NN$28*(66-$NR$28+1)*($NS$28-66+1)/$NU$28,$NN$28/$NT$28)),0)</f>
        <v/>
      </c>
      <c r="BS28" s="402">
        <f>IF(AND(67&gt;=$NR$28,67&lt;=$NS$28),IF($NP$28="Single_Point",IF(67=$NR$28,$NN$28,0),IF($NP$28="Bell_Curve",$NN$28*(67-$NR$28+1)*($NS$28-67+1)/$NU$28,$NN$28/$NT$28)),0)</f>
        <v/>
      </c>
      <c r="BT28" s="402">
        <f>IF(AND(68&gt;=$NR$28,68&lt;=$NS$28),IF($NP$28="Single_Point",IF(68=$NR$28,$NN$28,0),IF($NP$28="Bell_Curve",$NN$28*(68-$NR$28+1)*($NS$28-68+1)/$NU$28,$NN$28/$NT$28)),0)</f>
        <v/>
      </c>
      <c r="BU28" s="402">
        <f>IF(AND(69&gt;=$NR$28,69&lt;=$NS$28),IF($NP$28="Single_Point",IF(69=$NR$28,$NN$28,0),IF($NP$28="Bell_Curve",$NN$28*(69-$NR$28+1)*($NS$28-69+1)/$NU$28,$NN$28/$NT$28)),0)</f>
        <v/>
      </c>
      <c r="BV28" s="402">
        <f>IF(AND(70&gt;=$NR$28,70&lt;=$NS$28),IF($NP$28="Single_Point",IF(70=$NR$28,$NN$28,0),IF($NP$28="Bell_Curve",$NN$28*(70-$NR$28+1)*($NS$28-70+1)/$NU$28,$NN$28/$NT$28)),0)</f>
        <v/>
      </c>
      <c r="BW28" s="402">
        <f>IF(AND(71&gt;=$NR$28,71&lt;=$NS$28),IF($NP$28="Single_Point",IF(71=$NR$28,$NN$28,0),IF($NP$28="Bell_Curve",$NN$28*(71-$NR$28+1)*($NS$28-71+1)/$NU$28,$NN$28/$NT$28)),0)</f>
        <v/>
      </c>
      <c r="BX28" s="402">
        <f>IF(AND(72&gt;=$NR$28,72&lt;=$NS$28),IF($NP$28="Single_Point",IF(72=$NR$28,$NN$28,0),IF($NP$28="Bell_Curve",$NN$28*(72-$NR$28+1)*($NS$28-72+1)/$NU$28,$NN$28/$NT$28)),0)</f>
        <v/>
      </c>
      <c r="BY28" s="402">
        <f>IF(AND(73&gt;=$NR$28,73&lt;=$NS$28),IF($NP$28="Single_Point",IF(73=$NR$28,$NN$28,0),IF($NP$28="Bell_Curve",$NN$28*(73-$NR$28+1)*($NS$28-73+1)/$NU$28,$NN$28/$NT$28)),0)</f>
        <v/>
      </c>
      <c r="BZ28" s="402">
        <f>IF(AND(74&gt;=$NR$28,74&lt;=$NS$28),IF($NP$28="Single_Point",IF(74=$NR$28,$NN$28,0),IF($NP$28="Bell_Curve",$NN$28*(74-$NR$28+1)*($NS$28-74+1)/$NU$28,$NN$28/$NT$28)),0)</f>
        <v/>
      </c>
      <c r="CA28" s="402">
        <f>IF(AND(75&gt;=$NR$28,75&lt;=$NS$28),IF($NP$28="Single_Point",IF(75=$NR$28,$NN$28,0),IF($NP$28="Bell_Curve",$NN$28*(75-$NR$28+1)*($NS$28-75+1)/$NU$28,$NN$28/$NT$28)),0)</f>
        <v/>
      </c>
      <c r="CB28" s="402">
        <f>IF(AND(76&gt;=$NR$28,76&lt;=$NS$28),IF($NP$28="Single_Point",IF(76=$NR$28,$NN$28,0),IF($NP$28="Bell_Curve",$NN$28*(76-$NR$28+1)*($NS$28-76+1)/$NU$28,$NN$28/$NT$28)),0)</f>
        <v/>
      </c>
      <c r="CC28" s="402">
        <f>IF(AND(77&gt;=$NR$28,77&lt;=$NS$28),IF($NP$28="Single_Point",IF(77=$NR$28,$NN$28,0),IF($NP$28="Bell_Curve",$NN$28*(77-$NR$28+1)*($NS$28-77+1)/$NU$28,$NN$28/$NT$28)),0)</f>
        <v/>
      </c>
      <c r="CD28" s="402">
        <f>IF(AND(78&gt;=$NR$28,78&lt;=$NS$28),IF($NP$28="Single_Point",IF(78=$NR$28,$NN$28,0),IF($NP$28="Bell_Curve",$NN$28*(78-$NR$28+1)*($NS$28-78+1)/$NU$28,$NN$28/$NT$28)),0)</f>
        <v/>
      </c>
      <c r="CE28" s="402">
        <f>IF(AND(79&gt;=$NR$28,79&lt;=$NS$28),IF($NP$28="Single_Point",IF(79=$NR$28,$NN$28,0),IF($NP$28="Bell_Curve",$NN$28*(79-$NR$28+1)*($NS$28-79+1)/$NU$28,$NN$28/$NT$28)),0)</f>
        <v/>
      </c>
      <c r="CF28" s="402">
        <f>IF(AND(80&gt;=$NR$28,80&lt;=$NS$28),IF($NP$28="Single_Point",IF(80=$NR$28,$NN$28,0),IF($NP$28="Bell_Curve",$NN$28*(80-$NR$28+1)*($NS$28-80+1)/$NU$28,$NN$28/$NT$28)),0)</f>
        <v/>
      </c>
      <c r="CG28" s="402">
        <f>IF(AND(81&gt;=$NR$28,81&lt;=$NS$28),IF($NP$28="Single_Point",IF(81=$NR$28,$NN$28,0),IF($NP$28="Bell_Curve",$NN$28*(81-$NR$28+1)*($NS$28-81+1)/$NU$28,$NN$28/$NT$28)),0)</f>
        <v/>
      </c>
      <c r="CH28" s="402">
        <f>IF(AND(82&gt;=$NR$28,82&lt;=$NS$28),IF($NP$28="Single_Point",IF(82=$NR$28,$NN$28,0),IF($NP$28="Bell_Curve",$NN$28*(82-$NR$28+1)*($NS$28-82+1)/$NU$28,$NN$28/$NT$28)),0)</f>
        <v/>
      </c>
      <c r="CI28" s="402">
        <f>IF(AND(83&gt;=$NR$28,83&lt;=$NS$28),IF($NP$28="Single_Point",IF(83=$NR$28,$NN$28,0),IF($NP$28="Bell_Curve",$NN$28*(83-$NR$28+1)*($NS$28-83+1)/$NU$28,$NN$28/$NT$28)),0)</f>
        <v/>
      </c>
      <c r="CJ28" s="402">
        <f>IF(AND(84&gt;=$NR$28,84&lt;=$NS$28),IF($NP$28="Single_Point",IF(84=$NR$28,$NN$28,0),IF($NP$28="Bell_Curve",$NN$28*(84-$NR$28+1)*($NS$28-84+1)/$NU$28,$NN$28/$NT$28)),0)</f>
        <v/>
      </c>
      <c r="CK28" s="402">
        <f>IF(AND(85&gt;=$NR$28,85&lt;=$NS$28),IF($NP$28="Single_Point",IF(85=$NR$28,$NN$28,0),IF($NP$28="Bell_Curve",$NN$28*(85-$NR$28+1)*($NS$28-85+1)/$NU$28,$NN$28/$NT$28)),0)</f>
        <v/>
      </c>
      <c r="CL28" s="402">
        <f>IF(AND(86&gt;=$NR$28,86&lt;=$NS$28),IF($NP$28="Single_Point",IF(86=$NR$28,$NN$28,0),IF($NP$28="Bell_Curve",$NN$28*(86-$NR$28+1)*($NS$28-86+1)/$NU$28,$NN$28/$NT$28)),0)</f>
        <v/>
      </c>
      <c r="CM28" s="402">
        <f>IF(AND(87&gt;=$NR$28,87&lt;=$NS$28),IF($NP$28="Single_Point",IF(87=$NR$28,$NN$28,0),IF($NP$28="Bell_Curve",$NN$28*(87-$NR$28+1)*($NS$28-87+1)/$NU$28,$NN$28/$NT$28)),0)</f>
        <v/>
      </c>
      <c r="CN28" s="402">
        <f>IF(AND(88&gt;=$NR$28,88&lt;=$NS$28),IF($NP$28="Single_Point",IF(88=$NR$28,$NN$28,0),IF($NP$28="Bell_Curve",$NN$28*(88-$NR$28+1)*($NS$28-88+1)/$NU$28,$NN$28/$NT$28)),0)</f>
        <v/>
      </c>
      <c r="CO28" s="402">
        <f>IF(AND(89&gt;=$NR$28,89&lt;=$NS$28),IF($NP$28="Single_Point",IF(89=$NR$28,$NN$28,0),IF($NP$28="Bell_Curve",$NN$28*(89-$NR$28+1)*($NS$28-89+1)/$NU$28,$NN$28/$NT$28)),0)</f>
        <v/>
      </c>
      <c r="CP28" s="402">
        <f>IF(AND(90&gt;=$NR$28,90&lt;=$NS$28),IF($NP$28="Single_Point",IF(90=$NR$28,$NN$28,0),IF($NP$28="Bell_Curve",$NN$28*(90-$NR$28+1)*($NS$28-90+1)/$NU$28,$NN$28/$NT$28)),0)</f>
        <v/>
      </c>
      <c r="CQ28" s="402">
        <f>IF(AND(91&gt;=$NR$28,91&lt;=$NS$28),IF($NP$28="Single_Point",IF(91=$NR$28,$NN$28,0),IF($NP$28="Bell_Curve",$NN$28*(91-$NR$28+1)*($NS$28-91+1)/$NU$28,$NN$28/$NT$28)),0)</f>
        <v/>
      </c>
      <c r="CR28" s="402">
        <f>IF(AND(92&gt;=$NR$28,92&lt;=$NS$28),IF($NP$28="Single_Point",IF(92=$NR$28,$NN$28,0),IF($NP$28="Bell_Curve",$NN$28*(92-$NR$28+1)*($NS$28-92+1)/$NU$28,$NN$28/$NT$28)),0)</f>
        <v/>
      </c>
      <c r="CS28" s="402">
        <f>IF(AND(93&gt;=$NR$28,93&lt;=$NS$28),IF($NP$28="Single_Point",IF(93=$NR$28,$NN$28,0),IF($NP$28="Bell_Curve",$NN$28*(93-$NR$28+1)*($NS$28-93+1)/$NU$28,$NN$28/$NT$28)),0)</f>
        <v/>
      </c>
      <c r="CT28" s="402">
        <f>IF(AND(94&gt;=$NR$28,94&lt;=$NS$28),IF($NP$28="Single_Point",IF(94=$NR$28,$NN$28,0),IF($NP$28="Bell_Curve",$NN$28*(94-$NR$28+1)*($NS$28-94+1)/$NU$28,$NN$28/$NT$28)),0)</f>
        <v/>
      </c>
      <c r="CU28" s="402">
        <f>IF(AND(95&gt;=$NR$28,95&lt;=$NS$28),IF($NP$28="Single_Point",IF(95=$NR$28,$NN$28,0),IF($NP$28="Bell_Curve",$NN$28*(95-$NR$28+1)*($NS$28-95+1)/$NU$28,$NN$28/$NT$28)),0)</f>
        <v/>
      </c>
      <c r="CV28" s="402">
        <f>IF(AND(96&gt;=$NR$28,96&lt;=$NS$28),IF($NP$28="Single_Point",IF(96=$NR$28,$NN$28,0),IF($NP$28="Bell_Curve",$NN$28*(96-$NR$28+1)*($NS$28-96+1)/$NU$28,$NN$28/$NT$28)),0)</f>
        <v/>
      </c>
      <c r="CW28" s="402">
        <f>IF(AND(97&gt;=$NR$28,97&lt;=$NS$28),IF($NP$28="Single_Point",IF(97=$NR$28,$NN$28,0),IF($NP$28="Bell_Curve",$NN$28*(97-$NR$28+1)*($NS$28-97+1)/$NU$28,$NN$28/$NT$28)),0)</f>
        <v/>
      </c>
      <c r="CX28" s="402">
        <f>IF(AND(98&gt;=$NR$28,98&lt;=$NS$28),IF($NP$28="Single_Point",IF(98=$NR$28,$NN$28,0),IF($NP$28="Bell_Curve",$NN$28*(98-$NR$28+1)*($NS$28-98+1)/$NU$28,$NN$28/$NT$28)),0)</f>
        <v/>
      </c>
      <c r="CY28" s="402">
        <f>IF(AND(99&gt;=$NR$28,99&lt;=$NS$28),IF($NP$28="Single_Point",IF(99=$NR$28,$NN$28,0),IF($NP$28="Bell_Curve",$NN$28*(99-$NR$28+1)*($NS$28-99+1)/$NU$28,$NN$28/$NT$28)),0)</f>
        <v/>
      </c>
      <c r="CZ28" s="402">
        <f>IF(AND(100&gt;=$NR$28,100&lt;=$NS$28),IF($NP$28="Single_Point",IF(100=$NR$28,$NN$28,0),IF($NP$28="Bell_Curve",$NN$28*(100-$NR$28+1)*($NS$28-100+1)/$NU$28,$NN$28/$NT$28)),0)</f>
        <v/>
      </c>
      <c r="DA28" s="402">
        <f>IF(AND(101&gt;=$NR$28,101&lt;=$NS$28),IF($NP$28="Single_Point",IF(101=$NR$28,$NN$28,0),IF($NP$28="Bell_Curve",$NN$28*(101-$NR$28+1)*($NS$28-101+1)/$NU$28,$NN$28/$NT$28)),0)</f>
        <v/>
      </c>
      <c r="DB28" s="402">
        <f>IF(AND(102&gt;=$NR$28,102&lt;=$NS$28),IF($NP$28="Single_Point",IF(102=$NR$28,$NN$28,0),IF($NP$28="Bell_Curve",$NN$28*(102-$NR$28+1)*($NS$28-102+1)/$NU$28,$NN$28/$NT$28)),0)</f>
        <v/>
      </c>
      <c r="DC28" s="402">
        <f>IF(AND(103&gt;=$NR$28,103&lt;=$NS$28),IF($NP$28="Single_Point",IF(103=$NR$28,$NN$28,0),IF($NP$28="Bell_Curve",$NN$28*(103-$NR$28+1)*($NS$28-103+1)/$NU$28,$NN$28/$NT$28)),0)</f>
        <v/>
      </c>
      <c r="DD28" s="402">
        <f>IF(AND(104&gt;=$NR$28,104&lt;=$NS$28),IF($NP$28="Single_Point",IF(104=$NR$28,$NN$28,0),IF($NP$28="Bell_Curve",$NN$28*(104-$NR$28+1)*($NS$28-104+1)/$NU$28,$NN$28/$NT$28)),0)</f>
        <v/>
      </c>
      <c r="DE28" s="402">
        <f>IF(AND(105&gt;=$NR$28,105&lt;=$NS$28),IF($NP$28="Single_Point",IF(105=$NR$28,$NN$28,0),IF($NP$28="Bell_Curve",$NN$28*(105-$NR$28+1)*($NS$28-105+1)/$NU$28,$NN$28/$NT$28)),0)</f>
        <v/>
      </c>
      <c r="DF28" s="402">
        <f>IF(AND(106&gt;=$NR$28,106&lt;=$NS$28),IF($NP$28="Single_Point",IF(106=$NR$28,$NN$28,0),IF($NP$28="Bell_Curve",$NN$28*(106-$NR$28+1)*($NS$28-106+1)/$NU$28,$NN$28/$NT$28)),0)</f>
        <v/>
      </c>
      <c r="DG28" s="402">
        <f>IF(AND(107&gt;=$NR$28,107&lt;=$NS$28),IF($NP$28="Single_Point",IF(107=$NR$28,$NN$28,0),IF($NP$28="Bell_Curve",$NN$28*(107-$NR$28+1)*($NS$28-107+1)/$NU$28,$NN$28/$NT$28)),0)</f>
        <v/>
      </c>
      <c r="DH28" s="402">
        <f>IF(AND(108&gt;=$NR$28,108&lt;=$NS$28),IF($NP$28="Single_Point",IF(108=$NR$28,$NN$28,0),IF($NP$28="Bell_Curve",$NN$28*(108-$NR$28+1)*($NS$28-108+1)/$NU$28,$NN$28/$NT$28)),0)</f>
        <v/>
      </c>
      <c r="DI28" s="402">
        <f>IF(AND(109&gt;=$NR$28,109&lt;=$NS$28),IF($NP$28="Single_Point",IF(109=$NR$28,$NN$28,0),IF($NP$28="Bell_Curve",$NN$28*(109-$NR$28+1)*($NS$28-109+1)/$NU$28,$NN$28/$NT$28)),0)</f>
        <v/>
      </c>
      <c r="DJ28" s="402">
        <f>IF(AND(110&gt;=$NR$28,110&lt;=$NS$28),IF($NP$28="Single_Point",IF(110=$NR$28,$NN$28,0),IF($NP$28="Bell_Curve",$NN$28*(110-$NR$28+1)*($NS$28-110+1)/$NU$28,$NN$28/$NT$28)),0)</f>
        <v/>
      </c>
      <c r="DK28" s="402">
        <f>IF(AND(111&gt;=$NR$28,111&lt;=$NS$28),IF($NP$28="Single_Point",IF(111=$NR$28,$NN$28,0),IF($NP$28="Bell_Curve",$NN$28*(111-$NR$28+1)*($NS$28-111+1)/$NU$28,$NN$28/$NT$28)),0)</f>
        <v/>
      </c>
      <c r="DL28" s="402">
        <f>IF(AND(112&gt;=$NR$28,112&lt;=$NS$28),IF($NP$28="Single_Point",IF(112=$NR$28,$NN$28,0),IF($NP$28="Bell_Curve",$NN$28*(112-$NR$28+1)*($NS$28-112+1)/$NU$28,$NN$28/$NT$28)),0)</f>
        <v/>
      </c>
      <c r="DM28" s="402">
        <f>IF(AND(113&gt;=$NR$28,113&lt;=$NS$28),IF($NP$28="Single_Point",IF(113=$NR$28,$NN$28,0),IF($NP$28="Bell_Curve",$NN$28*(113-$NR$28+1)*($NS$28-113+1)/$NU$28,$NN$28/$NT$28)),0)</f>
        <v/>
      </c>
      <c r="DN28" s="402">
        <f>IF(AND(114&gt;=$NR$28,114&lt;=$NS$28),IF($NP$28="Single_Point",IF(114=$NR$28,$NN$28,0),IF($NP$28="Bell_Curve",$NN$28*(114-$NR$28+1)*($NS$28-114+1)/$NU$28,$NN$28/$NT$28)),0)</f>
        <v/>
      </c>
      <c r="DO28" s="402">
        <f>IF(AND(115&gt;=$NR$28,115&lt;=$NS$28),IF($NP$28="Single_Point",IF(115=$NR$28,$NN$28,0),IF($NP$28="Bell_Curve",$NN$28*(115-$NR$28+1)*($NS$28-115+1)/$NU$28,$NN$28/$NT$28)),0)</f>
        <v/>
      </c>
      <c r="DP28" s="402">
        <f>IF(AND(116&gt;=$NR$28,116&lt;=$NS$28),IF($NP$28="Single_Point",IF(116=$NR$28,$NN$28,0),IF($NP$28="Bell_Curve",$NN$28*(116-$NR$28+1)*($NS$28-116+1)/$NU$28,$NN$28/$NT$28)),0)</f>
        <v/>
      </c>
      <c r="DQ28" s="402">
        <f>IF(AND(117&gt;=$NR$28,117&lt;=$NS$28),IF($NP$28="Single_Point",IF(117=$NR$28,$NN$28,0),IF($NP$28="Bell_Curve",$NN$28*(117-$NR$28+1)*($NS$28-117+1)/$NU$28,$NN$28/$NT$28)),0)</f>
        <v/>
      </c>
      <c r="DR28" s="402">
        <f>IF(AND(118&gt;=$NR$28,118&lt;=$NS$28),IF($NP$28="Single_Point",IF(118=$NR$28,$NN$28,0),IF($NP$28="Bell_Curve",$NN$28*(118-$NR$28+1)*($NS$28-118+1)/$NU$28,$NN$28/$NT$28)),0)</f>
        <v/>
      </c>
      <c r="DS28" s="402">
        <f>IF(AND(119&gt;=$NR$28,119&lt;=$NS$28),IF($NP$28="Single_Point",IF(119=$NR$28,$NN$28,0),IF($NP$28="Bell_Curve",$NN$28*(119-$NR$28+1)*($NS$28-119+1)/$NU$28,$NN$28/$NT$28)),0)</f>
        <v/>
      </c>
      <c r="DT28" s="402">
        <f>IF(AND(120&gt;=$NR$28,120&lt;=$NS$28),IF($NP$28="Single_Point",IF(120=$NR$28,$NN$28,0),IF($NP$28="Bell_Curve",$NN$28*(120-$NR$28+1)*($NS$28-120+1)/$NU$28,$NN$28/$NT$28)),0)</f>
        <v/>
      </c>
      <c r="DU28" s="402">
        <f>IF(AND(121&gt;=$NR$28,121&lt;=$NS$28),IF($NP$28="Single_Point",IF(121=$NR$28,$NN$28,0),IF($NP$28="Bell_Curve",$NN$28*(121-$NR$28+1)*($NS$28-121+1)/$NU$28,$NN$28/$NT$28)),0)</f>
        <v/>
      </c>
      <c r="DV28" s="402">
        <f>IF(AND(122&gt;=$NR$28,122&lt;=$NS$28),IF($NP$28="Single_Point",IF(122=$NR$28,$NN$28,0),IF($NP$28="Bell_Curve",$NN$28*(122-$NR$28+1)*($NS$28-122+1)/$NU$28,$NN$28/$NT$28)),0)</f>
        <v/>
      </c>
      <c r="DW28" s="402">
        <f>IF(AND(123&gt;=$NR$28,123&lt;=$NS$28),IF($NP$28="Single_Point",IF(123=$NR$28,$NN$28,0),IF($NP$28="Bell_Curve",$NN$28*(123-$NR$28+1)*($NS$28-123+1)/$NU$28,$NN$28/$NT$28)),0)</f>
        <v/>
      </c>
      <c r="DX28" s="402">
        <f>IF(AND(124&gt;=$NR$28,124&lt;=$NS$28),IF($NP$28="Single_Point",IF(124=$NR$28,$NN$28,0),IF($NP$28="Bell_Curve",$NN$28*(124-$NR$28+1)*($NS$28-124+1)/$NU$28,$NN$28/$NT$28)),0)</f>
        <v/>
      </c>
      <c r="DY28" s="402">
        <f>IF(AND(125&gt;=$NR$28,125&lt;=$NS$28),IF($NP$28="Single_Point",IF(125=$NR$28,$NN$28,0),IF($NP$28="Bell_Curve",$NN$28*(125-$NR$28+1)*($NS$28-125+1)/$NU$28,$NN$28/$NT$28)),0)</f>
        <v/>
      </c>
      <c r="DZ28" s="402">
        <f>IF(AND(126&gt;=$NR$28,126&lt;=$NS$28),IF($NP$28="Single_Point",IF(126=$NR$28,$NN$28,0),IF($NP$28="Bell_Curve",$NN$28*(126-$NR$28+1)*($NS$28-126+1)/$NU$28,$NN$28/$NT$28)),0)</f>
        <v/>
      </c>
      <c r="EA28" s="402">
        <f>IF(AND(127&gt;=$NR$28,127&lt;=$NS$28),IF($NP$28="Single_Point",IF(127=$NR$28,$NN$28,0),IF($NP$28="Bell_Curve",$NN$28*(127-$NR$28+1)*($NS$28-127+1)/$NU$28,$NN$28/$NT$28)),0)</f>
        <v/>
      </c>
      <c r="EB28" s="402">
        <f>IF(AND(128&gt;=$NR$28,128&lt;=$NS$28),IF($NP$28="Single_Point",IF(128=$NR$28,$NN$28,0),IF($NP$28="Bell_Curve",$NN$28*(128-$NR$28+1)*($NS$28-128+1)/$NU$28,$NN$28/$NT$28)),0)</f>
        <v/>
      </c>
      <c r="EC28" s="402">
        <f>IF(AND(129&gt;=$NR$28,129&lt;=$NS$28),IF($NP$28="Single_Point",IF(129=$NR$28,$NN$28,0),IF($NP$28="Bell_Curve",$NN$28*(129-$NR$28+1)*($NS$28-129+1)/$NU$28,$NN$28/$NT$28)),0)</f>
        <v/>
      </c>
      <c r="ED28" s="402">
        <f>IF(AND(130&gt;=$NR$28,130&lt;=$NS$28),IF($NP$28="Single_Point",IF(130=$NR$28,$NN$28,0),IF($NP$28="Bell_Curve",$NN$28*(130-$NR$28+1)*($NS$28-130+1)/$NU$28,$NN$28/$NT$28)),0)</f>
        <v/>
      </c>
      <c r="EE28" s="402">
        <f>IF(AND(131&gt;=$NR$28,131&lt;=$NS$28),IF($NP$28="Single_Point",IF(131=$NR$28,$NN$28,0),IF($NP$28="Bell_Curve",$NN$28*(131-$NR$28+1)*($NS$28-131+1)/$NU$28,$NN$28/$NT$28)),0)</f>
        <v/>
      </c>
      <c r="EF28" s="402">
        <f>IF(AND(132&gt;=$NR$28,132&lt;=$NS$28),IF($NP$28="Single_Point",IF(132=$NR$28,$NN$28,0),IF($NP$28="Bell_Curve",$NN$28*(132-$NR$28+1)*($NS$28-132+1)/$NU$28,$NN$28/$NT$28)),0)</f>
        <v/>
      </c>
      <c r="EG28" s="402">
        <f>IF(AND(133&gt;=$NR$28,133&lt;=$NS$28),IF($NP$28="Single_Point",IF(133=$NR$28,$NN$28,0),IF($NP$28="Bell_Curve",$NN$28*(133-$NR$28+1)*($NS$28-133+1)/$NU$28,$NN$28/$NT$28)),0)</f>
        <v/>
      </c>
      <c r="EH28" s="402">
        <f>IF(AND(134&gt;=$NR$28,134&lt;=$NS$28),IF($NP$28="Single_Point",IF(134=$NR$28,$NN$28,0),IF($NP$28="Bell_Curve",$NN$28*(134-$NR$28+1)*($NS$28-134+1)/$NU$28,$NN$28/$NT$28)),0)</f>
        <v/>
      </c>
      <c r="EI28" s="402">
        <f>IF(AND(135&gt;=$NR$28,135&lt;=$NS$28),IF($NP$28="Single_Point",IF(135=$NR$28,$NN$28,0),IF($NP$28="Bell_Curve",$NN$28*(135-$NR$28+1)*($NS$28-135+1)/$NU$28,$NN$28/$NT$28)),0)</f>
        <v/>
      </c>
      <c r="EJ28" s="402">
        <f>IF(AND(136&gt;=$NR$28,136&lt;=$NS$28),IF($NP$28="Single_Point",IF(136=$NR$28,$NN$28,0),IF($NP$28="Bell_Curve",$NN$28*(136-$NR$28+1)*($NS$28-136+1)/$NU$28,$NN$28/$NT$28)),0)</f>
        <v/>
      </c>
      <c r="EK28" s="402">
        <f>IF(AND(137&gt;=$NR$28,137&lt;=$NS$28),IF($NP$28="Single_Point",IF(137=$NR$28,$NN$28,0),IF($NP$28="Bell_Curve",$NN$28*(137-$NR$28+1)*($NS$28-137+1)/$NU$28,$NN$28/$NT$28)),0)</f>
        <v/>
      </c>
      <c r="EL28" s="402">
        <f>IF(AND(138&gt;=$NR$28,138&lt;=$NS$28),IF($NP$28="Single_Point",IF(138=$NR$28,$NN$28,0),IF($NP$28="Bell_Curve",$NN$28*(138-$NR$28+1)*($NS$28-138+1)/$NU$28,$NN$28/$NT$28)),0)</f>
        <v/>
      </c>
      <c r="EM28" s="402">
        <f>IF(AND(139&gt;=$NR$28,139&lt;=$NS$28),IF($NP$28="Single_Point",IF(139=$NR$28,$NN$28,0),IF($NP$28="Bell_Curve",$NN$28*(139-$NR$28+1)*($NS$28-139+1)/$NU$28,$NN$28/$NT$28)),0)</f>
        <v/>
      </c>
      <c r="EN28" s="402">
        <f>IF(AND(140&gt;=$NR$28,140&lt;=$NS$28),IF($NP$28="Single_Point",IF(140=$NR$28,$NN$28,0),IF($NP$28="Bell_Curve",$NN$28*(140-$NR$28+1)*($NS$28-140+1)/$NU$28,$NN$28/$NT$28)),0)</f>
        <v/>
      </c>
      <c r="EO28" s="402">
        <f>IF(AND(141&gt;=$NR$28,141&lt;=$NS$28),IF($NP$28="Single_Point",IF(141=$NR$28,$NN$28,0),IF($NP$28="Bell_Curve",$NN$28*(141-$NR$28+1)*($NS$28-141+1)/$NU$28,$NN$28/$NT$28)),0)</f>
        <v/>
      </c>
      <c r="EP28" s="402">
        <f>IF(AND(142&gt;=$NR$28,142&lt;=$NS$28),IF($NP$28="Single_Point",IF(142=$NR$28,$NN$28,0),IF($NP$28="Bell_Curve",$NN$28*(142-$NR$28+1)*($NS$28-142+1)/$NU$28,$NN$28/$NT$28)),0)</f>
        <v/>
      </c>
      <c r="EQ28" s="402">
        <f>IF(AND(143&gt;=$NR$28,143&lt;=$NS$28),IF($NP$28="Single_Point",IF(143=$NR$28,$NN$28,0),IF($NP$28="Bell_Curve",$NN$28*(143-$NR$28+1)*($NS$28-143+1)/$NU$28,$NN$28/$NT$28)),0)</f>
        <v/>
      </c>
      <c r="ER28" s="402">
        <f>IF(AND(144&gt;=$NR$28,144&lt;=$NS$28),IF($NP$28="Single_Point",IF(144=$NR$28,$NN$28,0),IF($NP$28="Bell_Curve",$NN$28*(144-$NR$28+1)*($NS$28-144+1)/$NU$28,$NN$28/$NT$28)),0)</f>
        <v/>
      </c>
      <c r="ES28" s="402">
        <f>IF(AND(145&gt;=$NR$28,145&lt;=$NS$28),IF($NP$28="Single_Point",IF(145=$NR$28,$NN$28,0),IF($NP$28="Bell_Curve",$NN$28*(145-$NR$28+1)*($NS$28-145+1)/$NU$28,$NN$28/$NT$28)),0)</f>
        <v/>
      </c>
      <c r="ET28" s="402">
        <f>IF(AND(146&gt;=$NR$28,146&lt;=$NS$28),IF($NP$28="Single_Point",IF(146=$NR$28,$NN$28,0),IF($NP$28="Bell_Curve",$NN$28*(146-$NR$28+1)*($NS$28-146+1)/$NU$28,$NN$28/$NT$28)),0)</f>
        <v/>
      </c>
      <c r="EU28" s="402">
        <f>IF(AND(147&gt;=$NR$28,147&lt;=$NS$28),IF($NP$28="Single_Point",IF(147=$NR$28,$NN$28,0),IF($NP$28="Bell_Curve",$NN$28*(147-$NR$28+1)*($NS$28-147+1)/$NU$28,$NN$28/$NT$28)),0)</f>
        <v/>
      </c>
      <c r="EV28" s="402">
        <f>IF(AND(148&gt;=$NR$28,148&lt;=$NS$28),IF($NP$28="Single_Point",IF(148=$NR$28,$NN$28,0),IF($NP$28="Bell_Curve",$NN$28*(148-$NR$28+1)*($NS$28-148+1)/$NU$28,$NN$28/$NT$28)),0)</f>
        <v/>
      </c>
      <c r="EW28" s="402">
        <f>IF(AND(149&gt;=$NR$28,149&lt;=$NS$28),IF($NP$28="Single_Point",IF(149=$NR$28,$NN$28,0),IF($NP$28="Bell_Curve",$NN$28*(149-$NR$28+1)*($NS$28-149+1)/$NU$28,$NN$28/$NT$28)),0)</f>
        <v/>
      </c>
      <c r="EX28" s="402">
        <f>IF(AND(150&gt;=$NR$28,150&lt;=$NS$28),IF($NP$28="Single_Point",IF(150=$NR$28,$NN$28,0),IF($NP$28="Bell_Curve",$NN$28*(150-$NR$28+1)*($NS$28-150+1)/$NU$28,$NN$28/$NT$28)),0)</f>
        <v/>
      </c>
      <c r="EY28" s="402">
        <f>IF(AND(151&gt;=$NR$28,151&lt;=$NS$28),IF($NP$28="Single_Point",IF(151=$NR$28,$NN$28,0),IF($NP$28="Bell_Curve",$NN$28*(151-$NR$28+1)*($NS$28-151+1)/$NU$28,$NN$28/$NT$28)),0)</f>
        <v/>
      </c>
      <c r="EZ28" s="402">
        <f>IF(AND(152&gt;=$NR$28,152&lt;=$NS$28),IF($NP$28="Single_Point",IF(152=$NR$28,$NN$28,0),IF($NP$28="Bell_Curve",$NN$28*(152-$NR$28+1)*($NS$28-152+1)/$NU$28,$NN$28/$NT$28)),0)</f>
        <v/>
      </c>
      <c r="FA28" s="402">
        <f>IF(AND(153&gt;=$NR$28,153&lt;=$NS$28),IF($NP$28="Single_Point",IF(153=$NR$28,$NN$28,0),IF($NP$28="Bell_Curve",$NN$28*(153-$NR$28+1)*($NS$28-153+1)/$NU$28,$NN$28/$NT$28)),0)</f>
        <v/>
      </c>
      <c r="FB28" s="402">
        <f>IF(AND(154&gt;=$NR$28,154&lt;=$NS$28),IF($NP$28="Single_Point",IF(154=$NR$28,$NN$28,0),IF($NP$28="Bell_Curve",$NN$28*(154-$NR$28+1)*($NS$28-154+1)/$NU$28,$NN$28/$NT$28)),0)</f>
        <v/>
      </c>
      <c r="FC28" s="402">
        <f>IF(AND(155&gt;=$NR$28,155&lt;=$NS$28),IF($NP$28="Single_Point",IF(155=$NR$28,$NN$28,0),IF($NP$28="Bell_Curve",$NN$28*(155-$NR$28+1)*($NS$28-155+1)/$NU$28,$NN$28/$NT$28)),0)</f>
        <v/>
      </c>
      <c r="FD28" s="402">
        <f>IF(AND(156&gt;=$NR$28,156&lt;=$NS$28),IF($NP$28="Single_Point",IF(156=$NR$28,$NN$28,0),IF($NP$28="Bell_Curve",$NN$28*(156-$NR$28+1)*($NS$28-156+1)/$NU$28,$NN$28/$NT$28)),0)</f>
        <v/>
      </c>
      <c r="FE28" s="402">
        <f>IF(AND(157&gt;=$NR$28,157&lt;=$NS$28),IF($NP$28="Single_Point",IF(157=$NR$28,$NN$28,0),IF($NP$28="Bell_Curve",$NN$28*(157-$NR$28+1)*($NS$28-157+1)/$NU$28,$NN$28/$NT$28)),0)</f>
        <v/>
      </c>
      <c r="FF28" s="402">
        <f>IF(AND(158&gt;=$NR$28,158&lt;=$NS$28),IF($NP$28="Single_Point",IF(158=$NR$28,$NN$28,0),IF($NP$28="Bell_Curve",$NN$28*(158-$NR$28+1)*($NS$28-158+1)/$NU$28,$NN$28/$NT$28)),0)</f>
        <v/>
      </c>
      <c r="FG28" s="402">
        <f>IF(AND(159&gt;=$NR$28,159&lt;=$NS$28),IF($NP$28="Single_Point",IF(159=$NR$28,$NN$28,0),IF($NP$28="Bell_Curve",$NN$28*(159-$NR$28+1)*($NS$28-159+1)/$NU$28,$NN$28/$NT$28)),0)</f>
        <v/>
      </c>
      <c r="FH28" s="402">
        <f>IF(AND(160&gt;=$NR$28,160&lt;=$NS$28),IF($NP$28="Single_Point",IF(160=$NR$28,$NN$28,0),IF($NP$28="Bell_Curve",$NN$28*(160-$NR$28+1)*($NS$28-160+1)/$NU$28,$NN$28/$NT$28)),0)</f>
        <v/>
      </c>
      <c r="FI28" s="402">
        <f>IF(AND(161&gt;=$NR$28,161&lt;=$NS$28),IF($NP$28="Single_Point",IF(161=$NR$28,$NN$28,0),IF($NP$28="Bell_Curve",$NN$28*(161-$NR$28+1)*($NS$28-161+1)/$NU$28,$NN$28/$NT$28)),0)</f>
        <v/>
      </c>
      <c r="FJ28" s="402">
        <f>IF(AND(162&gt;=$NR$28,162&lt;=$NS$28),IF($NP$28="Single_Point",IF(162=$NR$28,$NN$28,0),IF($NP$28="Bell_Curve",$NN$28*(162-$NR$28+1)*($NS$28-162+1)/$NU$28,$NN$28/$NT$28)),0)</f>
        <v/>
      </c>
      <c r="FK28" s="402">
        <f>IF(AND(163&gt;=$NR$28,163&lt;=$NS$28),IF($NP$28="Single_Point",IF(163=$NR$28,$NN$28,0),IF($NP$28="Bell_Curve",$NN$28*(163-$NR$28+1)*($NS$28-163+1)/$NU$28,$NN$28/$NT$28)),0)</f>
        <v/>
      </c>
      <c r="FL28" s="402">
        <f>IF(AND(164&gt;=$NR$28,164&lt;=$NS$28),IF($NP$28="Single_Point",IF(164=$NR$28,$NN$28,0),IF($NP$28="Bell_Curve",$NN$28*(164-$NR$28+1)*($NS$28-164+1)/$NU$28,$NN$28/$NT$28)),0)</f>
        <v/>
      </c>
      <c r="FM28" s="402">
        <f>IF(AND(165&gt;=$NR$28,165&lt;=$NS$28),IF($NP$28="Single_Point",IF(165=$NR$28,$NN$28,0),IF($NP$28="Bell_Curve",$NN$28*(165-$NR$28+1)*($NS$28-165+1)/$NU$28,$NN$28/$NT$28)),0)</f>
        <v/>
      </c>
      <c r="FN28" s="402">
        <f>IF(AND(166&gt;=$NR$28,166&lt;=$NS$28),IF($NP$28="Single_Point",IF(166=$NR$28,$NN$28,0),IF($NP$28="Bell_Curve",$NN$28*(166-$NR$28+1)*($NS$28-166+1)/$NU$28,$NN$28/$NT$28)),0)</f>
        <v/>
      </c>
      <c r="FO28" s="402">
        <f>IF(AND(167&gt;=$NR$28,167&lt;=$NS$28),IF($NP$28="Single_Point",IF(167=$NR$28,$NN$28,0),IF($NP$28="Bell_Curve",$NN$28*(167-$NR$28+1)*($NS$28-167+1)/$NU$28,$NN$28/$NT$28)),0)</f>
        <v/>
      </c>
      <c r="FP28" s="402">
        <f>IF(AND(168&gt;=$NR$28,168&lt;=$NS$28),IF($NP$28="Single_Point",IF(168=$NR$28,$NN$28,0),IF($NP$28="Bell_Curve",$NN$28*(168-$NR$28+1)*($NS$28-168+1)/$NU$28,$NN$28/$NT$28)),0)</f>
        <v/>
      </c>
      <c r="FQ28" s="402">
        <f>IF(AND(169&gt;=$NR$28,169&lt;=$NS$28),IF($NP$28="Single_Point",IF(169=$NR$28,$NN$28,0),IF($NP$28="Bell_Curve",$NN$28*(169-$NR$28+1)*($NS$28-169+1)/$NU$28,$NN$28/$NT$28)),0)</f>
        <v/>
      </c>
      <c r="FR28" s="402">
        <f>IF(AND(170&gt;=$NR$28,170&lt;=$NS$28),IF($NP$28="Single_Point",IF(170=$NR$28,$NN$28,0),IF($NP$28="Bell_Curve",$NN$28*(170-$NR$28+1)*($NS$28-170+1)/$NU$28,$NN$28/$NT$28)),0)</f>
        <v/>
      </c>
      <c r="FS28" s="402">
        <f>IF(AND(171&gt;=$NR$28,171&lt;=$NS$28),IF($NP$28="Single_Point",IF(171=$NR$28,$NN$28,0),IF($NP$28="Bell_Curve",$NN$28*(171-$NR$28+1)*($NS$28-171+1)/$NU$28,$NN$28/$NT$28)),0)</f>
        <v/>
      </c>
      <c r="FT28" s="402">
        <f>IF(AND(172&gt;=$NR$28,172&lt;=$NS$28),IF($NP$28="Single_Point",IF(172=$NR$28,$NN$28,0),IF($NP$28="Bell_Curve",$NN$28*(172-$NR$28+1)*($NS$28-172+1)/$NU$28,$NN$28/$NT$28)),0)</f>
        <v/>
      </c>
      <c r="FU28" s="402">
        <f>IF(AND(173&gt;=$NR$28,173&lt;=$NS$28),IF($NP$28="Single_Point",IF(173=$NR$28,$NN$28,0),IF($NP$28="Bell_Curve",$NN$28*(173-$NR$28+1)*($NS$28-173+1)/$NU$28,$NN$28/$NT$28)),0)</f>
        <v/>
      </c>
      <c r="FV28" s="402">
        <f>IF(AND(174&gt;=$NR$28,174&lt;=$NS$28),IF($NP$28="Single_Point",IF(174=$NR$28,$NN$28,0),IF($NP$28="Bell_Curve",$NN$28*(174-$NR$28+1)*($NS$28-174+1)/$NU$28,$NN$28/$NT$28)),0)</f>
        <v/>
      </c>
      <c r="FW28" s="402">
        <f>IF(AND(175&gt;=$NR$28,175&lt;=$NS$28),IF($NP$28="Single_Point",IF(175=$NR$28,$NN$28,0),IF($NP$28="Bell_Curve",$NN$28*(175-$NR$28+1)*($NS$28-175+1)/$NU$28,$NN$28/$NT$28)),0)</f>
        <v/>
      </c>
      <c r="FX28" s="402">
        <f>IF(AND(176&gt;=$NR$28,176&lt;=$NS$28),IF($NP$28="Single_Point",IF(176=$NR$28,$NN$28,0),IF($NP$28="Bell_Curve",$NN$28*(176-$NR$28+1)*($NS$28-176+1)/$NU$28,$NN$28/$NT$28)),0)</f>
        <v/>
      </c>
      <c r="FY28" s="402">
        <f>IF(AND(177&gt;=$NR$28,177&lt;=$NS$28),IF($NP$28="Single_Point",IF(177=$NR$28,$NN$28,0),IF($NP$28="Bell_Curve",$NN$28*(177-$NR$28+1)*($NS$28-177+1)/$NU$28,$NN$28/$NT$28)),0)</f>
        <v/>
      </c>
      <c r="FZ28" s="402">
        <f>IF(AND(178&gt;=$NR$28,178&lt;=$NS$28),IF($NP$28="Single_Point",IF(178=$NR$28,$NN$28,0),IF($NP$28="Bell_Curve",$NN$28*(178-$NR$28+1)*($NS$28-178+1)/$NU$28,$NN$28/$NT$28)),0)</f>
        <v/>
      </c>
      <c r="GA28" s="402">
        <f>IF(AND(179&gt;=$NR$28,179&lt;=$NS$28),IF($NP$28="Single_Point",IF(179=$NR$28,$NN$28,0),IF($NP$28="Bell_Curve",$NN$28*(179-$NR$28+1)*($NS$28-179+1)/$NU$28,$NN$28/$NT$28)),0)</f>
        <v/>
      </c>
      <c r="GB28" s="402">
        <f>IF(AND(180&gt;=$NR$28,180&lt;=$NS$28),IF($NP$28="Single_Point",IF(180=$NR$28,$NN$28,0),IF($NP$28="Bell_Curve",$NN$28*(180-$NR$28+1)*($NS$28-180+1)/$NU$28,$NN$28/$NT$28)),0)</f>
        <v/>
      </c>
      <c r="GC28" s="402">
        <f>IF(AND(181&gt;=$NR$28,181&lt;=$NS$28),IF($NP$28="Single_Point",IF(181=$NR$28,$NN$28,0),IF($NP$28="Bell_Curve",$NN$28*(181-$NR$28+1)*($NS$28-181+1)/$NU$28,$NN$28/$NT$28)),0)</f>
        <v/>
      </c>
      <c r="GD28" s="402">
        <f>IF(AND(182&gt;=$NR$28,182&lt;=$NS$28),IF($NP$28="Single_Point",IF(182=$NR$28,$NN$28,0),IF($NP$28="Bell_Curve",$NN$28*(182-$NR$28+1)*($NS$28-182+1)/$NU$28,$NN$28/$NT$28)),0)</f>
        <v/>
      </c>
      <c r="GE28" s="402">
        <f>IF(AND(183&gt;=$NR$28,183&lt;=$NS$28),IF($NP$28="Single_Point",IF(183=$NR$28,$NN$28,0),IF($NP$28="Bell_Curve",$NN$28*(183-$NR$28+1)*($NS$28-183+1)/$NU$28,$NN$28/$NT$28)),0)</f>
        <v/>
      </c>
      <c r="GF28" s="402">
        <f>IF(AND(184&gt;=$NR$28,184&lt;=$NS$28),IF($NP$28="Single_Point",IF(184=$NR$28,$NN$28,0),IF($NP$28="Bell_Curve",$NN$28*(184-$NR$28+1)*($NS$28-184+1)/$NU$28,$NN$28/$NT$28)),0)</f>
        <v/>
      </c>
      <c r="GG28" s="402">
        <f>IF(AND(185&gt;=$NR$28,185&lt;=$NS$28),IF($NP$28="Single_Point",IF(185=$NR$28,$NN$28,0),IF($NP$28="Bell_Curve",$NN$28*(185-$NR$28+1)*($NS$28-185+1)/$NU$28,$NN$28/$NT$28)),0)</f>
        <v/>
      </c>
      <c r="GH28" s="402">
        <f>IF(AND(186&gt;=$NR$28,186&lt;=$NS$28),IF($NP$28="Single_Point",IF(186=$NR$28,$NN$28,0),IF($NP$28="Bell_Curve",$NN$28*(186-$NR$28+1)*($NS$28-186+1)/$NU$28,$NN$28/$NT$28)),0)</f>
        <v/>
      </c>
      <c r="GI28" s="402">
        <f>IF(AND(187&gt;=$NR$28,187&lt;=$NS$28),IF($NP$28="Single_Point",IF(187=$NR$28,$NN$28,0),IF($NP$28="Bell_Curve",$NN$28*(187-$NR$28+1)*($NS$28-187+1)/$NU$28,$NN$28/$NT$28)),0)</f>
        <v/>
      </c>
      <c r="GJ28" s="402">
        <f>IF(AND(188&gt;=$NR$28,188&lt;=$NS$28),IF($NP$28="Single_Point",IF(188=$NR$28,$NN$28,0),IF($NP$28="Bell_Curve",$NN$28*(188-$NR$28+1)*($NS$28-188+1)/$NU$28,$NN$28/$NT$28)),0)</f>
        <v/>
      </c>
      <c r="GK28" s="402">
        <f>IF(AND(189&gt;=$NR$28,189&lt;=$NS$28),IF($NP$28="Single_Point",IF(189=$NR$28,$NN$28,0),IF($NP$28="Bell_Curve",$NN$28*(189-$NR$28+1)*($NS$28-189+1)/$NU$28,$NN$28/$NT$28)),0)</f>
        <v/>
      </c>
      <c r="GL28" s="402">
        <f>IF(AND(190&gt;=$NR$28,190&lt;=$NS$28),IF($NP$28="Single_Point",IF(190=$NR$28,$NN$28,0),IF($NP$28="Bell_Curve",$NN$28*(190-$NR$28+1)*($NS$28-190+1)/$NU$28,$NN$28/$NT$28)),0)</f>
        <v/>
      </c>
      <c r="GM28" s="402">
        <f>IF(AND(191&gt;=$NR$28,191&lt;=$NS$28),IF($NP$28="Single_Point",IF(191=$NR$28,$NN$28,0),IF($NP$28="Bell_Curve",$NN$28*(191-$NR$28+1)*($NS$28-191+1)/$NU$28,$NN$28/$NT$28)),0)</f>
        <v/>
      </c>
      <c r="GN28" s="402">
        <f>IF(AND(192&gt;=$NR$28,192&lt;=$NS$28),IF($NP$28="Single_Point",IF(192=$NR$28,$NN$28,0),IF($NP$28="Bell_Curve",$NN$28*(192-$NR$28+1)*($NS$28-192+1)/$NU$28,$NN$28/$NT$28)),0)</f>
        <v/>
      </c>
      <c r="GO28" s="402">
        <f>IF(AND(193&gt;=$NR$28,193&lt;=$NS$28),IF($NP$28="Single_Point",IF(193=$NR$28,$NN$28,0),IF($NP$28="Bell_Curve",$NN$28*(193-$NR$28+1)*($NS$28-193+1)/$NU$28,$NN$28/$NT$28)),0)</f>
        <v/>
      </c>
      <c r="GP28" s="402">
        <f>IF(AND(194&gt;=$NR$28,194&lt;=$NS$28),IF($NP$28="Single_Point",IF(194=$NR$28,$NN$28,0),IF($NP$28="Bell_Curve",$NN$28*(194-$NR$28+1)*($NS$28-194+1)/$NU$28,$NN$28/$NT$28)),0)</f>
        <v/>
      </c>
      <c r="GQ28" s="402">
        <f>IF(AND(195&gt;=$NR$28,195&lt;=$NS$28),IF($NP$28="Single_Point",IF(195=$NR$28,$NN$28,0),IF($NP$28="Bell_Curve",$NN$28*(195-$NR$28+1)*($NS$28-195+1)/$NU$28,$NN$28/$NT$28)),0)</f>
        <v/>
      </c>
      <c r="GR28" s="402">
        <f>IF(AND(196&gt;=$NR$28,196&lt;=$NS$28),IF($NP$28="Single_Point",IF(196=$NR$28,$NN$28,0),IF($NP$28="Bell_Curve",$NN$28*(196-$NR$28+1)*($NS$28-196+1)/$NU$28,$NN$28/$NT$28)),0)</f>
        <v/>
      </c>
      <c r="GS28" s="402">
        <f>IF(AND(197&gt;=$NR$28,197&lt;=$NS$28),IF($NP$28="Single_Point",IF(197=$NR$28,$NN$28,0),IF($NP$28="Bell_Curve",$NN$28*(197-$NR$28+1)*($NS$28-197+1)/$NU$28,$NN$28/$NT$28)),0)</f>
        <v/>
      </c>
      <c r="GT28" s="402">
        <f>IF(AND(198&gt;=$NR$28,198&lt;=$NS$28),IF($NP$28="Single_Point",IF(198=$NR$28,$NN$28,0),IF($NP$28="Bell_Curve",$NN$28*(198-$NR$28+1)*($NS$28-198+1)/$NU$28,$NN$28/$NT$28)),0)</f>
        <v/>
      </c>
      <c r="GU28" s="402">
        <f>IF(AND(199&gt;=$NR$28,199&lt;=$NS$28),IF($NP$28="Single_Point",IF(199=$NR$28,$NN$28,0),IF($NP$28="Bell_Curve",$NN$28*(199-$NR$28+1)*($NS$28-199+1)/$NU$28,$NN$28/$NT$28)),0)</f>
        <v/>
      </c>
      <c r="GV28" s="402">
        <f>IF(AND(200&gt;=$NR$28,200&lt;=$NS$28),IF($NP$28="Single_Point",IF(200=$NR$28,$NN$28,0),IF($NP$28="Bell_Curve",$NN$28*(200-$NR$28+1)*($NS$28-200+1)/$NU$28,$NN$28/$NT$28)),0)</f>
        <v/>
      </c>
      <c r="GW28" s="402">
        <f>IF(AND(201&gt;=$NR$28,201&lt;=$NS$28),IF($NP$28="Single_Point",IF(201=$NR$28,$NN$28,0),IF($NP$28="Bell_Curve",$NN$28*(201-$NR$28+1)*($NS$28-201+1)/$NU$28,$NN$28/$NT$28)),0)</f>
        <v/>
      </c>
      <c r="GX28" s="402">
        <f>IF(AND(202&gt;=$NR$28,202&lt;=$NS$28),IF($NP$28="Single_Point",IF(202=$NR$28,$NN$28,0),IF($NP$28="Bell_Curve",$NN$28*(202-$NR$28+1)*($NS$28-202+1)/$NU$28,$NN$28/$NT$28)),0)</f>
        <v/>
      </c>
      <c r="GY28" s="402">
        <f>IF(AND(203&gt;=$NR$28,203&lt;=$NS$28),IF($NP$28="Single_Point",IF(203=$NR$28,$NN$28,0),IF($NP$28="Bell_Curve",$NN$28*(203-$NR$28+1)*($NS$28-203+1)/$NU$28,$NN$28/$NT$28)),0)</f>
        <v/>
      </c>
      <c r="GZ28" s="402">
        <f>IF(AND(204&gt;=$NR$28,204&lt;=$NS$28),IF($NP$28="Single_Point",IF(204=$NR$28,$NN$28,0),IF($NP$28="Bell_Curve",$NN$28*(204-$NR$28+1)*($NS$28-204+1)/$NU$28,$NN$28/$NT$28)),0)</f>
        <v/>
      </c>
      <c r="HA28" s="402">
        <f>IF(AND(205&gt;=$NR$28,205&lt;=$NS$28),IF($NP$28="Single_Point",IF(205=$NR$28,$NN$28,0),IF($NP$28="Bell_Curve",$NN$28*(205-$NR$28+1)*($NS$28-205+1)/$NU$28,$NN$28/$NT$28)),0)</f>
        <v/>
      </c>
      <c r="HB28" s="402">
        <f>IF(AND(206&gt;=$NR$28,206&lt;=$NS$28),IF($NP$28="Single_Point",IF(206=$NR$28,$NN$28,0),IF($NP$28="Bell_Curve",$NN$28*(206-$NR$28+1)*($NS$28-206+1)/$NU$28,$NN$28/$NT$28)),0)</f>
        <v/>
      </c>
      <c r="HC28" s="402">
        <f>IF(AND(207&gt;=$NR$28,207&lt;=$NS$28),IF($NP$28="Single_Point",IF(207=$NR$28,$NN$28,0),IF($NP$28="Bell_Curve",$NN$28*(207-$NR$28+1)*($NS$28-207+1)/$NU$28,$NN$28/$NT$28)),0)</f>
        <v/>
      </c>
      <c r="HD28" s="402">
        <f>IF(AND(208&gt;=$NR$28,208&lt;=$NS$28),IF($NP$28="Single_Point",IF(208=$NR$28,$NN$28,0),IF($NP$28="Bell_Curve",$NN$28*(208-$NR$28+1)*($NS$28-208+1)/$NU$28,$NN$28/$NT$28)),0)</f>
        <v/>
      </c>
      <c r="HE28" s="402">
        <f>IF(AND(209&gt;=$NR$28,209&lt;=$NS$28),IF($NP$28="Single_Point",IF(209=$NR$28,$NN$28,0),IF($NP$28="Bell_Curve",$NN$28*(209-$NR$28+1)*($NS$28-209+1)/$NU$28,$NN$28/$NT$28)),0)</f>
        <v/>
      </c>
      <c r="HF28" s="402">
        <f>IF(AND(210&gt;=$NR$28,210&lt;=$NS$28),IF($NP$28="Single_Point",IF(210=$NR$28,$NN$28,0),IF($NP$28="Bell_Curve",$NN$28*(210-$NR$28+1)*($NS$28-210+1)/$NU$28,$NN$28/$NT$28)),0)</f>
        <v/>
      </c>
      <c r="HG28" s="402">
        <f>IF(AND(211&gt;=$NR$28,211&lt;=$NS$28),IF($NP$28="Single_Point",IF(211=$NR$28,$NN$28,0),IF($NP$28="Bell_Curve",$NN$28*(211-$NR$28+1)*($NS$28-211+1)/$NU$28,$NN$28/$NT$28)),0)</f>
        <v/>
      </c>
      <c r="HH28" s="402">
        <f>IF(AND(212&gt;=$NR$28,212&lt;=$NS$28),IF($NP$28="Single_Point",IF(212=$NR$28,$NN$28,0),IF($NP$28="Bell_Curve",$NN$28*(212-$NR$28+1)*($NS$28-212+1)/$NU$28,$NN$28/$NT$28)),0)</f>
        <v/>
      </c>
      <c r="HI28" s="402">
        <f>IF(AND(213&gt;=$NR$28,213&lt;=$NS$28),IF($NP$28="Single_Point",IF(213=$NR$28,$NN$28,0),IF($NP$28="Bell_Curve",$NN$28*(213-$NR$28+1)*($NS$28-213+1)/$NU$28,$NN$28/$NT$28)),0)</f>
        <v/>
      </c>
      <c r="HJ28" s="402">
        <f>IF(AND(214&gt;=$NR$28,214&lt;=$NS$28),IF($NP$28="Single_Point",IF(214=$NR$28,$NN$28,0),IF($NP$28="Bell_Curve",$NN$28*(214-$NR$28+1)*($NS$28-214+1)/$NU$28,$NN$28/$NT$28)),0)</f>
        <v/>
      </c>
      <c r="HK28" s="402">
        <f>IF(AND(215&gt;=$NR$28,215&lt;=$NS$28),IF($NP$28="Single_Point",IF(215=$NR$28,$NN$28,0),IF($NP$28="Bell_Curve",$NN$28*(215-$NR$28+1)*($NS$28-215+1)/$NU$28,$NN$28/$NT$28)),0)</f>
        <v/>
      </c>
      <c r="HL28" s="402">
        <f>IF(AND(216&gt;=$NR$28,216&lt;=$NS$28),IF($NP$28="Single_Point",IF(216=$NR$28,$NN$28,0),IF($NP$28="Bell_Curve",$NN$28*(216-$NR$28+1)*($NS$28-216+1)/$NU$28,$NN$28/$NT$28)),0)</f>
        <v/>
      </c>
      <c r="HM28" s="402">
        <f>IF(AND(217&gt;=$NR$28,217&lt;=$NS$28),IF($NP$28="Single_Point",IF(217=$NR$28,$NN$28,0),IF($NP$28="Bell_Curve",$NN$28*(217-$NR$28+1)*($NS$28-217+1)/$NU$28,$NN$28/$NT$28)),0)</f>
        <v/>
      </c>
      <c r="HN28" s="402">
        <f>IF(AND(218&gt;=$NR$28,218&lt;=$NS$28),IF($NP$28="Single_Point",IF(218=$NR$28,$NN$28,0),IF($NP$28="Bell_Curve",$NN$28*(218-$NR$28+1)*($NS$28-218+1)/$NU$28,$NN$28/$NT$28)),0)</f>
        <v/>
      </c>
      <c r="HO28" s="402">
        <f>IF(AND(219&gt;=$NR$28,219&lt;=$NS$28),IF($NP$28="Single_Point",IF(219=$NR$28,$NN$28,0),IF($NP$28="Bell_Curve",$NN$28*(219-$NR$28+1)*($NS$28-219+1)/$NU$28,$NN$28/$NT$28)),0)</f>
        <v/>
      </c>
      <c r="HP28" s="402">
        <f>IF(AND(220&gt;=$NR$28,220&lt;=$NS$28),IF($NP$28="Single_Point",IF(220=$NR$28,$NN$28,0),IF($NP$28="Bell_Curve",$NN$28*(220-$NR$28+1)*($NS$28-220+1)/$NU$28,$NN$28/$NT$28)),0)</f>
        <v/>
      </c>
      <c r="HQ28" s="402">
        <f>IF(AND(221&gt;=$NR$28,221&lt;=$NS$28),IF($NP$28="Single_Point",IF(221=$NR$28,$NN$28,0),IF($NP$28="Bell_Curve",$NN$28*(221-$NR$28+1)*($NS$28-221+1)/$NU$28,$NN$28/$NT$28)),0)</f>
        <v/>
      </c>
      <c r="HR28" s="402">
        <f>IF(AND(222&gt;=$NR$28,222&lt;=$NS$28),IF($NP$28="Single_Point",IF(222=$NR$28,$NN$28,0),IF($NP$28="Bell_Curve",$NN$28*(222-$NR$28+1)*($NS$28-222+1)/$NU$28,$NN$28/$NT$28)),0)</f>
        <v/>
      </c>
      <c r="HS28" s="402">
        <f>IF(AND(223&gt;=$NR$28,223&lt;=$NS$28),IF($NP$28="Single_Point",IF(223=$NR$28,$NN$28,0),IF($NP$28="Bell_Curve",$NN$28*(223-$NR$28+1)*($NS$28-223+1)/$NU$28,$NN$28/$NT$28)),0)</f>
        <v/>
      </c>
      <c r="HT28" s="402">
        <f>IF(AND(224&gt;=$NR$28,224&lt;=$NS$28),IF($NP$28="Single_Point",IF(224=$NR$28,$NN$28,0),IF($NP$28="Bell_Curve",$NN$28*(224-$NR$28+1)*($NS$28-224+1)/$NU$28,$NN$28/$NT$28)),0)</f>
        <v/>
      </c>
      <c r="HU28" s="402">
        <f>IF(AND(225&gt;=$NR$28,225&lt;=$NS$28),IF($NP$28="Single_Point",IF(225=$NR$28,$NN$28,0),IF($NP$28="Bell_Curve",$NN$28*(225-$NR$28+1)*($NS$28-225+1)/$NU$28,$NN$28/$NT$28)),0)</f>
        <v/>
      </c>
      <c r="HV28" s="402">
        <f>IF(AND(226&gt;=$NR$28,226&lt;=$NS$28),IF($NP$28="Single_Point",IF(226=$NR$28,$NN$28,0),IF($NP$28="Bell_Curve",$NN$28*(226-$NR$28+1)*($NS$28-226+1)/$NU$28,$NN$28/$NT$28)),0)</f>
        <v/>
      </c>
      <c r="HW28" s="402">
        <f>IF(AND(227&gt;=$NR$28,227&lt;=$NS$28),IF($NP$28="Single_Point",IF(227=$NR$28,$NN$28,0),IF($NP$28="Bell_Curve",$NN$28*(227-$NR$28+1)*($NS$28-227+1)/$NU$28,$NN$28/$NT$28)),0)</f>
        <v/>
      </c>
      <c r="HX28" s="402">
        <f>IF(AND(228&gt;=$NR$28,228&lt;=$NS$28),IF($NP$28="Single_Point",IF(228=$NR$28,$NN$28,0),IF($NP$28="Bell_Curve",$NN$28*(228-$NR$28+1)*($NS$28-228+1)/$NU$28,$NN$28/$NT$28)),0)</f>
        <v/>
      </c>
      <c r="HY28" s="402">
        <f>IF(AND(229&gt;=$NR$28,229&lt;=$NS$28),IF($NP$28="Single_Point",IF(229=$NR$28,$NN$28,0),IF($NP$28="Bell_Curve",$NN$28*(229-$NR$28+1)*($NS$28-229+1)/$NU$28,$NN$28/$NT$28)),0)</f>
        <v/>
      </c>
      <c r="HZ28" s="402">
        <f>IF(AND(230&gt;=$NR$28,230&lt;=$NS$28),IF($NP$28="Single_Point",IF(230=$NR$28,$NN$28,0),IF($NP$28="Bell_Curve",$NN$28*(230-$NR$28+1)*($NS$28-230+1)/$NU$28,$NN$28/$NT$28)),0)</f>
        <v/>
      </c>
      <c r="IA28" s="402">
        <f>IF(AND(231&gt;=$NR$28,231&lt;=$NS$28),IF($NP$28="Single_Point",IF(231=$NR$28,$NN$28,0),IF($NP$28="Bell_Curve",$NN$28*(231-$NR$28+1)*($NS$28-231+1)/$NU$28,$NN$28/$NT$28)),0)</f>
        <v/>
      </c>
      <c r="IB28" s="402">
        <f>IF(AND(232&gt;=$NR$28,232&lt;=$NS$28),IF($NP$28="Single_Point",IF(232=$NR$28,$NN$28,0),IF($NP$28="Bell_Curve",$NN$28*(232-$NR$28+1)*($NS$28-232+1)/$NU$28,$NN$28/$NT$28)),0)</f>
        <v/>
      </c>
      <c r="IC28" s="402">
        <f>IF(AND(233&gt;=$NR$28,233&lt;=$NS$28),IF($NP$28="Single_Point",IF(233=$NR$28,$NN$28,0),IF($NP$28="Bell_Curve",$NN$28*(233-$NR$28+1)*($NS$28-233+1)/$NU$28,$NN$28/$NT$28)),0)</f>
        <v/>
      </c>
      <c r="ID28" s="402">
        <f>IF(AND(234&gt;=$NR$28,234&lt;=$NS$28),IF($NP$28="Single_Point",IF(234=$NR$28,$NN$28,0),IF($NP$28="Bell_Curve",$NN$28*(234-$NR$28+1)*($NS$28-234+1)/$NU$28,$NN$28/$NT$28)),0)</f>
        <v/>
      </c>
      <c r="IE28" s="402">
        <f>IF(AND(235&gt;=$NR$28,235&lt;=$NS$28),IF($NP$28="Single_Point",IF(235=$NR$28,$NN$28,0),IF($NP$28="Bell_Curve",$NN$28*(235-$NR$28+1)*($NS$28-235+1)/$NU$28,$NN$28/$NT$28)),0)</f>
        <v/>
      </c>
      <c r="IF28" s="402">
        <f>IF(AND(236&gt;=$NR$28,236&lt;=$NS$28),IF($NP$28="Single_Point",IF(236=$NR$28,$NN$28,0),IF($NP$28="Bell_Curve",$NN$28*(236-$NR$28+1)*($NS$28-236+1)/$NU$28,$NN$28/$NT$28)),0)</f>
        <v/>
      </c>
      <c r="IG28" s="402">
        <f>IF(AND(237&gt;=$NR$28,237&lt;=$NS$28),IF($NP$28="Single_Point",IF(237=$NR$28,$NN$28,0),IF($NP$28="Bell_Curve",$NN$28*(237-$NR$28+1)*($NS$28-237+1)/$NU$28,$NN$28/$NT$28)),0)</f>
        <v/>
      </c>
      <c r="IH28" s="402">
        <f>IF(AND(238&gt;=$NR$28,238&lt;=$NS$28),IF($NP$28="Single_Point",IF(238=$NR$28,$NN$28,0),IF($NP$28="Bell_Curve",$NN$28*(238-$NR$28+1)*($NS$28-238+1)/$NU$28,$NN$28/$NT$28)),0)</f>
        <v/>
      </c>
      <c r="II28" s="402">
        <f>IF(AND(239&gt;=$NR$28,239&lt;=$NS$28),IF($NP$28="Single_Point",IF(239=$NR$28,$NN$28,0),IF($NP$28="Bell_Curve",$NN$28*(239-$NR$28+1)*($NS$28-239+1)/$NU$28,$NN$28/$NT$28)),0)</f>
        <v/>
      </c>
      <c r="IJ28" s="402">
        <f>IF(AND(240&gt;=$NR$28,240&lt;=$NS$28),IF($NP$28="Single_Point",IF(240=$NR$28,$NN$28,0),IF($NP$28="Bell_Curve",$NN$28*(240-$NR$28+1)*($NS$28-240+1)/$NU$28,$NN$28/$NT$28)),0)</f>
        <v/>
      </c>
      <c r="IK28" s="402">
        <f>IF(AND(241&gt;=$NR$28,241&lt;=$NS$28),IF($NP$28="Single_Point",IF(241=$NR$28,$NN$28,0),IF($NP$28="Bell_Curve",$NN$28*(241-$NR$28+1)*($NS$28-241+1)/$NU$28,$NN$28/$NT$28)),0)</f>
        <v/>
      </c>
      <c r="IL28" s="402">
        <f>IF(AND(242&gt;=$NR$28,242&lt;=$NS$28),IF($NP$28="Single_Point",IF(242=$NR$28,$NN$28,0),IF($NP$28="Bell_Curve",$NN$28*(242-$NR$28+1)*($NS$28-242+1)/$NU$28,$NN$28/$NT$28)),0)</f>
        <v/>
      </c>
      <c r="IM28" s="402">
        <f>IF(AND(243&gt;=$NR$28,243&lt;=$NS$28),IF($NP$28="Single_Point",IF(243=$NR$28,$NN$28,0),IF($NP$28="Bell_Curve",$NN$28*(243-$NR$28+1)*($NS$28-243+1)/$NU$28,$NN$28/$NT$28)),0)</f>
        <v/>
      </c>
      <c r="IN28" s="402">
        <f>IF(AND(244&gt;=$NR$28,244&lt;=$NS$28),IF($NP$28="Single_Point",IF(244=$NR$28,$NN$28,0),IF($NP$28="Bell_Curve",$NN$28*(244-$NR$28+1)*($NS$28-244+1)/$NU$28,$NN$28/$NT$28)),0)</f>
        <v/>
      </c>
      <c r="IO28" s="402">
        <f>IF(AND(245&gt;=$NR$28,245&lt;=$NS$28),IF($NP$28="Single_Point",IF(245=$NR$28,$NN$28,0),IF($NP$28="Bell_Curve",$NN$28*(245-$NR$28+1)*($NS$28-245+1)/$NU$28,$NN$28/$NT$28)),0)</f>
        <v/>
      </c>
      <c r="IP28" s="402">
        <f>IF(AND(246&gt;=$NR$28,246&lt;=$NS$28),IF($NP$28="Single_Point",IF(246=$NR$28,$NN$28,0),IF($NP$28="Bell_Curve",$NN$28*(246-$NR$28+1)*($NS$28-246+1)/$NU$28,$NN$28/$NT$28)),0)</f>
        <v/>
      </c>
      <c r="IQ28" s="402">
        <f>IF(AND(247&gt;=$NR$28,247&lt;=$NS$28),IF($NP$28="Single_Point",IF(247=$NR$28,$NN$28,0),IF($NP$28="Bell_Curve",$NN$28*(247-$NR$28+1)*($NS$28-247+1)/$NU$28,$NN$28/$NT$28)),0)</f>
        <v/>
      </c>
      <c r="IR28" s="402">
        <f>IF(AND(248&gt;=$NR$28,248&lt;=$NS$28),IF($NP$28="Single_Point",IF(248=$NR$28,$NN$28,0),IF($NP$28="Bell_Curve",$NN$28*(248-$NR$28+1)*($NS$28-248+1)/$NU$28,$NN$28/$NT$28)),0)</f>
        <v/>
      </c>
      <c r="IS28" s="402">
        <f>IF(AND(249&gt;=$NR$28,249&lt;=$NS$28),IF($NP$28="Single_Point",IF(249=$NR$28,$NN$28,0),IF($NP$28="Bell_Curve",$NN$28*(249-$NR$28+1)*($NS$28-249+1)/$NU$28,$NN$28/$NT$28)),0)</f>
        <v/>
      </c>
      <c r="IT28" s="402">
        <f>IF(AND(250&gt;=$NR$28,250&lt;=$NS$28),IF($NP$28="Single_Point",IF(250=$NR$28,$NN$28,0),IF($NP$28="Bell_Curve",$NN$28*(250-$NR$28+1)*($NS$28-250+1)/$NU$28,$NN$28/$NT$28)),0)</f>
        <v/>
      </c>
      <c r="IU28" s="402">
        <f>IF(AND(251&gt;=$NR$28,251&lt;=$NS$28),IF($NP$28="Single_Point",IF(251=$NR$28,$NN$28,0),IF($NP$28="Bell_Curve",$NN$28*(251-$NR$28+1)*($NS$28-251+1)/$NU$28,$NN$28/$NT$28)),0)</f>
        <v/>
      </c>
      <c r="IV28" s="402">
        <f>IF(AND(252&gt;=$NR$28,252&lt;=$NS$28),IF($NP$28="Single_Point",IF(252=$NR$28,$NN$28,0),IF($NP$28="Bell_Curve",$NN$28*(252-$NR$28+1)*($NS$28-252+1)/$NU$28,$NN$28/$NT$28)),0)</f>
        <v/>
      </c>
      <c r="IW28" s="402">
        <f>IF(AND(253&gt;=$NR$28,253&lt;=$NS$28),IF($NP$28="Single_Point",IF(253=$NR$28,$NN$28,0),IF($NP$28="Bell_Curve",$NN$28*(253-$NR$28+1)*($NS$28-253+1)/$NU$28,$NN$28/$NT$28)),0)</f>
        <v/>
      </c>
      <c r="IX28" s="402">
        <f>IF(AND(254&gt;=$NR$28,254&lt;=$NS$28),IF($NP$28="Single_Point",IF(254=$NR$28,$NN$28,0),IF($NP$28="Bell_Curve",$NN$28*(254-$NR$28+1)*($NS$28-254+1)/$NU$28,$NN$28/$NT$28)),0)</f>
        <v/>
      </c>
      <c r="IY28" s="402">
        <f>IF(AND(255&gt;=$NR$28,255&lt;=$NS$28),IF($NP$28="Single_Point",IF(255=$NR$28,$NN$28,0),IF($NP$28="Bell_Curve",$NN$28*(255-$NR$28+1)*($NS$28-255+1)/$NU$28,$NN$28/$NT$28)),0)</f>
        <v/>
      </c>
      <c r="IZ28" s="402">
        <f>IF(AND(256&gt;=$NR$28,256&lt;=$NS$28),IF($NP$28="Single_Point",IF(256=$NR$28,$NN$28,0),IF($NP$28="Bell_Curve",$NN$28*(256-$NR$28+1)*($NS$28-256+1)/$NU$28,$NN$28/$NT$28)),0)</f>
        <v/>
      </c>
      <c r="JA28" s="402">
        <f>IF(AND(257&gt;=$NR$28,257&lt;=$NS$28),IF($NP$28="Single_Point",IF(257=$NR$28,$NN$28,0),IF($NP$28="Bell_Curve",$NN$28*(257-$NR$28+1)*($NS$28-257+1)/$NU$28,$NN$28/$NT$28)),0)</f>
        <v/>
      </c>
      <c r="JB28" s="402">
        <f>IF(AND(258&gt;=$NR$28,258&lt;=$NS$28),IF($NP$28="Single_Point",IF(258=$NR$28,$NN$28,0),IF($NP$28="Bell_Curve",$NN$28*(258-$NR$28+1)*($NS$28-258+1)/$NU$28,$NN$28/$NT$28)),0)</f>
        <v/>
      </c>
      <c r="JC28" s="402">
        <f>IF(AND(259&gt;=$NR$28,259&lt;=$NS$28),IF($NP$28="Single_Point",IF(259=$NR$28,$NN$28,0),IF($NP$28="Bell_Curve",$NN$28*(259-$NR$28+1)*($NS$28-259+1)/$NU$28,$NN$28/$NT$28)),0)</f>
        <v/>
      </c>
      <c r="JD28" s="402">
        <f>IF(AND(260&gt;=$NR$28,260&lt;=$NS$28),IF($NP$28="Single_Point",IF(260=$NR$28,$NN$28,0),IF($NP$28="Bell_Curve",$NN$28*(260-$NR$28+1)*($NS$28-260+1)/$NU$28,$NN$28/$NT$28)),0)</f>
        <v/>
      </c>
      <c r="JE28" s="402">
        <f>IF(AND(261&gt;=$NR$28,261&lt;=$NS$28),IF($NP$28="Single_Point",IF(261=$NR$28,$NN$28,0),IF($NP$28="Bell_Curve",$NN$28*(261-$NR$28+1)*($NS$28-261+1)/$NU$28,$NN$28/$NT$28)),0)</f>
        <v/>
      </c>
      <c r="JF28" s="402">
        <f>IF(AND(262&gt;=$NR$28,262&lt;=$NS$28),IF($NP$28="Single_Point",IF(262=$NR$28,$NN$28,0),IF($NP$28="Bell_Curve",$NN$28*(262-$NR$28+1)*($NS$28-262+1)/$NU$28,$NN$28/$NT$28)),0)</f>
        <v/>
      </c>
      <c r="JG28" s="402">
        <f>IF(AND(263&gt;=$NR$28,263&lt;=$NS$28),IF($NP$28="Single_Point",IF(263=$NR$28,$NN$28,0),IF($NP$28="Bell_Curve",$NN$28*(263-$NR$28+1)*($NS$28-263+1)/$NU$28,$NN$28/$NT$28)),0)</f>
        <v/>
      </c>
      <c r="JH28" s="402">
        <f>IF(AND(264&gt;=$NR$28,264&lt;=$NS$28),IF($NP$28="Single_Point",IF(264=$NR$28,$NN$28,0),IF($NP$28="Bell_Curve",$NN$28*(264-$NR$28+1)*($NS$28-264+1)/$NU$28,$NN$28/$NT$28)),0)</f>
        <v/>
      </c>
      <c r="JI28" s="402">
        <f>IF(AND(265&gt;=$NR$28,265&lt;=$NS$28),IF($NP$28="Single_Point",IF(265=$NR$28,$NN$28,0),IF($NP$28="Bell_Curve",$NN$28*(265-$NR$28+1)*($NS$28-265+1)/$NU$28,$NN$28/$NT$28)),0)</f>
        <v/>
      </c>
      <c r="JJ28" s="402">
        <f>IF(AND(266&gt;=$NR$28,266&lt;=$NS$28),IF($NP$28="Single_Point",IF(266=$NR$28,$NN$28,0),IF($NP$28="Bell_Curve",$NN$28*(266-$NR$28+1)*($NS$28-266+1)/$NU$28,$NN$28/$NT$28)),0)</f>
        <v/>
      </c>
      <c r="JK28" s="402">
        <f>IF(AND(267&gt;=$NR$28,267&lt;=$NS$28),IF($NP$28="Single_Point",IF(267=$NR$28,$NN$28,0),IF($NP$28="Bell_Curve",$NN$28*(267-$NR$28+1)*($NS$28-267+1)/$NU$28,$NN$28/$NT$28)),0)</f>
        <v/>
      </c>
      <c r="JL28" s="402">
        <f>IF(AND(268&gt;=$NR$28,268&lt;=$NS$28),IF($NP$28="Single_Point",IF(268=$NR$28,$NN$28,0),IF($NP$28="Bell_Curve",$NN$28*(268-$NR$28+1)*($NS$28-268+1)/$NU$28,$NN$28/$NT$28)),0)</f>
        <v/>
      </c>
      <c r="JM28" s="402">
        <f>IF(AND(269&gt;=$NR$28,269&lt;=$NS$28),IF($NP$28="Single_Point",IF(269=$NR$28,$NN$28,0),IF($NP$28="Bell_Curve",$NN$28*(269-$NR$28+1)*($NS$28-269+1)/$NU$28,$NN$28/$NT$28)),0)</f>
        <v/>
      </c>
      <c r="JN28" s="402">
        <f>IF(AND(270&gt;=$NR$28,270&lt;=$NS$28),IF($NP$28="Single_Point",IF(270=$NR$28,$NN$28,0),IF($NP$28="Bell_Curve",$NN$28*(270-$NR$28+1)*($NS$28-270+1)/$NU$28,$NN$28/$NT$28)),0)</f>
        <v/>
      </c>
      <c r="JO28" s="402">
        <f>IF(AND(271&gt;=$NR$28,271&lt;=$NS$28),IF($NP$28="Single_Point",IF(271=$NR$28,$NN$28,0),IF($NP$28="Bell_Curve",$NN$28*(271-$NR$28+1)*($NS$28-271+1)/$NU$28,$NN$28/$NT$28)),0)</f>
        <v/>
      </c>
      <c r="JP28" s="402">
        <f>IF(AND(272&gt;=$NR$28,272&lt;=$NS$28),IF($NP$28="Single_Point",IF(272=$NR$28,$NN$28,0),IF($NP$28="Bell_Curve",$NN$28*(272-$NR$28+1)*($NS$28-272+1)/$NU$28,$NN$28/$NT$28)),0)</f>
        <v/>
      </c>
      <c r="JQ28" s="402">
        <f>IF(AND(273&gt;=$NR$28,273&lt;=$NS$28),IF($NP$28="Single_Point",IF(273=$NR$28,$NN$28,0),IF($NP$28="Bell_Curve",$NN$28*(273-$NR$28+1)*($NS$28-273+1)/$NU$28,$NN$28/$NT$28)),0)</f>
        <v/>
      </c>
      <c r="JR28" s="402">
        <f>IF(AND(274&gt;=$NR$28,274&lt;=$NS$28),IF($NP$28="Single_Point",IF(274=$NR$28,$NN$28,0),IF($NP$28="Bell_Curve",$NN$28*(274-$NR$28+1)*($NS$28-274+1)/$NU$28,$NN$28/$NT$28)),0)</f>
        <v/>
      </c>
      <c r="JS28" s="402">
        <f>IF(AND(275&gt;=$NR$28,275&lt;=$NS$28),IF($NP$28="Single_Point",IF(275=$NR$28,$NN$28,0),IF($NP$28="Bell_Curve",$NN$28*(275-$NR$28+1)*($NS$28-275+1)/$NU$28,$NN$28/$NT$28)),0)</f>
        <v/>
      </c>
      <c r="JT28" s="402">
        <f>IF(AND(276&gt;=$NR$28,276&lt;=$NS$28),IF($NP$28="Single_Point",IF(276=$NR$28,$NN$28,0),IF($NP$28="Bell_Curve",$NN$28*(276-$NR$28+1)*($NS$28-276+1)/$NU$28,$NN$28/$NT$28)),0)</f>
        <v/>
      </c>
      <c r="JU28" s="402">
        <f>IF(AND(277&gt;=$NR$28,277&lt;=$NS$28),IF($NP$28="Single_Point",IF(277=$NR$28,$NN$28,0),IF($NP$28="Bell_Curve",$NN$28*(277-$NR$28+1)*($NS$28-277+1)/$NU$28,$NN$28/$NT$28)),0)</f>
        <v/>
      </c>
      <c r="JV28" s="402">
        <f>IF(AND(278&gt;=$NR$28,278&lt;=$NS$28),IF($NP$28="Single_Point",IF(278=$NR$28,$NN$28,0),IF($NP$28="Bell_Curve",$NN$28*(278-$NR$28+1)*($NS$28-278+1)/$NU$28,$NN$28/$NT$28)),0)</f>
        <v/>
      </c>
      <c r="JW28" s="402">
        <f>IF(AND(279&gt;=$NR$28,279&lt;=$NS$28),IF($NP$28="Single_Point",IF(279=$NR$28,$NN$28,0),IF($NP$28="Bell_Curve",$NN$28*(279-$NR$28+1)*($NS$28-279+1)/$NU$28,$NN$28/$NT$28)),0)</f>
        <v/>
      </c>
      <c r="JX28" s="402">
        <f>IF(AND(280&gt;=$NR$28,280&lt;=$NS$28),IF($NP$28="Single_Point",IF(280=$NR$28,$NN$28,0),IF($NP$28="Bell_Curve",$NN$28*(280-$NR$28+1)*($NS$28-280+1)/$NU$28,$NN$28/$NT$28)),0)</f>
        <v/>
      </c>
      <c r="JY28" s="402">
        <f>IF(AND(281&gt;=$NR$28,281&lt;=$NS$28),IF($NP$28="Single_Point",IF(281=$NR$28,$NN$28,0),IF($NP$28="Bell_Curve",$NN$28*(281-$NR$28+1)*($NS$28-281+1)/$NU$28,$NN$28/$NT$28)),0)</f>
        <v/>
      </c>
      <c r="JZ28" s="402">
        <f>IF(AND(282&gt;=$NR$28,282&lt;=$NS$28),IF($NP$28="Single_Point",IF(282=$NR$28,$NN$28,0),IF($NP$28="Bell_Curve",$NN$28*(282-$NR$28+1)*($NS$28-282+1)/$NU$28,$NN$28/$NT$28)),0)</f>
        <v/>
      </c>
      <c r="KA28" s="402">
        <f>IF(AND(283&gt;=$NR$28,283&lt;=$NS$28),IF($NP$28="Single_Point",IF(283=$NR$28,$NN$28,0),IF($NP$28="Bell_Curve",$NN$28*(283-$NR$28+1)*($NS$28-283+1)/$NU$28,$NN$28/$NT$28)),0)</f>
        <v/>
      </c>
      <c r="KB28" s="402">
        <f>IF(AND(284&gt;=$NR$28,284&lt;=$NS$28),IF($NP$28="Single_Point",IF(284=$NR$28,$NN$28,0),IF($NP$28="Bell_Curve",$NN$28*(284-$NR$28+1)*($NS$28-284+1)/$NU$28,$NN$28/$NT$28)),0)</f>
        <v/>
      </c>
      <c r="KC28" s="402">
        <f>IF(AND(285&gt;=$NR$28,285&lt;=$NS$28),IF($NP$28="Single_Point",IF(285=$NR$28,$NN$28,0),IF($NP$28="Bell_Curve",$NN$28*(285-$NR$28+1)*($NS$28-285+1)/$NU$28,$NN$28/$NT$28)),0)</f>
        <v/>
      </c>
      <c r="KD28" s="402">
        <f>IF(AND(286&gt;=$NR$28,286&lt;=$NS$28),IF($NP$28="Single_Point",IF(286=$NR$28,$NN$28,0),IF($NP$28="Bell_Curve",$NN$28*(286-$NR$28+1)*($NS$28-286+1)/$NU$28,$NN$28/$NT$28)),0)</f>
        <v/>
      </c>
      <c r="KE28" s="402">
        <f>IF(AND(287&gt;=$NR$28,287&lt;=$NS$28),IF($NP$28="Single_Point",IF(287=$NR$28,$NN$28,0),IF($NP$28="Bell_Curve",$NN$28*(287-$NR$28+1)*($NS$28-287+1)/$NU$28,$NN$28/$NT$28)),0)</f>
        <v/>
      </c>
      <c r="KF28" s="402">
        <f>IF(AND(288&gt;=$NR$28,288&lt;=$NS$28),IF($NP$28="Single_Point",IF(288=$NR$28,$NN$28,0),IF($NP$28="Bell_Curve",$NN$28*(288-$NR$28+1)*($NS$28-288+1)/$NU$28,$NN$28/$NT$28)),0)</f>
        <v/>
      </c>
      <c r="KG28" s="402">
        <f>IF(AND(289&gt;=$NR$28,289&lt;=$NS$28),IF($NP$28="Single_Point",IF(289=$NR$28,$NN$28,0),IF($NP$28="Bell_Curve",$NN$28*(289-$NR$28+1)*($NS$28-289+1)/$NU$28,$NN$28/$NT$28)),0)</f>
        <v/>
      </c>
      <c r="KH28" s="402">
        <f>IF(AND(290&gt;=$NR$28,290&lt;=$NS$28),IF($NP$28="Single_Point",IF(290=$NR$28,$NN$28,0),IF($NP$28="Bell_Curve",$NN$28*(290-$NR$28+1)*($NS$28-290+1)/$NU$28,$NN$28/$NT$28)),0)</f>
        <v/>
      </c>
      <c r="KI28" s="402">
        <f>IF(AND(291&gt;=$NR$28,291&lt;=$NS$28),IF($NP$28="Single_Point",IF(291=$NR$28,$NN$28,0),IF($NP$28="Bell_Curve",$NN$28*(291-$NR$28+1)*($NS$28-291+1)/$NU$28,$NN$28/$NT$28)),0)</f>
        <v/>
      </c>
      <c r="KJ28" s="402">
        <f>IF(AND(292&gt;=$NR$28,292&lt;=$NS$28),IF($NP$28="Single_Point",IF(292=$NR$28,$NN$28,0),IF($NP$28="Bell_Curve",$NN$28*(292-$NR$28+1)*($NS$28-292+1)/$NU$28,$NN$28/$NT$28)),0)</f>
        <v/>
      </c>
      <c r="KK28" s="402">
        <f>IF(AND(293&gt;=$NR$28,293&lt;=$NS$28),IF($NP$28="Single_Point",IF(293=$NR$28,$NN$28,0),IF($NP$28="Bell_Curve",$NN$28*(293-$NR$28+1)*($NS$28-293+1)/$NU$28,$NN$28/$NT$28)),0)</f>
        <v/>
      </c>
      <c r="KL28" s="402">
        <f>IF(AND(294&gt;=$NR$28,294&lt;=$NS$28),IF($NP$28="Single_Point",IF(294=$NR$28,$NN$28,0),IF($NP$28="Bell_Curve",$NN$28*(294-$NR$28+1)*($NS$28-294+1)/$NU$28,$NN$28/$NT$28)),0)</f>
        <v/>
      </c>
      <c r="KM28" s="402">
        <f>IF(AND(295&gt;=$NR$28,295&lt;=$NS$28),IF($NP$28="Single_Point",IF(295=$NR$28,$NN$28,0),IF($NP$28="Bell_Curve",$NN$28*(295-$NR$28+1)*($NS$28-295+1)/$NU$28,$NN$28/$NT$28)),0)</f>
        <v/>
      </c>
      <c r="KN28" s="402">
        <f>IF(AND(296&gt;=$NR$28,296&lt;=$NS$28),IF($NP$28="Single_Point",IF(296=$NR$28,$NN$28,0),IF($NP$28="Bell_Curve",$NN$28*(296-$NR$28+1)*($NS$28-296+1)/$NU$28,$NN$28/$NT$28)),0)</f>
        <v/>
      </c>
      <c r="KO28" s="402">
        <f>IF(AND(297&gt;=$NR$28,297&lt;=$NS$28),IF($NP$28="Single_Point",IF(297=$NR$28,$NN$28,0),IF($NP$28="Bell_Curve",$NN$28*(297-$NR$28+1)*($NS$28-297+1)/$NU$28,$NN$28/$NT$28)),0)</f>
        <v/>
      </c>
      <c r="KP28" s="402">
        <f>IF(AND(298&gt;=$NR$28,298&lt;=$NS$28),IF($NP$28="Single_Point",IF(298=$NR$28,$NN$28,0),IF($NP$28="Bell_Curve",$NN$28*(298-$NR$28+1)*($NS$28-298+1)/$NU$28,$NN$28/$NT$28)),0)</f>
        <v/>
      </c>
      <c r="KQ28" s="402">
        <f>IF(AND(299&gt;=$NR$28,299&lt;=$NS$28),IF($NP$28="Single_Point",IF(299=$NR$28,$NN$28,0),IF($NP$28="Bell_Curve",$NN$28*(299-$NR$28+1)*($NS$28-299+1)/$NU$28,$NN$28/$NT$28)),0)</f>
        <v/>
      </c>
      <c r="KR28" s="402">
        <f>IF(AND(300&gt;=$NR$28,300&lt;=$NS$28),IF($NP$28="Single_Point",IF(300=$NR$28,$NN$28,0),IF($NP$28="Bell_Curve",$NN$28*(300-$NR$28+1)*($NS$28-300+1)/$NU$28,$NN$28/$NT$28)),0)</f>
        <v/>
      </c>
      <c r="KS28" s="402">
        <f>IF(AND(301&gt;=$NR$28,301&lt;=$NS$28),IF($NP$28="Single_Point",IF(301=$NR$28,$NN$28,0),IF($NP$28="Bell_Curve",$NN$28*(301-$NR$28+1)*($NS$28-301+1)/$NU$28,$NN$28/$NT$28)),0)</f>
        <v/>
      </c>
      <c r="KT28" s="402">
        <f>IF(AND(302&gt;=$NR$28,302&lt;=$NS$28),IF($NP$28="Single_Point",IF(302=$NR$28,$NN$28,0),IF($NP$28="Bell_Curve",$NN$28*(302-$NR$28+1)*($NS$28-302+1)/$NU$28,$NN$28/$NT$28)),0)</f>
        <v/>
      </c>
      <c r="KU28" s="402">
        <f>IF(AND(303&gt;=$NR$28,303&lt;=$NS$28),IF($NP$28="Single_Point",IF(303=$NR$28,$NN$28,0),IF($NP$28="Bell_Curve",$NN$28*(303-$NR$28+1)*($NS$28-303+1)/$NU$28,$NN$28/$NT$28)),0)</f>
        <v/>
      </c>
      <c r="KV28" s="402">
        <f>IF(AND(304&gt;=$NR$28,304&lt;=$NS$28),IF($NP$28="Single_Point",IF(304=$NR$28,$NN$28,0),IF($NP$28="Bell_Curve",$NN$28*(304-$NR$28+1)*($NS$28-304+1)/$NU$28,$NN$28/$NT$28)),0)</f>
        <v/>
      </c>
      <c r="KW28" s="402">
        <f>IF(AND(305&gt;=$NR$28,305&lt;=$NS$28),IF($NP$28="Single_Point",IF(305=$NR$28,$NN$28,0),IF($NP$28="Bell_Curve",$NN$28*(305-$NR$28+1)*($NS$28-305+1)/$NU$28,$NN$28/$NT$28)),0)</f>
        <v/>
      </c>
      <c r="KX28" s="402">
        <f>IF(AND(306&gt;=$NR$28,306&lt;=$NS$28),IF($NP$28="Single_Point",IF(306=$NR$28,$NN$28,0),IF($NP$28="Bell_Curve",$NN$28*(306-$NR$28+1)*($NS$28-306+1)/$NU$28,$NN$28/$NT$28)),0)</f>
        <v/>
      </c>
      <c r="KY28" s="402">
        <f>IF(AND(307&gt;=$NR$28,307&lt;=$NS$28),IF($NP$28="Single_Point",IF(307=$NR$28,$NN$28,0),IF($NP$28="Bell_Curve",$NN$28*(307-$NR$28+1)*($NS$28-307+1)/$NU$28,$NN$28/$NT$28)),0)</f>
        <v/>
      </c>
      <c r="KZ28" s="402">
        <f>IF(AND(308&gt;=$NR$28,308&lt;=$NS$28),IF($NP$28="Single_Point",IF(308=$NR$28,$NN$28,0),IF($NP$28="Bell_Curve",$NN$28*(308-$NR$28+1)*($NS$28-308+1)/$NU$28,$NN$28/$NT$28)),0)</f>
        <v/>
      </c>
      <c r="LA28" s="402">
        <f>IF(AND(309&gt;=$NR$28,309&lt;=$NS$28),IF($NP$28="Single_Point",IF(309=$NR$28,$NN$28,0),IF($NP$28="Bell_Curve",$NN$28*(309-$NR$28+1)*($NS$28-309+1)/$NU$28,$NN$28/$NT$28)),0)</f>
        <v/>
      </c>
      <c r="LB28" s="402">
        <f>IF(AND(310&gt;=$NR$28,310&lt;=$NS$28),IF($NP$28="Single_Point",IF(310=$NR$28,$NN$28,0),IF($NP$28="Bell_Curve",$NN$28*(310-$NR$28+1)*($NS$28-310+1)/$NU$28,$NN$28/$NT$28)),0)</f>
        <v/>
      </c>
      <c r="LC28" s="402">
        <f>IF(AND(311&gt;=$NR$28,311&lt;=$NS$28),IF($NP$28="Single_Point",IF(311=$NR$28,$NN$28,0),IF($NP$28="Bell_Curve",$NN$28*(311-$NR$28+1)*($NS$28-311+1)/$NU$28,$NN$28/$NT$28)),0)</f>
        <v/>
      </c>
      <c r="LD28" s="402">
        <f>IF(AND(312&gt;=$NR$28,312&lt;=$NS$28),IF($NP$28="Single_Point",IF(312=$NR$28,$NN$28,0),IF($NP$28="Bell_Curve",$NN$28*(312-$NR$28+1)*($NS$28-312+1)/$NU$28,$NN$28/$NT$28)),0)</f>
        <v/>
      </c>
      <c r="LE28" s="402">
        <f>IF(AND(313&gt;=$NR$28,313&lt;=$NS$28),IF($NP$28="Single_Point",IF(313=$NR$28,$NN$28,0),IF($NP$28="Bell_Curve",$NN$28*(313-$NR$28+1)*($NS$28-313+1)/$NU$28,$NN$28/$NT$28)),0)</f>
        <v/>
      </c>
      <c r="LF28" s="402">
        <f>IF(AND(314&gt;=$NR$28,314&lt;=$NS$28),IF($NP$28="Single_Point",IF(314=$NR$28,$NN$28,0),IF($NP$28="Bell_Curve",$NN$28*(314-$NR$28+1)*($NS$28-314+1)/$NU$28,$NN$28/$NT$28)),0)</f>
        <v/>
      </c>
      <c r="LG28" s="402">
        <f>IF(AND(315&gt;=$NR$28,315&lt;=$NS$28),IF($NP$28="Single_Point",IF(315=$NR$28,$NN$28,0),IF($NP$28="Bell_Curve",$NN$28*(315-$NR$28+1)*($NS$28-315+1)/$NU$28,$NN$28/$NT$28)),0)</f>
        <v/>
      </c>
      <c r="LH28" s="402">
        <f>IF(AND(316&gt;=$NR$28,316&lt;=$NS$28),IF($NP$28="Single_Point",IF(316=$NR$28,$NN$28,0),IF($NP$28="Bell_Curve",$NN$28*(316-$NR$28+1)*($NS$28-316+1)/$NU$28,$NN$28/$NT$28)),0)</f>
        <v/>
      </c>
      <c r="LI28" s="402">
        <f>IF(AND(317&gt;=$NR$28,317&lt;=$NS$28),IF($NP$28="Single_Point",IF(317=$NR$28,$NN$28,0),IF($NP$28="Bell_Curve",$NN$28*(317-$NR$28+1)*($NS$28-317+1)/$NU$28,$NN$28/$NT$28)),0)</f>
        <v/>
      </c>
      <c r="LJ28" s="402">
        <f>IF(AND(318&gt;=$NR$28,318&lt;=$NS$28),IF($NP$28="Single_Point",IF(318=$NR$28,$NN$28,0),IF($NP$28="Bell_Curve",$NN$28*(318-$NR$28+1)*($NS$28-318+1)/$NU$28,$NN$28/$NT$28)),0)</f>
        <v/>
      </c>
      <c r="LK28" s="402">
        <f>IF(AND(319&gt;=$NR$28,319&lt;=$NS$28),IF($NP$28="Single_Point",IF(319=$NR$28,$NN$28,0),IF($NP$28="Bell_Curve",$NN$28*(319-$NR$28+1)*($NS$28-319+1)/$NU$28,$NN$28/$NT$28)),0)</f>
        <v/>
      </c>
      <c r="LL28" s="402">
        <f>IF(AND(320&gt;=$NR$28,320&lt;=$NS$28),IF($NP$28="Single_Point",IF(320=$NR$28,$NN$28,0),IF($NP$28="Bell_Curve",$NN$28*(320-$NR$28+1)*($NS$28-320+1)/$NU$28,$NN$28/$NT$28)),0)</f>
        <v/>
      </c>
      <c r="LM28" s="402">
        <f>IF(AND(321&gt;=$NR$28,321&lt;=$NS$28),IF($NP$28="Single_Point",IF(321=$NR$28,$NN$28,0),IF($NP$28="Bell_Curve",$NN$28*(321-$NR$28+1)*($NS$28-321+1)/$NU$28,$NN$28/$NT$28)),0)</f>
        <v/>
      </c>
      <c r="LN28" s="402">
        <f>IF(AND(322&gt;=$NR$28,322&lt;=$NS$28),IF($NP$28="Single_Point",IF(322=$NR$28,$NN$28,0),IF($NP$28="Bell_Curve",$NN$28*(322-$NR$28+1)*($NS$28-322+1)/$NU$28,$NN$28/$NT$28)),0)</f>
        <v/>
      </c>
      <c r="LO28" s="402">
        <f>IF(AND(323&gt;=$NR$28,323&lt;=$NS$28),IF($NP$28="Single_Point",IF(323=$NR$28,$NN$28,0),IF($NP$28="Bell_Curve",$NN$28*(323-$NR$28+1)*($NS$28-323+1)/$NU$28,$NN$28/$NT$28)),0)</f>
        <v/>
      </c>
      <c r="LP28" s="402">
        <f>IF(AND(324&gt;=$NR$28,324&lt;=$NS$28),IF($NP$28="Single_Point",IF(324=$NR$28,$NN$28,0),IF($NP$28="Bell_Curve",$NN$28*(324-$NR$28+1)*($NS$28-324+1)/$NU$28,$NN$28/$NT$28)),0)</f>
        <v/>
      </c>
      <c r="LQ28" s="402">
        <f>IF(AND(325&gt;=$NR$28,325&lt;=$NS$28),IF($NP$28="Single_Point",IF(325=$NR$28,$NN$28,0),IF($NP$28="Bell_Curve",$NN$28*(325-$NR$28+1)*($NS$28-325+1)/$NU$28,$NN$28/$NT$28)),0)</f>
        <v/>
      </c>
      <c r="LR28" s="402">
        <f>IF(AND(326&gt;=$NR$28,326&lt;=$NS$28),IF($NP$28="Single_Point",IF(326=$NR$28,$NN$28,0),IF($NP$28="Bell_Curve",$NN$28*(326-$NR$28+1)*($NS$28-326+1)/$NU$28,$NN$28/$NT$28)),0)</f>
        <v/>
      </c>
      <c r="LS28" s="402">
        <f>IF(AND(327&gt;=$NR$28,327&lt;=$NS$28),IF($NP$28="Single_Point",IF(327=$NR$28,$NN$28,0),IF($NP$28="Bell_Curve",$NN$28*(327-$NR$28+1)*($NS$28-327+1)/$NU$28,$NN$28/$NT$28)),0)</f>
        <v/>
      </c>
      <c r="LT28" s="402">
        <f>IF(AND(328&gt;=$NR$28,328&lt;=$NS$28),IF($NP$28="Single_Point",IF(328=$NR$28,$NN$28,0),IF($NP$28="Bell_Curve",$NN$28*(328-$NR$28+1)*($NS$28-328+1)/$NU$28,$NN$28/$NT$28)),0)</f>
        <v/>
      </c>
      <c r="LU28" s="402">
        <f>IF(AND(329&gt;=$NR$28,329&lt;=$NS$28),IF($NP$28="Single_Point",IF(329=$NR$28,$NN$28,0),IF($NP$28="Bell_Curve",$NN$28*(329-$NR$28+1)*($NS$28-329+1)/$NU$28,$NN$28/$NT$28)),0)</f>
        <v/>
      </c>
      <c r="LV28" s="402">
        <f>IF(AND(330&gt;=$NR$28,330&lt;=$NS$28),IF($NP$28="Single_Point",IF(330=$NR$28,$NN$28,0),IF($NP$28="Bell_Curve",$NN$28*(330-$NR$28+1)*($NS$28-330+1)/$NU$28,$NN$28/$NT$28)),0)</f>
        <v/>
      </c>
      <c r="LW28" s="402">
        <f>IF(AND(331&gt;=$NR$28,331&lt;=$NS$28),IF($NP$28="Single_Point",IF(331=$NR$28,$NN$28,0),IF($NP$28="Bell_Curve",$NN$28*(331-$NR$28+1)*($NS$28-331+1)/$NU$28,$NN$28/$NT$28)),0)</f>
        <v/>
      </c>
      <c r="LX28" s="402">
        <f>IF(AND(332&gt;=$NR$28,332&lt;=$NS$28),IF($NP$28="Single_Point",IF(332=$NR$28,$NN$28,0),IF($NP$28="Bell_Curve",$NN$28*(332-$NR$28+1)*($NS$28-332+1)/$NU$28,$NN$28/$NT$28)),0)</f>
        <v/>
      </c>
      <c r="LY28" s="402">
        <f>IF(AND(333&gt;=$NR$28,333&lt;=$NS$28),IF($NP$28="Single_Point",IF(333=$NR$28,$NN$28,0),IF($NP$28="Bell_Curve",$NN$28*(333-$NR$28+1)*($NS$28-333+1)/$NU$28,$NN$28/$NT$28)),0)</f>
        <v/>
      </c>
      <c r="LZ28" s="402">
        <f>IF(AND(334&gt;=$NR$28,334&lt;=$NS$28),IF($NP$28="Single_Point",IF(334=$NR$28,$NN$28,0),IF($NP$28="Bell_Curve",$NN$28*(334-$NR$28+1)*($NS$28-334+1)/$NU$28,$NN$28/$NT$28)),0)</f>
        <v/>
      </c>
      <c r="MA28" s="402">
        <f>IF(AND(335&gt;=$NR$28,335&lt;=$NS$28),IF($NP$28="Single_Point",IF(335=$NR$28,$NN$28,0),IF($NP$28="Bell_Curve",$NN$28*(335-$NR$28+1)*($NS$28-335+1)/$NU$28,$NN$28/$NT$28)),0)</f>
        <v/>
      </c>
      <c r="MB28" s="402">
        <f>IF(AND(336&gt;=$NR$28,336&lt;=$NS$28),IF($NP$28="Single_Point",IF(336=$NR$28,$NN$28,0),IF($NP$28="Bell_Curve",$NN$28*(336-$NR$28+1)*($NS$28-336+1)/$NU$28,$NN$28/$NT$28)),0)</f>
        <v/>
      </c>
      <c r="MC28" s="402">
        <f>IF(AND(337&gt;=$NR$28,337&lt;=$NS$28),IF($NP$28="Single_Point",IF(337=$NR$28,$NN$28,0),IF($NP$28="Bell_Curve",$NN$28*(337-$NR$28+1)*($NS$28-337+1)/$NU$28,$NN$28/$NT$28)),0)</f>
        <v/>
      </c>
      <c r="MD28" s="402">
        <f>IF(AND(338&gt;=$NR$28,338&lt;=$NS$28),IF($NP$28="Single_Point",IF(338=$NR$28,$NN$28,0),IF($NP$28="Bell_Curve",$NN$28*(338-$NR$28+1)*($NS$28-338+1)/$NU$28,$NN$28/$NT$28)),0)</f>
        <v/>
      </c>
      <c r="ME28" s="402">
        <f>IF(AND(339&gt;=$NR$28,339&lt;=$NS$28),IF($NP$28="Single_Point",IF(339=$NR$28,$NN$28,0),IF($NP$28="Bell_Curve",$NN$28*(339-$NR$28+1)*($NS$28-339+1)/$NU$28,$NN$28/$NT$28)),0)</f>
        <v/>
      </c>
      <c r="MF28" s="402">
        <f>IF(AND(340&gt;=$NR$28,340&lt;=$NS$28),IF($NP$28="Single_Point",IF(340=$NR$28,$NN$28,0),IF($NP$28="Bell_Curve",$NN$28*(340-$NR$28+1)*($NS$28-340+1)/$NU$28,$NN$28/$NT$28)),0)</f>
        <v/>
      </c>
      <c r="MG28" s="402">
        <f>IF(AND(341&gt;=$NR$28,341&lt;=$NS$28),IF($NP$28="Single_Point",IF(341=$NR$28,$NN$28,0),IF($NP$28="Bell_Curve",$NN$28*(341-$NR$28+1)*($NS$28-341+1)/$NU$28,$NN$28/$NT$28)),0)</f>
        <v/>
      </c>
      <c r="MH28" s="402">
        <f>IF(AND(342&gt;=$NR$28,342&lt;=$NS$28),IF($NP$28="Single_Point",IF(342=$NR$28,$NN$28,0),IF($NP$28="Bell_Curve",$NN$28*(342-$NR$28+1)*($NS$28-342+1)/$NU$28,$NN$28/$NT$28)),0)</f>
        <v/>
      </c>
      <c r="MI28" s="402">
        <f>IF(AND(343&gt;=$NR$28,343&lt;=$NS$28),IF($NP$28="Single_Point",IF(343=$NR$28,$NN$28,0),IF($NP$28="Bell_Curve",$NN$28*(343-$NR$28+1)*($NS$28-343+1)/$NU$28,$NN$28/$NT$28)),0)</f>
        <v/>
      </c>
      <c r="MJ28" s="402">
        <f>IF(AND(344&gt;=$NR$28,344&lt;=$NS$28),IF($NP$28="Single_Point",IF(344=$NR$28,$NN$28,0),IF($NP$28="Bell_Curve",$NN$28*(344-$NR$28+1)*($NS$28-344+1)/$NU$28,$NN$28/$NT$28)),0)</f>
        <v/>
      </c>
      <c r="MK28" s="402">
        <f>IF(AND(345&gt;=$NR$28,345&lt;=$NS$28),IF($NP$28="Single_Point",IF(345=$NR$28,$NN$28,0),IF($NP$28="Bell_Curve",$NN$28*(345-$NR$28+1)*($NS$28-345+1)/$NU$28,$NN$28/$NT$28)),0)</f>
        <v/>
      </c>
      <c r="ML28" s="402">
        <f>IF(AND(346&gt;=$NR$28,346&lt;=$NS$28),IF($NP$28="Single_Point",IF(346=$NR$28,$NN$28,0),IF($NP$28="Bell_Curve",$NN$28*(346-$NR$28+1)*($NS$28-346+1)/$NU$28,$NN$28/$NT$28)),0)</f>
        <v/>
      </c>
      <c r="MM28" s="402">
        <f>IF(AND(347&gt;=$NR$28,347&lt;=$NS$28),IF($NP$28="Single_Point",IF(347=$NR$28,$NN$28,0),IF($NP$28="Bell_Curve",$NN$28*(347-$NR$28+1)*($NS$28-347+1)/$NU$28,$NN$28/$NT$28)),0)</f>
        <v/>
      </c>
      <c r="MN28" s="402">
        <f>IF(AND(348&gt;=$NR$28,348&lt;=$NS$28),IF($NP$28="Single_Point",IF(348=$NR$28,$NN$28,0),IF($NP$28="Bell_Curve",$NN$28*(348-$NR$28+1)*($NS$28-348+1)/$NU$28,$NN$28/$NT$28)),0)</f>
        <v/>
      </c>
      <c r="MO28" s="402">
        <f>IF(AND(349&gt;=$NR$28,349&lt;=$NS$28),IF($NP$28="Single_Point",IF(349=$NR$28,$NN$28,0),IF($NP$28="Bell_Curve",$NN$28*(349-$NR$28+1)*($NS$28-349+1)/$NU$28,$NN$28/$NT$28)),0)</f>
        <v/>
      </c>
      <c r="MP28" s="402">
        <f>IF(AND(350&gt;=$NR$28,350&lt;=$NS$28),IF($NP$28="Single_Point",IF(350=$NR$28,$NN$28,0),IF($NP$28="Bell_Curve",$NN$28*(350-$NR$28+1)*($NS$28-350+1)/$NU$28,$NN$28/$NT$28)),0)</f>
        <v/>
      </c>
      <c r="MQ28" s="402">
        <f>IF(AND(351&gt;=$NR$28,351&lt;=$NS$28),IF($NP$28="Single_Point",IF(351=$NR$28,$NN$28,0),IF($NP$28="Bell_Curve",$NN$28*(351-$NR$28+1)*($NS$28-351+1)/$NU$28,$NN$28/$NT$28)),0)</f>
        <v/>
      </c>
      <c r="MR28" s="402">
        <f>IF(AND(352&gt;=$NR$28,352&lt;=$NS$28),IF($NP$28="Single_Point",IF(352=$NR$28,$NN$28,0),IF($NP$28="Bell_Curve",$NN$28*(352-$NR$28+1)*($NS$28-352+1)/$NU$28,$NN$28/$NT$28)),0)</f>
        <v/>
      </c>
      <c r="MS28" s="402">
        <f>IF(AND(353&gt;=$NR$28,353&lt;=$NS$28),IF($NP$28="Single_Point",IF(353=$NR$28,$NN$28,0),IF($NP$28="Bell_Curve",$NN$28*(353-$NR$28+1)*($NS$28-353+1)/$NU$28,$NN$28/$NT$28)),0)</f>
        <v/>
      </c>
      <c r="MT28" s="402">
        <f>IF(AND(354&gt;=$NR$28,354&lt;=$NS$28),IF($NP$28="Single_Point",IF(354=$NR$28,$NN$28,0),IF($NP$28="Bell_Curve",$NN$28*(354-$NR$28+1)*($NS$28-354+1)/$NU$28,$NN$28/$NT$28)),0)</f>
        <v/>
      </c>
      <c r="MU28" s="402">
        <f>IF(AND(355&gt;=$NR$28,355&lt;=$NS$28),IF($NP$28="Single_Point",IF(355=$NR$28,$NN$28,0),IF($NP$28="Bell_Curve",$NN$28*(355-$NR$28+1)*($NS$28-355+1)/$NU$28,$NN$28/$NT$28)),0)</f>
        <v/>
      </c>
      <c r="MV28" s="402">
        <f>IF(AND(356&gt;=$NR$28,356&lt;=$NS$28),IF($NP$28="Single_Point",IF(356=$NR$28,$NN$28,0),IF($NP$28="Bell_Curve",$NN$28*(356-$NR$28+1)*($NS$28-356+1)/$NU$28,$NN$28/$NT$28)),0)</f>
        <v/>
      </c>
      <c r="MW28" s="402">
        <f>IF(AND(357&gt;=$NR$28,357&lt;=$NS$28),IF($NP$28="Single_Point",IF(357=$NR$28,$NN$28,0),IF($NP$28="Bell_Curve",$NN$28*(357-$NR$28+1)*($NS$28-357+1)/$NU$28,$NN$28/$NT$28)),0)</f>
        <v/>
      </c>
      <c r="MX28" s="402">
        <f>IF(AND(358&gt;=$NR$28,358&lt;=$NS$28),IF($NP$28="Single_Point",IF(358=$NR$28,$NN$28,0),IF($NP$28="Bell_Curve",$NN$28*(358-$NR$28+1)*($NS$28-358+1)/$NU$28,$NN$28/$NT$28)),0)</f>
        <v/>
      </c>
      <c r="MY28" s="402">
        <f>IF(AND(359&gt;=$NR$28,359&lt;=$NS$28),IF($NP$28="Single_Point",IF(359=$NR$28,$NN$28,0),IF($NP$28="Bell_Curve",$NN$28*(359-$NR$28+1)*($NS$28-359+1)/$NU$28,$NN$28/$NT$28)),0)</f>
        <v/>
      </c>
      <c r="MZ28" s="402">
        <f>IF(AND(360&gt;=$NR$28,360&lt;=$NS$28),IF($NP$28="Single_Point",IF(360=$NR$28,$NN$28,0),IF($NP$28="Bell_Curve",$NN$28*(360-$NR$28+1)*($NS$28-360+1)/$NU$28,$NN$28/$NT$28)),0)</f>
        <v/>
      </c>
      <c r="NA28" s="402">
        <f>IF(AND(361&gt;=$NR$28,361&lt;=$NS$28),IF($NP$28="Single_Point",IF(361=$NR$28,$NN$28,0),IF($NP$28="Bell_Curve",$NN$28*(361-$NR$28+1)*($NS$28-361+1)/$NU$28,$NN$28/$NT$28)),0)</f>
        <v/>
      </c>
      <c r="NB28" s="402">
        <f>IF(AND(362&gt;=$NR$28,362&lt;=$NS$28),IF($NP$28="Single_Point",IF(362=$NR$28,$NN$28,0),IF($NP$28="Bell_Curve",$NN$28*(362-$NR$28+1)*($NS$28-362+1)/$NU$28,$NN$28/$NT$28)),0)</f>
        <v/>
      </c>
      <c r="NC28" s="402">
        <f>IF(AND(363&gt;=$NR$28,363&lt;=$NS$28),IF($NP$28="Single_Point",IF(363=$NR$28,$NN$28,0),IF($NP$28="Bell_Curve",$NN$28*(363-$NR$28+1)*($NS$28-363+1)/$NU$28,$NN$28/$NT$28)),0)</f>
        <v/>
      </c>
      <c r="ND28" s="402">
        <f>IF(AND(364&gt;=$NR$28,364&lt;=$NS$28),IF($NP$28="Single_Point",IF(364=$NR$28,$NN$28,0),IF($NP$28="Bell_Curve",$NN$28*(364-$NR$28+1)*($NS$28-364+1)/$NU$28,$NN$28/$NT$28)),0)</f>
        <v/>
      </c>
      <c r="NE28" s="402">
        <f>IF(AND(365&gt;=$NR$28,365&lt;=$NS$28),IF($NP$28="Single_Point",IF(365=$NR$28,$NN$28,0),IF($NP$28="Bell_Curve",$NN$28*(365-$NR$28+1)*($NS$28-365+1)/$NU$28,$NN$28/$NT$28)),0)</f>
        <v/>
      </c>
      <c r="NF28" s="402">
        <f>IF(AND(366&gt;=$NR$28,366&lt;=$NS$28),IF($NP$28="Single_Point",IF(366=$NR$28,$NN$28,0),IF($NP$28="Bell_Curve",$NN$28*(366-$NR$28+1)*($NS$28-366+1)/$NU$28,$NN$28/$NT$28)),0)</f>
        <v/>
      </c>
      <c r="NG28" s="402">
        <f>IF(AND(367&gt;=$NR$28,367&lt;=$NS$28),IF($NP$28="Single_Point",IF(367=$NR$28,$NN$28,0),IF($NP$28="Bell_Curve",$NN$28*(367-$NR$28+1)*($NS$28-367+1)/$NU$28,$NN$28/$NT$28)),0)</f>
        <v/>
      </c>
      <c r="NH28" s="402">
        <f>IF(AND(368&gt;=$NR$28,368&lt;=$NS$28),IF($NP$28="Single_Point",IF(368=$NR$28,$NN$28,0),IF($NP$28="Bell_Curve",$NN$28*(368-$NR$28+1)*($NS$28-368+1)/$NU$28,$NN$28/$NT$28)),0)</f>
        <v/>
      </c>
      <c r="NI28" s="402">
        <f>IF(AND(369&gt;=$NR$28,369&lt;=$NS$28),IF($NP$28="Single_Point",IF(369=$NR$28,$NN$28,0),IF($NP$28="Bell_Curve",$NN$28*(369-$NR$28+1)*($NS$28-369+1)/$NU$28,$NN$28/$NT$28)),0)</f>
        <v/>
      </c>
      <c r="NJ28" s="402">
        <f>IF(AND(370&gt;=$NR$28,370&lt;=$NS$28),IF($NP$28="Single_Point",IF(370=$NR$28,$NN$28,0),IF($NP$28="Bell_Curve",$NN$28*(370-$NR$28+1)*($NS$28-370+1)/$NU$28,$NN$28/$NT$28)),0)</f>
        <v/>
      </c>
      <c r="NK28" s="402">
        <f>IF(AND(371&gt;=$NR$28,371&lt;=$NS$28),IF($NP$28="Single_Point",IF(371=$NR$28,$NN$28,0),IF($NP$28="Bell_Curve",$NN$28*(371-$NR$28+1)*($NS$28-371+1)/$NU$28,$NN$28/$NT$28)),0)</f>
        <v/>
      </c>
      <c r="NL28" s="426">
        <f>IF(AND(372&gt;=$NR$28,372&lt;=$NS$28),IF($NP$28="Single_Point",IF(372=$NR$28,$NN$28,0),IF($NP$28="Bell_Curve",$NN$28*(372-$NR$28+1)*($NS$28-372+1)/$NU$28,$NN$28/$NT$28)),0)</f>
        <v/>
      </c>
      <c r="NM28">
        <f>Budget!C27</f>
        <v/>
      </c>
      <c r="NN28" s="218">
        <f>Budget!J27</f>
        <v/>
      </c>
      <c r="NO28" s="144">
        <f>Budget!G27</f>
        <v/>
      </c>
      <c r="NP28" s="144">
        <f>Budget!H27</f>
        <v/>
      </c>
      <c r="NQ28" s="85">
        <f>Budget!I27</f>
        <v/>
      </c>
      <c r="NR28" s="248">
        <f>MAX(1,MIN(372,INDEX(MilestoneStart,MATCH(NO28,MilestoneNames,0))+NQ28))</f>
        <v/>
      </c>
      <c r="NS28" s="248">
        <f>MAX(NR28,MIN(372,INDEX(MilestoneEnd,MATCH(NO28,MilestoneNames,0))+NQ28))</f>
        <v/>
      </c>
      <c r="NT28" s="85">
        <f>NS28-NR28+1</f>
        <v/>
      </c>
      <c r="NU28" s="85">
        <f>NT28*(NT28+1)*(NT28+2)/6</f>
        <v/>
      </c>
    </row>
    <row r="29">
      <c r="B29" s="296">
        <f>Budget!B28</f>
        <v/>
      </c>
      <c r="D29" s="425">
        <f>SUM(E29:NL29)</f>
        <v/>
      </c>
      <c r="E29" s="402">
        <f>IF(AND(1&gt;=$NR$29,1&lt;=$NS$29),IF($NP$29="Single_Point",IF(1=$NR$29,$NN$29,0),IF($NP$29="Bell_Curve",$NN$29*(1-$NR$29+1)*($NS$29-1+1)/$NU$29,$NN$29/$NT$29)),0)</f>
        <v/>
      </c>
      <c r="F29" s="402">
        <f>IF(AND(2&gt;=$NR$29,2&lt;=$NS$29),IF($NP$29="Single_Point",IF(2=$NR$29,$NN$29,0),IF($NP$29="Bell_Curve",$NN$29*(2-$NR$29+1)*($NS$29-2+1)/$NU$29,$NN$29/$NT$29)),0)</f>
        <v/>
      </c>
      <c r="G29" s="402">
        <f>IF(AND(3&gt;=$NR$29,3&lt;=$NS$29),IF($NP$29="Single_Point",IF(3=$NR$29,$NN$29,0),IF($NP$29="Bell_Curve",$NN$29*(3-$NR$29+1)*($NS$29-3+1)/$NU$29,$NN$29/$NT$29)),0)</f>
        <v/>
      </c>
      <c r="H29" s="402">
        <f>IF(AND(4&gt;=$NR$29,4&lt;=$NS$29),IF($NP$29="Single_Point",IF(4=$NR$29,$NN$29,0),IF($NP$29="Bell_Curve",$NN$29*(4-$NR$29+1)*($NS$29-4+1)/$NU$29,$NN$29/$NT$29)),0)</f>
        <v/>
      </c>
      <c r="I29" s="402">
        <f>IF(AND(5&gt;=$NR$29,5&lt;=$NS$29),IF($NP$29="Single_Point",IF(5=$NR$29,$NN$29,0),IF($NP$29="Bell_Curve",$NN$29*(5-$NR$29+1)*($NS$29-5+1)/$NU$29,$NN$29/$NT$29)),0)</f>
        <v/>
      </c>
      <c r="J29" s="402">
        <f>IF(AND(6&gt;=$NR$29,6&lt;=$NS$29),IF($NP$29="Single_Point",IF(6=$NR$29,$NN$29,0),IF($NP$29="Bell_Curve",$NN$29*(6-$NR$29+1)*($NS$29-6+1)/$NU$29,$NN$29/$NT$29)),0)</f>
        <v/>
      </c>
      <c r="K29" s="402">
        <f>IF(AND(7&gt;=$NR$29,7&lt;=$NS$29),IF($NP$29="Single_Point",IF(7=$NR$29,$NN$29,0),IF($NP$29="Bell_Curve",$NN$29*(7-$NR$29+1)*($NS$29-7+1)/$NU$29,$NN$29/$NT$29)),0)</f>
        <v/>
      </c>
      <c r="L29" s="402">
        <f>IF(AND(8&gt;=$NR$29,8&lt;=$NS$29),IF($NP$29="Single_Point",IF(8=$NR$29,$NN$29,0),IF($NP$29="Bell_Curve",$NN$29*(8-$NR$29+1)*($NS$29-8+1)/$NU$29,$NN$29/$NT$29)),0)</f>
        <v/>
      </c>
      <c r="M29" s="402">
        <f>IF(AND(9&gt;=$NR$29,9&lt;=$NS$29),IF($NP$29="Single_Point",IF(9=$NR$29,$NN$29,0),IF($NP$29="Bell_Curve",$NN$29*(9-$NR$29+1)*($NS$29-9+1)/$NU$29,$NN$29/$NT$29)),0)</f>
        <v/>
      </c>
      <c r="N29" s="402">
        <f>IF(AND(10&gt;=$NR$29,10&lt;=$NS$29),IF($NP$29="Single_Point",IF(10=$NR$29,$NN$29,0),IF($NP$29="Bell_Curve",$NN$29*(10-$NR$29+1)*($NS$29-10+1)/$NU$29,$NN$29/$NT$29)),0)</f>
        <v/>
      </c>
      <c r="O29" s="402">
        <f>IF(AND(11&gt;=$NR$29,11&lt;=$NS$29),IF($NP$29="Single_Point",IF(11=$NR$29,$NN$29,0),IF($NP$29="Bell_Curve",$NN$29*(11-$NR$29+1)*($NS$29-11+1)/$NU$29,$NN$29/$NT$29)),0)</f>
        <v/>
      </c>
      <c r="P29" s="402">
        <f>IF(AND(12&gt;=$NR$29,12&lt;=$NS$29),IF($NP$29="Single_Point",IF(12=$NR$29,$NN$29,0),IF($NP$29="Bell_Curve",$NN$29*(12-$NR$29+1)*($NS$29-12+1)/$NU$29,$NN$29/$NT$29)),0)</f>
        <v/>
      </c>
      <c r="Q29" s="402">
        <f>IF(AND(13&gt;=$NR$29,13&lt;=$NS$29),IF($NP$29="Single_Point",IF(13=$NR$29,$NN$29,0),IF($NP$29="Bell_Curve",$NN$29*(13-$NR$29+1)*($NS$29-13+1)/$NU$29,$NN$29/$NT$29)),0)</f>
        <v/>
      </c>
      <c r="R29" s="402">
        <f>IF(AND(14&gt;=$NR$29,14&lt;=$NS$29),IF($NP$29="Single_Point",IF(14=$NR$29,$NN$29,0),IF($NP$29="Bell_Curve",$NN$29*(14-$NR$29+1)*($NS$29-14+1)/$NU$29,$NN$29/$NT$29)),0)</f>
        <v/>
      </c>
      <c r="S29" s="402">
        <f>IF(AND(15&gt;=$NR$29,15&lt;=$NS$29),IF($NP$29="Single_Point",IF(15=$NR$29,$NN$29,0),IF($NP$29="Bell_Curve",$NN$29*(15-$NR$29+1)*($NS$29-15+1)/$NU$29,$NN$29/$NT$29)),0)</f>
        <v/>
      </c>
      <c r="T29" s="402">
        <f>IF(AND(16&gt;=$NR$29,16&lt;=$NS$29),IF($NP$29="Single_Point",IF(16=$NR$29,$NN$29,0),IF($NP$29="Bell_Curve",$NN$29*(16-$NR$29+1)*($NS$29-16+1)/$NU$29,$NN$29/$NT$29)),0)</f>
        <v/>
      </c>
      <c r="U29" s="402">
        <f>IF(AND(17&gt;=$NR$29,17&lt;=$NS$29),IF($NP$29="Single_Point",IF(17=$NR$29,$NN$29,0),IF($NP$29="Bell_Curve",$NN$29*(17-$NR$29+1)*($NS$29-17+1)/$NU$29,$NN$29/$NT$29)),0)</f>
        <v/>
      </c>
      <c r="V29" s="402">
        <f>IF(AND(18&gt;=$NR$29,18&lt;=$NS$29),IF($NP$29="Single_Point",IF(18=$NR$29,$NN$29,0),IF($NP$29="Bell_Curve",$NN$29*(18-$NR$29+1)*($NS$29-18+1)/$NU$29,$NN$29/$NT$29)),0)</f>
        <v/>
      </c>
      <c r="W29" s="402">
        <f>IF(AND(19&gt;=$NR$29,19&lt;=$NS$29),IF($NP$29="Single_Point",IF(19=$NR$29,$NN$29,0),IF($NP$29="Bell_Curve",$NN$29*(19-$NR$29+1)*($NS$29-19+1)/$NU$29,$NN$29/$NT$29)),0)</f>
        <v/>
      </c>
      <c r="X29" s="402">
        <f>IF(AND(20&gt;=$NR$29,20&lt;=$NS$29),IF($NP$29="Single_Point",IF(20=$NR$29,$NN$29,0),IF($NP$29="Bell_Curve",$NN$29*(20-$NR$29+1)*($NS$29-20+1)/$NU$29,$NN$29/$NT$29)),0)</f>
        <v/>
      </c>
      <c r="Y29" s="402">
        <f>IF(AND(21&gt;=$NR$29,21&lt;=$NS$29),IF($NP$29="Single_Point",IF(21=$NR$29,$NN$29,0),IF($NP$29="Bell_Curve",$NN$29*(21-$NR$29+1)*($NS$29-21+1)/$NU$29,$NN$29/$NT$29)),0)</f>
        <v/>
      </c>
      <c r="Z29" s="402">
        <f>IF(AND(22&gt;=$NR$29,22&lt;=$NS$29),IF($NP$29="Single_Point",IF(22=$NR$29,$NN$29,0),IF($NP$29="Bell_Curve",$NN$29*(22-$NR$29+1)*($NS$29-22+1)/$NU$29,$NN$29/$NT$29)),0)</f>
        <v/>
      </c>
      <c r="AA29" s="402">
        <f>IF(AND(23&gt;=$NR$29,23&lt;=$NS$29),IF($NP$29="Single_Point",IF(23=$NR$29,$NN$29,0),IF($NP$29="Bell_Curve",$NN$29*(23-$NR$29+1)*($NS$29-23+1)/$NU$29,$NN$29/$NT$29)),0)</f>
        <v/>
      </c>
      <c r="AB29" s="402">
        <f>IF(AND(24&gt;=$NR$29,24&lt;=$NS$29),IF($NP$29="Single_Point",IF(24=$NR$29,$NN$29,0),IF($NP$29="Bell_Curve",$NN$29*(24-$NR$29+1)*($NS$29-24+1)/$NU$29,$NN$29/$NT$29)),0)</f>
        <v/>
      </c>
      <c r="AC29" s="402">
        <f>IF(AND(25&gt;=$NR$29,25&lt;=$NS$29),IF($NP$29="Single_Point",IF(25=$NR$29,$NN$29,0),IF($NP$29="Bell_Curve",$NN$29*(25-$NR$29+1)*($NS$29-25+1)/$NU$29,$NN$29/$NT$29)),0)</f>
        <v/>
      </c>
      <c r="AD29" s="402">
        <f>IF(AND(26&gt;=$NR$29,26&lt;=$NS$29),IF($NP$29="Single_Point",IF(26=$NR$29,$NN$29,0),IF($NP$29="Bell_Curve",$NN$29*(26-$NR$29+1)*($NS$29-26+1)/$NU$29,$NN$29/$NT$29)),0)</f>
        <v/>
      </c>
      <c r="AE29" s="402">
        <f>IF(AND(27&gt;=$NR$29,27&lt;=$NS$29),IF($NP$29="Single_Point",IF(27=$NR$29,$NN$29,0),IF($NP$29="Bell_Curve",$NN$29*(27-$NR$29+1)*($NS$29-27+1)/$NU$29,$NN$29/$NT$29)),0)</f>
        <v/>
      </c>
      <c r="AF29" s="402">
        <f>IF(AND(28&gt;=$NR$29,28&lt;=$NS$29),IF($NP$29="Single_Point",IF(28=$NR$29,$NN$29,0),IF($NP$29="Bell_Curve",$NN$29*(28-$NR$29+1)*($NS$29-28+1)/$NU$29,$NN$29/$NT$29)),0)</f>
        <v/>
      </c>
      <c r="AG29" s="402">
        <f>IF(AND(29&gt;=$NR$29,29&lt;=$NS$29),IF($NP$29="Single_Point",IF(29=$NR$29,$NN$29,0),IF($NP$29="Bell_Curve",$NN$29*(29-$NR$29+1)*($NS$29-29+1)/$NU$29,$NN$29/$NT$29)),0)</f>
        <v/>
      </c>
      <c r="AH29" s="402">
        <f>IF(AND(30&gt;=$NR$29,30&lt;=$NS$29),IF($NP$29="Single_Point",IF(30=$NR$29,$NN$29,0),IF($NP$29="Bell_Curve",$NN$29*(30-$NR$29+1)*($NS$29-30+1)/$NU$29,$NN$29/$NT$29)),0)</f>
        <v/>
      </c>
      <c r="AI29" s="402">
        <f>IF(AND(31&gt;=$NR$29,31&lt;=$NS$29),IF($NP$29="Single_Point",IF(31=$NR$29,$NN$29,0),IF($NP$29="Bell_Curve",$NN$29*(31-$NR$29+1)*($NS$29-31+1)/$NU$29,$NN$29/$NT$29)),0)</f>
        <v/>
      </c>
      <c r="AJ29" s="402">
        <f>IF(AND(32&gt;=$NR$29,32&lt;=$NS$29),IF($NP$29="Single_Point",IF(32=$NR$29,$NN$29,0),IF($NP$29="Bell_Curve",$NN$29*(32-$NR$29+1)*($NS$29-32+1)/$NU$29,$NN$29/$NT$29)),0)</f>
        <v/>
      </c>
      <c r="AK29" s="402">
        <f>IF(AND(33&gt;=$NR$29,33&lt;=$NS$29),IF($NP$29="Single_Point",IF(33=$NR$29,$NN$29,0),IF($NP$29="Bell_Curve",$NN$29*(33-$NR$29+1)*($NS$29-33+1)/$NU$29,$NN$29/$NT$29)),0)</f>
        <v/>
      </c>
      <c r="AL29" s="402">
        <f>IF(AND(34&gt;=$NR$29,34&lt;=$NS$29),IF($NP$29="Single_Point",IF(34=$NR$29,$NN$29,0),IF($NP$29="Bell_Curve",$NN$29*(34-$NR$29+1)*($NS$29-34+1)/$NU$29,$NN$29/$NT$29)),0)</f>
        <v/>
      </c>
      <c r="AM29" s="402">
        <f>IF(AND(35&gt;=$NR$29,35&lt;=$NS$29),IF($NP$29="Single_Point",IF(35=$NR$29,$NN$29,0),IF($NP$29="Bell_Curve",$NN$29*(35-$NR$29+1)*($NS$29-35+1)/$NU$29,$NN$29/$NT$29)),0)</f>
        <v/>
      </c>
      <c r="AN29" s="402">
        <f>IF(AND(36&gt;=$NR$29,36&lt;=$NS$29),IF($NP$29="Single_Point",IF(36=$NR$29,$NN$29,0),IF($NP$29="Bell_Curve",$NN$29*(36-$NR$29+1)*($NS$29-36+1)/$NU$29,$NN$29/$NT$29)),0)</f>
        <v/>
      </c>
      <c r="AO29" s="402">
        <f>IF(AND(37&gt;=$NR$29,37&lt;=$NS$29),IF($NP$29="Single_Point",IF(37=$NR$29,$NN$29,0),IF($NP$29="Bell_Curve",$NN$29*(37-$NR$29+1)*($NS$29-37+1)/$NU$29,$NN$29/$NT$29)),0)</f>
        <v/>
      </c>
      <c r="AP29" s="402">
        <f>IF(AND(38&gt;=$NR$29,38&lt;=$NS$29),IF($NP$29="Single_Point",IF(38=$NR$29,$NN$29,0),IF($NP$29="Bell_Curve",$NN$29*(38-$NR$29+1)*($NS$29-38+1)/$NU$29,$NN$29/$NT$29)),0)</f>
        <v/>
      </c>
      <c r="AQ29" s="402">
        <f>IF(AND(39&gt;=$NR$29,39&lt;=$NS$29),IF($NP$29="Single_Point",IF(39=$NR$29,$NN$29,0),IF($NP$29="Bell_Curve",$NN$29*(39-$NR$29+1)*($NS$29-39+1)/$NU$29,$NN$29/$NT$29)),0)</f>
        <v/>
      </c>
      <c r="AR29" s="402">
        <f>IF(AND(40&gt;=$NR$29,40&lt;=$NS$29),IF($NP$29="Single_Point",IF(40=$NR$29,$NN$29,0),IF($NP$29="Bell_Curve",$NN$29*(40-$NR$29+1)*($NS$29-40+1)/$NU$29,$NN$29/$NT$29)),0)</f>
        <v/>
      </c>
      <c r="AS29" s="402">
        <f>IF(AND(41&gt;=$NR$29,41&lt;=$NS$29),IF($NP$29="Single_Point",IF(41=$NR$29,$NN$29,0),IF($NP$29="Bell_Curve",$NN$29*(41-$NR$29+1)*($NS$29-41+1)/$NU$29,$NN$29/$NT$29)),0)</f>
        <v/>
      </c>
      <c r="AT29" s="402">
        <f>IF(AND(42&gt;=$NR$29,42&lt;=$NS$29),IF($NP$29="Single_Point",IF(42=$NR$29,$NN$29,0),IF($NP$29="Bell_Curve",$NN$29*(42-$NR$29+1)*($NS$29-42+1)/$NU$29,$NN$29/$NT$29)),0)</f>
        <v/>
      </c>
      <c r="AU29" s="402">
        <f>IF(AND(43&gt;=$NR$29,43&lt;=$NS$29),IF($NP$29="Single_Point",IF(43=$NR$29,$NN$29,0),IF($NP$29="Bell_Curve",$NN$29*(43-$NR$29+1)*($NS$29-43+1)/$NU$29,$NN$29/$NT$29)),0)</f>
        <v/>
      </c>
      <c r="AV29" s="402">
        <f>IF(AND(44&gt;=$NR$29,44&lt;=$NS$29),IF($NP$29="Single_Point",IF(44=$NR$29,$NN$29,0),IF($NP$29="Bell_Curve",$NN$29*(44-$NR$29+1)*($NS$29-44+1)/$NU$29,$NN$29/$NT$29)),0)</f>
        <v/>
      </c>
      <c r="AW29" s="402">
        <f>IF(AND(45&gt;=$NR$29,45&lt;=$NS$29),IF($NP$29="Single_Point",IF(45=$NR$29,$NN$29,0),IF($NP$29="Bell_Curve",$NN$29*(45-$NR$29+1)*($NS$29-45+1)/$NU$29,$NN$29/$NT$29)),0)</f>
        <v/>
      </c>
      <c r="AX29" s="402">
        <f>IF(AND(46&gt;=$NR$29,46&lt;=$NS$29),IF($NP$29="Single_Point",IF(46=$NR$29,$NN$29,0),IF($NP$29="Bell_Curve",$NN$29*(46-$NR$29+1)*($NS$29-46+1)/$NU$29,$NN$29/$NT$29)),0)</f>
        <v/>
      </c>
      <c r="AY29" s="402">
        <f>IF(AND(47&gt;=$NR$29,47&lt;=$NS$29),IF($NP$29="Single_Point",IF(47=$NR$29,$NN$29,0),IF($NP$29="Bell_Curve",$NN$29*(47-$NR$29+1)*($NS$29-47+1)/$NU$29,$NN$29/$NT$29)),0)</f>
        <v/>
      </c>
      <c r="AZ29" s="402">
        <f>IF(AND(48&gt;=$NR$29,48&lt;=$NS$29),IF($NP$29="Single_Point",IF(48=$NR$29,$NN$29,0),IF($NP$29="Bell_Curve",$NN$29*(48-$NR$29+1)*($NS$29-48+1)/$NU$29,$NN$29/$NT$29)),0)</f>
        <v/>
      </c>
      <c r="BA29" s="402">
        <f>IF(AND(49&gt;=$NR$29,49&lt;=$NS$29),IF($NP$29="Single_Point",IF(49=$NR$29,$NN$29,0),IF($NP$29="Bell_Curve",$NN$29*(49-$NR$29+1)*($NS$29-49+1)/$NU$29,$NN$29/$NT$29)),0)</f>
        <v/>
      </c>
      <c r="BB29" s="402">
        <f>IF(AND(50&gt;=$NR$29,50&lt;=$NS$29),IF($NP$29="Single_Point",IF(50=$NR$29,$NN$29,0),IF($NP$29="Bell_Curve",$NN$29*(50-$NR$29+1)*($NS$29-50+1)/$NU$29,$NN$29/$NT$29)),0)</f>
        <v/>
      </c>
      <c r="BC29" s="402">
        <f>IF(AND(51&gt;=$NR$29,51&lt;=$NS$29),IF($NP$29="Single_Point",IF(51=$NR$29,$NN$29,0),IF($NP$29="Bell_Curve",$NN$29*(51-$NR$29+1)*($NS$29-51+1)/$NU$29,$NN$29/$NT$29)),0)</f>
        <v/>
      </c>
      <c r="BD29" s="402">
        <f>IF(AND(52&gt;=$NR$29,52&lt;=$NS$29),IF($NP$29="Single_Point",IF(52=$NR$29,$NN$29,0),IF($NP$29="Bell_Curve",$NN$29*(52-$NR$29+1)*($NS$29-52+1)/$NU$29,$NN$29/$NT$29)),0)</f>
        <v/>
      </c>
      <c r="BE29" s="402">
        <f>IF(AND(53&gt;=$NR$29,53&lt;=$NS$29),IF($NP$29="Single_Point",IF(53=$NR$29,$NN$29,0),IF($NP$29="Bell_Curve",$NN$29*(53-$NR$29+1)*($NS$29-53+1)/$NU$29,$NN$29/$NT$29)),0)</f>
        <v/>
      </c>
      <c r="BF29" s="402">
        <f>IF(AND(54&gt;=$NR$29,54&lt;=$NS$29),IF($NP$29="Single_Point",IF(54=$NR$29,$NN$29,0),IF($NP$29="Bell_Curve",$NN$29*(54-$NR$29+1)*($NS$29-54+1)/$NU$29,$NN$29/$NT$29)),0)</f>
        <v/>
      </c>
      <c r="BG29" s="402">
        <f>IF(AND(55&gt;=$NR$29,55&lt;=$NS$29),IF($NP$29="Single_Point",IF(55=$NR$29,$NN$29,0),IF($NP$29="Bell_Curve",$NN$29*(55-$NR$29+1)*($NS$29-55+1)/$NU$29,$NN$29/$NT$29)),0)</f>
        <v/>
      </c>
      <c r="BH29" s="402">
        <f>IF(AND(56&gt;=$NR$29,56&lt;=$NS$29),IF($NP$29="Single_Point",IF(56=$NR$29,$NN$29,0),IF($NP$29="Bell_Curve",$NN$29*(56-$NR$29+1)*($NS$29-56+1)/$NU$29,$NN$29/$NT$29)),0)</f>
        <v/>
      </c>
      <c r="BI29" s="402">
        <f>IF(AND(57&gt;=$NR$29,57&lt;=$NS$29),IF($NP$29="Single_Point",IF(57=$NR$29,$NN$29,0),IF($NP$29="Bell_Curve",$NN$29*(57-$NR$29+1)*($NS$29-57+1)/$NU$29,$NN$29/$NT$29)),0)</f>
        <v/>
      </c>
      <c r="BJ29" s="402">
        <f>IF(AND(58&gt;=$NR$29,58&lt;=$NS$29),IF($NP$29="Single_Point",IF(58=$NR$29,$NN$29,0),IF($NP$29="Bell_Curve",$NN$29*(58-$NR$29+1)*($NS$29-58+1)/$NU$29,$NN$29/$NT$29)),0)</f>
        <v/>
      </c>
      <c r="BK29" s="402">
        <f>IF(AND(59&gt;=$NR$29,59&lt;=$NS$29),IF($NP$29="Single_Point",IF(59=$NR$29,$NN$29,0),IF($NP$29="Bell_Curve",$NN$29*(59-$NR$29+1)*($NS$29-59+1)/$NU$29,$NN$29/$NT$29)),0)</f>
        <v/>
      </c>
      <c r="BL29" s="402">
        <f>IF(AND(60&gt;=$NR$29,60&lt;=$NS$29),IF($NP$29="Single_Point",IF(60=$NR$29,$NN$29,0),IF($NP$29="Bell_Curve",$NN$29*(60-$NR$29+1)*($NS$29-60+1)/$NU$29,$NN$29/$NT$29)),0)</f>
        <v/>
      </c>
      <c r="BM29" s="402">
        <f>IF(AND(61&gt;=$NR$29,61&lt;=$NS$29),IF($NP$29="Single_Point",IF(61=$NR$29,$NN$29,0),IF($NP$29="Bell_Curve",$NN$29*(61-$NR$29+1)*($NS$29-61+1)/$NU$29,$NN$29/$NT$29)),0)</f>
        <v/>
      </c>
      <c r="BN29" s="402">
        <f>IF(AND(62&gt;=$NR$29,62&lt;=$NS$29),IF($NP$29="Single_Point",IF(62=$NR$29,$NN$29,0),IF($NP$29="Bell_Curve",$NN$29*(62-$NR$29+1)*($NS$29-62+1)/$NU$29,$NN$29/$NT$29)),0)</f>
        <v/>
      </c>
      <c r="BO29" s="402">
        <f>IF(AND(63&gt;=$NR$29,63&lt;=$NS$29),IF($NP$29="Single_Point",IF(63=$NR$29,$NN$29,0),IF($NP$29="Bell_Curve",$NN$29*(63-$NR$29+1)*($NS$29-63+1)/$NU$29,$NN$29/$NT$29)),0)</f>
        <v/>
      </c>
      <c r="BP29" s="402">
        <f>IF(AND(64&gt;=$NR$29,64&lt;=$NS$29),IF($NP$29="Single_Point",IF(64=$NR$29,$NN$29,0),IF($NP$29="Bell_Curve",$NN$29*(64-$NR$29+1)*($NS$29-64+1)/$NU$29,$NN$29/$NT$29)),0)</f>
        <v/>
      </c>
      <c r="BQ29" s="402">
        <f>IF(AND(65&gt;=$NR$29,65&lt;=$NS$29),IF($NP$29="Single_Point",IF(65=$NR$29,$NN$29,0),IF($NP$29="Bell_Curve",$NN$29*(65-$NR$29+1)*($NS$29-65+1)/$NU$29,$NN$29/$NT$29)),0)</f>
        <v/>
      </c>
      <c r="BR29" s="402">
        <f>IF(AND(66&gt;=$NR$29,66&lt;=$NS$29),IF($NP$29="Single_Point",IF(66=$NR$29,$NN$29,0),IF($NP$29="Bell_Curve",$NN$29*(66-$NR$29+1)*($NS$29-66+1)/$NU$29,$NN$29/$NT$29)),0)</f>
        <v/>
      </c>
      <c r="BS29" s="402">
        <f>IF(AND(67&gt;=$NR$29,67&lt;=$NS$29),IF($NP$29="Single_Point",IF(67=$NR$29,$NN$29,0),IF($NP$29="Bell_Curve",$NN$29*(67-$NR$29+1)*($NS$29-67+1)/$NU$29,$NN$29/$NT$29)),0)</f>
        <v/>
      </c>
      <c r="BT29" s="402">
        <f>IF(AND(68&gt;=$NR$29,68&lt;=$NS$29),IF($NP$29="Single_Point",IF(68=$NR$29,$NN$29,0),IF($NP$29="Bell_Curve",$NN$29*(68-$NR$29+1)*($NS$29-68+1)/$NU$29,$NN$29/$NT$29)),0)</f>
        <v/>
      </c>
      <c r="BU29" s="402">
        <f>IF(AND(69&gt;=$NR$29,69&lt;=$NS$29),IF($NP$29="Single_Point",IF(69=$NR$29,$NN$29,0),IF($NP$29="Bell_Curve",$NN$29*(69-$NR$29+1)*($NS$29-69+1)/$NU$29,$NN$29/$NT$29)),0)</f>
        <v/>
      </c>
      <c r="BV29" s="402">
        <f>IF(AND(70&gt;=$NR$29,70&lt;=$NS$29),IF($NP$29="Single_Point",IF(70=$NR$29,$NN$29,0),IF($NP$29="Bell_Curve",$NN$29*(70-$NR$29+1)*($NS$29-70+1)/$NU$29,$NN$29/$NT$29)),0)</f>
        <v/>
      </c>
      <c r="BW29" s="402">
        <f>IF(AND(71&gt;=$NR$29,71&lt;=$NS$29),IF($NP$29="Single_Point",IF(71=$NR$29,$NN$29,0),IF($NP$29="Bell_Curve",$NN$29*(71-$NR$29+1)*($NS$29-71+1)/$NU$29,$NN$29/$NT$29)),0)</f>
        <v/>
      </c>
      <c r="BX29" s="402">
        <f>IF(AND(72&gt;=$NR$29,72&lt;=$NS$29),IF($NP$29="Single_Point",IF(72=$NR$29,$NN$29,0),IF($NP$29="Bell_Curve",$NN$29*(72-$NR$29+1)*($NS$29-72+1)/$NU$29,$NN$29/$NT$29)),0)</f>
        <v/>
      </c>
      <c r="BY29" s="402">
        <f>IF(AND(73&gt;=$NR$29,73&lt;=$NS$29),IF($NP$29="Single_Point",IF(73=$NR$29,$NN$29,0),IF($NP$29="Bell_Curve",$NN$29*(73-$NR$29+1)*($NS$29-73+1)/$NU$29,$NN$29/$NT$29)),0)</f>
        <v/>
      </c>
      <c r="BZ29" s="402">
        <f>IF(AND(74&gt;=$NR$29,74&lt;=$NS$29),IF($NP$29="Single_Point",IF(74=$NR$29,$NN$29,0),IF($NP$29="Bell_Curve",$NN$29*(74-$NR$29+1)*($NS$29-74+1)/$NU$29,$NN$29/$NT$29)),0)</f>
        <v/>
      </c>
      <c r="CA29" s="402">
        <f>IF(AND(75&gt;=$NR$29,75&lt;=$NS$29),IF($NP$29="Single_Point",IF(75=$NR$29,$NN$29,0),IF($NP$29="Bell_Curve",$NN$29*(75-$NR$29+1)*($NS$29-75+1)/$NU$29,$NN$29/$NT$29)),0)</f>
        <v/>
      </c>
      <c r="CB29" s="402">
        <f>IF(AND(76&gt;=$NR$29,76&lt;=$NS$29),IF($NP$29="Single_Point",IF(76=$NR$29,$NN$29,0),IF($NP$29="Bell_Curve",$NN$29*(76-$NR$29+1)*($NS$29-76+1)/$NU$29,$NN$29/$NT$29)),0)</f>
        <v/>
      </c>
      <c r="CC29" s="402">
        <f>IF(AND(77&gt;=$NR$29,77&lt;=$NS$29),IF($NP$29="Single_Point",IF(77=$NR$29,$NN$29,0),IF($NP$29="Bell_Curve",$NN$29*(77-$NR$29+1)*($NS$29-77+1)/$NU$29,$NN$29/$NT$29)),0)</f>
        <v/>
      </c>
      <c r="CD29" s="402">
        <f>IF(AND(78&gt;=$NR$29,78&lt;=$NS$29),IF($NP$29="Single_Point",IF(78=$NR$29,$NN$29,0),IF($NP$29="Bell_Curve",$NN$29*(78-$NR$29+1)*($NS$29-78+1)/$NU$29,$NN$29/$NT$29)),0)</f>
        <v/>
      </c>
      <c r="CE29" s="402">
        <f>IF(AND(79&gt;=$NR$29,79&lt;=$NS$29),IF($NP$29="Single_Point",IF(79=$NR$29,$NN$29,0),IF($NP$29="Bell_Curve",$NN$29*(79-$NR$29+1)*($NS$29-79+1)/$NU$29,$NN$29/$NT$29)),0)</f>
        <v/>
      </c>
      <c r="CF29" s="402">
        <f>IF(AND(80&gt;=$NR$29,80&lt;=$NS$29),IF($NP$29="Single_Point",IF(80=$NR$29,$NN$29,0),IF($NP$29="Bell_Curve",$NN$29*(80-$NR$29+1)*($NS$29-80+1)/$NU$29,$NN$29/$NT$29)),0)</f>
        <v/>
      </c>
      <c r="CG29" s="402">
        <f>IF(AND(81&gt;=$NR$29,81&lt;=$NS$29),IF($NP$29="Single_Point",IF(81=$NR$29,$NN$29,0),IF($NP$29="Bell_Curve",$NN$29*(81-$NR$29+1)*($NS$29-81+1)/$NU$29,$NN$29/$NT$29)),0)</f>
        <v/>
      </c>
      <c r="CH29" s="402">
        <f>IF(AND(82&gt;=$NR$29,82&lt;=$NS$29),IF($NP$29="Single_Point",IF(82=$NR$29,$NN$29,0),IF($NP$29="Bell_Curve",$NN$29*(82-$NR$29+1)*($NS$29-82+1)/$NU$29,$NN$29/$NT$29)),0)</f>
        <v/>
      </c>
      <c r="CI29" s="402">
        <f>IF(AND(83&gt;=$NR$29,83&lt;=$NS$29),IF($NP$29="Single_Point",IF(83=$NR$29,$NN$29,0),IF($NP$29="Bell_Curve",$NN$29*(83-$NR$29+1)*($NS$29-83+1)/$NU$29,$NN$29/$NT$29)),0)</f>
        <v/>
      </c>
      <c r="CJ29" s="402">
        <f>IF(AND(84&gt;=$NR$29,84&lt;=$NS$29),IF($NP$29="Single_Point",IF(84=$NR$29,$NN$29,0),IF($NP$29="Bell_Curve",$NN$29*(84-$NR$29+1)*($NS$29-84+1)/$NU$29,$NN$29/$NT$29)),0)</f>
        <v/>
      </c>
      <c r="CK29" s="402">
        <f>IF(AND(85&gt;=$NR$29,85&lt;=$NS$29),IF($NP$29="Single_Point",IF(85=$NR$29,$NN$29,0),IF($NP$29="Bell_Curve",$NN$29*(85-$NR$29+1)*($NS$29-85+1)/$NU$29,$NN$29/$NT$29)),0)</f>
        <v/>
      </c>
      <c r="CL29" s="402">
        <f>IF(AND(86&gt;=$NR$29,86&lt;=$NS$29),IF($NP$29="Single_Point",IF(86=$NR$29,$NN$29,0),IF($NP$29="Bell_Curve",$NN$29*(86-$NR$29+1)*($NS$29-86+1)/$NU$29,$NN$29/$NT$29)),0)</f>
        <v/>
      </c>
      <c r="CM29" s="402">
        <f>IF(AND(87&gt;=$NR$29,87&lt;=$NS$29),IF($NP$29="Single_Point",IF(87=$NR$29,$NN$29,0),IF($NP$29="Bell_Curve",$NN$29*(87-$NR$29+1)*($NS$29-87+1)/$NU$29,$NN$29/$NT$29)),0)</f>
        <v/>
      </c>
      <c r="CN29" s="402">
        <f>IF(AND(88&gt;=$NR$29,88&lt;=$NS$29),IF($NP$29="Single_Point",IF(88=$NR$29,$NN$29,0),IF($NP$29="Bell_Curve",$NN$29*(88-$NR$29+1)*($NS$29-88+1)/$NU$29,$NN$29/$NT$29)),0)</f>
        <v/>
      </c>
      <c r="CO29" s="402">
        <f>IF(AND(89&gt;=$NR$29,89&lt;=$NS$29),IF($NP$29="Single_Point",IF(89=$NR$29,$NN$29,0),IF($NP$29="Bell_Curve",$NN$29*(89-$NR$29+1)*($NS$29-89+1)/$NU$29,$NN$29/$NT$29)),0)</f>
        <v/>
      </c>
      <c r="CP29" s="402">
        <f>IF(AND(90&gt;=$NR$29,90&lt;=$NS$29),IF($NP$29="Single_Point",IF(90=$NR$29,$NN$29,0),IF($NP$29="Bell_Curve",$NN$29*(90-$NR$29+1)*($NS$29-90+1)/$NU$29,$NN$29/$NT$29)),0)</f>
        <v/>
      </c>
      <c r="CQ29" s="402">
        <f>IF(AND(91&gt;=$NR$29,91&lt;=$NS$29),IF($NP$29="Single_Point",IF(91=$NR$29,$NN$29,0),IF($NP$29="Bell_Curve",$NN$29*(91-$NR$29+1)*($NS$29-91+1)/$NU$29,$NN$29/$NT$29)),0)</f>
        <v/>
      </c>
      <c r="CR29" s="402">
        <f>IF(AND(92&gt;=$NR$29,92&lt;=$NS$29),IF($NP$29="Single_Point",IF(92=$NR$29,$NN$29,0),IF($NP$29="Bell_Curve",$NN$29*(92-$NR$29+1)*($NS$29-92+1)/$NU$29,$NN$29/$NT$29)),0)</f>
        <v/>
      </c>
      <c r="CS29" s="402">
        <f>IF(AND(93&gt;=$NR$29,93&lt;=$NS$29),IF($NP$29="Single_Point",IF(93=$NR$29,$NN$29,0),IF($NP$29="Bell_Curve",$NN$29*(93-$NR$29+1)*($NS$29-93+1)/$NU$29,$NN$29/$NT$29)),0)</f>
        <v/>
      </c>
      <c r="CT29" s="402">
        <f>IF(AND(94&gt;=$NR$29,94&lt;=$NS$29),IF($NP$29="Single_Point",IF(94=$NR$29,$NN$29,0),IF($NP$29="Bell_Curve",$NN$29*(94-$NR$29+1)*($NS$29-94+1)/$NU$29,$NN$29/$NT$29)),0)</f>
        <v/>
      </c>
      <c r="CU29" s="402">
        <f>IF(AND(95&gt;=$NR$29,95&lt;=$NS$29),IF($NP$29="Single_Point",IF(95=$NR$29,$NN$29,0),IF($NP$29="Bell_Curve",$NN$29*(95-$NR$29+1)*($NS$29-95+1)/$NU$29,$NN$29/$NT$29)),0)</f>
        <v/>
      </c>
      <c r="CV29" s="402">
        <f>IF(AND(96&gt;=$NR$29,96&lt;=$NS$29),IF($NP$29="Single_Point",IF(96=$NR$29,$NN$29,0),IF($NP$29="Bell_Curve",$NN$29*(96-$NR$29+1)*($NS$29-96+1)/$NU$29,$NN$29/$NT$29)),0)</f>
        <v/>
      </c>
      <c r="CW29" s="402">
        <f>IF(AND(97&gt;=$NR$29,97&lt;=$NS$29),IF($NP$29="Single_Point",IF(97=$NR$29,$NN$29,0),IF($NP$29="Bell_Curve",$NN$29*(97-$NR$29+1)*($NS$29-97+1)/$NU$29,$NN$29/$NT$29)),0)</f>
        <v/>
      </c>
      <c r="CX29" s="402">
        <f>IF(AND(98&gt;=$NR$29,98&lt;=$NS$29),IF($NP$29="Single_Point",IF(98=$NR$29,$NN$29,0),IF($NP$29="Bell_Curve",$NN$29*(98-$NR$29+1)*($NS$29-98+1)/$NU$29,$NN$29/$NT$29)),0)</f>
        <v/>
      </c>
      <c r="CY29" s="402">
        <f>IF(AND(99&gt;=$NR$29,99&lt;=$NS$29),IF($NP$29="Single_Point",IF(99=$NR$29,$NN$29,0),IF($NP$29="Bell_Curve",$NN$29*(99-$NR$29+1)*($NS$29-99+1)/$NU$29,$NN$29/$NT$29)),0)</f>
        <v/>
      </c>
      <c r="CZ29" s="402">
        <f>IF(AND(100&gt;=$NR$29,100&lt;=$NS$29),IF($NP$29="Single_Point",IF(100=$NR$29,$NN$29,0),IF($NP$29="Bell_Curve",$NN$29*(100-$NR$29+1)*($NS$29-100+1)/$NU$29,$NN$29/$NT$29)),0)</f>
        <v/>
      </c>
      <c r="DA29" s="402">
        <f>IF(AND(101&gt;=$NR$29,101&lt;=$NS$29),IF($NP$29="Single_Point",IF(101=$NR$29,$NN$29,0),IF($NP$29="Bell_Curve",$NN$29*(101-$NR$29+1)*($NS$29-101+1)/$NU$29,$NN$29/$NT$29)),0)</f>
        <v/>
      </c>
      <c r="DB29" s="402">
        <f>IF(AND(102&gt;=$NR$29,102&lt;=$NS$29),IF($NP$29="Single_Point",IF(102=$NR$29,$NN$29,0),IF($NP$29="Bell_Curve",$NN$29*(102-$NR$29+1)*($NS$29-102+1)/$NU$29,$NN$29/$NT$29)),0)</f>
        <v/>
      </c>
      <c r="DC29" s="402">
        <f>IF(AND(103&gt;=$NR$29,103&lt;=$NS$29),IF($NP$29="Single_Point",IF(103=$NR$29,$NN$29,0),IF($NP$29="Bell_Curve",$NN$29*(103-$NR$29+1)*($NS$29-103+1)/$NU$29,$NN$29/$NT$29)),0)</f>
        <v/>
      </c>
      <c r="DD29" s="402">
        <f>IF(AND(104&gt;=$NR$29,104&lt;=$NS$29),IF($NP$29="Single_Point",IF(104=$NR$29,$NN$29,0),IF($NP$29="Bell_Curve",$NN$29*(104-$NR$29+1)*($NS$29-104+1)/$NU$29,$NN$29/$NT$29)),0)</f>
        <v/>
      </c>
      <c r="DE29" s="402">
        <f>IF(AND(105&gt;=$NR$29,105&lt;=$NS$29),IF($NP$29="Single_Point",IF(105=$NR$29,$NN$29,0),IF($NP$29="Bell_Curve",$NN$29*(105-$NR$29+1)*($NS$29-105+1)/$NU$29,$NN$29/$NT$29)),0)</f>
        <v/>
      </c>
      <c r="DF29" s="402">
        <f>IF(AND(106&gt;=$NR$29,106&lt;=$NS$29),IF($NP$29="Single_Point",IF(106=$NR$29,$NN$29,0),IF($NP$29="Bell_Curve",$NN$29*(106-$NR$29+1)*($NS$29-106+1)/$NU$29,$NN$29/$NT$29)),0)</f>
        <v/>
      </c>
      <c r="DG29" s="402">
        <f>IF(AND(107&gt;=$NR$29,107&lt;=$NS$29),IF($NP$29="Single_Point",IF(107=$NR$29,$NN$29,0),IF($NP$29="Bell_Curve",$NN$29*(107-$NR$29+1)*($NS$29-107+1)/$NU$29,$NN$29/$NT$29)),0)</f>
        <v/>
      </c>
      <c r="DH29" s="402">
        <f>IF(AND(108&gt;=$NR$29,108&lt;=$NS$29),IF($NP$29="Single_Point",IF(108=$NR$29,$NN$29,0),IF($NP$29="Bell_Curve",$NN$29*(108-$NR$29+1)*($NS$29-108+1)/$NU$29,$NN$29/$NT$29)),0)</f>
        <v/>
      </c>
      <c r="DI29" s="402">
        <f>IF(AND(109&gt;=$NR$29,109&lt;=$NS$29),IF($NP$29="Single_Point",IF(109=$NR$29,$NN$29,0),IF($NP$29="Bell_Curve",$NN$29*(109-$NR$29+1)*($NS$29-109+1)/$NU$29,$NN$29/$NT$29)),0)</f>
        <v/>
      </c>
      <c r="DJ29" s="402">
        <f>IF(AND(110&gt;=$NR$29,110&lt;=$NS$29),IF($NP$29="Single_Point",IF(110=$NR$29,$NN$29,0),IF($NP$29="Bell_Curve",$NN$29*(110-$NR$29+1)*($NS$29-110+1)/$NU$29,$NN$29/$NT$29)),0)</f>
        <v/>
      </c>
      <c r="DK29" s="402">
        <f>IF(AND(111&gt;=$NR$29,111&lt;=$NS$29),IF($NP$29="Single_Point",IF(111=$NR$29,$NN$29,0),IF($NP$29="Bell_Curve",$NN$29*(111-$NR$29+1)*($NS$29-111+1)/$NU$29,$NN$29/$NT$29)),0)</f>
        <v/>
      </c>
      <c r="DL29" s="402">
        <f>IF(AND(112&gt;=$NR$29,112&lt;=$NS$29),IF($NP$29="Single_Point",IF(112=$NR$29,$NN$29,0),IF($NP$29="Bell_Curve",$NN$29*(112-$NR$29+1)*($NS$29-112+1)/$NU$29,$NN$29/$NT$29)),0)</f>
        <v/>
      </c>
      <c r="DM29" s="402">
        <f>IF(AND(113&gt;=$NR$29,113&lt;=$NS$29),IF($NP$29="Single_Point",IF(113=$NR$29,$NN$29,0),IF($NP$29="Bell_Curve",$NN$29*(113-$NR$29+1)*($NS$29-113+1)/$NU$29,$NN$29/$NT$29)),0)</f>
        <v/>
      </c>
      <c r="DN29" s="402">
        <f>IF(AND(114&gt;=$NR$29,114&lt;=$NS$29),IF($NP$29="Single_Point",IF(114=$NR$29,$NN$29,0),IF($NP$29="Bell_Curve",$NN$29*(114-$NR$29+1)*($NS$29-114+1)/$NU$29,$NN$29/$NT$29)),0)</f>
        <v/>
      </c>
      <c r="DO29" s="402">
        <f>IF(AND(115&gt;=$NR$29,115&lt;=$NS$29),IF($NP$29="Single_Point",IF(115=$NR$29,$NN$29,0),IF($NP$29="Bell_Curve",$NN$29*(115-$NR$29+1)*($NS$29-115+1)/$NU$29,$NN$29/$NT$29)),0)</f>
        <v/>
      </c>
      <c r="DP29" s="402">
        <f>IF(AND(116&gt;=$NR$29,116&lt;=$NS$29),IF($NP$29="Single_Point",IF(116=$NR$29,$NN$29,0),IF($NP$29="Bell_Curve",$NN$29*(116-$NR$29+1)*($NS$29-116+1)/$NU$29,$NN$29/$NT$29)),0)</f>
        <v/>
      </c>
      <c r="DQ29" s="402">
        <f>IF(AND(117&gt;=$NR$29,117&lt;=$NS$29),IF($NP$29="Single_Point",IF(117=$NR$29,$NN$29,0),IF($NP$29="Bell_Curve",$NN$29*(117-$NR$29+1)*($NS$29-117+1)/$NU$29,$NN$29/$NT$29)),0)</f>
        <v/>
      </c>
      <c r="DR29" s="402">
        <f>IF(AND(118&gt;=$NR$29,118&lt;=$NS$29),IF($NP$29="Single_Point",IF(118=$NR$29,$NN$29,0),IF($NP$29="Bell_Curve",$NN$29*(118-$NR$29+1)*($NS$29-118+1)/$NU$29,$NN$29/$NT$29)),0)</f>
        <v/>
      </c>
      <c r="DS29" s="402">
        <f>IF(AND(119&gt;=$NR$29,119&lt;=$NS$29),IF($NP$29="Single_Point",IF(119=$NR$29,$NN$29,0),IF($NP$29="Bell_Curve",$NN$29*(119-$NR$29+1)*($NS$29-119+1)/$NU$29,$NN$29/$NT$29)),0)</f>
        <v/>
      </c>
      <c r="DT29" s="402">
        <f>IF(AND(120&gt;=$NR$29,120&lt;=$NS$29),IF($NP$29="Single_Point",IF(120=$NR$29,$NN$29,0),IF($NP$29="Bell_Curve",$NN$29*(120-$NR$29+1)*($NS$29-120+1)/$NU$29,$NN$29/$NT$29)),0)</f>
        <v/>
      </c>
      <c r="DU29" s="402">
        <f>IF(AND(121&gt;=$NR$29,121&lt;=$NS$29),IF($NP$29="Single_Point",IF(121=$NR$29,$NN$29,0),IF($NP$29="Bell_Curve",$NN$29*(121-$NR$29+1)*($NS$29-121+1)/$NU$29,$NN$29/$NT$29)),0)</f>
        <v/>
      </c>
      <c r="DV29" s="402">
        <f>IF(AND(122&gt;=$NR$29,122&lt;=$NS$29),IF($NP$29="Single_Point",IF(122=$NR$29,$NN$29,0),IF($NP$29="Bell_Curve",$NN$29*(122-$NR$29+1)*($NS$29-122+1)/$NU$29,$NN$29/$NT$29)),0)</f>
        <v/>
      </c>
      <c r="DW29" s="402">
        <f>IF(AND(123&gt;=$NR$29,123&lt;=$NS$29),IF($NP$29="Single_Point",IF(123=$NR$29,$NN$29,0),IF($NP$29="Bell_Curve",$NN$29*(123-$NR$29+1)*($NS$29-123+1)/$NU$29,$NN$29/$NT$29)),0)</f>
        <v/>
      </c>
      <c r="DX29" s="402">
        <f>IF(AND(124&gt;=$NR$29,124&lt;=$NS$29),IF($NP$29="Single_Point",IF(124=$NR$29,$NN$29,0),IF($NP$29="Bell_Curve",$NN$29*(124-$NR$29+1)*($NS$29-124+1)/$NU$29,$NN$29/$NT$29)),0)</f>
        <v/>
      </c>
      <c r="DY29" s="402">
        <f>IF(AND(125&gt;=$NR$29,125&lt;=$NS$29),IF($NP$29="Single_Point",IF(125=$NR$29,$NN$29,0),IF($NP$29="Bell_Curve",$NN$29*(125-$NR$29+1)*($NS$29-125+1)/$NU$29,$NN$29/$NT$29)),0)</f>
        <v/>
      </c>
      <c r="DZ29" s="402">
        <f>IF(AND(126&gt;=$NR$29,126&lt;=$NS$29),IF($NP$29="Single_Point",IF(126=$NR$29,$NN$29,0),IF($NP$29="Bell_Curve",$NN$29*(126-$NR$29+1)*($NS$29-126+1)/$NU$29,$NN$29/$NT$29)),0)</f>
        <v/>
      </c>
      <c r="EA29" s="402">
        <f>IF(AND(127&gt;=$NR$29,127&lt;=$NS$29),IF($NP$29="Single_Point",IF(127=$NR$29,$NN$29,0),IF($NP$29="Bell_Curve",$NN$29*(127-$NR$29+1)*($NS$29-127+1)/$NU$29,$NN$29/$NT$29)),0)</f>
        <v/>
      </c>
      <c r="EB29" s="402">
        <f>IF(AND(128&gt;=$NR$29,128&lt;=$NS$29),IF($NP$29="Single_Point",IF(128=$NR$29,$NN$29,0),IF($NP$29="Bell_Curve",$NN$29*(128-$NR$29+1)*($NS$29-128+1)/$NU$29,$NN$29/$NT$29)),0)</f>
        <v/>
      </c>
      <c r="EC29" s="402">
        <f>IF(AND(129&gt;=$NR$29,129&lt;=$NS$29),IF($NP$29="Single_Point",IF(129=$NR$29,$NN$29,0),IF($NP$29="Bell_Curve",$NN$29*(129-$NR$29+1)*($NS$29-129+1)/$NU$29,$NN$29/$NT$29)),0)</f>
        <v/>
      </c>
      <c r="ED29" s="402">
        <f>IF(AND(130&gt;=$NR$29,130&lt;=$NS$29),IF($NP$29="Single_Point",IF(130=$NR$29,$NN$29,0),IF($NP$29="Bell_Curve",$NN$29*(130-$NR$29+1)*($NS$29-130+1)/$NU$29,$NN$29/$NT$29)),0)</f>
        <v/>
      </c>
      <c r="EE29" s="402">
        <f>IF(AND(131&gt;=$NR$29,131&lt;=$NS$29),IF($NP$29="Single_Point",IF(131=$NR$29,$NN$29,0),IF($NP$29="Bell_Curve",$NN$29*(131-$NR$29+1)*($NS$29-131+1)/$NU$29,$NN$29/$NT$29)),0)</f>
        <v/>
      </c>
      <c r="EF29" s="402">
        <f>IF(AND(132&gt;=$NR$29,132&lt;=$NS$29),IF($NP$29="Single_Point",IF(132=$NR$29,$NN$29,0),IF($NP$29="Bell_Curve",$NN$29*(132-$NR$29+1)*($NS$29-132+1)/$NU$29,$NN$29/$NT$29)),0)</f>
        <v/>
      </c>
      <c r="EG29" s="402">
        <f>IF(AND(133&gt;=$NR$29,133&lt;=$NS$29),IF($NP$29="Single_Point",IF(133=$NR$29,$NN$29,0),IF($NP$29="Bell_Curve",$NN$29*(133-$NR$29+1)*($NS$29-133+1)/$NU$29,$NN$29/$NT$29)),0)</f>
        <v/>
      </c>
      <c r="EH29" s="402">
        <f>IF(AND(134&gt;=$NR$29,134&lt;=$NS$29),IF($NP$29="Single_Point",IF(134=$NR$29,$NN$29,0),IF($NP$29="Bell_Curve",$NN$29*(134-$NR$29+1)*($NS$29-134+1)/$NU$29,$NN$29/$NT$29)),0)</f>
        <v/>
      </c>
      <c r="EI29" s="402">
        <f>IF(AND(135&gt;=$NR$29,135&lt;=$NS$29),IF($NP$29="Single_Point",IF(135=$NR$29,$NN$29,0),IF($NP$29="Bell_Curve",$NN$29*(135-$NR$29+1)*($NS$29-135+1)/$NU$29,$NN$29/$NT$29)),0)</f>
        <v/>
      </c>
      <c r="EJ29" s="402">
        <f>IF(AND(136&gt;=$NR$29,136&lt;=$NS$29),IF($NP$29="Single_Point",IF(136=$NR$29,$NN$29,0),IF($NP$29="Bell_Curve",$NN$29*(136-$NR$29+1)*($NS$29-136+1)/$NU$29,$NN$29/$NT$29)),0)</f>
        <v/>
      </c>
      <c r="EK29" s="402">
        <f>IF(AND(137&gt;=$NR$29,137&lt;=$NS$29),IF($NP$29="Single_Point",IF(137=$NR$29,$NN$29,0),IF($NP$29="Bell_Curve",$NN$29*(137-$NR$29+1)*($NS$29-137+1)/$NU$29,$NN$29/$NT$29)),0)</f>
        <v/>
      </c>
      <c r="EL29" s="402">
        <f>IF(AND(138&gt;=$NR$29,138&lt;=$NS$29),IF($NP$29="Single_Point",IF(138=$NR$29,$NN$29,0),IF($NP$29="Bell_Curve",$NN$29*(138-$NR$29+1)*($NS$29-138+1)/$NU$29,$NN$29/$NT$29)),0)</f>
        <v/>
      </c>
      <c r="EM29" s="402">
        <f>IF(AND(139&gt;=$NR$29,139&lt;=$NS$29),IF($NP$29="Single_Point",IF(139=$NR$29,$NN$29,0),IF($NP$29="Bell_Curve",$NN$29*(139-$NR$29+1)*($NS$29-139+1)/$NU$29,$NN$29/$NT$29)),0)</f>
        <v/>
      </c>
      <c r="EN29" s="402">
        <f>IF(AND(140&gt;=$NR$29,140&lt;=$NS$29),IF($NP$29="Single_Point",IF(140=$NR$29,$NN$29,0),IF($NP$29="Bell_Curve",$NN$29*(140-$NR$29+1)*($NS$29-140+1)/$NU$29,$NN$29/$NT$29)),0)</f>
        <v/>
      </c>
      <c r="EO29" s="402">
        <f>IF(AND(141&gt;=$NR$29,141&lt;=$NS$29),IF($NP$29="Single_Point",IF(141=$NR$29,$NN$29,0),IF($NP$29="Bell_Curve",$NN$29*(141-$NR$29+1)*($NS$29-141+1)/$NU$29,$NN$29/$NT$29)),0)</f>
        <v/>
      </c>
      <c r="EP29" s="402">
        <f>IF(AND(142&gt;=$NR$29,142&lt;=$NS$29),IF($NP$29="Single_Point",IF(142=$NR$29,$NN$29,0),IF($NP$29="Bell_Curve",$NN$29*(142-$NR$29+1)*($NS$29-142+1)/$NU$29,$NN$29/$NT$29)),0)</f>
        <v/>
      </c>
      <c r="EQ29" s="402">
        <f>IF(AND(143&gt;=$NR$29,143&lt;=$NS$29),IF($NP$29="Single_Point",IF(143=$NR$29,$NN$29,0),IF($NP$29="Bell_Curve",$NN$29*(143-$NR$29+1)*($NS$29-143+1)/$NU$29,$NN$29/$NT$29)),0)</f>
        <v/>
      </c>
      <c r="ER29" s="402">
        <f>IF(AND(144&gt;=$NR$29,144&lt;=$NS$29),IF($NP$29="Single_Point",IF(144=$NR$29,$NN$29,0),IF($NP$29="Bell_Curve",$NN$29*(144-$NR$29+1)*($NS$29-144+1)/$NU$29,$NN$29/$NT$29)),0)</f>
        <v/>
      </c>
      <c r="ES29" s="402">
        <f>IF(AND(145&gt;=$NR$29,145&lt;=$NS$29),IF($NP$29="Single_Point",IF(145=$NR$29,$NN$29,0),IF($NP$29="Bell_Curve",$NN$29*(145-$NR$29+1)*($NS$29-145+1)/$NU$29,$NN$29/$NT$29)),0)</f>
        <v/>
      </c>
      <c r="ET29" s="402">
        <f>IF(AND(146&gt;=$NR$29,146&lt;=$NS$29),IF($NP$29="Single_Point",IF(146=$NR$29,$NN$29,0),IF($NP$29="Bell_Curve",$NN$29*(146-$NR$29+1)*($NS$29-146+1)/$NU$29,$NN$29/$NT$29)),0)</f>
        <v/>
      </c>
      <c r="EU29" s="402">
        <f>IF(AND(147&gt;=$NR$29,147&lt;=$NS$29),IF($NP$29="Single_Point",IF(147=$NR$29,$NN$29,0),IF($NP$29="Bell_Curve",$NN$29*(147-$NR$29+1)*($NS$29-147+1)/$NU$29,$NN$29/$NT$29)),0)</f>
        <v/>
      </c>
      <c r="EV29" s="402">
        <f>IF(AND(148&gt;=$NR$29,148&lt;=$NS$29),IF($NP$29="Single_Point",IF(148=$NR$29,$NN$29,0),IF($NP$29="Bell_Curve",$NN$29*(148-$NR$29+1)*($NS$29-148+1)/$NU$29,$NN$29/$NT$29)),0)</f>
        <v/>
      </c>
      <c r="EW29" s="402">
        <f>IF(AND(149&gt;=$NR$29,149&lt;=$NS$29),IF($NP$29="Single_Point",IF(149=$NR$29,$NN$29,0),IF($NP$29="Bell_Curve",$NN$29*(149-$NR$29+1)*($NS$29-149+1)/$NU$29,$NN$29/$NT$29)),0)</f>
        <v/>
      </c>
      <c r="EX29" s="402">
        <f>IF(AND(150&gt;=$NR$29,150&lt;=$NS$29),IF($NP$29="Single_Point",IF(150=$NR$29,$NN$29,0),IF($NP$29="Bell_Curve",$NN$29*(150-$NR$29+1)*($NS$29-150+1)/$NU$29,$NN$29/$NT$29)),0)</f>
        <v/>
      </c>
      <c r="EY29" s="402">
        <f>IF(AND(151&gt;=$NR$29,151&lt;=$NS$29),IF($NP$29="Single_Point",IF(151=$NR$29,$NN$29,0),IF($NP$29="Bell_Curve",$NN$29*(151-$NR$29+1)*($NS$29-151+1)/$NU$29,$NN$29/$NT$29)),0)</f>
        <v/>
      </c>
      <c r="EZ29" s="402">
        <f>IF(AND(152&gt;=$NR$29,152&lt;=$NS$29),IF($NP$29="Single_Point",IF(152=$NR$29,$NN$29,0),IF($NP$29="Bell_Curve",$NN$29*(152-$NR$29+1)*($NS$29-152+1)/$NU$29,$NN$29/$NT$29)),0)</f>
        <v/>
      </c>
      <c r="FA29" s="402">
        <f>IF(AND(153&gt;=$NR$29,153&lt;=$NS$29),IF($NP$29="Single_Point",IF(153=$NR$29,$NN$29,0),IF($NP$29="Bell_Curve",$NN$29*(153-$NR$29+1)*($NS$29-153+1)/$NU$29,$NN$29/$NT$29)),0)</f>
        <v/>
      </c>
      <c r="FB29" s="402">
        <f>IF(AND(154&gt;=$NR$29,154&lt;=$NS$29),IF($NP$29="Single_Point",IF(154=$NR$29,$NN$29,0),IF($NP$29="Bell_Curve",$NN$29*(154-$NR$29+1)*($NS$29-154+1)/$NU$29,$NN$29/$NT$29)),0)</f>
        <v/>
      </c>
      <c r="FC29" s="402">
        <f>IF(AND(155&gt;=$NR$29,155&lt;=$NS$29),IF($NP$29="Single_Point",IF(155=$NR$29,$NN$29,0),IF($NP$29="Bell_Curve",$NN$29*(155-$NR$29+1)*($NS$29-155+1)/$NU$29,$NN$29/$NT$29)),0)</f>
        <v/>
      </c>
      <c r="FD29" s="402">
        <f>IF(AND(156&gt;=$NR$29,156&lt;=$NS$29),IF($NP$29="Single_Point",IF(156=$NR$29,$NN$29,0),IF($NP$29="Bell_Curve",$NN$29*(156-$NR$29+1)*($NS$29-156+1)/$NU$29,$NN$29/$NT$29)),0)</f>
        <v/>
      </c>
      <c r="FE29" s="402">
        <f>IF(AND(157&gt;=$NR$29,157&lt;=$NS$29),IF($NP$29="Single_Point",IF(157=$NR$29,$NN$29,0),IF($NP$29="Bell_Curve",$NN$29*(157-$NR$29+1)*($NS$29-157+1)/$NU$29,$NN$29/$NT$29)),0)</f>
        <v/>
      </c>
      <c r="FF29" s="402">
        <f>IF(AND(158&gt;=$NR$29,158&lt;=$NS$29),IF($NP$29="Single_Point",IF(158=$NR$29,$NN$29,0),IF($NP$29="Bell_Curve",$NN$29*(158-$NR$29+1)*($NS$29-158+1)/$NU$29,$NN$29/$NT$29)),0)</f>
        <v/>
      </c>
      <c r="FG29" s="402">
        <f>IF(AND(159&gt;=$NR$29,159&lt;=$NS$29),IF($NP$29="Single_Point",IF(159=$NR$29,$NN$29,0),IF($NP$29="Bell_Curve",$NN$29*(159-$NR$29+1)*($NS$29-159+1)/$NU$29,$NN$29/$NT$29)),0)</f>
        <v/>
      </c>
      <c r="FH29" s="402">
        <f>IF(AND(160&gt;=$NR$29,160&lt;=$NS$29),IF($NP$29="Single_Point",IF(160=$NR$29,$NN$29,0),IF($NP$29="Bell_Curve",$NN$29*(160-$NR$29+1)*($NS$29-160+1)/$NU$29,$NN$29/$NT$29)),0)</f>
        <v/>
      </c>
      <c r="FI29" s="402">
        <f>IF(AND(161&gt;=$NR$29,161&lt;=$NS$29),IF($NP$29="Single_Point",IF(161=$NR$29,$NN$29,0),IF($NP$29="Bell_Curve",$NN$29*(161-$NR$29+1)*($NS$29-161+1)/$NU$29,$NN$29/$NT$29)),0)</f>
        <v/>
      </c>
      <c r="FJ29" s="402">
        <f>IF(AND(162&gt;=$NR$29,162&lt;=$NS$29),IF($NP$29="Single_Point",IF(162=$NR$29,$NN$29,0),IF($NP$29="Bell_Curve",$NN$29*(162-$NR$29+1)*($NS$29-162+1)/$NU$29,$NN$29/$NT$29)),0)</f>
        <v/>
      </c>
      <c r="FK29" s="402">
        <f>IF(AND(163&gt;=$NR$29,163&lt;=$NS$29),IF($NP$29="Single_Point",IF(163=$NR$29,$NN$29,0),IF($NP$29="Bell_Curve",$NN$29*(163-$NR$29+1)*($NS$29-163+1)/$NU$29,$NN$29/$NT$29)),0)</f>
        <v/>
      </c>
      <c r="FL29" s="402">
        <f>IF(AND(164&gt;=$NR$29,164&lt;=$NS$29),IF($NP$29="Single_Point",IF(164=$NR$29,$NN$29,0),IF($NP$29="Bell_Curve",$NN$29*(164-$NR$29+1)*($NS$29-164+1)/$NU$29,$NN$29/$NT$29)),0)</f>
        <v/>
      </c>
      <c r="FM29" s="402">
        <f>IF(AND(165&gt;=$NR$29,165&lt;=$NS$29),IF($NP$29="Single_Point",IF(165=$NR$29,$NN$29,0),IF($NP$29="Bell_Curve",$NN$29*(165-$NR$29+1)*($NS$29-165+1)/$NU$29,$NN$29/$NT$29)),0)</f>
        <v/>
      </c>
      <c r="FN29" s="402">
        <f>IF(AND(166&gt;=$NR$29,166&lt;=$NS$29),IF($NP$29="Single_Point",IF(166=$NR$29,$NN$29,0),IF($NP$29="Bell_Curve",$NN$29*(166-$NR$29+1)*($NS$29-166+1)/$NU$29,$NN$29/$NT$29)),0)</f>
        <v/>
      </c>
      <c r="FO29" s="402">
        <f>IF(AND(167&gt;=$NR$29,167&lt;=$NS$29),IF($NP$29="Single_Point",IF(167=$NR$29,$NN$29,0),IF($NP$29="Bell_Curve",$NN$29*(167-$NR$29+1)*($NS$29-167+1)/$NU$29,$NN$29/$NT$29)),0)</f>
        <v/>
      </c>
      <c r="FP29" s="402">
        <f>IF(AND(168&gt;=$NR$29,168&lt;=$NS$29),IF($NP$29="Single_Point",IF(168=$NR$29,$NN$29,0),IF($NP$29="Bell_Curve",$NN$29*(168-$NR$29+1)*($NS$29-168+1)/$NU$29,$NN$29/$NT$29)),0)</f>
        <v/>
      </c>
      <c r="FQ29" s="402">
        <f>IF(AND(169&gt;=$NR$29,169&lt;=$NS$29),IF($NP$29="Single_Point",IF(169=$NR$29,$NN$29,0),IF($NP$29="Bell_Curve",$NN$29*(169-$NR$29+1)*($NS$29-169+1)/$NU$29,$NN$29/$NT$29)),0)</f>
        <v/>
      </c>
      <c r="FR29" s="402">
        <f>IF(AND(170&gt;=$NR$29,170&lt;=$NS$29),IF($NP$29="Single_Point",IF(170=$NR$29,$NN$29,0),IF($NP$29="Bell_Curve",$NN$29*(170-$NR$29+1)*($NS$29-170+1)/$NU$29,$NN$29/$NT$29)),0)</f>
        <v/>
      </c>
      <c r="FS29" s="402">
        <f>IF(AND(171&gt;=$NR$29,171&lt;=$NS$29),IF($NP$29="Single_Point",IF(171=$NR$29,$NN$29,0),IF($NP$29="Bell_Curve",$NN$29*(171-$NR$29+1)*($NS$29-171+1)/$NU$29,$NN$29/$NT$29)),0)</f>
        <v/>
      </c>
      <c r="FT29" s="402">
        <f>IF(AND(172&gt;=$NR$29,172&lt;=$NS$29),IF($NP$29="Single_Point",IF(172=$NR$29,$NN$29,0),IF($NP$29="Bell_Curve",$NN$29*(172-$NR$29+1)*($NS$29-172+1)/$NU$29,$NN$29/$NT$29)),0)</f>
        <v/>
      </c>
      <c r="FU29" s="402">
        <f>IF(AND(173&gt;=$NR$29,173&lt;=$NS$29),IF($NP$29="Single_Point",IF(173=$NR$29,$NN$29,0),IF($NP$29="Bell_Curve",$NN$29*(173-$NR$29+1)*($NS$29-173+1)/$NU$29,$NN$29/$NT$29)),0)</f>
        <v/>
      </c>
      <c r="FV29" s="402">
        <f>IF(AND(174&gt;=$NR$29,174&lt;=$NS$29),IF($NP$29="Single_Point",IF(174=$NR$29,$NN$29,0),IF($NP$29="Bell_Curve",$NN$29*(174-$NR$29+1)*($NS$29-174+1)/$NU$29,$NN$29/$NT$29)),0)</f>
        <v/>
      </c>
      <c r="FW29" s="402">
        <f>IF(AND(175&gt;=$NR$29,175&lt;=$NS$29),IF($NP$29="Single_Point",IF(175=$NR$29,$NN$29,0),IF($NP$29="Bell_Curve",$NN$29*(175-$NR$29+1)*($NS$29-175+1)/$NU$29,$NN$29/$NT$29)),0)</f>
        <v/>
      </c>
      <c r="FX29" s="402">
        <f>IF(AND(176&gt;=$NR$29,176&lt;=$NS$29),IF($NP$29="Single_Point",IF(176=$NR$29,$NN$29,0),IF($NP$29="Bell_Curve",$NN$29*(176-$NR$29+1)*($NS$29-176+1)/$NU$29,$NN$29/$NT$29)),0)</f>
        <v/>
      </c>
      <c r="FY29" s="402">
        <f>IF(AND(177&gt;=$NR$29,177&lt;=$NS$29),IF($NP$29="Single_Point",IF(177=$NR$29,$NN$29,0),IF($NP$29="Bell_Curve",$NN$29*(177-$NR$29+1)*($NS$29-177+1)/$NU$29,$NN$29/$NT$29)),0)</f>
        <v/>
      </c>
      <c r="FZ29" s="402">
        <f>IF(AND(178&gt;=$NR$29,178&lt;=$NS$29),IF($NP$29="Single_Point",IF(178=$NR$29,$NN$29,0),IF($NP$29="Bell_Curve",$NN$29*(178-$NR$29+1)*($NS$29-178+1)/$NU$29,$NN$29/$NT$29)),0)</f>
        <v/>
      </c>
      <c r="GA29" s="402">
        <f>IF(AND(179&gt;=$NR$29,179&lt;=$NS$29),IF($NP$29="Single_Point",IF(179=$NR$29,$NN$29,0),IF($NP$29="Bell_Curve",$NN$29*(179-$NR$29+1)*($NS$29-179+1)/$NU$29,$NN$29/$NT$29)),0)</f>
        <v/>
      </c>
      <c r="GB29" s="402">
        <f>IF(AND(180&gt;=$NR$29,180&lt;=$NS$29),IF($NP$29="Single_Point",IF(180=$NR$29,$NN$29,0),IF($NP$29="Bell_Curve",$NN$29*(180-$NR$29+1)*($NS$29-180+1)/$NU$29,$NN$29/$NT$29)),0)</f>
        <v/>
      </c>
      <c r="GC29" s="402">
        <f>IF(AND(181&gt;=$NR$29,181&lt;=$NS$29),IF($NP$29="Single_Point",IF(181=$NR$29,$NN$29,0),IF($NP$29="Bell_Curve",$NN$29*(181-$NR$29+1)*($NS$29-181+1)/$NU$29,$NN$29/$NT$29)),0)</f>
        <v/>
      </c>
      <c r="GD29" s="402">
        <f>IF(AND(182&gt;=$NR$29,182&lt;=$NS$29),IF($NP$29="Single_Point",IF(182=$NR$29,$NN$29,0),IF($NP$29="Bell_Curve",$NN$29*(182-$NR$29+1)*($NS$29-182+1)/$NU$29,$NN$29/$NT$29)),0)</f>
        <v/>
      </c>
      <c r="GE29" s="402">
        <f>IF(AND(183&gt;=$NR$29,183&lt;=$NS$29),IF($NP$29="Single_Point",IF(183=$NR$29,$NN$29,0),IF($NP$29="Bell_Curve",$NN$29*(183-$NR$29+1)*($NS$29-183+1)/$NU$29,$NN$29/$NT$29)),0)</f>
        <v/>
      </c>
      <c r="GF29" s="402">
        <f>IF(AND(184&gt;=$NR$29,184&lt;=$NS$29),IF($NP$29="Single_Point",IF(184=$NR$29,$NN$29,0),IF($NP$29="Bell_Curve",$NN$29*(184-$NR$29+1)*($NS$29-184+1)/$NU$29,$NN$29/$NT$29)),0)</f>
        <v/>
      </c>
      <c r="GG29" s="402">
        <f>IF(AND(185&gt;=$NR$29,185&lt;=$NS$29),IF($NP$29="Single_Point",IF(185=$NR$29,$NN$29,0),IF($NP$29="Bell_Curve",$NN$29*(185-$NR$29+1)*($NS$29-185+1)/$NU$29,$NN$29/$NT$29)),0)</f>
        <v/>
      </c>
      <c r="GH29" s="402">
        <f>IF(AND(186&gt;=$NR$29,186&lt;=$NS$29),IF($NP$29="Single_Point",IF(186=$NR$29,$NN$29,0),IF($NP$29="Bell_Curve",$NN$29*(186-$NR$29+1)*($NS$29-186+1)/$NU$29,$NN$29/$NT$29)),0)</f>
        <v/>
      </c>
      <c r="GI29" s="402">
        <f>IF(AND(187&gt;=$NR$29,187&lt;=$NS$29),IF($NP$29="Single_Point",IF(187=$NR$29,$NN$29,0),IF($NP$29="Bell_Curve",$NN$29*(187-$NR$29+1)*($NS$29-187+1)/$NU$29,$NN$29/$NT$29)),0)</f>
        <v/>
      </c>
      <c r="GJ29" s="402">
        <f>IF(AND(188&gt;=$NR$29,188&lt;=$NS$29),IF($NP$29="Single_Point",IF(188=$NR$29,$NN$29,0),IF($NP$29="Bell_Curve",$NN$29*(188-$NR$29+1)*($NS$29-188+1)/$NU$29,$NN$29/$NT$29)),0)</f>
        <v/>
      </c>
      <c r="GK29" s="402">
        <f>IF(AND(189&gt;=$NR$29,189&lt;=$NS$29),IF($NP$29="Single_Point",IF(189=$NR$29,$NN$29,0),IF($NP$29="Bell_Curve",$NN$29*(189-$NR$29+1)*($NS$29-189+1)/$NU$29,$NN$29/$NT$29)),0)</f>
        <v/>
      </c>
      <c r="GL29" s="402">
        <f>IF(AND(190&gt;=$NR$29,190&lt;=$NS$29),IF($NP$29="Single_Point",IF(190=$NR$29,$NN$29,0),IF($NP$29="Bell_Curve",$NN$29*(190-$NR$29+1)*($NS$29-190+1)/$NU$29,$NN$29/$NT$29)),0)</f>
        <v/>
      </c>
      <c r="GM29" s="402">
        <f>IF(AND(191&gt;=$NR$29,191&lt;=$NS$29),IF($NP$29="Single_Point",IF(191=$NR$29,$NN$29,0),IF($NP$29="Bell_Curve",$NN$29*(191-$NR$29+1)*($NS$29-191+1)/$NU$29,$NN$29/$NT$29)),0)</f>
        <v/>
      </c>
      <c r="GN29" s="402">
        <f>IF(AND(192&gt;=$NR$29,192&lt;=$NS$29),IF($NP$29="Single_Point",IF(192=$NR$29,$NN$29,0),IF($NP$29="Bell_Curve",$NN$29*(192-$NR$29+1)*($NS$29-192+1)/$NU$29,$NN$29/$NT$29)),0)</f>
        <v/>
      </c>
      <c r="GO29" s="402">
        <f>IF(AND(193&gt;=$NR$29,193&lt;=$NS$29),IF($NP$29="Single_Point",IF(193=$NR$29,$NN$29,0),IF($NP$29="Bell_Curve",$NN$29*(193-$NR$29+1)*($NS$29-193+1)/$NU$29,$NN$29/$NT$29)),0)</f>
        <v/>
      </c>
      <c r="GP29" s="402">
        <f>IF(AND(194&gt;=$NR$29,194&lt;=$NS$29),IF($NP$29="Single_Point",IF(194=$NR$29,$NN$29,0),IF($NP$29="Bell_Curve",$NN$29*(194-$NR$29+1)*($NS$29-194+1)/$NU$29,$NN$29/$NT$29)),0)</f>
        <v/>
      </c>
      <c r="GQ29" s="402">
        <f>IF(AND(195&gt;=$NR$29,195&lt;=$NS$29),IF($NP$29="Single_Point",IF(195=$NR$29,$NN$29,0),IF($NP$29="Bell_Curve",$NN$29*(195-$NR$29+1)*($NS$29-195+1)/$NU$29,$NN$29/$NT$29)),0)</f>
        <v/>
      </c>
      <c r="GR29" s="402">
        <f>IF(AND(196&gt;=$NR$29,196&lt;=$NS$29),IF($NP$29="Single_Point",IF(196=$NR$29,$NN$29,0),IF($NP$29="Bell_Curve",$NN$29*(196-$NR$29+1)*($NS$29-196+1)/$NU$29,$NN$29/$NT$29)),0)</f>
        <v/>
      </c>
      <c r="GS29" s="402">
        <f>IF(AND(197&gt;=$NR$29,197&lt;=$NS$29),IF($NP$29="Single_Point",IF(197=$NR$29,$NN$29,0),IF($NP$29="Bell_Curve",$NN$29*(197-$NR$29+1)*($NS$29-197+1)/$NU$29,$NN$29/$NT$29)),0)</f>
        <v/>
      </c>
      <c r="GT29" s="402">
        <f>IF(AND(198&gt;=$NR$29,198&lt;=$NS$29),IF($NP$29="Single_Point",IF(198=$NR$29,$NN$29,0),IF($NP$29="Bell_Curve",$NN$29*(198-$NR$29+1)*($NS$29-198+1)/$NU$29,$NN$29/$NT$29)),0)</f>
        <v/>
      </c>
      <c r="GU29" s="402">
        <f>IF(AND(199&gt;=$NR$29,199&lt;=$NS$29),IF($NP$29="Single_Point",IF(199=$NR$29,$NN$29,0),IF($NP$29="Bell_Curve",$NN$29*(199-$NR$29+1)*($NS$29-199+1)/$NU$29,$NN$29/$NT$29)),0)</f>
        <v/>
      </c>
      <c r="GV29" s="402">
        <f>IF(AND(200&gt;=$NR$29,200&lt;=$NS$29),IF($NP$29="Single_Point",IF(200=$NR$29,$NN$29,0),IF($NP$29="Bell_Curve",$NN$29*(200-$NR$29+1)*($NS$29-200+1)/$NU$29,$NN$29/$NT$29)),0)</f>
        <v/>
      </c>
      <c r="GW29" s="402">
        <f>IF(AND(201&gt;=$NR$29,201&lt;=$NS$29),IF($NP$29="Single_Point",IF(201=$NR$29,$NN$29,0),IF($NP$29="Bell_Curve",$NN$29*(201-$NR$29+1)*($NS$29-201+1)/$NU$29,$NN$29/$NT$29)),0)</f>
        <v/>
      </c>
      <c r="GX29" s="402">
        <f>IF(AND(202&gt;=$NR$29,202&lt;=$NS$29),IF($NP$29="Single_Point",IF(202=$NR$29,$NN$29,0),IF($NP$29="Bell_Curve",$NN$29*(202-$NR$29+1)*($NS$29-202+1)/$NU$29,$NN$29/$NT$29)),0)</f>
        <v/>
      </c>
      <c r="GY29" s="402">
        <f>IF(AND(203&gt;=$NR$29,203&lt;=$NS$29),IF($NP$29="Single_Point",IF(203=$NR$29,$NN$29,0),IF($NP$29="Bell_Curve",$NN$29*(203-$NR$29+1)*($NS$29-203+1)/$NU$29,$NN$29/$NT$29)),0)</f>
        <v/>
      </c>
      <c r="GZ29" s="402">
        <f>IF(AND(204&gt;=$NR$29,204&lt;=$NS$29),IF($NP$29="Single_Point",IF(204=$NR$29,$NN$29,0),IF($NP$29="Bell_Curve",$NN$29*(204-$NR$29+1)*($NS$29-204+1)/$NU$29,$NN$29/$NT$29)),0)</f>
        <v/>
      </c>
      <c r="HA29" s="402">
        <f>IF(AND(205&gt;=$NR$29,205&lt;=$NS$29),IF($NP$29="Single_Point",IF(205=$NR$29,$NN$29,0),IF($NP$29="Bell_Curve",$NN$29*(205-$NR$29+1)*($NS$29-205+1)/$NU$29,$NN$29/$NT$29)),0)</f>
        <v/>
      </c>
      <c r="HB29" s="402">
        <f>IF(AND(206&gt;=$NR$29,206&lt;=$NS$29),IF($NP$29="Single_Point",IF(206=$NR$29,$NN$29,0),IF($NP$29="Bell_Curve",$NN$29*(206-$NR$29+1)*($NS$29-206+1)/$NU$29,$NN$29/$NT$29)),0)</f>
        <v/>
      </c>
      <c r="HC29" s="402">
        <f>IF(AND(207&gt;=$NR$29,207&lt;=$NS$29),IF($NP$29="Single_Point",IF(207=$NR$29,$NN$29,0),IF($NP$29="Bell_Curve",$NN$29*(207-$NR$29+1)*($NS$29-207+1)/$NU$29,$NN$29/$NT$29)),0)</f>
        <v/>
      </c>
      <c r="HD29" s="402">
        <f>IF(AND(208&gt;=$NR$29,208&lt;=$NS$29),IF($NP$29="Single_Point",IF(208=$NR$29,$NN$29,0),IF($NP$29="Bell_Curve",$NN$29*(208-$NR$29+1)*($NS$29-208+1)/$NU$29,$NN$29/$NT$29)),0)</f>
        <v/>
      </c>
      <c r="HE29" s="402">
        <f>IF(AND(209&gt;=$NR$29,209&lt;=$NS$29),IF($NP$29="Single_Point",IF(209=$NR$29,$NN$29,0),IF($NP$29="Bell_Curve",$NN$29*(209-$NR$29+1)*($NS$29-209+1)/$NU$29,$NN$29/$NT$29)),0)</f>
        <v/>
      </c>
      <c r="HF29" s="402">
        <f>IF(AND(210&gt;=$NR$29,210&lt;=$NS$29),IF($NP$29="Single_Point",IF(210=$NR$29,$NN$29,0),IF($NP$29="Bell_Curve",$NN$29*(210-$NR$29+1)*($NS$29-210+1)/$NU$29,$NN$29/$NT$29)),0)</f>
        <v/>
      </c>
      <c r="HG29" s="402">
        <f>IF(AND(211&gt;=$NR$29,211&lt;=$NS$29),IF($NP$29="Single_Point",IF(211=$NR$29,$NN$29,0),IF($NP$29="Bell_Curve",$NN$29*(211-$NR$29+1)*($NS$29-211+1)/$NU$29,$NN$29/$NT$29)),0)</f>
        <v/>
      </c>
      <c r="HH29" s="402">
        <f>IF(AND(212&gt;=$NR$29,212&lt;=$NS$29),IF($NP$29="Single_Point",IF(212=$NR$29,$NN$29,0),IF($NP$29="Bell_Curve",$NN$29*(212-$NR$29+1)*($NS$29-212+1)/$NU$29,$NN$29/$NT$29)),0)</f>
        <v/>
      </c>
      <c r="HI29" s="402">
        <f>IF(AND(213&gt;=$NR$29,213&lt;=$NS$29),IF($NP$29="Single_Point",IF(213=$NR$29,$NN$29,0),IF($NP$29="Bell_Curve",$NN$29*(213-$NR$29+1)*($NS$29-213+1)/$NU$29,$NN$29/$NT$29)),0)</f>
        <v/>
      </c>
      <c r="HJ29" s="402">
        <f>IF(AND(214&gt;=$NR$29,214&lt;=$NS$29),IF($NP$29="Single_Point",IF(214=$NR$29,$NN$29,0),IF($NP$29="Bell_Curve",$NN$29*(214-$NR$29+1)*($NS$29-214+1)/$NU$29,$NN$29/$NT$29)),0)</f>
        <v/>
      </c>
      <c r="HK29" s="402">
        <f>IF(AND(215&gt;=$NR$29,215&lt;=$NS$29),IF($NP$29="Single_Point",IF(215=$NR$29,$NN$29,0),IF($NP$29="Bell_Curve",$NN$29*(215-$NR$29+1)*($NS$29-215+1)/$NU$29,$NN$29/$NT$29)),0)</f>
        <v/>
      </c>
      <c r="HL29" s="402">
        <f>IF(AND(216&gt;=$NR$29,216&lt;=$NS$29),IF($NP$29="Single_Point",IF(216=$NR$29,$NN$29,0),IF($NP$29="Bell_Curve",$NN$29*(216-$NR$29+1)*($NS$29-216+1)/$NU$29,$NN$29/$NT$29)),0)</f>
        <v/>
      </c>
      <c r="HM29" s="402">
        <f>IF(AND(217&gt;=$NR$29,217&lt;=$NS$29),IF($NP$29="Single_Point",IF(217=$NR$29,$NN$29,0),IF($NP$29="Bell_Curve",$NN$29*(217-$NR$29+1)*($NS$29-217+1)/$NU$29,$NN$29/$NT$29)),0)</f>
        <v/>
      </c>
      <c r="HN29" s="402">
        <f>IF(AND(218&gt;=$NR$29,218&lt;=$NS$29),IF($NP$29="Single_Point",IF(218=$NR$29,$NN$29,0),IF($NP$29="Bell_Curve",$NN$29*(218-$NR$29+1)*($NS$29-218+1)/$NU$29,$NN$29/$NT$29)),0)</f>
        <v/>
      </c>
      <c r="HO29" s="402">
        <f>IF(AND(219&gt;=$NR$29,219&lt;=$NS$29),IF($NP$29="Single_Point",IF(219=$NR$29,$NN$29,0),IF($NP$29="Bell_Curve",$NN$29*(219-$NR$29+1)*($NS$29-219+1)/$NU$29,$NN$29/$NT$29)),0)</f>
        <v/>
      </c>
      <c r="HP29" s="402">
        <f>IF(AND(220&gt;=$NR$29,220&lt;=$NS$29),IF($NP$29="Single_Point",IF(220=$NR$29,$NN$29,0),IF($NP$29="Bell_Curve",$NN$29*(220-$NR$29+1)*($NS$29-220+1)/$NU$29,$NN$29/$NT$29)),0)</f>
        <v/>
      </c>
      <c r="HQ29" s="402">
        <f>IF(AND(221&gt;=$NR$29,221&lt;=$NS$29),IF($NP$29="Single_Point",IF(221=$NR$29,$NN$29,0),IF($NP$29="Bell_Curve",$NN$29*(221-$NR$29+1)*($NS$29-221+1)/$NU$29,$NN$29/$NT$29)),0)</f>
        <v/>
      </c>
      <c r="HR29" s="402">
        <f>IF(AND(222&gt;=$NR$29,222&lt;=$NS$29),IF($NP$29="Single_Point",IF(222=$NR$29,$NN$29,0),IF($NP$29="Bell_Curve",$NN$29*(222-$NR$29+1)*($NS$29-222+1)/$NU$29,$NN$29/$NT$29)),0)</f>
        <v/>
      </c>
      <c r="HS29" s="402">
        <f>IF(AND(223&gt;=$NR$29,223&lt;=$NS$29),IF($NP$29="Single_Point",IF(223=$NR$29,$NN$29,0),IF($NP$29="Bell_Curve",$NN$29*(223-$NR$29+1)*($NS$29-223+1)/$NU$29,$NN$29/$NT$29)),0)</f>
        <v/>
      </c>
      <c r="HT29" s="402">
        <f>IF(AND(224&gt;=$NR$29,224&lt;=$NS$29),IF($NP$29="Single_Point",IF(224=$NR$29,$NN$29,0),IF($NP$29="Bell_Curve",$NN$29*(224-$NR$29+1)*($NS$29-224+1)/$NU$29,$NN$29/$NT$29)),0)</f>
        <v/>
      </c>
      <c r="HU29" s="402">
        <f>IF(AND(225&gt;=$NR$29,225&lt;=$NS$29),IF($NP$29="Single_Point",IF(225=$NR$29,$NN$29,0),IF($NP$29="Bell_Curve",$NN$29*(225-$NR$29+1)*($NS$29-225+1)/$NU$29,$NN$29/$NT$29)),0)</f>
        <v/>
      </c>
      <c r="HV29" s="402">
        <f>IF(AND(226&gt;=$NR$29,226&lt;=$NS$29),IF($NP$29="Single_Point",IF(226=$NR$29,$NN$29,0),IF($NP$29="Bell_Curve",$NN$29*(226-$NR$29+1)*($NS$29-226+1)/$NU$29,$NN$29/$NT$29)),0)</f>
        <v/>
      </c>
      <c r="HW29" s="402">
        <f>IF(AND(227&gt;=$NR$29,227&lt;=$NS$29),IF($NP$29="Single_Point",IF(227=$NR$29,$NN$29,0),IF($NP$29="Bell_Curve",$NN$29*(227-$NR$29+1)*($NS$29-227+1)/$NU$29,$NN$29/$NT$29)),0)</f>
        <v/>
      </c>
      <c r="HX29" s="402">
        <f>IF(AND(228&gt;=$NR$29,228&lt;=$NS$29),IF($NP$29="Single_Point",IF(228=$NR$29,$NN$29,0),IF($NP$29="Bell_Curve",$NN$29*(228-$NR$29+1)*($NS$29-228+1)/$NU$29,$NN$29/$NT$29)),0)</f>
        <v/>
      </c>
      <c r="HY29" s="402">
        <f>IF(AND(229&gt;=$NR$29,229&lt;=$NS$29),IF($NP$29="Single_Point",IF(229=$NR$29,$NN$29,0),IF($NP$29="Bell_Curve",$NN$29*(229-$NR$29+1)*($NS$29-229+1)/$NU$29,$NN$29/$NT$29)),0)</f>
        <v/>
      </c>
      <c r="HZ29" s="402">
        <f>IF(AND(230&gt;=$NR$29,230&lt;=$NS$29),IF($NP$29="Single_Point",IF(230=$NR$29,$NN$29,0),IF($NP$29="Bell_Curve",$NN$29*(230-$NR$29+1)*($NS$29-230+1)/$NU$29,$NN$29/$NT$29)),0)</f>
        <v/>
      </c>
      <c r="IA29" s="402">
        <f>IF(AND(231&gt;=$NR$29,231&lt;=$NS$29),IF($NP$29="Single_Point",IF(231=$NR$29,$NN$29,0),IF($NP$29="Bell_Curve",$NN$29*(231-$NR$29+1)*($NS$29-231+1)/$NU$29,$NN$29/$NT$29)),0)</f>
        <v/>
      </c>
      <c r="IB29" s="402">
        <f>IF(AND(232&gt;=$NR$29,232&lt;=$NS$29),IF($NP$29="Single_Point",IF(232=$NR$29,$NN$29,0),IF($NP$29="Bell_Curve",$NN$29*(232-$NR$29+1)*($NS$29-232+1)/$NU$29,$NN$29/$NT$29)),0)</f>
        <v/>
      </c>
      <c r="IC29" s="402">
        <f>IF(AND(233&gt;=$NR$29,233&lt;=$NS$29),IF($NP$29="Single_Point",IF(233=$NR$29,$NN$29,0),IF($NP$29="Bell_Curve",$NN$29*(233-$NR$29+1)*($NS$29-233+1)/$NU$29,$NN$29/$NT$29)),0)</f>
        <v/>
      </c>
      <c r="ID29" s="402">
        <f>IF(AND(234&gt;=$NR$29,234&lt;=$NS$29),IF($NP$29="Single_Point",IF(234=$NR$29,$NN$29,0),IF($NP$29="Bell_Curve",$NN$29*(234-$NR$29+1)*($NS$29-234+1)/$NU$29,$NN$29/$NT$29)),0)</f>
        <v/>
      </c>
      <c r="IE29" s="402">
        <f>IF(AND(235&gt;=$NR$29,235&lt;=$NS$29),IF($NP$29="Single_Point",IF(235=$NR$29,$NN$29,0),IF($NP$29="Bell_Curve",$NN$29*(235-$NR$29+1)*($NS$29-235+1)/$NU$29,$NN$29/$NT$29)),0)</f>
        <v/>
      </c>
      <c r="IF29" s="402">
        <f>IF(AND(236&gt;=$NR$29,236&lt;=$NS$29),IF($NP$29="Single_Point",IF(236=$NR$29,$NN$29,0),IF($NP$29="Bell_Curve",$NN$29*(236-$NR$29+1)*($NS$29-236+1)/$NU$29,$NN$29/$NT$29)),0)</f>
        <v/>
      </c>
      <c r="IG29" s="402">
        <f>IF(AND(237&gt;=$NR$29,237&lt;=$NS$29),IF($NP$29="Single_Point",IF(237=$NR$29,$NN$29,0),IF($NP$29="Bell_Curve",$NN$29*(237-$NR$29+1)*($NS$29-237+1)/$NU$29,$NN$29/$NT$29)),0)</f>
        <v/>
      </c>
      <c r="IH29" s="402">
        <f>IF(AND(238&gt;=$NR$29,238&lt;=$NS$29),IF($NP$29="Single_Point",IF(238=$NR$29,$NN$29,0),IF($NP$29="Bell_Curve",$NN$29*(238-$NR$29+1)*($NS$29-238+1)/$NU$29,$NN$29/$NT$29)),0)</f>
        <v/>
      </c>
      <c r="II29" s="402">
        <f>IF(AND(239&gt;=$NR$29,239&lt;=$NS$29),IF($NP$29="Single_Point",IF(239=$NR$29,$NN$29,0),IF($NP$29="Bell_Curve",$NN$29*(239-$NR$29+1)*($NS$29-239+1)/$NU$29,$NN$29/$NT$29)),0)</f>
        <v/>
      </c>
      <c r="IJ29" s="402">
        <f>IF(AND(240&gt;=$NR$29,240&lt;=$NS$29),IF($NP$29="Single_Point",IF(240=$NR$29,$NN$29,0),IF($NP$29="Bell_Curve",$NN$29*(240-$NR$29+1)*($NS$29-240+1)/$NU$29,$NN$29/$NT$29)),0)</f>
        <v/>
      </c>
      <c r="IK29" s="402">
        <f>IF(AND(241&gt;=$NR$29,241&lt;=$NS$29),IF($NP$29="Single_Point",IF(241=$NR$29,$NN$29,0),IF($NP$29="Bell_Curve",$NN$29*(241-$NR$29+1)*($NS$29-241+1)/$NU$29,$NN$29/$NT$29)),0)</f>
        <v/>
      </c>
      <c r="IL29" s="402">
        <f>IF(AND(242&gt;=$NR$29,242&lt;=$NS$29),IF($NP$29="Single_Point",IF(242=$NR$29,$NN$29,0),IF($NP$29="Bell_Curve",$NN$29*(242-$NR$29+1)*($NS$29-242+1)/$NU$29,$NN$29/$NT$29)),0)</f>
        <v/>
      </c>
      <c r="IM29" s="402">
        <f>IF(AND(243&gt;=$NR$29,243&lt;=$NS$29),IF($NP$29="Single_Point",IF(243=$NR$29,$NN$29,0),IF($NP$29="Bell_Curve",$NN$29*(243-$NR$29+1)*($NS$29-243+1)/$NU$29,$NN$29/$NT$29)),0)</f>
        <v/>
      </c>
      <c r="IN29" s="402">
        <f>IF(AND(244&gt;=$NR$29,244&lt;=$NS$29),IF($NP$29="Single_Point",IF(244=$NR$29,$NN$29,0),IF($NP$29="Bell_Curve",$NN$29*(244-$NR$29+1)*($NS$29-244+1)/$NU$29,$NN$29/$NT$29)),0)</f>
        <v/>
      </c>
      <c r="IO29" s="402">
        <f>IF(AND(245&gt;=$NR$29,245&lt;=$NS$29),IF($NP$29="Single_Point",IF(245=$NR$29,$NN$29,0),IF($NP$29="Bell_Curve",$NN$29*(245-$NR$29+1)*($NS$29-245+1)/$NU$29,$NN$29/$NT$29)),0)</f>
        <v/>
      </c>
      <c r="IP29" s="402">
        <f>IF(AND(246&gt;=$NR$29,246&lt;=$NS$29),IF($NP$29="Single_Point",IF(246=$NR$29,$NN$29,0),IF($NP$29="Bell_Curve",$NN$29*(246-$NR$29+1)*($NS$29-246+1)/$NU$29,$NN$29/$NT$29)),0)</f>
        <v/>
      </c>
      <c r="IQ29" s="402">
        <f>IF(AND(247&gt;=$NR$29,247&lt;=$NS$29),IF($NP$29="Single_Point",IF(247=$NR$29,$NN$29,0),IF($NP$29="Bell_Curve",$NN$29*(247-$NR$29+1)*($NS$29-247+1)/$NU$29,$NN$29/$NT$29)),0)</f>
        <v/>
      </c>
      <c r="IR29" s="402">
        <f>IF(AND(248&gt;=$NR$29,248&lt;=$NS$29),IF($NP$29="Single_Point",IF(248=$NR$29,$NN$29,0),IF($NP$29="Bell_Curve",$NN$29*(248-$NR$29+1)*($NS$29-248+1)/$NU$29,$NN$29/$NT$29)),0)</f>
        <v/>
      </c>
      <c r="IS29" s="402">
        <f>IF(AND(249&gt;=$NR$29,249&lt;=$NS$29),IF($NP$29="Single_Point",IF(249=$NR$29,$NN$29,0),IF($NP$29="Bell_Curve",$NN$29*(249-$NR$29+1)*($NS$29-249+1)/$NU$29,$NN$29/$NT$29)),0)</f>
        <v/>
      </c>
      <c r="IT29" s="402">
        <f>IF(AND(250&gt;=$NR$29,250&lt;=$NS$29),IF($NP$29="Single_Point",IF(250=$NR$29,$NN$29,0),IF($NP$29="Bell_Curve",$NN$29*(250-$NR$29+1)*($NS$29-250+1)/$NU$29,$NN$29/$NT$29)),0)</f>
        <v/>
      </c>
      <c r="IU29" s="402">
        <f>IF(AND(251&gt;=$NR$29,251&lt;=$NS$29),IF($NP$29="Single_Point",IF(251=$NR$29,$NN$29,0),IF($NP$29="Bell_Curve",$NN$29*(251-$NR$29+1)*($NS$29-251+1)/$NU$29,$NN$29/$NT$29)),0)</f>
        <v/>
      </c>
      <c r="IV29" s="402">
        <f>IF(AND(252&gt;=$NR$29,252&lt;=$NS$29),IF($NP$29="Single_Point",IF(252=$NR$29,$NN$29,0),IF($NP$29="Bell_Curve",$NN$29*(252-$NR$29+1)*($NS$29-252+1)/$NU$29,$NN$29/$NT$29)),0)</f>
        <v/>
      </c>
      <c r="IW29" s="402">
        <f>IF(AND(253&gt;=$NR$29,253&lt;=$NS$29),IF($NP$29="Single_Point",IF(253=$NR$29,$NN$29,0),IF($NP$29="Bell_Curve",$NN$29*(253-$NR$29+1)*($NS$29-253+1)/$NU$29,$NN$29/$NT$29)),0)</f>
        <v/>
      </c>
      <c r="IX29" s="402">
        <f>IF(AND(254&gt;=$NR$29,254&lt;=$NS$29),IF($NP$29="Single_Point",IF(254=$NR$29,$NN$29,0),IF($NP$29="Bell_Curve",$NN$29*(254-$NR$29+1)*($NS$29-254+1)/$NU$29,$NN$29/$NT$29)),0)</f>
        <v/>
      </c>
      <c r="IY29" s="402">
        <f>IF(AND(255&gt;=$NR$29,255&lt;=$NS$29),IF($NP$29="Single_Point",IF(255=$NR$29,$NN$29,0),IF($NP$29="Bell_Curve",$NN$29*(255-$NR$29+1)*($NS$29-255+1)/$NU$29,$NN$29/$NT$29)),0)</f>
        <v/>
      </c>
      <c r="IZ29" s="402">
        <f>IF(AND(256&gt;=$NR$29,256&lt;=$NS$29),IF($NP$29="Single_Point",IF(256=$NR$29,$NN$29,0),IF($NP$29="Bell_Curve",$NN$29*(256-$NR$29+1)*($NS$29-256+1)/$NU$29,$NN$29/$NT$29)),0)</f>
        <v/>
      </c>
      <c r="JA29" s="402">
        <f>IF(AND(257&gt;=$NR$29,257&lt;=$NS$29),IF($NP$29="Single_Point",IF(257=$NR$29,$NN$29,0),IF($NP$29="Bell_Curve",$NN$29*(257-$NR$29+1)*($NS$29-257+1)/$NU$29,$NN$29/$NT$29)),0)</f>
        <v/>
      </c>
      <c r="JB29" s="402">
        <f>IF(AND(258&gt;=$NR$29,258&lt;=$NS$29),IF($NP$29="Single_Point",IF(258=$NR$29,$NN$29,0),IF($NP$29="Bell_Curve",$NN$29*(258-$NR$29+1)*($NS$29-258+1)/$NU$29,$NN$29/$NT$29)),0)</f>
        <v/>
      </c>
      <c r="JC29" s="402">
        <f>IF(AND(259&gt;=$NR$29,259&lt;=$NS$29),IF($NP$29="Single_Point",IF(259=$NR$29,$NN$29,0),IF($NP$29="Bell_Curve",$NN$29*(259-$NR$29+1)*($NS$29-259+1)/$NU$29,$NN$29/$NT$29)),0)</f>
        <v/>
      </c>
      <c r="JD29" s="402">
        <f>IF(AND(260&gt;=$NR$29,260&lt;=$NS$29),IF($NP$29="Single_Point",IF(260=$NR$29,$NN$29,0),IF($NP$29="Bell_Curve",$NN$29*(260-$NR$29+1)*($NS$29-260+1)/$NU$29,$NN$29/$NT$29)),0)</f>
        <v/>
      </c>
      <c r="JE29" s="402">
        <f>IF(AND(261&gt;=$NR$29,261&lt;=$NS$29),IF($NP$29="Single_Point",IF(261=$NR$29,$NN$29,0),IF($NP$29="Bell_Curve",$NN$29*(261-$NR$29+1)*($NS$29-261+1)/$NU$29,$NN$29/$NT$29)),0)</f>
        <v/>
      </c>
      <c r="JF29" s="402">
        <f>IF(AND(262&gt;=$NR$29,262&lt;=$NS$29),IF($NP$29="Single_Point",IF(262=$NR$29,$NN$29,0),IF($NP$29="Bell_Curve",$NN$29*(262-$NR$29+1)*($NS$29-262+1)/$NU$29,$NN$29/$NT$29)),0)</f>
        <v/>
      </c>
      <c r="JG29" s="402">
        <f>IF(AND(263&gt;=$NR$29,263&lt;=$NS$29),IF($NP$29="Single_Point",IF(263=$NR$29,$NN$29,0),IF($NP$29="Bell_Curve",$NN$29*(263-$NR$29+1)*($NS$29-263+1)/$NU$29,$NN$29/$NT$29)),0)</f>
        <v/>
      </c>
      <c r="JH29" s="402">
        <f>IF(AND(264&gt;=$NR$29,264&lt;=$NS$29),IF($NP$29="Single_Point",IF(264=$NR$29,$NN$29,0),IF($NP$29="Bell_Curve",$NN$29*(264-$NR$29+1)*($NS$29-264+1)/$NU$29,$NN$29/$NT$29)),0)</f>
        <v/>
      </c>
      <c r="JI29" s="402">
        <f>IF(AND(265&gt;=$NR$29,265&lt;=$NS$29),IF($NP$29="Single_Point",IF(265=$NR$29,$NN$29,0),IF($NP$29="Bell_Curve",$NN$29*(265-$NR$29+1)*($NS$29-265+1)/$NU$29,$NN$29/$NT$29)),0)</f>
        <v/>
      </c>
      <c r="JJ29" s="402">
        <f>IF(AND(266&gt;=$NR$29,266&lt;=$NS$29),IF($NP$29="Single_Point",IF(266=$NR$29,$NN$29,0),IF($NP$29="Bell_Curve",$NN$29*(266-$NR$29+1)*($NS$29-266+1)/$NU$29,$NN$29/$NT$29)),0)</f>
        <v/>
      </c>
      <c r="JK29" s="402">
        <f>IF(AND(267&gt;=$NR$29,267&lt;=$NS$29),IF($NP$29="Single_Point",IF(267=$NR$29,$NN$29,0),IF($NP$29="Bell_Curve",$NN$29*(267-$NR$29+1)*($NS$29-267+1)/$NU$29,$NN$29/$NT$29)),0)</f>
        <v/>
      </c>
      <c r="JL29" s="402">
        <f>IF(AND(268&gt;=$NR$29,268&lt;=$NS$29),IF($NP$29="Single_Point",IF(268=$NR$29,$NN$29,0),IF($NP$29="Bell_Curve",$NN$29*(268-$NR$29+1)*($NS$29-268+1)/$NU$29,$NN$29/$NT$29)),0)</f>
        <v/>
      </c>
      <c r="JM29" s="402">
        <f>IF(AND(269&gt;=$NR$29,269&lt;=$NS$29),IF($NP$29="Single_Point",IF(269=$NR$29,$NN$29,0),IF($NP$29="Bell_Curve",$NN$29*(269-$NR$29+1)*($NS$29-269+1)/$NU$29,$NN$29/$NT$29)),0)</f>
        <v/>
      </c>
      <c r="JN29" s="402">
        <f>IF(AND(270&gt;=$NR$29,270&lt;=$NS$29),IF($NP$29="Single_Point",IF(270=$NR$29,$NN$29,0),IF($NP$29="Bell_Curve",$NN$29*(270-$NR$29+1)*($NS$29-270+1)/$NU$29,$NN$29/$NT$29)),0)</f>
        <v/>
      </c>
      <c r="JO29" s="402">
        <f>IF(AND(271&gt;=$NR$29,271&lt;=$NS$29),IF($NP$29="Single_Point",IF(271=$NR$29,$NN$29,0),IF($NP$29="Bell_Curve",$NN$29*(271-$NR$29+1)*($NS$29-271+1)/$NU$29,$NN$29/$NT$29)),0)</f>
        <v/>
      </c>
      <c r="JP29" s="402">
        <f>IF(AND(272&gt;=$NR$29,272&lt;=$NS$29),IF($NP$29="Single_Point",IF(272=$NR$29,$NN$29,0),IF($NP$29="Bell_Curve",$NN$29*(272-$NR$29+1)*($NS$29-272+1)/$NU$29,$NN$29/$NT$29)),0)</f>
        <v/>
      </c>
      <c r="JQ29" s="402">
        <f>IF(AND(273&gt;=$NR$29,273&lt;=$NS$29),IF($NP$29="Single_Point",IF(273=$NR$29,$NN$29,0),IF($NP$29="Bell_Curve",$NN$29*(273-$NR$29+1)*($NS$29-273+1)/$NU$29,$NN$29/$NT$29)),0)</f>
        <v/>
      </c>
      <c r="JR29" s="402">
        <f>IF(AND(274&gt;=$NR$29,274&lt;=$NS$29),IF($NP$29="Single_Point",IF(274=$NR$29,$NN$29,0),IF($NP$29="Bell_Curve",$NN$29*(274-$NR$29+1)*($NS$29-274+1)/$NU$29,$NN$29/$NT$29)),0)</f>
        <v/>
      </c>
      <c r="JS29" s="402">
        <f>IF(AND(275&gt;=$NR$29,275&lt;=$NS$29),IF($NP$29="Single_Point",IF(275=$NR$29,$NN$29,0),IF($NP$29="Bell_Curve",$NN$29*(275-$NR$29+1)*($NS$29-275+1)/$NU$29,$NN$29/$NT$29)),0)</f>
        <v/>
      </c>
      <c r="JT29" s="402">
        <f>IF(AND(276&gt;=$NR$29,276&lt;=$NS$29),IF($NP$29="Single_Point",IF(276=$NR$29,$NN$29,0),IF($NP$29="Bell_Curve",$NN$29*(276-$NR$29+1)*($NS$29-276+1)/$NU$29,$NN$29/$NT$29)),0)</f>
        <v/>
      </c>
      <c r="JU29" s="402">
        <f>IF(AND(277&gt;=$NR$29,277&lt;=$NS$29),IF($NP$29="Single_Point",IF(277=$NR$29,$NN$29,0),IF($NP$29="Bell_Curve",$NN$29*(277-$NR$29+1)*($NS$29-277+1)/$NU$29,$NN$29/$NT$29)),0)</f>
        <v/>
      </c>
      <c r="JV29" s="402">
        <f>IF(AND(278&gt;=$NR$29,278&lt;=$NS$29),IF($NP$29="Single_Point",IF(278=$NR$29,$NN$29,0),IF($NP$29="Bell_Curve",$NN$29*(278-$NR$29+1)*($NS$29-278+1)/$NU$29,$NN$29/$NT$29)),0)</f>
        <v/>
      </c>
      <c r="JW29" s="402">
        <f>IF(AND(279&gt;=$NR$29,279&lt;=$NS$29),IF($NP$29="Single_Point",IF(279=$NR$29,$NN$29,0),IF($NP$29="Bell_Curve",$NN$29*(279-$NR$29+1)*($NS$29-279+1)/$NU$29,$NN$29/$NT$29)),0)</f>
        <v/>
      </c>
      <c r="JX29" s="402">
        <f>IF(AND(280&gt;=$NR$29,280&lt;=$NS$29),IF($NP$29="Single_Point",IF(280=$NR$29,$NN$29,0),IF($NP$29="Bell_Curve",$NN$29*(280-$NR$29+1)*($NS$29-280+1)/$NU$29,$NN$29/$NT$29)),0)</f>
        <v/>
      </c>
      <c r="JY29" s="402">
        <f>IF(AND(281&gt;=$NR$29,281&lt;=$NS$29),IF($NP$29="Single_Point",IF(281=$NR$29,$NN$29,0),IF($NP$29="Bell_Curve",$NN$29*(281-$NR$29+1)*($NS$29-281+1)/$NU$29,$NN$29/$NT$29)),0)</f>
        <v/>
      </c>
      <c r="JZ29" s="402">
        <f>IF(AND(282&gt;=$NR$29,282&lt;=$NS$29),IF($NP$29="Single_Point",IF(282=$NR$29,$NN$29,0),IF($NP$29="Bell_Curve",$NN$29*(282-$NR$29+1)*($NS$29-282+1)/$NU$29,$NN$29/$NT$29)),0)</f>
        <v/>
      </c>
      <c r="KA29" s="402">
        <f>IF(AND(283&gt;=$NR$29,283&lt;=$NS$29),IF($NP$29="Single_Point",IF(283=$NR$29,$NN$29,0),IF($NP$29="Bell_Curve",$NN$29*(283-$NR$29+1)*($NS$29-283+1)/$NU$29,$NN$29/$NT$29)),0)</f>
        <v/>
      </c>
      <c r="KB29" s="402">
        <f>IF(AND(284&gt;=$NR$29,284&lt;=$NS$29),IF($NP$29="Single_Point",IF(284=$NR$29,$NN$29,0),IF($NP$29="Bell_Curve",$NN$29*(284-$NR$29+1)*($NS$29-284+1)/$NU$29,$NN$29/$NT$29)),0)</f>
        <v/>
      </c>
      <c r="KC29" s="402">
        <f>IF(AND(285&gt;=$NR$29,285&lt;=$NS$29),IF($NP$29="Single_Point",IF(285=$NR$29,$NN$29,0),IF($NP$29="Bell_Curve",$NN$29*(285-$NR$29+1)*($NS$29-285+1)/$NU$29,$NN$29/$NT$29)),0)</f>
        <v/>
      </c>
      <c r="KD29" s="402">
        <f>IF(AND(286&gt;=$NR$29,286&lt;=$NS$29),IF($NP$29="Single_Point",IF(286=$NR$29,$NN$29,0),IF($NP$29="Bell_Curve",$NN$29*(286-$NR$29+1)*($NS$29-286+1)/$NU$29,$NN$29/$NT$29)),0)</f>
        <v/>
      </c>
      <c r="KE29" s="402">
        <f>IF(AND(287&gt;=$NR$29,287&lt;=$NS$29),IF($NP$29="Single_Point",IF(287=$NR$29,$NN$29,0),IF($NP$29="Bell_Curve",$NN$29*(287-$NR$29+1)*($NS$29-287+1)/$NU$29,$NN$29/$NT$29)),0)</f>
        <v/>
      </c>
      <c r="KF29" s="402">
        <f>IF(AND(288&gt;=$NR$29,288&lt;=$NS$29),IF($NP$29="Single_Point",IF(288=$NR$29,$NN$29,0),IF($NP$29="Bell_Curve",$NN$29*(288-$NR$29+1)*($NS$29-288+1)/$NU$29,$NN$29/$NT$29)),0)</f>
        <v/>
      </c>
      <c r="KG29" s="402">
        <f>IF(AND(289&gt;=$NR$29,289&lt;=$NS$29),IF($NP$29="Single_Point",IF(289=$NR$29,$NN$29,0),IF($NP$29="Bell_Curve",$NN$29*(289-$NR$29+1)*($NS$29-289+1)/$NU$29,$NN$29/$NT$29)),0)</f>
        <v/>
      </c>
      <c r="KH29" s="402">
        <f>IF(AND(290&gt;=$NR$29,290&lt;=$NS$29),IF($NP$29="Single_Point",IF(290=$NR$29,$NN$29,0),IF($NP$29="Bell_Curve",$NN$29*(290-$NR$29+1)*($NS$29-290+1)/$NU$29,$NN$29/$NT$29)),0)</f>
        <v/>
      </c>
      <c r="KI29" s="402">
        <f>IF(AND(291&gt;=$NR$29,291&lt;=$NS$29),IF($NP$29="Single_Point",IF(291=$NR$29,$NN$29,0),IF($NP$29="Bell_Curve",$NN$29*(291-$NR$29+1)*($NS$29-291+1)/$NU$29,$NN$29/$NT$29)),0)</f>
        <v/>
      </c>
      <c r="KJ29" s="402">
        <f>IF(AND(292&gt;=$NR$29,292&lt;=$NS$29),IF($NP$29="Single_Point",IF(292=$NR$29,$NN$29,0),IF($NP$29="Bell_Curve",$NN$29*(292-$NR$29+1)*($NS$29-292+1)/$NU$29,$NN$29/$NT$29)),0)</f>
        <v/>
      </c>
      <c r="KK29" s="402">
        <f>IF(AND(293&gt;=$NR$29,293&lt;=$NS$29),IF($NP$29="Single_Point",IF(293=$NR$29,$NN$29,0),IF($NP$29="Bell_Curve",$NN$29*(293-$NR$29+1)*($NS$29-293+1)/$NU$29,$NN$29/$NT$29)),0)</f>
        <v/>
      </c>
      <c r="KL29" s="402">
        <f>IF(AND(294&gt;=$NR$29,294&lt;=$NS$29),IF($NP$29="Single_Point",IF(294=$NR$29,$NN$29,0),IF($NP$29="Bell_Curve",$NN$29*(294-$NR$29+1)*($NS$29-294+1)/$NU$29,$NN$29/$NT$29)),0)</f>
        <v/>
      </c>
      <c r="KM29" s="402">
        <f>IF(AND(295&gt;=$NR$29,295&lt;=$NS$29),IF($NP$29="Single_Point",IF(295=$NR$29,$NN$29,0),IF($NP$29="Bell_Curve",$NN$29*(295-$NR$29+1)*($NS$29-295+1)/$NU$29,$NN$29/$NT$29)),0)</f>
        <v/>
      </c>
      <c r="KN29" s="402">
        <f>IF(AND(296&gt;=$NR$29,296&lt;=$NS$29),IF($NP$29="Single_Point",IF(296=$NR$29,$NN$29,0),IF($NP$29="Bell_Curve",$NN$29*(296-$NR$29+1)*($NS$29-296+1)/$NU$29,$NN$29/$NT$29)),0)</f>
        <v/>
      </c>
      <c r="KO29" s="402">
        <f>IF(AND(297&gt;=$NR$29,297&lt;=$NS$29),IF($NP$29="Single_Point",IF(297=$NR$29,$NN$29,0),IF($NP$29="Bell_Curve",$NN$29*(297-$NR$29+1)*($NS$29-297+1)/$NU$29,$NN$29/$NT$29)),0)</f>
        <v/>
      </c>
      <c r="KP29" s="402">
        <f>IF(AND(298&gt;=$NR$29,298&lt;=$NS$29),IF($NP$29="Single_Point",IF(298=$NR$29,$NN$29,0),IF($NP$29="Bell_Curve",$NN$29*(298-$NR$29+1)*($NS$29-298+1)/$NU$29,$NN$29/$NT$29)),0)</f>
        <v/>
      </c>
      <c r="KQ29" s="402">
        <f>IF(AND(299&gt;=$NR$29,299&lt;=$NS$29),IF($NP$29="Single_Point",IF(299=$NR$29,$NN$29,0),IF($NP$29="Bell_Curve",$NN$29*(299-$NR$29+1)*($NS$29-299+1)/$NU$29,$NN$29/$NT$29)),0)</f>
        <v/>
      </c>
      <c r="KR29" s="402">
        <f>IF(AND(300&gt;=$NR$29,300&lt;=$NS$29),IF($NP$29="Single_Point",IF(300=$NR$29,$NN$29,0),IF($NP$29="Bell_Curve",$NN$29*(300-$NR$29+1)*($NS$29-300+1)/$NU$29,$NN$29/$NT$29)),0)</f>
        <v/>
      </c>
      <c r="KS29" s="402">
        <f>IF(AND(301&gt;=$NR$29,301&lt;=$NS$29),IF($NP$29="Single_Point",IF(301=$NR$29,$NN$29,0),IF($NP$29="Bell_Curve",$NN$29*(301-$NR$29+1)*($NS$29-301+1)/$NU$29,$NN$29/$NT$29)),0)</f>
        <v/>
      </c>
      <c r="KT29" s="402">
        <f>IF(AND(302&gt;=$NR$29,302&lt;=$NS$29),IF($NP$29="Single_Point",IF(302=$NR$29,$NN$29,0),IF($NP$29="Bell_Curve",$NN$29*(302-$NR$29+1)*($NS$29-302+1)/$NU$29,$NN$29/$NT$29)),0)</f>
        <v/>
      </c>
      <c r="KU29" s="402">
        <f>IF(AND(303&gt;=$NR$29,303&lt;=$NS$29),IF($NP$29="Single_Point",IF(303=$NR$29,$NN$29,0),IF($NP$29="Bell_Curve",$NN$29*(303-$NR$29+1)*($NS$29-303+1)/$NU$29,$NN$29/$NT$29)),0)</f>
        <v/>
      </c>
      <c r="KV29" s="402">
        <f>IF(AND(304&gt;=$NR$29,304&lt;=$NS$29),IF($NP$29="Single_Point",IF(304=$NR$29,$NN$29,0),IF($NP$29="Bell_Curve",$NN$29*(304-$NR$29+1)*($NS$29-304+1)/$NU$29,$NN$29/$NT$29)),0)</f>
        <v/>
      </c>
      <c r="KW29" s="402">
        <f>IF(AND(305&gt;=$NR$29,305&lt;=$NS$29),IF($NP$29="Single_Point",IF(305=$NR$29,$NN$29,0),IF($NP$29="Bell_Curve",$NN$29*(305-$NR$29+1)*($NS$29-305+1)/$NU$29,$NN$29/$NT$29)),0)</f>
        <v/>
      </c>
      <c r="KX29" s="402">
        <f>IF(AND(306&gt;=$NR$29,306&lt;=$NS$29),IF($NP$29="Single_Point",IF(306=$NR$29,$NN$29,0),IF($NP$29="Bell_Curve",$NN$29*(306-$NR$29+1)*($NS$29-306+1)/$NU$29,$NN$29/$NT$29)),0)</f>
        <v/>
      </c>
      <c r="KY29" s="402">
        <f>IF(AND(307&gt;=$NR$29,307&lt;=$NS$29),IF($NP$29="Single_Point",IF(307=$NR$29,$NN$29,0),IF($NP$29="Bell_Curve",$NN$29*(307-$NR$29+1)*($NS$29-307+1)/$NU$29,$NN$29/$NT$29)),0)</f>
        <v/>
      </c>
      <c r="KZ29" s="402">
        <f>IF(AND(308&gt;=$NR$29,308&lt;=$NS$29),IF($NP$29="Single_Point",IF(308=$NR$29,$NN$29,0),IF($NP$29="Bell_Curve",$NN$29*(308-$NR$29+1)*($NS$29-308+1)/$NU$29,$NN$29/$NT$29)),0)</f>
        <v/>
      </c>
      <c r="LA29" s="402">
        <f>IF(AND(309&gt;=$NR$29,309&lt;=$NS$29),IF($NP$29="Single_Point",IF(309=$NR$29,$NN$29,0),IF($NP$29="Bell_Curve",$NN$29*(309-$NR$29+1)*($NS$29-309+1)/$NU$29,$NN$29/$NT$29)),0)</f>
        <v/>
      </c>
      <c r="LB29" s="402">
        <f>IF(AND(310&gt;=$NR$29,310&lt;=$NS$29),IF($NP$29="Single_Point",IF(310=$NR$29,$NN$29,0),IF($NP$29="Bell_Curve",$NN$29*(310-$NR$29+1)*($NS$29-310+1)/$NU$29,$NN$29/$NT$29)),0)</f>
        <v/>
      </c>
      <c r="LC29" s="402">
        <f>IF(AND(311&gt;=$NR$29,311&lt;=$NS$29),IF($NP$29="Single_Point",IF(311=$NR$29,$NN$29,0),IF($NP$29="Bell_Curve",$NN$29*(311-$NR$29+1)*($NS$29-311+1)/$NU$29,$NN$29/$NT$29)),0)</f>
        <v/>
      </c>
      <c r="LD29" s="402">
        <f>IF(AND(312&gt;=$NR$29,312&lt;=$NS$29),IF($NP$29="Single_Point",IF(312=$NR$29,$NN$29,0),IF($NP$29="Bell_Curve",$NN$29*(312-$NR$29+1)*($NS$29-312+1)/$NU$29,$NN$29/$NT$29)),0)</f>
        <v/>
      </c>
      <c r="LE29" s="402">
        <f>IF(AND(313&gt;=$NR$29,313&lt;=$NS$29),IF($NP$29="Single_Point",IF(313=$NR$29,$NN$29,0),IF($NP$29="Bell_Curve",$NN$29*(313-$NR$29+1)*($NS$29-313+1)/$NU$29,$NN$29/$NT$29)),0)</f>
        <v/>
      </c>
      <c r="LF29" s="402">
        <f>IF(AND(314&gt;=$NR$29,314&lt;=$NS$29),IF($NP$29="Single_Point",IF(314=$NR$29,$NN$29,0),IF($NP$29="Bell_Curve",$NN$29*(314-$NR$29+1)*($NS$29-314+1)/$NU$29,$NN$29/$NT$29)),0)</f>
        <v/>
      </c>
      <c r="LG29" s="402">
        <f>IF(AND(315&gt;=$NR$29,315&lt;=$NS$29),IF($NP$29="Single_Point",IF(315=$NR$29,$NN$29,0),IF($NP$29="Bell_Curve",$NN$29*(315-$NR$29+1)*($NS$29-315+1)/$NU$29,$NN$29/$NT$29)),0)</f>
        <v/>
      </c>
      <c r="LH29" s="402">
        <f>IF(AND(316&gt;=$NR$29,316&lt;=$NS$29),IF($NP$29="Single_Point",IF(316=$NR$29,$NN$29,0),IF($NP$29="Bell_Curve",$NN$29*(316-$NR$29+1)*($NS$29-316+1)/$NU$29,$NN$29/$NT$29)),0)</f>
        <v/>
      </c>
      <c r="LI29" s="402">
        <f>IF(AND(317&gt;=$NR$29,317&lt;=$NS$29),IF($NP$29="Single_Point",IF(317=$NR$29,$NN$29,0),IF($NP$29="Bell_Curve",$NN$29*(317-$NR$29+1)*($NS$29-317+1)/$NU$29,$NN$29/$NT$29)),0)</f>
        <v/>
      </c>
      <c r="LJ29" s="402">
        <f>IF(AND(318&gt;=$NR$29,318&lt;=$NS$29),IF($NP$29="Single_Point",IF(318=$NR$29,$NN$29,0),IF($NP$29="Bell_Curve",$NN$29*(318-$NR$29+1)*($NS$29-318+1)/$NU$29,$NN$29/$NT$29)),0)</f>
        <v/>
      </c>
      <c r="LK29" s="402">
        <f>IF(AND(319&gt;=$NR$29,319&lt;=$NS$29),IF($NP$29="Single_Point",IF(319=$NR$29,$NN$29,0),IF($NP$29="Bell_Curve",$NN$29*(319-$NR$29+1)*($NS$29-319+1)/$NU$29,$NN$29/$NT$29)),0)</f>
        <v/>
      </c>
      <c r="LL29" s="402">
        <f>IF(AND(320&gt;=$NR$29,320&lt;=$NS$29),IF($NP$29="Single_Point",IF(320=$NR$29,$NN$29,0),IF($NP$29="Bell_Curve",$NN$29*(320-$NR$29+1)*($NS$29-320+1)/$NU$29,$NN$29/$NT$29)),0)</f>
        <v/>
      </c>
      <c r="LM29" s="402">
        <f>IF(AND(321&gt;=$NR$29,321&lt;=$NS$29),IF($NP$29="Single_Point",IF(321=$NR$29,$NN$29,0),IF($NP$29="Bell_Curve",$NN$29*(321-$NR$29+1)*($NS$29-321+1)/$NU$29,$NN$29/$NT$29)),0)</f>
        <v/>
      </c>
      <c r="LN29" s="402">
        <f>IF(AND(322&gt;=$NR$29,322&lt;=$NS$29),IF($NP$29="Single_Point",IF(322=$NR$29,$NN$29,0),IF($NP$29="Bell_Curve",$NN$29*(322-$NR$29+1)*($NS$29-322+1)/$NU$29,$NN$29/$NT$29)),0)</f>
        <v/>
      </c>
      <c r="LO29" s="402">
        <f>IF(AND(323&gt;=$NR$29,323&lt;=$NS$29),IF($NP$29="Single_Point",IF(323=$NR$29,$NN$29,0),IF($NP$29="Bell_Curve",$NN$29*(323-$NR$29+1)*($NS$29-323+1)/$NU$29,$NN$29/$NT$29)),0)</f>
        <v/>
      </c>
      <c r="LP29" s="402">
        <f>IF(AND(324&gt;=$NR$29,324&lt;=$NS$29),IF($NP$29="Single_Point",IF(324=$NR$29,$NN$29,0),IF($NP$29="Bell_Curve",$NN$29*(324-$NR$29+1)*($NS$29-324+1)/$NU$29,$NN$29/$NT$29)),0)</f>
        <v/>
      </c>
      <c r="LQ29" s="402">
        <f>IF(AND(325&gt;=$NR$29,325&lt;=$NS$29),IF($NP$29="Single_Point",IF(325=$NR$29,$NN$29,0),IF($NP$29="Bell_Curve",$NN$29*(325-$NR$29+1)*($NS$29-325+1)/$NU$29,$NN$29/$NT$29)),0)</f>
        <v/>
      </c>
      <c r="LR29" s="402">
        <f>IF(AND(326&gt;=$NR$29,326&lt;=$NS$29),IF($NP$29="Single_Point",IF(326=$NR$29,$NN$29,0),IF($NP$29="Bell_Curve",$NN$29*(326-$NR$29+1)*($NS$29-326+1)/$NU$29,$NN$29/$NT$29)),0)</f>
        <v/>
      </c>
      <c r="LS29" s="402">
        <f>IF(AND(327&gt;=$NR$29,327&lt;=$NS$29),IF($NP$29="Single_Point",IF(327=$NR$29,$NN$29,0),IF($NP$29="Bell_Curve",$NN$29*(327-$NR$29+1)*($NS$29-327+1)/$NU$29,$NN$29/$NT$29)),0)</f>
        <v/>
      </c>
      <c r="LT29" s="402">
        <f>IF(AND(328&gt;=$NR$29,328&lt;=$NS$29),IF($NP$29="Single_Point",IF(328=$NR$29,$NN$29,0),IF($NP$29="Bell_Curve",$NN$29*(328-$NR$29+1)*($NS$29-328+1)/$NU$29,$NN$29/$NT$29)),0)</f>
        <v/>
      </c>
      <c r="LU29" s="402">
        <f>IF(AND(329&gt;=$NR$29,329&lt;=$NS$29),IF($NP$29="Single_Point",IF(329=$NR$29,$NN$29,0),IF($NP$29="Bell_Curve",$NN$29*(329-$NR$29+1)*($NS$29-329+1)/$NU$29,$NN$29/$NT$29)),0)</f>
        <v/>
      </c>
      <c r="LV29" s="402">
        <f>IF(AND(330&gt;=$NR$29,330&lt;=$NS$29),IF($NP$29="Single_Point",IF(330=$NR$29,$NN$29,0),IF($NP$29="Bell_Curve",$NN$29*(330-$NR$29+1)*($NS$29-330+1)/$NU$29,$NN$29/$NT$29)),0)</f>
        <v/>
      </c>
      <c r="LW29" s="402">
        <f>IF(AND(331&gt;=$NR$29,331&lt;=$NS$29),IF($NP$29="Single_Point",IF(331=$NR$29,$NN$29,0),IF($NP$29="Bell_Curve",$NN$29*(331-$NR$29+1)*($NS$29-331+1)/$NU$29,$NN$29/$NT$29)),0)</f>
        <v/>
      </c>
      <c r="LX29" s="402">
        <f>IF(AND(332&gt;=$NR$29,332&lt;=$NS$29),IF($NP$29="Single_Point",IF(332=$NR$29,$NN$29,0),IF($NP$29="Bell_Curve",$NN$29*(332-$NR$29+1)*($NS$29-332+1)/$NU$29,$NN$29/$NT$29)),0)</f>
        <v/>
      </c>
      <c r="LY29" s="402">
        <f>IF(AND(333&gt;=$NR$29,333&lt;=$NS$29),IF($NP$29="Single_Point",IF(333=$NR$29,$NN$29,0),IF($NP$29="Bell_Curve",$NN$29*(333-$NR$29+1)*($NS$29-333+1)/$NU$29,$NN$29/$NT$29)),0)</f>
        <v/>
      </c>
      <c r="LZ29" s="402">
        <f>IF(AND(334&gt;=$NR$29,334&lt;=$NS$29),IF($NP$29="Single_Point",IF(334=$NR$29,$NN$29,0),IF($NP$29="Bell_Curve",$NN$29*(334-$NR$29+1)*($NS$29-334+1)/$NU$29,$NN$29/$NT$29)),0)</f>
        <v/>
      </c>
      <c r="MA29" s="402">
        <f>IF(AND(335&gt;=$NR$29,335&lt;=$NS$29),IF($NP$29="Single_Point",IF(335=$NR$29,$NN$29,0),IF($NP$29="Bell_Curve",$NN$29*(335-$NR$29+1)*($NS$29-335+1)/$NU$29,$NN$29/$NT$29)),0)</f>
        <v/>
      </c>
      <c r="MB29" s="402">
        <f>IF(AND(336&gt;=$NR$29,336&lt;=$NS$29),IF($NP$29="Single_Point",IF(336=$NR$29,$NN$29,0),IF($NP$29="Bell_Curve",$NN$29*(336-$NR$29+1)*($NS$29-336+1)/$NU$29,$NN$29/$NT$29)),0)</f>
        <v/>
      </c>
      <c r="MC29" s="402">
        <f>IF(AND(337&gt;=$NR$29,337&lt;=$NS$29),IF($NP$29="Single_Point",IF(337=$NR$29,$NN$29,0),IF($NP$29="Bell_Curve",$NN$29*(337-$NR$29+1)*($NS$29-337+1)/$NU$29,$NN$29/$NT$29)),0)</f>
        <v/>
      </c>
      <c r="MD29" s="402">
        <f>IF(AND(338&gt;=$NR$29,338&lt;=$NS$29),IF($NP$29="Single_Point",IF(338=$NR$29,$NN$29,0),IF($NP$29="Bell_Curve",$NN$29*(338-$NR$29+1)*($NS$29-338+1)/$NU$29,$NN$29/$NT$29)),0)</f>
        <v/>
      </c>
      <c r="ME29" s="402">
        <f>IF(AND(339&gt;=$NR$29,339&lt;=$NS$29),IF($NP$29="Single_Point",IF(339=$NR$29,$NN$29,0),IF($NP$29="Bell_Curve",$NN$29*(339-$NR$29+1)*($NS$29-339+1)/$NU$29,$NN$29/$NT$29)),0)</f>
        <v/>
      </c>
      <c r="MF29" s="402">
        <f>IF(AND(340&gt;=$NR$29,340&lt;=$NS$29),IF($NP$29="Single_Point",IF(340=$NR$29,$NN$29,0),IF($NP$29="Bell_Curve",$NN$29*(340-$NR$29+1)*($NS$29-340+1)/$NU$29,$NN$29/$NT$29)),0)</f>
        <v/>
      </c>
      <c r="MG29" s="402">
        <f>IF(AND(341&gt;=$NR$29,341&lt;=$NS$29),IF($NP$29="Single_Point",IF(341=$NR$29,$NN$29,0),IF($NP$29="Bell_Curve",$NN$29*(341-$NR$29+1)*($NS$29-341+1)/$NU$29,$NN$29/$NT$29)),0)</f>
        <v/>
      </c>
      <c r="MH29" s="402">
        <f>IF(AND(342&gt;=$NR$29,342&lt;=$NS$29),IF($NP$29="Single_Point",IF(342=$NR$29,$NN$29,0),IF($NP$29="Bell_Curve",$NN$29*(342-$NR$29+1)*($NS$29-342+1)/$NU$29,$NN$29/$NT$29)),0)</f>
        <v/>
      </c>
      <c r="MI29" s="402">
        <f>IF(AND(343&gt;=$NR$29,343&lt;=$NS$29),IF($NP$29="Single_Point",IF(343=$NR$29,$NN$29,0),IF($NP$29="Bell_Curve",$NN$29*(343-$NR$29+1)*($NS$29-343+1)/$NU$29,$NN$29/$NT$29)),0)</f>
        <v/>
      </c>
      <c r="MJ29" s="402">
        <f>IF(AND(344&gt;=$NR$29,344&lt;=$NS$29),IF($NP$29="Single_Point",IF(344=$NR$29,$NN$29,0),IF($NP$29="Bell_Curve",$NN$29*(344-$NR$29+1)*($NS$29-344+1)/$NU$29,$NN$29/$NT$29)),0)</f>
        <v/>
      </c>
      <c r="MK29" s="402">
        <f>IF(AND(345&gt;=$NR$29,345&lt;=$NS$29),IF($NP$29="Single_Point",IF(345=$NR$29,$NN$29,0),IF($NP$29="Bell_Curve",$NN$29*(345-$NR$29+1)*($NS$29-345+1)/$NU$29,$NN$29/$NT$29)),0)</f>
        <v/>
      </c>
      <c r="ML29" s="402">
        <f>IF(AND(346&gt;=$NR$29,346&lt;=$NS$29),IF($NP$29="Single_Point",IF(346=$NR$29,$NN$29,0),IF($NP$29="Bell_Curve",$NN$29*(346-$NR$29+1)*($NS$29-346+1)/$NU$29,$NN$29/$NT$29)),0)</f>
        <v/>
      </c>
      <c r="MM29" s="402">
        <f>IF(AND(347&gt;=$NR$29,347&lt;=$NS$29),IF($NP$29="Single_Point",IF(347=$NR$29,$NN$29,0),IF($NP$29="Bell_Curve",$NN$29*(347-$NR$29+1)*($NS$29-347+1)/$NU$29,$NN$29/$NT$29)),0)</f>
        <v/>
      </c>
      <c r="MN29" s="402">
        <f>IF(AND(348&gt;=$NR$29,348&lt;=$NS$29),IF($NP$29="Single_Point",IF(348=$NR$29,$NN$29,0),IF($NP$29="Bell_Curve",$NN$29*(348-$NR$29+1)*($NS$29-348+1)/$NU$29,$NN$29/$NT$29)),0)</f>
        <v/>
      </c>
      <c r="MO29" s="402">
        <f>IF(AND(349&gt;=$NR$29,349&lt;=$NS$29),IF($NP$29="Single_Point",IF(349=$NR$29,$NN$29,0),IF($NP$29="Bell_Curve",$NN$29*(349-$NR$29+1)*($NS$29-349+1)/$NU$29,$NN$29/$NT$29)),0)</f>
        <v/>
      </c>
      <c r="MP29" s="402">
        <f>IF(AND(350&gt;=$NR$29,350&lt;=$NS$29),IF($NP$29="Single_Point",IF(350=$NR$29,$NN$29,0),IF($NP$29="Bell_Curve",$NN$29*(350-$NR$29+1)*($NS$29-350+1)/$NU$29,$NN$29/$NT$29)),0)</f>
        <v/>
      </c>
      <c r="MQ29" s="402">
        <f>IF(AND(351&gt;=$NR$29,351&lt;=$NS$29),IF($NP$29="Single_Point",IF(351=$NR$29,$NN$29,0),IF($NP$29="Bell_Curve",$NN$29*(351-$NR$29+1)*($NS$29-351+1)/$NU$29,$NN$29/$NT$29)),0)</f>
        <v/>
      </c>
      <c r="MR29" s="402">
        <f>IF(AND(352&gt;=$NR$29,352&lt;=$NS$29),IF($NP$29="Single_Point",IF(352=$NR$29,$NN$29,0),IF($NP$29="Bell_Curve",$NN$29*(352-$NR$29+1)*($NS$29-352+1)/$NU$29,$NN$29/$NT$29)),0)</f>
        <v/>
      </c>
      <c r="MS29" s="402">
        <f>IF(AND(353&gt;=$NR$29,353&lt;=$NS$29),IF($NP$29="Single_Point",IF(353=$NR$29,$NN$29,0),IF($NP$29="Bell_Curve",$NN$29*(353-$NR$29+1)*($NS$29-353+1)/$NU$29,$NN$29/$NT$29)),0)</f>
        <v/>
      </c>
      <c r="MT29" s="402">
        <f>IF(AND(354&gt;=$NR$29,354&lt;=$NS$29),IF($NP$29="Single_Point",IF(354=$NR$29,$NN$29,0),IF($NP$29="Bell_Curve",$NN$29*(354-$NR$29+1)*($NS$29-354+1)/$NU$29,$NN$29/$NT$29)),0)</f>
        <v/>
      </c>
      <c r="MU29" s="402">
        <f>IF(AND(355&gt;=$NR$29,355&lt;=$NS$29),IF($NP$29="Single_Point",IF(355=$NR$29,$NN$29,0),IF($NP$29="Bell_Curve",$NN$29*(355-$NR$29+1)*($NS$29-355+1)/$NU$29,$NN$29/$NT$29)),0)</f>
        <v/>
      </c>
      <c r="MV29" s="402">
        <f>IF(AND(356&gt;=$NR$29,356&lt;=$NS$29),IF($NP$29="Single_Point",IF(356=$NR$29,$NN$29,0),IF($NP$29="Bell_Curve",$NN$29*(356-$NR$29+1)*($NS$29-356+1)/$NU$29,$NN$29/$NT$29)),0)</f>
        <v/>
      </c>
      <c r="MW29" s="402">
        <f>IF(AND(357&gt;=$NR$29,357&lt;=$NS$29),IF($NP$29="Single_Point",IF(357=$NR$29,$NN$29,0),IF($NP$29="Bell_Curve",$NN$29*(357-$NR$29+1)*($NS$29-357+1)/$NU$29,$NN$29/$NT$29)),0)</f>
        <v/>
      </c>
      <c r="MX29" s="402">
        <f>IF(AND(358&gt;=$NR$29,358&lt;=$NS$29),IF($NP$29="Single_Point",IF(358=$NR$29,$NN$29,0),IF($NP$29="Bell_Curve",$NN$29*(358-$NR$29+1)*($NS$29-358+1)/$NU$29,$NN$29/$NT$29)),0)</f>
        <v/>
      </c>
      <c r="MY29" s="402">
        <f>IF(AND(359&gt;=$NR$29,359&lt;=$NS$29),IF($NP$29="Single_Point",IF(359=$NR$29,$NN$29,0),IF($NP$29="Bell_Curve",$NN$29*(359-$NR$29+1)*($NS$29-359+1)/$NU$29,$NN$29/$NT$29)),0)</f>
        <v/>
      </c>
      <c r="MZ29" s="402">
        <f>IF(AND(360&gt;=$NR$29,360&lt;=$NS$29),IF($NP$29="Single_Point",IF(360=$NR$29,$NN$29,0),IF($NP$29="Bell_Curve",$NN$29*(360-$NR$29+1)*($NS$29-360+1)/$NU$29,$NN$29/$NT$29)),0)</f>
        <v/>
      </c>
      <c r="NA29" s="402">
        <f>IF(AND(361&gt;=$NR$29,361&lt;=$NS$29),IF($NP$29="Single_Point",IF(361=$NR$29,$NN$29,0),IF($NP$29="Bell_Curve",$NN$29*(361-$NR$29+1)*($NS$29-361+1)/$NU$29,$NN$29/$NT$29)),0)</f>
        <v/>
      </c>
      <c r="NB29" s="402">
        <f>IF(AND(362&gt;=$NR$29,362&lt;=$NS$29),IF($NP$29="Single_Point",IF(362=$NR$29,$NN$29,0),IF($NP$29="Bell_Curve",$NN$29*(362-$NR$29+1)*($NS$29-362+1)/$NU$29,$NN$29/$NT$29)),0)</f>
        <v/>
      </c>
      <c r="NC29" s="402">
        <f>IF(AND(363&gt;=$NR$29,363&lt;=$NS$29),IF($NP$29="Single_Point",IF(363=$NR$29,$NN$29,0),IF($NP$29="Bell_Curve",$NN$29*(363-$NR$29+1)*($NS$29-363+1)/$NU$29,$NN$29/$NT$29)),0)</f>
        <v/>
      </c>
      <c r="ND29" s="402">
        <f>IF(AND(364&gt;=$NR$29,364&lt;=$NS$29),IF($NP$29="Single_Point",IF(364=$NR$29,$NN$29,0),IF($NP$29="Bell_Curve",$NN$29*(364-$NR$29+1)*($NS$29-364+1)/$NU$29,$NN$29/$NT$29)),0)</f>
        <v/>
      </c>
      <c r="NE29" s="402">
        <f>IF(AND(365&gt;=$NR$29,365&lt;=$NS$29),IF($NP$29="Single_Point",IF(365=$NR$29,$NN$29,0),IF($NP$29="Bell_Curve",$NN$29*(365-$NR$29+1)*($NS$29-365+1)/$NU$29,$NN$29/$NT$29)),0)</f>
        <v/>
      </c>
      <c r="NF29" s="402">
        <f>IF(AND(366&gt;=$NR$29,366&lt;=$NS$29),IF($NP$29="Single_Point",IF(366=$NR$29,$NN$29,0),IF($NP$29="Bell_Curve",$NN$29*(366-$NR$29+1)*($NS$29-366+1)/$NU$29,$NN$29/$NT$29)),0)</f>
        <v/>
      </c>
      <c r="NG29" s="402">
        <f>IF(AND(367&gt;=$NR$29,367&lt;=$NS$29),IF($NP$29="Single_Point",IF(367=$NR$29,$NN$29,0),IF($NP$29="Bell_Curve",$NN$29*(367-$NR$29+1)*($NS$29-367+1)/$NU$29,$NN$29/$NT$29)),0)</f>
        <v/>
      </c>
      <c r="NH29" s="402">
        <f>IF(AND(368&gt;=$NR$29,368&lt;=$NS$29),IF($NP$29="Single_Point",IF(368=$NR$29,$NN$29,0),IF($NP$29="Bell_Curve",$NN$29*(368-$NR$29+1)*($NS$29-368+1)/$NU$29,$NN$29/$NT$29)),0)</f>
        <v/>
      </c>
      <c r="NI29" s="402">
        <f>IF(AND(369&gt;=$NR$29,369&lt;=$NS$29),IF($NP$29="Single_Point",IF(369=$NR$29,$NN$29,0),IF($NP$29="Bell_Curve",$NN$29*(369-$NR$29+1)*($NS$29-369+1)/$NU$29,$NN$29/$NT$29)),0)</f>
        <v/>
      </c>
      <c r="NJ29" s="402">
        <f>IF(AND(370&gt;=$NR$29,370&lt;=$NS$29),IF($NP$29="Single_Point",IF(370=$NR$29,$NN$29,0),IF($NP$29="Bell_Curve",$NN$29*(370-$NR$29+1)*($NS$29-370+1)/$NU$29,$NN$29/$NT$29)),0)</f>
        <v/>
      </c>
      <c r="NK29" s="402">
        <f>IF(AND(371&gt;=$NR$29,371&lt;=$NS$29),IF($NP$29="Single_Point",IF(371=$NR$29,$NN$29,0),IF($NP$29="Bell_Curve",$NN$29*(371-$NR$29+1)*($NS$29-371+1)/$NU$29,$NN$29/$NT$29)),0)</f>
        <v/>
      </c>
      <c r="NL29" s="426">
        <f>IF(AND(372&gt;=$NR$29,372&lt;=$NS$29),IF($NP$29="Single_Point",IF(372=$NR$29,$NN$29,0),IF($NP$29="Bell_Curve",$NN$29*(372-$NR$29+1)*($NS$29-372+1)/$NU$29,$NN$29/$NT$29)),0)</f>
        <v/>
      </c>
      <c r="NM29">
        <f>Budget!C28</f>
        <v/>
      </c>
      <c r="NN29" s="218">
        <f>Budget!J28</f>
        <v/>
      </c>
      <c r="NO29" s="144">
        <f>Budget!G28</f>
        <v/>
      </c>
      <c r="NP29" s="144">
        <f>Budget!H28</f>
        <v/>
      </c>
      <c r="NQ29" s="85">
        <f>Budget!I28</f>
        <v/>
      </c>
      <c r="NR29" s="248">
        <f>MAX(1,MIN(372,INDEX(MilestoneStart,MATCH(NO29,MilestoneNames,0))+NQ29))</f>
        <v/>
      </c>
      <c r="NS29" s="248">
        <f>MAX(NR29,MIN(372,INDEX(MilestoneEnd,MATCH(NO29,MilestoneNames,0))+NQ29))</f>
        <v/>
      </c>
      <c r="NT29" s="85">
        <f>NS29-NR29+1</f>
        <v/>
      </c>
      <c r="NU29" s="85">
        <f>NT29*(NT29+1)*(NT29+2)/6</f>
        <v/>
      </c>
    </row>
    <row r="30">
      <c r="B30" s="296">
        <f>Budget!B29</f>
        <v/>
      </c>
      <c r="D30" s="425">
        <f>SUM(E30:NL30)</f>
        <v/>
      </c>
      <c r="E30" s="402">
        <f>IF(AND(1&gt;=$NR$30,1&lt;=$NS$30),IF($NP$30="Single_Point",IF(1=$NR$30,$NN$30,0),IF($NP$30="Bell_Curve",$NN$30*(1-$NR$30+1)*($NS$30-1+1)/$NU$30,$NN$30/$NT$30)),0)</f>
        <v/>
      </c>
      <c r="F30" s="402">
        <f>IF(AND(2&gt;=$NR$30,2&lt;=$NS$30),IF($NP$30="Single_Point",IF(2=$NR$30,$NN$30,0),IF($NP$30="Bell_Curve",$NN$30*(2-$NR$30+1)*($NS$30-2+1)/$NU$30,$NN$30/$NT$30)),0)</f>
        <v/>
      </c>
      <c r="G30" s="402">
        <f>IF(AND(3&gt;=$NR$30,3&lt;=$NS$30),IF($NP$30="Single_Point",IF(3=$NR$30,$NN$30,0),IF($NP$30="Bell_Curve",$NN$30*(3-$NR$30+1)*($NS$30-3+1)/$NU$30,$NN$30/$NT$30)),0)</f>
        <v/>
      </c>
      <c r="H30" s="402">
        <f>IF(AND(4&gt;=$NR$30,4&lt;=$NS$30),IF($NP$30="Single_Point",IF(4=$NR$30,$NN$30,0),IF($NP$30="Bell_Curve",$NN$30*(4-$NR$30+1)*($NS$30-4+1)/$NU$30,$NN$30/$NT$30)),0)</f>
        <v/>
      </c>
      <c r="I30" s="402">
        <f>IF(AND(5&gt;=$NR$30,5&lt;=$NS$30),IF($NP$30="Single_Point",IF(5=$NR$30,$NN$30,0),IF($NP$30="Bell_Curve",$NN$30*(5-$NR$30+1)*($NS$30-5+1)/$NU$30,$NN$30/$NT$30)),0)</f>
        <v/>
      </c>
      <c r="J30" s="402">
        <f>IF(AND(6&gt;=$NR$30,6&lt;=$NS$30),IF($NP$30="Single_Point",IF(6=$NR$30,$NN$30,0),IF($NP$30="Bell_Curve",$NN$30*(6-$NR$30+1)*($NS$30-6+1)/$NU$30,$NN$30/$NT$30)),0)</f>
        <v/>
      </c>
      <c r="K30" s="402">
        <f>IF(AND(7&gt;=$NR$30,7&lt;=$NS$30),IF($NP$30="Single_Point",IF(7=$NR$30,$NN$30,0),IF($NP$30="Bell_Curve",$NN$30*(7-$NR$30+1)*($NS$30-7+1)/$NU$30,$NN$30/$NT$30)),0)</f>
        <v/>
      </c>
      <c r="L30" s="402">
        <f>IF(AND(8&gt;=$NR$30,8&lt;=$NS$30),IF($NP$30="Single_Point",IF(8=$NR$30,$NN$30,0),IF($NP$30="Bell_Curve",$NN$30*(8-$NR$30+1)*($NS$30-8+1)/$NU$30,$NN$30/$NT$30)),0)</f>
        <v/>
      </c>
      <c r="M30" s="402">
        <f>IF(AND(9&gt;=$NR$30,9&lt;=$NS$30),IF($NP$30="Single_Point",IF(9=$NR$30,$NN$30,0),IF($NP$30="Bell_Curve",$NN$30*(9-$NR$30+1)*($NS$30-9+1)/$NU$30,$NN$30/$NT$30)),0)</f>
        <v/>
      </c>
      <c r="N30" s="402">
        <f>IF(AND(10&gt;=$NR$30,10&lt;=$NS$30),IF($NP$30="Single_Point",IF(10=$NR$30,$NN$30,0),IF($NP$30="Bell_Curve",$NN$30*(10-$NR$30+1)*($NS$30-10+1)/$NU$30,$NN$30/$NT$30)),0)</f>
        <v/>
      </c>
      <c r="O30" s="402">
        <f>IF(AND(11&gt;=$NR$30,11&lt;=$NS$30),IF($NP$30="Single_Point",IF(11=$NR$30,$NN$30,0),IF($NP$30="Bell_Curve",$NN$30*(11-$NR$30+1)*($NS$30-11+1)/$NU$30,$NN$30/$NT$30)),0)</f>
        <v/>
      </c>
      <c r="P30" s="402">
        <f>IF(AND(12&gt;=$NR$30,12&lt;=$NS$30),IF($NP$30="Single_Point",IF(12=$NR$30,$NN$30,0),IF($NP$30="Bell_Curve",$NN$30*(12-$NR$30+1)*($NS$30-12+1)/$NU$30,$NN$30/$NT$30)),0)</f>
        <v/>
      </c>
      <c r="Q30" s="402">
        <f>IF(AND(13&gt;=$NR$30,13&lt;=$NS$30),IF($NP$30="Single_Point",IF(13=$NR$30,$NN$30,0),IF($NP$30="Bell_Curve",$NN$30*(13-$NR$30+1)*($NS$30-13+1)/$NU$30,$NN$30/$NT$30)),0)</f>
        <v/>
      </c>
      <c r="R30" s="402">
        <f>IF(AND(14&gt;=$NR$30,14&lt;=$NS$30),IF($NP$30="Single_Point",IF(14=$NR$30,$NN$30,0),IF($NP$30="Bell_Curve",$NN$30*(14-$NR$30+1)*($NS$30-14+1)/$NU$30,$NN$30/$NT$30)),0)</f>
        <v/>
      </c>
      <c r="S30" s="402">
        <f>IF(AND(15&gt;=$NR$30,15&lt;=$NS$30),IF($NP$30="Single_Point",IF(15=$NR$30,$NN$30,0),IF($NP$30="Bell_Curve",$NN$30*(15-$NR$30+1)*($NS$30-15+1)/$NU$30,$NN$30/$NT$30)),0)</f>
        <v/>
      </c>
      <c r="T30" s="402">
        <f>IF(AND(16&gt;=$NR$30,16&lt;=$NS$30),IF($NP$30="Single_Point",IF(16=$NR$30,$NN$30,0),IF($NP$30="Bell_Curve",$NN$30*(16-$NR$30+1)*($NS$30-16+1)/$NU$30,$NN$30/$NT$30)),0)</f>
        <v/>
      </c>
      <c r="U30" s="402">
        <f>IF(AND(17&gt;=$NR$30,17&lt;=$NS$30),IF($NP$30="Single_Point",IF(17=$NR$30,$NN$30,0),IF($NP$30="Bell_Curve",$NN$30*(17-$NR$30+1)*($NS$30-17+1)/$NU$30,$NN$30/$NT$30)),0)</f>
        <v/>
      </c>
      <c r="V30" s="402">
        <f>IF(AND(18&gt;=$NR$30,18&lt;=$NS$30),IF($NP$30="Single_Point",IF(18=$NR$30,$NN$30,0),IF($NP$30="Bell_Curve",$NN$30*(18-$NR$30+1)*($NS$30-18+1)/$NU$30,$NN$30/$NT$30)),0)</f>
        <v/>
      </c>
      <c r="W30" s="402">
        <f>IF(AND(19&gt;=$NR$30,19&lt;=$NS$30),IF($NP$30="Single_Point",IF(19=$NR$30,$NN$30,0),IF($NP$30="Bell_Curve",$NN$30*(19-$NR$30+1)*($NS$30-19+1)/$NU$30,$NN$30/$NT$30)),0)</f>
        <v/>
      </c>
      <c r="X30" s="402">
        <f>IF(AND(20&gt;=$NR$30,20&lt;=$NS$30),IF($NP$30="Single_Point",IF(20=$NR$30,$NN$30,0),IF($NP$30="Bell_Curve",$NN$30*(20-$NR$30+1)*($NS$30-20+1)/$NU$30,$NN$30/$NT$30)),0)</f>
        <v/>
      </c>
      <c r="Y30" s="402">
        <f>IF(AND(21&gt;=$NR$30,21&lt;=$NS$30),IF($NP$30="Single_Point",IF(21=$NR$30,$NN$30,0),IF($NP$30="Bell_Curve",$NN$30*(21-$NR$30+1)*($NS$30-21+1)/$NU$30,$NN$30/$NT$30)),0)</f>
        <v/>
      </c>
      <c r="Z30" s="402">
        <f>IF(AND(22&gt;=$NR$30,22&lt;=$NS$30),IF($NP$30="Single_Point",IF(22=$NR$30,$NN$30,0),IF($NP$30="Bell_Curve",$NN$30*(22-$NR$30+1)*($NS$30-22+1)/$NU$30,$NN$30/$NT$30)),0)</f>
        <v/>
      </c>
      <c r="AA30" s="402">
        <f>IF(AND(23&gt;=$NR$30,23&lt;=$NS$30),IF($NP$30="Single_Point",IF(23=$NR$30,$NN$30,0),IF($NP$30="Bell_Curve",$NN$30*(23-$NR$30+1)*($NS$30-23+1)/$NU$30,$NN$30/$NT$30)),0)</f>
        <v/>
      </c>
      <c r="AB30" s="402">
        <f>IF(AND(24&gt;=$NR$30,24&lt;=$NS$30),IF($NP$30="Single_Point",IF(24=$NR$30,$NN$30,0),IF($NP$30="Bell_Curve",$NN$30*(24-$NR$30+1)*($NS$30-24+1)/$NU$30,$NN$30/$NT$30)),0)</f>
        <v/>
      </c>
      <c r="AC30" s="402">
        <f>IF(AND(25&gt;=$NR$30,25&lt;=$NS$30),IF($NP$30="Single_Point",IF(25=$NR$30,$NN$30,0),IF($NP$30="Bell_Curve",$NN$30*(25-$NR$30+1)*($NS$30-25+1)/$NU$30,$NN$30/$NT$30)),0)</f>
        <v/>
      </c>
      <c r="AD30" s="402">
        <f>IF(AND(26&gt;=$NR$30,26&lt;=$NS$30),IF($NP$30="Single_Point",IF(26=$NR$30,$NN$30,0),IF($NP$30="Bell_Curve",$NN$30*(26-$NR$30+1)*($NS$30-26+1)/$NU$30,$NN$30/$NT$30)),0)</f>
        <v/>
      </c>
      <c r="AE30" s="402">
        <f>IF(AND(27&gt;=$NR$30,27&lt;=$NS$30),IF($NP$30="Single_Point",IF(27=$NR$30,$NN$30,0),IF($NP$30="Bell_Curve",$NN$30*(27-$NR$30+1)*($NS$30-27+1)/$NU$30,$NN$30/$NT$30)),0)</f>
        <v/>
      </c>
      <c r="AF30" s="402">
        <f>IF(AND(28&gt;=$NR$30,28&lt;=$NS$30),IF($NP$30="Single_Point",IF(28=$NR$30,$NN$30,0),IF($NP$30="Bell_Curve",$NN$30*(28-$NR$30+1)*($NS$30-28+1)/$NU$30,$NN$30/$NT$30)),0)</f>
        <v/>
      </c>
      <c r="AG30" s="402">
        <f>IF(AND(29&gt;=$NR$30,29&lt;=$NS$30),IF($NP$30="Single_Point",IF(29=$NR$30,$NN$30,0),IF($NP$30="Bell_Curve",$NN$30*(29-$NR$30+1)*($NS$30-29+1)/$NU$30,$NN$30/$NT$30)),0)</f>
        <v/>
      </c>
      <c r="AH30" s="402">
        <f>IF(AND(30&gt;=$NR$30,30&lt;=$NS$30),IF($NP$30="Single_Point",IF(30=$NR$30,$NN$30,0),IF($NP$30="Bell_Curve",$NN$30*(30-$NR$30+1)*($NS$30-30+1)/$NU$30,$NN$30/$NT$30)),0)</f>
        <v/>
      </c>
      <c r="AI30" s="402">
        <f>IF(AND(31&gt;=$NR$30,31&lt;=$NS$30),IF($NP$30="Single_Point",IF(31=$NR$30,$NN$30,0),IF($NP$30="Bell_Curve",$NN$30*(31-$NR$30+1)*($NS$30-31+1)/$NU$30,$NN$30/$NT$30)),0)</f>
        <v/>
      </c>
      <c r="AJ30" s="402">
        <f>IF(AND(32&gt;=$NR$30,32&lt;=$NS$30),IF($NP$30="Single_Point",IF(32=$NR$30,$NN$30,0),IF($NP$30="Bell_Curve",$NN$30*(32-$NR$30+1)*($NS$30-32+1)/$NU$30,$NN$30/$NT$30)),0)</f>
        <v/>
      </c>
      <c r="AK30" s="402">
        <f>IF(AND(33&gt;=$NR$30,33&lt;=$NS$30),IF($NP$30="Single_Point",IF(33=$NR$30,$NN$30,0),IF($NP$30="Bell_Curve",$NN$30*(33-$NR$30+1)*($NS$30-33+1)/$NU$30,$NN$30/$NT$30)),0)</f>
        <v/>
      </c>
      <c r="AL30" s="402">
        <f>IF(AND(34&gt;=$NR$30,34&lt;=$NS$30),IF($NP$30="Single_Point",IF(34=$NR$30,$NN$30,0),IF($NP$30="Bell_Curve",$NN$30*(34-$NR$30+1)*($NS$30-34+1)/$NU$30,$NN$30/$NT$30)),0)</f>
        <v/>
      </c>
      <c r="AM30" s="402">
        <f>IF(AND(35&gt;=$NR$30,35&lt;=$NS$30),IF($NP$30="Single_Point",IF(35=$NR$30,$NN$30,0),IF($NP$30="Bell_Curve",$NN$30*(35-$NR$30+1)*($NS$30-35+1)/$NU$30,$NN$30/$NT$30)),0)</f>
        <v/>
      </c>
      <c r="AN30" s="402">
        <f>IF(AND(36&gt;=$NR$30,36&lt;=$NS$30),IF($NP$30="Single_Point",IF(36=$NR$30,$NN$30,0),IF($NP$30="Bell_Curve",$NN$30*(36-$NR$30+1)*($NS$30-36+1)/$NU$30,$NN$30/$NT$30)),0)</f>
        <v/>
      </c>
      <c r="AO30" s="402">
        <f>IF(AND(37&gt;=$NR$30,37&lt;=$NS$30),IF($NP$30="Single_Point",IF(37=$NR$30,$NN$30,0),IF($NP$30="Bell_Curve",$NN$30*(37-$NR$30+1)*($NS$30-37+1)/$NU$30,$NN$30/$NT$30)),0)</f>
        <v/>
      </c>
      <c r="AP30" s="402">
        <f>IF(AND(38&gt;=$NR$30,38&lt;=$NS$30),IF($NP$30="Single_Point",IF(38=$NR$30,$NN$30,0),IF($NP$30="Bell_Curve",$NN$30*(38-$NR$30+1)*($NS$30-38+1)/$NU$30,$NN$30/$NT$30)),0)</f>
        <v/>
      </c>
      <c r="AQ30" s="402">
        <f>IF(AND(39&gt;=$NR$30,39&lt;=$NS$30),IF($NP$30="Single_Point",IF(39=$NR$30,$NN$30,0),IF($NP$30="Bell_Curve",$NN$30*(39-$NR$30+1)*($NS$30-39+1)/$NU$30,$NN$30/$NT$30)),0)</f>
        <v/>
      </c>
      <c r="AR30" s="402">
        <f>IF(AND(40&gt;=$NR$30,40&lt;=$NS$30),IF($NP$30="Single_Point",IF(40=$NR$30,$NN$30,0),IF($NP$30="Bell_Curve",$NN$30*(40-$NR$30+1)*($NS$30-40+1)/$NU$30,$NN$30/$NT$30)),0)</f>
        <v/>
      </c>
      <c r="AS30" s="402">
        <f>IF(AND(41&gt;=$NR$30,41&lt;=$NS$30),IF($NP$30="Single_Point",IF(41=$NR$30,$NN$30,0),IF($NP$30="Bell_Curve",$NN$30*(41-$NR$30+1)*($NS$30-41+1)/$NU$30,$NN$30/$NT$30)),0)</f>
        <v/>
      </c>
      <c r="AT30" s="402">
        <f>IF(AND(42&gt;=$NR$30,42&lt;=$NS$30),IF($NP$30="Single_Point",IF(42=$NR$30,$NN$30,0),IF($NP$30="Bell_Curve",$NN$30*(42-$NR$30+1)*($NS$30-42+1)/$NU$30,$NN$30/$NT$30)),0)</f>
        <v/>
      </c>
      <c r="AU30" s="402">
        <f>IF(AND(43&gt;=$NR$30,43&lt;=$NS$30),IF($NP$30="Single_Point",IF(43=$NR$30,$NN$30,0),IF($NP$30="Bell_Curve",$NN$30*(43-$NR$30+1)*($NS$30-43+1)/$NU$30,$NN$30/$NT$30)),0)</f>
        <v/>
      </c>
      <c r="AV30" s="402">
        <f>IF(AND(44&gt;=$NR$30,44&lt;=$NS$30),IF($NP$30="Single_Point",IF(44=$NR$30,$NN$30,0),IF($NP$30="Bell_Curve",$NN$30*(44-$NR$30+1)*($NS$30-44+1)/$NU$30,$NN$30/$NT$30)),0)</f>
        <v/>
      </c>
      <c r="AW30" s="402">
        <f>IF(AND(45&gt;=$NR$30,45&lt;=$NS$30),IF($NP$30="Single_Point",IF(45=$NR$30,$NN$30,0),IF($NP$30="Bell_Curve",$NN$30*(45-$NR$30+1)*($NS$30-45+1)/$NU$30,$NN$30/$NT$30)),0)</f>
        <v/>
      </c>
      <c r="AX30" s="402">
        <f>IF(AND(46&gt;=$NR$30,46&lt;=$NS$30),IF($NP$30="Single_Point",IF(46=$NR$30,$NN$30,0),IF($NP$30="Bell_Curve",$NN$30*(46-$NR$30+1)*($NS$30-46+1)/$NU$30,$NN$30/$NT$30)),0)</f>
        <v/>
      </c>
      <c r="AY30" s="402">
        <f>IF(AND(47&gt;=$NR$30,47&lt;=$NS$30),IF($NP$30="Single_Point",IF(47=$NR$30,$NN$30,0),IF($NP$30="Bell_Curve",$NN$30*(47-$NR$30+1)*($NS$30-47+1)/$NU$30,$NN$30/$NT$30)),0)</f>
        <v/>
      </c>
      <c r="AZ30" s="402">
        <f>IF(AND(48&gt;=$NR$30,48&lt;=$NS$30),IF($NP$30="Single_Point",IF(48=$NR$30,$NN$30,0),IF($NP$30="Bell_Curve",$NN$30*(48-$NR$30+1)*($NS$30-48+1)/$NU$30,$NN$30/$NT$30)),0)</f>
        <v/>
      </c>
      <c r="BA30" s="402">
        <f>IF(AND(49&gt;=$NR$30,49&lt;=$NS$30),IF($NP$30="Single_Point",IF(49=$NR$30,$NN$30,0),IF($NP$30="Bell_Curve",$NN$30*(49-$NR$30+1)*($NS$30-49+1)/$NU$30,$NN$30/$NT$30)),0)</f>
        <v/>
      </c>
      <c r="BB30" s="402">
        <f>IF(AND(50&gt;=$NR$30,50&lt;=$NS$30),IF($NP$30="Single_Point",IF(50=$NR$30,$NN$30,0),IF($NP$30="Bell_Curve",$NN$30*(50-$NR$30+1)*($NS$30-50+1)/$NU$30,$NN$30/$NT$30)),0)</f>
        <v/>
      </c>
      <c r="BC30" s="402">
        <f>IF(AND(51&gt;=$NR$30,51&lt;=$NS$30),IF($NP$30="Single_Point",IF(51=$NR$30,$NN$30,0),IF($NP$30="Bell_Curve",$NN$30*(51-$NR$30+1)*($NS$30-51+1)/$NU$30,$NN$30/$NT$30)),0)</f>
        <v/>
      </c>
      <c r="BD30" s="402">
        <f>IF(AND(52&gt;=$NR$30,52&lt;=$NS$30),IF($NP$30="Single_Point",IF(52=$NR$30,$NN$30,0),IF($NP$30="Bell_Curve",$NN$30*(52-$NR$30+1)*($NS$30-52+1)/$NU$30,$NN$30/$NT$30)),0)</f>
        <v/>
      </c>
      <c r="BE30" s="402">
        <f>IF(AND(53&gt;=$NR$30,53&lt;=$NS$30),IF($NP$30="Single_Point",IF(53=$NR$30,$NN$30,0),IF($NP$30="Bell_Curve",$NN$30*(53-$NR$30+1)*($NS$30-53+1)/$NU$30,$NN$30/$NT$30)),0)</f>
        <v/>
      </c>
      <c r="BF30" s="402">
        <f>IF(AND(54&gt;=$NR$30,54&lt;=$NS$30),IF($NP$30="Single_Point",IF(54=$NR$30,$NN$30,0),IF($NP$30="Bell_Curve",$NN$30*(54-$NR$30+1)*($NS$30-54+1)/$NU$30,$NN$30/$NT$30)),0)</f>
        <v/>
      </c>
      <c r="BG30" s="402">
        <f>IF(AND(55&gt;=$NR$30,55&lt;=$NS$30),IF($NP$30="Single_Point",IF(55=$NR$30,$NN$30,0),IF($NP$30="Bell_Curve",$NN$30*(55-$NR$30+1)*($NS$30-55+1)/$NU$30,$NN$30/$NT$30)),0)</f>
        <v/>
      </c>
      <c r="BH30" s="402">
        <f>IF(AND(56&gt;=$NR$30,56&lt;=$NS$30),IF($NP$30="Single_Point",IF(56=$NR$30,$NN$30,0),IF($NP$30="Bell_Curve",$NN$30*(56-$NR$30+1)*($NS$30-56+1)/$NU$30,$NN$30/$NT$30)),0)</f>
        <v/>
      </c>
      <c r="BI30" s="402">
        <f>IF(AND(57&gt;=$NR$30,57&lt;=$NS$30),IF($NP$30="Single_Point",IF(57=$NR$30,$NN$30,0),IF($NP$30="Bell_Curve",$NN$30*(57-$NR$30+1)*($NS$30-57+1)/$NU$30,$NN$30/$NT$30)),0)</f>
        <v/>
      </c>
      <c r="BJ30" s="402">
        <f>IF(AND(58&gt;=$NR$30,58&lt;=$NS$30),IF($NP$30="Single_Point",IF(58=$NR$30,$NN$30,0),IF($NP$30="Bell_Curve",$NN$30*(58-$NR$30+1)*($NS$30-58+1)/$NU$30,$NN$30/$NT$30)),0)</f>
        <v/>
      </c>
      <c r="BK30" s="402">
        <f>IF(AND(59&gt;=$NR$30,59&lt;=$NS$30),IF($NP$30="Single_Point",IF(59=$NR$30,$NN$30,0),IF($NP$30="Bell_Curve",$NN$30*(59-$NR$30+1)*($NS$30-59+1)/$NU$30,$NN$30/$NT$30)),0)</f>
        <v/>
      </c>
      <c r="BL30" s="402">
        <f>IF(AND(60&gt;=$NR$30,60&lt;=$NS$30),IF($NP$30="Single_Point",IF(60=$NR$30,$NN$30,0),IF($NP$30="Bell_Curve",$NN$30*(60-$NR$30+1)*($NS$30-60+1)/$NU$30,$NN$30/$NT$30)),0)</f>
        <v/>
      </c>
      <c r="BM30" s="402">
        <f>IF(AND(61&gt;=$NR$30,61&lt;=$NS$30),IF($NP$30="Single_Point",IF(61=$NR$30,$NN$30,0),IF($NP$30="Bell_Curve",$NN$30*(61-$NR$30+1)*($NS$30-61+1)/$NU$30,$NN$30/$NT$30)),0)</f>
        <v/>
      </c>
      <c r="BN30" s="402">
        <f>IF(AND(62&gt;=$NR$30,62&lt;=$NS$30),IF($NP$30="Single_Point",IF(62=$NR$30,$NN$30,0),IF($NP$30="Bell_Curve",$NN$30*(62-$NR$30+1)*($NS$30-62+1)/$NU$30,$NN$30/$NT$30)),0)</f>
        <v/>
      </c>
      <c r="BO30" s="402">
        <f>IF(AND(63&gt;=$NR$30,63&lt;=$NS$30),IF($NP$30="Single_Point",IF(63=$NR$30,$NN$30,0),IF($NP$30="Bell_Curve",$NN$30*(63-$NR$30+1)*($NS$30-63+1)/$NU$30,$NN$30/$NT$30)),0)</f>
        <v/>
      </c>
      <c r="BP30" s="402">
        <f>IF(AND(64&gt;=$NR$30,64&lt;=$NS$30),IF($NP$30="Single_Point",IF(64=$NR$30,$NN$30,0),IF($NP$30="Bell_Curve",$NN$30*(64-$NR$30+1)*($NS$30-64+1)/$NU$30,$NN$30/$NT$30)),0)</f>
        <v/>
      </c>
      <c r="BQ30" s="402">
        <f>IF(AND(65&gt;=$NR$30,65&lt;=$NS$30),IF($NP$30="Single_Point",IF(65=$NR$30,$NN$30,0),IF($NP$30="Bell_Curve",$NN$30*(65-$NR$30+1)*($NS$30-65+1)/$NU$30,$NN$30/$NT$30)),0)</f>
        <v/>
      </c>
      <c r="BR30" s="402">
        <f>IF(AND(66&gt;=$NR$30,66&lt;=$NS$30),IF($NP$30="Single_Point",IF(66=$NR$30,$NN$30,0),IF($NP$30="Bell_Curve",$NN$30*(66-$NR$30+1)*($NS$30-66+1)/$NU$30,$NN$30/$NT$30)),0)</f>
        <v/>
      </c>
      <c r="BS30" s="402">
        <f>IF(AND(67&gt;=$NR$30,67&lt;=$NS$30),IF($NP$30="Single_Point",IF(67=$NR$30,$NN$30,0),IF($NP$30="Bell_Curve",$NN$30*(67-$NR$30+1)*($NS$30-67+1)/$NU$30,$NN$30/$NT$30)),0)</f>
        <v/>
      </c>
      <c r="BT30" s="402">
        <f>IF(AND(68&gt;=$NR$30,68&lt;=$NS$30),IF($NP$30="Single_Point",IF(68=$NR$30,$NN$30,0),IF($NP$30="Bell_Curve",$NN$30*(68-$NR$30+1)*($NS$30-68+1)/$NU$30,$NN$30/$NT$30)),0)</f>
        <v/>
      </c>
      <c r="BU30" s="402">
        <f>IF(AND(69&gt;=$NR$30,69&lt;=$NS$30),IF($NP$30="Single_Point",IF(69=$NR$30,$NN$30,0),IF($NP$30="Bell_Curve",$NN$30*(69-$NR$30+1)*($NS$30-69+1)/$NU$30,$NN$30/$NT$30)),0)</f>
        <v/>
      </c>
      <c r="BV30" s="402">
        <f>IF(AND(70&gt;=$NR$30,70&lt;=$NS$30),IF($NP$30="Single_Point",IF(70=$NR$30,$NN$30,0),IF($NP$30="Bell_Curve",$NN$30*(70-$NR$30+1)*($NS$30-70+1)/$NU$30,$NN$30/$NT$30)),0)</f>
        <v/>
      </c>
      <c r="BW30" s="402">
        <f>IF(AND(71&gt;=$NR$30,71&lt;=$NS$30),IF($NP$30="Single_Point",IF(71=$NR$30,$NN$30,0),IF($NP$30="Bell_Curve",$NN$30*(71-$NR$30+1)*($NS$30-71+1)/$NU$30,$NN$30/$NT$30)),0)</f>
        <v/>
      </c>
      <c r="BX30" s="402">
        <f>IF(AND(72&gt;=$NR$30,72&lt;=$NS$30),IF($NP$30="Single_Point",IF(72=$NR$30,$NN$30,0),IF($NP$30="Bell_Curve",$NN$30*(72-$NR$30+1)*($NS$30-72+1)/$NU$30,$NN$30/$NT$30)),0)</f>
        <v/>
      </c>
      <c r="BY30" s="402">
        <f>IF(AND(73&gt;=$NR$30,73&lt;=$NS$30),IF($NP$30="Single_Point",IF(73=$NR$30,$NN$30,0),IF($NP$30="Bell_Curve",$NN$30*(73-$NR$30+1)*($NS$30-73+1)/$NU$30,$NN$30/$NT$30)),0)</f>
        <v/>
      </c>
      <c r="BZ30" s="402">
        <f>IF(AND(74&gt;=$NR$30,74&lt;=$NS$30),IF($NP$30="Single_Point",IF(74=$NR$30,$NN$30,0),IF($NP$30="Bell_Curve",$NN$30*(74-$NR$30+1)*($NS$30-74+1)/$NU$30,$NN$30/$NT$30)),0)</f>
        <v/>
      </c>
      <c r="CA30" s="402">
        <f>IF(AND(75&gt;=$NR$30,75&lt;=$NS$30),IF($NP$30="Single_Point",IF(75=$NR$30,$NN$30,0),IF($NP$30="Bell_Curve",$NN$30*(75-$NR$30+1)*($NS$30-75+1)/$NU$30,$NN$30/$NT$30)),0)</f>
        <v/>
      </c>
      <c r="CB30" s="402">
        <f>IF(AND(76&gt;=$NR$30,76&lt;=$NS$30),IF($NP$30="Single_Point",IF(76=$NR$30,$NN$30,0),IF($NP$30="Bell_Curve",$NN$30*(76-$NR$30+1)*($NS$30-76+1)/$NU$30,$NN$30/$NT$30)),0)</f>
        <v/>
      </c>
      <c r="CC30" s="402">
        <f>IF(AND(77&gt;=$NR$30,77&lt;=$NS$30),IF($NP$30="Single_Point",IF(77=$NR$30,$NN$30,0),IF($NP$30="Bell_Curve",$NN$30*(77-$NR$30+1)*($NS$30-77+1)/$NU$30,$NN$30/$NT$30)),0)</f>
        <v/>
      </c>
      <c r="CD30" s="402">
        <f>IF(AND(78&gt;=$NR$30,78&lt;=$NS$30),IF($NP$30="Single_Point",IF(78=$NR$30,$NN$30,0),IF($NP$30="Bell_Curve",$NN$30*(78-$NR$30+1)*($NS$30-78+1)/$NU$30,$NN$30/$NT$30)),0)</f>
        <v/>
      </c>
      <c r="CE30" s="402">
        <f>IF(AND(79&gt;=$NR$30,79&lt;=$NS$30),IF($NP$30="Single_Point",IF(79=$NR$30,$NN$30,0),IF($NP$30="Bell_Curve",$NN$30*(79-$NR$30+1)*($NS$30-79+1)/$NU$30,$NN$30/$NT$30)),0)</f>
        <v/>
      </c>
      <c r="CF30" s="402">
        <f>IF(AND(80&gt;=$NR$30,80&lt;=$NS$30),IF($NP$30="Single_Point",IF(80=$NR$30,$NN$30,0),IF($NP$30="Bell_Curve",$NN$30*(80-$NR$30+1)*($NS$30-80+1)/$NU$30,$NN$30/$NT$30)),0)</f>
        <v/>
      </c>
      <c r="CG30" s="402">
        <f>IF(AND(81&gt;=$NR$30,81&lt;=$NS$30),IF($NP$30="Single_Point",IF(81=$NR$30,$NN$30,0),IF($NP$30="Bell_Curve",$NN$30*(81-$NR$30+1)*($NS$30-81+1)/$NU$30,$NN$30/$NT$30)),0)</f>
        <v/>
      </c>
      <c r="CH30" s="402">
        <f>IF(AND(82&gt;=$NR$30,82&lt;=$NS$30),IF($NP$30="Single_Point",IF(82=$NR$30,$NN$30,0),IF($NP$30="Bell_Curve",$NN$30*(82-$NR$30+1)*($NS$30-82+1)/$NU$30,$NN$30/$NT$30)),0)</f>
        <v/>
      </c>
      <c r="CI30" s="402">
        <f>IF(AND(83&gt;=$NR$30,83&lt;=$NS$30),IF($NP$30="Single_Point",IF(83=$NR$30,$NN$30,0),IF($NP$30="Bell_Curve",$NN$30*(83-$NR$30+1)*($NS$30-83+1)/$NU$30,$NN$30/$NT$30)),0)</f>
        <v/>
      </c>
      <c r="CJ30" s="402">
        <f>IF(AND(84&gt;=$NR$30,84&lt;=$NS$30),IF($NP$30="Single_Point",IF(84=$NR$30,$NN$30,0),IF($NP$30="Bell_Curve",$NN$30*(84-$NR$30+1)*($NS$30-84+1)/$NU$30,$NN$30/$NT$30)),0)</f>
        <v/>
      </c>
      <c r="CK30" s="402">
        <f>IF(AND(85&gt;=$NR$30,85&lt;=$NS$30),IF($NP$30="Single_Point",IF(85=$NR$30,$NN$30,0),IF($NP$30="Bell_Curve",$NN$30*(85-$NR$30+1)*($NS$30-85+1)/$NU$30,$NN$30/$NT$30)),0)</f>
        <v/>
      </c>
      <c r="CL30" s="402">
        <f>IF(AND(86&gt;=$NR$30,86&lt;=$NS$30),IF($NP$30="Single_Point",IF(86=$NR$30,$NN$30,0),IF($NP$30="Bell_Curve",$NN$30*(86-$NR$30+1)*($NS$30-86+1)/$NU$30,$NN$30/$NT$30)),0)</f>
        <v/>
      </c>
      <c r="CM30" s="402">
        <f>IF(AND(87&gt;=$NR$30,87&lt;=$NS$30),IF($NP$30="Single_Point",IF(87=$NR$30,$NN$30,0),IF($NP$30="Bell_Curve",$NN$30*(87-$NR$30+1)*($NS$30-87+1)/$NU$30,$NN$30/$NT$30)),0)</f>
        <v/>
      </c>
      <c r="CN30" s="402">
        <f>IF(AND(88&gt;=$NR$30,88&lt;=$NS$30),IF($NP$30="Single_Point",IF(88=$NR$30,$NN$30,0),IF($NP$30="Bell_Curve",$NN$30*(88-$NR$30+1)*($NS$30-88+1)/$NU$30,$NN$30/$NT$30)),0)</f>
        <v/>
      </c>
      <c r="CO30" s="402">
        <f>IF(AND(89&gt;=$NR$30,89&lt;=$NS$30),IF($NP$30="Single_Point",IF(89=$NR$30,$NN$30,0),IF($NP$30="Bell_Curve",$NN$30*(89-$NR$30+1)*($NS$30-89+1)/$NU$30,$NN$30/$NT$30)),0)</f>
        <v/>
      </c>
      <c r="CP30" s="402">
        <f>IF(AND(90&gt;=$NR$30,90&lt;=$NS$30),IF($NP$30="Single_Point",IF(90=$NR$30,$NN$30,0),IF($NP$30="Bell_Curve",$NN$30*(90-$NR$30+1)*($NS$30-90+1)/$NU$30,$NN$30/$NT$30)),0)</f>
        <v/>
      </c>
      <c r="CQ30" s="402">
        <f>IF(AND(91&gt;=$NR$30,91&lt;=$NS$30),IF($NP$30="Single_Point",IF(91=$NR$30,$NN$30,0),IF($NP$30="Bell_Curve",$NN$30*(91-$NR$30+1)*($NS$30-91+1)/$NU$30,$NN$30/$NT$30)),0)</f>
        <v/>
      </c>
      <c r="CR30" s="402">
        <f>IF(AND(92&gt;=$NR$30,92&lt;=$NS$30),IF($NP$30="Single_Point",IF(92=$NR$30,$NN$30,0),IF($NP$30="Bell_Curve",$NN$30*(92-$NR$30+1)*($NS$30-92+1)/$NU$30,$NN$30/$NT$30)),0)</f>
        <v/>
      </c>
      <c r="CS30" s="402">
        <f>IF(AND(93&gt;=$NR$30,93&lt;=$NS$30),IF($NP$30="Single_Point",IF(93=$NR$30,$NN$30,0),IF($NP$30="Bell_Curve",$NN$30*(93-$NR$30+1)*($NS$30-93+1)/$NU$30,$NN$30/$NT$30)),0)</f>
        <v/>
      </c>
      <c r="CT30" s="402">
        <f>IF(AND(94&gt;=$NR$30,94&lt;=$NS$30),IF($NP$30="Single_Point",IF(94=$NR$30,$NN$30,0),IF($NP$30="Bell_Curve",$NN$30*(94-$NR$30+1)*($NS$30-94+1)/$NU$30,$NN$30/$NT$30)),0)</f>
        <v/>
      </c>
      <c r="CU30" s="402">
        <f>IF(AND(95&gt;=$NR$30,95&lt;=$NS$30),IF($NP$30="Single_Point",IF(95=$NR$30,$NN$30,0),IF($NP$30="Bell_Curve",$NN$30*(95-$NR$30+1)*($NS$30-95+1)/$NU$30,$NN$30/$NT$30)),0)</f>
        <v/>
      </c>
      <c r="CV30" s="402">
        <f>IF(AND(96&gt;=$NR$30,96&lt;=$NS$30),IF($NP$30="Single_Point",IF(96=$NR$30,$NN$30,0),IF($NP$30="Bell_Curve",$NN$30*(96-$NR$30+1)*($NS$30-96+1)/$NU$30,$NN$30/$NT$30)),0)</f>
        <v/>
      </c>
      <c r="CW30" s="402">
        <f>IF(AND(97&gt;=$NR$30,97&lt;=$NS$30),IF($NP$30="Single_Point",IF(97=$NR$30,$NN$30,0),IF($NP$30="Bell_Curve",$NN$30*(97-$NR$30+1)*($NS$30-97+1)/$NU$30,$NN$30/$NT$30)),0)</f>
        <v/>
      </c>
      <c r="CX30" s="402">
        <f>IF(AND(98&gt;=$NR$30,98&lt;=$NS$30),IF($NP$30="Single_Point",IF(98=$NR$30,$NN$30,0),IF($NP$30="Bell_Curve",$NN$30*(98-$NR$30+1)*($NS$30-98+1)/$NU$30,$NN$30/$NT$30)),0)</f>
        <v/>
      </c>
      <c r="CY30" s="402">
        <f>IF(AND(99&gt;=$NR$30,99&lt;=$NS$30),IF($NP$30="Single_Point",IF(99=$NR$30,$NN$30,0),IF($NP$30="Bell_Curve",$NN$30*(99-$NR$30+1)*($NS$30-99+1)/$NU$30,$NN$30/$NT$30)),0)</f>
        <v/>
      </c>
      <c r="CZ30" s="402">
        <f>IF(AND(100&gt;=$NR$30,100&lt;=$NS$30),IF($NP$30="Single_Point",IF(100=$NR$30,$NN$30,0),IF($NP$30="Bell_Curve",$NN$30*(100-$NR$30+1)*($NS$30-100+1)/$NU$30,$NN$30/$NT$30)),0)</f>
        <v/>
      </c>
      <c r="DA30" s="402">
        <f>IF(AND(101&gt;=$NR$30,101&lt;=$NS$30),IF($NP$30="Single_Point",IF(101=$NR$30,$NN$30,0),IF($NP$30="Bell_Curve",$NN$30*(101-$NR$30+1)*($NS$30-101+1)/$NU$30,$NN$30/$NT$30)),0)</f>
        <v/>
      </c>
      <c r="DB30" s="402">
        <f>IF(AND(102&gt;=$NR$30,102&lt;=$NS$30),IF($NP$30="Single_Point",IF(102=$NR$30,$NN$30,0),IF($NP$30="Bell_Curve",$NN$30*(102-$NR$30+1)*($NS$30-102+1)/$NU$30,$NN$30/$NT$30)),0)</f>
        <v/>
      </c>
      <c r="DC30" s="402">
        <f>IF(AND(103&gt;=$NR$30,103&lt;=$NS$30),IF($NP$30="Single_Point",IF(103=$NR$30,$NN$30,0),IF($NP$30="Bell_Curve",$NN$30*(103-$NR$30+1)*($NS$30-103+1)/$NU$30,$NN$30/$NT$30)),0)</f>
        <v/>
      </c>
      <c r="DD30" s="402">
        <f>IF(AND(104&gt;=$NR$30,104&lt;=$NS$30),IF($NP$30="Single_Point",IF(104=$NR$30,$NN$30,0),IF($NP$30="Bell_Curve",$NN$30*(104-$NR$30+1)*($NS$30-104+1)/$NU$30,$NN$30/$NT$30)),0)</f>
        <v/>
      </c>
      <c r="DE30" s="402">
        <f>IF(AND(105&gt;=$NR$30,105&lt;=$NS$30),IF($NP$30="Single_Point",IF(105=$NR$30,$NN$30,0),IF($NP$30="Bell_Curve",$NN$30*(105-$NR$30+1)*($NS$30-105+1)/$NU$30,$NN$30/$NT$30)),0)</f>
        <v/>
      </c>
      <c r="DF30" s="402">
        <f>IF(AND(106&gt;=$NR$30,106&lt;=$NS$30),IF($NP$30="Single_Point",IF(106=$NR$30,$NN$30,0),IF($NP$30="Bell_Curve",$NN$30*(106-$NR$30+1)*($NS$30-106+1)/$NU$30,$NN$30/$NT$30)),0)</f>
        <v/>
      </c>
      <c r="DG30" s="402">
        <f>IF(AND(107&gt;=$NR$30,107&lt;=$NS$30),IF($NP$30="Single_Point",IF(107=$NR$30,$NN$30,0),IF($NP$30="Bell_Curve",$NN$30*(107-$NR$30+1)*($NS$30-107+1)/$NU$30,$NN$30/$NT$30)),0)</f>
        <v/>
      </c>
      <c r="DH30" s="402">
        <f>IF(AND(108&gt;=$NR$30,108&lt;=$NS$30),IF($NP$30="Single_Point",IF(108=$NR$30,$NN$30,0),IF($NP$30="Bell_Curve",$NN$30*(108-$NR$30+1)*($NS$30-108+1)/$NU$30,$NN$30/$NT$30)),0)</f>
        <v/>
      </c>
      <c r="DI30" s="402">
        <f>IF(AND(109&gt;=$NR$30,109&lt;=$NS$30),IF($NP$30="Single_Point",IF(109=$NR$30,$NN$30,0),IF($NP$30="Bell_Curve",$NN$30*(109-$NR$30+1)*($NS$30-109+1)/$NU$30,$NN$30/$NT$30)),0)</f>
        <v/>
      </c>
      <c r="DJ30" s="402">
        <f>IF(AND(110&gt;=$NR$30,110&lt;=$NS$30),IF($NP$30="Single_Point",IF(110=$NR$30,$NN$30,0),IF($NP$30="Bell_Curve",$NN$30*(110-$NR$30+1)*($NS$30-110+1)/$NU$30,$NN$30/$NT$30)),0)</f>
        <v/>
      </c>
      <c r="DK30" s="402">
        <f>IF(AND(111&gt;=$NR$30,111&lt;=$NS$30),IF($NP$30="Single_Point",IF(111=$NR$30,$NN$30,0),IF($NP$30="Bell_Curve",$NN$30*(111-$NR$30+1)*($NS$30-111+1)/$NU$30,$NN$30/$NT$30)),0)</f>
        <v/>
      </c>
      <c r="DL30" s="402">
        <f>IF(AND(112&gt;=$NR$30,112&lt;=$NS$30),IF($NP$30="Single_Point",IF(112=$NR$30,$NN$30,0),IF($NP$30="Bell_Curve",$NN$30*(112-$NR$30+1)*($NS$30-112+1)/$NU$30,$NN$30/$NT$30)),0)</f>
        <v/>
      </c>
      <c r="DM30" s="402">
        <f>IF(AND(113&gt;=$NR$30,113&lt;=$NS$30),IF($NP$30="Single_Point",IF(113=$NR$30,$NN$30,0),IF($NP$30="Bell_Curve",$NN$30*(113-$NR$30+1)*($NS$30-113+1)/$NU$30,$NN$30/$NT$30)),0)</f>
        <v/>
      </c>
      <c r="DN30" s="402">
        <f>IF(AND(114&gt;=$NR$30,114&lt;=$NS$30),IF($NP$30="Single_Point",IF(114=$NR$30,$NN$30,0),IF($NP$30="Bell_Curve",$NN$30*(114-$NR$30+1)*($NS$30-114+1)/$NU$30,$NN$30/$NT$30)),0)</f>
        <v/>
      </c>
      <c r="DO30" s="402">
        <f>IF(AND(115&gt;=$NR$30,115&lt;=$NS$30),IF($NP$30="Single_Point",IF(115=$NR$30,$NN$30,0),IF($NP$30="Bell_Curve",$NN$30*(115-$NR$30+1)*($NS$30-115+1)/$NU$30,$NN$30/$NT$30)),0)</f>
        <v/>
      </c>
      <c r="DP30" s="402">
        <f>IF(AND(116&gt;=$NR$30,116&lt;=$NS$30),IF($NP$30="Single_Point",IF(116=$NR$30,$NN$30,0),IF($NP$30="Bell_Curve",$NN$30*(116-$NR$30+1)*($NS$30-116+1)/$NU$30,$NN$30/$NT$30)),0)</f>
        <v/>
      </c>
      <c r="DQ30" s="402">
        <f>IF(AND(117&gt;=$NR$30,117&lt;=$NS$30),IF($NP$30="Single_Point",IF(117=$NR$30,$NN$30,0),IF($NP$30="Bell_Curve",$NN$30*(117-$NR$30+1)*($NS$30-117+1)/$NU$30,$NN$30/$NT$30)),0)</f>
        <v/>
      </c>
      <c r="DR30" s="402">
        <f>IF(AND(118&gt;=$NR$30,118&lt;=$NS$30),IF($NP$30="Single_Point",IF(118=$NR$30,$NN$30,0),IF($NP$30="Bell_Curve",$NN$30*(118-$NR$30+1)*($NS$30-118+1)/$NU$30,$NN$30/$NT$30)),0)</f>
        <v/>
      </c>
      <c r="DS30" s="402">
        <f>IF(AND(119&gt;=$NR$30,119&lt;=$NS$30),IF($NP$30="Single_Point",IF(119=$NR$30,$NN$30,0),IF($NP$30="Bell_Curve",$NN$30*(119-$NR$30+1)*($NS$30-119+1)/$NU$30,$NN$30/$NT$30)),0)</f>
        <v/>
      </c>
      <c r="DT30" s="402">
        <f>IF(AND(120&gt;=$NR$30,120&lt;=$NS$30),IF($NP$30="Single_Point",IF(120=$NR$30,$NN$30,0),IF($NP$30="Bell_Curve",$NN$30*(120-$NR$30+1)*($NS$30-120+1)/$NU$30,$NN$30/$NT$30)),0)</f>
        <v/>
      </c>
      <c r="DU30" s="402">
        <f>IF(AND(121&gt;=$NR$30,121&lt;=$NS$30),IF($NP$30="Single_Point",IF(121=$NR$30,$NN$30,0),IF($NP$30="Bell_Curve",$NN$30*(121-$NR$30+1)*($NS$30-121+1)/$NU$30,$NN$30/$NT$30)),0)</f>
        <v/>
      </c>
      <c r="DV30" s="402">
        <f>IF(AND(122&gt;=$NR$30,122&lt;=$NS$30),IF($NP$30="Single_Point",IF(122=$NR$30,$NN$30,0),IF($NP$30="Bell_Curve",$NN$30*(122-$NR$30+1)*($NS$30-122+1)/$NU$30,$NN$30/$NT$30)),0)</f>
        <v/>
      </c>
      <c r="DW30" s="402">
        <f>IF(AND(123&gt;=$NR$30,123&lt;=$NS$30),IF($NP$30="Single_Point",IF(123=$NR$30,$NN$30,0),IF($NP$30="Bell_Curve",$NN$30*(123-$NR$30+1)*($NS$30-123+1)/$NU$30,$NN$30/$NT$30)),0)</f>
        <v/>
      </c>
      <c r="DX30" s="402">
        <f>IF(AND(124&gt;=$NR$30,124&lt;=$NS$30),IF($NP$30="Single_Point",IF(124=$NR$30,$NN$30,0),IF($NP$30="Bell_Curve",$NN$30*(124-$NR$30+1)*($NS$30-124+1)/$NU$30,$NN$30/$NT$30)),0)</f>
        <v/>
      </c>
      <c r="DY30" s="402">
        <f>IF(AND(125&gt;=$NR$30,125&lt;=$NS$30),IF($NP$30="Single_Point",IF(125=$NR$30,$NN$30,0),IF($NP$30="Bell_Curve",$NN$30*(125-$NR$30+1)*($NS$30-125+1)/$NU$30,$NN$30/$NT$30)),0)</f>
        <v/>
      </c>
      <c r="DZ30" s="402">
        <f>IF(AND(126&gt;=$NR$30,126&lt;=$NS$30),IF($NP$30="Single_Point",IF(126=$NR$30,$NN$30,0),IF($NP$30="Bell_Curve",$NN$30*(126-$NR$30+1)*($NS$30-126+1)/$NU$30,$NN$30/$NT$30)),0)</f>
        <v/>
      </c>
      <c r="EA30" s="402">
        <f>IF(AND(127&gt;=$NR$30,127&lt;=$NS$30),IF($NP$30="Single_Point",IF(127=$NR$30,$NN$30,0),IF($NP$30="Bell_Curve",$NN$30*(127-$NR$30+1)*($NS$30-127+1)/$NU$30,$NN$30/$NT$30)),0)</f>
        <v/>
      </c>
      <c r="EB30" s="402">
        <f>IF(AND(128&gt;=$NR$30,128&lt;=$NS$30),IF($NP$30="Single_Point",IF(128=$NR$30,$NN$30,0),IF($NP$30="Bell_Curve",$NN$30*(128-$NR$30+1)*($NS$30-128+1)/$NU$30,$NN$30/$NT$30)),0)</f>
        <v/>
      </c>
      <c r="EC30" s="402">
        <f>IF(AND(129&gt;=$NR$30,129&lt;=$NS$30),IF($NP$30="Single_Point",IF(129=$NR$30,$NN$30,0),IF($NP$30="Bell_Curve",$NN$30*(129-$NR$30+1)*($NS$30-129+1)/$NU$30,$NN$30/$NT$30)),0)</f>
        <v/>
      </c>
      <c r="ED30" s="402">
        <f>IF(AND(130&gt;=$NR$30,130&lt;=$NS$30),IF($NP$30="Single_Point",IF(130=$NR$30,$NN$30,0),IF($NP$30="Bell_Curve",$NN$30*(130-$NR$30+1)*($NS$30-130+1)/$NU$30,$NN$30/$NT$30)),0)</f>
        <v/>
      </c>
      <c r="EE30" s="402">
        <f>IF(AND(131&gt;=$NR$30,131&lt;=$NS$30),IF($NP$30="Single_Point",IF(131=$NR$30,$NN$30,0),IF($NP$30="Bell_Curve",$NN$30*(131-$NR$30+1)*($NS$30-131+1)/$NU$30,$NN$30/$NT$30)),0)</f>
        <v/>
      </c>
      <c r="EF30" s="402">
        <f>IF(AND(132&gt;=$NR$30,132&lt;=$NS$30),IF($NP$30="Single_Point",IF(132=$NR$30,$NN$30,0),IF($NP$30="Bell_Curve",$NN$30*(132-$NR$30+1)*($NS$30-132+1)/$NU$30,$NN$30/$NT$30)),0)</f>
        <v/>
      </c>
      <c r="EG30" s="402">
        <f>IF(AND(133&gt;=$NR$30,133&lt;=$NS$30),IF($NP$30="Single_Point",IF(133=$NR$30,$NN$30,0),IF($NP$30="Bell_Curve",$NN$30*(133-$NR$30+1)*($NS$30-133+1)/$NU$30,$NN$30/$NT$30)),0)</f>
        <v/>
      </c>
      <c r="EH30" s="402">
        <f>IF(AND(134&gt;=$NR$30,134&lt;=$NS$30),IF($NP$30="Single_Point",IF(134=$NR$30,$NN$30,0),IF($NP$30="Bell_Curve",$NN$30*(134-$NR$30+1)*($NS$30-134+1)/$NU$30,$NN$30/$NT$30)),0)</f>
        <v/>
      </c>
      <c r="EI30" s="402">
        <f>IF(AND(135&gt;=$NR$30,135&lt;=$NS$30),IF($NP$30="Single_Point",IF(135=$NR$30,$NN$30,0),IF($NP$30="Bell_Curve",$NN$30*(135-$NR$30+1)*($NS$30-135+1)/$NU$30,$NN$30/$NT$30)),0)</f>
        <v/>
      </c>
      <c r="EJ30" s="402">
        <f>IF(AND(136&gt;=$NR$30,136&lt;=$NS$30),IF($NP$30="Single_Point",IF(136=$NR$30,$NN$30,0),IF($NP$30="Bell_Curve",$NN$30*(136-$NR$30+1)*($NS$30-136+1)/$NU$30,$NN$30/$NT$30)),0)</f>
        <v/>
      </c>
      <c r="EK30" s="402">
        <f>IF(AND(137&gt;=$NR$30,137&lt;=$NS$30),IF($NP$30="Single_Point",IF(137=$NR$30,$NN$30,0),IF($NP$30="Bell_Curve",$NN$30*(137-$NR$30+1)*($NS$30-137+1)/$NU$30,$NN$30/$NT$30)),0)</f>
        <v/>
      </c>
      <c r="EL30" s="402">
        <f>IF(AND(138&gt;=$NR$30,138&lt;=$NS$30),IF($NP$30="Single_Point",IF(138=$NR$30,$NN$30,0),IF($NP$30="Bell_Curve",$NN$30*(138-$NR$30+1)*($NS$30-138+1)/$NU$30,$NN$30/$NT$30)),0)</f>
        <v/>
      </c>
      <c r="EM30" s="402">
        <f>IF(AND(139&gt;=$NR$30,139&lt;=$NS$30),IF($NP$30="Single_Point",IF(139=$NR$30,$NN$30,0),IF($NP$30="Bell_Curve",$NN$30*(139-$NR$30+1)*($NS$30-139+1)/$NU$30,$NN$30/$NT$30)),0)</f>
        <v/>
      </c>
      <c r="EN30" s="402">
        <f>IF(AND(140&gt;=$NR$30,140&lt;=$NS$30),IF($NP$30="Single_Point",IF(140=$NR$30,$NN$30,0),IF($NP$30="Bell_Curve",$NN$30*(140-$NR$30+1)*($NS$30-140+1)/$NU$30,$NN$30/$NT$30)),0)</f>
        <v/>
      </c>
      <c r="EO30" s="402">
        <f>IF(AND(141&gt;=$NR$30,141&lt;=$NS$30),IF($NP$30="Single_Point",IF(141=$NR$30,$NN$30,0),IF($NP$30="Bell_Curve",$NN$30*(141-$NR$30+1)*($NS$30-141+1)/$NU$30,$NN$30/$NT$30)),0)</f>
        <v/>
      </c>
      <c r="EP30" s="402">
        <f>IF(AND(142&gt;=$NR$30,142&lt;=$NS$30),IF($NP$30="Single_Point",IF(142=$NR$30,$NN$30,0),IF($NP$30="Bell_Curve",$NN$30*(142-$NR$30+1)*($NS$30-142+1)/$NU$30,$NN$30/$NT$30)),0)</f>
        <v/>
      </c>
      <c r="EQ30" s="402">
        <f>IF(AND(143&gt;=$NR$30,143&lt;=$NS$30),IF($NP$30="Single_Point",IF(143=$NR$30,$NN$30,0),IF($NP$30="Bell_Curve",$NN$30*(143-$NR$30+1)*($NS$30-143+1)/$NU$30,$NN$30/$NT$30)),0)</f>
        <v/>
      </c>
      <c r="ER30" s="402">
        <f>IF(AND(144&gt;=$NR$30,144&lt;=$NS$30),IF($NP$30="Single_Point",IF(144=$NR$30,$NN$30,0),IF($NP$30="Bell_Curve",$NN$30*(144-$NR$30+1)*($NS$30-144+1)/$NU$30,$NN$30/$NT$30)),0)</f>
        <v/>
      </c>
      <c r="ES30" s="402">
        <f>IF(AND(145&gt;=$NR$30,145&lt;=$NS$30),IF($NP$30="Single_Point",IF(145=$NR$30,$NN$30,0),IF($NP$30="Bell_Curve",$NN$30*(145-$NR$30+1)*($NS$30-145+1)/$NU$30,$NN$30/$NT$30)),0)</f>
        <v/>
      </c>
      <c r="ET30" s="402">
        <f>IF(AND(146&gt;=$NR$30,146&lt;=$NS$30),IF($NP$30="Single_Point",IF(146=$NR$30,$NN$30,0),IF($NP$30="Bell_Curve",$NN$30*(146-$NR$30+1)*($NS$30-146+1)/$NU$30,$NN$30/$NT$30)),0)</f>
        <v/>
      </c>
      <c r="EU30" s="402">
        <f>IF(AND(147&gt;=$NR$30,147&lt;=$NS$30),IF($NP$30="Single_Point",IF(147=$NR$30,$NN$30,0),IF($NP$30="Bell_Curve",$NN$30*(147-$NR$30+1)*($NS$30-147+1)/$NU$30,$NN$30/$NT$30)),0)</f>
        <v/>
      </c>
      <c r="EV30" s="402">
        <f>IF(AND(148&gt;=$NR$30,148&lt;=$NS$30),IF($NP$30="Single_Point",IF(148=$NR$30,$NN$30,0),IF($NP$30="Bell_Curve",$NN$30*(148-$NR$30+1)*($NS$30-148+1)/$NU$30,$NN$30/$NT$30)),0)</f>
        <v/>
      </c>
      <c r="EW30" s="402">
        <f>IF(AND(149&gt;=$NR$30,149&lt;=$NS$30),IF($NP$30="Single_Point",IF(149=$NR$30,$NN$30,0),IF($NP$30="Bell_Curve",$NN$30*(149-$NR$30+1)*($NS$30-149+1)/$NU$30,$NN$30/$NT$30)),0)</f>
        <v/>
      </c>
      <c r="EX30" s="402">
        <f>IF(AND(150&gt;=$NR$30,150&lt;=$NS$30),IF($NP$30="Single_Point",IF(150=$NR$30,$NN$30,0),IF($NP$30="Bell_Curve",$NN$30*(150-$NR$30+1)*($NS$30-150+1)/$NU$30,$NN$30/$NT$30)),0)</f>
        <v/>
      </c>
      <c r="EY30" s="402">
        <f>IF(AND(151&gt;=$NR$30,151&lt;=$NS$30),IF($NP$30="Single_Point",IF(151=$NR$30,$NN$30,0),IF($NP$30="Bell_Curve",$NN$30*(151-$NR$30+1)*($NS$30-151+1)/$NU$30,$NN$30/$NT$30)),0)</f>
        <v/>
      </c>
      <c r="EZ30" s="402">
        <f>IF(AND(152&gt;=$NR$30,152&lt;=$NS$30),IF($NP$30="Single_Point",IF(152=$NR$30,$NN$30,0),IF($NP$30="Bell_Curve",$NN$30*(152-$NR$30+1)*($NS$30-152+1)/$NU$30,$NN$30/$NT$30)),0)</f>
        <v/>
      </c>
      <c r="FA30" s="402">
        <f>IF(AND(153&gt;=$NR$30,153&lt;=$NS$30),IF($NP$30="Single_Point",IF(153=$NR$30,$NN$30,0),IF($NP$30="Bell_Curve",$NN$30*(153-$NR$30+1)*($NS$30-153+1)/$NU$30,$NN$30/$NT$30)),0)</f>
        <v/>
      </c>
      <c r="FB30" s="402">
        <f>IF(AND(154&gt;=$NR$30,154&lt;=$NS$30),IF($NP$30="Single_Point",IF(154=$NR$30,$NN$30,0),IF($NP$30="Bell_Curve",$NN$30*(154-$NR$30+1)*($NS$30-154+1)/$NU$30,$NN$30/$NT$30)),0)</f>
        <v/>
      </c>
      <c r="FC30" s="402">
        <f>IF(AND(155&gt;=$NR$30,155&lt;=$NS$30),IF($NP$30="Single_Point",IF(155=$NR$30,$NN$30,0),IF($NP$30="Bell_Curve",$NN$30*(155-$NR$30+1)*($NS$30-155+1)/$NU$30,$NN$30/$NT$30)),0)</f>
        <v/>
      </c>
      <c r="FD30" s="402">
        <f>IF(AND(156&gt;=$NR$30,156&lt;=$NS$30),IF($NP$30="Single_Point",IF(156=$NR$30,$NN$30,0),IF($NP$30="Bell_Curve",$NN$30*(156-$NR$30+1)*($NS$30-156+1)/$NU$30,$NN$30/$NT$30)),0)</f>
        <v/>
      </c>
      <c r="FE30" s="402">
        <f>IF(AND(157&gt;=$NR$30,157&lt;=$NS$30),IF($NP$30="Single_Point",IF(157=$NR$30,$NN$30,0),IF($NP$30="Bell_Curve",$NN$30*(157-$NR$30+1)*($NS$30-157+1)/$NU$30,$NN$30/$NT$30)),0)</f>
        <v/>
      </c>
      <c r="FF30" s="402">
        <f>IF(AND(158&gt;=$NR$30,158&lt;=$NS$30),IF($NP$30="Single_Point",IF(158=$NR$30,$NN$30,0),IF($NP$30="Bell_Curve",$NN$30*(158-$NR$30+1)*($NS$30-158+1)/$NU$30,$NN$30/$NT$30)),0)</f>
        <v/>
      </c>
      <c r="FG30" s="402">
        <f>IF(AND(159&gt;=$NR$30,159&lt;=$NS$30),IF($NP$30="Single_Point",IF(159=$NR$30,$NN$30,0),IF($NP$30="Bell_Curve",$NN$30*(159-$NR$30+1)*($NS$30-159+1)/$NU$30,$NN$30/$NT$30)),0)</f>
        <v/>
      </c>
      <c r="FH30" s="402">
        <f>IF(AND(160&gt;=$NR$30,160&lt;=$NS$30),IF($NP$30="Single_Point",IF(160=$NR$30,$NN$30,0),IF($NP$30="Bell_Curve",$NN$30*(160-$NR$30+1)*($NS$30-160+1)/$NU$30,$NN$30/$NT$30)),0)</f>
        <v/>
      </c>
      <c r="FI30" s="402">
        <f>IF(AND(161&gt;=$NR$30,161&lt;=$NS$30),IF($NP$30="Single_Point",IF(161=$NR$30,$NN$30,0),IF($NP$30="Bell_Curve",$NN$30*(161-$NR$30+1)*($NS$30-161+1)/$NU$30,$NN$30/$NT$30)),0)</f>
        <v/>
      </c>
      <c r="FJ30" s="402">
        <f>IF(AND(162&gt;=$NR$30,162&lt;=$NS$30),IF($NP$30="Single_Point",IF(162=$NR$30,$NN$30,0),IF($NP$30="Bell_Curve",$NN$30*(162-$NR$30+1)*($NS$30-162+1)/$NU$30,$NN$30/$NT$30)),0)</f>
        <v/>
      </c>
      <c r="FK30" s="402">
        <f>IF(AND(163&gt;=$NR$30,163&lt;=$NS$30),IF($NP$30="Single_Point",IF(163=$NR$30,$NN$30,0),IF($NP$30="Bell_Curve",$NN$30*(163-$NR$30+1)*($NS$30-163+1)/$NU$30,$NN$30/$NT$30)),0)</f>
        <v/>
      </c>
      <c r="FL30" s="402">
        <f>IF(AND(164&gt;=$NR$30,164&lt;=$NS$30),IF($NP$30="Single_Point",IF(164=$NR$30,$NN$30,0),IF($NP$30="Bell_Curve",$NN$30*(164-$NR$30+1)*($NS$30-164+1)/$NU$30,$NN$30/$NT$30)),0)</f>
        <v/>
      </c>
      <c r="FM30" s="402">
        <f>IF(AND(165&gt;=$NR$30,165&lt;=$NS$30),IF($NP$30="Single_Point",IF(165=$NR$30,$NN$30,0),IF($NP$30="Bell_Curve",$NN$30*(165-$NR$30+1)*($NS$30-165+1)/$NU$30,$NN$30/$NT$30)),0)</f>
        <v/>
      </c>
      <c r="FN30" s="402">
        <f>IF(AND(166&gt;=$NR$30,166&lt;=$NS$30),IF($NP$30="Single_Point",IF(166=$NR$30,$NN$30,0),IF($NP$30="Bell_Curve",$NN$30*(166-$NR$30+1)*($NS$30-166+1)/$NU$30,$NN$30/$NT$30)),0)</f>
        <v/>
      </c>
      <c r="FO30" s="402">
        <f>IF(AND(167&gt;=$NR$30,167&lt;=$NS$30),IF($NP$30="Single_Point",IF(167=$NR$30,$NN$30,0),IF($NP$30="Bell_Curve",$NN$30*(167-$NR$30+1)*($NS$30-167+1)/$NU$30,$NN$30/$NT$30)),0)</f>
        <v/>
      </c>
      <c r="FP30" s="402">
        <f>IF(AND(168&gt;=$NR$30,168&lt;=$NS$30),IF($NP$30="Single_Point",IF(168=$NR$30,$NN$30,0),IF($NP$30="Bell_Curve",$NN$30*(168-$NR$30+1)*($NS$30-168+1)/$NU$30,$NN$30/$NT$30)),0)</f>
        <v/>
      </c>
      <c r="FQ30" s="402">
        <f>IF(AND(169&gt;=$NR$30,169&lt;=$NS$30),IF($NP$30="Single_Point",IF(169=$NR$30,$NN$30,0),IF($NP$30="Bell_Curve",$NN$30*(169-$NR$30+1)*($NS$30-169+1)/$NU$30,$NN$30/$NT$30)),0)</f>
        <v/>
      </c>
      <c r="FR30" s="402">
        <f>IF(AND(170&gt;=$NR$30,170&lt;=$NS$30),IF($NP$30="Single_Point",IF(170=$NR$30,$NN$30,0),IF($NP$30="Bell_Curve",$NN$30*(170-$NR$30+1)*($NS$30-170+1)/$NU$30,$NN$30/$NT$30)),0)</f>
        <v/>
      </c>
      <c r="FS30" s="402">
        <f>IF(AND(171&gt;=$NR$30,171&lt;=$NS$30),IF($NP$30="Single_Point",IF(171=$NR$30,$NN$30,0),IF($NP$30="Bell_Curve",$NN$30*(171-$NR$30+1)*($NS$30-171+1)/$NU$30,$NN$30/$NT$30)),0)</f>
        <v/>
      </c>
      <c r="FT30" s="402">
        <f>IF(AND(172&gt;=$NR$30,172&lt;=$NS$30),IF($NP$30="Single_Point",IF(172=$NR$30,$NN$30,0),IF($NP$30="Bell_Curve",$NN$30*(172-$NR$30+1)*($NS$30-172+1)/$NU$30,$NN$30/$NT$30)),0)</f>
        <v/>
      </c>
      <c r="FU30" s="402">
        <f>IF(AND(173&gt;=$NR$30,173&lt;=$NS$30),IF($NP$30="Single_Point",IF(173=$NR$30,$NN$30,0),IF($NP$30="Bell_Curve",$NN$30*(173-$NR$30+1)*($NS$30-173+1)/$NU$30,$NN$30/$NT$30)),0)</f>
        <v/>
      </c>
      <c r="FV30" s="402">
        <f>IF(AND(174&gt;=$NR$30,174&lt;=$NS$30),IF($NP$30="Single_Point",IF(174=$NR$30,$NN$30,0),IF($NP$30="Bell_Curve",$NN$30*(174-$NR$30+1)*($NS$30-174+1)/$NU$30,$NN$30/$NT$30)),0)</f>
        <v/>
      </c>
      <c r="FW30" s="402">
        <f>IF(AND(175&gt;=$NR$30,175&lt;=$NS$30),IF($NP$30="Single_Point",IF(175=$NR$30,$NN$30,0),IF($NP$30="Bell_Curve",$NN$30*(175-$NR$30+1)*($NS$30-175+1)/$NU$30,$NN$30/$NT$30)),0)</f>
        <v/>
      </c>
      <c r="FX30" s="402">
        <f>IF(AND(176&gt;=$NR$30,176&lt;=$NS$30),IF($NP$30="Single_Point",IF(176=$NR$30,$NN$30,0),IF($NP$30="Bell_Curve",$NN$30*(176-$NR$30+1)*($NS$30-176+1)/$NU$30,$NN$30/$NT$30)),0)</f>
        <v/>
      </c>
      <c r="FY30" s="402">
        <f>IF(AND(177&gt;=$NR$30,177&lt;=$NS$30),IF($NP$30="Single_Point",IF(177=$NR$30,$NN$30,0),IF($NP$30="Bell_Curve",$NN$30*(177-$NR$30+1)*($NS$30-177+1)/$NU$30,$NN$30/$NT$30)),0)</f>
        <v/>
      </c>
      <c r="FZ30" s="402">
        <f>IF(AND(178&gt;=$NR$30,178&lt;=$NS$30),IF($NP$30="Single_Point",IF(178=$NR$30,$NN$30,0),IF($NP$30="Bell_Curve",$NN$30*(178-$NR$30+1)*($NS$30-178+1)/$NU$30,$NN$30/$NT$30)),0)</f>
        <v/>
      </c>
      <c r="GA30" s="402">
        <f>IF(AND(179&gt;=$NR$30,179&lt;=$NS$30),IF($NP$30="Single_Point",IF(179=$NR$30,$NN$30,0),IF($NP$30="Bell_Curve",$NN$30*(179-$NR$30+1)*($NS$30-179+1)/$NU$30,$NN$30/$NT$30)),0)</f>
        <v/>
      </c>
      <c r="GB30" s="402">
        <f>IF(AND(180&gt;=$NR$30,180&lt;=$NS$30),IF($NP$30="Single_Point",IF(180=$NR$30,$NN$30,0),IF($NP$30="Bell_Curve",$NN$30*(180-$NR$30+1)*($NS$30-180+1)/$NU$30,$NN$30/$NT$30)),0)</f>
        <v/>
      </c>
      <c r="GC30" s="402">
        <f>IF(AND(181&gt;=$NR$30,181&lt;=$NS$30),IF($NP$30="Single_Point",IF(181=$NR$30,$NN$30,0),IF($NP$30="Bell_Curve",$NN$30*(181-$NR$30+1)*($NS$30-181+1)/$NU$30,$NN$30/$NT$30)),0)</f>
        <v/>
      </c>
      <c r="GD30" s="402">
        <f>IF(AND(182&gt;=$NR$30,182&lt;=$NS$30),IF($NP$30="Single_Point",IF(182=$NR$30,$NN$30,0),IF($NP$30="Bell_Curve",$NN$30*(182-$NR$30+1)*($NS$30-182+1)/$NU$30,$NN$30/$NT$30)),0)</f>
        <v/>
      </c>
      <c r="GE30" s="402">
        <f>IF(AND(183&gt;=$NR$30,183&lt;=$NS$30),IF($NP$30="Single_Point",IF(183=$NR$30,$NN$30,0),IF($NP$30="Bell_Curve",$NN$30*(183-$NR$30+1)*($NS$30-183+1)/$NU$30,$NN$30/$NT$30)),0)</f>
        <v/>
      </c>
      <c r="GF30" s="402">
        <f>IF(AND(184&gt;=$NR$30,184&lt;=$NS$30),IF($NP$30="Single_Point",IF(184=$NR$30,$NN$30,0),IF($NP$30="Bell_Curve",$NN$30*(184-$NR$30+1)*($NS$30-184+1)/$NU$30,$NN$30/$NT$30)),0)</f>
        <v/>
      </c>
      <c r="GG30" s="402">
        <f>IF(AND(185&gt;=$NR$30,185&lt;=$NS$30),IF($NP$30="Single_Point",IF(185=$NR$30,$NN$30,0),IF($NP$30="Bell_Curve",$NN$30*(185-$NR$30+1)*($NS$30-185+1)/$NU$30,$NN$30/$NT$30)),0)</f>
        <v/>
      </c>
      <c r="GH30" s="402">
        <f>IF(AND(186&gt;=$NR$30,186&lt;=$NS$30),IF($NP$30="Single_Point",IF(186=$NR$30,$NN$30,0),IF($NP$30="Bell_Curve",$NN$30*(186-$NR$30+1)*($NS$30-186+1)/$NU$30,$NN$30/$NT$30)),0)</f>
        <v/>
      </c>
      <c r="GI30" s="402">
        <f>IF(AND(187&gt;=$NR$30,187&lt;=$NS$30),IF($NP$30="Single_Point",IF(187=$NR$30,$NN$30,0),IF($NP$30="Bell_Curve",$NN$30*(187-$NR$30+1)*($NS$30-187+1)/$NU$30,$NN$30/$NT$30)),0)</f>
        <v/>
      </c>
      <c r="GJ30" s="402">
        <f>IF(AND(188&gt;=$NR$30,188&lt;=$NS$30),IF($NP$30="Single_Point",IF(188=$NR$30,$NN$30,0),IF($NP$30="Bell_Curve",$NN$30*(188-$NR$30+1)*($NS$30-188+1)/$NU$30,$NN$30/$NT$30)),0)</f>
        <v/>
      </c>
      <c r="GK30" s="402">
        <f>IF(AND(189&gt;=$NR$30,189&lt;=$NS$30),IF($NP$30="Single_Point",IF(189=$NR$30,$NN$30,0),IF($NP$30="Bell_Curve",$NN$30*(189-$NR$30+1)*($NS$30-189+1)/$NU$30,$NN$30/$NT$30)),0)</f>
        <v/>
      </c>
      <c r="GL30" s="402">
        <f>IF(AND(190&gt;=$NR$30,190&lt;=$NS$30),IF($NP$30="Single_Point",IF(190=$NR$30,$NN$30,0),IF($NP$30="Bell_Curve",$NN$30*(190-$NR$30+1)*($NS$30-190+1)/$NU$30,$NN$30/$NT$30)),0)</f>
        <v/>
      </c>
      <c r="GM30" s="402">
        <f>IF(AND(191&gt;=$NR$30,191&lt;=$NS$30),IF($NP$30="Single_Point",IF(191=$NR$30,$NN$30,0),IF($NP$30="Bell_Curve",$NN$30*(191-$NR$30+1)*($NS$30-191+1)/$NU$30,$NN$30/$NT$30)),0)</f>
        <v/>
      </c>
      <c r="GN30" s="402">
        <f>IF(AND(192&gt;=$NR$30,192&lt;=$NS$30),IF($NP$30="Single_Point",IF(192=$NR$30,$NN$30,0),IF($NP$30="Bell_Curve",$NN$30*(192-$NR$30+1)*($NS$30-192+1)/$NU$30,$NN$30/$NT$30)),0)</f>
        <v/>
      </c>
      <c r="GO30" s="402">
        <f>IF(AND(193&gt;=$NR$30,193&lt;=$NS$30),IF($NP$30="Single_Point",IF(193=$NR$30,$NN$30,0),IF($NP$30="Bell_Curve",$NN$30*(193-$NR$30+1)*($NS$30-193+1)/$NU$30,$NN$30/$NT$30)),0)</f>
        <v/>
      </c>
      <c r="GP30" s="402">
        <f>IF(AND(194&gt;=$NR$30,194&lt;=$NS$30),IF($NP$30="Single_Point",IF(194=$NR$30,$NN$30,0),IF($NP$30="Bell_Curve",$NN$30*(194-$NR$30+1)*($NS$30-194+1)/$NU$30,$NN$30/$NT$30)),0)</f>
        <v/>
      </c>
      <c r="GQ30" s="402">
        <f>IF(AND(195&gt;=$NR$30,195&lt;=$NS$30),IF($NP$30="Single_Point",IF(195=$NR$30,$NN$30,0),IF($NP$30="Bell_Curve",$NN$30*(195-$NR$30+1)*($NS$30-195+1)/$NU$30,$NN$30/$NT$30)),0)</f>
        <v/>
      </c>
      <c r="GR30" s="402">
        <f>IF(AND(196&gt;=$NR$30,196&lt;=$NS$30),IF($NP$30="Single_Point",IF(196=$NR$30,$NN$30,0),IF($NP$30="Bell_Curve",$NN$30*(196-$NR$30+1)*($NS$30-196+1)/$NU$30,$NN$30/$NT$30)),0)</f>
        <v/>
      </c>
      <c r="GS30" s="402">
        <f>IF(AND(197&gt;=$NR$30,197&lt;=$NS$30),IF($NP$30="Single_Point",IF(197=$NR$30,$NN$30,0),IF($NP$30="Bell_Curve",$NN$30*(197-$NR$30+1)*($NS$30-197+1)/$NU$30,$NN$30/$NT$30)),0)</f>
        <v/>
      </c>
      <c r="GT30" s="402">
        <f>IF(AND(198&gt;=$NR$30,198&lt;=$NS$30),IF($NP$30="Single_Point",IF(198=$NR$30,$NN$30,0),IF($NP$30="Bell_Curve",$NN$30*(198-$NR$30+1)*($NS$30-198+1)/$NU$30,$NN$30/$NT$30)),0)</f>
        <v/>
      </c>
      <c r="GU30" s="402">
        <f>IF(AND(199&gt;=$NR$30,199&lt;=$NS$30),IF($NP$30="Single_Point",IF(199=$NR$30,$NN$30,0),IF($NP$30="Bell_Curve",$NN$30*(199-$NR$30+1)*($NS$30-199+1)/$NU$30,$NN$30/$NT$30)),0)</f>
        <v/>
      </c>
      <c r="GV30" s="402">
        <f>IF(AND(200&gt;=$NR$30,200&lt;=$NS$30),IF($NP$30="Single_Point",IF(200=$NR$30,$NN$30,0),IF($NP$30="Bell_Curve",$NN$30*(200-$NR$30+1)*($NS$30-200+1)/$NU$30,$NN$30/$NT$30)),0)</f>
        <v/>
      </c>
      <c r="GW30" s="402">
        <f>IF(AND(201&gt;=$NR$30,201&lt;=$NS$30),IF($NP$30="Single_Point",IF(201=$NR$30,$NN$30,0),IF($NP$30="Bell_Curve",$NN$30*(201-$NR$30+1)*($NS$30-201+1)/$NU$30,$NN$30/$NT$30)),0)</f>
        <v/>
      </c>
      <c r="GX30" s="402">
        <f>IF(AND(202&gt;=$NR$30,202&lt;=$NS$30),IF($NP$30="Single_Point",IF(202=$NR$30,$NN$30,0),IF($NP$30="Bell_Curve",$NN$30*(202-$NR$30+1)*($NS$30-202+1)/$NU$30,$NN$30/$NT$30)),0)</f>
        <v/>
      </c>
      <c r="GY30" s="402">
        <f>IF(AND(203&gt;=$NR$30,203&lt;=$NS$30),IF($NP$30="Single_Point",IF(203=$NR$30,$NN$30,0),IF($NP$30="Bell_Curve",$NN$30*(203-$NR$30+1)*($NS$30-203+1)/$NU$30,$NN$30/$NT$30)),0)</f>
        <v/>
      </c>
      <c r="GZ30" s="402">
        <f>IF(AND(204&gt;=$NR$30,204&lt;=$NS$30),IF($NP$30="Single_Point",IF(204=$NR$30,$NN$30,0),IF($NP$30="Bell_Curve",$NN$30*(204-$NR$30+1)*($NS$30-204+1)/$NU$30,$NN$30/$NT$30)),0)</f>
        <v/>
      </c>
      <c r="HA30" s="402">
        <f>IF(AND(205&gt;=$NR$30,205&lt;=$NS$30),IF($NP$30="Single_Point",IF(205=$NR$30,$NN$30,0),IF($NP$30="Bell_Curve",$NN$30*(205-$NR$30+1)*($NS$30-205+1)/$NU$30,$NN$30/$NT$30)),0)</f>
        <v/>
      </c>
      <c r="HB30" s="402">
        <f>IF(AND(206&gt;=$NR$30,206&lt;=$NS$30),IF($NP$30="Single_Point",IF(206=$NR$30,$NN$30,0),IF($NP$30="Bell_Curve",$NN$30*(206-$NR$30+1)*($NS$30-206+1)/$NU$30,$NN$30/$NT$30)),0)</f>
        <v/>
      </c>
      <c r="HC30" s="402">
        <f>IF(AND(207&gt;=$NR$30,207&lt;=$NS$30),IF($NP$30="Single_Point",IF(207=$NR$30,$NN$30,0),IF($NP$30="Bell_Curve",$NN$30*(207-$NR$30+1)*($NS$30-207+1)/$NU$30,$NN$30/$NT$30)),0)</f>
        <v/>
      </c>
      <c r="HD30" s="402">
        <f>IF(AND(208&gt;=$NR$30,208&lt;=$NS$30),IF($NP$30="Single_Point",IF(208=$NR$30,$NN$30,0),IF($NP$30="Bell_Curve",$NN$30*(208-$NR$30+1)*($NS$30-208+1)/$NU$30,$NN$30/$NT$30)),0)</f>
        <v/>
      </c>
      <c r="HE30" s="402">
        <f>IF(AND(209&gt;=$NR$30,209&lt;=$NS$30),IF($NP$30="Single_Point",IF(209=$NR$30,$NN$30,0),IF($NP$30="Bell_Curve",$NN$30*(209-$NR$30+1)*($NS$30-209+1)/$NU$30,$NN$30/$NT$30)),0)</f>
        <v/>
      </c>
      <c r="HF30" s="402">
        <f>IF(AND(210&gt;=$NR$30,210&lt;=$NS$30),IF($NP$30="Single_Point",IF(210=$NR$30,$NN$30,0),IF($NP$30="Bell_Curve",$NN$30*(210-$NR$30+1)*($NS$30-210+1)/$NU$30,$NN$30/$NT$30)),0)</f>
        <v/>
      </c>
      <c r="HG30" s="402">
        <f>IF(AND(211&gt;=$NR$30,211&lt;=$NS$30),IF($NP$30="Single_Point",IF(211=$NR$30,$NN$30,0),IF($NP$30="Bell_Curve",$NN$30*(211-$NR$30+1)*($NS$30-211+1)/$NU$30,$NN$30/$NT$30)),0)</f>
        <v/>
      </c>
      <c r="HH30" s="402">
        <f>IF(AND(212&gt;=$NR$30,212&lt;=$NS$30),IF($NP$30="Single_Point",IF(212=$NR$30,$NN$30,0),IF($NP$30="Bell_Curve",$NN$30*(212-$NR$30+1)*($NS$30-212+1)/$NU$30,$NN$30/$NT$30)),0)</f>
        <v/>
      </c>
      <c r="HI30" s="402">
        <f>IF(AND(213&gt;=$NR$30,213&lt;=$NS$30),IF($NP$30="Single_Point",IF(213=$NR$30,$NN$30,0),IF($NP$30="Bell_Curve",$NN$30*(213-$NR$30+1)*($NS$30-213+1)/$NU$30,$NN$30/$NT$30)),0)</f>
        <v/>
      </c>
      <c r="HJ30" s="402">
        <f>IF(AND(214&gt;=$NR$30,214&lt;=$NS$30),IF($NP$30="Single_Point",IF(214=$NR$30,$NN$30,0),IF($NP$30="Bell_Curve",$NN$30*(214-$NR$30+1)*($NS$30-214+1)/$NU$30,$NN$30/$NT$30)),0)</f>
        <v/>
      </c>
      <c r="HK30" s="402">
        <f>IF(AND(215&gt;=$NR$30,215&lt;=$NS$30),IF($NP$30="Single_Point",IF(215=$NR$30,$NN$30,0),IF($NP$30="Bell_Curve",$NN$30*(215-$NR$30+1)*($NS$30-215+1)/$NU$30,$NN$30/$NT$30)),0)</f>
        <v/>
      </c>
      <c r="HL30" s="402">
        <f>IF(AND(216&gt;=$NR$30,216&lt;=$NS$30),IF($NP$30="Single_Point",IF(216=$NR$30,$NN$30,0),IF($NP$30="Bell_Curve",$NN$30*(216-$NR$30+1)*($NS$30-216+1)/$NU$30,$NN$30/$NT$30)),0)</f>
        <v/>
      </c>
      <c r="HM30" s="402">
        <f>IF(AND(217&gt;=$NR$30,217&lt;=$NS$30),IF($NP$30="Single_Point",IF(217=$NR$30,$NN$30,0),IF($NP$30="Bell_Curve",$NN$30*(217-$NR$30+1)*($NS$30-217+1)/$NU$30,$NN$30/$NT$30)),0)</f>
        <v/>
      </c>
      <c r="HN30" s="402">
        <f>IF(AND(218&gt;=$NR$30,218&lt;=$NS$30),IF($NP$30="Single_Point",IF(218=$NR$30,$NN$30,0),IF($NP$30="Bell_Curve",$NN$30*(218-$NR$30+1)*($NS$30-218+1)/$NU$30,$NN$30/$NT$30)),0)</f>
        <v/>
      </c>
      <c r="HO30" s="402">
        <f>IF(AND(219&gt;=$NR$30,219&lt;=$NS$30),IF($NP$30="Single_Point",IF(219=$NR$30,$NN$30,0),IF($NP$30="Bell_Curve",$NN$30*(219-$NR$30+1)*($NS$30-219+1)/$NU$30,$NN$30/$NT$30)),0)</f>
        <v/>
      </c>
      <c r="HP30" s="402">
        <f>IF(AND(220&gt;=$NR$30,220&lt;=$NS$30),IF($NP$30="Single_Point",IF(220=$NR$30,$NN$30,0),IF($NP$30="Bell_Curve",$NN$30*(220-$NR$30+1)*($NS$30-220+1)/$NU$30,$NN$30/$NT$30)),0)</f>
        <v/>
      </c>
      <c r="HQ30" s="402">
        <f>IF(AND(221&gt;=$NR$30,221&lt;=$NS$30),IF($NP$30="Single_Point",IF(221=$NR$30,$NN$30,0),IF($NP$30="Bell_Curve",$NN$30*(221-$NR$30+1)*($NS$30-221+1)/$NU$30,$NN$30/$NT$30)),0)</f>
        <v/>
      </c>
      <c r="HR30" s="402">
        <f>IF(AND(222&gt;=$NR$30,222&lt;=$NS$30),IF($NP$30="Single_Point",IF(222=$NR$30,$NN$30,0),IF($NP$30="Bell_Curve",$NN$30*(222-$NR$30+1)*($NS$30-222+1)/$NU$30,$NN$30/$NT$30)),0)</f>
        <v/>
      </c>
      <c r="HS30" s="402">
        <f>IF(AND(223&gt;=$NR$30,223&lt;=$NS$30),IF($NP$30="Single_Point",IF(223=$NR$30,$NN$30,0),IF($NP$30="Bell_Curve",$NN$30*(223-$NR$30+1)*($NS$30-223+1)/$NU$30,$NN$30/$NT$30)),0)</f>
        <v/>
      </c>
      <c r="HT30" s="402">
        <f>IF(AND(224&gt;=$NR$30,224&lt;=$NS$30),IF($NP$30="Single_Point",IF(224=$NR$30,$NN$30,0),IF($NP$30="Bell_Curve",$NN$30*(224-$NR$30+1)*($NS$30-224+1)/$NU$30,$NN$30/$NT$30)),0)</f>
        <v/>
      </c>
      <c r="HU30" s="402">
        <f>IF(AND(225&gt;=$NR$30,225&lt;=$NS$30),IF($NP$30="Single_Point",IF(225=$NR$30,$NN$30,0),IF($NP$30="Bell_Curve",$NN$30*(225-$NR$30+1)*($NS$30-225+1)/$NU$30,$NN$30/$NT$30)),0)</f>
        <v/>
      </c>
      <c r="HV30" s="402">
        <f>IF(AND(226&gt;=$NR$30,226&lt;=$NS$30),IF($NP$30="Single_Point",IF(226=$NR$30,$NN$30,0),IF($NP$30="Bell_Curve",$NN$30*(226-$NR$30+1)*($NS$30-226+1)/$NU$30,$NN$30/$NT$30)),0)</f>
        <v/>
      </c>
      <c r="HW30" s="402">
        <f>IF(AND(227&gt;=$NR$30,227&lt;=$NS$30),IF($NP$30="Single_Point",IF(227=$NR$30,$NN$30,0),IF($NP$30="Bell_Curve",$NN$30*(227-$NR$30+1)*($NS$30-227+1)/$NU$30,$NN$30/$NT$30)),0)</f>
        <v/>
      </c>
      <c r="HX30" s="402">
        <f>IF(AND(228&gt;=$NR$30,228&lt;=$NS$30),IF($NP$30="Single_Point",IF(228=$NR$30,$NN$30,0),IF($NP$30="Bell_Curve",$NN$30*(228-$NR$30+1)*($NS$30-228+1)/$NU$30,$NN$30/$NT$30)),0)</f>
        <v/>
      </c>
      <c r="HY30" s="402">
        <f>IF(AND(229&gt;=$NR$30,229&lt;=$NS$30),IF($NP$30="Single_Point",IF(229=$NR$30,$NN$30,0),IF($NP$30="Bell_Curve",$NN$30*(229-$NR$30+1)*($NS$30-229+1)/$NU$30,$NN$30/$NT$30)),0)</f>
        <v/>
      </c>
      <c r="HZ30" s="402">
        <f>IF(AND(230&gt;=$NR$30,230&lt;=$NS$30),IF($NP$30="Single_Point",IF(230=$NR$30,$NN$30,0),IF($NP$30="Bell_Curve",$NN$30*(230-$NR$30+1)*($NS$30-230+1)/$NU$30,$NN$30/$NT$30)),0)</f>
        <v/>
      </c>
      <c r="IA30" s="402">
        <f>IF(AND(231&gt;=$NR$30,231&lt;=$NS$30),IF($NP$30="Single_Point",IF(231=$NR$30,$NN$30,0),IF($NP$30="Bell_Curve",$NN$30*(231-$NR$30+1)*($NS$30-231+1)/$NU$30,$NN$30/$NT$30)),0)</f>
        <v/>
      </c>
      <c r="IB30" s="402">
        <f>IF(AND(232&gt;=$NR$30,232&lt;=$NS$30),IF($NP$30="Single_Point",IF(232=$NR$30,$NN$30,0),IF($NP$30="Bell_Curve",$NN$30*(232-$NR$30+1)*($NS$30-232+1)/$NU$30,$NN$30/$NT$30)),0)</f>
        <v/>
      </c>
      <c r="IC30" s="402">
        <f>IF(AND(233&gt;=$NR$30,233&lt;=$NS$30),IF($NP$30="Single_Point",IF(233=$NR$30,$NN$30,0),IF($NP$30="Bell_Curve",$NN$30*(233-$NR$30+1)*($NS$30-233+1)/$NU$30,$NN$30/$NT$30)),0)</f>
        <v/>
      </c>
      <c r="ID30" s="402">
        <f>IF(AND(234&gt;=$NR$30,234&lt;=$NS$30),IF($NP$30="Single_Point",IF(234=$NR$30,$NN$30,0),IF($NP$30="Bell_Curve",$NN$30*(234-$NR$30+1)*($NS$30-234+1)/$NU$30,$NN$30/$NT$30)),0)</f>
        <v/>
      </c>
      <c r="IE30" s="402">
        <f>IF(AND(235&gt;=$NR$30,235&lt;=$NS$30),IF($NP$30="Single_Point",IF(235=$NR$30,$NN$30,0),IF($NP$30="Bell_Curve",$NN$30*(235-$NR$30+1)*($NS$30-235+1)/$NU$30,$NN$30/$NT$30)),0)</f>
        <v/>
      </c>
      <c r="IF30" s="402">
        <f>IF(AND(236&gt;=$NR$30,236&lt;=$NS$30),IF($NP$30="Single_Point",IF(236=$NR$30,$NN$30,0),IF($NP$30="Bell_Curve",$NN$30*(236-$NR$30+1)*($NS$30-236+1)/$NU$30,$NN$30/$NT$30)),0)</f>
        <v/>
      </c>
      <c r="IG30" s="402">
        <f>IF(AND(237&gt;=$NR$30,237&lt;=$NS$30),IF($NP$30="Single_Point",IF(237=$NR$30,$NN$30,0),IF($NP$30="Bell_Curve",$NN$30*(237-$NR$30+1)*($NS$30-237+1)/$NU$30,$NN$30/$NT$30)),0)</f>
        <v/>
      </c>
      <c r="IH30" s="402">
        <f>IF(AND(238&gt;=$NR$30,238&lt;=$NS$30),IF($NP$30="Single_Point",IF(238=$NR$30,$NN$30,0),IF($NP$30="Bell_Curve",$NN$30*(238-$NR$30+1)*($NS$30-238+1)/$NU$30,$NN$30/$NT$30)),0)</f>
        <v/>
      </c>
      <c r="II30" s="402">
        <f>IF(AND(239&gt;=$NR$30,239&lt;=$NS$30),IF($NP$30="Single_Point",IF(239=$NR$30,$NN$30,0),IF($NP$30="Bell_Curve",$NN$30*(239-$NR$30+1)*($NS$30-239+1)/$NU$30,$NN$30/$NT$30)),0)</f>
        <v/>
      </c>
      <c r="IJ30" s="402">
        <f>IF(AND(240&gt;=$NR$30,240&lt;=$NS$30),IF($NP$30="Single_Point",IF(240=$NR$30,$NN$30,0),IF($NP$30="Bell_Curve",$NN$30*(240-$NR$30+1)*($NS$30-240+1)/$NU$30,$NN$30/$NT$30)),0)</f>
        <v/>
      </c>
      <c r="IK30" s="402">
        <f>IF(AND(241&gt;=$NR$30,241&lt;=$NS$30),IF($NP$30="Single_Point",IF(241=$NR$30,$NN$30,0),IF($NP$30="Bell_Curve",$NN$30*(241-$NR$30+1)*($NS$30-241+1)/$NU$30,$NN$30/$NT$30)),0)</f>
        <v/>
      </c>
      <c r="IL30" s="402">
        <f>IF(AND(242&gt;=$NR$30,242&lt;=$NS$30),IF($NP$30="Single_Point",IF(242=$NR$30,$NN$30,0),IF($NP$30="Bell_Curve",$NN$30*(242-$NR$30+1)*($NS$30-242+1)/$NU$30,$NN$30/$NT$30)),0)</f>
        <v/>
      </c>
      <c r="IM30" s="402">
        <f>IF(AND(243&gt;=$NR$30,243&lt;=$NS$30),IF($NP$30="Single_Point",IF(243=$NR$30,$NN$30,0),IF($NP$30="Bell_Curve",$NN$30*(243-$NR$30+1)*($NS$30-243+1)/$NU$30,$NN$30/$NT$30)),0)</f>
        <v/>
      </c>
      <c r="IN30" s="402">
        <f>IF(AND(244&gt;=$NR$30,244&lt;=$NS$30),IF($NP$30="Single_Point",IF(244=$NR$30,$NN$30,0),IF($NP$30="Bell_Curve",$NN$30*(244-$NR$30+1)*($NS$30-244+1)/$NU$30,$NN$30/$NT$30)),0)</f>
        <v/>
      </c>
      <c r="IO30" s="402">
        <f>IF(AND(245&gt;=$NR$30,245&lt;=$NS$30),IF($NP$30="Single_Point",IF(245=$NR$30,$NN$30,0),IF($NP$30="Bell_Curve",$NN$30*(245-$NR$30+1)*($NS$30-245+1)/$NU$30,$NN$30/$NT$30)),0)</f>
        <v/>
      </c>
      <c r="IP30" s="402">
        <f>IF(AND(246&gt;=$NR$30,246&lt;=$NS$30),IF($NP$30="Single_Point",IF(246=$NR$30,$NN$30,0),IF($NP$30="Bell_Curve",$NN$30*(246-$NR$30+1)*($NS$30-246+1)/$NU$30,$NN$30/$NT$30)),0)</f>
        <v/>
      </c>
      <c r="IQ30" s="402">
        <f>IF(AND(247&gt;=$NR$30,247&lt;=$NS$30),IF($NP$30="Single_Point",IF(247=$NR$30,$NN$30,0),IF($NP$30="Bell_Curve",$NN$30*(247-$NR$30+1)*($NS$30-247+1)/$NU$30,$NN$30/$NT$30)),0)</f>
        <v/>
      </c>
      <c r="IR30" s="402">
        <f>IF(AND(248&gt;=$NR$30,248&lt;=$NS$30),IF($NP$30="Single_Point",IF(248=$NR$30,$NN$30,0),IF($NP$30="Bell_Curve",$NN$30*(248-$NR$30+1)*($NS$30-248+1)/$NU$30,$NN$30/$NT$30)),0)</f>
        <v/>
      </c>
      <c r="IS30" s="402">
        <f>IF(AND(249&gt;=$NR$30,249&lt;=$NS$30),IF($NP$30="Single_Point",IF(249=$NR$30,$NN$30,0),IF($NP$30="Bell_Curve",$NN$30*(249-$NR$30+1)*($NS$30-249+1)/$NU$30,$NN$30/$NT$30)),0)</f>
        <v/>
      </c>
      <c r="IT30" s="402">
        <f>IF(AND(250&gt;=$NR$30,250&lt;=$NS$30),IF($NP$30="Single_Point",IF(250=$NR$30,$NN$30,0),IF($NP$30="Bell_Curve",$NN$30*(250-$NR$30+1)*($NS$30-250+1)/$NU$30,$NN$30/$NT$30)),0)</f>
        <v/>
      </c>
      <c r="IU30" s="402">
        <f>IF(AND(251&gt;=$NR$30,251&lt;=$NS$30),IF($NP$30="Single_Point",IF(251=$NR$30,$NN$30,0),IF($NP$30="Bell_Curve",$NN$30*(251-$NR$30+1)*($NS$30-251+1)/$NU$30,$NN$30/$NT$30)),0)</f>
        <v/>
      </c>
      <c r="IV30" s="402">
        <f>IF(AND(252&gt;=$NR$30,252&lt;=$NS$30),IF($NP$30="Single_Point",IF(252=$NR$30,$NN$30,0),IF($NP$30="Bell_Curve",$NN$30*(252-$NR$30+1)*($NS$30-252+1)/$NU$30,$NN$30/$NT$30)),0)</f>
        <v/>
      </c>
      <c r="IW30" s="402">
        <f>IF(AND(253&gt;=$NR$30,253&lt;=$NS$30),IF($NP$30="Single_Point",IF(253=$NR$30,$NN$30,0),IF($NP$30="Bell_Curve",$NN$30*(253-$NR$30+1)*($NS$30-253+1)/$NU$30,$NN$30/$NT$30)),0)</f>
        <v/>
      </c>
      <c r="IX30" s="402">
        <f>IF(AND(254&gt;=$NR$30,254&lt;=$NS$30),IF($NP$30="Single_Point",IF(254=$NR$30,$NN$30,0),IF($NP$30="Bell_Curve",$NN$30*(254-$NR$30+1)*($NS$30-254+1)/$NU$30,$NN$30/$NT$30)),0)</f>
        <v/>
      </c>
      <c r="IY30" s="402">
        <f>IF(AND(255&gt;=$NR$30,255&lt;=$NS$30),IF($NP$30="Single_Point",IF(255=$NR$30,$NN$30,0),IF($NP$30="Bell_Curve",$NN$30*(255-$NR$30+1)*($NS$30-255+1)/$NU$30,$NN$30/$NT$30)),0)</f>
        <v/>
      </c>
      <c r="IZ30" s="402">
        <f>IF(AND(256&gt;=$NR$30,256&lt;=$NS$30),IF($NP$30="Single_Point",IF(256=$NR$30,$NN$30,0),IF($NP$30="Bell_Curve",$NN$30*(256-$NR$30+1)*($NS$30-256+1)/$NU$30,$NN$30/$NT$30)),0)</f>
        <v/>
      </c>
      <c r="JA30" s="402">
        <f>IF(AND(257&gt;=$NR$30,257&lt;=$NS$30),IF($NP$30="Single_Point",IF(257=$NR$30,$NN$30,0),IF($NP$30="Bell_Curve",$NN$30*(257-$NR$30+1)*($NS$30-257+1)/$NU$30,$NN$30/$NT$30)),0)</f>
        <v/>
      </c>
      <c r="JB30" s="402">
        <f>IF(AND(258&gt;=$NR$30,258&lt;=$NS$30),IF($NP$30="Single_Point",IF(258=$NR$30,$NN$30,0),IF($NP$30="Bell_Curve",$NN$30*(258-$NR$30+1)*($NS$30-258+1)/$NU$30,$NN$30/$NT$30)),0)</f>
        <v/>
      </c>
      <c r="JC30" s="402">
        <f>IF(AND(259&gt;=$NR$30,259&lt;=$NS$30),IF($NP$30="Single_Point",IF(259=$NR$30,$NN$30,0),IF($NP$30="Bell_Curve",$NN$30*(259-$NR$30+1)*($NS$30-259+1)/$NU$30,$NN$30/$NT$30)),0)</f>
        <v/>
      </c>
      <c r="JD30" s="402">
        <f>IF(AND(260&gt;=$NR$30,260&lt;=$NS$30),IF($NP$30="Single_Point",IF(260=$NR$30,$NN$30,0),IF($NP$30="Bell_Curve",$NN$30*(260-$NR$30+1)*($NS$30-260+1)/$NU$30,$NN$30/$NT$30)),0)</f>
        <v/>
      </c>
      <c r="JE30" s="402">
        <f>IF(AND(261&gt;=$NR$30,261&lt;=$NS$30),IF($NP$30="Single_Point",IF(261=$NR$30,$NN$30,0),IF($NP$30="Bell_Curve",$NN$30*(261-$NR$30+1)*($NS$30-261+1)/$NU$30,$NN$30/$NT$30)),0)</f>
        <v/>
      </c>
      <c r="JF30" s="402">
        <f>IF(AND(262&gt;=$NR$30,262&lt;=$NS$30),IF($NP$30="Single_Point",IF(262=$NR$30,$NN$30,0),IF($NP$30="Bell_Curve",$NN$30*(262-$NR$30+1)*($NS$30-262+1)/$NU$30,$NN$30/$NT$30)),0)</f>
        <v/>
      </c>
      <c r="JG30" s="402">
        <f>IF(AND(263&gt;=$NR$30,263&lt;=$NS$30),IF($NP$30="Single_Point",IF(263=$NR$30,$NN$30,0),IF($NP$30="Bell_Curve",$NN$30*(263-$NR$30+1)*($NS$30-263+1)/$NU$30,$NN$30/$NT$30)),0)</f>
        <v/>
      </c>
      <c r="JH30" s="402">
        <f>IF(AND(264&gt;=$NR$30,264&lt;=$NS$30),IF($NP$30="Single_Point",IF(264=$NR$30,$NN$30,0),IF($NP$30="Bell_Curve",$NN$30*(264-$NR$30+1)*($NS$30-264+1)/$NU$30,$NN$30/$NT$30)),0)</f>
        <v/>
      </c>
      <c r="JI30" s="402">
        <f>IF(AND(265&gt;=$NR$30,265&lt;=$NS$30),IF($NP$30="Single_Point",IF(265=$NR$30,$NN$30,0),IF($NP$30="Bell_Curve",$NN$30*(265-$NR$30+1)*($NS$30-265+1)/$NU$30,$NN$30/$NT$30)),0)</f>
        <v/>
      </c>
      <c r="JJ30" s="402">
        <f>IF(AND(266&gt;=$NR$30,266&lt;=$NS$30),IF($NP$30="Single_Point",IF(266=$NR$30,$NN$30,0),IF($NP$30="Bell_Curve",$NN$30*(266-$NR$30+1)*($NS$30-266+1)/$NU$30,$NN$30/$NT$30)),0)</f>
        <v/>
      </c>
      <c r="JK30" s="402">
        <f>IF(AND(267&gt;=$NR$30,267&lt;=$NS$30),IF($NP$30="Single_Point",IF(267=$NR$30,$NN$30,0),IF($NP$30="Bell_Curve",$NN$30*(267-$NR$30+1)*($NS$30-267+1)/$NU$30,$NN$30/$NT$30)),0)</f>
        <v/>
      </c>
      <c r="JL30" s="402">
        <f>IF(AND(268&gt;=$NR$30,268&lt;=$NS$30),IF($NP$30="Single_Point",IF(268=$NR$30,$NN$30,0),IF($NP$30="Bell_Curve",$NN$30*(268-$NR$30+1)*($NS$30-268+1)/$NU$30,$NN$30/$NT$30)),0)</f>
        <v/>
      </c>
      <c r="JM30" s="402">
        <f>IF(AND(269&gt;=$NR$30,269&lt;=$NS$30),IF($NP$30="Single_Point",IF(269=$NR$30,$NN$30,0),IF($NP$30="Bell_Curve",$NN$30*(269-$NR$30+1)*($NS$30-269+1)/$NU$30,$NN$30/$NT$30)),0)</f>
        <v/>
      </c>
      <c r="JN30" s="402">
        <f>IF(AND(270&gt;=$NR$30,270&lt;=$NS$30),IF($NP$30="Single_Point",IF(270=$NR$30,$NN$30,0),IF($NP$30="Bell_Curve",$NN$30*(270-$NR$30+1)*($NS$30-270+1)/$NU$30,$NN$30/$NT$30)),0)</f>
        <v/>
      </c>
      <c r="JO30" s="402">
        <f>IF(AND(271&gt;=$NR$30,271&lt;=$NS$30),IF($NP$30="Single_Point",IF(271=$NR$30,$NN$30,0),IF($NP$30="Bell_Curve",$NN$30*(271-$NR$30+1)*($NS$30-271+1)/$NU$30,$NN$30/$NT$30)),0)</f>
        <v/>
      </c>
      <c r="JP30" s="402">
        <f>IF(AND(272&gt;=$NR$30,272&lt;=$NS$30),IF($NP$30="Single_Point",IF(272=$NR$30,$NN$30,0),IF($NP$30="Bell_Curve",$NN$30*(272-$NR$30+1)*($NS$30-272+1)/$NU$30,$NN$30/$NT$30)),0)</f>
        <v/>
      </c>
      <c r="JQ30" s="402">
        <f>IF(AND(273&gt;=$NR$30,273&lt;=$NS$30),IF($NP$30="Single_Point",IF(273=$NR$30,$NN$30,0),IF($NP$30="Bell_Curve",$NN$30*(273-$NR$30+1)*($NS$30-273+1)/$NU$30,$NN$30/$NT$30)),0)</f>
        <v/>
      </c>
      <c r="JR30" s="402">
        <f>IF(AND(274&gt;=$NR$30,274&lt;=$NS$30),IF($NP$30="Single_Point",IF(274=$NR$30,$NN$30,0),IF($NP$30="Bell_Curve",$NN$30*(274-$NR$30+1)*($NS$30-274+1)/$NU$30,$NN$30/$NT$30)),0)</f>
        <v/>
      </c>
      <c r="JS30" s="402">
        <f>IF(AND(275&gt;=$NR$30,275&lt;=$NS$30),IF($NP$30="Single_Point",IF(275=$NR$30,$NN$30,0),IF($NP$30="Bell_Curve",$NN$30*(275-$NR$30+1)*($NS$30-275+1)/$NU$30,$NN$30/$NT$30)),0)</f>
        <v/>
      </c>
      <c r="JT30" s="402">
        <f>IF(AND(276&gt;=$NR$30,276&lt;=$NS$30),IF($NP$30="Single_Point",IF(276=$NR$30,$NN$30,0),IF($NP$30="Bell_Curve",$NN$30*(276-$NR$30+1)*($NS$30-276+1)/$NU$30,$NN$30/$NT$30)),0)</f>
        <v/>
      </c>
      <c r="JU30" s="402">
        <f>IF(AND(277&gt;=$NR$30,277&lt;=$NS$30),IF($NP$30="Single_Point",IF(277=$NR$30,$NN$30,0),IF($NP$30="Bell_Curve",$NN$30*(277-$NR$30+1)*($NS$30-277+1)/$NU$30,$NN$30/$NT$30)),0)</f>
        <v/>
      </c>
      <c r="JV30" s="402">
        <f>IF(AND(278&gt;=$NR$30,278&lt;=$NS$30),IF($NP$30="Single_Point",IF(278=$NR$30,$NN$30,0),IF($NP$30="Bell_Curve",$NN$30*(278-$NR$30+1)*($NS$30-278+1)/$NU$30,$NN$30/$NT$30)),0)</f>
        <v/>
      </c>
      <c r="JW30" s="402">
        <f>IF(AND(279&gt;=$NR$30,279&lt;=$NS$30),IF($NP$30="Single_Point",IF(279=$NR$30,$NN$30,0),IF($NP$30="Bell_Curve",$NN$30*(279-$NR$30+1)*($NS$30-279+1)/$NU$30,$NN$30/$NT$30)),0)</f>
        <v/>
      </c>
      <c r="JX30" s="402">
        <f>IF(AND(280&gt;=$NR$30,280&lt;=$NS$30),IF($NP$30="Single_Point",IF(280=$NR$30,$NN$30,0),IF($NP$30="Bell_Curve",$NN$30*(280-$NR$30+1)*($NS$30-280+1)/$NU$30,$NN$30/$NT$30)),0)</f>
        <v/>
      </c>
      <c r="JY30" s="402">
        <f>IF(AND(281&gt;=$NR$30,281&lt;=$NS$30),IF($NP$30="Single_Point",IF(281=$NR$30,$NN$30,0),IF($NP$30="Bell_Curve",$NN$30*(281-$NR$30+1)*($NS$30-281+1)/$NU$30,$NN$30/$NT$30)),0)</f>
        <v/>
      </c>
      <c r="JZ30" s="402">
        <f>IF(AND(282&gt;=$NR$30,282&lt;=$NS$30),IF($NP$30="Single_Point",IF(282=$NR$30,$NN$30,0),IF($NP$30="Bell_Curve",$NN$30*(282-$NR$30+1)*($NS$30-282+1)/$NU$30,$NN$30/$NT$30)),0)</f>
        <v/>
      </c>
      <c r="KA30" s="402">
        <f>IF(AND(283&gt;=$NR$30,283&lt;=$NS$30),IF($NP$30="Single_Point",IF(283=$NR$30,$NN$30,0),IF($NP$30="Bell_Curve",$NN$30*(283-$NR$30+1)*($NS$30-283+1)/$NU$30,$NN$30/$NT$30)),0)</f>
        <v/>
      </c>
      <c r="KB30" s="402">
        <f>IF(AND(284&gt;=$NR$30,284&lt;=$NS$30),IF($NP$30="Single_Point",IF(284=$NR$30,$NN$30,0),IF($NP$30="Bell_Curve",$NN$30*(284-$NR$30+1)*($NS$30-284+1)/$NU$30,$NN$30/$NT$30)),0)</f>
        <v/>
      </c>
      <c r="KC30" s="402">
        <f>IF(AND(285&gt;=$NR$30,285&lt;=$NS$30),IF($NP$30="Single_Point",IF(285=$NR$30,$NN$30,0),IF($NP$30="Bell_Curve",$NN$30*(285-$NR$30+1)*($NS$30-285+1)/$NU$30,$NN$30/$NT$30)),0)</f>
        <v/>
      </c>
      <c r="KD30" s="402">
        <f>IF(AND(286&gt;=$NR$30,286&lt;=$NS$30),IF($NP$30="Single_Point",IF(286=$NR$30,$NN$30,0),IF($NP$30="Bell_Curve",$NN$30*(286-$NR$30+1)*($NS$30-286+1)/$NU$30,$NN$30/$NT$30)),0)</f>
        <v/>
      </c>
      <c r="KE30" s="402">
        <f>IF(AND(287&gt;=$NR$30,287&lt;=$NS$30),IF($NP$30="Single_Point",IF(287=$NR$30,$NN$30,0),IF($NP$30="Bell_Curve",$NN$30*(287-$NR$30+1)*($NS$30-287+1)/$NU$30,$NN$30/$NT$30)),0)</f>
        <v/>
      </c>
      <c r="KF30" s="402">
        <f>IF(AND(288&gt;=$NR$30,288&lt;=$NS$30),IF($NP$30="Single_Point",IF(288=$NR$30,$NN$30,0),IF($NP$30="Bell_Curve",$NN$30*(288-$NR$30+1)*($NS$30-288+1)/$NU$30,$NN$30/$NT$30)),0)</f>
        <v/>
      </c>
      <c r="KG30" s="402">
        <f>IF(AND(289&gt;=$NR$30,289&lt;=$NS$30),IF($NP$30="Single_Point",IF(289=$NR$30,$NN$30,0),IF($NP$30="Bell_Curve",$NN$30*(289-$NR$30+1)*($NS$30-289+1)/$NU$30,$NN$30/$NT$30)),0)</f>
        <v/>
      </c>
      <c r="KH30" s="402">
        <f>IF(AND(290&gt;=$NR$30,290&lt;=$NS$30),IF($NP$30="Single_Point",IF(290=$NR$30,$NN$30,0),IF($NP$30="Bell_Curve",$NN$30*(290-$NR$30+1)*($NS$30-290+1)/$NU$30,$NN$30/$NT$30)),0)</f>
        <v/>
      </c>
      <c r="KI30" s="402">
        <f>IF(AND(291&gt;=$NR$30,291&lt;=$NS$30),IF($NP$30="Single_Point",IF(291=$NR$30,$NN$30,0),IF($NP$30="Bell_Curve",$NN$30*(291-$NR$30+1)*($NS$30-291+1)/$NU$30,$NN$30/$NT$30)),0)</f>
        <v/>
      </c>
      <c r="KJ30" s="402">
        <f>IF(AND(292&gt;=$NR$30,292&lt;=$NS$30),IF($NP$30="Single_Point",IF(292=$NR$30,$NN$30,0),IF($NP$30="Bell_Curve",$NN$30*(292-$NR$30+1)*($NS$30-292+1)/$NU$30,$NN$30/$NT$30)),0)</f>
        <v/>
      </c>
      <c r="KK30" s="402">
        <f>IF(AND(293&gt;=$NR$30,293&lt;=$NS$30),IF($NP$30="Single_Point",IF(293=$NR$30,$NN$30,0),IF($NP$30="Bell_Curve",$NN$30*(293-$NR$30+1)*($NS$30-293+1)/$NU$30,$NN$30/$NT$30)),0)</f>
        <v/>
      </c>
      <c r="KL30" s="402">
        <f>IF(AND(294&gt;=$NR$30,294&lt;=$NS$30),IF($NP$30="Single_Point",IF(294=$NR$30,$NN$30,0),IF($NP$30="Bell_Curve",$NN$30*(294-$NR$30+1)*($NS$30-294+1)/$NU$30,$NN$30/$NT$30)),0)</f>
        <v/>
      </c>
      <c r="KM30" s="402">
        <f>IF(AND(295&gt;=$NR$30,295&lt;=$NS$30),IF($NP$30="Single_Point",IF(295=$NR$30,$NN$30,0),IF($NP$30="Bell_Curve",$NN$30*(295-$NR$30+1)*($NS$30-295+1)/$NU$30,$NN$30/$NT$30)),0)</f>
        <v/>
      </c>
      <c r="KN30" s="402">
        <f>IF(AND(296&gt;=$NR$30,296&lt;=$NS$30),IF($NP$30="Single_Point",IF(296=$NR$30,$NN$30,0),IF($NP$30="Bell_Curve",$NN$30*(296-$NR$30+1)*($NS$30-296+1)/$NU$30,$NN$30/$NT$30)),0)</f>
        <v/>
      </c>
      <c r="KO30" s="402">
        <f>IF(AND(297&gt;=$NR$30,297&lt;=$NS$30),IF($NP$30="Single_Point",IF(297=$NR$30,$NN$30,0),IF($NP$30="Bell_Curve",$NN$30*(297-$NR$30+1)*($NS$30-297+1)/$NU$30,$NN$30/$NT$30)),0)</f>
        <v/>
      </c>
      <c r="KP30" s="402">
        <f>IF(AND(298&gt;=$NR$30,298&lt;=$NS$30),IF($NP$30="Single_Point",IF(298=$NR$30,$NN$30,0),IF($NP$30="Bell_Curve",$NN$30*(298-$NR$30+1)*($NS$30-298+1)/$NU$30,$NN$30/$NT$30)),0)</f>
        <v/>
      </c>
      <c r="KQ30" s="402">
        <f>IF(AND(299&gt;=$NR$30,299&lt;=$NS$30),IF($NP$30="Single_Point",IF(299=$NR$30,$NN$30,0),IF($NP$30="Bell_Curve",$NN$30*(299-$NR$30+1)*($NS$30-299+1)/$NU$30,$NN$30/$NT$30)),0)</f>
        <v/>
      </c>
      <c r="KR30" s="402">
        <f>IF(AND(300&gt;=$NR$30,300&lt;=$NS$30),IF($NP$30="Single_Point",IF(300=$NR$30,$NN$30,0),IF($NP$30="Bell_Curve",$NN$30*(300-$NR$30+1)*($NS$30-300+1)/$NU$30,$NN$30/$NT$30)),0)</f>
        <v/>
      </c>
      <c r="KS30" s="402">
        <f>IF(AND(301&gt;=$NR$30,301&lt;=$NS$30),IF($NP$30="Single_Point",IF(301=$NR$30,$NN$30,0),IF($NP$30="Bell_Curve",$NN$30*(301-$NR$30+1)*($NS$30-301+1)/$NU$30,$NN$30/$NT$30)),0)</f>
        <v/>
      </c>
      <c r="KT30" s="402">
        <f>IF(AND(302&gt;=$NR$30,302&lt;=$NS$30),IF($NP$30="Single_Point",IF(302=$NR$30,$NN$30,0),IF($NP$30="Bell_Curve",$NN$30*(302-$NR$30+1)*($NS$30-302+1)/$NU$30,$NN$30/$NT$30)),0)</f>
        <v/>
      </c>
      <c r="KU30" s="402">
        <f>IF(AND(303&gt;=$NR$30,303&lt;=$NS$30),IF($NP$30="Single_Point",IF(303=$NR$30,$NN$30,0),IF($NP$30="Bell_Curve",$NN$30*(303-$NR$30+1)*($NS$30-303+1)/$NU$30,$NN$30/$NT$30)),0)</f>
        <v/>
      </c>
      <c r="KV30" s="402">
        <f>IF(AND(304&gt;=$NR$30,304&lt;=$NS$30),IF($NP$30="Single_Point",IF(304=$NR$30,$NN$30,0),IF($NP$30="Bell_Curve",$NN$30*(304-$NR$30+1)*($NS$30-304+1)/$NU$30,$NN$30/$NT$30)),0)</f>
        <v/>
      </c>
      <c r="KW30" s="402">
        <f>IF(AND(305&gt;=$NR$30,305&lt;=$NS$30),IF($NP$30="Single_Point",IF(305=$NR$30,$NN$30,0),IF($NP$30="Bell_Curve",$NN$30*(305-$NR$30+1)*($NS$30-305+1)/$NU$30,$NN$30/$NT$30)),0)</f>
        <v/>
      </c>
      <c r="KX30" s="402">
        <f>IF(AND(306&gt;=$NR$30,306&lt;=$NS$30),IF($NP$30="Single_Point",IF(306=$NR$30,$NN$30,0),IF($NP$30="Bell_Curve",$NN$30*(306-$NR$30+1)*($NS$30-306+1)/$NU$30,$NN$30/$NT$30)),0)</f>
        <v/>
      </c>
      <c r="KY30" s="402">
        <f>IF(AND(307&gt;=$NR$30,307&lt;=$NS$30),IF($NP$30="Single_Point",IF(307=$NR$30,$NN$30,0),IF($NP$30="Bell_Curve",$NN$30*(307-$NR$30+1)*($NS$30-307+1)/$NU$30,$NN$30/$NT$30)),0)</f>
        <v/>
      </c>
      <c r="KZ30" s="402">
        <f>IF(AND(308&gt;=$NR$30,308&lt;=$NS$30),IF($NP$30="Single_Point",IF(308=$NR$30,$NN$30,0),IF($NP$30="Bell_Curve",$NN$30*(308-$NR$30+1)*($NS$30-308+1)/$NU$30,$NN$30/$NT$30)),0)</f>
        <v/>
      </c>
      <c r="LA30" s="402">
        <f>IF(AND(309&gt;=$NR$30,309&lt;=$NS$30),IF($NP$30="Single_Point",IF(309=$NR$30,$NN$30,0),IF($NP$30="Bell_Curve",$NN$30*(309-$NR$30+1)*($NS$30-309+1)/$NU$30,$NN$30/$NT$30)),0)</f>
        <v/>
      </c>
      <c r="LB30" s="402">
        <f>IF(AND(310&gt;=$NR$30,310&lt;=$NS$30),IF($NP$30="Single_Point",IF(310=$NR$30,$NN$30,0),IF($NP$30="Bell_Curve",$NN$30*(310-$NR$30+1)*($NS$30-310+1)/$NU$30,$NN$30/$NT$30)),0)</f>
        <v/>
      </c>
      <c r="LC30" s="402">
        <f>IF(AND(311&gt;=$NR$30,311&lt;=$NS$30),IF($NP$30="Single_Point",IF(311=$NR$30,$NN$30,0),IF($NP$30="Bell_Curve",$NN$30*(311-$NR$30+1)*($NS$30-311+1)/$NU$30,$NN$30/$NT$30)),0)</f>
        <v/>
      </c>
      <c r="LD30" s="402">
        <f>IF(AND(312&gt;=$NR$30,312&lt;=$NS$30),IF($NP$30="Single_Point",IF(312=$NR$30,$NN$30,0),IF($NP$30="Bell_Curve",$NN$30*(312-$NR$30+1)*($NS$30-312+1)/$NU$30,$NN$30/$NT$30)),0)</f>
        <v/>
      </c>
      <c r="LE30" s="402">
        <f>IF(AND(313&gt;=$NR$30,313&lt;=$NS$30),IF($NP$30="Single_Point",IF(313=$NR$30,$NN$30,0),IF($NP$30="Bell_Curve",$NN$30*(313-$NR$30+1)*($NS$30-313+1)/$NU$30,$NN$30/$NT$30)),0)</f>
        <v/>
      </c>
      <c r="LF30" s="402">
        <f>IF(AND(314&gt;=$NR$30,314&lt;=$NS$30),IF($NP$30="Single_Point",IF(314=$NR$30,$NN$30,0),IF($NP$30="Bell_Curve",$NN$30*(314-$NR$30+1)*($NS$30-314+1)/$NU$30,$NN$30/$NT$30)),0)</f>
        <v/>
      </c>
      <c r="LG30" s="402">
        <f>IF(AND(315&gt;=$NR$30,315&lt;=$NS$30),IF($NP$30="Single_Point",IF(315=$NR$30,$NN$30,0),IF($NP$30="Bell_Curve",$NN$30*(315-$NR$30+1)*($NS$30-315+1)/$NU$30,$NN$30/$NT$30)),0)</f>
        <v/>
      </c>
      <c r="LH30" s="402">
        <f>IF(AND(316&gt;=$NR$30,316&lt;=$NS$30),IF($NP$30="Single_Point",IF(316=$NR$30,$NN$30,0),IF($NP$30="Bell_Curve",$NN$30*(316-$NR$30+1)*($NS$30-316+1)/$NU$30,$NN$30/$NT$30)),0)</f>
        <v/>
      </c>
      <c r="LI30" s="402">
        <f>IF(AND(317&gt;=$NR$30,317&lt;=$NS$30),IF($NP$30="Single_Point",IF(317=$NR$30,$NN$30,0),IF($NP$30="Bell_Curve",$NN$30*(317-$NR$30+1)*($NS$30-317+1)/$NU$30,$NN$30/$NT$30)),0)</f>
        <v/>
      </c>
      <c r="LJ30" s="402">
        <f>IF(AND(318&gt;=$NR$30,318&lt;=$NS$30),IF($NP$30="Single_Point",IF(318=$NR$30,$NN$30,0),IF($NP$30="Bell_Curve",$NN$30*(318-$NR$30+1)*($NS$30-318+1)/$NU$30,$NN$30/$NT$30)),0)</f>
        <v/>
      </c>
      <c r="LK30" s="402">
        <f>IF(AND(319&gt;=$NR$30,319&lt;=$NS$30),IF($NP$30="Single_Point",IF(319=$NR$30,$NN$30,0),IF($NP$30="Bell_Curve",$NN$30*(319-$NR$30+1)*($NS$30-319+1)/$NU$30,$NN$30/$NT$30)),0)</f>
        <v/>
      </c>
      <c r="LL30" s="402">
        <f>IF(AND(320&gt;=$NR$30,320&lt;=$NS$30),IF($NP$30="Single_Point",IF(320=$NR$30,$NN$30,0),IF($NP$30="Bell_Curve",$NN$30*(320-$NR$30+1)*($NS$30-320+1)/$NU$30,$NN$30/$NT$30)),0)</f>
        <v/>
      </c>
      <c r="LM30" s="402">
        <f>IF(AND(321&gt;=$NR$30,321&lt;=$NS$30),IF($NP$30="Single_Point",IF(321=$NR$30,$NN$30,0),IF($NP$30="Bell_Curve",$NN$30*(321-$NR$30+1)*($NS$30-321+1)/$NU$30,$NN$30/$NT$30)),0)</f>
        <v/>
      </c>
      <c r="LN30" s="402">
        <f>IF(AND(322&gt;=$NR$30,322&lt;=$NS$30),IF($NP$30="Single_Point",IF(322=$NR$30,$NN$30,0),IF($NP$30="Bell_Curve",$NN$30*(322-$NR$30+1)*($NS$30-322+1)/$NU$30,$NN$30/$NT$30)),0)</f>
        <v/>
      </c>
      <c r="LO30" s="402">
        <f>IF(AND(323&gt;=$NR$30,323&lt;=$NS$30),IF($NP$30="Single_Point",IF(323=$NR$30,$NN$30,0),IF($NP$30="Bell_Curve",$NN$30*(323-$NR$30+1)*($NS$30-323+1)/$NU$30,$NN$30/$NT$30)),0)</f>
        <v/>
      </c>
      <c r="LP30" s="402">
        <f>IF(AND(324&gt;=$NR$30,324&lt;=$NS$30),IF($NP$30="Single_Point",IF(324=$NR$30,$NN$30,0),IF($NP$30="Bell_Curve",$NN$30*(324-$NR$30+1)*($NS$30-324+1)/$NU$30,$NN$30/$NT$30)),0)</f>
        <v/>
      </c>
      <c r="LQ30" s="402">
        <f>IF(AND(325&gt;=$NR$30,325&lt;=$NS$30),IF($NP$30="Single_Point",IF(325=$NR$30,$NN$30,0),IF($NP$30="Bell_Curve",$NN$30*(325-$NR$30+1)*($NS$30-325+1)/$NU$30,$NN$30/$NT$30)),0)</f>
        <v/>
      </c>
      <c r="LR30" s="402">
        <f>IF(AND(326&gt;=$NR$30,326&lt;=$NS$30),IF($NP$30="Single_Point",IF(326=$NR$30,$NN$30,0),IF($NP$30="Bell_Curve",$NN$30*(326-$NR$30+1)*($NS$30-326+1)/$NU$30,$NN$30/$NT$30)),0)</f>
        <v/>
      </c>
      <c r="LS30" s="402">
        <f>IF(AND(327&gt;=$NR$30,327&lt;=$NS$30),IF($NP$30="Single_Point",IF(327=$NR$30,$NN$30,0),IF($NP$30="Bell_Curve",$NN$30*(327-$NR$30+1)*($NS$30-327+1)/$NU$30,$NN$30/$NT$30)),0)</f>
        <v/>
      </c>
      <c r="LT30" s="402">
        <f>IF(AND(328&gt;=$NR$30,328&lt;=$NS$30),IF($NP$30="Single_Point",IF(328=$NR$30,$NN$30,0),IF($NP$30="Bell_Curve",$NN$30*(328-$NR$30+1)*($NS$30-328+1)/$NU$30,$NN$30/$NT$30)),0)</f>
        <v/>
      </c>
      <c r="LU30" s="402">
        <f>IF(AND(329&gt;=$NR$30,329&lt;=$NS$30),IF($NP$30="Single_Point",IF(329=$NR$30,$NN$30,0),IF($NP$30="Bell_Curve",$NN$30*(329-$NR$30+1)*($NS$30-329+1)/$NU$30,$NN$30/$NT$30)),0)</f>
        <v/>
      </c>
      <c r="LV30" s="402">
        <f>IF(AND(330&gt;=$NR$30,330&lt;=$NS$30),IF($NP$30="Single_Point",IF(330=$NR$30,$NN$30,0),IF($NP$30="Bell_Curve",$NN$30*(330-$NR$30+1)*($NS$30-330+1)/$NU$30,$NN$30/$NT$30)),0)</f>
        <v/>
      </c>
      <c r="LW30" s="402">
        <f>IF(AND(331&gt;=$NR$30,331&lt;=$NS$30),IF($NP$30="Single_Point",IF(331=$NR$30,$NN$30,0),IF($NP$30="Bell_Curve",$NN$30*(331-$NR$30+1)*($NS$30-331+1)/$NU$30,$NN$30/$NT$30)),0)</f>
        <v/>
      </c>
      <c r="LX30" s="402">
        <f>IF(AND(332&gt;=$NR$30,332&lt;=$NS$30),IF($NP$30="Single_Point",IF(332=$NR$30,$NN$30,0),IF($NP$30="Bell_Curve",$NN$30*(332-$NR$30+1)*($NS$30-332+1)/$NU$30,$NN$30/$NT$30)),0)</f>
        <v/>
      </c>
      <c r="LY30" s="402">
        <f>IF(AND(333&gt;=$NR$30,333&lt;=$NS$30),IF($NP$30="Single_Point",IF(333=$NR$30,$NN$30,0),IF($NP$30="Bell_Curve",$NN$30*(333-$NR$30+1)*($NS$30-333+1)/$NU$30,$NN$30/$NT$30)),0)</f>
        <v/>
      </c>
      <c r="LZ30" s="402">
        <f>IF(AND(334&gt;=$NR$30,334&lt;=$NS$30),IF($NP$30="Single_Point",IF(334=$NR$30,$NN$30,0),IF($NP$30="Bell_Curve",$NN$30*(334-$NR$30+1)*($NS$30-334+1)/$NU$30,$NN$30/$NT$30)),0)</f>
        <v/>
      </c>
      <c r="MA30" s="402">
        <f>IF(AND(335&gt;=$NR$30,335&lt;=$NS$30),IF($NP$30="Single_Point",IF(335=$NR$30,$NN$30,0),IF($NP$30="Bell_Curve",$NN$30*(335-$NR$30+1)*($NS$30-335+1)/$NU$30,$NN$30/$NT$30)),0)</f>
        <v/>
      </c>
      <c r="MB30" s="402">
        <f>IF(AND(336&gt;=$NR$30,336&lt;=$NS$30),IF($NP$30="Single_Point",IF(336=$NR$30,$NN$30,0),IF($NP$30="Bell_Curve",$NN$30*(336-$NR$30+1)*($NS$30-336+1)/$NU$30,$NN$30/$NT$30)),0)</f>
        <v/>
      </c>
      <c r="MC30" s="402">
        <f>IF(AND(337&gt;=$NR$30,337&lt;=$NS$30),IF($NP$30="Single_Point",IF(337=$NR$30,$NN$30,0),IF($NP$30="Bell_Curve",$NN$30*(337-$NR$30+1)*($NS$30-337+1)/$NU$30,$NN$30/$NT$30)),0)</f>
        <v/>
      </c>
      <c r="MD30" s="402">
        <f>IF(AND(338&gt;=$NR$30,338&lt;=$NS$30),IF($NP$30="Single_Point",IF(338=$NR$30,$NN$30,0),IF($NP$30="Bell_Curve",$NN$30*(338-$NR$30+1)*($NS$30-338+1)/$NU$30,$NN$30/$NT$30)),0)</f>
        <v/>
      </c>
      <c r="ME30" s="402">
        <f>IF(AND(339&gt;=$NR$30,339&lt;=$NS$30),IF($NP$30="Single_Point",IF(339=$NR$30,$NN$30,0),IF($NP$30="Bell_Curve",$NN$30*(339-$NR$30+1)*($NS$30-339+1)/$NU$30,$NN$30/$NT$30)),0)</f>
        <v/>
      </c>
      <c r="MF30" s="402">
        <f>IF(AND(340&gt;=$NR$30,340&lt;=$NS$30),IF($NP$30="Single_Point",IF(340=$NR$30,$NN$30,0),IF($NP$30="Bell_Curve",$NN$30*(340-$NR$30+1)*($NS$30-340+1)/$NU$30,$NN$30/$NT$30)),0)</f>
        <v/>
      </c>
      <c r="MG30" s="402">
        <f>IF(AND(341&gt;=$NR$30,341&lt;=$NS$30),IF($NP$30="Single_Point",IF(341=$NR$30,$NN$30,0),IF($NP$30="Bell_Curve",$NN$30*(341-$NR$30+1)*($NS$30-341+1)/$NU$30,$NN$30/$NT$30)),0)</f>
        <v/>
      </c>
      <c r="MH30" s="402">
        <f>IF(AND(342&gt;=$NR$30,342&lt;=$NS$30),IF($NP$30="Single_Point",IF(342=$NR$30,$NN$30,0),IF($NP$30="Bell_Curve",$NN$30*(342-$NR$30+1)*($NS$30-342+1)/$NU$30,$NN$30/$NT$30)),0)</f>
        <v/>
      </c>
      <c r="MI30" s="402">
        <f>IF(AND(343&gt;=$NR$30,343&lt;=$NS$30),IF($NP$30="Single_Point",IF(343=$NR$30,$NN$30,0),IF($NP$30="Bell_Curve",$NN$30*(343-$NR$30+1)*($NS$30-343+1)/$NU$30,$NN$30/$NT$30)),0)</f>
        <v/>
      </c>
      <c r="MJ30" s="402">
        <f>IF(AND(344&gt;=$NR$30,344&lt;=$NS$30),IF($NP$30="Single_Point",IF(344=$NR$30,$NN$30,0),IF($NP$30="Bell_Curve",$NN$30*(344-$NR$30+1)*($NS$30-344+1)/$NU$30,$NN$30/$NT$30)),0)</f>
        <v/>
      </c>
      <c r="MK30" s="402">
        <f>IF(AND(345&gt;=$NR$30,345&lt;=$NS$30),IF($NP$30="Single_Point",IF(345=$NR$30,$NN$30,0),IF($NP$30="Bell_Curve",$NN$30*(345-$NR$30+1)*($NS$30-345+1)/$NU$30,$NN$30/$NT$30)),0)</f>
        <v/>
      </c>
      <c r="ML30" s="402">
        <f>IF(AND(346&gt;=$NR$30,346&lt;=$NS$30),IF($NP$30="Single_Point",IF(346=$NR$30,$NN$30,0),IF($NP$30="Bell_Curve",$NN$30*(346-$NR$30+1)*($NS$30-346+1)/$NU$30,$NN$30/$NT$30)),0)</f>
        <v/>
      </c>
      <c r="MM30" s="402">
        <f>IF(AND(347&gt;=$NR$30,347&lt;=$NS$30),IF($NP$30="Single_Point",IF(347=$NR$30,$NN$30,0),IF($NP$30="Bell_Curve",$NN$30*(347-$NR$30+1)*($NS$30-347+1)/$NU$30,$NN$30/$NT$30)),0)</f>
        <v/>
      </c>
      <c r="MN30" s="402">
        <f>IF(AND(348&gt;=$NR$30,348&lt;=$NS$30),IF($NP$30="Single_Point",IF(348=$NR$30,$NN$30,0),IF($NP$30="Bell_Curve",$NN$30*(348-$NR$30+1)*($NS$30-348+1)/$NU$30,$NN$30/$NT$30)),0)</f>
        <v/>
      </c>
      <c r="MO30" s="402">
        <f>IF(AND(349&gt;=$NR$30,349&lt;=$NS$30),IF($NP$30="Single_Point",IF(349=$NR$30,$NN$30,0),IF($NP$30="Bell_Curve",$NN$30*(349-$NR$30+1)*($NS$30-349+1)/$NU$30,$NN$30/$NT$30)),0)</f>
        <v/>
      </c>
      <c r="MP30" s="402">
        <f>IF(AND(350&gt;=$NR$30,350&lt;=$NS$30),IF($NP$30="Single_Point",IF(350=$NR$30,$NN$30,0),IF($NP$30="Bell_Curve",$NN$30*(350-$NR$30+1)*($NS$30-350+1)/$NU$30,$NN$30/$NT$30)),0)</f>
        <v/>
      </c>
      <c r="MQ30" s="402">
        <f>IF(AND(351&gt;=$NR$30,351&lt;=$NS$30),IF($NP$30="Single_Point",IF(351=$NR$30,$NN$30,0),IF($NP$30="Bell_Curve",$NN$30*(351-$NR$30+1)*($NS$30-351+1)/$NU$30,$NN$30/$NT$30)),0)</f>
        <v/>
      </c>
      <c r="MR30" s="402">
        <f>IF(AND(352&gt;=$NR$30,352&lt;=$NS$30),IF($NP$30="Single_Point",IF(352=$NR$30,$NN$30,0),IF($NP$30="Bell_Curve",$NN$30*(352-$NR$30+1)*($NS$30-352+1)/$NU$30,$NN$30/$NT$30)),0)</f>
        <v/>
      </c>
      <c r="MS30" s="402">
        <f>IF(AND(353&gt;=$NR$30,353&lt;=$NS$30),IF($NP$30="Single_Point",IF(353=$NR$30,$NN$30,0),IF($NP$30="Bell_Curve",$NN$30*(353-$NR$30+1)*($NS$30-353+1)/$NU$30,$NN$30/$NT$30)),0)</f>
        <v/>
      </c>
      <c r="MT30" s="402">
        <f>IF(AND(354&gt;=$NR$30,354&lt;=$NS$30),IF($NP$30="Single_Point",IF(354=$NR$30,$NN$30,0),IF($NP$30="Bell_Curve",$NN$30*(354-$NR$30+1)*($NS$30-354+1)/$NU$30,$NN$30/$NT$30)),0)</f>
        <v/>
      </c>
      <c r="MU30" s="402">
        <f>IF(AND(355&gt;=$NR$30,355&lt;=$NS$30),IF($NP$30="Single_Point",IF(355=$NR$30,$NN$30,0),IF($NP$30="Bell_Curve",$NN$30*(355-$NR$30+1)*($NS$30-355+1)/$NU$30,$NN$30/$NT$30)),0)</f>
        <v/>
      </c>
      <c r="MV30" s="402">
        <f>IF(AND(356&gt;=$NR$30,356&lt;=$NS$30),IF($NP$30="Single_Point",IF(356=$NR$30,$NN$30,0),IF($NP$30="Bell_Curve",$NN$30*(356-$NR$30+1)*($NS$30-356+1)/$NU$30,$NN$30/$NT$30)),0)</f>
        <v/>
      </c>
      <c r="MW30" s="402">
        <f>IF(AND(357&gt;=$NR$30,357&lt;=$NS$30),IF($NP$30="Single_Point",IF(357=$NR$30,$NN$30,0),IF($NP$30="Bell_Curve",$NN$30*(357-$NR$30+1)*($NS$30-357+1)/$NU$30,$NN$30/$NT$30)),0)</f>
        <v/>
      </c>
      <c r="MX30" s="402">
        <f>IF(AND(358&gt;=$NR$30,358&lt;=$NS$30),IF($NP$30="Single_Point",IF(358=$NR$30,$NN$30,0),IF($NP$30="Bell_Curve",$NN$30*(358-$NR$30+1)*($NS$30-358+1)/$NU$30,$NN$30/$NT$30)),0)</f>
        <v/>
      </c>
      <c r="MY30" s="402">
        <f>IF(AND(359&gt;=$NR$30,359&lt;=$NS$30),IF($NP$30="Single_Point",IF(359=$NR$30,$NN$30,0),IF($NP$30="Bell_Curve",$NN$30*(359-$NR$30+1)*($NS$30-359+1)/$NU$30,$NN$30/$NT$30)),0)</f>
        <v/>
      </c>
      <c r="MZ30" s="402">
        <f>IF(AND(360&gt;=$NR$30,360&lt;=$NS$30),IF($NP$30="Single_Point",IF(360=$NR$30,$NN$30,0),IF($NP$30="Bell_Curve",$NN$30*(360-$NR$30+1)*($NS$30-360+1)/$NU$30,$NN$30/$NT$30)),0)</f>
        <v/>
      </c>
      <c r="NA30" s="402">
        <f>IF(AND(361&gt;=$NR$30,361&lt;=$NS$30),IF($NP$30="Single_Point",IF(361=$NR$30,$NN$30,0),IF($NP$30="Bell_Curve",$NN$30*(361-$NR$30+1)*($NS$30-361+1)/$NU$30,$NN$30/$NT$30)),0)</f>
        <v/>
      </c>
      <c r="NB30" s="402">
        <f>IF(AND(362&gt;=$NR$30,362&lt;=$NS$30),IF($NP$30="Single_Point",IF(362=$NR$30,$NN$30,0),IF($NP$30="Bell_Curve",$NN$30*(362-$NR$30+1)*($NS$30-362+1)/$NU$30,$NN$30/$NT$30)),0)</f>
        <v/>
      </c>
      <c r="NC30" s="402">
        <f>IF(AND(363&gt;=$NR$30,363&lt;=$NS$30),IF($NP$30="Single_Point",IF(363=$NR$30,$NN$30,0),IF($NP$30="Bell_Curve",$NN$30*(363-$NR$30+1)*($NS$30-363+1)/$NU$30,$NN$30/$NT$30)),0)</f>
        <v/>
      </c>
      <c r="ND30" s="402">
        <f>IF(AND(364&gt;=$NR$30,364&lt;=$NS$30),IF($NP$30="Single_Point",IF(364=$NR$30,$NN$30,0),IF($NP$30="Bell_Curve",$NN$30*(364-$NR$30+1)*($NS$30-364+1)/$NU$30,$NN$30/$NT$30)),0)</f>
        <v/>
      </c>
      <c r="NE30" s="402">
        <f>IF(AND(365&gt;=$NR$30,365&lt;=$NS$30),IF($NP$30="Single_Point",IF(365=$NR$30,$NN$30,0),IF($NP$30="Bell_Curve",$NN$30*(365-$NR$30+1)*($NS$30-365+1)/$NU$30,$NN$30/$NT$30)),0)</f>
        <v/>
      </c>
      <c r="NF30" s="402">
        <f>IF(AND(366&gt;=$NR$30,366&lt;=$NS$30),IF($NP$30="Single_Point",IF(366=$NR$30,$NN$30,0),IF($NP$30="Bell_Curve",$NN$30*(366-$NR$30+1)*($NS$30-366+1)/$NU$30,$NN$30/$NT$30)),0)</f>
        <v/>
      </c>
      <c r="NG30" s="402">
        <f>IF(AND(367&gt;=$NR$30,367&lt;=$NS$30),IF($NP$30="Single_Point",IF(367=$NR$30,$NN$30,0),IF($NP$30="Bell_Curve",$NN$30*(367-$NR$30+1)*($NS$30-367+1)/$NU$30,$NN$30/$NT$30)),0)</f>
        <v/>
      </c>
      <c r="NH30" s="402">
        <f>IF(AND(368&gt;=$NR$30,368&lt;=$NS$30),IF($NP$30="Single_Point",IF(368=$NR$30,$NN$30,0),IF($NP$30="Bell_Curve",$NN$30*(368-$NR$30+1)*($NS$30-368+1)/$NU$30,$NN$30/$NT$30)),0)</f>
        <v/>
      </c>
      <c r="NI30" s="402">
        <f>IF(AND(369&gt;=$NR$30,369&lt;=$NS$30),IF($NP$30="Single_Point",IF(369=$NR$30,$NN$30,0),IF($NP$30="Bell_Curve",$NN$30*(369-$NR$30+1)*($NS$30-369+1)/$NU$30,$NN$30/$NT$30)),0)</f>
        <v/>
      </c>
      <c r="NJ30" s="402">
        <f>IF(AND(370&gt;=$NR$30,370&lt;=$NS$30),IF($NP$30="Single_Point",IF(370=$NR$30,$NN$30,0),IF($NP$30="Bell_Curve",$NN$30*(370-$NR$30+1)*($NS$30-370+1)/$NU$30,$NN$30/$NT$30)),0)</f>
        <v/>
      </c>
      <c r="NK30" s="402">
        <f>IF(AND(371&gt;=$NR$30,371&lt;=$NS$30),IF($NP$30="Single_Point",IF(371=$NR$30,$NN$30,0),IF($NP$30="Bell_Curve",$NN$30*(371-$NR$30+1)*($NS$30-371+1)/$NU$30,$NN$30/$NT$30)),0)</f>
        <v/>
      </c>
      <c r="NL30" s="426">
        <f>IF(AND(372&gt;=$NR$30,372&lt;=$NS$30),IF($NP$30="Single_Point",IF(372=$NR$30,$NN$30,0),IF($NP$30="Bell_Curve",$NN$30*(372-$NR$30+1)*($NS$30-372+1)/$NU$30,$NN$30/$NT$30)),0)</f>
        <v/>
      </c>
      <c r="NM30">
        <f>Budget!C29</f>
        <v/>
      </c>
      <c r="NN30" s="218">
        <f>Budget!J29</f>
        <v/>
      </c>
      <c r="NO30" s="144">
        <f>Budget!G29</f>
        <v/>
      </c>
      <c r="NP30" s="144">
        <f>Budget!H29</f>
        <v/>
      </c>
      <c r="NQ30" s="85">
        <f>Budget!I29</f>
        <v/>
      </c>
      <c r="NR30" s="248">
        <f>MAX(1,MIN(372,INDEX(MilestoneStart,MATCH(NO30,MilestoneNames,0))+NQ30))</f>
        <v/>
      </c>
      <c r="NS30" s="248">
        <f>MAX(NR30,MIN(372,INDEX(MilestoneEnd,MATCH(NO30,MilestoneNames,0))+NQ30))</f>
        <v/>
      </c>
      <c r="NT30" s="85">
        <f>NS30-NR30+1</f>
        <v/>
      </c>
      <c r="NU30" s="85">
        <f>NT30*(NT30+1)*(NT30+2)/6</f>
        <v/>
      </c>
    </row>
    <row r="31">
      <c r="B31" s="296">
        <f>Budget!B30</f>
        <v/>
      </c>
      <c r="D31" s="425">
        <f>SUM(E31:NL31)</f>
        <v/>
      </c>
      <c r="E31" s="402">
        <f>IF(AND(1&gt;=$NR$31,1&lt;=$NS$31),IF($NP$31="Single_Point",IF(1=$NR$31,$NN$31,0),IF($NP$31="Bell_Curve",$NN$31*(1-$NR$31+1)*($NS$31-1+1)/$NU$31,$NN$31/$NT$31)),0)</f>
        <v/>
      </c>
      <c r="F31" s="402">
        <f>IF(AND(2&gt;=$NR$31,2&lt;=$NS$31),IF($NP$31="Single_Point",IF(2=$NR$31,$NN$31,0),IF($NP$31="Bell_Curve",$NN$31*(2-$NR$31+1)*($NS$31-2+1)/$NU$31,$NN$31/$NT$31)),0)</f>
        <v/>
      </c>
      <c r="G31" s="402">
        <f>IF(AND(3&gt;=$NR$31,3&lt;=$NS$31),IF($NP$31="Single_Point",IF(3=$NR$31,$NN$31,0),IF($NP$31="Bell_Curve",$NN$31*(3-$NR$31+1)*($NS$31-3+1)/$NU$31,$NN$31/$NT$31)),0)</f>
        <v/>
      </c>
      <c r="H31" s="402">
        <f>IF(AND(4&gt;=$NR$31,4&lt;=$NS$31),IF($NP$31="Single_Point",IF(4=$NR$31,$NN$31,0),IF($NP$31="Bell_Curve",$NN$31*(4-$NR$31+1)*($NS$31-4+1)/$NU$31,$NN$31/$NT$31)),0)</f>
        <v/>
      </c>
      <c r="I31" s="402">
        <f>IF(AND(5&gt;=$NR$31,5&lt;=$NS$31),IF($NP$31="Single_Point",IF(5=$NR$31,$NN$31,0),IF($NP$31="Bell_Curve",$NN$31*(5-$NR$31+1)*($NS$31-5+1)/$NU$31,$NN$31/$NT$31)),0)</f>
        <v/>
      </c>
      <c r="J31" s="402">
        <f>IF(AND(6&gt;=$NR$31,6&lt;=$NS$31),IF($NP$31="Single_Point",IF(6=$NR$31,$NN$31,0),IF($NP$31="Bell_Curve",$NN$31*(6-$NR$31+1)*($NS$31-6+1)/$NU$31,$NN$31/$NT$31)),0)</f>
        <v/>
      </c>
      <c r="K31" s="402">
        <f>IF(AND(7&gt;=$NR$31,7&lt;=$NS$31),IF($NP$31="Single_Point",IF(7=$NR$31,$NN$31,0),IF($NP$31="Bell_Curve",$NN$31*(7-$NR$31+1)*($NS$31-7+1)/$NU$31,$NN$31/$NT$31)),0)</f>
        <v/>
      </c>
      <c r="L31" s="402">
        <f>IF(AND(8&gt;=$NR$31,8&lt;=$NS$31),IF($NP$31="Single_Point",IF(8=$NR$31,$NN$31,0),IF($NP$31="Bell_Curve",$NN$31*(8-$NR$31+1)*($NS$31-8+1)/$NU$31,$NN$31/$NT$31)),0)</f>
        <v/>
      </c>
      <c r="M31" s="402">
        <f>IF(AND(9&gt;=$NR$31,9&lt;=$NS$31),IF($NP$31="Single_Point",IF(9=$NR$31,$NN$31,0),IF($NP$31="Bell_Curve",$NN$31*(9-$NR$31+1)*($NS$31-9+1)/$NU$31,$NN$31/$NT$31)),0)</f>
        <v/>
      </c>
      <c r="N31" s="402">
        <f>IF(AND(10&gt;=$NR$31,10&lt;=$NS$31),IF($NP$31="Single_Point",IF(10=$NR$31,$NN$31,0),IF($NP$31="Bell_Curve",$NN$31*(10-$NR$31+1)*($NS$31-10+1)/$NU$31,$NN$31/$NT$31)),0)</f>
        <v/>
      </c>
      <c r="O31" s="402">
        <f>IF(AND(11&gt;=$NR$31,11&lt;=$NS$31),IF($NP$31="Single_Point",IF(11=$NR$31,$NN$31,0),IF($NP$31="Bell_Curve",$NN$31*(11-$NR$31+1)*($NS$31-11+1)/$NU$31,$NN$31/$NT$31)),0)</f>
        <v/>
      </c>
      <c r="P31" s="402">
        <f>IF(AND(12&gt;=$NR$31,12&lt;=$NS$31),IF($NP$31="Single_Point",IF(12=$NR$31,$NN$31,0),IF($NP$31="Bell_Curve",$NN$31*(12-$NR$31+1)*($NS$31-12+1)/$NU$31,$NN$31/$NT$31)),0)</f>
        <v/>
      </c>
      <c r="Q31" s="402">
        <f>IF(AND(13&gt;=$NR$31,13&lt;=$NS$31),IF($NP$31="Single_Point",IF(13=$NR$31,$NN$31,0),IF($NP$31="Bell_Curve",$NN$31*(13-$NR$31+1)*($NS$31-13+1)/$NU$31,$NN$31/$NT$31)),0)</f>
        <v/>
      </c>
      <c r="R31" s="402">
        <f>IF(AND(14&gt;=$NR$31,14&lt;=$NS$31),IF($NP$31="Single_Point",IF(14=$NR$31,$NN$31,0),IF($NP$31="Bell_Curve",$NN$31*(14-$NR$31+1)*($NS$31-14+1)/$NU$31,$NN$31/$NT$31)),0)</f>
        <v/>
      </c>
      <c r="S31" s="402">
        <f>IF(AND(15&gt;=$NR$31,15&lt;=$NS$31),IF($NP$31="Single_Point",IF(15=$NR$31,$NN$31,0),IF($NP$31="Bell_Curve",$NN$31*(15-$NR$31+1)*($NS$31-15+1)/$NU$31,$NN$31/$NT$31)),0)</f>
        <v/>
      </c>
      <c r="T31" s="402">
        <f>IF(AND(16&gt;=$NR$31,16&lt;=$NS$31),IF($NP$31="Single_Point",IF(16=$NR$31,$NN$31,0),IF($NP$31="Bell_Curve",$NN$31*(16-$NR$31+1)*($NS$31-16+1)/$NU$31,$NN$31/$NT$31)),0)</f>
        <v/>
      </c>
      <c r="U31" s="402">
        <f>IF(AND(17&gt;=$NR$31,17&lt;=$NS$31),IF($NP$31="Single_Point",IF(17=$NR$31,$NN$31,0),IF($NP$31="Bell_Curve",$NN$31*(17-$NR$31+1)*($NS$31-17+1)/$NU$31,$NN$31/$NT$31)),0)</f>
        <v/>
      </c>
      <c r="V31" s="402">
        <f>IF(AND(18&gt;=$NR$31,18&lt;=$NS$31),IF($NP$31="Single_Point",IF(18=$NR$31,$NN$31,0),IF($NP$31="Bell_Curve",$NN$31*(18-$NR$31+1)*($NS$31-18+1)/$NU$31,$NN$31/$NT$31)),0)</f>
        <v/>
      </c>
      <c r="W31" s="402">
        <f>IF(AND(19&gt;=$NR$31,19&lt;=$NS$31),IF($NP$31="Single_Point",IF(19=$NR$31,$NN$31,0),IF($NP$31="Bell_Curve",$NN$31*(19-$NR$31+1)*($NS$31-19+1)/$NU$31,$NN$31/$NT$31)),0)</f>
        <v/>
      </c>
      <c r="X31" s="402">
        <f>IF(AND(20&gt;=$NR$31,20&lt;=$NS$31),IF($NP$31="Single_Point",IF(20=$NR$31,$NN$31,0),IF($NP$31="Bell_Curve",$NN$31*(20-$NR$31+1)*($NS$31-20+1)/$NU$31,$NN$31/$NT$31)),0)</f>
        <v/>
      </c>
      <c r="Y31" s="402">
        <f>IF(AND(21&gt;=$NR$31,21&lt;=$NS$31),IF($NP$31="Single_Point",IF(21=$NR$31,$NN$31,0),IF($NP$31="Bell_Curve",$NN$31*(21-$NR$31+1)*($NS$31-21+1)/$NU$31,$NN$31/$NT$31)),0)</f>
        <v/>
      </c>
      <c r="Z31" s="402">
        <f>IF(AND(22&gt;=$NR$31,22&lt;=$NS$31),IF($NP$31="Single_Point",IF(22=$NR$31,$NN$31,0),IF($NP$31="Bell_Curve",$NN$31*(22-$NR$31+1)*($NS$31-22+1)/$NU$31,$NN$31/$NT$31)),0)</f>
        <v/>
      </c>
      <c r="AA31" s="402">
        <f>IF(AND(23&gt;=$NR$31,23&lt;=$NS$31),IF($NP$31="Single_Point",IF(23=$NR$31,$NN$31,0),IF($NP$31="Bell_Curve",$NN$31*(23-$NR$31+1)*($NS$31-23+1)/$NU$31,$NN$31/$NT$31)),0)</f>
        <v/>
      </c>
      <c r="AB31" s="402">
        <f>IF(AND(24&gt;=$NR$31,24&lt;=$NS$31),IF($NP$31="Single_Point",IF(24=$NR$31,$NN$31,0),IF($NP$31="Bell_Curve",$NN$31*(24-$NR$31+1)*($NS$31-24+1)/$NU$31,$NN$31/$NT$31)),0)</f>
        <v/>
      </c>
      <c r="AC31" s="402">
        <f>IF(AND(25&gt;=$NR$31,25&lt;=$NS$31),IF($NP$31="Single_Point",IF(25=$NR$31,$NN$31,0),IF($NP$31="Bell_Curve",$NN$31*(25-$NR$31+1)*($NS$31-25+1)/$NU$31,$NN$31/$NT$31)),0)</f>
        <v/>
      </c>
      <c r="AD31" s="402">
        <f>IF(AND(26&gt;=$NR$31,26&lt;=$NS$31),IF($NP$31="Single_Point",IF(26=$NR$31,$NN$31,0),IF($NP$31="Bell_Curve",$NN$31*(26-$NR$31+1)*($NS$31-26+1)/$NU$31,$NN$31/$NT$31)),0)</f>
        <v/>
      </c>
      <c r="AE31" s="402">
        <f>IF(AND(27&gt;=$NR$31,27&lt;=$NS$31),IF($NP$31="Single_Point",IF(27=$NR$31,$NN$31,0),IF($NP$31="Bell_Curve",$NN$31*(27-$NR$31+1)*($NS$31-27+1)/$NU$31,$NN$31/$NT$31)),0)</f>
        <v/>
      </c>
      <c r="AF31" s="402">
        <f>IF(AND(28&gt;=$NR$31,28&lt;=$NS$31),IF($NP$31="Single_Point",IF(28=$NR$31,$NN$31,0),IF($NP$31="Bell_Curve",$NN$31*(28-$NR$31+1)*($NS$31-28+1)/$NU$31,$NN$31/$NT$31)),0)</f>
        <v/>
      </c>
      <c r="AG31" s="402">
        <f>IF(AND(29&gt;=$NR$31,29&lt;=$NS$31),IF($NP$31="Single_Point",IF(29=$NR$31,$NN$31,0),IF($NP$31="Bell_Curve",$NN$31*(29-$NR$31+1)*($NS$31-29+1)/$NU$31,$NN$31/$NT$31)),0)</f>
        <v/>
      </c>
      <c r="AH31" s="402">
        <f>IF(AND(30&gt;=$NR$31,30&lt;=$NS$31),IF($NP$31="Single_Point",IF(30=$NR$31,$NN$31,0),IF($NP$31="Bell_Curve",$NN$31*(30-$NR$31+1)*($NS$31-30+1)/$NU$31,$NN$31/$NT$31)),0)</f>
        <v/>
      </c>
      <c r="AI31" s="402">
        <f>IF(AND(31&gt;=$NR$31,31&lt;=$NS$31),IF($NP$31="Single_Point",IF(31=$NR$31,$NN$31,0),IF($NP$31="Bell_Curve",$NN$31*(31-$NR$31+1)*($NS$31-31+1)/$NU$31,$NN$31/$NT$31)),0)</f>
        <v/>
      </c>
      <c r="AJ31" s="402">
        <f>IF(AND(32&gt;=$NR$31,32&lt;=$NS$31),IF($NP$31="Single_Point",IF(32=$NR$31,$NN$31,0),IF($NP$31="Bell_Curve",$NN$31*(32-$NR$31+1)*($NS$31-32+1)/$NU$31,$NN$31/$NT$31)),0)</f>
        <v/>
      </c>
      <c r="AK31" s="402">
        <f>IF(AND(33&gt;=$NR$31,33&lt;=$NS$31),IF($NP$31="Single_Point",IF(33=$NR$31,$NN$31,0),IF($NP$31="Bell_Curve",$NN$31*(33-$NR$31+1)*($NS$31-33+1)/$NU$31,$NN$31/$NT$31)),0)</f>
        <v/>
      </c>
      <c r="AL31" s="402">
        <f>IF(AND(34&gt;=$NR$31,34&lt;=$NS$31),IF($NP$31="Single_Point",IF(34=$NR$31,$NN$31,0),IF($NP$31="Bell_Curve",$NN$31*(34-$NR$31+1)*($NS$31-34+1)/$NU$31,$NN$31/$NT$31)),0)</f>
        <v/>
      </c>
      <c r="AM31" s="402">
        <f>IF(AND(35&gt;=$NR$31,35&lt;=$NS$31),IF($NP$31="Single_Point",IF(35=$NR$31,$NN$31,0),IF($NP$31="Bell_Curve",$NN$31*(35-$NR$31+1)*($NS$31-35+1)/$NU$31,$NN$31/$NT$31)),0)</f>
        <v/>
      </c>
      <c r="AN31" s="402">
        <f>IF(AND(36&gt;=$NR$31,36&lt;=$NS$31),IF($NP$31="Single_Point",IF(36=$NR$31,$NN$31,0),IF($NP$31="Bell_Curve",$NN$31*(36-$NR$31+1)*($NS$31-36+1)/$NU$31,$NN$31/$NT$31)),0)</f>
        <v/>
      </c>
      <c r="AO31" s="402">
        <f>IF(AND(37&gt;=$NR$31,37&lt;=$NS$31),IF($NP$31="Single_Point",IF(37=$NR$31,$NN$31,0),IF($NP$31="Bell_Curve",$NN$31*(37-$NR$31+1)*($NS$31-37+1)/$NU$31,$NN$31/$NT$31)),0)</f>
        <v/>
      </c>
      <c r="AP31" s="402">
        <f>IF(AND(38&gt;=$NR$31,38&lt;=$NS$31),IF($NP$31="Single_Point",IF(38=$NR$31,$NN$31,0),IF($NP$31="Bell_Curve",$NN$31*(38-$NR$31+1)*($NS$31-38+1)/$NU$31,$NN$31/$NT$31)),0)</f>
        <v/>
      </c>
      <c r="AQ31" s="402">
        <f>IF(AND(39&gt;=$NR$31,39&lt;=$NS$31),IF($NP$31="Single_Point",IF(39=$NR$31,$NN$31,0),IF($NP$31="Bell_Curve",$NN$31*(39-$NR$31+1)*($NS$31-39+1)/$NU$31,$NN$31/$NT$31)),0)</f>
        <v/>
      </c>
      <c r="AR31" s="402">
        <f>IF(AND(40&gt;=$NR$31,40&lt;=$NS$31),IF($NP$31="Single_Point",IF(40=$NR$31,$NN$31,0),IF($NP$31="Bell_Curve",$NN$31*(40-$NR$31+1)*($NS$31-40+1)/$NU$31,$NN$31/$NT$31)),0)</f>
        <v/>
      </c>
      <c r="AS31" s="402">
        <f>IF(AND(41&gt;=$NR$31,41&lt;=$NS$31),IF($NP$31="Single_Point",IF(41=$NR$31,$NN$31,0),IF($NP$31="Bell_Curve",$NN$31*(41-$NR$31+1)*($NS$31-41+1)/$NU$31,$NN$31/$NT$31)),0)</f>
        <v/>
      </c>
      <c r="AT31" s="402">
        <f>IF(AND(42&gt;=$NR$31,42&lt;=$NS$31),IF($NP$31="Single_Point",IF(42=$NR$31,$NN$31,0),IF($NP$31="Bell_Curve",$NN$31*(42-$NR$31+1)*($NS$31-42+1)/$NU$31,$NN$31/$NT$31)),0)</f>
        <v/>
      </c>
      <c r="AU31" s="402">
        <f>IF(AND(43&gt;=$NR$31,43&lt;=$NS$31),IF($NP$31="Single_Point",IF(43=$NR$31,$NN$31,0),IF($NP$31="Bell_Curve",$NN$31*(43-$NR$31+1)*($NS$31-43+1)/$NU$31,$NN$31/$NT$31)),0)</f>
        <v/>
      </c>
      <c r="AV31" s="402">
        <f>IF(AND(44&gt;=$NR$31,44&lt;=$NS$31),IF($NP$31="Single_Point",IF(44=$NR$31,$NN$31,0),IF($NP$31="Bell_Curve",$NN$31*(44-$NR$31+1)*($NS$31-44+1)/$NU$31,$NN$31/$NT$31)),0)</f>
        <v/>
      </c>
      <c r="AW31" s="402">
        <f>IF(AND(45&gt;=$NR$31,45&lt;=$NS$31),IF($NP$31="Single_Point",IF(45=$NR$31,$NN$31,0),IF($NP$31="Bell_Curve",$NN$31*(45-$NR$31+1)*($NS$31-45+1)/$NU$31,$NN$31/$NT$31)),0)</f>
        <v/>
      </c>
      <c r="AX31" s="402">
        <f>IF(AND(46&gt;=$NR$31,46&lt;=$NS$31),IF($NP$31="Single_Point",IF(46=$NR$31,$NN$31,0),IF($NP$31="Bell_Curve",$NN$31*(46-$NR$31+1)*($NS$31-46+1)/$NU$31,$NN$31/$NT$31)),0)</f>
        <v/>
      </c>
      <c r="AY31" s="402">
        <f>IF(AND(47&gt;=$NR$31,47&lt;=$NS$31),IF($NP$31="Single_Point",IF(47=$NR$31,$NN$31,0),IF($NP$31="Bell_Curve",$NN$31*(47-$NR$31+1)*($NS$31-47+1)/$NU$31,$NN$31/$NT$31)),0)</f>
        <v/>
      </c>
      <c r="AZ31" s="402">
        <f>IF(AND(48&gt;=$NR$31,48&lt;=$NS$31),IF($NP$31="Single_Point",IF(48=$NR$31,$NN$31,0),IF($NP$31="Bell_Curve",$NN$31*(48-$NR$31+1)*($NS$31-48+1)/$NU$31,$NN$31/$NT$31)),0)</f>
        <v/>
      </c>
      <c r="BA31" s="402">
        <f>IF(AND(49&gt;=$NR$31,49&lt;=$NS$31),IF($NP$31="Single_Point",IF(49=$NR$31,$NN$31,0),IF($NP$31="Bell_Curve",$NN$31*(49-$NR$31+1)*($NS$31-49+1)/$NU$31,$NN$31/$NT$31)),0)</f>
        <v/>
      </c>
      <c r="BB31" s="402">
        <f>IF(AND(50&gt;=$NR$31,50&lt;=$NS$31),IF($NP$31="Single_Point",IF(50=$NR$31,$NN$31,0),IF($NP$31="Bell_Curve",$NN$31*(50-$NR$31+1)*($NS$31-50+1)/$NU$31,$NN$31/$NT$31)),0)</f>
        <v/>
      </c>
      <c r="BC31" s="402">
        <f>IF(AND(51&gt;=$NR$31,51&lt;=$NS$31),IF($NP$31="Single_Point",IF(51=$NR$31,$NN$31,0),IF($NP$31="Bell_Curve",$NN$31*(51-$NR$31+1)*($NS$31-51+1)/$NU$31,$NN$31/$NT$31)),0)</f>
        <v/>
      </c>
      <c r="BD31" s="402">
        <f>IF(AND(52&gt;=$NR$31,52&lt;=$NS$31),IF($NP$31="Single_Point",IF(52=$NR$31,$NN$31,0),IF($NP$31="Bell_Curve",$NN$31*(52-$NR$31+1)*($NS$31-52+1)/$NU$31,$NN$31/$NT$31)),0)</f>
        <v/>
      </c>
      <c r="BE31" s="402">
        <f>IF(AND(53&gt;=$NR$31,53&lt;=$NS$31),IF($NP$31="Single_Point",IF(53=$NR$31,$NN$31,0),IF($NP$31="Bell_Curve",$NN$31*(53-$NR$31+1)*($NS$31-53+1)/$NU$31,$NN$31/$NT$31)),0)</f>
        <v/>
      </c>
      <c r="BF31" s="402">
        <f>IF(AND(54&gt;=$NR$31,54&lt;=$NS$31),IF($NP$31="Single_Point",IF(54=$NR$31,$NN$31,0),IF($NP$31="Bell_Curve",$NN$31*(54-$NR$31+1)*($NS$31-54+1)/$NU$31,$NN$31/$NT$31)),0)</f>
        <v/>
      </c>
      <c r="BG31" s="402">
        <f>IF(AND(55&gt;=$NR$31,55&lt;=$NS$31),IF($NP$31="Single_Point",IF(55=$NR$31,$NN$31,0),IF($NP$31="Bell_Curve",$NN$31*(55-$NR$31+1)*($NS$31-55+1)/$NU$31,$NN$31/$NT$31)),0)</f>
        <v/>
      </c>
      <c r="BH31" s="402">
        <f>IF(AND(56&gt;=$NR$31,56&lt;=$NS$31),IF($NP$31="Single_Point",IF(56=$NR$31,$NN$31,0),IF($NP$31="Bell_Curve",$NN$31*(56-$NR$31+1)*($NS$31-56+1)/$NU$31,$NN$31/$NT$31)),0)</f>
        <v/>
      </c>
      <c r="BI31" s="402">
        <f>IF(AND(57&gt;=$NR$31,57&lt;=$NS$31),IF($NP$31="Single_Point",IF(57=$NR$31,$NN$31,0),IF($NP$31="Bell_Curve",$NN$31*(57-$NR$31+1)*($NS$31-57+1)/$NU$31,$NN$31/$NT$31)),0)</f>
        <v/>
      </c>
      <c r="BJ31" s="402">
        <f>IF(AND(58&gt;=$NR$31,58&lt;=$NS$31),IF($NP$31="Single_Point",IF(58=$NR$31,$NN$31,0),IF($NP$31="Bell_Curve",$NN$31*(58-$NR$31+1)*($NS$31-58+1)/$NU$31,$NN$31/$NT$31)),0)</f>
        <v/>
      </c>
      <c r="BK31" s="402">
        <f>IF(AND(59&gt;=$NR$31,59&lt;=$NS$31),IF($NP$31="Single_Point",IF(59=$NR$31,$NN$31,0),IF($NP$31="Bell_Curve",$NN$31*(59-$NR$31+1)*($NS$31-59+1)/$NU$31,$NN$31/$NT$31)),0)</f>
        <v/>
      </c>
      <c r="BL31" s="402">
        <f>IF(AND(60&gt;=$NR$31,60&lt;=$NS$31),IF($NP$31="Single_Point",IF(60=$NR$31,$NN$31,0),IF($NP$31="Bell_Curve",$NN$31*(60-$NR$31+1)*($NS$31-60+1)/$NU$31,$NN$31/$NT$31)),0)</f>
        <v/>
      </c>
      <c r="BM31" s="402">
        <f>IF(AND(61&gt;=$NR$31,61&lt;=$NS$31),IF($NP$31="Single_Point",IF(61=$NR$31,$NN$31,0),IF($NP$31="Bell_Curve",$NN$31*(61-$NR$31+1)*($NS$31-61+1)/$NU$31,$NN$31/$NT$31)),0)</f>
        <v/>
      </c>
      <c r="BN31" s="402">
        <f>IF(AND(62&gt;=$NR$31,62&lt;=$NS$31),IF($NP$31="Single_Point",IF(62=$NR$31,$NN$31,0),IF($NP$31="Bell_Curve",$NN$31*(62-$NR$31+1)*($NS$31-62+1)/$NU$31,$NN$31/$NT$31)),0)</f>
        <v/>
      </c>
      <c r="BO31" s="402">
        <f>IF(AND(63&gt;=$NR$31,63&lt;=$NS$31),IF($NP$31="Single_Point",IF(63=$NR$31,$NN$31,0),IF($NP$31="Bell_Curve",$NN$31*(63-$NR$31+1)*($NS$31-63+1)/$NU$31,$NN$31/$NT$31)),0)</f>
        <v/>
      </c>
      <c r="BP31" s="402">
        <f>IF(AND(64&gt;=$NR$31,64&lt;=$NS$31),IF($NP$31="Single_Point",IF(64=$NR$31,$NN$31,0),IF($NP$31="Bell_Curve",$NN$31*(64-$NR$31+1)*($NS$31-64+1)/$NU$31,$NN$31/$NT$31)),0)</f>
        <v/>
      </c>
      <c r="BQ31" s="402">
        <f>IF(AND(65&gt;=$NR$31,65&lt;=$NS$31),IF($NP$31="Single_Point",IF(65=$NR$31,$NN$31,0),IF($NP$31="Bell_Curve",$NN$31*(65-$NR$31+1)*($NS$31-65+1)/$NU$31,$NN$31/$NT$31)),0)</f>
        <v/>
      </c>
      <c r="BR31" s="402">
        <f>IF(AND(66&gt;=$NR$31,66&lt;=$NS$31),IF($NP$31="Single_Point",IF(66=$NR$31,$NN$31,0),IF($NP$31="Bell_Curve",$NN$31*(66-$NR$31+1)*($NS$31-66+1)/$NU$31,$NN$31/$NT$31)),0)</f>
        <v/>
      </c>
      <c r="BS31" s="402">
        <f>IF(AND(67&gt;=$NR$31,67&lt;=$NS$31),IF($NP$31="Single_Point",IF(67=$NR$31,$NN$31,0),IF($NP$31="Bell_Curve",$NN$31*(67-$NR$31+1)*($NS$31-67+1)/$NU$31,$NN$31/$NT$31)),0)</f>
        <v/>
      </c>
      <c r="BT31" s="402">
        <f>IF(AND(68&gt;=$NR$31,68&lt;=$NS$31),IF($NP$31="Single_Point",IF(68=$NR$31,$NN$31,0),IF($NP$31="Bell_Curve",$NN$31*(68-$NR$31+1)*($NS$31-68+1)/$NU$31,$NN$31/$NT$31)),0)</f>
        <v/>
      </c>
      <c r="BU31" s="402">
        <f>IF(AND(69&gt;=$NR$31,69&lt;=$NS$31),IF($NP$31="Single_Point",IF(69=$NR$31,$NN$31,0),IF($NP$31="Bell_Curve",$NN$31*(69-$NR$31+1)*($NS$31-69+1)/$NU$31,$NN$31/$NT$31)),0)</f>
        <v/>
      </c>
      <c r="BV31" s="402">
        <f>IF(AND(70&gt;=$NR$31,70&lt;=$NS$31),IF($NP$31="Single_Point",IF(70=$NR$31,$NN$31,0),IF($NP$31="Bell_Curve",$NN$31*(70-$NR$31+1)*($NS$31-70+1)/$NU$31,$NN$31/$NT$31)),0)</f>
        <v/>
      </c>
      <c r="BW31" s="402">
        <f>IF(AND(71&gt;=$NR$31,71&lt;=$NS$31),IF($NP$31="Single_Point",IF(71=$NR$31,$NN$31,0),IF($NP$31="Bell_Curve",$NN$31*(71-$NR$31+1)*($NS$31-71+1)/$NU$31,$NN$31/$NT$31)),0)</f>
        <v/>
      </c>
      <c r="BX31" s="402">
        <f>IF(AND(72&gt;=$NR$31,72&lt;=$NS$31),IF($NP$31="Single_Point",IF(72=$NR$31,$NN$31,0),IF($NP$31="Bell_Curve",$NN$31*(72-$NR$31+1)*($NS$31-72+1)/$NU$31,$NN$31/$NT$31)),0)</f>
        <v/>
      </c>
      <c r="BY31" s="402">
        <f>IF(AND(73&gt;=$NR$31,73&lt;=$NS$31),IF($NP$31="Single_Point",IF(73=$NR$31,$NN$31,0),IF($NP$31="Bell_Curve",$NN$31*(73-$NR$31+1)*($NS$31-73+1)/$NU$31,$NN$31/$NT$31)),0)</f>
        <v/>
      </c>
      <c r="BZ31" s="402">
        <f>IF(AND(74&gt;=$NR$31,74&lt;=$NS$31),IF($NP$31="Single_Point",IF(74=$NR$31,$NN$31,0),IF($NP$31="Bell_Curve",$NN$31*(74-$NR$31+1)*($NS$31-74+1)/$NU$31,$NN$31/$NT$31)),0)</f>
        <v/>
      </c>
      <c r="CA31" s="402">
        <f>IF(AND(75&gt;=$NR$31,75&lt;=$NS$31),IF($NP$31="Single_Point",IF(75=$NR$31,$NN$31,0),IF($NP$31="Bell_Curve",$NN$31*(75-$NR$31+1)*($NS$31-75+1)/$NU$31,$NN$31/$NT$31)),0)</f>
        <v/>
      </c>
      <c r="CB31" s="402">
        <f>IF(AND(76&gt;=$NR$31,76&lt;=$NS$31),IF($NP$31="Single_Point",IF(76=$NR$31,$NN$31,0),IF($NP$31="Bell_Curve",$NN$31*(76-$NR$31+1)*($NS$31-76+1)/$NU$31,$NN$31/$NT$31)),0)</f>
        <v/>
      </c>
      <c r="CC31" s="402">
        <f>IF(AND(77&gt;=$NR$31,77&lt;=$NS$31),IF($NP$31="Single_Point",IF(77=$NR$31,$NN$31,0),IF($NP$31="Bell_Curve",$NN$31*(77-$NR$31+1)*($NS$31-77+1)/$NU$31,$NN$31/$NT$31)),0)</f>
        <v/>
      </c>
      <c r="CD31" s="402">
        <f>IF(AND(78&gt;=$NR$31,78&lt;=$NS$31),IF($NP$31="Single_Point",IF(78=$NR$31,$NN$31,0),IF($NP$31="Bell_Curve",$NN$31*(78-$NR$31+1)*($NS$31-78+1)/$NU$31,$NN$31/$NT$31)),0)</f>
        <v/>
      </c>
      <c r="CE31" s="402">
        <f>IF(AND(79&gt;=$NR$31,79&lt;=$NS$31),IF($NP$31="Single_Point",IF(79=$NR$31,$NN$31,0),IF($NP$31="Bell_Curve",$NN$31*(79-$NR$31+1)*($NS$31-79+1)/$NU$31,$NN$31/$NT$31)),0)</f>
        <v/>
      </c>
      <c r="CF31" s="402">
        <f>IF(AND(80&gt;=$NR$31,80&lt;=$NS$31),IF($NP$31="Single_Point",IF(80=$NR$31,$NN$31,0),IF($NP$31="Bell_Curve",$NN$31*(80-$NR$31+1)*($NS$31-80+1)/$NU$31,$NN$31/$NT$31)),0)</f>
        <v/>
      </c>
      <c r="CG31" s="402">
        <f>IF(AND(81&gt;=$NR$31,81&lt;=$NS$31),IF($NP$31="Single_Point",IF(81=$NR$31,$NN$31,0),IF($NP$31="Bell_Curve",$NN$31*(81-$NR$31+1)*($NS$31-81+1)/$NU$31,$NN$31/$NT$31)),0)</f>
        <v/>
      </c>
      <c r="CH31" s="402">
        <f>IF(AND(82&gt;=$NR$31,82&lt;=$NS$31),IF($NP$31="Single_Point",IF(82=$NR$31,$NN$31,0),IF($NP$31="Bell_Curve",$NN$31*(82-$NR$31+1)*($NS$31-82+1)/$NU$31,$NN$31/$NT$31)),0)</f>
        <v/>
      </c>
      <c r="CI31" s="402">
        <f>IF(AND(83&gt;=$NR$31,83&lt;=$NS$31),IF($NP$31="Single_Point",IF(83=$NR$31,$NN$31,0),IF($NP$31="Bell_Curve",$NN$31*(83-$NR$31+1)*($NS$31-83+1)/$NU$31,$NN$31/$NT$31)),0)</f>
        <v/>
      </c>
      <c r="CJ31" s="402">
        <f>IF(AND(84&gt;=$NR$31,84&lt;=$NS$31),IF($NP$31="Single_Point",IF(84=$NR$31,$NN$31,0),IF($NP$31="Bell_Curve",$NN$31*(84-$NR$31+1)*($NS$31-84+1)/$NU$31,$NN$31/$NT$31)),0)</f>
        <v/>
      </c>
      <c r="CK31" s="402">
        <f>IF(AND(85&gt;=$NR$31,85&lt;=$NS$31),IF($NP$31="Single_Point",IF(85=$NR$31,$NN$31,0),IF($NP$31="Bell_Curve",$NN$31*(85-$NR$31+1)*($NS$31-85+1)/$NU$31,$NN$31/$NT$31)),0)</f>
        <v/>
      </c>
      <c r="CL31" s="402">
        <f>IF(AND(86&gt;=$NR$31,86&lt;=$NS$31),IF($NP$31="Single_Point",IF(86=$NR$31,$NN$31,0),IF($NP$31="Bell_Curve",$NN$31*(86-$NR$31+1)*($NS$31-86+1)/$NU$31,$NN$31/$NT$31)),0)</f>
        <v/>
      </c>
      <c r="CM31" s="402">
        <f>IF(AND(87&gt;=$NR$31,87&lt;=$NS$31),IF($NP$31="Single_Point",IF(87=$NR$31,$NN$31,0),IF($NP$31="Bell_Curve",$NN$31*(87-$NR$31+1)*($NS$31-87+1)/$NU$31,$NN$31/$NT$31)),0)</f>
        <v/>
      </c>
      <c r="CN31" s="402">
        <f>IF(AND(88&gt;=$NR$31,88&lt;=$NS$31),IF($NP$31="Single_Point",IF(88=$NR$31,$NN$31,0),IF($NP$31="Bell_Curve",$NN$31*(88-$NR$31+1)*($NS$31-88+1)/$NU$31,$NN$31/$NT$31)),0)</f>
        <v/>
      </c>
      <c r="CO31" s="402">
        <f>IF(AND(89&gt;=$NR$31,89&lt;=$NS$31),IF($NP$31="Single_Point",IF(89=$NR$31,$NN$31,0),IF($NP$31="Bell_Curve",$NN$31*(89-$NR$31+1)*($NS$31-89+1)/$NU$31,$NN$31/$NT$31)),0)</f>
        <v/>
      </c>
      <c r="CP31" s="402">
        <f>IF(AND(90&gt;=$NR$31,90&lt;=$NS$31),IF($NP$31="Single_Point",IF(90=$NR$31,$NN$31,0),IF($NP$31="Bell_Curve",$NN$31*(90-$NR$31+1)*($NS$31-90+1)/$NU$31,$NN$31/$NT$31)),0)</f>
        <v/>
      </c>
      <c r="CQ31" s="402">
        <f>IF(AND(91&gt;=$NR$31,91&lt;=$NS$31),IF($NP$31="Single_Point",IF(91=$NR$31,$NN$31,0),IF($NP$31="Bell_Curve",$NN$31*(91-$NR$31+1)*($NS$31-91+1)/$NU$31,$NN$31/$NT$31)),0)</f>
        <v/>
      </c>
      <c r="CR31" s="402">
        <f>IF(AND(92&gt;=$NR$31,92&lt;=$NS$31),IF($NP$31="Single_Point",IF(92=$NR$31,$NN$31,0),IF($NP$31="Bell_Curve",$NN$31*(92-$NR$31+1)*($NS$31-92+1)/$NU$31,$NN$31/$NT$31)),0)</f>
        <v/>
      </c>
      <c r="CS31" s="402">
        <f>IF(AND(93&gt;=$NR$31,93&lt;=$NS$31),IF($NP$31="Single_Point",IF(93=$NR$31,$NN$31,0),IF($NP$31="Bell_Curve",$NN$31*(93-$NR$31+1)*($NS$31-93+1)/$NU$31,$NN$31/$NT$31)),0)</f>
        <v/>
      </c>
      <c r="CT31" s="402">
        <f>IF(AND(94&gt;=$NR$31,94&lt;=$NS$31),IF($NP$31="Single_Point",IF(94=$NR$31,$NN$31,0),IF($NP$31="Bell_Curve",$NN$31*(94-$NR$31+1)*($NS$31-94+1)/$NU$31,$NN$31/$NT$31)),0)</f>
        <v/>
      </c>
      <c r="CU31" s="402">
        <f>IF(AND(95&gt;=$NR$31,95&lt;=$NS$31),IF($NP$31="Single_Point",IF(95=$NR$31,$NN$31,0),IF($NP$31="Bell_Curve",$NN$31*(95-$NR$31+1)*($NS$31-95+1)/$NU$31,$NN$31/$NT$31)),0)</f>
        <v/>
      </c>
      <c r="CV31" s="402">
        <f>IF(AND(96&gt;=$NR$31,96&lt;=$NS$31),IF($NP$31="Single_Point",IF(96=$NR$31,$NN$31,0),IF($NP$31="Bell_Curve",$NN$31*(96-$NR$31+1)*($NS$31-96+1)/$NU$31,$NN$31/$NT$31)),0)</f>
        <v/>
      </c>
      <c r="CW31" s="402">
        <f>IF(AND(97&gt;=$NR$31,97&lt;=$NS$31),IF($NP$31="Single_Point",IF(97=$NR$31,$NN$31,0),IF($NP$31="Bell_Curve",$NN$31*(97-$NR$31+1)*($NS$31-97+1)/$NU$31,$NN$31/$NT$31)),0)</f>
        <v/>
      </c>
      <c r="CX31" s="402">
        <f>IF(AND(98&gt;=$NR$31,98&lt;=$NS$31),IF($NP$31="Single_Point",IF(98=$NR$31,$NN$31,0),IF($NP$31="Bell_Curve",$NN$31*(98-$NR$31+1)*($NS$31-98+1)/$NU$31,$NN$31/$NT$31)),0)</f>
        <v/>
      </c>
      <c r="CY31" s="402">
        <f>IF(AND(99&gt;=$NR$31,99&lt;=$NS$31),IF($NP$31="Single_Point",IF(99=$NR$31,$NN$31,0),IF($NP$31="Bell_Curve",$NN$31*(99-$NR$31+1)*($NS$31-99+1)/$NU$31,$NN$31/$NT$31)),0)</f>
        <v/>
      </c>
      <c r="CZ31" s="402">
        <f>IF(AND(100&gt;=$NR$31,100&lt;=$NS$31),IF($NP$31="Single_Point",IF(100=$NR$31,$NN$31,0),IF($NP$31="Bell_Curve",$NN$31*(100-$NR$31+1)*($NS$31-100+1)/$NU$31,$NN$31/$NT$31)),0)</f>
        <v/>
      </c>
      <c r="DA31" s="402">
        <f>IF(AND(101&gt;=$NR$31,101&lt;=$NS$31),IF($NP$31="Single_Point",IF(101=$NR$31,$NN$31,0),IF($NP$31="Bell_Curve",$NN$31*(101-$NR$31+1)*($NS$31-101+1)/$NU$31,$NN$31/$NT$31)),0)</f>
        <v/>
      </c>
      <c r="DB31" s="402">
        <f>IF(AND(102&gt;=$NR$31,102&lt;=$NS$31),IF($NP$31="Single_Point",IF(102=$NR$31,$NN$31,0),IF($NP$31="Bell_Curve",$NN$31*(102-$NR$31+1)*($NS$31-102+1)/$NU$31,$NN$31/$NT$31)),0)</f>
        <v/>
      </c>
      <c r="DC31" s="402">
        <f>IF(AND(103&gt;=$NR$31,103&lt;=$NS$31),IF($NP$31="Single_Point",IF(103=$NR$31,$NN$31,0),IF($NP$31="Bell_Curve",$NN$31*(103-$NR$31+1)*($NS$31-103+1)/$NU$31,$NN$31/$NT$31)),0)</f>
        <v/>
      </c>
      <c r="DD31" s="402">
        <f>IF(AND(104&gt;=$NR$31,104&lt;=$NS$31),IF($NP$31="Single_Point",IF(104=$NR$31,$NN$31,0),IF($NP$31="Bell_Curve",$NN$31*(104-$NR$31+1)*($NS$31-104+1)/$NU$31,$NN$31/$NT$31)),0)</f>
        <v/>
      </c>
      <c r="DE31" s="402">
        <f>IF(AND(105&gt;=$NR$31,105&lt;=$NS$31),IF($NP$31="Single_Point",IF(105=$NR$31,$NN$31,0),IF($NP$31="Bell_Curve",$NN$31*(105-$NR$31+1)*($NS$31-105+1)/$NU$31,$NN$31/$NT$31)),0)</f>
        <v/>
      </c>
      <c r="DF31" s="402">
        <f>IF(AND(106&gt;=$NR$31,106&lt;=$NS$31),IF($NP$31="Single_Point",IF(106=$NR$31,$NN$31,0),IF($NP$31="Bell_Curve",$NN$31*(106-$NR$31+1)*($NS$31-106+1)/$NU$31,$NN$31/$NT$31)),0)</f>
        <v/>
      </c>
      <c r="DG31" s="402">
        <f>IF(AND(107&gt;=$NR$31,107&lt;=$NS$31),IF($NP$31="Single_Point",IF(107=$NR$31,$NN$31,0),IF($NP$31="Bell_Curve",$NN$31*(107-$NR$31+1)*($NS$31-107+1)/$NU$31,$NN$31/$NT$31)),0)</f>
        <v/>
      </c>
      <c r="DH31" s="402">
        <f>IF(AND(108&gt;=$NR$31,108&lt;=$NS$31),IF($NP$31="Single_Point",IF(108=$NR$31,$NN$31,0),IF($NP$31="Bell_Curve",$NN$31*(108-$NR$31+1)*($NS$31-108+1)/$NU$31,$NN$31/$NT$31)),0)</f>
        <v/>
      </c>
      <c r="DI31" s="402">
        <f>IF(AND(109&gt;=$NR$31,109&lt;=$NS$31),IF($NP$31="Single_Point",IF(109=$NR$31,$NN$31,0),IF($NP$31="Bell_Curve",$NN$31*(109-$NR$31+1)*($NS$31-109+1)/$NU$31,$NN$31/$NT$31)),0)</f>
        <v/>
      </c>
      <c r="DJ31" s="402">
        <f>IF(AND(110&gt;=$NR$31,110&lt;=$NS$31),IF($NP$31="Single_Point",IF(110=$NR$31,$NN$31,0),IF($NP$31="Bell_Curve",$NN$31*(110-$NR$31+1)*($NS$31-110+1)/$NU$31,$NN$31/$NT$31)),0)</f>
        <v/>
      </c>
      <c r="DK31" s="402">
        <f>IF(AND(111&gt;=$NR$31,111&lt;=$NS$31),IF($NP$31="Single_Point",IF(111=$NR$31,$NN$31,0),IF($NP$31="Bell_Curve",$NN$31*(111-$NR$31+1)*($NS$31-111+1)/$NU$31,$NN$31/$NT$31)),0)</f>
        <v/>
      </c>
      <c r="DL31" s="402">
        <f>IF(AND(112&gt;=$NR$31,112&lt;=$NS$31),IF($NP$31="Single_Point",IF(112=$NR$31,$NN$31,0),IF($NP$31="Bell_Curve",$NN$31*(112-$NR$31+1)*($NS$31-112+1)/$NU$31,$NN$31/$NT$31)),0)</f>
        <v/>
      </c>
      <c r="DM31" s="402">
        <f>IF(AND(113&gt;=$NR$31,113&lt;=$NS$31),IF($NP$31="Single_Point",IF(113=$NR$31,$NN$31,0),IF($NP$31="Bell_Curve",$NN$31*(113-$NR$31+1)*($NS$31-113+1)/$NU$31,$NN$31/$NT$31)),0)</f>
        <v/>
      </c>
      <c r="DN31" s="402">
        <f>IF(AND(114&gt;=$NR$31,114&lt;=$NS$31),IF($NP$31="Single_Point",IF(114=$NR$31,$NN$31,0),IF($NP$31="Bell_Curve",$NN$31*(114-$NR$31+1)*($NS$31-114+1)/$NU$31,$NN$31/$NT$31)),0)</f>
        <v/>
      </c>
      <c r="DO31" s="402">
        <f>IF(AND(115&gt;=$NR$31,115&lt;=$NS$31),IF($NP$31="Single_Point",IF(115=$NR$31,$NN$31,0),IF($NP$31="Bell_Curve",$NN$31*(115-$NR$31+1)*($NS$31-115+1)/$NU$31,$NN$31/$NT$31)),0)</f>
        <v/>
      </c>
      <c r="DP31" s="402">
        <f>IF(AND(116&gt;=$NR$31,116&lt;=$NS$31),IF($NP$31="Single_Point",IF(116=$NR$31,$NN$31,0),IF($NP$31="Bell_Curve",$NN$31*(116-$NR$31+1)*($NS$31-116+1)/$NU$31,$NN$31/$NT$31)),0)</f>
        <v/>
      </c>
      <c r="DQ31" s="402">
        <f>IF(AND(117&gt;=$NR$31,117&lt;=$NS$31),IF($NP$31="Single_Point",IF(117=$NR$31,$NN$31,0),IF($NP$31="Bell_Curve",$NN$31*(117-$NR$31+1)*($NS$31-117+1)/$NU$31,$NN$31/$NT$31)),0)</f>
        <v/>
      </c>
      <c r="DR31" s="402">
        <f>IF(AND(118&gt;=$NR$31,118&lt;=$NS$31),IF($NP$31="Single_Point",IF(118=$NR$31,$NN$31,0),IF($NP$31="Bell_Curve",$NN$31*(118-$NR$31+1)*($NS$31-118+1)/$NU$31,$NN$31/$NT$31)),0)</f>
        <v/>
      </c>
      <c r="DS31" s="402">
        <f>IF(AND(119&gt;=$NR$31,119&lt;=$NS$31),IF($NP$31="Single_Point",IF(119=$NR$31,$NN$31,0),IF($NP$31="Bell_Curve",$NN$31*(119-$NR$31+1)*($NS$31-119+1)/$NU$31,$NN$31/$NT$31)),0)</f>
        <v/>
      </c>
      <c r="DT31" s="402">
        <f>IF(AND(120&gt;=$NR$31,120&lt;=$NS$31),IF($NP$31="Single_Point",IF(120=$NR$31,$NN$31,0),IF($NP$31="Bell_Curve",$NN$31*(120-$NR$31+1)*($NS$31-120+1)/$NU$31,$NN$31/$NT$31)),0)</f>
        <v/>
      </c>
      <c r="DU31" s="402">
        <f>IF(AND(121&gt;=$NR$31,121&lt;=$NS$31),IF($NP$31="Single_Point",IF(121=$NR$31,$NN$31,0),IF($NP$31="Bell_Curve",$NN$31*(121-$NR$31+1)*($NS$31-121+1)/$NU$31,$NN$31/$NT$31)),0)</f>
        <v/>
      </c>
      <c r="DV31" s="402">
        <f>IF(AND(122&gt;=$NR$31,122&lt;=$NS$31),IF($NP$31="Single_Point",IF(122=$NR$31,$NN$31,0),IF($NP$31="Bell_Curve",$NN$31*(122-$NR$31+1)*($NS$31-122+1)/$NU$31,$NN$31/$NT$31)),0)</f>
        <v/>
      </c>
      <c r="DW31" s="402">
        <f>IF(AND(123&gt;=$NR$31,123&lt;=$NS$31),IF($NP$31="Single_Point",IF(123=$NR$31,$NN$31,0),IF($NP$31="Bell_Curve",$NN$31*(123-$NR$31+1)*($NS$31-123+1)/$NU$31,$NN$31/$NT$31)),0)</f>
        <v/>
      </c>
      <c r="DX31" s="402">
        <f>IF(AND(124&gt;=$NR$31,124&lt;=$NS$31),IF($NP$31="Single_Point",IF(124=$NR$31,$NN$31,0),IF($NP$31="Bell_Curve",$NN$31*(124-$NR$31+1)*($NS$31-124+1)/$NU$31,$NN$31/$NT$31)),0)</f>
        <v/>
      </c>
      <c r="DY31" s="402">
        <f>IF(AND(125&gt;=$NR$31,125&lt;=$NS$31),IF($NP$31="Single_Point",IF(125=$NR$31,$NN$31,0),IF($NP$31="Bell_Curve",$NN$31*(125-$NR$31+1)*($NS$31-125+1)/$NU$31,$NN$31/$NT$31)),0)</f>
        <v/>
      </c>
      <c r="DZ31" s="402">
        <f>IF(AND(126&gt;=$NR$31,126&lt;=$NS$31),IF($NP$31="Single_Point",IF(126=$NR$31,$NN$31,0),IF($NP$31="Bell_Curve",$NN$31*(126-$NR$31+1)*($NS$31-126+1)/$NU$31,$NN$31/$NT$31)),0)</f>
        <v/>
      </c>
      <c r="EA31" s="402">
        <f>IF(AND(127&gt;=$NR$31,127&lt;=$NS$31),IF($NP$31="Single_Point",IF(127=$NR$31,$NN$31,0),IF($NP$31="Bell_Curve",$NN$31*(127-$NR$31+1)*($NS$31-127+1)/$NU$31,$NN$31/$NT$31)),0)</f>
        <v/>
      </c>
      <c r="EB31" s="402">
        <f>IF(AND(128&gt;=$NR$31,128&lt;=$NS$31),IF($NP$31="Single_Point",IF(128=$NR$31,$NN$31,0),IF($NP$31="Bell_Curve",$NN$31*(128-$NR$31+1)*($NS$31-128+1)/$NU$31,$NN$31/$NT$31)),0)</f>
        <v/>
      </c>
      <c r="EC31" s="402">
        <f>IF(AND(129&gt;=$NR$31,129&lt;=$NS$31),IF($NP$31="Single_Point",IF(129=$NR$31,$NN$31,0),IF($NP$31="Bell_Curve",$NN$31*(129-$NR$31+1)*($NS$31-129+1)/$NU$31,$NN$31/$NT$31)),0)</f>
        <v/>
      </c>
      <c r="ED31" s="402">
        <f>IF(AND(130&gt;=$NR$31,130&lt;=$NS$31),IF($NP$31="Single_Point",IF(130=$NR$31,$NN$31,0),IF($NP$31="Bell_Curve",$NN$31*(130-$NR$31+1)*($NS$31-130+1)/$NU$31,$NN$31/$NT$31)),0)</f>
        <v/>
      </c>
      <c r="EE31" s="402">
        <f>IF(AND(131&gt;=$NR$31,131&lt;=$NS$31),IF($NP$31="Single_Point",IF(131=$NR$31,$NN$31,0),IF($NP$31="Bell_Curve",$NN$31*(131-$NR$31+1)*($NS$31-131+1)/$NU$31,$NN$31/$NT$31)),0)</f>
        <v/>
      </c>
      <c r="EF31" s="402">
        <f>IF(AND(132&gt;=$NR$31,132&lt;=$NS$31),IF($NP$31="Single_Point",IF(132=$NR$31,$NN$31,0),IF($NP$31="Bell_Curve",$NN$31*(132-$NR$31+1)*($NS$31-132+1)/$NU$31,$NN$31/$NT$31)),0)</f>
        <v/>
      </c>
      <c r="EG31" s="402">
        <f>IF(AND(133&gt;=$NR$31,133&lt;=$NS$31),IF($NP$31="Single_Point",IF(133=$NR$31,$NN$31,0),IF($NP$31="Bell_Curve",$NN$31*(133-$NR$31+1)*($NS$31-133+1)/$NU$31,$NN$31/$NT$31)),0)</f>
        <v/>
      </c>
      <c r="EH31" s="402">
        <f>IF(AND(134&gt;=$NR$31,134&lt;=$NS$31),IF($NP$31="Single_Point",IF(134=$NR$31,$NN$31,0),IF($NP$31="Bell_Curve",$NN$31*(134-$NR$31+1)*($NS$31-134+1)/$NU$31,$NN$31/$NT$31)),0)</f>
        <v/>
      </c>
      <c r="EI31" s="402">
        <f>IF(AND(135&gt;=$NR$31,135&lt;=$NS$31),IF($NP$31="Single_Point",IF(135=$NR$31,$NN$31,0),IF($NP$31="Bell_Curve",$NN$31*(135-$NR$31+1)*($NS$31-135+1)/$NU$31,$NN$31/$NT$31)),0)</f>
        <v/>
      </c>
      <c r="EJ31" s="402">
        <f>IF(AND(136&gt;=$NR$31,136&lt;=$NS$31),IF($NP$31="Single_Point",IF(136=$NR$31,$NN$31,0),IF($NP$31="Bell_Curve",$NN$31*(136-$NR$31+1)*($NS$31-136+1)/$NU$31,$NN$31/$NT$31)),0)</f>
        <v/>
      </c>
      <c r="EK31" s="402">
        <f>IF(AND(137&gt;=$NR$31,137&lt;=$NS$31),IF($NP$31="Single_Point",IF(137=$NR$31,$NN$31,0),IF($NP$31="Bell_Curve",$NN$31*(137-$NR$31+1)*($NS$31-137+1)/$NU$31,$NN$31/$NT$31)),0)</f>
        <v/>
      </c>
      <c r="EL31" s="402">
        <f>IF(AND(138&gt;=$NR$31,138&lt;=$NS$31),IF($NP$31="Single_Point",IF(138=$NR$31,$NN$31,0),IF($NP$31="Bell_Curve",$NN$31*(138-$NR$31+1)*($NS$31-138+1)/$NU$31,$NN$31/$NT$31)),0)</f>
        <v/>
      </c>
      <c r="EM31" s="402">
        <f>IF(AND(139&gt;=$NR$31,139&lt;=$NS$31),IF($NP$31="Single_Point",IF(139=$NR$31,$NN$31,0),IF($NP$31="Bell_Curve",$NN$31*(139-$NR$31+1)*($NS$31-139+1)/$NU$31,$NN$31/$NT$31)),0)</f>
        <v/>
      </c>
      <c r="EN31" s="402">
        <f>IF(AND(140&gt;=$NR$31,140&lt;=$NS$31),IF($NP$31="Single_Point",IF(140=$NR$31,$NN$31,0),IF($NP$31="Bell_Curve",$NN$31*(140-$NR$31+1)*($NS$31-140+1)/$NU$31,$NN$31/$NT$31)),0)</f>
        <v/>
      </c>
      <c r="EO31" s="402">
        <f>IF(AND(141&gt;=$NR$31,141&lt;=$NS$31),IF($NP$31="Single_Point",IF(141=$NR$31,$NN$31,0),IF($NP$31="Bell_Curve",$NN$31*(141-$NR$31+1)*($NS$31-141+1)/$NU$31,$NN$31/$NT$31)),0)</f>
        <v/>
      </c>
      <c r="EP31" s="402">
        <f>IF(AND(142&gt;=$NR$31,142&lt;=$NS$31),IF($NP$31="Single_Point",IF(142=$NR$31,$NN$31,0),IF($NP$31="Bell_Curve",$NN$31*(142-$NR$31+1)*($NS$31-142+1)/$NU$31,$NN$31/$NT$31)),0)</f>
        <v/>
      </c>
      <c r="EQ31" s="402">
        <f>IF(AND(143&gt;=$NR$31,143&lt;=$NS$31),IF($NP$31="Single_Point",IF(143=$NR$31,$NN$31,0),IF($NP$31="Bell_Curve",$NN$31*(143-$NR$31+1)*($NS$31-143+1)/$NU$31,$NN$31/$NT$31)),0)</f>
        <v/>
      </c>
      <c r="ER31" s="402">
        <f>IF(AND(144&gt;=$NR$31,144&lt;=$NS$31),IF($NP$31="Single_Point",IF(144=$NR$31,$NN$31,0),IF($NP$31="Bell_Curve",$NN$31*(144-$NR$31+1)*($NS$31-144+1)/$NU$31,$NN$31/$NT$31)),0)</f>
        <v/>
      </c>
      <c r="ES31" s="402">
        <f>IF(AND(145&gt;=$NR$31,145&lt;=$NS$31),IF($NP$31="Single_Point",IF(145=$NR$31,$NN$31,0),IF($NP$31="Bell_Curve",$NN$31*(145-$NR$31+1)*($NS$31-145+1)/$NU$31,$NN$31/$NT$31)),0)</f>
        <v/>
      </c>
      <c r="ET31" s="402">
        <f>IF(AND(146&gt;=$NR$31,146&lt;=$NS$31),IF($NP$31="Single_Point",IF(146=$NR$31,$NN$31,0),IF($NP$31="Bell_Curve",$NN$31*(146-$NR$31+1)*($NS$31-146+1)/$NU$31,$NN$31/$NT$31)),0)</f>
        <v/>
      </c>
      <c r="EU31" s="402">
        <f>IF(AND(147&gt;=$NR$31,147&lt;=$NS$31),IF($NP$31="Single_Point",IF(147=$NR$31,$NN$31,0),IF($NP$31="Bell_Curve",$NN$31*(147-$NR$31+1)*($NS$31-147+1)/$NU$31,$NN$31/$NT$31)),0)</f>
        <v/>
      </c>
      <c r="EV31" s="402">
        <f>IF(AND(148&gt;=$NR$31,148&lt;=$NS$31),IF($NP$31="Single_Point",IF(148=$NR$31,$NN$31,0),IF($NP$31="Bell_Curve",$NN$31*(148-$NR$31+1)*($NS$31-148+1)/$NU$31,$NN$31/$NT$31)),0)</f>
        <v/>
      </c>
      <c r="EW31" s="402">
        <f>IF(AND(149&gt;=$NR$31,149&lt;=$NS$31),IF($NP$31="Single_Point",IF(149=$NR$31,$NN$31,0),IF($NP$31="Bell_Curve",$NN$31*(149-$NR$31+1)*($NS$31-149+1)/$NU$31,$NN$31/$NT$31)),0)</f>
        <v/>
      </c>
      <c r="EX31" s="402">
        <f>IF(AND(150&gt;=$NR$31,150&lt;=$NS$31),IF($NP$31="Single_Point",IF(150=$NR$31,$NN$31,0),IF($NP$31="Bell_Curve",$NN$31*(150-$NR$31+1)*($NS$31-150+1)/$NU$31,$NN$31/$NT$31)),0)</f>
        <v/>
      </c>
      <c r="EY31" s="402">
        <f>IF(AND(151&gt;=$NR$31,151&lt;=$NS$31),IF($NP$31="Single_Point",IF(151=$NR$31,$NN$31,0),IF($NP$31="Bell_Curve",$NN$31*(151-$NR$31+1)*($NS$31-151+1)/$NU$31,$NN$31/$NT$31)),0)</f>
        <v/>
      </c>
      <c r="EZ31" s="402">
        <f>IF(AND(152&gt;=$NR$31,152&lt;=$NS$31),IF($NP$31="Single_Point",IF(152=$NR$31,$NN$31,0),IF($NP$31="Bell_Curve",$NN$31*(152-$NR$31+1)*($NS$31-152+1)/$NU$31,$NN$31/$NT$31)),0)</f>
        <v/>
      </c>
      <c r="FA31" s="402">
        <f>IF(AND(153&gt;=$NR$31,153&lt;=$NS$31),IF($NP$31="Single_Point",IF(153=$NR$31,$NN$31,0),IF($NP$31="Bell_Curve",$NN$31*(153-$NR$31+1)*($NS$31-153+1)/$NU$31,$NN$31/$NT$31)),0)</f>
        <v/>
      </c>
      <c r="FB31" s="402">
        <f>IF(AND(154&gt;=$NR$31,154&lt;=$NS$31),IF($NP$31="Single_Point",IF(154=$NR$31,$NN$31,0),IF($NP$31="Bell_Curve",$NN$31*(154-$NR$31+1)*($NS$31-154+1)/$NU$31,$NN$31/$NT$31)),0)</f>
        <v/>
      </c>
      <c r="FC31" s="402">
        <f>IF(AND(155&gt;=$NR$31,155&lt;=$NS$31),IF($NP$31="Single_Point",IF(155=$NR$31,$NN$31,0),IF($NP$31="Bell_Curve",$NN$31*(155-$NR$31+1)*($NS$31-155+1)/$NU$31,$NN$31/$NT$31)),0)</f>
        <v/>
      </c>
      <c r="FD31" s="402">
        <f>IF(AND(156&gt;=$NR$31,156&lt;=$NS$31),IF($NP$31="Single_Point",IF(156=$NR$31,$NN$31,0),IF($NP$31="Bell_Curve",$NN$31*(156-$NR$31+1)*($NS$31-156+1)/$NU$31,$NN$31/$NT$31)),0)</f>
        <v/>
      </c>
      <c r="FE31" s="402">
        <f>IF(AND(157&gt;=$NR$31,157&lt;=$NS$31),IF($NP$31="Single_Point",IF(157=$NR$31,$NN$31,0),IF($NP$31="Bell_Curve",$NN$31*(157-$NR$31+1)*($NS$31-157+1)/$NU$31,$NN$31/$NT$31)),0)</f>
        <v/>
      </c>
      <c r="FF31" s="402">
        <f>IF(AND(158&gt;=$NR$31,158&lt;=$NS$31),IF($NP$31="Single_Point",IF(158=$NR$31,$NN$31,0),IF($NP$31="Bell_Curve",$NN$31*(158-$NR$31+1)*($NS$31-158+1)/$NU$31,$NN$31/$NT$31)),0)</f>
        <v/>
      </c>
      <c r="FG31" s="402">
        <f>IF(AND(159&gt;=$NR$31,159&lt;=$NS$31),IF($NP$31="Single_Point",IF(159=$NR$31,$NN$31,0),IF($NP$31="Bell_Curve",$NN$31*(159-$NR$31+1)*($NS$31-159+1)/$NU$31,$NN$31/$NT$31)),0)</f>
        <v/>
      </c>
      <c r="FH31" s="402">
        <f>IF(AND(160&gt;=$NR$31,160&lt;=$NS$31),IF($NP$31="Single_Point",IF(160=$NR$31,$NN$31,0),IF($NP$31="Bell_Curve",$NN$31*(160-$NR$31+1)*($NS$31-160+1)/$NU$31,$NN$31/$NT$31)),0)</f>
        <v/>
      </c>
      <c r="FI31" s="402">
        <f>IF(AND(161&gt;=$NR$31,161&lt;=$NS$31),IF($NP$31="Single_Point",IF(161=$NR$31,$NN$31,0),IF($NP$31="Bell_Curve",$NN$31*(161-$NR$31+1)*($NS$31-161+1)/$NU$31,$NN$31/$NT$31)),0)</f>
        <v/>
      </c>
      <c r="FJ31" s="402">
        <f>IF(AND(162&gt;=$NR$31,162&lt;=$NS$31),IF($NP$31="Single_Point",IF(162=$NR$31,$NN$31,0),IF($NP$31="Bell_Curve",$NN$31*(162-$NR$31+1)*($NS$31-162+1)/$NU$31,$NN$31/$NT$31)),0)</f>
        <v/>
      </c>
      <c r="FK31" s="402">
        <f>IF(AND(163&gt;=$NR$31,163&lt;=$NS$31),IF($NP$31="Single_Point",IF(163=$NR$31,$NN$31,0),IF($NP$31="Bell_Curve",$NN$31*(163-$NR$31+1)*($NS$31-163+1)/$NU$31,$NN$31/$NT$31)),0)</f>
        <v/>
      </c>
      <c r="FL31" s="402">
        <f>IF(AND(164&gt;=$NR$31,164&lt;=$NS$31),IF($NP$31="Single_Point",IF(164=$NR$31,$NN$31,0),IF($NP$31="Bell_Curve",$NN$31*(164-$NR$31+1)*($NS$31-164+1)/$NU$31,$NN$31/$NT$31)),0)</f>
        <v/>
      </c>
      <c r="FM31" s="402">
        <f>IF(AND(165&gt;=$NR$31,165&lt;=$NS$31),IF($NP$31="Single_Point",IF(165=$NR$31,$NN$31,0),IF($NP$31="Bell_Curve",$NN$31*(165-$NR$31+1)*($NS$31-165+1)/$NU$31,$NN$31/$NT$31)),0)</f>
        <v/>
      </c>
      <c r="FN31" s="402">
        <f>IF(AND(166&gt;=$NR$31,166&lt;=$NS$31),IF($NP$31="Single_Point",IF(166=$NR$31,$NN$31,0),IF($NP$31="Bell_Curve",$NN$31*(166-$NR$31+1)*($NS$31-166+1)/$NU$31,$NN$31/$NT$31)),0)</f>
        <v/>
      </c>
      <c r="FO31" s="402">
        <f>IF(AND(167&gt;=$NR$31,167&lt;=$NS$31),IF($NP$31="Single_Point",IF(167=$NR$31,$NN$31,0),IF($NP$31="Bell_Curve",$NN$31*(167-$NR$31+1)*($NS$31-167+1)/$NU$31,$NN$31/$NT$31)),0)</f>
        <v/>
      </c>
      <c r="FP31" s="402">
        <f>IF(AND(168&gt;=$NR$31,168&lt;=$NS$31),IF($NP$31="Single_Point",IF(168=$NR$31,$NN$31,0),IF($NP$31="Bell_Curve",$NN$31*(168-$NR$31+1)*($NS$31-168+1)/$NU$31,$NN$31/$NT$31)),0)</f>
        <v/>
      </c>
      <c r="FQ31" s="402">
        <f>IF(AND(169&gt;=$NR$31,169&lt;=$NS$31),IF($NP$31="Single_Point",IF(169=$NR$31,$NN$31,0),IF($NP$31="Bell_Curve",$NN$31*(169-$NR$31+1)*($NS$31-169+1)/$NU$31,$NN$31/$NT$31)),0)</f>
        <v/>
      </c>
      <c r="FR31" s="402">
        <f>IF(AND(170&gt;=$NR$31,170&lt;=$NS$31),IF($NP$31="Single_Point",IF(170=$NR$31,$NN$31,0),IF($NP$31="Bell_Curve",$NN$31*(170-$NR$31+1)*($NS$31-170+1)/$NU$31,$NN$31/$NT$31)),0)</f>
        <v/>
      </c>
      <c r="FS31" s="402">
        <f>IF(AND(171&gt;=$NR$31,171&lt;=$NS$31),IF($NP$31="Single_Point",IF(171=$NR$31,$NN$31,0),IF($NP$31="Bell_Curve",$NN$31*(171-$NR$31+1)*($NS$31-171+1)/$NU$31,$NN$31/$NT$31)),0)</f>
        <v/>
      </c>
      <c r="FT31" s="402">
        <f>IF(AND(172&gt;=$NR$31,172&lt;=$NS$31),IF($NP$31="Single_Point",IF(172=$NR$31,$NN$31,0),IF($NP$31="Bell_Curve",$NN$31*(172-$NR$31+1)*($NS$31-172+1)/$NU$31,$NN$31/$NT$31)),0)</f>
        <v/>
      </c>
      <c r="FU31" s="402">
        <f>IF(AND(173&gt;=$NR$31,173&lt;=$NS$31),IF($NP$31="Single_Point",IF(173=$NR$31,$NN$31,0),IF($NP$31="Bell_Curve",$NN$31*(173-$NR$31+1)*($NS$31-173+1)/$NU$31,$NN$31/$NT$31)),0)</f>
        <v/>
      </c>
      <c r="FV31" s="402">
        <f>IF(AND(174&gt;=$NR$31,174&lt;=$NS$31),IF($NP$31="Single_Point",IF(174=$NR$31,$NN$31,0),IF($NP$31="Bell_Curve",$NN$31*(174-$NR$31+1)*($NS$31-174+1)/$NU$31,$NN$31/$NT$31)),0)</f>
        <v/>
      </c>
      <c r="FW31" s="402">
        <f>IF(AND(175&gt;=$NR$31,175&lt;=$NS$31),IF($NP$31="Single_Point",IF(175=$NR$31,$NN$31,0),IF($NP$31="Bell_Curve",$NN$31*(175-$NR$31+1)*($NS$31-175+1)/$NU$31,$NN$31/$NT$31)),0)</f>
        <v/>
      </c>
      <c r="FX31" s="402">
        <f>IF(AND(176&gt;=$NR$31,176&lt;=$NS$31),IF($NP$31="Single_Point",IF(176=$NR$31,$NN$31,0),IF($NP$31="Bell_Curve",$NN$31*(176-$NR$31+1)*($NS$31-176+1)/$NU$31,$NN$31/$NT$31)),0)</f>
        <v/>
      </c>
      <c r="FY31" s="402">
        <f>IF(AND(177&gt;=$NR$31,177&lt;=$NS$31),IF($NP$31="Single_Point",IF(177=$NR$31,$NN$31,0),IF($NP$31="Bell_Curve",$NN$31*(177-$NR$31+1)*($NS$31-177+1)/$NU$31,$NN$31/$NT$31)),0)</f>
        <v/>
      </c>
      <c r="FZ31" s="402">
        <f>IF(AND(178&gt;=$NR$31,178&lt;=$NS$31),IF($NP$31="Single_Point",IF(178=$NR$31,$NN$31,0),IF($NP$31="Bell_Curve",$NN$31*(178-$NR$31+1)*($NS$31-178+1)/$NU$31,$NN$31/$NT$31)),0)</f>
        <v/>
      </c>
      <c r="GA31" s="402">
        <f>IF(AND(179&gt;=$NR$31,179&lt;=$NS$31),IF($NP$31="Single_Point",IF(179=$NR$31,$NN$31,0),IF($NP$31="Bell_Curve",$NN$31*(179-$NR$31+1)*($NS$31-179+1)/$NU$31,$NN$31/$NT$31)),0)</f>
        <v/>
      </c>
      <c r="GB31" s="402">
        <f>IF(AND(180&gt;=$NR$31,180&lt;=$NS$31),IF($NP$31="Single_Point",IF(180=$NR$31,$NN$31,0),IF($NP$31="Bell_Curve",$NN$31*(180-$NR$31+1)*($NS$31-180+1)/$NU$31,$NN$31/$NT$31)),0)</f>
        <v/>
      </c>
      <c r="GC31" s="402">
        <f>IF(AND(181&gt;=$NR$31,181&lt;=$NS$31),IF($NP$31="Single_Point",IF(181=$NR$31,$NN$31,0),IF($NP$31="Bell_Curve",$NN$31*(181-$NR$31+1)*($NS$31-181+1)/$NU$31,$NN$31/$NT$31)),0)</f>
        <v/>
      </c>
      <c r="GD31" s="402">
        <f>IF(AND(182&gt;=$NR$31,182&lt;=$NS$31),IF($NP$31="Single_Point",IF(182=$NR$31,$NN$31,0),IF($NP$31="Bell_Curve",$NN$31*(182-$NR$31+1)*($NS$31-182+1)/$NU$31,$NN$31/$NT$31)),0)</f>
        <v/>
      </c>
      <c r="GE31" s="402">
        <f>IF(AND(183&gt;=$NR$31,183&lt;=$NS$31),IF($NP$31="Single_Point",IF(183=$NR$31,$NN$31,0),IF($NP$31="Bell_Curve",$NN$31*(183-$NR$31+1)*($NS$31-183+1)/$NU$31,$NN$31/$NT$31)),0)</f>
        <v/>
      </c>
      <c r="GF31" s="402">
        <f>IF(AND(184&gt;=$NR$31,184&lt;=$NS$31),IF($NP$31="Single_Point",IF(184=$NR$31,$NN$31,0),IF($NP$31="Bell_Curve",$NN$31*(184-$NR$31+1)*($NS$31-184+1)/$NU$31,$NN$31/$NT$31)),0)</f>
        <v/>
      </c>
      <c r="GG31" s="402">
        <f>IF(AND(185&gt;=$NR$31,185&lt;=$NS$31),IF($NP$31="Single_Point",IF(185=$NR$31,$NN$31,0),IF($NP$31="Bell_Curve",$NN$31*(185-$NR$31+1)*($NS$31-185+1)/$NU$31,$NN$31/$NT$31)),0)</f>
        <v/>
      </c>
      <c r="GH31" s="402">
        <f>IF(AND(186&gt;=$NR$31,186&lt;=$NS$31),IF($NP$31="Single_Point",IF(186=$NR$31,$NN$31,0),IF($NP$31="Bell_Curve",$NN$31*(186-$NR$31+1)*($NS$31-186+1)/$NU$31,$NN$31/$NT$31)),0)</f>
        <v/>
      </c>
      <c r="GI31" s="402">
        <f>IF(AND(187&gt;=$NR$31,187&lt;=$NS$31),IF($NP$31="Single_Point",IF(187=$NR$31,$NN$31,0),IF($NP$31="Bell_Curve",$NN$31*(187-$NR$31+1)*($NS$31-187+1)/$NU$31,$NN$31/$NT$31)),0)</f>
        <v/>
      </c>
      <c r="GJ31" s="402">
        <f>IF(AND(188&gt;=$NR$31,188&lt;=$NS$31),IF($NP$31="Single_Point",IF(188=$NR$31,$NN$31,0),IF($NP$31="Bell_Curve",$NN$31*(188-$NR$31+1)*($NS$31-188+1)/$NU$31,$NN$31/$NT$31)),0)</f>
        <v/>
      </c>
      <c r="GK31" s="402">
        <f>IF(AND(189&gt;=$NR$31,189&lt;=$NS$31),IF($NP$31="Single_Point",IF(189=$NR$31,$NN$31,0),IF($NP$31="Bell_Curve",$NN$31*(189-$NR$31+1)*($NS$31-189+1)/$NU$31,$NN$31/$NT$31)),0)</f>
        <v/>
      </c>
      <c r="GL31" s="402">
        <f>IF(AND(190&gt;=$NR$31,190&lt;=$NS$31),IF($NP$31="Single_Point",IF(190=$NR$31,$NN$31,0),IF($NP$31="Bell_Curve",$NN$31*(190-$NR$31+1)*($NS$31-190+1)/$NU$31,$NN$31/$NT$31)),0)</f>
        <v/>
      </c>
      <c r="GM31" s="402">
        <f>IF(AND(191&gt;=$NR$31,191&lt;=$NS$31),IF($NP$31="Single_Point",IF(191=$NR$31,$NN$31,0),IF($NP$31="Bell_Curve",$NN$31*(191-$NR$31+1)*($NS$31-191+1)/$NU$31,$NN$31/$NT$31)),0)</f>
        <v/>
      </c>
      <c r="GN31" s="402">
        <f>IF(AND(192&gt;=$NR$31,192&lt;=$NS$31),IF($NP$31="Single_Point",IF(192=$NR$31,$NN$31,0),IF($NP$31="Bell_Curve",$NN$31*(192-$NR$31+1)*($NS$31-192+1)/$NU$31,$NN$31/$NT$31)),0)</f>
        <v/>
      </c>
      <c r="GO31" s="402">
        <f>IF(AND(193&gt;=$NR$31,193&lt;=$NS$31),IF($NP$31="Single_Point",IF(193=$NR$31,$NN$31,0),IF($NP$31="Bell_Curve",$NN$31*(193-$NR$31+1)*($NS$31-193+1)/$NU$31,$NN$31/$NT$31)),0)</f>
        <v/>
      </c>
      <c r="GP31" s="402">
        <f>IF(AND(194&gt;=$NR$31,194&lt;=$NS$31),IF($NP$31="Single_Point",IF(194=$NR$31,$NN$31,0),IF($NP$31="Bell_Curve",$NN$31*(194-$NR$31+1)*($NS$31-194+1)/$NU$31,$NN$31/$NT$31)),0)</f>
        <v/>
      </c>
      <c r="GQ31" s="402">
        <f>IF(AND(195&gt;=$NR$31,195&lt;=$NS$31),IF($NP$31="Single_Point",IF(195=$NR$31,$NN$31,0),IF($NP$31="Bell_Curve",$NN$31*(195-$NR$31+1)*($NS$31-195+1)/$NU$31,$NN$31/$NT$31)),0)</f>
        <v/>
      </c>
      <c r="GR31" s="402">
        <f>IF(AND(196&gt;=$NR$31,196&lt;=$NS$31),IF($NP$31="Single_Point",IF(196=$NR$31,$NN$31,0),IF($NP$31="Bell_Curve",$NN$31*(196-$NR$31+1)*($NS$31-196+1)/$NU$31,$NN$31/$NT$31)),0)</f>
        <v/>
      </c>
      <c r="GS31" s="402">
        <f>IF(AND(197&gt;=$NR$31,197&lt;=$NS$31),IF($NP$31="Single_Point",IF(197=$NR$31,$NN$31,0),IF($NP$31="Bell_Curve",$NN$31*(197-$NR$31+1)*($NS$31-197+1)/$NU$31,$NN$31/$NT$31)),0)</f>
        <v/>
      </c>
      <c r="GT31" s="402">
        <f>IF(AND(198&gt;=$NR$31,198&lt;=$NS$31),IF($NP$31="Single_Point",IF(198=$NR$31,$NN$31,0),IF($NP$31="Bell_Curve",$NN$31*(198-$NR$31+1)*($NS$31-198+1)/$NU$31,$NN$31/$NT$31)),0)</f>
        <v/>
      </c>
      <c r="GU31" s="402">
        <f>IF(AND(199&gt;=$NR$31,199&lt;=$NS$31),IF($NP$31="Single_Point",IF(199=$NR$31,$NN$31,0),IF($NP$31="Bell_Curve",$NN$31*(199-$NR$31+1)*($NS$31-199+1)/$NU$31,$NN$31/$NT$31)),0)</f>
        <v/>
      </c>
      <c r="GV31" s="402">
        <f>IF(AND(200&gt;=$NR$31,200&lt;=$NS$31),IF($NP$31="Single_Point",IF(200=$NR$31,$NN$31,0),IF($NP$31="Bell_Curve",$NN$31*(200-$NR$31+1)*($NS$31-200+1)/$NU$31,$NN$31/$NT$31)),0)</f>
        <v/>
      </c>
      <c r="GW31" s="402">
        <f>IF(AND(201&gt;=$NR$31,201&lt;=$NS$31),IF($NP$31="Single_Point",IF(201=$NR$31,$NN$31,0),IF($NP$31="Bell_Curve",$NN$31*(201-$NR$31+1)*($NS$31-201+1)/$NU$31,$NN$31/$NT$31)),0)</f>
        <v/>
      </c>
      <c r="GX31" s="402">
        <f>IF(AND(202&gt;=$NR$31,202&lt;=$NS$31),IF($NP$31="Single_Point",IF(202=$NR$31,$NN$31,0),IF($NP$31="Bell_Curve",$NN$31*(202-$NR$31+1)*($NS$31-202+1)/$NU$31,$NN$31/$NT$31)),0)</f>
        <v/>
      </c>
      <c r="GY31" s="402">
        <f>IF(AND(203&gt;=$NR$31,203&lt;=$NS$31),IF($NP$31="Single_Point",IF(203=$NR$31,$NN$31,0),IF($NP$31="Bell_Curve",$NN$31*(203-$NR$31+1)*($NS$31-203+1)/$NU$31,$NN$31/$NT$31)),0)</f>
        <v/>
      </c>
      <c r="GZ31" s="402">
        <f>IF(AND(204&gt;=$NR$31,204&lt;=$NS$31),IF($NP$31="Single_Point",IF(204=$NR$31,$NN$31,0),IF($NP$31="Bell_Curve",$NN$31*(204-$NR$31+1)*($NS$31-204+1)/$NU$31,$NN$31/$NT$31)),0)</f>
        <v/>
      </c>
      <c r="HA31" s="402">
        <f>IF(AND(205&gt;=$NR$31,205&lt;=$NS$31),IF($NP$31="Single_Point",IF(205=$NR$31,$NN$31,0),IF($NP$31="Bell_Curve",$NN$31*(205-$NR$31+1)*($NS$31-205+1)/$NU$31,$NN$31/$NT$31)),0)</f>
        <v/>
      </c>
      <c r="HB31" s="402">
        <f>IF(AND(206&gt;=$NR$31,206&lt;=$NS$31),IF($NP$31="Single_Point",IF(206=$NR$31,$NN$31,0),IF($NP$31="Bell_Curve",$NN$31*(206-$NR$31+1)*($NS$31-206+1)/$NU$31,$NN$31/$NT$31)),0)</f>
        <v/>
      </c>
      <c r="HC31" s="402">
        <f>IF(AND(207&gt;=$NR$31,207&lt;=$NS$31),IF($NP$31="Single_Point",IF(207=$NR$31,$NN$31,0),IF($NP$31="Bell_Curve",$NN$31*(207-$NR$31+1)*($NS$31-207+1)/$NU$31,$NN$31/$NT$31)),0)</f>
        <v/>
      </c>
      <c r="HD31" s="402">
        <f>IF(AND(208&gt;=$NR$31,208&lt;=$NS$31),IF($NP$31="Single_Point",IF(208=$NR$31,$NN$31,0),IF($NP$31="Bell_Curve",$NN$31*(208-$NR$31+1)*($NS$31-208+1)/$NU$31,$NN$31/$NT$31)),0)</f>
        <v/>
      </c>
      <c r="HE31" s="402">
        <f>IF(AND(209&gt;=$NR$31,209&lt;=$NS$31),IF($NP$31="Single_Point",IF(209=$NR$31,$NN$31,0),IF($NP$31="Bell_Curve",$NN$31*(209-$NR$31+1)*($NS$31-209+1)/$NU$31,$NN$31/$NT$31)),0)</f>
        <v/>
      </c>
      <c r="HF31" s="402">
        <f>IF(AND(210&gt;=$NR$31,210&lt;=$NS$31),IF($NP$31="Single_Point",IF(210=$NR$31,$NN$31,0),IF($NP$31="Bell_Curve",$NN$31*(210-$NR$31+1)*($NS$31-210+1)/$NU$31,$NN$31/$NT$31)),0)</f>
        <v/>
      </c>
      <c r="HG31" s="402">
        <f>IF(AND(211&gt;=$NR$31,211&lt;=$NS$31),IF($NP$31="Single_Point",IF(211=$NR$31,$NN$31,0),IF($NP$31="Bell_Curve",$NN$31*(211-$NR$31+1)*($NS$31-211+1)/$NU$31,$NN$31/$NT$31)),0)</f>
        <v/>
      </c>
      <c r="HH31" s="402">
        <f>IF(AND(212&gt;=$NR$31,212&lt;=$NS$31),IF($NP$31="Single_Point",IF(212=$NR$31,$NN$31,0),IF($NP$31="Bell_Curve",$NN$31*(212-$NR$31+1)*($NS$31-212+1)/$NU$31,$NN$31/$NT$31)),0)</f>
        <v/>
      </c>
      <c r="HI31" s="402">
        <f>IF(AND(213&gt;=$NR$31,213&lt;=$NS$31),IF($NP$31="Single_Point",IF(213=$NR$31,$NN$31,0),IF($NP$31="Bell_Curve",$NN$31*(213-$NR$31+1)*($NS$31-213+1)/$NU$31,$NN$31/$NT$31)),0)</f>
        <v/>
      </c>
      <c r="HJ31" s="402">
        <f>IF(AND(214&gt;=$NR$31,214&lt;=$NS$31),IF($NP$31="Single_Point",IF(214=$NR$31,$NN$31,0),IF($NP$31="Bell_Curve",$NN$31*(214-$NR$31+1)*($NS$31-214+1)/$NU$31,$NN$31/$NT$31)),0)</f>
        <v/>
      </c>
      <c r="HK31" s="402">
        <f>IF(AND(215&gt;=$NR$31,215&lt;=$NS$31),IF($NP$31="Single_Point",IF(215=$NR$31,$NN$31,0),IF($NP$31="Bell_Curve",$NN$31*(215-$NR$31+1)*($NS$31-215+1)/$NU$31,$NN$31/$NT$31)),0)</f>
        <v/>
      </c>
      <c r="HL31" s="402">
        <f>IF(AND(216&gt;=$NR$31,216&lt;=$NS$31),IF($NP$31="Single_Point",IF(216=$NR$31,$NN$31,0),IF($NP$31="Bell_Curve",$NN$31*(216-$NR$31+1)*($NS$31-216+1)/$NU$31,$NN$31/$NT$31)),0)</f>
        <v/>
      </c>
      <c r="HM31" s="402">
        <f>IF(AND(217&gt;=$NR$31,217&lt;=$NS$31),IF($NP$31="Single_Point",IF(217=$NR$31,$NN$31,0),IF($NP$31="Bell_Curve",$NN$31*(217-$NR$31+1)*($NS$31-217+1)/$NU$31,$NN$31/$NT$31)),0)</f>
        <v/>
      </c>
      <c r="HN31" s="402">
        <f>IF(AND(218&gt;=$NR$31,218&lt;=$NS$31),IF($NP$31="Single_Point",IF(218=$NR$31,$NN$31,0),IF($NP$31="Bell_Curve",$NN$31*(218-$NR$31+1)*($NS$31-218+1)/$NU$31,$NN$31/$NT$31)),0)</f>
        <v/>
      </c>
      <c r="HO31" s="402">
        <f>IF(AND(219&gt;=$NR$31,219&lt;=$NS$31),IF($NP$31="Single_Point",IF(219=$NR$31,$NN$31,0),IF($NP$31="Bell_Curve",$NN$31*(219-$NR$31+1)*($NS$31-219+1)/$NU$31,$NN$31/$NT$31)),0)</f>
        <v/>
      </c>
      <c r="HP31" s="402">
        <f>IF(AND(220&gt;=$NR$31,220&lt;=$NS$31),IF($NP$31="Single_Point",IF(220=$NR$31,$NN$31,0),IF($NP$31="Bell_Curve",$NN$31*(220-$NR$31+1)*($NS$31-220+1)/$NU$31,$NN$31/$NT$31)),0)</f>
        <v/>
      </c>
      <c r="HQ31" s="402">
        <f>IF(AND(221&gt;=$NR$31,221&lt;=$NS$31),IF($NP$31="Single_Point",IF(221=$NR$31,$NN$31,0),IF($NP$31="Bell_Curve",$NN$31*(221-$NR$31+1)*($NS$31-221+1)/$NU$31,$NN$31/$NT$31)),0)</f>
        <v/>
      </c>
      <c r="HR31" s="402">
        <f>IF(AND(222&gt;=$NR$31,222&lt;=$NS$31),IF($NP$31="Single_Point",IF(222=$NR$31,$NN$31,0),IF($NP$31="Bell_Curve",$NN$31*(222-$NR$31+1)*($NS$31-222+1)/$NU$31,$NN$31/$NT$31)),0)</f>
        <v/>
      </c>
      <c r="HS31" s="402">
        <f>IF(AND(223&gt;=$NR$31,223&lt;=$NS$31),IF($NP$31="Single_Point",IF(223=$NR$31,$NN$31,0),IF($NP$31="Bell_Curve",$NN$31*(223-$NR$31+1)*($NS$31-223+1)/$NU$31,$NN$31/$NT$31)),0)</f>
        <v/>
      </c>
      <c r="HT31" s="402">
        <f>IF(AND(224&gt;=$NR$31,224&lt;=$NS$31),IF($NP$31="Single_Point",IF(224=$NR$31,$NN$31,0),IF($NP$31="Bell_Curve",$NN$31*(224-$NR$31+1)*($NS$31-224+1)/$NU$31,$NN$31/$NT$31)),0)</f>
        <v/>
      </c>
      <c r="HU31" s="402">
        <f>IF(AND(225&gt;=$NR$31,225&lt;=$NS$31),IF($NP$31="Single_Point",IF(225=$NR$31,$NN$31,0),IF($NP$31="Bell_Curve",$NN$31*(225-$NR$31+1)*($NS$31-225+1)/$NU$31,$NN$31/$NT$31)),0)</f>
        <v/>
      </c>
      <c r="HV31" s="402">
        <f>IF(AND(226&gt;=$NR$31,226&lt;=$NS$31),IF($NP$31="Single_Point",IF(226=$NR$31,$NN$31,0),IF($NP$31="Bell_Curve",$NN$31*(226-$NR$31+1)*($NS$31-226+1)/$NU$31,$NN$31/$NT$31)),0)</f>
        <v/>
      </c>
      <c r="HW31" s="402">
        <f>IF(AND(227&gt;=$NR$31,227&lt;=$NS$31),IF($NP$31="Single_Point",IF(227=$NR$31,$NN$31,0),IF($NP$31="Bell_Curve",$NN$31*(227-$NR$31+1)*($NS$31-227+1)/$NU$31,$NN$31/$NT$31)),0)</f>
        <v/>
      </c>
      <c r="HX31" s="402">
        <f>IF(AND(228&gt;=$NR$31,228&lt;=$NS$31),IF($NP$31="Single_Point",IF(228=$NR$31,$NN$31,0),IF($NP$31="Bell_Curve",$NN$31*(228-$NR$31+1)*($NS$31-228+1)/$NU$31,$NN$31/$NT$31)),0)</f>
        <v/>
      </c>
      <c r="HY31" s="402">
        <f>IF(AND(229&gt;=$NR$31,229&lt;=$NS$31),IF($NP$31="Single_Point",IF(229=$NR$31,$NN$31,0),IF($NP$31="Bell_Curve",$NN$31*(229-$NR$31+1)*($NS$31-229+1)/$NU$31,$NN$31/$NT$31)),0)</f>
        <v/>
      </c>
      <c r="HZ31" s="402">
        <f>IF(AND(230&gt;=$NR$31,230&lt;=$NS$31),IF($NP$31="Single_Point",IF(230=$NR$31,$NN$31,0),IF($NP$31="Bell_Curve",$NN$31*(230-$NR$31+1)*($NS$31-230+1)/$NU$31,$NN$31/$NT$31)),0)</f>
        <v/>
      </c>
      <c r="IA31" s="402">
        <f>IF(AND(231&gt;=$NR$31,231&lt;=$NS$31),IF($NP$31="Single_Point",IF(231=$NR$31,$NN$31,0),IF($NP$31="Bell_Curve",$NN$31*(231-$NR$31+1)*($NS$31-231+1)/$NU$31,$NN$31/$NT$31)),0)</f>
        <v/>
      </c>
      <c r="IB31" s="402">
        <f>IF(AND(232&gt;=$NR$31,232&lt;=$NS$31),IF($NP$31="Single_Point",IF(232=$NR$31,$NN$31,0),IF($NP$31="Bell_Curve",$NN$31*(232-$NR$31+1)*($NS$31-232+1)/$NU$31,$NN$31/$NT$31)),0)</f>
        <v/>
      </c>
      <c r="IC31" s="402">
        <f>IF(AND(233&gt;=$NR$31,233&lt;=$NS$31),IF($NP$31="Single_Point",IF(233=$NR$31,$NN$31,0),IF($NP$31="Bell_Curve",$NN$31*(233-$NR$31+1)*($NS$31-233+1)/$NU$31,$NN$31/$NT$31)),0)</f>
        <v/>
      </c>
      <c r="ID31" s="402">
        <f>IF(AND(234&gt;=$NR$31,234&lt;=$NS$31),IF($NP$31="Single_Point",IF(234=$NR$31,$NN$31,0),IF($NP$31="Bell_Curve",$NN$31*(234-$NR$31+1)*($NS$31-234+1)/$NU$31,$NN$31/$NT$31)),0)</f>
        <v/>
      </c>
      <c r="IE31" s="402">
        <f>IF(AND(235&gt;=$NR$31,235&lt;=$NS$31),IF($NP$31="Single_Point",IF(235=$NR$31,$NN$31,0),IF($NP$31="Bell_Curve",$NN$31*(235-$NR$31+1)*($NS$31-235+1)/$NU$31,$NN$31/$NT$31)),0)</f>
        <v/>
      </c>
      <c r="IF31" s="402">
        <f>IF(AND(236&gt;=$NR$31,236&lt;=$NS$31),IF($NP$31="Single_Point",IF(236=$NR$31,$NN$31,0),IF($NP$31="Bell_Curve",$NN$31*(236-$NR$31+1)*($NS$31-236+1)/$NU$31,$NN$31/$NT$31)),0)</f>
        <v/>
      </c>
      <c r="IG31" s="402">
        <f>IF(AND(237&gt;=$NR$31,237&lt;=$NS$31),IF($NP$31="Single_Point",IF(237=$NR$31,$NN$31,0),IF($NP$31="Bell_Curve",$NN$31*(237-$NR$31+1)*($NS$31-237+1)/$NU$31,$NN$31/$NT$31)),0)</f>
        <v/>
      </c>
      <c r="IH31" s="402">
        <f>IF(AND(238&gt;=$NR$31,238&lt;=$NS$31),IF($NP$31="Single_Point",IF(238=$NR$31,$NN$31,0),IF($NP$31="Bell_Curve",$NN$31*(238-$NR$31+1)*($NS$31-238+1)/$NU$31,$NN$31/$NT$31)),0)</f>
        <v/>
      </c>
      <c r="II31" s="402">
        <f>IF(AND(239&gt;=$NR$31,239&lt;=$NS$31),IF($NP$31="Single_Point",IF(239=$NR$31,$NN$31,0),IF($NP$31="Bell_Curve",$NN$31*(239-$NR$31+1)*($NS$31-239+1)/$NU$31,$NN$31/$NT$31)),0)</f>
        <v/>
      </c>
      <c r="IJ31" s="402">
        <f>IF(AND(240&gt;=$NR$31,240&lt;=$NS$31),IF($NP$31="Single_Point",IF(240=$NR$31,$NN$31,0),IF($NP$31="Bell_Curve",$NN$31*(240-$NR$31+1)*($NS$31-240+1)/$NU$31,$NN$31/$NT$31)),0)</f>
        <v/>
      </c>
      <c r="IK31" s="402">
        <f>IF(AND(241&gt;=$NR$31,241&lt;=$NS$31),IF($NP$31="Single_Point",IF(241=$NR$31,$NN$31,0),IF($NP$31="Bell_Curve",$NN$31*(241-$NR$31+1)*($NS$31-241+1)/$NU$31,$NN$31/$NT$31)),0)</f>
        <v/>
      </c>
      <c r="IL31" s="402">
        <f>IF(AND(242&gt;=$NR$31,242&lt;=$NS$31),IF($NP$31="Single_Point",IF(242=$NR$31,$NN$31,0),IF($NP$31="Bell_Curve",$NN$31*(242-$NR$31+1)*($NS$31-242+1)/$NU$31,$NN$31/$NT$31)),0)</f>
        <v/>
      </c>
      <c r="IM31" s="402">
        <f>IF(AND(243&gt;=$NR$31,243&lt;=$NS$31),IF($NP$31="Single_Point",IF(243=$NR$31,$NN$31,0),IF($NP$31="Bell_Curve",$NN$31*(243-$NR$31+1)*($NS$31-243+1)/$NU$31,$NN$31/$NT$31)),0)</f>
        <v/>
      </c>
      <c r="IN31" s="402">
        <f>IF(AND(244&gt;=$NR$31,244&lt;=$NS$31),IF($NP$31="Single_Point",IF(244=$NR$31,$NN$31,0),IF($NP$31="Bell_Curve",$NN$31*(244-$NR$31+1)*($NS$31-244+1)/$NU$31,$NN$31/$NT$31)),0)</f>
        <v/>
      </c>
      <c r="IO31" s="402">
        <f>IF(AND(245&gt;=$NR$31,245&lt;=$NS$31),IF($NP$31="Single_Point",IF(245=$NR$31,$NN$31,0),IF($NP$31="Bell_Curve",$NN$31*(245-$NR$31+1)*($NS$31-245+1)/$NU$31,$NN$31/$NT$31)),0)</f>
        <v/>
      </c>
      <c r="IP31" s="402">
        <f>IF(AND(246&gt;=$NR$31,246&lt;=$NS$31),IF($NP$31="Single_Point",IF(246=$NR$31,$NN$31,0),IF($NP$31="Bell_Curve",$NN$31*(246-$NR$31+1)*($NS$31-246+1)/$NU$31,$NN$31/$NT$31)),0)</f>
        <v/>
      </c>
      <c r="IQ31" s="402">
        <f>IF(AND(247&gt;=$NR$31,247&lt;=$NS$31),IF($NP$31="Single_Point",IF(247=$NR$31,$NN$31,0),IF($NP$31="Bell_Curve",$NN$31*(247-$NR$31+1)*($NS$31-247+1)/$NU$31,$NN$31/$NT$31)),0)</f>
        <v/>
      </c>
      <c r="IR31" s="402">
        <f>IF(AND(248&gt;=$NR$31,248&lt;=$NS$31),IF($NP$31="Single_Point",IF(248=$NR$31,$NN$31,0),IF($NP$31="Bell_Curve",$NN$31*(248-$NR$31+1)*($NS$31-248+1)/$NU$31,$NN$31/$NT$31)),0)</f>
        <v/>
      </c>
      <c r="IS31" s="402">
        <f>IF(AND(249&gt;=$NR$31,249&lt;=$NS$31),IF($NP$31="Single_Point",IF(249=$NR$31,$NN$31,0),IF($NP$31="Bell_Curve",$NN$31*(249-$NR$31+1)*($NS$31-249+1)/$NU$31,$NN$31/$NT$31)),0)</f>
        <v/>
      </c>
      <c r="IT31" s="402">
        <f>IF(AND(250&gt;=$NR$31,250&lt;=$NS$31),IF($NP$31="Single_Point",IF(250=$NR$31,$NN$31,0),IF($NP$31="Bell_Curve",$NN$31*(250-$NR$31+1)*($NS$31-250+1)/$NU$31,$NN$31/$NT$31)),0)</f>
        <v/>
      </c>
      <c r="IU31" s="402">
        <f>IF(AND(251&gt;=$NR$31,251&lt;=$NS$31),IF($NP$31="Single_Point",IF(251=$NR$31,$NN$31,0),IF($NP$31="Bell_Curve",$NN$31*(251-$NR$31+1)*($NS$31-251+1)/$NU$31,$NN$31/$NT$31)),0)</f>
        <v/>
      </c>
      <c r="IV31" s="402">
        <f>IF(AND(252&gt;=$NR$31,252&lt;=$NS$31),IF($NP$31="Single_Point",IF(252=$NR$31,$NN$31,0),IF($NP$31="Bell_Curve",$NN$31*(252-$NR$31+1)*($NS$31-252+1)/$NU$31,$NN$31/$NT$31)),0)</f>
        <v/>
      </c>
      <c r="IW31" s="402">
        <f>IF(AND(253&gt;=$NR$31,253&lt;=$NS$31),IF($NP$31="Single_Point",IF(253=$NR$31,$NN$31,0),IF($NP$31="Bell_Curve",$NN$31*(253-$NR$31+1)*($NS$31-253+1)/$NU$31,$NN$31/$NT$31)),0)</f>
        <v/>
      </c>
      <c r="IX31" s="402">
        <f>IF(AND(254&gt;=$NR$31,254&lt;=$NS$31),IF($NP$31="Single_Point",IF(254=$NR$31,$NN$31,0),IF($NP$31="Bell_Curve",$NN$31*(254-$NR$31+1)*($NS$31-254+1)/$NU$31,$NN$31/$NT$31)),0)</f>
        <v/>
      </c>
      <c r="IY31" s="402">
        <f>IF(AND(255&gt;=$NR$31,255&lt;=$NS$31),IF($NP$31="Single_Point",IF(255=$NR$31,$NN$31,0),IF($NP$31="Bell_Curve",$NN$31*(255-$NR$31+1)*($NS$31-255+1)/$NU$31,$NN$31/$NT$31)),0)</f>
        <v/>
      </c>
      <c r="IZ31" s="402">
        <f>IF(AND(256&gt;=$NR$31,256&lt;=$NS$31),IF($NP$31="Single_Point",IF(256=$NR$31,$NN$31,0),IF($NP$31="Bell_Curve",$NN$31*(256-$NR$31+1)*($NS$31-256+1)/$NU$31,$NN$31/$NT$31)),0)</f>
        <v/>
      </c>
      <c r="JA31" s="402">
        <f>IF(AND(257&gt;=$NR$31,257&lt;=$NS$31),IF($NP$31="Single_Point",IF(257=$NR$31,$NN$31,0),IF($NP$31="Bell_Curve",$NN$31*(257-$NR$31+1)*($NS$31-257+1)/$NU$31,$NN$31/$NT$31)),0)</f>
        <v/>
      </c>
      <c r="JB31" s="402">
        <f>IF(AND(258&gt;=$NR$31,258&lt;=$NS$31),IF($NP$31="Single_Point",IF(258=$NR$31,$NN$31,0),IF($NP$31="Bell_Curve",$NN$31*(258-$NR$31+1)*($NS$31-258+1)/$NU$31,$NN$31/$NT$31)),0)</f>
        <v/>
      </c>
      <c r="JC31" s="402">
        <f>IF(AND(259&gt;=$NR$31,259&lt;=$NS$31),IF($NP$31="Single_Point",IF(259=$NR$31,$NN$31,0),IF($NP$31="Bell_Curve",$NN$31*(259-$NR$31+1)*($NS$31-259+1)/$NU$31,$NN$31/$NT$31)),0)</f>
        <v/>
      </c>
      <c r="JD31" s="402">
        <f>IF(AND(260&gt;=$NR$31,260&lt;=$NS$31),IF($NP$31="Single_Point",IF(260=$NR$31,$NN$31,0),IF($NP$31="Bell_Curve",$NN$31*(260-$NR$31+1)*($NS$31-260+1)/$NU$31,$NN$31/$NT$31)),0)</f>
        <v/>
      </c>
      <c r="JE31" s="402">
        <f>IF(AND(261&gt;=$NR$31,261&lt;=$NS$31),IF($NP$31="Single_Point",IF(261=$NR$31,$NN$31,0),IF($NP$31="Bell_Curve",$NN$31*(261-$NR$31+1)*($NS$31-261+1)/$NU$31,$NN$31/$NT$31)),0)</f>
        <v/>
      </c>
      <c r="JF31" s="402">
        <f>IF(AND(262&gt;=$NR$31,262&lt;=$NS$31),IF($NP$31="Single_Point",IF(262=$NR$31,$NN$31,0),IF($NP$31="Bell_Curve",$NN$31*(262-$NR$31+1)*($NS$31-262+1)/$NU$31,$NN$31/$NT$31)),0)</f>
        <v/>
      </c>
      <c r="JG31" s="402">
        <f>IF(AND(263&gt;=$NR$31,263&lt;=$NS$31),IF($NP$31="Single_Point",IF(263=$NR$31,$NN$31,0),IF($NP$31="Bell_Curve",$NN$31*(263-$NR$31+1)*($NS$31-263+1)/$NU$31,$NN$31/$NT$31)),0)</f>
        <v/>
      </c>
      <c r="JH31" s="402">
        <f>IF(AND(264&gt;=$NR$31,264&lt;=$NS$31),IF($NP$31="Single_Point",IF(264=$NR$31,$NN$31,0),IF($NP$31="Bell_Curve",$NN$31*(264-$NR$31+1)*($NS$31-264+1)/$NU$31,$NN$31/$NT$31)),0)</f>
        <v/>
      </c>
      <c r="JI31" s="402">
        <f>IF(AND(265&gt;=$NR$31,265&lt;=$NS$31),IF($NP$31="Single_Point",IF(265=$NR$31,$NN$31,0),IF($NP$31="Bell_Curve",$NN$31*(265-$NR$31+1)*($NS$31-265+1)/$NU$31,$NN$31/$NT$31)),0)</f>
        <v/>
      </c>
      <c r="JJ31" s="402">
        <f>IF(AND(266&gt;=$NR$31,266&lt;=$NS$31),IF($NP$31="Single_Point",IF(266=$NR$31,$NN$31,0),IF($NP$31="Bell_Curve",$NN$31*(266-$NR$31+1)*($NS$31-266+1)/$NU$31,$NN$31/$NT$31)),0)</f>
        <v/>
      </c>
      <c r="JK31" s="402">
        <f>IF(AND(267&gt;=$NR$31,267&lt;=$NS$31),IF($NP$31="Single_Point",IF(267=$NR$31,$NN$31,0),IF($NP$31="Bell_Curve",$NN$31*(267-$NR$31+1)*($NS$31-267+1)/$NU$31,$NN$31/$NT$31)),0)</f>
        <v/>
      </c>
      <c r="JL31" s="402">
        <f>IF(AND(268&gt;=$NR$31,268&lt;=$NS$31),IF($NP$31="Single_Point",IF(268=$NR$31,$NN$31,0),IF($NP$31="Bell_Curve",$NN$31*(268-$NR$31+1)*($NS$31-268+1)/$NU$31,$NN$31/$NT$31)),0)</f>
        <v/>
      </c>
      <c r="JM31" s="402">
        <f>IF(AND(269&gt;=$NR$31,269&lt;=$NS$31),IF($NP$31="Single_Point",IF(269=$NR$31,$NN$31,0),IF($NP$31="Bell_Curve",$NN$31*(269-$NR$31+1)*($NS$31-269+1)/$NU$31,$NN$31/$NT$31)),0)</f>
        <v/>
      </c>
      <c r="JN31" s="402">
        <f>IF(AND(270&gt;=$NR$31,270&lt;=$NS$31),IF($NP$31="Single_Point",IF(270=$NR$31,$NN$31,0),IF($NP$31="Bell_Curve",$NN$31*(270-$NR$31+1)*($NS$31-270+1)/$NU$31,$NN$31/$NT$31)),0)</f>
        <v/>
      </c>
      <c r="JO31" s="402">
        <f>IF(AND(271&gt;=$NR$31,271&lt;=$NS$31),IF($NP$31="Single_Point",IF(271=$NR$31,$NN$31,0),IF($NP$31="Bell_Curve",$NN$31*(271-$NR$31+1)*($NS$31-271+1)/$NU$31,$NN$31/$NT$31)),0)</f>
        <v/>
      </c>
      <c r="JP31" s="402">
        <f>IF(AND(272&gt;=$NR$31,272&lt;=$NS$31),IF($NP$31="Single_Point",IF(272=$NR$31,$NN$31,0),IF($NP$31="Bell_Curve",$NN$31*(272-$NR$31+1)*($NS$31-272+1)/$NU$31,$NN$31/$NT$31)),0)</f>
        <v/>
      </c>
      <c r="JQ31" s="402">
        <f>IF(AND(273&gt;=$NR$31,273&lt;=$NS$31),IF($NP$31="Single_Point",IF(273=$NR$31,$NN$31,0),IF($NP$31="Bell_Curve",$NN$31*(273-$NR$31+1)*($NS$31-273+1)/$NU$31,$NN$31/$NT$31)),0)</f>
        <v/>
      </c>
      <c r="JR31" s="402">
        <f>IF(AND(274&gt;=$NR$31,274&lt;=$NS$31),IF($NP$31="Single_Point",IF(274=$NR$31,$NN$31,0),IF($NP$31="Bell_Curve",$NN$31*(274-$NR$31+1)*($NS$31-274+1)/$NU$31,$NN$31/$NT$31)),0)</f>
        <v/>
      </c>
      <c r="JS31" s="402">
        <f>IF(AND(275&gt;=$NR$31,275&lt;=$NS$31),IF($NP$31="Single_Point",IF(275=$NR$31,$NN$31,0),IF($NP$31="Bell_Curve",$NN$31*(275-$NR$31+1)*($NS$31-275+1)/$NU$31,$NN$31/$NT$31)),0)</f>
        <v/>
      </c>
      <c r="JT31" s="402">
        <f>IF(AND(276&gt;=$NR$31,276&lt;=$NS$31),IF($NP$31="Single_Point",IF(276=$NR$31,$NN$31,0),IF($NP$31="Bell_Curve",$NN$31*(276-$NR$31+1)*($NS$31-276+1)/$NU$31,$NN$31/$NT$31)),0)</f>
        <v/>
      </c>
      <c r="JU31" s="402">
        <f>IF(AND(277&gt;=$NR$31,277&lt;=$NS$31),IF($NP$31="Single_Point",IF(277=$NR$31,$NN$31,0),IF($NP$31="Bell_Curve",$NN$31*(277-$NR$31+1)*($NS$31-277+1)/$NU$31,$NN$31/$NT$31)),0)</f>
        <v/>
      </c>
      <c r="JV31" s="402">
        <f>IF(AND(278&gt;=$NR$31,278&lt;=$NS$31),IF($NP$31="Single_Point",IF(278=$NR$31,$NN$31,0),IF($NP$31="Bell_Curve",$NN$31*(278-$NR$31+1)*($NS$31-278+1)/$NU$31,$NN$31/$NT$31)),0)</f>
        <v/>
      </c>
      <c r="JW31" s="402">
        <f>IF(AND(279&gt;=$NR$31,279&lt;=$NS$31),IF($NP$31="Single_Point",IF(279=$NR$31,$NN$31,0),IF($NP$31="Bell_Curve",$NN$31*(279-$NR$31+1)*($NS$31-279+1)/$NU$31,$NN$31/$NT$31)),0)</f>
        <v/>
      </c>
      <c r="JX31" s="402">
        <f>IF(AND(280&gt;=$NR$31,280&lt;=$NS$31),IF($NP$31="Single_Point",IF(280=$NR$31,$NN$31,0),IF($NP$31="Bell_Curve",$NN$31*(280-$NR$31+1)*($NS$31-280+1)/$NU$31,$NN$31/$NT$31)),0)</f>
        <v/>
      </c>
      <c r="JY31" s="402">
        <f>IF(AND(281&gt;=$NR$31,281&lt;=$NS$31),IF($NP$31="Single_Point",IF(281=$NR$31,$NN$31,0),IF($NP$31="Bell_Curve",$NN$31*(281-$NR$31+1)*($NS$31-281+1)/$NU$31,$NN$31/$NT$31)),0)</f>
        <v/>
      </c>
      <c r="JZ31" s="402">
        <f>IF(AND(282&gt;=$NR$31,282&lt;=$NS$31),IF($NP$31="Single_Point",IF(282=$NR$31,$NN$31,0),IF($NP$31="Bell_Curve",$NN$31*(282-$NR$31+1)*($NS$31-282+1)/$NU$31,$NN$31/$NT$31)),0)</f>
        <v/>
      </c>
      <c r="KA31" s="402">
        <f>IF(AND(283&gt;=$NR$31,283&lt;=$NS$31),IF($NP$31="Single_Point",IF(283=$NR$31,$NN$31,0),IF($NP$31="Bell_Curve",$NN$31*(283-$NR$31+1)*($NS$31-283+1)/$NU$31,$NN$31/$NT$31)),0)</f>
        <v/>
      </c>
      <c r="KB31" s="402">
        <f>IF(AND(284&gt;=$NR$31,284&lt;=$NS$31),IF($NP$31="Single_Point",IF(284=$NR$31,$NN$31,0),IF($NP$31="Bell_Curve",$NN$31*(284-$NR$31+1)*($NS$31-284+1)/$NU$31,$NN$31/$NT$31)),0)</f>
        <v/>
      </c>
      <c r="KC31" s="402">
        <f>IF(AND(285&gt;=$NR$31,285&lt;=$NS$31),IF($NP$31="Single_Point",IF(285=$NR$31,$NN$31,0),IF($NP$31="Bell_Curve",$NN$31*(285-$NR$31+1)*($NS$31-285+1)/$NU$31,$NN$31/$NT$31)),0)</f>
        <v/>
      </c>
      <c r="KD31" s="402">
        <f>IF(AND(286&gt;=$NR$31,286&lt;=$NS$31),IF($NP$31="Single_Point",IF(286=$NR$31,$NN$31,0),IF($NP$31="Bell_Curve",$NN$31*(286-$NR$31+1)*($NS$31-286+1)/$NU$31,$NN$31/$NT$31)),0)</f>
        <v/>
      </c>
      <c r="KE31" s="402">
        <f>IF(AND(287&gt;=$NR$31,287&lt;=$NS$31),IF($NP$31="Single_Point",IF(287=$NR$31,$NN$31,0),IF($NP$31="Bell_Curve",$NN$31*(287-$NR$31+1)*($NS$31-287+1)/$NU$31,$NN$31/$NT$31)),0)</f>
        <v/>
      </c>
      <c r="KF31" s="402">
        <f>IF(AND(288&gt;=$NR$31,288&lt;=$NS$31),IF($NP$31="Single_Point",IF(288=$NR$31,$NN$31,0),IF($NP$31="Bell_Curve",$NN$31*(288-$NR$31+1)*($NS$31-288+1)/$NU$31,$NN$31/$NT$31)),0)</f>
        <v/>
      </c>
      <c r="KG31" s="402">
        <f>IF(AND(289&gt;=$NR$31,289&lt;=$NS$31),IF($NP$31="Single_Point",IF(289=$NR$31,$NN$31,0),IF($NP$31="Bell_Curve",$NN$31*(289-$NR$31+1)*($NS$31-289+1)/$NU$31,$NN$31/$NT$31)),0)</f>
        <v/>
      </c>
      <c r="KH31" s="402">
        <f>IF(AND(290&gt;=$NR$31,290&lt;=$NS$31),IF($NP$31="Single_Point",IF(290=$NR$31,$NN$31,0),IF($NP$31="Bell_Curve",$NN$31*(290-$NR$31+1)*($NS$31-290+1)/$NU$31,$NN$31/$NT$31)),0)</f>
        <v/>
      </c>
      <c r="KI31" s="402">
        <f>IF(AND(291&gt;=$NR$31,291&lt;=$NS$31),IF($NP$31="Single_Point",IF(291=$NR$31,$NN$31,0),IF($NP$31="Bell_Curve",$NN$31*(291-$NR$31+1)*($NS$31-291+1)/$NU$31,$NN$31/$NT$31)),0)</f>
        <v/>
      </c>
      <c r="KJ31" s="402">
        <f>IF(AND(292&gt;=$NR$31,292&lt;=$NS$31),IF($NP$31="Single_Point",IF(292=$NR$31,$NN$31,0),IF($NP$31="Bell_Curve",$NN$31*(292-$NR$31+1)*($NS$31-292+1)/$NU$31,$NN$31/$NT$31)),0)</f>
        <v/>
      </c>
      <c r="KK31" s="402">
        <f>IF(AND(293&gt;=$NR$31,293&lt;=$NS$31),IF($NP$31="Single_Point",IF(293=$NR$31,$NN$31,0),IF($NP$31="Bell_Curve",$NN$31*(293-$NR$31+1)*($NS$31-293+1)/$NU$31,$NN$31/$NT$31)),0)</f>
        <v/>
      </c>
      <c r="KL31" s="402">
        <f>IF(AND(294&gt;=$NR$31,294&lt;=$NS$31),IF($NP$31="Single_Point",IF(294=$NR$31,$NN$31,0),IF($NP$31="Bell_Curve",$NN$31*(294-$NR$31+1)*($NS$31-294+1)/$NU$31,$NN$31/$NT$31)),0)</f>
        <v/>
      </c>
      <c r="KM31" s="402">
        <f>IF(AND(295&gt;=$NR$31,295&lt;=$NS$31),IF($NP$31="Single_Point",IF(295=$NR$31,$NN$31,0),IF($NP$31="Bell_Curve",$NN$31*(295-$NR$31+1)*($NS$31-295+1)/$NU$31,$NN$31/$NT$31)),0)</f>
        <v/>
      </c>
      <c r="KN31" s="402">
        <f>IF(AND(296&gt;=$NR$31,296&lt;=$NS$31),IF($NP$31="Single_Point",IF(296=$NR$31,$NN$31,0),IF($NP$31="Bell_Curve",$NN$31*(296-$NR$31+1)*($NS$31-296+1)/$NU$31,$NN$31/$NT$31)),0)</f>
        <v/>
      </c>
      <c r="KO31" s="402">
        <f>IF(AND(297&gt;=$NR$31,297&lt;=$NS$31),IF($NP$31="Single_Point",IF(297=$NR$31,$NN$31,0),IF($NP$31="Bell_Curve",$NN$31*(297-$NR$31+1)*($NS$31-297+1)/$NU$31,$NN$31/$NT$31)),0)</f>
        <v/>
      </c>
      <c r="KP31" s="402">
        <f>IF(AND(298&gt;=$NR$31,298&lt;=$NS$31),IF($NP$31="Single_Point",IF(298=$NR$31,$NN$31,0),IF($NP$31="Bell_Curve",$NN$31*(298-$NR$31+1)*($NS$31-298+1)/$NU$31,$NN$31/$NT$31)),0)</f>
        <v/>
      </c>
      <c r="KQ31" s="402">
        <f>IF(AND(299&gt;=$NR$31,299&lt;=$NS$31),IF($NP$31="Single_Point",IF(299=$NR$31,$NN$31,0),IF($NP$31="Bell_Curve",$NN$31*(299-$NR$31+1)*($NS$31-299+1)/$NU$31,$NN$31/$NT$31)),0)</f>
        <v/>
      </c>
      <c r="KR31" s="402">
        <f>IF(AND(300&gt;=$NR$31,300&lt;=$NS$31),IF($NP$31="Single_Point",IF(300=$NR$31,$NN$31,0),IF($NP$31="Bell_Curve",$NN$31*(300-$NR$31+1)*($NS$31-300+1)/$NU$31,$NN$31/$NT$31)),0)</f>
        <v/>
      </c>
      <c r="KS31" s="402">
        <f>IF(AND(301&gt;=$NR$31,301&lt;=$NS$31),IF($NP$31="Single_Point",IF(301=$NR$31,$NN$31,0),IF($NP$31="Bell_Curve",$NN$31*(301-$NR$31+1)*($NS$31-301+1)/$NU$31,$NN$31/$NT$31)),0)</f>
        <v/>
      </c>
      <c r="KT31" s="402">
        <f>IF(AND(302&gt;=$NR$31,302&lt;=$NS$31),IF($NP$31="Single_Point",IF(302=$NR$31,$NN$31,0),IF($NP$31="Bell_Curve",$NN$31*(302-$NR$31+1)*($NS$31-302+1)/$NU$31,$NN$31/$NT$31)),0)</f>
        <v/>
      </c>
      <c r="KU31" s="402">
        <f>IF(AND(303&gt;=$NR$31,303&lt;=$NS$31),IF($NP$31="Single_Point",IF(303=$NR$31,$NN$31,0),IF($NP$31="Bell_Curve",$NN$31*(303-$NR$31+1)*($NS$31-303+1)/$NU$31,$NN$31/$NT$31)),0)</f>
        <v/>
      </c>
      <c r="KV31" s="402">
        <f>IF(AND(304&gt;=$NR$31,304&lt;=$NS$31),IF($NP$31="Single_Point",IF(304=$NR$31,$NN$31,0),IF($NP$31="Bell_Curve",$NN$31*(304-$NR$31+1)*($NS$31-304+1)/$NU$31,$NN$31/$NT$31)),0)</f>
        <v/>
      </c>
      <c r="KW31" s="402">
        <f>IF(AND(305&gt;=$NR$31,305&lt;=$NS$31),IF($NP$31="Single_Point",IF(305=$NR$31,$NN$31,0),IF($NP$31="Bell_Curve",$NN$31*(305-$NR$31+1)*($NS$31-305+1)/$NU$31,$NN$31/$NT$31)),0)</f>
        <v/>
      </c>
      <c r="KX31" s="402">
        <f>IF(AND(306&gt;=$NR$31,306&lt;=$NS$31),IF($NP$31="Single_Point",IF(306=$NR$31,$NN$31,0),IF($NP$31="Bell_Curve",$NN$31*(306-$NR$31+1)*($NS$31-306+1)/$NU$31,$NN$31/$NT$31)),0)</f>
        <v/>
      </c>
      <c r="KY31" s="402">
        <f>IF(AND(307&gt;=$NR$31,307&lt;=$NS$31),IF($NP$31="Single_Point",IF(307=$NR$31,$NN$31,0),IF($NP$31="Bell_Curve",$NN$31*(307-$NR$31+1)*($NS$31-307+1)/$NU$31,$NN$31/$NT$31)),0)</f>
        <v/>
      </c>
      <c r="KZ31" s="402">
        <f>IF(AND(308&gt;=$NR$31,308&lt;=$NS$31),IF($NP$31="Single_Point",IF(308=$NR$31,$NN$31,0),IF($NP$31="Bell_Curve",$NN$31*(308-$NR$31+1)*($NS$31-308+1)/$NU$31,$NN$31/$NT$31)),0)</f>
        <v/>
      </c>
      <c r="LA31" s="402">
        <f>IF(AND(309&gt;=$NR$31,309&lt;=$NS$31),IF($NP$31="Single_Point",IF(309=$NR$31,$NN$31,0),IF($NP$31="Bell_Curve",$NN$31*(309-$NR$31+1)*($NS$31-309+1)/$NU$31,$NN$31/$NT$31)),0)</f>
        <v/>
      </c>
      <c r="LB31" s="402">
        <f>IF(AND(310&gt;=$NR$31,310&lt;=$NS$31),IF($NP$31="Single_Point",IF(310=$NR$31,$NN$31,0),IF($NP$31="Bell_Curve",$NN$31*(310-$NR$31+1)*($NS$31-310+1)/$NU$31,$NN$31/$NT$31)),0)</f>
        <v/>
      </c>
      <c r="LC31" s="402">
        <f>IF(AND(311&gt;=$NR$31,311&lt;=$NS$31),IF($NP$31="Single_Point",IF(311=$NR$31,$NN$31,0),IF($NP$31="Bell_Curve",$NN$31*(311-$NR$31+1)*($NS$31-311+1)/$NU$31,$NN$31/$NT$31)),0)</f>
        <v/>
      </c>
      <c r="LD31" s="402">
        <f>IF(AND(312&gt;=$NR$31,312&lt;=$NS$31),IF($NP$31="Single_Point",IF(312=$NR$31,$NN$31,0),IF($NP$31="Bell_Curve",$NN$31*(312-$NR$31+1)*($NS$31-312+1)/$NU$31,$NN$31/$NT$31)),0)</f>
        <v/>
      </c>
      <c r="LE31" s="402">
        <f>IF(AND(313&gt;=$NR$31,313&lt;=$NS$31),IF($NP$31="Single_Point",IF(313=$NR$31,$NN$31,0),IF($NP$31="Bell_Curve",$NN$31*(313-$NR$31+1)*($NS$31-313+1)/$NU$31,$NN$31/$NT$31)),0)</f>
        <v/>
      </c>
      <c r="LF31" s="402">
        <f>IF(AND(314&gt;=$NR$31,314&lt;=$NS$31),IF($NP$31="Single_Point",IF(314=$NR$31,$NN$31,0),IF($NP$31="Bell_Curve",$NN$31*(314-$NR$31+1)*($NS$31-314+1)/$NU$31,$NN$31/$NT$31)),0)</f>
        <v/>
      </c>
      <c r="LG31" s="402">
        <f>IF(AND(315&gt;=$NR$31,315&lt;=$NS$31),IF($NP$31="Single_Point",IF(315=$NR$31,$NN$31,0),IF($NP$31="Bell_Curve",$NN$31*(315-$NR$31+1)*($NS$31-315+1)/$NU$31,$NN$31/$NT$31)),0)</f>
        <v/>
      </c>
      <c r="LH31" s="402">
        <f>IF(AND(316&gt;=$NR$31,316&lt;=$NS$31),IF($NP$31="Single_Point",IF(316=$NR$31,$NN$31,0),IF($NP$31="Bell_Curve",$NN$31*(316-$NR$31+1)*($NS$31-316+1)/$NU$31,$NN$31/$NT$31)),0)</f>
        <v/>
      </c>
      <c r="LI31" s="402">
        <f>IF(AND(317&gt;=$NR$31,317&lt;=$NS$31),IF($NP$31="Single_Point",IF(317=$NR$31,$NN$31,0),IF($NP$31="Bell_Curve",$NN$31*(317-$NR$31+1)*($NS$31-317+1)/$NU$31,$NN$31/$NT$31)),0)</f>
        <v/>
      </c>
      <c r="LJ31" s="402">
        <f>IF(AND(318&gt;=$NR$31,318&lt;=$NS$31),IF($NP$31="Single_Point",IF(318=$NR$31,$NN$31,0),IF($NP$31="Bell_Curve",$NN$31*(318-$NR$31+1)*($NS$31-318+1)/$NU$31,$NN$31/$NT$31)),0)</f>
        <v/>
      </c>
      <c r="LK31" s="402">
        <f>IF(AND(319&gt;=$NR$31,319&lt;=$NS$31),IF($NP$31="Single_Point",IF(319=$NR$31,$NN$31,0),IF($NP$31="Bell_Curve",$NN$31*(319-$NR$31+1)*($NS$31-319+1)/$NU$31,$NN$31/$NT$31)),0)</f>
        <v/>
      </c>
      <c r="LL31" s="402">
        <f>IF(AND(320&gt;=$NR$31,320&lt;=$NS$31),IF($NP$31="Single_Point",IF(320=$NR$31,$NN$31,0),IF($NP$31="Bell_Curve",$NN$31*(320-$NR$31+1)*($NS$31-320+1)/$NU$31,$NN$31/$NT$31)),0)</f>
        <v/>
      </c>
      <c r="LM31" s="402">
        <f>IF(AND(321&gt;=$NR$31,321&lt;=$NS$31),IF($NP$31="Single_Point",IF(321=$NR$31,$NN$31,0),IF($NP$31="Bell_Curve",$NN$31*(321-$NR$31+1)*($NS$31-321+1)/$NU$31,$NN$31/$NT$31)),0)</f>
        <v/>
      </c>
      <c r="LN31" s="402">
        <f>IF(AND(322&gt;=$NR$31,322&lt;=$NS$31),IF($NP$31="Single_Point",IF(322=$NR$31,$NN$31,0),IF($NP$31="Bell_Curve",$NN$31*(322-$NR$31+1)*($NS$31-322+1)/$NU$31,$NN$31/$NT$31)),0)</f>
        <v/>
      </c>
      <c r="LO31" s="402">
        <f>IF(AND(323&gt;=$NR$31,323&lt;=$NS$31),IF($NP$31="Single_Point",IF(323=$NR$31,$NN$31,0),IF($NP$31="Bell_Curve",$NN$31*(323-$NR$31+1)*($NS$31-323+1)/$NU$31,$NN$31/$NT$31)),0)</f>
        <v/>
      </c>
      <c r="LP31" s="402">
        <f>IF(AND(324&gt;=$NR$31,324&lt;=$NS$31),IF($NP$31="Single_Point",IF(324=$NR$31,$NN$31,0),IF($NP$31="Bell_Curve",$NN$31*(324-$NR$31+1)*($NS$31-324+1)/$NU$31,$NN$31/$NT$31)),0)</f>
        <v/>
      </c>
      <c r="LQ31" s="402">
        <f>IF(AND(325&gt;=$NR$31,325&lt;=$NS$31),IF($NP$31="Single_Point",IF(325=$NR$31,$NN$31,0),IF($NP$31="Bell_Curve",$NN$31*(325-$NR$31+1)*($NS$31-325+1)/$NU$31,$NN$31/$NT$31)),0)</f>
        <v/>
      </c>
      <c r="LR31" s="402">
        <f>IF(AND(326&gt;=$NR$31,326&lt;=$NS$31),IF($NP$31="Single_Point",IF(326=$NR$31,$NN$31,0),IF($NP$31="Bell_Curve",$NN$31*(326-$NR$31+1)*($NS$31-326+1)/$NU$31,$NN$31/$NT$31)),0)</f>
        <v/>
      </c>
      <c r="LS31" s="402">
        <f>IF(AND(327&gt;=$NR$31,327&lt;=$NS$31),IF($NP$31="Single_Point",IF(327=$NR$31,$NN$31,0),IF($NP$31="Bell_Curve",$NN$31*(327-$NR$31+1)*($NS$31-327+1)/$NU$31,$NN$31/$NT$31)),0)</f>
        <v/>
      </c>
      <c r="LT31" s="402">
        <f>IF(AND(328&gt;=$NR$31,328&lt;=$NS$31),IF($NP$31="Single_Point",IF(328=$NR$31,$NN$31,0),IF($NP$31="Bell_Curve",$NN$31*(328-$NR$31+1)*($NS$31-328+1)/$NU$31,$NN$31/$NT$31)),0)</f>
        <v/>
      </c>
      <c r="LU31" s="402">
        <f>IF(AND(329&gt;=$NR$31,329&lt;=$NS$31),IF($NP$31="Single_Point",IF(329=$NR$31,$NN$31,0),IF($NP$31="Bell_Curve",$NN$31*(329-$NR$31+1)*($NS$31-329+1)/$NU$31,$NN$31/$NT$31)),0)</f>
        <v/>
      </c>
      <c r="LV31" s="402">
        <f>IF(AND(330&gt;=$NR$31,330&lt;=$NS$31),IF($NP$31="Single_Point",IF(330=$NR$31,$NN$31,0),IF($NP$31="Bell_Curve",$NN$31*(330-$NR$31+1)*($NS$31-330+1)/$NU$31,$NN$31/$NT$31)),0)</f>
        <v/>
      </c>
      <c r="LW31" s="402">
        <f>IF(AND(331&gt;=$NR$31,331&lt;=$NS$31),IF($NP$31="Single_Point",IF(331=$NR$31,$NN$31,0),IF($NP$31="Bell_Curve",$NN$31*(331-$NR$31+1)*($NS$31-331+1)/$NU$31,$NN$31/$NT$31)),0)</f>
        <v/>
      </c>
      <c r="LX31" s="402">
        <f>IF(AND(332&gt;=$NR$31,332&lt;=$NS$31),IF($NP$31="Single_Point",IF(332=$NR$31,$NN$31,0),IF($NP$31="Bell_Curve",$NN$31*(332-$NR$31+1)*($NS$31-332+1)/$NU$31,$NN$31/$NT$31)),0)</f>
        <v/>
      </c>
      <c r="LY31" s="402">
        <f>IF(AND(333&gt;=$NR$31,333&lt;=$NS$31),IF($NP$31="Single_Point",IF(333=$NR$31,$NN$31,0),IF($NP$31="Bell_Curve",$NN$31*(333-$NR$31+1)*($NS$31-333+1)/$NU$31,$NN$31/$NT$31)),0)</f>
        <v/>
      </c>
      <c r="LZ31" s="402">
        <f>IF(AND(334&gt;=$NR$31,334&lt;=$NS$31),IF($NP$31="Single_Point",IF(334=$NR$31,$NN$31,0),IF($NP$31="Bell_Curve",$NN$31*(334-$NR$31+1)*($NS$31-334+1)/$NU$31,$NN$31/$NT$31)),0)</f>
        <v/>
      </c>
      <c r="MA31" s="402">
        <f>IF(AND(335&gt;=$NR$31,335&lt;=$NS$31),IF($NP$31="Single_Point",IF(335=$NR$31,$NN$31,0),IF($NP$31="Bell_Curve",$NN$31*(335-$NR$31+1)*($NS$31-335+1)/$NU$31,$NN$31/$NT$31)),0)</f>
        <v/>
      </c>
      <c r="MB31" s="402">
        <f>IF(AND(336&gt;=$NR$31,336&lt;=$NS$31),IF($NP$31="Single_Point",IF(336=$NR$31,$NN$31,0),IF($NP$31="Bell_Curve",$NN$31*(336-$NR$31+1)*($NS$31-336+1)/$NU$31,$NN$31/$NT$31)),0)</f>
        <v/>
      </c>
      <c r="MC31" s="402">
        <f>IF(AND(337&gt;=$NR$31,337&lt;=$NS$31),IF($NP$31="Single_Point",IF(337=$NR$31,$NN$31,0),IF($NP$31="Bell_Curve",$NN$31*(337-$NR$31+1)*($NS$31-337+1)/$NU$31,$NN$31/$NT$31)),0)</f>
        <v/>
      </c>
      <c r="MD31" s="402">
        <f>IF(AND(338&gt;=$NR$31,338&lt;=$NS$31),IF($NP$31="Single_Point",IF(338=$NR$31,$NN$31,0),IF($NP$31="Bell_Curve",$NN$31*(338-$NR$31+1)*($NS$31-338+1)/$NU$31,$NN$31/$NT$31)),0)</f>
        <v/>
      </c>
      <c r="ME31" s="402">
        <f>IF(AND(339&gt;=$NR$31,339&lt;=$NS$31),IF($NP$31="Single_Point",IF(339=$NR$31,$NN$31,0),IF($NP$31="Bell_Curve",$NN$31*(339-$NR$31+1)*($NS$31-339+1)/$NU$31,$NN$31/$NT$31)),0)</f>
        <v/>
      </c>
      <c r="MF31" s="402">
        <f>IF(AND(340&gt;=$NR$31,340&lt;=$NS$31),IF($NP$31="Single_Point",IF(340=$NR$31,$NN$31,0),IF($NP$31="Bell_Curve",$NN$31*(340-$NR$31+1)*($NS$31-340+1)/$NU$31,$NN$31/$NT$31)),0)</f>
        <v/>
      </c>
      <c r="MG31" s="402">
        <f>IF(AND(341&gt;=$NR$31,341&lt;=$NS$31),IF($NP$31="Single_Point",IF(341=$NR$31,$NN$31,0),IF($NP$31="Bell_Curve",$NN$31*(341-$NR$31+1)*($NS$31-341+1)/$NU$31,$NN$31/$NT$31)),0)</f>
        <v/>
      </c>
      <c r="MH31" s="402">
        <f>IF(AND(342&gt;=$NR$31,342&lt;=$NS$31),IF($NP$31="Single_Point",IF(342=$NR$31,$NN$31,0),IF($NP$31="Bell_Curve",$NN$31*(342-$NR$31+1)*($NS$31-342+1)/$NU$31,$NN$31/$NT$31)),0)</f>
        <v/>
      </c>
      <c r="MI31" s="402">
        <f>IF(AND(343&gt;=$NR$31,343&lt;=$NS$31),IF($NP$31="Single_Point",IF(343=$NR$31,$NN$31,0),IF($NP$31="Bell_Curve",$NN$31*(343-$NR$31+1)*($NS$31-343+1)/$NU$31,$NN$31/$NT$31)),0)</f>
        <v/>
      </c>
      <c r="MJ31" s="402">
        <f>IF(AND(344&gt;=$NR$31,344&lt;=$NS$31),IF($NP$31="Single_Point",IF(344=$NR$31,$NN$31,0),IF($NP$31="Bell_Curve",$NN$31*(344-$NR$31+1)*($NS$31-344+1)/$NU$31,$NN$31/$NT$31)),0)</f>
        <v/>
      </c>
      <c r="MK31" s="402">
        <f>IF(AND(345&gt;=$NR$31,345&lt;=$NS$31),IF($NP$31="Single_Point",IF(345=$NR$31,$NN$31,0),IF($NP$31="Bell_Curve",$NN$31*(345-$NR$31+1)*($NS$31-345+1)/$NU$31,$NN$31/$NT$31)),0)</f>
        <v/>
      </c>
      <c r="ML31" s="402">
        <f>IF(AND(346&gt;=$NR$31,346&lt;=$NS$31),IF($NP$31="Single_Point",IF(346=$NR$31,$NN$31,0),IF($NP$31="Bell_Curve",$NN$31*(346-$NR$31+1)*($NS$31-346+1)/$NU$31,$NN$31/$NT$31)),0)</f>
        <v/>
      </c>
      <c r="MM31" s="402">
        <f>IF(AND(347&gt;=$NR$31,347&lt;=$NS$31),IF($NP$31="Single_Point",IF(347=$NR$31,$NN$31,0),IF($NP$31="Bell_Curve",$NN$31*(347-$NR$31+1)*($NS$31-347+1)/$NU$31,$NN$31/$NT$31)),0)</f>
        <v/>
      </c>
      <c r="MN31" s="402">
        <f>IF(AND(348&gt;=$NR$31,348&lt;=$NS$31),IF($NP$31="Single_Point",IF(348=$NR$31,$NN$31,0),IF($NP$31="Bell_Curve",$NN$31*(348-$NR$31+1)*($NS$31-348+1)/$NU$31,$NN$31/$NT$31)),0)</f>
        <v/>
      </c>
      <c r="MO31" s="402">
        <f>IF(AND(349&gt;=$NR$31,349&lt;=$NS$31),IF($NP$31="Single_Point",IF(349=$NR$31,$NN$31,0),IF($NP$31="Bell_Curve",$NN$31*(349-$NR$31+1)*($NS$31-349+1)/$NU$31,$NN$31/$NT$31)),0)</f>
        <v/>
      </c>
      <c r="MP31" s="402">
        <f>IF(AND(350&gt;=$NR$31,350&lt;=$NS$31),IF($NP$31="Single_Point",IF(350=$NR$31,$NN$31,0),IF($NP$31="Bell_Curve",$NN$31*(350-$NR$31+1)*($NS$31-350+1)/$NU$31,$NN$31/$NT$31)),0)</f>
        <v/>
      </c>
      <c r="MQ31" s="402">
        <f>IF(AND(351&gt;=$NR$31,351&lt;=$NS$31),IF($NP$31="Single_Point",IF(351=$NR$31,$NN$31,0),IF($NP$31="Bell_Curve",$NN$31*(351-$NR$31+1)*($NS$31-351+1)/$NU$31,$NN$31/$NT$31)),0)</f>
        <v/>
      </c>
      <c r="MR31" s="402">
        <f>IF(AND(352&gt;=$NR$31,352&lt;=$NS$31),IF($NP$31="Single_Point",IF(352=$NR$31,$NN$31,0),IF($NP$31="Bell_Curve",$NN$31*(352-$NR$31+1)*($NS$31-352+1)/$NU$31,$NN$31/$NT$31)),0)</f>
        <v/>
      </c>
      <c r="MS31" s="402">
        <f>IF(AND(353&gt;=$NR$31,353&lt;=$NS$31),IF($NP$31="Single_Point",IF(353=$NR$31,$NN$31,0),IF($NP$31="Bell_Curve",$NN$31*(353-$NR$31+1)*($NS$31-353+1)/$NU$31,$NN$31/$NT$31)),0)</f>
        <v/>
      </c>
      <c r="MT31" s="402">
        <f>IF(AND(354&gt;=$NR$31,354&lt;=$NS$31),IF($NP$31="Single_Point",IF(354=$NR$31,$NN$31,0),IF($NP$31="Bell_Curve",$NN$31*(354-$NR$31+1)*($NS$31-354+1)/$NU$31,$NN$31/$NT$31)),0)</f>
        <v/>
      </c>
      <c r="MU31" s="402">
        <f>IF(AND(355&gt;=$NR$31,355&lt;=$NS$31),IF($NP$31="Single_Point",IF(355=$NR$31,$NN$31,0),IF($NP$31="Bell_Curve",$NN$31*(355-$NR$31+1)*($NS$31-355+1)/$NU$31,$NN$31/$NT$31)),0)</f>
        <v/>
      </c>
      <c r="MV31" s="402">
        <f>IF(AND(356&gt;=$NR$31,356&lt;=$NS$31),IF($NP$31="Single_Point",IF(356=$NR$31,$NN$31,0),IF($NP$31="Bell_Curve",$NN$31*(356-$NR$31+1)*($NS$31-356+1)/$NU$31,$NN$31/$NT$31)),0)</f>
        <v/>
      </c>
      <c r="MW31" s="402">
        <f>IF(AND(357&gt;=$NR$31,357&lt;=$NS$31),IF($NP$31="Single_Point",IF(357=$NR$31,$NN$31,0),IF($NP$31="Bell_Curve",$NN$31*(357-$NR$31+1)*($NS$31-357+1)/$NU$31,$NN$31/$NT$31)),0)</f>
        <v/>
      </c>
      <c r="MX31" s="402">
        <f>IF(AND(358&gt;=$NR$31,358&lt;=$NS$31),IF($NP$31="Single_Point",IF(358=$NR$31,$NN$31,0),IF($NP$31="Bell_Curve",$NN$31*(358-$NR$31+1)*($NS$31-358+1)/$NU$31,$NN$31/$NT$31)),0)</f>
        <v/>
      </c>
      <c r="MY31" s="402">
        <f>IF(AND(359&gt;=$NR$31,359&lt;=$NS$31),IF($NP$31="Single_Point",IF(359=$NR$31,$NN$31,0),IF($NP$31="Bell_Curve",$NN$31*(359-$NR$31+1)*($NS$31-359+1)/$NU$31,$NN$31/$NT$31)),0)</f>
        <v/>
      </c>
      <c r="MZ31" s="402">
        <f>IF(AND(360&gt;=$NR$31,360&lt;=$NS$31),IF($NP$31="Single_Point",IF(360=$NR$31,$NN$31,0),IF($NP$31="Bell_Curve",$NN$31*(360-$NR$31+1)*($NS$31-360+1)/$NU$31,$NN$31/$NT$31)),0)</f>
        <v/>
      </c>
      <c r="NA31" s="402">
        <f>IF(AND(361&gt;=$NR$31,361&lt;=$NS$31),IF($NP$31="Single_Point",IF(361=$NR$31,$NN$31,0),IF($NP$31="Bell_Curve",$NN$31*(361-$NR$31+1)*($NS$31-361+1)/$NU$31,$NN$31/$NT$31)),0)</f>
        <v/>
      </c>
      <c r="NB31" s="402">
        <f>IF(AND(362&gt;=$NR$31,362&lt;=$NS$31),IF($NP$31="Single_Point",IF(362=$NR$31,$NN$31,0),IF($NP$31="Bell_Curve",$NN$31*(362-$NR$31+1)*($NS$31-362+1)/$NU$31,$NN$31/$NT$31)),0)</f>
        <v/>
      </c>
      <c r="NC31" s="402">
        <f>IF(AND(363&gt;=$NR$31,363&lt;=$NS$31),IF($NP$31="Single_Point",IF(363=$NR$31,$NN$31,0),IF($NP$31="Bell_Curve",$NN$31*(363-$NR$31+1)*($NS$31-363+1)/$NU$31,$NN$31/$NT$31)),0)</f>
        <v/>
      </c>
      <c r="ND31" s="402">
        <f>IF(AND(364&gt;=$NR$31,364&lt;=$NS$31),IF($NP$31="Single_Point",IF(364=$NR$31,$NN$31,0),IF($NP$31="Bell_Curve",$NN$31*(364-$NR$31+1)*($NS$31-364+1)/$NU$31,$NN$31/$NT$31)),0)</f>
        <v/>
      </c>
      <c r="NE31" s="402">
        <f>IF(AND(365&gt;=$NR$31,365&lt;=$NS$31),IF($NP$31="Single_Point",IF(365=$NR$31,$NN$31,0),IF($NP$31="Bell_Curve",$NN$31*(365-$NR$31+1)*($NS$31-365+1)/$NU$31,$NN$31/$NT$31)),0)</f>
        <v/>
      </c>
      <c r="NF31" s="402">
        <f>IF(AND(366&gt;=$NR$31,366&lt;=$NS$31),IF($NP$31="Single_Point",IF(366=$NR$31,$NN$31,0),IF($NP$31="Bell_Curve",$NN$31*(366-$NR$31+1)*($NS$31-366+1)/$NU$31,$NN$31/$NT$31)),0)</f>
        <v/>
      </c>
      <c r="NG31" s="402">
        <f>IF(AND(367&gt;=$NR$31,367&lt;=$NS$31),IF($NP$31="Single_Point",IF(367=$NR$31,$NN$31,0),IF($NP$31="Bell_Curve",$NN$31*(367-$NR$31+1)*($NS$31-367+1)/$NU$31,$NN$31/$NT$31)),0)</f>
        <v/>
      </c>
      <c r="NH31" s="402">
        <f>IF(AND(368&gt;=$NR$31,368&lt;=$NS$31),IF($NP$31="Single_Point",IF(368=$NR$31,$NN$31,0),IF($NP$31="Bell_Curve",$NN$31*(368-$NR$31+1)*($NS$31-368+1)/$NU$31,$NN$31/$NT$31)),0)</f>
        <v/>
      </c>
      <c r="NI31" s="402">
        <f>IF(AND(369&gt;=$NR$31,369&lt;=$NS$31),IF($NP$31="Single_Point",IF(369=$NR$31,$NN$31,0),IF($NP$31="Bell_Curve",$NN$31*(369-$NR$31+1)*($NS$31-369+1)/$NU$31,$NN$31/$NT$31)),0)</f>
        <v/>
      </c>
      <c r="NJ31" s="402">
        <f>IF(AND(370&gt;=$NR$31,370&lt;=$NS$31),IF($NP$31="Single_Point",IF(370=$NR$31,$NN$31,0),IF($NP$31="Bell_Curve",$NN$31*(370-$NR$31+1)*($NS$31-370+1)/$NU$31,$NN$31/$NT$31)),0)</f>
        <v/>
      </c>
      <c r="NK31" s="402">
        <f>IF(AND(371&gt;=$NR$31,371&lt;=$NS$31),IF($NP$31="Single_Point",IF(371=$NR$31,$NN$31,0),IF($NP$31="Bell_Curve",$NN$31*(371-$NR$31+1)*($NS$31-371+1)/$NU$31,$NN$31/$NT$31)),0)</f>
        <v/>
      </c>
      <c r="NL31" s="426">
        <f>IF(AND(372&gt;=$NR$31,372&lt;=$NS$31),IF($NP$31="Single_Point",IF(372=$NR$31,$NN$31,0),IF($NP$31="Bell_Curve",$NN$31*(372-$NR$31+1)*($NS$31-372+1)/$NU$31,$NN$31/$NT$31)),0)</f>
        <v/>
      </c>
      <c r="NM31">
        <f>Budget!C30</f>
        <v/>
      </c>
      <c r="NN31" s="218">
        <f>Budget!J30</f>
        <v/>
      </c>
      <c r="NO31" s="144">
        <f>Budget!G30</f>
        <v/>
      </c>
      <c r="NP31" s="144">
        <f>Budget!H30</f>
        <v/>
      </c>
      <c r="NQ31" s="85">
        <f>Budget!I30</f>
        <v/>
      </c>
      <c r="NR31" s="248">
        <f>MAX(1,MIN(372,INDEX(MilestoneStart,MATCH(NO31,MilestoneNames,0))+NQ31))</f>
        <v/>
      </c>
      <c r="NS31" s="248">
        <f>MAX(NR31,MIN(372,INDEX(MilestoneEnd,MATCH(NO31,MilestoneNames,0))+NQ31))</f>
        <v/>
      </c>
      <c r="NT31" s="85">
        <f>NS31-NR31+1</f>
        <v/>
      </c>
      <c r="NU31" s="85">
        <f>NT31*(NT31+1)*(NT31+2)/6</f>
        <v/>
      </c>
    </row>
    <row r="32">
      <c r="B32" s="296">
        <f>Budget!B31</f>
        <v/>
      </c>
      <c r="D32" s="425">
        <f>SUM(E32:NL32)</f>
        <v/>
      </c>
      <c r="E32" s="402">
        <f>IF(AND(1&gt;=$NR$32,1&lt;=$NS$32),IF($NP$32="Single_Point",IF(1=$NR$32,$NN$32,0),IF($NP$32="Bell_Curve",$NN$32*(1-$NR$32+1)*($NS$32-1+1)/$NU$32,$NN$32/$NT$32)),0)</f>
        <v/>
      </c>
      <c r="F32" s="402">
        <f>IF(AND(2&gt;=$NR$32,2&lt;=$NS$32),IF($NP$32="Single_Point",IF(2=$NR$32,$NN$32,0),IF($NP$32="Bell_Curve",$NN$32*(2-$NR$32+1)*($NS$32-2+1)/$NU$32,$NN$32/$NT$32)),0)</f>
        <v/>
      </c>
      <c r="G32" s="402">
        <f>IF(AND(3&gt;=$NR$32,3&lt;=$NS$32),IF($NP$32="Single_Point",IF(3=$NR$32,$NN$32,0),IF($NP$32="Bell_Curve",$NN$32*(3-$NR$32+1)*($NS$32-3+1)/$NU$32,$NN$32/$NT$32)),0)</f>
        <v/>
      </c>
      <c r="H32" s="402">
        <f>IF(AND(4&gt;=$NR$32,4&lt;=$NS$32),IF($NP$32="Single_Point",IF(4=$NR$32,$NN$32,0),IF($NP$32="Bell_Curve",$NN$32*(4-$NR$32+1)*($NS$32-4+1)/$NU$32,$NN$32/$NT$32)),0)</f>
        <v/>
      </c>
      <c r="I32" s="402">
        <f>IF(AND(5&gt;=$NR$32,5&lt;=$NS$32),IF($NP$32="Single_Point",IF(5=$NR$32,$NN$32,0),IF($NP$32="Bell_Curve",$NN$32*(5-$NR$32+1)*($NS$32-5+1)/$NU$32,$NN$32/$NT$32)),0)</f>
        <v/>
      </c>
      <c r="J32" s="402">
        <f>IF(AND(6&gt;=$NR$32,6&lt;=$NS$32),IF($NP$32="Single_Point",IF(6=$NR$32,$NN$32,0),IF($NP$32="Bell_Curve",$NN$32*(6-$NR$32+1)*($NS$32-6+1)/$NU$32,$NN$32/$NT$32)),0)</f>
        <v/>
      </c>
      <c r="K32" s="402">
        <f>IF(AND(7&gt;=$NR$32,7&lt;=$NS$32),IF($NP$32="Single_Point",IF(7=$NR$32,$NN$32,0),IF($NP$32="Bell_Curve",$NN$32*(7-$NR$32+1)*($NS$32-7+1)/$NU$32,$NN$32/$NT$32)),0)</f>
        <v/>
      </c>
      <c r="L32" s="402">
        <f>IF(AND(8&gt;=$NR$32,8&lt;=$NS$32),IF($NP$32="Single_Point",IF(8=$NR$32,$NN$32,0),IF($NP$32="Bell_Curve",$NN$32*(8-$NR$32+1)*($NS$32-8+1)/$NU$32,$NN$32/$NT$32)),0)</f>
        <v/>
      </c>
      <c r="M32" s="402">
        <f>IF(AND(9&gt;=$NR$32,9&lt;=$NS$32),IF($NP$32="Single_Point",IF(9=$NR$32,$NN$32,0),IF($NP$32="Bell_Curve",$NN$32*(9-$NR$32+1)*($NS$32-9+1)/$NU$32,$NN$32/$NT$32)),0)</f>
        <v/>
      </c>
      <c r="N32" s="402">
        <f>IF(AND(10&gt;=$NR$32,10&lt;=$NS$32),IF($NP$32="Single_Point",IF(10=$NR$32,$NN$32,0),IF($NP$32="Bell_Curve",$NN$32*(10-$NR$32+1)*($NS$32-10+1)/$NU$32,$NN$32/$NT$32)),0)</f>
        <v/>
      </c>
      <c r="O32" s="402">
        <f>IF(AND(11&gt;=$NR$32,11&lt;=$NS$32),IF($NP$32="Single_Point",IF(11=$NR$32,$NN$32,0),IF($NP$32="Bell_Curve",$NN$32*(11-$NR$32+1)*($NS$32-11+1)/$NU$32,$NN$32/$NT$32)),0)</f>
        <v/>
      </c>
      <c r="P32" s="402">
        <f>IF(AND(12&gt;=$NR$32,12&lt;=$NS$32),IF($NP$32="Single_Point",IF(12=$NR$32,$NN$32,0),IF($NP$32="Bell_Curve",$NN$32*(12-$NR$32+1)*($NS$32-12+1)/$NU$32,$NN$32/$NT$32)),0)</f>
        <v/>
      </c>
      <c r="Q32" s="402">
        <f>IF(AND(13&gt;=$NR$32,13&lt;=$NS$32),IF($NP$32="Single_Point",IF(13=$NR$32,$NN$32,0),IF($NP$32="Bell_Curve",$NN$32*(13-$NR$32+1)*($NS$32-13+1)/$NU$32,$NN$32/$NT$32)),0)</f>
        <v/>
      </c>
      <c r="R32" s="402">
        <f>IF(AND(14&gt;=$NR$32,14&lt;=$NS$32),IF($NP$32="Single_Point",IF(14=$NR$32,$NN$32,0),IF($NP$32="Bell_Curve",$NN$32*(14-$NR$32+1)*($NS$32-14+1)/$NU$32,$NN$32/$NT$32)),0)</f>
        <v/>
      </c>
      <c r="S32" s="402">
        <f>IF(AND(15&gt;=$NR$32,15&lt;=$NS$32),IF($NP$32="Single_Point",IF(15=$NR$32,$NN$32,0),IF($NP$32="Bell_Curve",$NN$32*(15-$NR$32+1)*($NS$32-15+1)/$NU$32,$NN$32/$NT$32)),0)</f>
        <v/>
      </c>
      <c r="T32" s="402">
        <f>IF(AND(16&gt;=$NR$32,16&lt;=$NS$32),IF($NP$32="Single_Point",IF(16=$NR$32,$NN$32,0),IF($NP$32="Bell_Curve",$NN$32*(16-$NR$32+1)*($NS$32-16+1)/$NU$32,$NN$32/$NT$32)),0)</f>
        <v/>
      </c>
      <c r="U32" s="402">
        <f>IF(AND(17&gt;=$NR$32,17&lt;=$NS$32),IF($NP$32="Single_Point",IF(17=$NR$32,$NN$32,0),IF($NP$32="Bell_Curve",$NN$32*(17-$NR$32+1)*($NS$32-17+1)/$NU$32,$NN$32/$NT$32)),0)</f>
        <v/>
      </c>
      <c r="V32" s="402">
        <f>IF(AND(18&gt;=$NR$32,18&lt;=$NS$32),IF($NP$32="Single_Point",IF(18=$NR$32,$NN$32,0),IF($NP$32="Bell_Curve",$NN$32*(18-$NR$32+1)*($NS$32-18+1)/$NU$32,$NN$32/$NT$32)),0)</f>
        <v/>
      </c>
      <c r="W32" s="402">
        <f>IF(AND(19&gt;=$NR$32,19&lt;=$NS$32),IF($NP$32="Single_Point",IF(19=$NR$32,$NN$32,0),IF($NP$32="Bell_Curve",$NN$32*(19-$NR$32+1)*($NS$32-19+1)/$NU$32,$NN$32/$NT$32)),0)</f>
        <v/>
      </c>
      <c r="X32" s="402">
        <f>IF(AND(20&gt;=$NR$32,20&lt;=$NS$32),IF($NP$32="Single_Point",IF(20=$NR$32,$NN$32,0),IF($NP$32="Bell_Curve",$NN$32*(20-$NR$32+1)*($NS$32-20+1)/$NU$32,$NN$32/$NT$32)),0)</f>
        <v/>
      </c>
      <c r="Y32" s="402">
        <f>IF(AND(21&gt;=$NR$32,21&lt;=$NS$32),IF($NP$32="Single_Point",IF(21=$NR$32,$NN$32,0),IF($NP$32="Bell_Curve",$NN$32*(21-$NR$32+1)*($NS$32-21+1)/$NU$32,$NN$32/$NT$32)),0)</f>
        <v/>
      </c>
      <c r="Z32" s="402">
        <f>IF(AND(22&gt;=$NR$32,22&lt;=$NS$32),IF($NP$32="Single_Point",IF(22=$NR$32,$NN$32,0),IF($NP$32="Bell_Curve",$NN$32*(22-$NR$32+1)*($NS$32-22+1)/$NU$32,$NN$32/$NT$32)),0)</f>
        <v/>
      </c>
      <c r="AA32" s="402">
        <f>IF(AND(23&gt;=$NR$32,23&lt;=$NS$32),IF($NP$32="Single_Point",IF(23=$NR$32,$NN$32,0),IF($NP$32="Bell_Curve",$NN$32*(23-$NR$32+1)*($NS$32-23+1)/$NU$32,$NN$32/$NT$32)),0)</f>
        <v/>
      </c>
      <c r="AB32" s="402">
        <f>IF(AND(24&gt;=$NR$32,24&lt;=$NS$32),IF($NP$32="Single_Point",IF(24=$NR$32,$NN$32,0),IF($NP$32="Bell_Curve",$NN$32*(24-$NR$32+1)*($NS$32-24+1)/$NU$32,$NN$32/$NT$32)),0)</f>
        <v/>
      </c>
      <c r="AC32" s="402">
        <f>IF(AND(25&gt;=$NR$32,25&lt;=$NS$32),IF($NP$32="Single_Point",IF(25=$NR$32,$NN$32,0),IF($NP$32="Bell_Curve",$NN$32*(25-$NR$32+1)*($NS$32-25+1)/$NU$32,$NN$32/$NT$32)),0)</f>
        <v/>
      </c>
      <c r="AD32" s="402">
        <f>IF(AND(26&gt;=$NR$32,26&lt;=$NS$32),IF($NP$32="Single_Point",IF(26=$NR$32,$NN$32,0),IF($NP$32="Bell_Curve",$NN$32*(26-$NR$32+1)*($NS$32-26+1)/$NU$32,$NN$32/$NT$32)),0)</f>
        <v/>
      </c>
      <c r="AE32" s="402">
        <f>IF(AND(27&gt;=$NR$32,27&lt;=$NS$32),IF($NP$32="Single_Point",IF(27=$NR$32,$NN$32,0),IF($NP$32="Bell_Curve",$NN$32*(27-$NR$32+1)*($NS$32-27+1)/$NU$32,$NN$32/$NT$32)),0)</f>
        <v/>
      </c>
      <c r="AF32" s="402">
        <f>IF(AND(28&gt;=$NR$32,28&lt;=$NS$32),IF($NP$32="Single_Point",IF(28=$NR$32,$NN$32,0),IF($NP$32="Bell_Curve",$NN$32*(28-$NR$32+1)*($NS$32-28+1)/$NU$32,$NN$32/$NT$32)),0)</f>
        <v/>
      </c>
      <c r="AG32" s="402">
        <f>IF(AND(29&gt;=$NR$32,29&lt;=$NS$32),IF($NP$32="Single_Point",IF(29=$NR$32,$NN$32,0),IF($NP$32="Bell_Curve",$NN$32*(29-$NR$32+1)*($NS$32-29+1)/$NU$32,$NN$32/$NT$32)),0)</f>
        <v/>
      </c>
      <c r="AH32" s="402">
        <f>IF(AND(30&gt;=$NR$32,30&lt;=$NS$32),IF($NP$32="Single_Point",IF(30=$NR$32,$NN$32,0),IF($NP$32="Bell_Curve",$NN$32*(30-$NR$32+1)*($NS$32-30+1)/$NU$32,$NN$32/$NT$32)),0)</f>
        <v/>
      </c>
      <c r="AI32" s="402">
        <f>IF(AND(31&gt;=$NR$32,31&lt;=$NS$32),IF($NP$32="Single_Point",IF(31=$NR$32,$NN$32,0),IF($NP$32="Bell_Curve",$NN$32*(31-$NR$32+1)*($NS$32-31+1)/$NU$32,$NN$32/$NT$32)),0)</f>
        <v/>
      </c>
      <c r="AJ32" s="402">
        <f>IF(AND(32&gt;=$NR$32,32&lt;=$NS$32),IF($NP$32="Single_Point",IF(32=$NR$32,$NN$32,0),IF($NP$32="Bell_Curve",$NN$32*(32-$NR$32+1)*($NS$32-32+1)/$NU$32,$NN$32/$NT$32)),0)</f>
        <v/>
      </c>
      <c r="AK32" s="402">
        <f>IF(AND(33&gt;=$NR$32,33&lt;=$NS$32),IF($NP$32="Single_Point",IF(33=$NR$32,$NN$32,0),IF($NP$32="Bell_Curve",$NN$32*(33-$NR$32+1)*($NS$32-33+1)/$NU$32,$NN$32/$NT$32)),0)</f>
        <v/>
      </c>
      <c r="AL32" s="402">
        <f>IF(AND(34&gt;=$NR$32,34&lt;=$NS$32),IF($NP$32="Single_Point",IF(34=$NR$32,$NN$32,0),IF($NP$32="Bell_Curve",$NN$32*(34-$NR$32+1)*($NS$32-34+1)/$NU$32,$NN$32/$NT$32)),0)</f>
        <v/>
      </c>
      <c r="AM32" s="402">
        <f>IF(AND(35&gt;=$NR$32,35&lt;=$NS$32),IF($NP$32="Single_Point",IF(35=$NR$32,$NN$32,0),IF($NP$32="Bell_Curve",$NN$32*(35-$NR$32+1)*($NS$32-35+1)/$NU$32,$NN$32/$NT$32)),0)</f>
        <v/>
      </c>
      <c r="AN32" s="402">
        <f>IF(AND(36&gt;=$NR$32,36&lt;=$NS$32),IF($NP$32="Single_Point",IF(36=$NR$32,$NN$32,0),IF($NP$32="Bell_Curve",$NN$32*(36-$NR$32+1)*($NS$32-36+1)/$NU$32,$NN$32/$NT$32)),0)</f>
        <v/>
      </c>
      <c r="AO32" s="402">
        <f>IF(AND(37&gt;=$NR$32,37&lt;=$NS$32),IF($NP$32="Single_Point",IF(37=$NR$32,$NN$32,0),IF($NP$32="Bell_Curve",$NN$32*(37-$NR$32+1)*($NS$32-37+1)/$NU$32,$NN$32/$NT$32)),0)</f>
        <v/>
      </c>
      <c r="AP32" s="402">
        <f>IF(AND(38&gt;=$NR$32,38&lt;=$NS$32),IF($NP$32="Single_Point",IF(38=$NR$32,$NN$32,0),IF($NP$32="Bell_Curve",$NN$32*(38-$NR$32+1)*($NS$32-38+1)/$NU$32,$NN$32/$NT$32)),0)</f>
        <v/>
      </c>
      <c r="AQ32" s="402">
        <f>IF(AND(39&gt;=$NR$32,39&lt;=$NS$32),IF($NP$32="Single_Point",IF(39=$NR$32,$NN$32,0),IF($NP$32="Bell_Curve",$NN$32*(39-$NR$32+1)*($NS$32-39+1)/$NU$32,$NN$32/$NT$32)),0)</f>
        <v/>
      </c>
      <c r="AR32" s="402">
        <f>IF(AND(40&gt;=$NR$32,40&lt;=$NS$32),IF($NP$32="Single_Point",IF(40=$NR$32,$NN$32,0),IF($NP$32="Bell_Curve",$NN$32*(40-$NR$32+1)*($NS$32-40+1)/$NU$32,$NN$32/$NT$32)),0)</f>
        <v/>
      </c>
      <c r="AS32" s="402">
        <f>IF(AND(41&gt;=$NR$32,41&lt;=$NS$32),IF($NP$32="Single_Point",IF(41=$NR$32,$NN$32,0),IF($NP$32="Bell_Curve",$NN$32*(41-$NR$32+1)*($NS$32-41+1)/$NU$32,$NN$32/$NT$32)),0)</f>
        <v/>
      </c>
      <c r="AT32" s="402">
        <f>IF(AND(42&gt;=$NR$32,42&lt;=$NS$32),IF($NP$32="Single_Point",IF(42=$NR$32,$NN$32,0),IF($NP$32="Bell_Curve",$NN$32*(42-$NR$32+1)*($NS$32-42+1)/$NU$32,$NN$32/$NT$32)),0)</f>
        <v/>
      </c>
      <c r="AU32" s="402">
        <f>IF(AND(43&gt;=$NR$32,43&lt;=$NS$32),IF($NP$32="Single_Point",IF(43=$NR$32,$NN$32,0),IF($NP$32="Bell_Curve",$NN$32*(43-$NR$32+1)*($NS$32-43+1)/$NU$32,$NN$32/$NT$32)),0)</f>
        <v/>
      </c>
      <c r="AV32" s="402">
        <f>IF(AND(44&gt;=$NR$32,44&lt;=$NS$32),IF($NP$32="Single_Point",IF(44=$NR$32,$NN$32,0),IF($NP$32="Bell_Curve",$NN$32*(44-$NR$32+1)*($NS$32-44+1)/$NU$32,$NN$32/$NT$32)),0)</f>
        <v/>
      </c>
      <c r="AW32" s="402">
        <f>IF(AND(45&gt;=$NR$32,45&lt;=$NS$32),IF($NP$32="Single_Point",IF(45=$NR$32,$NN$32,0),IF($NP$32="Bell_Curve",$NN$32*(45-$NR$32+1)*($NS$32-45+1)/$NU$32,$NN$32/$NT$32)),0)</f>
        <v/>
      </c>
      <c r="AX32" s="402">
        <f>IF(AND(46&gt;=$NR$32,46&lt;=$NS$32),IF($NP$32="Single_Point",IF(46=$NR$32,$NN$32,0),IF($NP$32="Bell_Curve",$NN$32*(46-$NR$32+1)*($NS$32-46+1)/$NU$32,$NN$32/$NT$32)),0)</f>
        <v/>
      </c>
      <c r="AY32" s="402">
        <f>IF(AND(47&gt;=$NR$32,47&lt;=$NS$32),IF($NP$32="Single_Point",IF(47=$NR$32,$NN$32,0),IF($NP$32="Bell_Curve",$NN$32*(47-$NR$32+1)*($NS$32-47+1)/$NU$32,$NN$32/$NT$32)),0)</f>
        <v/>
      </c>
      <c r="AZ32" s="402">
        <f>IF(AND(48&gt;=$NR$32,48&lt;=$NS$32),IF($NP$32="Single_Point",IF(48=$NR$32,$NN$32,0),IF($NP$32="Bell_Curve",$NN$32*(48-$NR$32+1)*($NS$32-48+1)/$NU$32,$NN$32/$NT$32)),0)</f>
        <v/>
      </c>
      <c r="BA32" s="402">
        <f>IF(AND(49&gt;=$NR$32,49&lt;=$NS$32),IF($NP$32="Single_Point",IF(49=$NR$32,$NN$32,0),IF($NP$32="Bell_Curve",$NN$32*(49-$NR$32+1)*($NS$32-49+1)/$NU$32,$NN$32/$NT$32)),0)</f>
        <v/>
      </c>
      <c r="BB32" s="402">
        <f>IF(AND(50&gt;=$NR$32,50&lt;=$NS$32),IF($NP$32="Single_Point",IF(50=$NR$32,$NN$32,0),IF($NP$32="Bell_Curve",$NN$32*(50-$NR$32+1)*($NS$32-50+1)/$NU$32,$NN$32/$NT$32)),0)</f>
        <v/>
      </c>
      <c r="BC32" s="402">
        <f>IF(AND(51&gt;=$NR$32,51&lt;=$NS$32),IF($NP$32="Single_Point",IF(51=$NR$32,$NN$32,0),IF($NP$32="Bell_Curve",$NN$32*(51-$NR$32+1)*($NS$32-51+1)/$NU$32,$NN$32/$NT$32)),0)</f>
        <v/>
      </c>
      <c r="BD32" s="402">
        <f>IF(AND(52&gt;=$NR$32,52&lt;=$NS$32),IF($NP$32="Single_Point",IF(52=$NR$32,$NN$32,0),IF($NP$32="Bell_Curve",$NN$32*(52-$NR$32+1)*($NS$32-52+1)/$NU$32,$NN$32/$NT$32)),0)</f>
        <v/>
      </c>
      <c r="BE32" s="402">
        <f>IF(AND(53&gt;=$NR$32,53&lt;=$NS$32),IF($NP$32="Single_Point",IF(53=$NR$32,$NN$32,0),IF($NP$32="Bell_Curve",$NN$32*(53-$NR$32+1)*($NS$32-53+1)/$NU$32,$NN$32/$NT$32)),0)</f>
        <v/>
      </c>
      <c r="BF32" s="402">
        <f>IF(AND(54&gt;=$NR$32,54&lt;=$NS$32),IF($NP$32="Single_Point",IF(54=$NR$32,$NN$32,0),IF($NP$32="Bell_Curve",$NN$32*(54-$NR$32+1)*($NS$32-54+1)/$NU$32,$NN$32/$NT$32)),0)</f>
        <v/>
      </c>
      <c r="BG32" s="402">
        <f>IF(AND(55&gt;=$NR$32,55&lt;=$NS$32),IF($NP$32="Single_Point",IF(55=$NR$32,$NN$32,0),IF($NP$32="Bell_Curve",$NN$32*(55-$NR$32+1)*($NS$32-55+1)/$NU$32,$NN$32/$NT$32)),0)</f>
        <v/>
      </c>
      <c r="BH32" s="402">
        <f>IF(AND(56&gt;=$NR$32,56&lt;=$NS$32),IF($NP$32="Single_Point",IF(56=$NR$32,$NN$32,0),IF($NP$32="Bell_Curve",$NN$32*(56-$NR$32+1)*($NS$32-56+1)/$NU$32,$NN$32/$NT$32)),0)</f>
        <v/>
      </c>
      <c r="BI32" s="402">
        <f>IF(AND(57&gt;=$NR$32,57&lt;=$NS$32),IF($NP$32="Single_Point",IF(57=$NR$32,$NN$32,0),IF($NP$32="Bell_Curve",$NN$32*(57-$NR$32+1)*($NS$32-57+1)/$NU$32,$NN$32/$NT$32)),0)</f>
        <v/>
      </c>
      <c r="BJ32" s="402">
        <f>IF(AND(58&gt;=$NR$32,58&lt;=$NS$32),IF($NP$32="Single_Point",IF(58=$NR$32,$NN$32,0),IF($NP$32="Bell_Curve",$NN$32*(58-$NR$32+1)*($NS$32-58+1)/$NU$32,$NN$32/$NT$32)),0)</f>
        <v/>
      </c>
      <c r="BK32" s="402">
        <f>IF(AND(59&gt;=$NR$32,59&lt;=$NS$32),IF($NP$32="Single_Point",IF(59=$NR$32,$NN$32,0),IF($NP$32="Bell_Curve",$NN$32*(59-$NR$32+1)*($NS$32-59+1)/$NU$32,$NN$32/$NT$32)),0)</f>
        <v/>
      </c>
      <c r="BL32" s="402">
        <f>IF(AND(60&gt;=$NR$32,60&lt;=$NS$32),IF($NP$32="Single_Point",IF(60=$NR$32,$NN$32,0),IF($NP$32="Bell_Curve",$NN$32*(60-$NR$32+1)*($NS$32-60+1)/$NU$32,$NN$32/$NT$32)),0)</f>
        <v/>
      </c>
      <c r="BM32" s="402">
        <f>IF(AND(61&gt;=$NR$32,61&lt;=$NS$32),IF($NP$32="Single_Point",IF(61=$NR$32,$NN$32,0),IF($NP$32="Bell_Curve",$NN$32*(61-$NR$32+1)*($NS$32-61+1)/$NU$32,$NN$32/$NT$32)),0)</f>
        <v/>
      </c>
      <c r="BN32" s="402">
        <f>IF(AND(62&gt;=$NR$32,62&lt;=$NS$32),IF($NP$32="Single_Point",IF(62=$NR$32,$NN$32,0),IF($NP$32="Bell_Curve",$NN$32*(62-$NR$32+1)*($NS$32-62+1)/$NU$32,$NN$32/$NT$32)),0)</f>
        <v/>
      </c>
      <c r="BO32" s="402">
        <f>IF(AND(63&gt;=$NR$32,63&lt;=$NS$32),IF($NP$32="Single_Point",IF(63=$NR$32,$NN$32,0),IF($NP$32="Bell_Curve",$NN$32*(63-$NR$32+1)*($NS$32-63+1)/$NU$32,$NN$32/$NT$32)),0)</f>
        <v/>
      </c>
      <c r="BP32" s="402">
        <f>IF(AND(64&gt;=$NR$32,64&lt;=$NS$32),IF($NP$32="Single_Point",IF(64=$NR$32,$NN$32,0),IF($NP$32="Bell_Curve",$NN$32*(64-$NR$32+1)*($NS$32-64+1)/$NU$32,$NN$32/$NT$32)),0)</f>
        <v/>
      </c>
      <c r="BQ32" s="402">
        <f>IF(AND(65&gt;=$NR$32,65&lt;=$NS$32),IF($NP$32="Single_Point",IF(65=$NR$32,$NN$32,0),IF($NP$32="Bell_Curve",$NN$32*(65-$NR$32+1)*($NS$32-65+1)/$NU$32,$NN$32/$NT$32)),0)</f>
        <v/>
      </c>
      <c r="BR32" s="402">
        <f>IF(AND(66&gt;=$NR$32,66&lt;=$NS$32),IF($NP$32="Single_Point",IF(66=$NR$32,$NN$32,0),IF($NP$32="Bell_Curve",$NN$32*(66-$NR$32+1)*($NS$32-66+1)/$NU$32,$NN$32/$NT$32)),0)</f>
        <v/>
      </c>
      <c r="BS32" s="402">
        <f>IF(AND(67&gt;=$NR$32,67&lt;=$NS$32),IF($NP$32="Single_Point",IF(67=$NR$32,$NN$32,0),IF($NP$32="Bell_Curve",$NN$32*(67-$NR$32+1)*($NS$32-67+1)/$NU$32,$NN$32/$NT$32)),0)</f>
        <v/>
      </c>
      <c r="BT32" s="402">
        <f>IF(AND(68&gt;=$NR$32,68&lt;=$NS$32),IF($NP$32="Single_Point",IF(68=$NR$32,$NN$32,0),IF($NP$32="Bell_Curve",$NN$32*(68-$NR$32+1)*($NS$32-68+1)/$NU$32,$NN$32/$NT$32)),0)</f>
        <v/>
      </c>
      <c r="BU32" s="402">
        <f>IF(AND(69&gt;=$NR$32,69&lt;=$NS$32),IF($NP$32="Single_Point",IF(69=$NR$32,$NN$32,0),IF($NP$32="Bell_Curve",$NN$32*(69-$NR$32+1)*($NS$32-69+1)/$NU$32,$NN$32/$NT$32)),0)</f>
        <v/>
      </c>
      <c r="BV32" s="402">
        <f>IF(AND(70&gt;=$NR$32,70&lt;=$NS$32),IF($NP$32="Single_Point",IF(70=$NR$32,$NN$32,0),IF($NP$32="Bell_Curve",$NN$32*(70-$NR$32+1)*($NS$32-70+1)/$NU$32,$NN$32/$NT$32)),0)</f>
        <v/>
      </c>
      <c r="BW32" s="402">
        <f>IF(AND(71&gt;=$NR$32,71&lt;=$NS$32),IF($NP$32="Single_Point",IF(71=$NR$32,$NN$32,0),IF($NP$32="Bell_Curve",$NN$32*(71-$NR$32+1)*($NS$32-71+1)/$NU$32,$NN$32/$NT$32)),0)</f>
        <v/>
      </c>
      <c r="BX32" s="402">
        <f>IF(AND(72&gt;=$NR$32,72&lt;=$NS$32),IF($NP$32="Single_Point",IF(72=$NR$32,$NN$32,0),IF($NP$32="Bell_Curve",$NN$32*(72-$NR$32+1)*($NS$32-72+1)/$NU$32,$NN$32/$NT$32)),0)</f>
        <v/>
      </c>
      <c r="BY32" s="402">
        <f>IF(AND(73&gt;=$NR$32,73&lt;=$NS$32),IF($NP$32="Single_Point",IF(73=$NR$32,$NN$32,0),IF($NP$32="Bell_Curve",$NN$32*(73-$NR$32+1)*($NS$32-73+1)/$NU$32,$NN$32/$NT$32)),0)</f>
        <v/>
      </c>
      <c r="BZ32" s="402">
        <f>IF(AND(74&gt;=$NR$32,74&lt;=$NS$32),IF($NP$32="Single_Point",IF(74=$NR$32,$NN$32,0),IF($NP$32="Bell_Curve",$NN$32*(74-$NR$32+1)*($NS$32-74+1)/$NU$32,$NN$32/$NT$32)),0)</f>
        <v/>
      </c>
      <c r="CA32" s="402">
        <f>IF(AND(75&gt;=$NR$32,75&lt;=$NS$32),IF($NP$32="Single_Point",IF(75=$NR$32,$NN$32,0),IF($NP$32="Bell_Curve",$NN$32*(75-$NR$32+1)*($NS$32-75+1)/$NU$32,$NN$32/$NT$32)),0)</f>
        <v/>
      </c>
      <c r="CB32" s="402">
        <f>IF(AND(76&gt;=$NR$32,76&lt;=$NS$32),IF($NP$32="Single_Point",IF(76=$NR$32,$NN$32,0),IF($NP$32="Bell_Curve",$NN$32*(76-$NR$32+1)*($NS$32-76+1)/$NU$32,$NN$32/$NT$32)),0)</f>
        <v/>
      </c>
      <c r="CC32" s="402">
        <f>IF(AND(77&gt;=$NR$32,77&lt;=$NS$32),IF($NP$32="Single_Point",IF(77=$NR$32,$NN$32,0),IF($NP$32="Bell_Curve",$NN$32*(77-$NR$32+1)*($NS$32-77+1)/$NU$32,$NN$32/$NT$32)),0)</f>
        <v/>
      </c>
      <c r="CD32" s="402">
        <f>IF(AND(78&gt;=$NR$32,78&lt;=$NS$32),IF($NP$32="Single_Point",IF(78=$NR$32,$NN$32,0),IF($NP$32="Bell_Curve",$NN$32*(78-$NR$32+1)*($NS$32-78+1)/$NU$32,$NN$32/$NT$32)),0)</f>
        <v/>
      </c>
      <c r="CE32" s="402">
        <f>IF(AND(79&gt;=$NR$32,79&lt;=$NS$32),IF($NP$32="Single_Point",IF(79=$NR$32,$NN$32,0),IF($NP$32="Bell_Curve",$NN$32*(79-$NR$32+1)*($NS$32-79+1)/$NU$32,$NN$32/$NT$32)),0)</f>
        <v/>
      </c>
      <c r="CF32" s="402">
        <f>IF(AND(80&gt;=$NR$32,80&lt;=$NS$32),IF($NP$32="Single_Point",IF(80=$NR$32,$NN$32,0),IF($NP$32="Bell_Curve",$NN$32*(80-$NR$32+1)*($NS$32-80+1)/$NU$32,$NN$32/$NT$32)),0)</f>
        <v/>
      </c>
      <c r="CG32" s="402">
        <f>IF(AND(81&gt;=$NR$32,81&lt;=$NS$32),IF($NP$32="Single_Point",IF(81=$NR$32,$NN$32,0),IF($NP$32="Bell_Curve",$NN$32*(81-$NR$32+1)*($NS$32-81+1)/$NU$32,$NN$32/$NT$32)),0)</f>
        <v/>
      </c>
      <c r="CH32" s="402">
        <f>IF(AND(82&gt;=$NR$32,82&lt;=$NS$32),IF($NP$32="Single_Point",IF(82=$NR$32,$NN$32,0),IF($NP$32="Bell_Curve",$NN$32*(82-$NR$32+1)*($NS$32-82+1)/$NU$32,$NN$32/$NT$32)),0)</f>
        <v/>
      </c>
      <c r="CI32" s="402">
        <f>IF(AND(83&gt;=$NR$32,83&lt;=$NS$32),IF($NP$32="Single_Point",IF(83=$NR$32,$NN$32,0),IF($NP$32="Bell_Curve",$NN$32*(83-$NR$32+1)*($NS$32-83+1)/$NU$32,$NN$32/$NT$32)),0)</f>
        <v/>
      </c>
      <c r="CJ32" s="402">
        <f>IF(AND(84&gt;=$NR$32,84&lt;=$NS$32),IF($NP$32="Single_Point",IF(84=$NR$32,$NN$32,0),IF($NP$32="Bell_Curve",$NN$32*(84-$NR$32+1)*($NS$32-84+1)/$NU$32,$NN$32/$NT$32)),0)</f>
        <v/>
      </c>
      <c r="CK32" s="402">
        <f>IF(AND(85&gt;=$NR$32,85&lt;=$NS$32),IF($NP$32="Single_Point",IF(85=$NR$32,$NN$32,0),IF($NP$32="Bell_Curve",$NN$32*(85-$NR$32+1)*($NS$32-85+1)/$NU$32,$NN$32/$NT$32)),0)</f>
        <v/>
      </c>
      <c r="CL32" s="402">
        <f>IF(AND(86&gt;=$NR$32,86&lt;=$NS$32),IF($NP$32="Single_Point",IF(86=$NR$32,$NN$32,0),IF($NP$32="Bell_Curve",$NN$32*(86-$NR$32+1)*($NS$32-86+1)/$NU$32,$NN$32/$NT$32)),0)</f>
        <v/>
      </c>
      <c r="CM32" s="402">
        <f>IF(AND(87&gt;=$NR$32,87&lt;=$NS$32),IF($NP$32="Single_Point",IF(87=$NR$32,$NN$32,0),IF($NP$32="Bell_Curve",$NN$32*(87-$NR$32+1)*($NS$32-87+1)/$NU$32,$NN$32/$NT$32)),0)</f>
        <v/>
      </c>
      <c r="CN32" s="402">
        <f>IF(AND(88&gt;=$NR$32,88&lt;=$NS$32),IF($NP$32="Single_Point",IF(88=$NR$32,$NN$32,0),IF($NP$32="Bell_Curve",$NN$32*(88-$NR$32+1)*($NS$32-88+1)/$NU$32,$NN$32/$NT$32)),0)</f>
        <v/>
      </c>
      <c r="CO32" s="402">
        <f>IF(AND(89&gt;=$NR$32,89&lt;=$NS$32),IF($NP$32="Single_Point",IF(89=$NR$32,$NN$32,0),IF($NP$32="Bell_Curve",$NN$32*(89-$NR$32+1)*($NS$32-89+1)/$NU$32,$NN$32/$NT$32)),0)</f>
        <v/>
      </c>
      <c r="CP32" s="402">
        <f>IF(AND(90&gt;=$NR$32,90&lt;=$NS$32),IF($NP$32="Single_Point",IF(90=$NR$32,$NN$32,0),IF($NP$32="Bell_Curve",$NN$32*(90-$NR$32+1)*($NS$32-90+1)/$NU$32,$NN$32/$NT$32)),0)</f>
        <v/>
      </c>
      <c r="CQ32" s="402">
        <f>IF(AND(91&gt;=$NR$32,91&lt;=$NS$32),IF($NP$32="Single_Point",IF(91=$NR$32,$NN$32,0),IF($NP$32="Bell_Curve",$NN$32*(91-$NR$32+1)*($NS$32-91+1)/$NU$32,$NN$32/$NT$32)),0)</f>
        <v/>
      </c>
      <c r="CR32" s="402">
        <f>IF(AND(92&gt;=$NR$32,92&lt;=$NS$32),IF($NP$32="Single_Point",IF(92=$NR$32,$NN$32,0),IF($NP$32="Bell_Curve",$NN$32*(92-$NR$32+1)*($NS$32-92+1)/$NU$32,$NN$32/$NT$32)),0)</f>
        <v/>
      </c>
      <c r="CS32" s="402">
        <f>IF(AND(93&gt;=$NR$32,93&lt;=$NS$32),IF($NP$32="Single_Point",IF(93=$NR$32,$NN$32,0),IF($NP$32="Bell_Curve",$NN$32*(93-$NR$32+1)*($NS$32-93+1)/$NU$32,$NN$32/$NT$32)),0)</f>
        <v/>
      </c>
      <c r="CT32" s="402">
        <f>IF(AND(94&gt;=$NR$32,94&lt;=$NS$32),IF($NP$32="Single_Point",IF(94=$NR$32,$NN$32,0),IF($NP$32="Bell_Curve",$NN$32*(94-$NR$32+1)*($NS$32-94+1)/$NU$32,$NN$32/$NT$32)),0)</f>
        <v/>
      </c>
      <c r="CU32" s="402">
        <f>IF(AND(95&gt;=$NR$32,95&lt;=$NS$32),IF($NP$32="Single_Point",IF(95=$NR$32,$NN$32,0),IF($NP$32="Bell_Curve",$NN$32*(95-$NR$32+1)*($NS$32-95+1)/$NU$32,$NN$32/$NT$32)),0)</f>
        <v/>
      </c>
      <c r="CV32" s="402">
        <f>IF(AND(96&gt;=$NR$32,96&lt;=$NS$32),IF($NP$32="Single_Point",IF(96=$NR$32,$NN$32,0),IF($NP$32="Bell_Curve",$NN$32*(96-$NR$32+1)*($NS$32-96+1)/$NU$32,$NN$32/$NT$32)),0)</f>
        <v/>
      </c>
      <c r="CW32" s="402">
        <f>IF(AND(97&gt;=$NR$32,97&lt;=$NS$32),IF($NP$32="Single_Point",IF(97=$NR$32,$NN$32,0),IF($NP$32="Bell_Curve",$NN$32*(97-$NR$32+1)*($NS$32-97+1)/$NU$32,$NN$32/$NT$32)),0)</f>
        <v/>
      </c>
      <c r="CX32" s="402">
        <f>IF(AND(98&gt;=$NR$32,98&lt;=$NS$32),IF($NP$32="Single_Point",IF(98=$NR$32,$NN$32,0),IF($NP$32="Bell_Curve",$NN$32*(98-$NR$32+1)*($NS$32-98+1)/$NU$32,$NN$32/$NT$32)),0)</f>
        <v/>
      </c>
      <c r="CY32" s="402">
        <f>IF(AND(99&gt;=$NR$32,99&lt;=$NS$32),IF($NP$32="Single_Point",IF(99=$NR$32,$NN$32,0),IF($NP$32="Bell_Curve",$NN$32*(99-$NR$32+1)*($NS$32-99+1)/$NU$32,$NN$32/$NT$32)),0)</f>
        <v/>
      </c>
      <c r="CZ32" s="402">
        <f>IF(AND(100&gt;=$NR$32,100&lt;=$NS$32),IF($NP$32="Single_Point",IF(100=$NR$32,$NN$32,0),IF($NP$32="Bell_Curve",$NN$32*(100-$NR$32+1)*($NS$32-100+1)/$NU$32,$NN$32/$NT$32)),0)</f>
        <v/>
      </c>
      <c r="DA32" s="402">
        <f>IF(AND(101&gt;=$NR$32,101&lt;=$NS$32),IF($NP$32="Single_Point",IF(101=$NR$32,$NN$32,0),IF($NP$32="Bell_Curve",$NN$32*(101-$NR$32+1)*($NS$32-101+1)/$NU$32,$NN$32/$NT$32)),0)</f>
        <v/>
      </c>
      <c r="DB32" s="402">
        <f>IF(AND(102&gt;=$NR$32,102&lt;=$NS$32),IF($NP$32="Single_Point",IF(102=$NR$32,$NN$32,0),IF($NP$32="Bell_Curve",$NN$32*(102-$NR$32+1)*($NS$32-102+1)/$NU$32,$NN$32/$NT$32)),0)</f>
        <v/>
      </c>
      <c r="DC32" s="402">
        <f>IF(AND(103&gt;=$NR$32,103&lt;=$NS$32),IF($NP$32="Single_Point",IF(103=$NR$32,$NN$32,0),IF($NP$32="Bell_Curve",$NN$32*(103-$NR$32+1)*($NS$32-103+1)/$NU$32,$NN$32/$NT$32)),0)</f>
        <v/>
      </c>
      <c r="DD32" s="402">
        <f>IF(AND(104&gt;=$NR$32,104&lt;=$NS$32),IF($NP$32="Single_Point",IF(104=$NR$32,$NN$32,0),IF($NP$32="Bell_Curve",$NN$32*(104-$NR$32+1)*($NS$32-104+1)/$NU$32,$NN$32/$NT$32)),0)</f>
        <v/>
      </c>
      <c r="DE32" s="402">
        <f>IF(AND(105&gt;=$NR$32,105&lt;=$NS$32),IF($NP$32="Single_Point",IF(105=$NR$32,$NN$32,0),IF($NP$32="Bell_Curve",$NN$32*(105-$NR$32+1)*($NS$32-105+1)/$NU$32,$NN$32/$NT$32)),0)</f>
        <v/>
      </c>
      <c r="DF32" s="402">
        <f>IF(AND(106&gt;=$NR$32,106&lt;=$NS$32),IF($NP$32="Single_Point",IF(106=$NR$32,$NN$32,0),IF($NP$32="Bell_Curve",$NN$32*(106-$NR$32+1)*($NS$32-106+1)/$NU$32,$NN$32/$NT$32)),0)</f>
        <v/>
      </c>
      <c r="DG32" s="402">
        <f>IF(AND(107&gt;=$NR$32,107&lt;=$NS$32),IF($NP$32="Single_Point",IF(107=$NR$32,$NN$32,0),IF($NP$32="Bell_Curve",$NN$32*(107-$NR$32+1)*($NS$32-107+1)/$NU$32,$NN$32/$NT$32)),0)</f>
        <v/>
      </c>
      <c r="DH32" s="402">
        <f>IF(AND(108&gt;=$NR$32,108&lt;=$NS$32),IF($NP$32="Single_Point",IF(108=$NR$32,$NN$32,0),IF($NP$32="Bell_Curve",$NN$32*(108-$NR$32+1)*($NS$32-108+1)/$NU$32,$NN$32/$NT$32)),0)</f>
        <v/>
      </c>
      <c r="DI32" s="402">
        <f>IF(AND(109&gt;=$NR$32,109&lt;=$NS$32),IF($NP$32="Single_Point",IF(109=$NR$32,$NN$32,0),IF($NP$32="Bell_Curve",$NN$32*(109-$NR$32+1)*($NS$32-109+1)/$NU$32,$NN$32/$NT$32)),0)</f>
        <v/>
      </c>
      <c r="DJ32" s="402">
        <f>IF(AND(110&gt;=$NR$32,110&lt;=$NS$32),IF($NP$32="Single_Point",IF(110=$NR$32,$NN$32,0),IF($NP$32="Bell_Curve",$NN$32*(110-$NR$32+1)*($NS$32-110+1)/$NU$32,$NN$32/$NT$32)),0)</f>
        <v/>
      </c>
      <c r="DK32" s="402">
        <f>IF(AND(111&gt;=$NR$32,111&lt;=$NS$32),IF($NP$32="Single_Point",IF(111=$NR$32,$NN$32,0),IF($NP$32="Bell_Curve",$NN$32*(111-$NR$32+1)*($NS$32-111+1)/$NU$32,$NN$32/$NT$32)),0)</f>
        <v/>
      </c>
      <c r="DL32" s="402">
        <f>IF(AND(112&gt;=$NR$32,112&lt;=$NS$32),IF($NP$32="Single_Point",IF(112=$NR$32,$NN$32,0),IF($NP$32="Bell_Curve",$NN$32*(112-$NR$32+1)*($NS$32-112+1)/$NU$32,$NN$32/$NT$32)),0)</f>
        <v/>
      </c>
      <c r="DM32" s="402">
        <f>IF(AND(113&gt;=$NR$32,113&lt;=$NS$32),IF($NP$32="Single_Point",IF(113=$NR$32,$NN$32,0),IF($NP$32="Bell_Curve",$NN$32*(113-$NR$32+1)*($NS$32-113+1)/$NU$32,$NN$32/$NT$32)),0)</f>
        <v/>
      </c>
      <c r="DN32" s="402">
        <f>IF(AND(114&gt;=$NR$32,114&lt;=$NS$32),IF($NP$32="Single_Point",IF(114=$NR$32,$NN$32,0),IF($NP$32="Bell_Curve",$NN$32*(114-$NR$32+1)*($NS$32-114+1)/$NU$32,$NN$32/$NT$32)),0)</f>
        <v/>
      </c>
      <c r="DO32" s="402">
        <f>IF(AND(115&gt;=$NR$32,115&lt;=$NS$32),IF($NP$32="Single_Point",IF(115=$NR$32,$NN$32,0),IF($NP$32="Bell_Curve",$NN$32*(115-$NR$32+1)*($NS$32-115+1)/$NU$32,$NN$32/$NT$32)),0)</f>
        <v/>
      </c>
      <c r="DP32" s="402">
        <f>IF(AND(116&gt;=$NR$32,116&lt;=$NS$32),IF($NP$32="Single_Point",IF(116=$NR$32,$NN$32,0),IF($NP$32="Bell_Curve",$NN$32*(116-$NR$32+1)*($NS$32-116+1)/$NU$32,$NN$32/$NT$32)),0)</f>
        <v/>
      </c>
      <c r="DQ32" s="402">
        <f>IF(AND(117&gt;=$NR$32,117&lt;=$NS$32),IF($NP$32="Single_Point",IF(117=$NR$32,$NN$32,0),IF($NP$32="Bell_Curve",$NN$32*(117-$NR$32+1)*($NS$32-117+1)/$NU$32,$NN$32/$NT$32)),0)</f>
        <v/>
      </c>
      <c r="DR32" s="402">
        <f>IF(AND(118&gt;=$NR$32,118&lt;=$NS$32),IF($NP$32="Single_Point",IF(118=$NR$32,$NN$32,0),IF($NP$32="Bell_Curve",$NN$32*(118-$NR$32+1)*($NS$32-118+1)/$NU$32,$NN$32/$NT$32)),0)</f>
        <v/>
      </c>
      <c r="DS32" s="402">
        <f>IF(AND(119&gt;=$NR$32,119&lt;=$NS$32),IF($NP$32="Single_Point",IF(119=$NR$32,$NN$32,0),IF($NP$32="Bell_Curve",$NN$32*(119-$NR$32+1)*($NS$32-119+1)/$NU$32,$NN$32/$NT$32)),0)</f>
        <v/>
      </c>
      <c r="DT32" s="402">
        <f>IF(AND(120&gt;=$NR$32,120&lt;=$NS$32),IF($NP$32="Single_Point",IF(120=$NR$32,$NN$32,0),IF($NP$32="Bell_Curve",$NN$32*(120-$NR$32+1)*($NS$32-120+1)/$NU$32,$NN$32/$NT$32)),0)</f>
        <v/>
      </c>
      <c r="DU32" s="402">
        <f>IF(AND(121&gt;=$NR$32,121&lt;=$NS$32),IF($NP$32="Single_Point",IF(121=$NR$32,$NN$32,0),IF($NP$32="Bell_Curve",$NN$32*(121-$NR$32+1)*($NS$32-121+1)/$NU$32,$NN$32/$NT$32)),0)</f>
        <v/>
      </c>
      <c r="DV32" s="402">
        <f>IF(AND(122&gt;=$NR$32,122&lt;=$NS$32),IF($NP$32="Single_Point",IF(122=$NR$32,$NN$32,0),IF($NP$32="Bell_Curve",$NN$32*(122-$NR$32+1)*($NS$32-122+1)/$NU$32,$NN$32/$NT$32)),0)</f>
        <v/>
      </c>
      <c r="DW32" s="402">
        <f>IF(AND(123&gt;=$NR$32,123&lt;=$NS$32),IF($NP$32="Single_Point",IF(123=$NR$32,$NN$32,0),IF($NP$32="Bell_Curve",$NN$32*(123-$NR$32+1)*($NS$32-123+1)/$NU$32,$NN$32/$NT$32)),0)</f>
        <v/>
      </c>
      <c r="DX32" s="402">
        <f>IF(AND(124&gt;=$NR$32,124&lt;=$NS$32),IF($NP$32="Single_Point",IF(124=$NR$32,$NN$32,0),IF($NP$32="Bell_Curve",$NN$32*(124-$NR$32+1)*($NS$32-124+1)/$NU$32,$NN$32/$NT$32)),0)</f>
        <v/>
      </c>
      <c r="DY32" s="402">
        <f>IF(AND(125&gt;=$NR$32,125&lt;=$NS$32),IF($NP$32="Single_Point",IF(125=$NR$32,$NN$32,0),IF($NP$32="Bell_Curve",$NN$32*(125-$NR$32+1)*($NS$32-125+1)/$NU$32,$NN$32/$NT$32)),0)</f>
        <v/>
      </c>
      <c r="DZ32" s="402">
        <f>IF(AND(126&gt;=$NR$32,126&lt;=$NS$32),IF($NP$32="Single_Point",IF(126=$NR$32,$NN$32,0),IF($NP$32="Bell_Curve",$NN$32*(126-$NR$32+1)*($NS$32-126+1)/$NU$32,$NN$32/$NT$32)),0)</f>
        <v/>
      </c>
      <c r="EA32" s="402">
        <f>IF(AND(127&gt;=$NR$32,127&lt;=$NS$32),IF($NP$32="Single_Point",IF(127=$NR$32,$NN$32,0),IF($NP$32="Bell_Curve",$NN$32*(127-$NR$32+1)*($NS$32-127+1)/$NU$32,$NN$32/$NT$32)),0)</f>
        <v/>
      </c>
      <c r="EB32" s="402">
        <f>IF(AND(128&gt;=$NR$32,128&lt;=$NS$32),IF($NP$32="Single_Point",IF(128=$NR$32,$NN$32,0),IF($NP$32="Bell_Curve",$NN$32*(128-$NR$32+1)*($NS$32-128+1)/$NU$32,$NN$32/$NT$32)),0)</f>
        <v/>
      </c>
      <c r="EC32" s="402">
        <f>IF(AND(129&gt;=$NR$32,129&lt;=$NS$32),IF($NP$32="Single_Point",IF(129=$NR$32,$NN$32,0),IF($NP$32="Bell_Curve",$NN$32*(129-$NR$32+1)*($NS$32-129+1)/$NU$32,$NN$32/$NT$32)),0)</f>
        <v/>
      </c>
      <c r="ED32" s="402">
        <f>IF(AND(130&gt;=$NR$32,130&lt;=$NS$32),IF($NP$32="Single_Point",IF(130=$NR$32,$NN$32,0),IF($NP$32="Bell_Curve",$NN$32*(130-$NR$32+1)*($NS$32-130+1)/$NU$32,$NN$32/$NT$32)),0)</f>
        <v/>
      </c>
      <c r="EE32" s="402">
        <f>IF(AND(131&gt;=$NR$32,131&lt;=$NS$32),IF($NP$32="Single_Point",IF(131=$NR$32,$NN$32,0),IF($NP$32="Bell_Curve",$NN$32*(131-$NR$32+1)*($NS$32-131+1)/$NU$32,$NN$32/$NT$32)),0)</f>
        <v/>
      </c>
      <c r="EF32" s="402">
        <f>IF(AND(132&gt;=$NR$32,132&lt;=$NS$32),IF($NP$32="Single_Point",IF(132=$NR$32,$NN$32,0),IF($NP$32="Bell_Curve",$NN$32*(132-$NR$32+1)*($NS$32-132+1)/$NU$32,$NN$32/$NT$32)),0)</f>
        <v/>
      </c>
      <c r="EG32" s="402">
        <f>IF(AND(133&gt;=$NR$32,133&lt;=$NS$32),IF($NP$32="Single_Point",IF(133=$NR$32,$NN$32,0),IF($NP$32="Bell_Curve",$NN$32*(133-$NR$32+1)*($NS$32-133+1)/$NU$32,$NN$32/$NT$32)),0)</f>
        <v/>
      </c>
      <c r="EH32" s="402">
        <f>IF(AND(134&gt;=$NR$32,134&lt;=$NS$32),IF($NP$32="Single_Point",IF(134=$NR$32,$NN$32,0),IF($NP$32="Bell_Curve",$NN$32*(134-$NR$32+1)*($NS$32-134+1)/$NU$32,$NN$32/$NT$32)),0)</f>
        <v/>
      </c>
      <c r="EI32" s="402">
        <f>IF(AND(135&gt;=$NR$32,135&lt;=$NS$32),IF($NP$32="Single_Point",IF(135=$NR$32,$NN$32,0),IF($NP$32="Bell_Curve",$NN$32*(135-$NR$32+1)*($NS$32-135+1)/$NU$32,$NN$32/$NT$32)),0)</f>
        <v/>
      </c>
      <c r="EJ32" s="402">
        <f>IF(AND(136&gt;=$NR$32,136&lt;=$NS$32),IF($NP$32="Single_Point",IF(136=$NR$32,$NN$32,0),IF($NP$32="Bell_Curve",$NN$32*(136-$NR$32+1)*($NS$32-136+1)/$NU$32,$NN$32/$NT$32)),0)</f>
        <v/>
      </c>
      <c r="EK32" s="402">
        <f>IF(AND(137&gt;=$NR$32,137&lt;=$NS$32),IF($NP$32="Single_Point",IF(137=$NR$32,$NN$32,0),IF($NP$32="Bell_Curve",$NN$32*(137-$NR$32+1)*($NS$32-137+1)/$NU$32,$NN$32/$NT$32)),0)</f>
        <v/>
      </c>
      <c r="EL32" s="402">
        <f>IF(AND(138&gt;=$NR$32,138&lt;=$NS$32),IF($NP$32="Single_Point",IF(138=$NR$32,$NN$32,0),IF($NP$32="Bell_Curve",$NN$32*(138-$NR$32+1)*($NS$32-138+1)/$NU$32,$NN$32/$NT$32)),0)</f>
        <v/>
      </c>
      <c r="EM32" s="402">
        <f>IF(AND(139&gt;=$NR$32,139&lt;=$NS$32),IF($NP$32="Single_Point",IF(139=$NR$32,$NN$32,0),IF($NP$32="Bell_Curve",$NN$32*(139-$NR$32+1)*($NS$32-139+1)/$NU$32,$NN$32/$NT$32)),0)</f>
        <v/>
      </c>
      <c r="EN32" s="402">
        <f>IF(AND(140&gt;=$NR$32,140&lt;=$NS$32),IF($NP$32="Single_Point",IF(140=$NR$32,$NN$32,0),IF($NP$32="Bell_Curve",$NN$32*(140-$NR$32+1)*($NS$32-140+1)/$NU$32,$NN$32/$NT$32)),0)</f>
        <v/>
      </c>
      <c r="EO32" s="402">
        <f>IF(AND(141&gt;=$NR$32,141&lt;=$NS$32),IF($NP$32="Single_Point",IF(141=$NR$32,$NN$32,0),IF($NP$32="Bell_Curve",$NN$32*(141-$NR$32+1)*($NS$32-141+1)/$NU$32,$NN$32/$NT$32)),0)</f>
        <v/>
      </c>
      <c r="EP32" s="402">
        <f>IF(AND(142&gt;=$NR$32,142&lt;=$NS$32),IF($NP$32="Single_Point",IF(142=$NR$32,$NN$32,0),IF($NP$32="Bell_Curve",$NN$32*(142-$NR$32+1)*($NS$32-142+1)/$NU$32,$NN$32/$NT$32)),0)</f>
        <v/>
      </c>
      <c r="EQ32" s="402">
        <f>IF(AND(143&gt;=$NR$32,143&lt;=$NS$32),IF($NP$32="Single_Point",IF(143=$NR$32,$NN$32,0),IF($NP$32="Bell_Curve",$NN$32*(143-$NR$32+1)*($NS$32-143+1)/$NU$32,$NN$32/$NT$32)),0)</f>
        <v/>
      </c>
      <c r="ER32" s="402">
        <f>IF(AND(144&gt;=$NR$32,144&lt;=$NS$32),IF($NP$32="Single_Point",IF(144=$NR$32,$NN$32,0),IF($NP$32="Bell_Curve",$NN$32*(144-$NR$32+1)*($NS$32-144+1)/$NU$32,$NN$32/$NT$32)),0)</f>
        <v/>
      </c>
      <c r="ES32" s="402">
        <f>IF(AND(145&gt;=$NR$32,145&lt;=$NS$32),IF($NP$32="Single_Point",IF(145=$NR$32,$NN$32,0),IF($NP$32="Bell_Curve",$NN$32*(145-$NR$32+1)*($NS$32-145+1)/$NU$32,$NN$32/$NT$32)),0)</f>
        <v/>
      </c>
      <c r="ET32" s="402">
        <f>IF(AND(146&gt;=$NR$32,146&lt;=$NS$32),IF($NP$32="Single_Point",IF(146=$NR$32,$NN$32,0),IF($NP$32="Bell_Curve",$NN$32*(146-$NR$32+1)*($NS$32-146+1)/$NU$32,$NN$32/$NT$32)),0)</f>
        <v/>
      </c>
      <c r="EU32" s="402">
        <f>IF(AND(147&gt;=$NR$32,147&lt;=$NS$32),IF($NP$32="Single_Point",IF(147=$NR$32,$NN$32,0),IF($NP$32="Bell_Curve",$NN$32*(147-$NR$32+1)*($NS$32-147+1)/$NU$32,$NN$32/$NT$32)),0)</f>
        <v/>
      </c>
      <c r="EV32" s="402">
        <f>IF(AND(148&gt;=$NR$32,148&lt;=$NS$32),IF($NP$32="Single_Point",IF(148=$NR$32,$NN$32,0),IF($NP$32="Bell_Curve",$NN$32*(148-$NR$32+1)*($NS$32-148+1)/$NU$32,$NN$32/$NT$32)),0)</f>
        <v/>
      </c>
      <c r="EW32" s="402">
        <f>IF(AND(149&gt;=$NR$32,149&lt;=$NS$32),IF($NP$32="Single_Point",IF(149=$NR$32,$NN$32,0),IF($NP$32="Bell_Curve",$NN$32*(149-$NR$32+1)*($NS$32-149+1)/$NU$32,$NN$32/$NT$32)),0)</f>
        <v/>
      </c>
      <c r="EX32" s="402">
        <f>IF(AND(150&gt;=$NR$32,150&lt;=$NS$32),IF($NP$32="Single_Point",IF(150=$NR$32,$NN$32,0),IF($NP$32="Bell_Curve",$NN$32*(150-$NR$32+1)*($NS$32-150+1)/$NU$32,$NN$32/$NT$32)),0)</f>
        <v/>
      </c>
      <c r="EY32" s="402">
        <f>IF(AND(151&gt;=$NR$32,151&lt;=$NS$32),IF($NP$32="Single_Point",IF(151=$NR$32,$NN$32,0),IF($NP$32="Bell_Curve",$NN$32*(151-$NR$32+1)*($NS$32-151+1)/$NU$32,$NN$32/$NT$32)),0)</f>
        <v/>
      </c>
      <c r="EZ32" s="402">
        <f>IF(AND(152&gt;=$NR$32,152&lt;=$NS$32),IF($NP$32="Single_Point",IF(152=$NR$32,$NN$32,0),IF($NP$32="Bell_Curve",$NN$32*(152-$NR$32+1)*($NS$32-152+1)/$NU$32,$NN$32/$NT$32)),0)</f>
        <v/>
      </c>
      <c r="FA32" s="402">
        <f>IF(AND(153&gt;=$NR$32,153&lt;=$NS$32),IF($NP$32="Single_Point",IF(153=$NR$32,$NN$32,0),IF($NP$32="Bell_Curve",$NN$32*(153-$NR$32+1)*($NS$32-153+1)/$NU$32,$NN$32/$NT$32)),0)</f>
        <v/>
      </c>
      <c r="FB32" s="402">
        <f>IF(AND(154&gt;=$NR$32,154&lt;=$NS$32),IF($NP$32="Single_Point",IF(154=$NR$32,$NN$32,0),IF($NP$32="Bell_Curve",$NN$32*(154-$NR$32+1)*($NS$32-154+1)/$NU$32,$NN$32/$NT$32)),0)</f>
        <v/>
      </c>
      <c r="FC32" s="402">
        <f>IF(AND(155&gt;=$NR$32,155&lt;=$NS$32),IF($NP$32="Single_Point",IF(155=$NR$32,$NN$32,0),IF($NP$32="Bell_Curve",$NN$32*(155-$NR$32+1)*($NS$32-155+1)/$NU$32,$NN$32/$NT$32)),0)</f>
        <v/>
      </c>
      <c r="FD32" s="402">
        <f>IF(AND(156&gt;=$NR$32,156&lt;=$NS$32),IF($NP$32="Single_Point",IF(156=$NR$32,$NN$32,0),IF($NP$32="Bell_Curve",$NN$32*(156-$NR$32+1)*($NS$32-156+1)/$NU$32,$NN$32/$NT$32)),0)</f>
        <v/>
      </c>
      <c r="FE32" s="402">
        <f>IF(AND(157&gt;=$NR$32,157&lt;=$NS$32),IF($NP$32="Single_Point",IF(157=$NR$32,$NN$32,0),IF($NP$32="Bell_Curve",$NN$32*(157-$NR$32+1)*($NS$32-157+1)/$NU$32,$NN$32/$NT$32)),0)</f>
        <v/>
      </c>
      <c r="FF32" s="402">
        <f>IF(AND(158&gt;=$NR$32,158&lt;=$NS$32),IF($NP$32="Single_Point",IF(158=$NR$32,$NN$32,0),IF($NP$32="Bell_Curve",$NN$32*(158-$NR$32+1)*($NS$32-158+1)/$NU$32,$NN$32/$NT$32)),0)</f>
        <v/>
      </c>
      <c r="FG32" s="402">
        <f>IF(AND(159&gt;=$NR$32,159&lt;=$NS$32),IF($NP$32="Single_Point",IF(159=$NR$32,$NN$32,0),IF($NP$32="Bell_Curve",$NN$32*(159-$NR$32+1)*($NS$32-159+1)/$NU$32,$NN$32/$NT$32)),0)</f>
        <v/>
      </c>
      <c r="FH32" s="402">
        <f>IF(AND(160&gt;=$NR$32,160&lt;=$NS$32),IF($NP$32="Single_Point",IF(160=$NR$32,$NN$32,0),IF($NP$32="Bell_Curve",$NN$32*(160-$NR$32+1)*($NS$32-160+1)/$NU$32,$NN$32/$NT$32)),0)</f>
        <v/>
      </c>
      <c r="FI32" s="402">
        <f>IF(AND(161&gt;=$NR$32,161&lt;=$NS$32),IF($NP$32="Single_Point",IF(161=$NR$32,$NN$32,0),IF($NP$32="Bell_Curve",$NN$32*(161-$NR$32+1)*($NS$32-161+1)/$NU$32,$NN$32/$NT$32)),0)</f>
        <v/>
      </c>
      <c r="FJ32" s="402">
        <f>IF(AND(162&gt;=$NR$32,162&lt;=$NS$32),IF($NP$32="Single_Point",IF(162=$NR$32,$NN$32,0),IF($NP$32="Bell_Curve",$NN$32*(162-$NR$32+1)*($NS$32-162+1)/$NU$32,$NN$32/$NT$32)),0)</f>
        <v/>
      </c>
      <c r="FK32" s="402">
        <f>IF(AND(163&gt;=$NR$32,163&lt;=$NS$32),IF($NP$32="Single_Point",IF(163=$NR$32,$NN$32,0),IF($NP$32="Bell_Curve",$NN$32*(163-$NR$32+1)*($NS$32-163+1)/$NU$32,$NN$32/$NT$32)),0)</f>
        <v/>
      </c>
      <c r="FL32" s="402">
        <f>IF(AND(164&gt;=$NR$32,164&lt;=$NS$32),IF($NP$32="Single_Point",IF(164=$NR$32,$NN$32,0),IF($NP$32="Bell_Curve",$NN$32*(164-$NR$32+1)*($NS$32-164+1)/$NU$32,$NN$32/$NT$32)),0)</f>
        <v/>
      </c>
      <c r="FM32" s="402">
        <f>IF(AND(165&gt;=$NR$32,165&lt;=$NS$32),IF($NP$32="Single_Point",IF(165=$NR$32,$NN$32,0),IF($NP$32="Bell_Curve",$NN$32*(165-$NR$32+1)*($NS$32-165+1)/$NU$32,$NN$32/$NT$32)),0)</f>
        <v/>
      </c>
      <c r="FN32" s="402">
        <f>IF(AND(166&gt;=$NR$32,166&lt;=$NS$32),IF($NP$32="Single_Point",IF(166=$NR$32,$NN$32,0),IF($NP$32="Bell_Curve",$NN$32*(166-$NR$32+1)*($NS$32-166+1)/$NU$32,$NN$32/$NT$32)),0)</f>
        <v/>
      </c>
      <c r="FO32" s="402">
        <f>IF(AND(167&gt;=$NR$32,167&lt;=$NS$32),IF($NP$32="Single_Point",IF(167=$NR$32,$NN$32,0),IF($NP$32="Bell_Curve",$NN$32*(167-$NR$32+1)*($NS$32-167+1)/$NU$32,$NN$32/$NT$32)),0)</f>
        <v/>
      </c>
      <c r="FP32" s="402">
        <f>IF(AND(168&gt;=$NR$32,168&lt;=$NS$32),IF($NP$32="Single_Point",IF(168=$NR$32,$NN$32,0),IF($NP$32="Bell_Curve",$NN$32*(168-$NR$32+1)*($NS$32-168+1)/$NU$32,$NN$32/$NT$32)),0)</f>
        <v/>
      </c>
      <c r="FQ32" s="402">
        <f>IF(AND(169&gt;=$NR$32,169&lt;=$NS$32),IF($NP$32="Single_Point",IF(169=$NR$32,$NN$32,0),IF($NP$32="Bell_Curve",$NN$32*(169-$NR$32+1)*($NS$32-169+1)/$NU$32,$NN$32/$NT$32)),0)</f>
        <v/>
      </c>
      <c r="FR32" s="402">
        <f>IF(AND(170&gt;=$NR$32,170&lt;=$NS$32),IF($NP$32="Single_Point",IF(170=$NR$32,$NN$32,0),IF($NP$32="Bell_Curve",$NN$32*(170-$NR$32+1)*($NS$32-170+1)/$NU$32,$NN$32/$NT$32)),0)</f>
        <v/>
      </c>
      <c r="FS32" s="402">
        <f>IF(AND(171&gt;=$NR$32,171&lt;=$NS$32),IF($NP$32="Single_Point",IF(171=$NR$32,$NN$32,0),IF($NP$32="Bell_Curve",$NN$32*(171-$NR$32+1)*($NS$32-171+1)/$NU$32,$NN$32/$NT$32)),0)</f>
        <v/>
      </c>
      <c r="FT32" s="402">
        <f>IF(AND(172&gt;=$NR$32,172&lt;=$NS$32),IF($NP$32="Single_Point",IF(172=$NR$32,$NN$32,0),IF($NP$32="Bell_Curve",$NN$32*(172-$NR$32+1)*($NS$32-172+1)/$NU$32,$NN$32/$NT$32)),0)</f>
        <v/>
      </c>
      <c r="FU32" s="402">
        <f>IF(AND(173&gt;=$NR$32,173&lt;=$NS$32),IF($NP$32="Single_Point",IF(173=$NR$32,$NN$32,0),IF($NP$32="Bell_Curve",$NN$32*(173-$NR$32+1)*($NS$32-173+1)/$NU$32,$NN$32/$NT$32)),0)</f>
        <v/>
      </c>
      <c r="FV32" s="402">
        <f>IF(AND(174&gt;=$NR$32,174&lt;=$NS$32),IF($NP$32="Single_Point",IF(174=$NR$32,$NN$32,0),IF($NP$32="Bell_Curve",$NN$32*(174-$NR$32+1)*($NS$32-174+1)/$NU$32,$NN$32/$NT$32)),0)</f>
        <v/>
      </c>
      <c r="FW32" s="402">
        <f>IF(AND(175&gt;=$NR$32,175&lt;=$NS$32),IF($NP$32="Single_Point",IF(175=$NR$32,$NN$32,0),IF($NP$32="Bell_Curve",$NN$32*(175-$NR$32+1)*($NS$32-175+1)/$NU$32,$NN$32/$NT$32)),0)</f>
        <v/>
      </c>
      <c r="FX32" s="402">
        <f>IF(AND(176&gt;=$NR$32,176&lt;=$NS$32),IF($NP$32="Single_Point",IF(176=$NR$32,$NN$32,0),IF($NP$32="Bell_Curve",$NN$32*(176-$NR$32+1)*($NS$32-176+1)/$NU$32,$NN$32/$NT$32)),0)</f>
        <v/>
      </c>
      <c r="FY32" s="402">
        <f>IF(AND(177&gt;=$NR$32,177&lt;=$NS$32),IF($NP$32="Single_Point",IF(177=$NR$32,$NN$32,0),IF($NP$32="Bell_Curve",$NN$32*(177-$NR$32+1)*($NS$32-177+1)/$NU$32,$NN$32/$NT$32)),0)</f>
        <v/>
      </c>
      <c r="FZ32" s="402">
        <f>IF(AND(178&gt;=$NR$32,178&lt;=$NS$32),IF($NP$32="Single_Point",IF(178=$NR$32,$NN$32,0),IF($NP$32="Bell_Curve",$NN$32*(178-$NR$32+1)*($NS$32-178+1)/$NU$32,$NN$32/$NT$32)),0)</f>
        <v/>
      </c>
      <c r="GA32" s="402">
        <f>IF(AND(179&gt;=$NR$32,179&lt;=$NS$32),IF($NP$32="Single_Point",IF(179=$NR$32,$NN$32,0),IF($NP$32="Bell_Curve",$NN$32*(179-$NR$32+1)*($NS$32-179+1)/$NU$32,$NN$32/$NT$32)),0)</f>
        <v/>
      </c>
      <c r="GB32" s="402">
        <f>IF(AND(180&gt;=$NR$32,180&lt;=$NS$32),IF($NP$32="Single_Point",IF(180=$NR$32,$NN$32,0),IF($NP$32="Bell_Curve",$NN$32*(180-$NR$32+1)*($NS$32-180+1)/$NU$32,$NN$32/$NT$32)),0)</f>
        <v/>
      </c>
      <c r="GC32" s="402">
        <f>IF(AND(181&gt;=$NR$32,181&lt;=$NS$32),IF($NP$32="Single_Point",IF(181=$NR$32,$NN$32,0),IF($NP$32="Bell_Curve",$NN$32*(181-$NR$32+1)*($NS$32-181+1)/$NU$32,$NN$32/$NT$32)),0)</f>
        <v/>
      </c>
      <c r="GD32" s="402">
        <f>IF(AND(182&gt;=$NR$32,182&lt;=$NS$32),IF($NP$32="Single_Point",IF(182=$NR$32,$NN$32,0),IF($NP$32="Bell_Curve",$NN$32*(182-$NR$32+1)*($NS$32-182+1)/$NU$32,$NN$32/$NT$32)),0)</f>
        <v/>
      </c>
      <c r="GE32" s="402">
        <f>IF(AND(183&gt;=$NR$32,183&lt;=$NS$32),IF($NP$32="Single_Point",IF(183=$NR$32,$NN$32,0),IF($NP$32="Bell_Curve",$NN$32*(183-$NR$32+1)*($NS$32-183+1)/$NU$32,$NN$32/$NT$32)),0)</f>
        <v/>
      </c>
      <c r="GF32" s="402">
        <f>IF(AND(184&gt;=$NR$32,184&lt;=$NS$32),IF($NP$32="Single_Point",IF(184=$NR$32,$NN$32,0),IF($NP$32="Bell_Curve",$NN$32*(184-$NR$32+1)*($NS$32-184+1)/$NU$32,$NN$32/$NT$32)),0)</f>
        <v/>
      </c>
      <c r="GG32" s="402">
        <f>IF(AND(185&gt;=$NR$32,185&lt;=$NS$32),IF($NP$32="Single_Point",IF(185=$NR$32,$NN$32,0),IF($NP$32="Bell_Curve",$NN$32*(185-$NR$32+1)*($NS$32-185+1)/$NU$32,$NN$32/$NT$32)),0)</f>
        <v/>
      </c>
      <c r="GH32" s="402">
        <f>IF(AND(186&gt;=$NR$32,186&lt;=$NS$32),IF($NP$32="Single_Point",IF(186=$NR$32,$NN$32,0),IF($NP$32="Bell_Curve",$NN$32*(186-$NR$32+1)*($NS$32-186+1)/$NU$32,$NN$32/$NT$32)),0)</f>
        <v/>
      </c>
      <c r="GI32" s="402">
        <f>IF(AND(187&gt;=$NR$32,187&lt;=$NS$32),IF($NP$32="Single_Point",IF(187=$NR$32,$NN$32,0),IF($NP$32="Bell_Curve",$NN$32*(187-$NR$32+1)*($NS$32-187+1)/$NU$32,$NN$32/$NT$32)),0)</f>
        <v/>
      </c>
      <c r="GJ32" s="402">
        <f>IF(AND(188&gt;=$NR$32,188&lt;=$NS$32),IF($NP$32="Single_Point",IF(188=$NR$32,$NN$32,0),IF($NP$32="Bell_Curve",$NN$32*(188-$NR$32+1)*($NS$32-188+1)/$NU$32,$NN$32/$NT$32)),0)</f>
        <v/>
      </c>
      <c r="GK32" s="402">
        <f>IF(AND(189&gt;=$NR$32,189&lt;=$NS$32),IF($NP$32="Single_Point",IF(189=$NR$32,$NN$32,0),IF($NP$32="Bell_Curve",$NN$32*(189-$NR$32+1)*($NS$32-189+1)/$NU$32,$NN$32/$NT$32)),0)</f>
        <v/>
      </c>
      <c r="GL32" s="402">
        <f>IF(AND(190&gt;=$NR$32,190&lt;=$NS$32),IF($NP$32="Single_Point",IF(190=$NR$32,$NN$32,0),IF($NP$32="Bell_Curve",$NN$32*(190-$NR$32+1)*($NS$32-190+1)/$NU$32,$NN$32/$NT$32)),0)</f>
        <v/>
      </c>
      <c r="GM32" s="402">
        <f>IF(AND(191&gt;=$NR$32,191&lt;=$NS$32),IF($NP$32="Single_Point",IF(191=$NR$32,$NN$32,0),IF($NP$32="Bell_Curve",$NN$32*(191-$NR$32+1)*($NS$32-191+1)/$NU$32,$NN$32/$NT$32)),0)</f>
        <v/>
      </c>
      <c r="GN32" s="402">
        <f>IF(AND(192&gt;=$NR$32,192&lt;=$NS$32),IF($NP$32="Single_Point",IF(192=$NR$32,$NN$32,0),IF($NP$32="Bell_Curve",$NN$32*(192-$NR$32+1)*($NS$32-192+1)/$NU$32,$NN$32/$NT$32)),0)</f>
        <v/>
      </c>
      <c r="GO32" s="402">
        <f>IF(AND(193&gt;=$NR$32,193&lt;=$NS$32),IF($NP$32="Single_Point",IF(193=$NR$32,$NN$32,0),IF($NP$32="Bell_Curve",$NN$32*(193-$NR$32+1)*($NS$32-193+1)/$NU$32,$NN$32/$NT$32)),0)</f>
        <v/>
      </c>
      <c r="GP32" s="402">
        <f>IF(AND(194&gt;=$NR$32,194&lt;=$NS$32),IF($NP$32="Single_Point",IF(194=$NR$32,$NN$32,0),IF($NP$32="Bell_Curve",$NN$32*(194-$NR$32+1)*($NS$32-194+1)/$NU$32,$NN$32/$NT$32)),0)</f>
        <v/>
      </c>
      <c r="GQ32" s="402">
        <f>IF(AND(195&gt;=$NR$32,195&lt;=$NS$32),IF($NP$32="Single_Point",IF(195=$NR$32,$NN$32,0),IF($NP$32="Bell_Curve",$NN$32*(195-$NR$32+1)*($NS$32-195+1)/$NU$32,$NN$32/$NT$32)),0)</f>
        <v/>
      </c>
      <c r="GR32" s="402">
        <f>IF(AND(196&gt;=$NR$32,196&lt;=$NS$32),IF($NP$32="Single_Point",IF(196=$NR$32,$NN$32,0),IF($NP$32="Bell_Curve",$NN$32*(196-$NR$32+1)*($NS$32-196+1)/$NU$32,$NN$32/$NT$32)),0)</f>
        <v/>
      </c>
      <c r="GS32" s="402">
        <f>IF(AND(197&gt;=$NR$32,197&lt;=$NS$32),IF($NP$32="Single_Point",IF(197=$NR$32,$NN$32,0),IF($NP$32="Bell_Curve",$NN$32*(197-$NR$32+1)*($NS$32-197+1)/$NU$32,$NN$32/$NT$32)),0)</f>
        <v/>
      </c>
      <c r="GT32" s="402">
        <f>IF(AND(198&gt;=$NR$32,198&lt;=$NS$32),IF($NP$32="Single_Point",IF(198=$NR$32,$NN$32,0),IF($NP$32="Bell_Curve",$NN$32*(198-$NR$32+1)*($NS$32-198+1)/$NU$32,$NN$32/$NT$32)),0)</f>
        <v/>
      </c>
      <c r="GU32" s="402">
        <f>IF(AND(199&gt;=$NR$32,199&lt;=$NS$32),IF($NP$32="Single_Point",IF(199=$NR$32,$NN$32,0),IF($NP$32="Bell_Curve",$NN$32*(199-$NR$32+1)*($NS$32-199+1)/$NU$32,$NN$32/$NT$32)),0)</f>
        <v/>
      </c>
      <c r="GV32" s="402">
        <f>IF(AND(200&gt;=$NR$32,200&lt;=$NS$32),IF($NP$32="Single_Point",IF(200=$NR$32,$NN$32,0),IF($NP$32="Bell_Curve",$NN$32*(200-$NR$32+1)*($NS$32-200+1)/$NU$32,$NN$32/$NT$32)),0)</f>
        <v/>
      </c>
      <c r="GW32" s="402">
        <f>IF(AND(201&gt;=$NR$32,201&lt;=$NS$32),IF($NP$32="Single_Point",IF(201=$NR$32,$NN$32,0),IF($NP$32="Bell_Curve",$NN$32*(201-$NR$32+1)*($NS$32-201+1)/$NU$32,$NN$32/$NT$32)),0)</f>
        <v/>
      </c>
      <c r="GX32" s="402">
        <f>IF(AND(202&gt;=$NR$32,202&lt;=$NS$32),IF($NP$32="Single_Point",IF(202=$NR$32,$NN$32,0),IF($NP$32="Bell_Curve",$NN$32*(202-$NR$32+1)*($NS$32-202+1)/$NU$32,$NN$32/$NT$32)),0)</f>
        <v/>
      </c>
      <c r="GY32" s="402">
        <f>IF(AND(203&gt;=$NR$32,203&lt;=$NS$32),IF($NP$32="Single_Point",IF(203=$NR$32,$NN$32,0),IF($NP$32="Bell_Curve",$NN$32*(203-$NR$32+1)*($NS$32-203+1)/$NU$32,$NN$32/$NT$32)),0)</f>
        <v/>
      </c>
      <c r="GZ32" s="402">
        <f>IF(AND(204&gt;=$NR$32,204&lt;=$NS$32),IF($NP$32="Single_Point",IF(204=$NR$32,$NN$32,0),IF($NP$32="Bell_Curve",$NN$32*(204-$NR$32+1)*($NS$32-204+1)/$NU$32,$NN$32/$NT$32)),0)</f>
        <v/>
      </c>
      <c r="HA32" s="402">
        <f>IF(AND(205&gt;=$NR$32,205&lt;=$NS$32),IF($NP$32="Single_Point",IF(205=$NR$32,$NN$32,0),IF($NP$32="Bell_Curve",$NN$32*(205-$NR$32+1)*($NS$32-205+1)/$NU$32,$NN$32/$NT$32)),0)</f>
        <v/>
      </c>
      <c r="HB32" s="402">
        <f>IF(AND(206&gt;=$NR$32,206&lt;=$NS$32),IF($NP$32="Single_Point",IF(206=$NR$32,$NN$32,0),IF($NP$32="Bell_Curve",$NN$32*(206-$NR$32+1)*($NS$32-206+1)/$NU$32,$NN$32/$NT$32)),0)</f>
        <v/>
      </c>
      <c r="HC32" s="402">
        <f>IF(AND(207&gt;=$NR$32,207&lt;=$NS$32),IF($NP$32="Single_Point",IF(207=$NR$32,$NN$32,0),IF($NP$32="Bell_Curve",$NN$32*(207-$NR$32+1)*($NS$32-207+1)/$NU$32,$NN$32/$NT$32)),0)</f>
        <v/>
      </c>
      <c r="HD32" s="402">
        <f>IF(AND(208&gt;=$NR$32,208&lt;=$NS$32),IF($NP$32="Single_Point",IF(208=$NR$32,$NN$32,0),IF($NP$32="Bell_Curve",$NN$32*(208-$NR$32+1)*($NS$32-208+1)/$NU$32,$NN$32/$NT$32)),0)</f>
        <v/>
      </c>
      <c r="HE32" s="402">
        <f>IF(AND(209&gt;=$NR$32,209&lt;=$NS$32),IF($NP$32="Single_Point",IF(209=$NR$32,$NN$32,0),IF($NP$32="Bell_Curve",$NN$32*(209-$NR$32+1)*($NS$32-209+1)/$NU$32,$NN$32/$NT$32)),0)</f>
        <v/>
      </c>
      <c r="HF32" s="402">
        <f>IF(AND(210&gt;=$NR$32,210&lt;=$NS$32),IF($NP$32="Single_Point",IF(210=$NR$32,$NN$32,0),IF($NP$32="Bell_Curve",$NN$32*(210-$NR$32+1)*($NS$32-210+1)/$NU$32,$NN$32/$NT$32)),0)</f>
        <v/>
      </c>
      <c r="HG32" s="402">
        <f>IF(AND(211&gt;=$NR$32,211&lt;=$NS$32),IF($NP$32="Single_Point",IF(211=$NR$32,$NN$32,0),IF($NP$32="Bell_Curve",$NN$32*(211-$NR$32+1)*($NS$32-211+1)/$NU$32,$NN$32/$NT$32)),0)</f>
        <v/>
      </c>
      <c r="HH32" s="402">
        <f>IF(AND(212&gt;=$NR$32,212&lt;=$NS$32),IF($NP$32="Single_Point",IF(212=$NR$32,$NN$32,0),IF($NP$32="Bell_Curve",$NN$32*(212-$NR$32+1)*($NS$32-212+1)/$NU$32,$NN$32/$NT$32)),0)</f>
        <v/>
      </c>
      <c r="HI32" s="402">
        <f>IF(AND(213&gt;=$NR$32,213&lt;=$NS$32),IF($NP$32="Single_Point",IF(213=$NR$32,$NN$32,0),IF($NP$32="Bell_Curve",$NN$32*(213-$NR$32+1)*($NS$32-213+1)/$NU$32,$NN$32/$NT$32)),0)</f>
        <v/>
      </c>
      <c r="HJ32" s="402">
        <f>IF(AND(214&gt;=$NR$32,214&lt;=$NS$32),IF($NP$32="Single_Point",IF(214=$NR$32,$NN$32,0),IF($NP$32="Bell_Curve",$NN$32*(214-$NR$32+1)*($NS$32-214+1)/$NU$32,$NN$32/$NT$32)),0)</f>
        <v/>
      </c>
      <c r="HK32" s="402">
        <f>IF(AND(215&gt;=$NR$32,215&lt;=$NS$32),IF($NP$32="Single_Point",IF(215=$NR$32,$NN$32,0),IF($NP$32="Bell_Curve",$NN$32*(215-$NR$32+1)*($NS$32-215+1)/$NU$32,$NN$32/$NT$32)),0)</f>
        <v/>
      </c>
      <c r="HL32" s="402">
        <f>IF(AND(216&gt;=$NR$32,216&lt;=$NS$32),IF($NP$32="Single_Point",IF(216=$NR$32,$NN$32,0),IF($NP$32="Bell_Curve",$NN$32*(216-$NR$32+1)*($NS$32-216+1)/$NU$32,$NN$32/$NT$32)),0)</f>
        <v/>
      </c>
      <c r="HM32" s="402">
        <f>IF(AND(217&gt;=$NR$32,217&lt;=$NS$32),IF($NP$32="Single_Point",IF(217=$NR$32,$NN$32,0),IF($NP$32="Bell_Curve",$NN$32*(217-$NR$32+1)*($NS$32-217+1)/$NU$32,$NN$32/$NT$32)),0)</f>
        <v/>
      </c>
      <c r="HN32" s="402">
        <f>IF(AND(218&gt;=$NR$32,218&lt;=$NS$32),IF($NP$32="Single_Point",IF(218=$NR$32,$NN$32,0),IF($NP$32="Bell_Curve",$NN$32*(218-$NR$32+1)*($NS$32-218+1)/$NU$32,$NN$32/$NT$32)),0)</f>
        <v/>
      </c>
      <c r="HO32" s="402">
        <f>IF(AND(219&gt;=$NR$32,219&lt;=$NS$32),IF($NP$32="Single_Point",IF(219=$NR$32,$NN$32,0),IF($NP$32="Bell_Curve",$NN$32*(219-$NR$32+1)*($NS$32-219+1)/$NU$32,$NN$32/$NT$32)),0)</f>
        <v/>
      </c>
      <c r="HP32" s="402">
        <f>IF(AND(220&gt;=$NR$32,220&lt;=$NS$32),IF($NP$32="Single_Point",IF(220=$NR$32,$NN$32,0),IF($NP$32="Bell_Curve",$NN$32*(220-$NR$32+1)*($NS$32-220+1)/$NU$32,$NN$32/$NT$32)),0)</f>
        <v/>
      </c>
      <c r="HQ32" s="402">
        <f>IF(AND(221&gt;=$NR$32,221&lt;=$NS$32),IF($NP$32="Single_Point",IF(221=$NR$32,$NN$32,0),IF($NP$32="Bell_Curve",$NN$32*(221-$NR$32+1)*($NS$32-221+1)/$NU$32,$NN$32/$NT$32)),0)</f>
        <v/>
      </c>
      <c r="HR32" s="402">
        <f>IF(AND(222&gt;=$NR$32,222&lt;=$NS$32),IF($NP$32="Single_Point",IF(222=$NR$32,$NN$32,0),IF($NP$32="Bell_Curve",$NN$32*(222-$NR$32+1)*($NS$32-222+1)/$NU$32,$NN$32/$NT$32)),0)</f>
        <v/>
      </c>
      <c r="HS32" s="402">
        <f>IF(AND(223&gt;=$NR$32,223&lt;=$NS$32),IF($NP$32="Single_Point",IF(223=$NR$32,$NN$32,0),IF($NP$32="Bell_Curve",$NN$32*(223-$NR$32+1)*($NS$32-223+1)/$NU$32,$NN$32/$NT$32)),0)</f>
        <v/>
      </c>
      <c r="HT32" s="402">
        <f>IF(AND(224&gt;=$NR$32,224&lt;=$NS$32),IF($NP$32="Single_Point",IF(224=$NR$32,$NN$32,0),IF($NP$32="Bell_Curve",$NN$32*(224-$NR$32+1)*($NS$32-224+1)/$NU$32,$NN$32/$NT$32)),0)</f>
        <v/>
      </c>
      <c r="HU32" s="402">
        <f>IF(AND(225&gt;=$NR$32,225&lt;=$NS$32),IF($NP$32="Single_Point",IF(225=$NR$32,$NN$32,0),IF($NP$32="Bell_Curve",$NN$32*(225-$NR$32+1)*($NS$32-225+1)/$NU$32,$NN$32/$NT$32)),0)</f>
        <v/>
      </c>
      <c r="HV32" s="402">
        <f>IF(AND(226&gt;=$NR$32,226&lt;=$NS$32),IF($NP$32="Single_Point",IF(226=$NR$32,$NN$32,0),IF($NP$32="Bell_Curve",$NN$32*(226-$NR$32+1)*($NS$32-226+1)/$NU$32,$NN$32/$NT$32)),0)</f>
        <v/>
      </c>
      <c r="HW32" s="402">
        <f>IF(AND(227&gt;=$NR$32,227&lt;=$NS$32),IF($NP$32="Single_Point",IF(227=$NR$32,$NN$32,0),IF($NP$32="Bell_Curve",$NN$32*(227-$NR$32+1)*($NS$32-227+1)/$NU$32,$NN$32/$NT$32)),0)</f>
        <v/>
      </c>
      <c r="HX32" s="402">
        <f>IF(AND(228&gt;=$NR$32,228&lt;=$NS$32),IF($NP$32="Single_Point",IF(228=$NR$32,$NN$32,0),IF($NP$32="Bell_Curve",$NN$32*(228-$NR$32+1)*($NS$32-228+1)/$NU$32,$NN$32/$NT$32)),0)</f>
        <v/>
      </c>
      <c r="HY32" s="402">
        <f>IF(AND(229&gt;=$NR$32,229&lt;=$NS$32),IF($NP$32="Single_Point",IF(229=$NR$32,$NN$32,0),IF($NP$32="Bell_Curve",$NN$32*(229-$NR$32+1)*($NS$32-229+1)/$NU$32,$NN$32/$NT$32)),0)</f>
        <v/>
      </c>
      <c r="HZ32" s="402">
        <f>IF(AND(230&gt;=$NR$32,230&lt;=$NS$32),IF($NP$32="Single_Point",IF(230=$NR$32,$NN$32,0),IF($NP$32="Bell_Curve",$NN$32*(230-$NR$32+1)*($NS$32-230+1)/$NU$32,$NN$32/$NT$32)),0)</f>
        <v/>
      </c>
      <c r="IA32" s="402">
        <f>IF(AND(231&gt;=$NR$32,231&lt;=$NS$32),IF($NP$32="Single_Point",IF(231=$NR$32,$NN$32,0),IF($NP$32="Bell_Curve",$NN$32*(231-$NR$32+1)*($NS$32-231+1)/$NU$32,$NN$32/$NT$32)),0)</f>
        <v/>
      </c>
      <c r="IB32" s="402">
        <f>IF(AND(232&gt;=$NR$32,232&lt;=$NS$32),IF($NP$32="Single_Point",IF(232=$NR$32,$NN$32,0),IF($NP$32="Bell_Curve",$NN$32*(232-$NR$32+1)*($NS$32-232+1)/$NU$32,$NN$32/$NT$32)),0)</f>
        <v/>
      </c>
      <c r="IC32" s="402">
        <f>IF(AND(233&gt;=$NR$32,233&lt;=$NS$32),IF($NP$32="Single_Point",IF(233=$NR$32,$NN$32,0),IF($NP$32="Bell_Curve",$NN$32*(233-$NR$32+1)*($NS$32-233+1)/$NU$32,$NN$32/$NT$32)),0)</f>
        <v/>
      </c>
      <c r="ID32" s="402">
        <f>IF(AND(234&gt;=$NR$32,234&lt;=$NS$32),IF($NP$32="Single_Point",IF(234=$NR$32,$NN$32,0),IF($NP$32="Bell_Curve",$NN$32*(234-$NR$32+1)*($NS$32-234+1)/$NU$32,$NN$32/$NT$32)),0)</f>
        <v/>
      </c>
      <c r="IE32" s="402">
        <f>IF(AND(235&gt;=$NR$32,235&lt;=$NS$32),IF($NP$32="Single_Point",IF(235=$NR$32,$NN$32,0),IF($NP$32="Bell_Curve",$NN$32*(235-$NR$32+1)*($NS$32-235+1)/$NU$32,$NN$32/$NT$32)),0)</f>
        <v/>
      </c>
      <c r="IF32" s="402">
        <f>IF(AND(236&gt;=$NR$32,236&lt;=$NS$32),IF($NP$32="Single_Point",IF(236=$NR$32,$NN$32,0),IF($NP$32="Bell_Curve",$NN$32*(236-$NR$32+1)*($NS$32-236+1)/$NU$32,$NN$32/$NT$32)),0)</f>
        <v/>
      </c>
      <c r="IG32" s="402">
        <f>IF(AND(237&gt;=$NR$32,237&lt;=$NS$32),IF($NP$32="Single_Point",IF(237=$NR$32,$NN$32,0),IF($NP$32="Bell_Curve",$NN$32*(237-$NR$32+1)*($NS$32-237+1)/$NU$32,$NN$32/$NT$32)),0)</f>
        <v/>
      </c>
      <c r="IH32" s="402">
        <f>IF(AND(238&gt;=$NR$32,238&lt;=$NS$32),IF($NP$32="Single_Point",IF(238=$NR$32,$NN$32,0),IF($NP$32="Bell_Curve",$NN$32*(238-$NR$32+1)*($NS$32-238+1)/$NU$32,$NN$32/$NT$32)),0)</f>
        <v/>
      </c>
      <c r="II32" s="402">
        <f>IF(AND(239&gt;=$NR$32,239&lt;=$NS$32),IF($NP$32="Single_Point",IF(239=$NR$32,$NN$32,0),IF($NP$32="Bell_Curve",$NN$32*(239-$NR$32+1)*($NS$32-239+1)/$NU$32,$NN$32/$NT$32)),0)</f>
        <v/>
      </c>
      <c r="IJ32" s="402">
        <f>IF(AND(240&gt;=$NR$32,240&lt;=$NS$32),IF($NP$32="Single_Point",IF(240=$NR$32,$NN$32,0),IF($NP$32="Bell_Curve",$NN$32*(240-$NR$32+1)*($NS$32-240+1)/$NU$32,$NN$32/$NT$32)),0)</f>
        <v/>
      </c>
      <c r="IK32" s="402">
        <f>IF(AND(241&gt;=$NR$32,241&lt;=$NS$32),IF($NP$32="Single_Point",IF(241=$NR$32,$NN$32,0),IF($NP$32="Bell_Curve",$NN$32*(241-$NR$32+1)*($NS$32-241+1)/$NU$32,$NN$32/$NT$32)),0)</f>
        <v/>
      </c>
      <c r="IL32" s="402">
        <f>IF(AND(242&gt;=$NR$32,242&lt;=$NS$32),IF($NP$32="Single_Point",IF(242=$NR$32,$NN$32,0),IF($NP$32="Bell_Curve",$NN$32*(242-$NR$32+1)*($NS$32-242+1)/$NU$32,$NN$32/$NT$32)),0)</f>
        <v/>
      </c>
      <c r="IM32" s="402">
        <f>IF(AND(243&gt;=$NR$32,243&lt;=$NS$32),IF($NP$32="Single_Point",IF(243=$NR$32,$NN$32,0),IF($NP$32="Bell_Curve",$NN$32*(243-$NR$32+1)*($NS$32-243+1)/$NU$32,$NN$32/$NT$32)),0)</f>
        <v/>
      </c>
      <c r="IN32" s="402">
        <f>IF(AND(244&gt;=$NR$32,244&lt;=$NS$32),IF($NP$32="Single_Point",IF(244=$NR$32,$NN$32,0),IF($NP$32="Bell_Curve",$NN$32*(244-$NR$32+1)*($NS$32-244+1)/$NU$32,$NN$32/$NT$32)),0)</f>
        <v/>
      </c>
      <c r="IO32" s="402">
        <f>IF(AND(245&gt;=$NR$32,245&lt;=$NS$32),IF($NP$32="Single_Point",IF(245=$NR$32,$NN$32,0),IF($NP$32="Bell_Curve",$NN$32*(245-$NR$32+1)*($NS$32-245+1)/$NU$32,$NN$32/$NT$32)),0)</f>
        <v/>
      </c>
      <c r="IP32" s="402">
        <f>IF(AND(246&gt;=$NR$32,246&lt;=$NS$32),IF($NP$32="Single_Point",IF(246=$NR$32,$NN$32,0),IF($NP$32="Bell_Curve",$NN$32*(246-$NR$32+1)*($NS$32-246+1)/$NU$32,$NN$32/$NT$32)),0)</f>
        <v/>
      </c>
      <c r="IQ32" s="402">
        <f>IF(AND(247&gt;=$NR$32,247&lt;=$NS$32),IF($NP$32="Single_Point",IF(247=$NR$32,$NN$32,0),IF($NP$32="Bell_Curve",$NN$32*(247-$NR$32+1)*($NS$32-247+1)/$NU$32,$NN$32/$NT$32)),0)</f>
        <v/>
      </c>
      <c r="IR32" s="402">
        <f>IF(AND(248&gt;=$NR$32,248&lt;=$NS$32),IF($NP$32="Single_Point",IF(248=$NR$32,$NN$32,0),IF($NP$32="Bell_Curve",$NN$32*(248-$NR$32+1)*($NS$32-248+1)/$NU$32,$NN$32/$NT$32)),0)</f>
        <v/>
      </c>
      <c r="IS32" s="402">
        <f>IF(AND(249&gt;=$NR$32,249&lt;=$NS$32),IF($NP$32="Single_Point",IF(249=$NR$32,$NN$32,0),IF($NP$32="Bell_Curve",$NN$32*(249-$NR$32+1)*($NS$32-249+1)/$NU$32,$NN$32/$NT$32)),0)</f>
        <v/>
      </c>
      <c r="IT32" s="402">
        <f>IF(AND(250&gt;=$NR$32,250&lt;=$NS$32),IF($NP$32="Single_Point",IF(250=$NR$32,$NN$32,0),IF($NP$32="Bell_Curve",$NN$32*(250-$NR$32+1)*($NS$32-250+1)/$NU$32,$NN$32/$NT$32)),0)</f>
        <v/>
      </c>
      <c r="IU32" s="402">
        <f>IF(AND(251&gt;=$NR$32,251&lt;=$NS$32),IF($NP$32="Single_Point",IF(251=$NR$32,$NN$32,0),IF($NP$32="Bell_Curve",$NN$32*(251-$NR$32+1)*($NS$32-251+1)/$NU$32,$NN$32/$NT$32)),0)</f>
        <v/>
      </c>
      <c r="IV32" s="402">
        <f>IF(AND(252&gt;=$NR$32,252&lt;=$NS$32),IF($NP$32="Single_Point",IF(252=$NR$32,$NN$32,0),IF($NP$32="Bell_Curve",$NN$32*(252-$NR$32+1)*($NS$32-252+1)/$NU$32,$NN$32/$NT$32)),0)</f>
        <v/>
      </c>
      <c r="IW32" s="402">
        <f>IF(AND(253&gt;=$NR$32,253&lt;=$NS$32),IF($NP$32="Single_Point",IF(253=$NR$32,$NN$32,0),IF($NP$32="Bell_Curve",$NN$32*(253-$NR$32+1)*($NS$32-253+1)/$NU$32,$NN$32/$NT$32)),0)</f>
        <v/>
      </c>
      <c r="IX32" s="402">
        <f>IF(AND(254&gt;=$NR$32,254&lt;=$NS$32),IF($NP$32="Single_Point",IF(254=$NR$32,$NN$32,0),IF($NP$32="Bell_Curve",$NN$32*(254-$NR$32+1)*($NS$32-254+1)/$NU$32,$NN$32/$NT$32)),0)</f>
        <v/>
      </c>
      <c r="IY32" s="402">
        <f>IF(AND(255&gt;=$NR$32,255&lt;=$NS$32),IF($NP$32="Single_Point",IF(255=$NR$32,$NN$32,0),IF($NP$32="Bell_Curve",$NN$32*(255-$NR$32+1)*($NS$32-255+1)/$NU$32,$NN$32/$NT$32)),0)</f>
        <v/>
      </c>
      <c r="IZ32" s="402">
        <f>IF(AND(256&gt;=$NR$32,256&lt;=$NS$32),IF($NP$32="Single_Point",IF(256=$NR$32,$NN$32,0),IF($NP$32="Bell_Curve",$NN$32*(256-$NR$32+1)*($NS$32-256+1)/$NU$32,$NN$32/$NT$32)),0)</f>
        <v/>
      </c>
      <c r="JA32" s="402">
        <f>IF(AND(257&gt;=$NR$32,257&lt;=$NS$32),IF($NP$32="Single_Point",IF(257=$NR$32,$NN$32,0),IF($NP$32="Bell_Curve",$NN$32*(257-$NR$32+1)*($NS$32-257+1)/$NU$32,$NN$32/$NT$32)),0)</f>
        <v/>
      </c>
      <c r="JB32" s="402">
        <f>IF(AND(258&gt;=$NR$32,258&lt;=$NS$32),IF($NP$32="Single_Point",IF(258=$NR$32,$NN$32,0),IF($NP$32="Bell_Curve",$NN$32*(258-$NR$32+1)*($NS$32-258+1)/$NU$32,$NN$32/$NT$32)),0)</f>
        <v/>
      </c>
      <c r="JC32" s="402">
        <f>IF(AND(259&gt;=$NR$32,259&lt;=$NS$32),IF($NP$32="Single_Point",IF(259=$NR$32,$NN$32,0),IF($NP$32="Bell_Curve",$NN$32*(259-$NR$32+1)*($NS$32-259+1)/$NU$32,$NN$32/$NT$32)),0)</f>
        <v/>
      </c>
      <c r="JD32" s="402">
        <f>IF(AND(260&gt;=$NR$32,260&lt;=$NS$32),IF($NP$32="Single_Point",IF(260=$NR$32,$NN$32,0),IF($NP$32="Bell_Curve",$NN$32*(260-$NR$32+1)*($NS$32-260+1)/$NU$32,$NN$32/$NT$32)),0)</f>
        <v/>
      </c>
      <c r="JE32" s="402">
        <f>IF(AND(261&gt;=$NR$32,261&lt;=$NS$32),IF($NP$32="Single_Point",IF(261=$NR$32,$NN$32,0),IF($NP$32="Bell_Curve",$NN$32*(261-$NR$32+1)*($NS$32-261+1)/$NU$32,$NN$32/$NT$32)),0)</f>
        <v/>
      </c>
      <c r="JF32" s="402">
        <f>IF(AND(262&gt;=$NR$32,262&lt;=$NS$32),IF($NP$32="Single_Point",IF(262=$NR$32,$NN$32,0),IF($NP$32="Bell_Curve",$NN$32*(262-$NR$32+1)*($NS$32-262+1)/$NU$32,$NN$32/$NT$32)),0)</f>
        <v/>
      </c>
      <c r="JG32" s="402">
        <f>IF(AND(263&gt;=$NR$32,263&lt;=$NS$32),IF($NP$32="Single_Point",IF(263=$NR$32,$NN$32,0),IF($NP$32="Bell_Curve",$NN$32*(263-$NR$32+1)*($NS$32-263+1)/$NU$32,$NN$32/$NT$32)),0)</f>
        <v/>
      </c>
      <c r="JH32" s="402">
        <f>IF(AND(264&gt;=$NR$32,264&lt;=$NS$32),IF($NP$32="Single_Point",IF(264=$NR$32,$NN$32,0),IF($NP$32="Bell_Curve",$NN$32*(264-$NR$32+1)*($NS$32-264+1)/$NU$32,$NN$32/$NT$32)),0)</f>
        <v/>
      </c>
      <c r="JI32" s="402">
        <f>IF(AND(265&gt;=$NR$32,265&lt;=$NS$32),IF($NP$32="Single_Point",IF(265=$NR$32,$NN$32,0),IF($NP$32="Bell_Curve",$NN$32*(265-$NR$32+1)*($NS$32-265+1)/$NU$32,$NN$32/$NT$32)),0)</f>
        <v/>
      </c>
      <c r="JJ32" s="402">
        <f>IF(AND(266&gt;=$NR$32,266&lt;=$NS$32),IF($NP$32="Single_Point",IF(266=$NR$32,$NN$32,0),IF($NP$32="Bell_Curve",$NN$32*(266-$NR$32+1)*($NS$32-266+1)/$NU$32,$NN$32/$NT$32)),0)</f>
        <v/>
      </c>
      <c r="JK32" s="402">
        <f>IF(AND(267&gt;=$NR$32,267&lt;=$NS$32),IF($NP$32="Single_Point",IF(267=$NR$32,$NN$32,0),IF($NP$32="Bell_Curve",$NN$32*(267-$NR$32+1)*($NS$32-267+1)/$NU$32,$NN$32/$NT$32)),0)</f>
        <v/>
      </c>
      <c r="JL32" s="402">
        <f>IF(AND(268&gt;=$NR$32,268&lt;=$NS$32),IF($NP$32="Single_Point",IF(268=$NR$32,$NN$32,0),IF($NP$32="Bell_Curve",$NN$32*(268-$NR$32+1)*($NS$32-268+1)/$NU$32,$NN$32/$NT$32)),0)</f>
        <v/>
      </c>
      <c r="JM32" s="402">
        <f>IF(AND(269&gt;=$NR$32,269&lt;=$NS$32),IF($NP$32="Single_Point",IF(269=$NR$32,$NN$32,0),IF($NP$32="Bell_Curve",$NN$32*(269-$NR$32+1)*($NS$32-269+1)/$NU$32,$NN$32/$NT$32)),0)</f>
        <v/>
      </c>
      <c r="JN32" s="402">
        <f>IF(AND(270&gt;=$NR$32,270&lt;=$NS$32),IF($NP$32="Single_Point",IF(270=$NR$32,$NN$32,0),IF($NP$32="Bell_Curve",$NN$32*(270-$NR$32+1)*($NS$32-270+1)/$NU$32,$NN$32/$NT$32)),0)</f>
        <v/>
      </c>
      <c r="JO32" s="402">
        <f>IF(AND(271&gt;=$NR$32,271&lt;=$NS$32),IF($NP$32="Single_Point",IF(271=$NR$32,$NN$32,0),IF($NP$32="Bell_Curve",$NN$32*(271-$NR$32+1)*($NS$32-271+1)/$NU$32,$NN$32/$NT$32)),0)</f>
        <v/>
      </c>
      <c r="JP32" s="402">
        <f>IF(AND(272&gt;=$NR$32,272&lt;=$NS$32),IF($NP$32="Single_Point",IF(272=$NR$32,$NN$32,0),IF($NP$32="Bell_Curve",$NN$32*(272-$NR$32+1)*($NS$32-272+1)/$NU$32,$NN$32/$NT$32)),0)</f>
        <v/>
      </c>
      <c r="JQ32" s="402">
        <f>IF(AND(273&gt;=$NR$32,273&lt;=$NS$32),IF($NP$32="Single_Point",IF(273=$NR$32,$NN$32,0),IF($NP$32="Bell_Curve",$NN$32*(273-$NR$32+1)*($NS$32-273+1)/$NU$32,$NN$32/$NT$32)),0)</f>
        <v/>
      </c>
      <c r="JR32" s="402">
        <f>IF(AND(274&gt;=$NR$32,274&lt;=$NS$32),IF($NP$32="Single_Point",IF(274=$NR$32,$NN$32,0),IF($NP$32="Bell_Curve",$NN$32*(274-$NR$32+1)*($NS$32-274+1)/$NU$32,$NN$32/$NT$32)),0)</f>
        <v/>
      </c>
      <c r="JS32" s="402">
        <f>IF(AND(275&gt;=$NR$32,275&lt;=$NS$32),IF($NP$32="Single_Point",IF(275=$NR$32,$NN$32,0),IF($NP$32="Bell_Curve",$NN$32*(275-$NR$32+1)*($NS$32-275+1)/$NU$32,$NN$32/$NT$32)),0)</f>
        <v/>
      </c>
      <c r="JT32" s="402">
        <f>IF(AND(276&gt;=$NR$32,276&lt;=$NS$32),IF($NP$32="Single_Point",IF(276=$NR$32,$NN$32,0),IF($NP$32="Bell_Curve",$NN$32*(276-$NR$32+1)*($NS$32-276+1)/$NU$32,$NN$32/$NT$32)),0)</f>
        <v/>
      </c>
      <c r="JU32" s="402">
        <f>IF(AND(277&gt;=$NR$32,277&lt;=$NS$32),IF($NP$32="Single_Point",IF(277=$NR$32,$NN$32,0),IF($NP$32="Bell_Curve",$NN$32*(277-$NR$32+1)*($NS$32-277+1)/$NU$32,$NN$32/$NT$32)),0)</f>
        <v/>
      </c>
      <c r="JV32" s="402">
        <f>IF(AND(278&gt;=$NR$32,278&lt;=$NS$32),IF($NP$32="Single_Point",IF(278=$NR$32,$NN$32,0),IF($NP$32="Bell_Curve",$NN$32*(278-$NR$32+1)*($NS$32-278+1)/$NU$32,$NN$32/$NT$32)),0)</f>
        <v/>
      </c>
      <c r="JW32" s="402">
        <f>IF(AND(279&gt;=$NR$32,279&lt;=$NS$32),IF($NP$32="Single_Point",IF(279=$NR$32,$NN$32,0),IF($NP$32="Bell_Curve",$NN$32*(279-$NR$32+1)*($NS$32-279+1)/$NU$32,$NN$32/$NT$32)),0)</f>
        <v/>
      </c>
      <c r="JX32" s="402">
        <f>IF(AND(280&gt;=$NR$32,280&lt;=$NS$32),IF($NP$32="Single_Point",IF(280=$NR$32,$NN$32,0),IF($NP$32="Bell_Curve",$NN$32*(280-$NR$32+1)*($NS$32-280+1)/$NU$32,$NN$32/$NT$32)),0)</f>
        <v/>
      </c>
      <c r="JY32" s="402">
        <f>IF(AND(281&gt;=$NR$32,281&lt;=$NS$32),IF($NP$32="Single_Point",IF(281=$NR$32,$NN$32,0),IF($NP$32="Bell_Curve",$NN$32*(281-$NR$32+1)*($NS$32-281+1)/$NU$32,$NN$32/$NT$32)),0)</f>
        <v/>
      </c>
      <c r="JZ32" s="402">
        <f>IF(AND(282&gt;=$NR$32,282&lt;=$NS$32),IF($NP$32="Single_Point",IF(282=$NR$32,$NN$32,0),IF($NP$32="Bell_Curve",$NN$32*(282-$NR$32+1)*($NS$32-282+1)/$NU$32,$NN$32/$NT$32)),0)</f>
        <v/>
      </c>
      <c r="KA32" s="402">
        <f>IF(AND(283&gt;=$NR$32,283&lt;=$NS$32),IF($NP$32="Single_Point",IF(283=$NR$32,$NN$32,0),IF($NP$32="Bell_Curve",$NN$32*(283-$NR$32+1)*($NS$32-283+1)/$NU$32,$NN$32/$NT$32)),0)</f>
        <v/>
      </c>
      <c r="KB32" s="402">
        <f>IF(AND(284&gt;=$NR$32,284&lt;=$NS$32),IF($NP$32="Single_Point",IF(284=$NR$32,$NN$32,0),IF($NP$32="Bell_Curve",$NN$32*(284-$NR$32+1)*($NS$32-284+1)/$NU$32,$NN$32/$NT$32)),0)</f>
        <v/>
      </c>
      <c r="KC32" s="402">
        <f>IF(AND(285&gt;=$NR$32,285&lt;=$NS$32),IF($NP$32="Single_Point",IF(285=$NR$32,$NN$32,0),IF($NP$32="Bell_Curve",$NN$32*(285-$NR$32+1)*($NS$32-285+1)/$NU$32,$NN$32/$NT$32)),0)</f>
        <v/>
      </c>
      <c r="KD32" s="402">
        <f>IF(AND(286&gt;=$NR$32,286&lt;=$NS$32),IF($NP$32="Single_Point",IF(286=$NR$32,$NN$32,0),IF($NP$32="Bell_Curve",$NN$32*(286-$NR$32+1)*($NS$32-286+1)/$NU$32,$NN$32/$NT$32)),0)</f>
        <v/>
      </c>
      <c r="KE32" s="402">
        <f>IF(AND(287&gt;=$NR$32,287&lt;=$NS$32),IF($NP$32="Single_Point",IF(287=$NR$32,$NN$32,0),IF($NP$32="Bell_Curve",$NN$32*(287-$NR$32+1)*($NS$32-287+1)/$NU$32,$NN$32/$NT$32)),0)</f>
        <v/>
      </c>
      <c r="KF32" s="402">
        <f>IF(AND(288&gt;=$NR$32,288&lt;=$NS$32),IF($NP$32="Single_Point",IF(288=$NR$32,$NN$32,0),IF($NP$32="Bell_Curve",$NN$32*(288-$NR$32+1)*($NS$32-288+1)/$NU$32,$NN$32/$NT$32)),0)</f>
        <v/>
      </c>
      <c r="KG32" s="402">
        <f>IF(AND(289&gt;=$NR$32,289&lt;=$NS$32),IF($NP$32="Single_Point",IF(289=$NR$32,$NN$32,0),IF($NP$32="Bell_Curve",$NN$32*(289-$NR$32+1)*($NS$32-289+1)/$NU$32,$NN$32/$NT$32)),0)</f>
        <v/>
      </c>
      <c r="KH32" s="402">
        <f>IF(AND(290&gt;=$NR$32,290&lt;=$NS$32),IF($NP$32="Single_Point",IF(290=$NR$32,$NN$32,0),IF($NP$32="Bell_Curve",$NN$32*(290-$NR$32+1)*($NS$32-290+1)/$NU$32,$NN$32/$NT$32)),0)</f>
        <v/>
      </c>
      <c r="KI32" s="402">
        <f>IF(AND(291&gt;=$NR$32,291&lt;=$NS$32),IF($NP$32="Single_Point",IF(291=$NR$32,$NN$32,0),IF($NP$32="Bell_Curve",$NN$32*(291-$NR$32+1)*($NS$32-291+1)/$NU$32,$NN$32/$NT$32)),0)</f>
        <v/>
      </c>
      <c r="KJ32" s="402">
        <f>IF(AND(292&gt;=$NR$32,292&lt;=$NS$32),IF($NP$32="Single_Point",IF(292=$NR$32,$NN$32,0),IF($NP$32="Bell_Curve",$NN$32*(292-$NR$32+1)*($NS$32-292+1)/$NU$32,$NN$32/$NT$32)),0)</f>
        <v/>
      </c>
      <c r="KK32" s="402">
        <f>IF(AND(293&gt;=$NR$32,293&lt;=$NS$32),IF($NP$32="Single_Point",IF(293=$NR$32,$NN$32,0),IF($NP$32="Bell_Curve",$NN$32*(293-$NR$32+1)*($NS$32-293+1)/$NU$32,$NN$32/$NT$32)),0)</f>
        <v/>
      </c>
      <c r="KL32" s="402">
        <f>IF(AND(294&gt;=$NR$32,294&lt;=$NS$32),IF($NP$32="Single_Point",IF(294=$NR$32,$NN$32,0),IF($NP$32="Bell_Curve",$NN$32*(294-$NR$32+1)*($NS$32-294+1)/$NU$32,$NN$32/$NT$32)),0)</f>
        <v/>
      </c>
      <c r="KM32" s="402">
        <f>IF(AND(295&gt;=$NR$32,295&lt;=$NS$32),IF($NP$32="Single_Point",IF(295=$NR$32,$NN$32,0),IF($NP$32="Bell_Curve",$NN$32*(295-$NR$32+1)*($NS$32-295+1)/$NU$32,$NN$32/$NT$32)),0)</f>
        <v/>
      </c>
      <c r="KN32" s="402">
        <f>IF(AND(296&gt;=$NR$32,296&lt;=$NS$32),IF($NP$32="Single_Point",IF(296=$NR$32,$NN$32,0),IF($NP$32="Bell_Curve",$NN$32*(296-$NR$32+1)*($NS$32-296+1)/$NU$32,$NN$32/$NT$32)),0)</f>
        <v/>
      </c>
      <c r="KO32" s="402">
        <f>IF(AND(297&gt;=$NR$32,297&lt;=$NS$32),IF($NP$32="Single_Point",IF(297=$NR$32,$NN$32,0),IF($NP$32="Bell_Curve",$NN$32*(297-$NR$32+1)*($NS$32-297+1)/$NU$32,$NN$32/$NT$32)),0)</f>
        <v/>
      </c>
      <c r="KP32" s="402">
        <f>IF(AND(298&gt;=$NR$32,298&lt;=$NS$32),IF($NP$32="Single_Point",IF(298=$NR$32,$NN$32,0),IF($NP$32="Bell_Curve",$NN$32*(298-$NR$32+1)*($NS$32-298+1)/$NU$32,$NN$32/$NT$32)),0)</f>
        <v/>
      </c>
      <c r="KQ32" s="402">
        <f>IF(AND(299&gt;=$NR$32,299&lt;=$NS$32),IF($NP$32="Single_Point",IF(299=$NR$32,$NN$32,0),IF($NP$32="Bell_Curve",$NN$32*(299-$NR$32+1)*($NS$32-299+1)/$NU$32,$NN$32/$NT$32)),0)</f>
        <v/>
      </c>
      <c r="KR32" s="402">
        <f>IF(AND(300&gt;=$NR$32,300&lt;=$NS$32),IF($NP$32="Single_Point",IF(300=$NR$32,$NN$32,0),IF($NP$32="Bell_Curve",$NN$32*(300-$NR$32+1)*($NS$32-300+1)/$NU$32,$NN$32/$NT$32)),0)</f>
        <v/>
      </c>
      <c r="KS32" s="402">
        <f>IF(AND(301&gt;=$NR$32,301&lt;=$NS$32),IF($NP$32="Single_Point",IF(301=$NR$32,$NN$32,0),IF($NP$32="Bell_Curve",$NN$32*(301-$NR$32+1)*($NS$32-301+1)/$NU$32,$NN$32/$NT$32)),0)</f>
        <v/>
      </c>
      <c r="KT32" s="402">
        <f>IF(AND(302&gt;=$NR$32,302&lt;=$NS$32),IF($NP$32="Single_Point",IF(302=$NR$32,$NN$32,0),IF($NP$32="Bell_Curve",$NN$32*(302-$NR$32+1)*($NS$32-302+1)/$NU$32,$NN$32/$NT$32)),0)</f>
        <v/>
      </c>
      <c r="KU32" s="402">
        <f>IF(AND(303&gt;=$NR$32,303&lt;=$NS$32),IF($NP$32="Single_Point",IF(303=$NR$32,$NN$32,0),IF($NP$32="Bell_Curve",$NN$32*(303-$NR$32+1)*($NS$32-303+1)/$NU$32,$NN$32/$NT$32)),0)</f>
        <v/>
      </c>
      <c r="KV32" s="402">
        <f>IF(AND(304&gt;=$NR$32,304&lt;=$NS$32),IF($NP$32="Single_Point",IF(304=$NR$32,$NN$32,0),IF($NP$32="Bell_Curve",$NN$32*(304-$NR$32+1)*($NS$32-304+1)/$NU$32,$NN$32/$NT$32)),0)</f>
        <v/>
      </c>
      <c r="KW32" s="402">
        <f>IF(AND(305&gt;=$NR$32,305&lt;=$NS$32),IF($NP$32="Single_Point",IF(305=$NR$32,$NN$32,0),IF($NP$32="Bell_Curve",$NN$32*(305-$NR$32+1)*($NS$32-305+1)/$NU$32,$NN$32/$NT$32)),0)</f>
        <v/>
      </c>
      <c r="KX32" s="402">
        <f>IF(AND(306&gt;=$NR$32,306&lt;=$NS$32),IF($NP$32="Single_Point",IF(306=$NR$32,$NN$32,0),IF($NP$32="Bell_Curve",$NN$32*(306-$NR$32+1)*($NS$32-306+1)/$NU$32,$NN$32/$NT$32)),0)</f>
        <v/>
      </c>
      <c r="KY32" s="402">
        <f>IF(AND(307&gt;=$NR$32,307&lt;=$NS$32),IF($NP$32="Single_Point",IF(307=$NR$32,$NN$32,0),IF($NP$32="Bell_Curve",$NN$32*(307-$NR$32+1)*($NS$32-307+1)/$NU$32,$NN$32/$NT$32)),0)</f>
        <v/>
      </c>
      <c r="KZ32" s="402">
        <f>IF(AND(308&gt;=$NR$32,308&lt;=$NS$32),IF($NP$32="Single_Point",IF(308=$NR$32,$NN$32,0),IF($NP$32="Bell_Curve",$NN$32*(308-$NR$32+1)*($NS$32-308+1)/$NU$32,$NN$32/$NT$32)),0)</f>
        <v/>
      </c>
      <c r="LA32" s="402">
        <f>IF(AND(309&gt;=$NR$32,309&lt;=$NS$32),IF($NP$32="Single_Point",IF(309=$NR$32,$NN$32,0),IF($NP$32="Bell_Curve",$NN$32*(309-$NR$32+1)*($NS$32-309+1)/$NU$32,$NN$32/$NT$32)),0)</f>
        <v/>
      </c>
      <c r="LB32" s="402">
        <f>IF(AND(310&gt;=$NR$32,310&lt;=$NS$32),IF($NP$32="Single_Point",IF(310=$NR$32,$NN$32,0),IF($NP$32="Bell_Curve",$NN$32*(310-$NR$32+1)*($NS$32-310+1)/$NU$32,$NN$32/$NT$32)),0)</f>
        <v/>
      </c>
      <c r="LC32" s="402">
        <f>IF(AND(311&gt;=$NR$32,311&lt;=$NS$32),IF($NP$32="Single_Point",IF(311=$NR$32,$NN$32,0),IF($NP$32="Bell_Curve",$NN$32*(311-$NR$32+1)*($NS$32-311+1)/$NU$32,$NN$32/$NT$32)),0)</f>
        <v/>
      </c>
      <c r="LD32" s="402">
        <f>IF(AND(312&gt;=$NR$32,312&lt;=$NS$32),IF($NP$32="Single_Point",IF(312=$NR$32,$NN$32,0),IF($NP$32="Bell_Curve",$NN$32*(312-$NR$32+1)*($NS$32-312+1)/$NU$32,$NN$32/$NT$32)),0)</f>
        <v/>
      </c>
      <c r="LE32" s="402">
        <f>IF(AND(313&gt;=$NR$32,313&lt;=$NS$32),IF($NP$32="Single_Point",IF(313=$NR$32,$NN$32,0),IF($NP$32="Bell_Curve",$NN$32*(313-$NR$32+1)*($NS$32-313+1)/$NU$32,$NN$32/$NT$32)),0)</f>
        <v/>
      </c>
      <c r="LF32" s="402">
        <f>IF(AND(314&gt;=$NR$32,314&lt;=$NS$32),IF($NP$32="Single_Point",IF(314=$NR$32,$NN$32,0),IF($NP$32="Bell_Curve",$NN$32*(314-$NR$32+1)*($NS$32-314+1)/$NU$32,$NN$32/$NT$32)),0)</f>
        <v/>
      </c>
      <c r="LG32" s="402">
        <f>IF(AND(315&gt;=$NR$32,315&lt;=$NS$32),IF($NP$32="Single_Point",IF(315=$NR$32,$NN$32,0),IF($NP$32="Bell_Curve",$NN$32*(315-$NR$32+1)*($NS$32-315+1)/$NU$32,$NN$32/$NT$32)),0)</f>
        <v/>
      </c>
      <c r="LH32" s="402">
        <f>IF(AND(316&gt;=$NR$32,316&lt;=$NS$32),IF($NP$32="Single_Point",IF(316=$NR$32,$NN$32,0),IF($NP$32="Bell_Curve",$NN$32*(316-$NR$32+1)*($NS$32-316+1)/$NU$32,$NN$32/$NT$32)),0)</f>
        <v/>
      </c>
      <c r="LI32" s="402">
        <f>IF(AND(317&gt;=$NR$32,317&lt;=$NS$32),IF($NP$32="Single_Point",IF(317=$NR$32,$NN$32,0),IF($NP$32="Bell_Curve",$NN$32*(317-$NR$32+1)*($NS$32-317+1)/$NU$32,$NN$32/$NT$32)),0)</f>
        <v/>
      </c>
      <c r="LJ32" s="402">
        <f>IF(AND(318&gt;=$NR$32,318&lt;=$NS$32),IF($NP$32="Single_Point",IF(318=$NR$32,$NN$32,0),IF($NP$32="Bell_Curve",$NN$32*(318-$NR$32+1)*($NS$32-318+1)/$NU$32,$NN$32/$NT$32)),0)</f>
        <v/>
      </c>
      <c r="LK32" s="402">
        <f>IF(AND(319&gt;=$NR$32,319&lt;=$NS$32),IF($NP$32="Single_Point",IF(319=$NR$32,$NN$32,0),IF($NP$32="Bell_Curve",$NN$32*(319-$NR$32+1)*($NS$32-319+1)/$NU$32,$NN$32/$NT$32)),0)</f>
        <v/>
      </c>
      <c r="LL32" s="402">
        <f>IF(AND(320&gt;=$NR$32,320&lt;=$NS$32),IF($NP$32="Single_Point",IF(320=$NR$32,$NN$32,0),IF($NP$32="Bell_Curve",$NN$32*(320-$NR$32+1)*($NS$32-320+1)/$NU$32,$NN$32/$NT$32)),0)</f>
        <v/>
      </c>
      <c r="LM32" s="402">
        <f>IF(AND(321&gt;=$NR$32,321&lt;=$NS$32),IF($NP$32="Single_Point",IF(321=$NR$32,$NN$32,0),IF($NP$32="Bell_Curve",$NN$32*(321-$NR$32+1)*($NS$32-321+1)/$NU$32,$NN$32/$NT$32)),0)</f>
        <v/>
      </c>
      <c r="LN32" s="402">
        <f>IF(AND(322&gt;=$NR$32,322&lt;=$NS$32),IF($NP$32="Single_Point",IF(322=$NR$32,$NN$32,0),IF($NP$32="Bell_Curve",$NN$32*(322-$NR$32+1)*($NS$32-322+1)/$NU$32,$NN$32/$NT$32)),0)</f>
        <v/>
      </c>
      <c r="LO32" s="402">
        <f>IF(AND(323&gt;=$NR$32,323&lt;=$NS$32),IF($NP$32="Single_Point",IF(323=$NR$32,$NN$32,0),IF($NP$32="Bell_Curve",$NN$32*(323-$NR$32+1)*($NS$32-323+1)/$NU$32,$NN$32/$NT$32)),0)</f>
        <v/>
      </c>
      <c r="LP32" s="402">
        <f>IF(AND(324&gt;=$NR$32,324&lt;=$NS$32),IF($NP$32="Single_Point",IF(324=$NR$32,$NN$32,0),IF($NP$32="Bell_Curve",$NN$32*(324-$NR$32+1)*($NS$32-324+1)/$NU$32,$NN$32/$NT$32)),0)</f>
        <v/>
      </c>
      <c r="LQ32" s="402">
        <f>IF(AND(325&gt;=$NR$32,325&lt;=$NS$32),IF($NP$32="Single_Point",IF(325=$NR$32,$NN$32,0),IF($NP$32="Bell_Curve",$NN$32*(325-$NR$32+1)*($NS$32-325+1)/$NU$32,$NN$32/$NT$32)),0)</f>
        <v/>
      </c>
      <c r="LR32" s="402">
        <f>IF(AND(326&gt;=$NR$32,326&lt;=$NS$32),IF($NP$32="Single_Point",IF(326=$NR$32,$NN$32,0),IF($NP$32="Bell_Curve",$NN$32*(326-$NR$32+1)*($NS$32-326+1)/$NU$32,$NN$32/$NT$32)),0)</f>
        <v/>
      </c>
      <c r="LS32" s="402">
        <f>IF(AND(327&gt;=$NR$32,327&lt;=$NS$32),IF($NP$32="Single_Point",IF(327=$NR$32,$NN$32,0),IF($NP$32="Bell_Curve",$NN$32*(327-$NR$32+1)*($NS$32-327+1)/$NU$32,$NN$32/$NT$32)),0)</f>
        <v/>
      </c>
      <c r="LT32" s="402">
        <f>IF(AND(328&gt;=$NR$32,328&lt;=$NS$32),IF($NP$32="Single_Point",IF(328=$NR$32,$NN$32,0),IF($NP$32="Bell_Curve",$NN$32*(328-$NR$32+1)*($NS$32-328+1)/$NU$32,$NN$32/$NT$32)),0)</f>
        <v/>
      </c>
      <c r="LU32" s="402">
        <f>IF(AND(329&gt;=$NR$32,329&lt;=$NS$32),IF($NP$32="Single_Point",IF(329=$NR$32,$NN$32,0),IF($NP$32="Bell_Curve",$NN$32*(329-$NR$32+1)*($NS$32-329+1)/$NU$32,$NN$32/$NT$32)),0)</f>
        <v/>
      </c>
      <c r="LV32" s="402">
        <f>IF(AND(330&gt;=$NR$32,330&lt;=$NS$32),IF($NP$32="Single_Point",IF(330=$NR$32,$NN$32,0),IF($NP$32="Bell_Curve",$NN$32*(330-$NR$32+1)*($NS$32-330+1)/$NU$32,$NN$32/$NT$32)),0)</f>
        <v/>
      </c>
      <c r="LW32" s="402">
        <f>IF(AND(331&gt;=$NR$32,331&lt;=$NS$32),IF($NP$32="Single_Point",IF(331=$NR$32,$NN$32,0),IF($NP$32="Bell_Curve",$NN$32*(331-$NR$32+1)*($NS$32-331+1)/$NU$32,$NN$32/$NT$32)),0)</f>
        <v/>
      </c>
      <c r="LX32" s="402">
        <f>IF(AND(332&gt;=$NR$32,332&lt;=$NS$32),IF($NP$32="Single_Point",IF(332=$NR$32,$NN$32,0),IF($NP$32="Bell_Curve",$NN$32*(332-$NR$32+1)*($NS$32-332+1)/$NU$32,$NN$32/$NT$32)),0)</f>
        <v/>
      </c>
      <c r="LY32" s="402">
        <f>IF(AND(333&gt;=$NR$32,333&lt;=$NS$32),IF($NP$32="Single_Point",IF(333=$NR$32,$NN$32,0),IF($NP$32="Bell_Curve",$NN$32*(333-$NR$32+1)*($NS$32-333+1)/$NU$32,$NN$32/$NT$32)),0)</f>
        <v/>
      </c>
      <c r="LZ32" s="402">
        <f>IF(AND(334&gt;=$NR$32,334&lt;=$NS$32),IF($NP$32="Single_Point",IF(334=$NR$32,$NN$32,0),IF($NP$32="Bell_Curve",$NN$32*(334-$NR$32+1)*($NS$32-334+1)/$NU$32,$NN$32/$NT$32)),0)</f>
        <v/>
      </c>
      <c r="MA32" s="402">
        <f>IF(AND(335&gt;=$NR$32,335&lt;=$NS$32),IF($NP$32="Single_Point",IF(335=$NR$32,$NN$32,0),IF($NP$32="Bell_Curve",$NN$32*(335-$NR$32+1)*($NS$32-335+1)/$NU$32,$NN$32/$NT$32)),0)</f>
        <v/>
      </c>
      <c r="MB32" s="402">
        <f>IF(AND(336&gt;=$NR$32,336&lt;=$NS$32),IF($NP$32="Single_Point",IF(336=$NR$32,$NN$32,0),IF($NP$32="Bell_Curve",$NN$32*(336-$NR$32+1)*($NS$32-336+1)/$NU$32,$NN$32/$NT$32)),0)</f>
        <v/>
      </c>
      <c r="MC32" s="402">
        <f>IF(AND(337&gt;=$NR$32,337&lt;=$NS$32),IF($NP$32="Single_Point",IF(337=$NR$32,$NN$32,0),IF($NP$32="Bell_Curve",$NN$32*(337-$NR$32+1)*($NS$32-337+1)/$NU$32,$NN$32/$NT$32)),0)</f>
        <v/>
      </c>
      <c r="MD32" s="402">
        <f>IF(AND(338&gt;=$NR$32,338&lt;=$NS$32),IF($NP$32="Single_Point",IF(338=$NR$32,$NN$32,0),IF($NP$32="Bell_Curve",$NN$32*(338-$NR$32+1)*($NS$32-338+1)/$NU$32,$NN$32/$NT$32)),0)</f>
        <v/>
      </c>
      <c r="ME32" s="402">
        <f>IF(AND(339&gt;=$NR$32,339&lt;=$NS$32),IF($NP$32="Single_Point",IF(339=$NR$32,$NN$32,0),IF($NP$32="Bell_Curve",$NN$32*(339-$NR$32+1)*($NS$32-339+1)/$NU$32,$NN$32/$NT$32)),0)</f>
        <v/>
      </c>
      <c r="MF32" s="402">
        <f>IF(AND(340&gt;=$NR$32,340&lt;=$NS$32),IF($NP$32="Single_Point",IF(340=$NR$32,$NN$32,0),IF($NP$32="Bell_Curve",$NN$32*(340-$NR$32+1)*($NS$32-340+1)/$NU$32,$NN$32/$NT$32)),0)</f>
        <v/>
      </c>
      <c r="MG32" s="402">
        <f>IF(AND(341&gt;=$NR$32,341&lt;=$NS$32),IF($NP$32="Single_Point",IF(341=$NR$32,$NN$32,0),IF($NP$32="Bell_Curve",$NN$32*(341-$NR$32+1)*($NS$32-341+1)/$NU$32,$NN$32/$NT$32)),0)</f>
        <v/>
      </c>
      <c r="MH32" s="402">
        <f>IF(AND(342&gt;=$NR$32,342&lt;=$NS$32),IF($NP$32="Single_Point",IF(342=$NR$32,$NN$32,0),IF($NP$32="Bell_Curve",$NN$32*(342-$NR$32+1)*($NS$32-342+1)/$NU$32,$NN$32/$NT$32)),0)</f>
        <v/>
      </c>
      <c r="MI32" s="402">
        <f>IF(AND(343&gt;=$NR$32,343&lt;=$NS$32),IF($NP$32="Single_Point",IF(343=$NR$32,$NN$32,0),IF($NP$32="Bell_Curve",$NN$32*(343-$NR$32+1)*($NS$32-343+1)/$NU$32,$NN$32/$NT$32)),0)</f>
        <v/>
      </c>
      <c r="MJ32" s="402">
        <f>IF(AND(344&gt;=$NR$32,344&lt;=$NS$32),IF($NP$32="Single_Point",IF(344=$NR$32,$NN$32,0),IF($NP$32="Bell_Curve",$NN$32*(344-$NR$32+1)*($NS$32-344+1)/$NU$32,$NN$32/$NT$32)),0)</f>
        <v/>
      </c>
      <c r="MK32" s="402">
        <f>IF(AND(345&gt;=$NR$32,345&lt;=$NS$32),IF($NP$32="Single_Point",IF(345=$NR$32,$NN$32,0),IF($NP$32="Bell_Curve",$NN$32*(345-$NR$32+1)*($NS$32-345+1)/$NU$32,$NN$32/$NT$32)),0)</f>
        <v/>
      </c>
      <c r="ML32" s="402">
        <f>IF(AND(346&gt;=$NR$32,346&lt;=$NS$32),IF($NP$32="Single_Point",IF(346=$NR$32,$NN$32,0),IF($NP$32="Bell_Curve",$NN$32*(346-$NR$32+1)*($NS$32-346+1)/$NU$32,$NN$32/$NT$32)),0)</f>
        <v/>
      </c>
      <c r="MM32" s="402">
        <f>IF(AND(347&gt;=$NR$32,347&lt;=$NS$32),IF($NP$32="Single_Point",IF(347=$NR$32,$NN$32,0),IF($NP$32="Bell_Curve",$NN$32*(347-$NR$32+1)*($NS$32-347+1)/$NU$32,$NN$32/$NT$32)),0)</f>
        <v/>
      </c>
      <c r="MN32" s="402">
        <f>IF(AND(348&gt;=$NR$32,348&lt;=$NS$32),IF($NP$32="Single_Point",IF(348=$NR$32,$NN$32,0),IF($NP$32="Bell_Curve",$NN$32*(348-$NR$32+1)*($NS$32-348+1)/$NU$32,$NN$32/$NT$32)),0)</f>
        <v/>
      </c>
      <c r="MO32" s="402">
        <f>IF(AND(349&gt;=$NR$32,349&lt;=$NS$32),IF($NP$32="Single_Point",IF(349=$NR$32,$NN$32,0),IF($NP$32="Bell_Curve",$NN$32*(349-$NR$32+1)*($NS$32-349+1)/$NU$32,$NN$32/$NT$32)),0)</f>
        <v/>
      </c>
      <c r="MP32" s="402">
        <f>IF(AND(350&gt;=$NR$32,350&lt;=$NS$32),IF($NP$32="Single_Point",IF(350=$NR$32,$NN$32,0),IF($NP$32="Bell_Curve",$NN$32*(350-$NR$32+1)*($NS$32-350+1)/$NU$32,$NN$32/$NT$32)),0)</f>
        <v/>
      </c>
      <c r="MQ32" s="402">
        <f>IF(AND(351&gt;=$NR$32,351&lt;=$NS$32),IF($NP$32="Single_Point",IF(351=$NR$32,$NN$32,0),IF($NP$32="Bell_Curve",$NN$32*(351-$NR$32+1)*($NS$32-351+1)/$NU$32,$NN$32/$NT$32)),0)</f>
        <v/>
      </c>
      <c r="MR32" s="402">
        <f>IF(AND(352&gt;=$NR$32,352&lt;=$NS$32),IF($NP$32="Single_Point",IF(352=$NR$32,$NN$32,0),IF($NP$32="Bell_Curve",$NN$32*(352-$NR$32+1)*($NS$32-352+1)/$NU$32,$NN$32/$NT$32)),0)</f>
        <v/>
      </c>
      <c r="MS32" s="402">
        <f>IF(AND(353&gt;=$NR$32,353&lt;=$NS$32),IF($NP$32="Single_Point",IF(353=$NR$32,$NN$32,0),IF($NP$32="Bell_Curve",$NN$32*(353-$NR$32+1)*($NS$32-353+1)/$NU$32,$NN$32/$NT$32)),0)</f>
        <v/>
      </c>
      <c r="MT32" s="402">
        <f>IF(AND(354&gt;=$NR$32,354&lt;=$NS$32),IF($NP$32="Single_Point",IF(354=$NR$32,$NN$32,0),IF($NP$32="Bell_Curve",$NN$32*(354-$NR$32+1)*($NS$32-354+1)/$NU$32,$NN$32/$NT$32)),0)</f>
        <v/>
      </c>
      <c r="MU32" s="402">
        <f>IF(AND(355&gt;=$NR$32,355&lt;=$NS$32),IF($NP$32="Single_Point",IF(355=$NR$32,$NN$32,0),IF($NP$32="Bell_Curve",$NN$32*(355-$NR$32+1)*($NS$32-355+1)/$NU$32,$NN$32/$NT$32)),0)</f>
        <v/>
      </c>
      <c r="MV32" s="402">
        <f>IF(AND(356&gt;=$NR$32,356&lt;=$NS$32),IF($NP$32="Single_Point",IF(356=$NR$32,$NN$32,0),IF($NP$32="Bell_Curve",$NN$32*(356-$NR$32+1)*($NS$32-356+1)/$NU$32,$NN$32/$NT$32)),0)</f>
        <v/>
      </c>
      <c r="MW32" s="402">
        <f>IF(AND(357&gt;=$NR$32,357&lt;=$NS$32),IF($NP$32="Single_Point",IF(357=$NR$32,$NN$32,0),IF($NP$32="Bell_Curve",$NN$32*(357-$NR$32+1)*($NS$32-357+1)/$NU$32,$NN$32/$NT$32)),0)</f>
        <v/>
      </c>
      <c r="MX32" s="402">
        <f>IF(AND(358&gt;=$NR$32,358&lt;=$NS$32),IF($NP$32="Single_Point",IF(358=$NR$32,$NN$32,0),IF($NP$32="Bell_Curve",$NN$32*(358-$NR$32+1)*($NS$32-358+1)/$NU$32,$NN$32/$NT$32)),0)</f>
        <v/>
      </c>
      <c r="MY32" s="402">
        <f>IF(AND(359&gt;=$NR$32,359&lt;=$NS$32),IF($NP$32="Single_Point",IF(359=$NR$32,$NN$32,0),IF($NP$32="Bell_Curve",$NN$32*(359-$NR$32+1)*($NS$32-359+1)/$NU$32,$NN$32/$NT$32)),0)</f>
        <v/>
      </c>
      <c r="MZ32" s="402">
        <f>IF(AND(360&gt;=$NR$32,360&lt;=$NS$32),IF($NP$32="Single_Point",IF(360=$NR$32,$NN$32,0),IF($NP$32="Bell_Curve",$NN$32*(360-$NR$32+1)*($NS$32-360+1)/$NU$32,$NN$32/$NT$32)),0)</f>
        <v/>
      </c>
      <c r="NA32" s="402">
        <f>IF(AND(361&gt;=$NR$32,361&lt;=$NS$32),IF($NP$32="Single_Point",IF(361=$NR$32,$NN$32,0),IF($NP$32="Bell_Curve",$NN$32*(361-$NR$32+1)*($NS$32-361+1)/$NU$32,$NN$32/$NT$32)),0)</f>
        <v/>
      </c>
      <c r="NB32" s="402">
        <f>IF(AND(362&gt;=$NR$32,362&lt;=$NS$32),IF($NP$32="Single_Point",IF(362=$NR$32,$NN$32,0),IF($NP$32="Bell_Curve",$NN$32*(362-$NR$32+1)*($NS$32-362+1)/$NU$32,$NN$32/$NT$32)),0)</f>
        <v/>
      </c>
      <c r="NC32" s="402">
        <f>IF(AND(363&gt;=$NR$32,363&lt;=$NS$32),IF($NP$32="Single_Point",IF(363=$NR$32,$NN$32,0),IF($NP$32="Bell_Curve",$NN$32*(363-$NR$32+1)*($NS$32-363+1)/$NU$32,$NN$32/$NT$32)),0)</f>
        <v/>
      </c>
      <c r="ND32" s="402">
        <f>IF(AND(364&gt;=$NR$32,364&lt;=$NS$32),IF($NP$32="Single_Point",IF(364=$NR$32,$NN$32,0),IF($NP$32="Bell_Curve",$NN$32*(364-$NR$32+1)*($NS$32-364+1)/$NU$32,$NN$32/$NT$32)),0)</f>
        <v/>
      </c>
      <c r="NE32" s="402">
        <f>IF(AND(365&gt;=$NR$32,365&lt;=$NS$32),IF($NP$32="Single_Point",IF(365=$NR$32,$NN$32,0),IF($NP$32="Bell_Curve",$NN$32*(365-$NR$32+1)*($NS$32-365+1)/$NU$32,$NN$32/$NT$32)),0)</f>
        <v/>
      </c>
      <c r="NF32" s="402">
        <f>IF(AND(366&gt;=$NR$32,366&lt;=$NS$32),IF($NP$32="Single_Point",IF(366=$NR$32,$NN$32,0),IF($NP$32="Bell_Curve",$NN$32*(366-$NR$32+1)*($NS$32-366+1)/$NU$32,$NN$32/$NT$32)),0)</f>
        <v/>
      </c>
      <c r="NG32" s="402">
        <f>IF(AND(367&gt;=$NR$32,367&lt;=$NS$32),IF($NP$32="Single_Point",IF(367=$NR$32,$NN$32,0),IF($NP$32="Bell_Curve",$NN$32*(367-$NR$32+1)*($NS$32-367+1)/$NU$32,$NN$32/$NT$32)),0)</f>
        <v/>
      </c>
      <c r="NH32" s="402">
        <f>IF(AND(368&gt;=$NR$32,368&lt;=$NS$32),IF($NP$32="Single_Point",IF(368=$NR$32,$NN$32,0),IF($NP$32="Bell_Curve",$NN$32*(368-$NR$32+1)*($NS$32-368+1)/$NU$32,$NN$32/$NT$32)),0)</f>
        <v/>
      </c>
      <c r="NI32" s="402">
        <f>IF(AND(369&gt;=$NR$32,369&lt;=$NS$32),IF($NP$32="Single_Point",IF(369=$NR$32,$NN$32,0),IF($NP$32="Bell_Curve",$NN$32*(369-$NR$32+1)*($NS$32-369+1)/$NU$32,$NN$32/$NT$32)),0)</f>
        <v/>
      </c>
      <c r="NJ32" s="402">
        <f>IF(AND(370&gt;=$NR$32,370&lt;=$NS$32),IF($NP$32="Single_Point",IF(370=$NR$32,$NN$32,0),IF($NP$32="Bell_Curve",$NN$32*(370-$NR$32+1)*($NS$32-370+1)/$NU$32,$NN$32/$NT$32)),0)</f>
        <v/>
      </c>
      <c r="NK32" s="402">
        <f>IF(AND(371&gt;=$NR$32,371&lt;=$NS$32),IF($NP$32="Single_Point",IF(371=$NR$32,$NN$32,0),IF($NP$32="Bell_Curve",$NN$32*(371-$NR$32+1)*($NS$32-371+1)/$NU$32,$NN$32/$NT$32)),0)</f>
        <v/>
      </c>
      <c r="NL32" s="426">
        <f>IF(AND(372&gt;=$NR$32,372&lt;=$NS$32),IF($NP$32="Single_Point",IF(372=$NR$32,$NN$32,0),IF($NP$32="Bell_Curve",$NN$32*(372-$NR$32+1)*($NS$32-372+1)/$NU$32,$NN$32/$NT$32)),0)</f>
        <v/>
      </c>
      <c r="NM32">
        <f>Budget!C31</f>
        <v/>
      </c>
      <c r="NN32" s="218">
        <f>Budget!J31</f>
        <v/>
      </c>
      <c r="NO32" s="144">
        <f>Budget!G31</f>
        <v/>
      </c>
      <c r="NP32" s="144">
        <f>Budget!H31</f>
        <v/>
      </c>
      <c r="NQ32" s="85">
        <f>Budget!I31</f>
        <v/>
      </c>
      <c r="NR32" s="248">
        <f>MAX(1,MIN(372,INDEX(MilestoneStart,MATCH(NO32,MilestoneNames,0))+NQ32))</f>
        <v/>
      </c>
      <c r="NS32" s="248">
        <f>MAX(NR32,MIN(372,INDEX(MilestoneEnd,MATCH(NO32,MilestoneNames,0))+NQ32))</f>
        <v/>
      </c>
      <c r="NT32" s="85">
        <f>NS32-NR32+1</f>
        <v/>
      </c>
      <c r="NU32" s="85">
        <f>NT32*(NT32+1)*(NT32+2)/6</f>
        <v/>
      </c>
    </row>
    <row r="33">
      <c r="B33" s="296">
        <f>Budget!B32</f>
        <v/>
      </c>
      <c r="D33" s="402">
        <f>SUM(E33:NL33)</f>
        <v/>
      </c>
      <c r="E33" s="402">
        <f>IF(AND(1&gt;=$NR$33,1&lt;=$NS$33),IF($NP$33="Single_Point",IF(1=$NR$33,$NN$33,0),IF($NP$33="Bell_Curve",$NN$33*(1-$NR$33+1)*($NS$33-1+1)/$NU$33,$NN$33/$NT$33)),0)</f>
        <v/>
      </c>
      <c r="F33" s="402">
        <f>IF(AND(2&gt;=$NR$33,2&lt;=$NS$33),IF($NP$33="Single_Point",IF(2=$NR$33,$NN$33,0),IF($NP$33="Bell_Curve",$NN$33*(2-$NR$33+1)*($NS$33-2+1)/$NU$33,$NN$33/$NT$33)),0)</f>
        <v/>
      </c>
      <c r="G33" s="402">
        <f>IF(AND(3&gt;=$NR$33,3&lt;=$NS$33),IF($NP$33="Single_Point",IF(3=$NR$33,$NN$33,0),IF($NP$33="Bell_Curve",$NN$33*(3-$NR$33+1)*($NS$33-3+1)/$NU$33,$NN$33/$NT$33)),0)</f>
        <v/>
      </c>
      <c r="H33" s="402">
        <f>IF(AND(4&gt;=$NR$33,4&lt;=$NS$33),IF($NP$33="Single_Point",IF(4=$NR$33,$NN$33,0),IF($NP$33="Bell_Curve",$NN$33*(4-$NR$33+1)*($NS$33-4+1)/$NU$33,$NN$33/$NT$33)),0)</f>
        <v/>
      </c>
      <c r="I33" s="402">
        <f>IF(AND(5&gt;=$NR$33,5&lt;=$NS$33),IF($NP$33="Single_Point",IF(5=$NR$33,$NN$33,0),IF($NP$33="Bell_Curve",$NN$33*(5-$NR$33+1)*($NS$33-5+1)/$NU$33,$NN$33/$NT$33)),0)</f>
        <v/>
      </c>
      <c r="J33" s="402">
        <f>IF(AND(6&gt;=$NR$33,6&lt;=$NS$33),IF($NP$33="Single_Point",IF(6=$NR$33,$NN$33,0),IF($NP$33="Bell_Curve",$NN$33*(6-$NR$33+1)*($NS$33-6+1)/$NU$33,$NN$33/$NT$33)),0)</f>
        <v/>
      </c>
      <c r="K33" s="402">
        <f>IF(AND(7&gt;=$NR$33,7&lt;=$NS$33),IF($NP$33="Single_Point",IF(7=$NR$33,$NN$33,0),IF($NP$33="Bell_Curve",$NN$33*(7-$NR$33+1)*($NS$33-7+1)/$NU$33,$NN$33/$NT$33)),0)</f>
        <v/>
      </c>
      <c r="L33" s="402">
        <f>IF(AND(8&gt;=$NR$33,8&lt;=$NS$33),IF($NP$33="Single_Point",IF(8=$NR$33,$NN$33,0),IF($NP$33="Bell_Curve",$NN$33*(8-$NR$33+1)*($NS$33-8+1)/$NU$33,$NN$33/$NT$33)),0)</f>
        <v/>
      </c>
      <c r="M33" s="402">
        <f>IF(AND(9&gt;=$NR$33,9&lt;=$NS$33),IF($NP$33="Single_Point",IF(9=$NR$33,$NN$33,0),IF($NP$33="Bell_Curve",$NN$33*(9-$NR$33+1)*($NS$33-9+1)/$NU$33,$NN$33/$NT$33)),0)</f>
        <v/>
      </c>
      <c r="N33" s="402">
        <f>IF(AND(10&gt;=$NR$33,10&lt;=$NS$33),IF($NP$33="Single_Point",IF(10=$NR$33,$NN$33,0),IF($NP$33="Bell_Curve",$NN$33*(10-$NR$33+1)*($NS$33-10+1)/$NU$33,$NN$33/$NT$33)),0)</f>
        <v/>
      </c>
      <c r="O33" s="402">
        <f>IF(AND(11&gt;=$NR$33,11&lt;=$NS$33),IF($NP$33="Single_Point",IF(11=$NR$33,$NN$33,0),IF($NP$33="Bell_Curve",$NN$33*(11-$NR$33+1)*($NS$33-11+1)/$NU$33,$NN$33/$NT$33)),0)</f>
        <v/>
      </c>
      <c r="P33" s="402">
        <f>IF(AND(12&gt;=$NR$33,12&lt;=$NS$33),IF($NP$33="Single_Point",IF(12=$NR$33,$NN$33,0),IF($NP$33="Bell_Curve",$NN$33*(12-$NR$33+1)*($NS$33-12+1)/$NU$33,$NN$33/$NT$33)),0)</f>
        <v/>
      </c>
      <c r="Q33" s="402">
        <f>IF(AND(13&gt;=$NR$33,13&lt;=$NS$33),IF($NP$33="Single_Point",IF(13=$NR$33,$NN$33,0),IF($NP$33="Bell_Curve",$NN$33*(13-$NR$33+1)*($NS$33-13+1)/$NU$33,$NN$33/$NT$33)),0)</f>
        <v/>
      </c>
      <c r="R33" s="402">
        <f>IF(AND(14&gt;=$NR$33,14&lt;=$NS$33),IF($NP$33="Single_Point",IF(14=$NR$33,$NN$33,0),IF($NP$33="Bell_Curve",$NN$33*(14-$NR$33+1)*($NS$33-14+1)/$NU$33,$NN$33/$NT$33)),0)</f>
        <v/>
      </c>
      <c r="S33" s="402">
        <f>IF(AND(15&gt;=$NR$33,15&lt;=$NS$33),IF($NP$33="Single_Point",IF(15=$NR$33,$NN$33,0),IF($NP$33="Bell_Curve",$NN$33*(15-$NR$33+1)*($NS$33-15+1)/$NU$33,$NN$33/$NT$33)),0)</f>
        <v/>
      </c>
      <c r="T33" s="402">
        <f>IF(AND(16&gt;=$NR$33,16&lt;=$NS$33),IF($NP$33="Single_Point",IF(16=$NR$33,$NN$33,0),IF($NP$33="Bell_Curve",$NN$33*(16-$NR$33+1)*($NS$33-16+1)/$NU$33,$NN$33/$NT$33)),0)</f>
        <v/>
      </c>
      <c r="U33" s="402">
        <f>IF(AND(17&gt;=$NR$33,17&lt;=$NS$33),IF($NP$33="Single_Point",IF(17=$NR$33,$NN$33,0),IF($NP$33="Bell_Curve",$NN$33*(17-$NR$33+1)*($NS$33-17+1)/$NU$33,$NN$33/$NT$33)),0)</f>
        <v/>
      </c>
      <c r="V33" s="402">
        <f>IF(AND(18&gt;=$NR$33,18&lt;=$NS$33),IF($NP$33="Single_Point",IF(18=$NR$33,$NN$33,0),IF($NP$33="Bell_Curve",$NN$33*(18-$NR$33+1)*($NS$33-18+1)/$NU$33,$NN$33/$NT$33)),0)</f>
        <v/>
      </c>
      <c r="W33" s="402">
        <f>IF(AND(19&gt;=$NR$33,19&lt;=$NS$33),IF($NP$33="Single_Point",IF(19=$NR$33,$NN$33,0),IF($NP$33="Bell_Curve",$NN$33*(19-$NR$33+1)*($NS$33-19+1)/$NU$33,$NN$33/$NT$33)),0)</f>
        <v/>
      </c>
      <c r="X33" s="402">
        <f>IF(AND(20&gt;=$NR$33,20&lt;=$NS$33),IF($NP$33="Single_Point",IF(20=$NR$33,$NN$33,0),IF($NP$33="Bell_Curve",$NN$33*(20-$NR$33+1)*($NS$33-20+1)/$NU$33,$NN$33/$NT$33)),0)</f>
        <v/>
      </c>
      <c r="Y33" s="402">
        <f>IF(AND(21&gt;=$NR$33,21&lt;=$NS$33),IF($NP$33="Single_Point",IF(21=$NR$33,$NN$33,0),IF($NP$33="Bell_Curve",$NN$33*(21-$NR$33+1)*($NS$33-21+1)/$NU$33,$NN$33/$NT$33)),0)</f>
        <v/>
      </c>
      <c r="Z33" s="402">
        <f>IF(AND(22&gt;=$NR$33,22&lt;=$NS$33),IF($NP$33="Single_Point",IF(22=$NR$33,$NN$33,0),IF($NP$33="Bell_Curve",$NN$33*(22-$NR$33+1)*($NS$33-22+1)/$NU$33,$NN$33/$NT$33)),0)</f>
        <v/>
      </c>
      <c r="AA33" s="402">
        <f>IF(AND(23&gt;=$NR$33,23&lt;=$NS$33),IF($NP$33="Single_Point",IF(23=$NR$33,$NN$33,0),IF($NP$33="Bell_Curve",$NN$33*(23-$NR$33+1)*($NS$33-23+1)/$NU$33,$NN$33/$NT$33)),0)</f>
        <v/>
      </c>
      <c r="AB33" s="402">
        <f>IF(AND(24&gt;=$NR$33,24&lt;=$NS$33),IF($NP$33="Single_Point",IF(24=$NR$33,$NN$33,0),IF($NP$33="Bell_Curve",$NN$33*(24-$NR$33+1)*($NS$33-24+1)/$NU$33,$NN$33/$NT$33)),0)</f>
        <v/>
      </c>
      <c r="AC33" s="402">
        <f>IF(AND(25&gt;=$NR$33,25&lt;=$NS$33),IF($NP$33="Single_Point",IF(25=$NR$33,$NN$33,0),IF($NP$33="Bell_Curve",$NN$33*(25-$NR$33+1)*($NS$33-25+1)/$NU$33,$NN$33/$NT$33)),0)</f>
        <v/>
      </c>
      <c r="AD33" s="402">
        <f>IF(AND(26&gt;=$NR$33,26&lt;=$NS$33),IF($NP$33="Single_Point",IF(26=$NR$33,$NN$33,0),IF($NP$33="Bell_Curve",$NN$33*(26-$NR$33+1)*($NS$33-26+1)/$NU$33,$NN$33/$NT$33)),0)</f>
        <v/>
      </c>
      <c r="AE33" s="402">
        <f>IF(AND(27&gt;=$NR$33,27&lt;=$NS$33),IF($NP$33="Single_Point",IF(27=$NR$33,$NN$33,0),IF($NP$33="Bell_Curve",$NN$33*(27-$NR$33+1)*($NS$33-27+1)/$NU$33,$NN$33/$NT$33)),0)</f>
        <v/>
      </c>
      <c r="AF33" s="402">
        <f>IF(AND(28&gt;=$NR$33,28&lt;=$NS$33),IF($NP$33="Single_Point",IF(28=$NR$33,$NN$33,0),IF($NP$33="Bell_Curve",$NN$33*(28-$NR$33+1)*($NS$33-28+1)/$NU$33,$NN$33/$NT$33)),0)</f>
        <v/>
      </c>
      <c r="AG33" s="402">
        <f>IF(AND(29&gt;=$NR$33,29&lt;=$NS$33),IF($NP$33="Single_Point",IF(29=$NR$33,$NN$33,0),IF($NP$33="Bell_Curve",$NN$33*(29-$NR$33+1)*($NS$33-29+1)/$NU$33,$NN$33/$NT$33)),0)</f>
        <v/>
      </c>
      <c r="AH33" s="402">
        <f>IF(AND(30&gt;=$NR$33,30&lt;=$NS$33),IF($NP$33="Single_Point",IF(30=$NR$33,$NN$33,0),IF($NP$33="Bell_Curve",$NN$33*(30-$NR$33+1)*($NS$33-30+1)/$NU$33,$NN$33/$NT$33)),0)</f>
        <v/>
      </c>
      <c r="AI33" s="402">
        <f>IF(AND(31&gt;=$NR$33,31&lt;=$NS$33),IF($NP$33="Single_Point",IF(31=$NR$33,$NN$33,0),IF($NP$33="Bell_Curve",$NN$33*(31-$NR$33+1)*($NS$33-31+1)/$NU$33,$NN$33/$NT$33)),0)</f>
        <v/>
      </c>
      <c r="AJ33" s="402">
        <f>IF(AND(32&gt;=$NR$33,32&lt;=$NS$33),IF($NP$33="Single_Point",IF(32=$NR$33,$NN$33,0),IF($NP$33="Bell_Curve",$NN$33*(32-$NR$33+1)*($NS$33-32+1)/$NU$33,$NN$33/$NT$33)),0)</f>
        <v/>
      </c>
      <c r="AK33" s="402">
        <f>IF(AND(33&gt;=$NR$33,33&lt;=$NS$33),IF($NP$33="Single_Point",IF(33=$NR$33,$NN$33,0),IF($NP$33="Bell_Curve",$NN$33*(33-$NR$33+1)*($NS$33-33+1)/$NU$33,$NN$33/$NT$33)),0)</f>
        <v/>
      </c>
      <c r="AL33" s="402">
        <f>IF(AND(34&gt;=$NR$33,34&lt;=$NS$33),IF($NP$33="Single_Point",IF(34=$NR$33,$NN$33,0),IF($NP$33="Bell_Curve",$NN$33*(34-$NR$33+1)*($NS$33-34+1)/$NU$33,$NN$33/$NT$33)),0)</f>
        <v/>
      </c>
      <c r="AM33" s="402">
        <f>IF(AND(35&gt;=$NR$33,35&lt;=$NS$33),IF($NP$33="Single_Point",IF(35=$NR$33,$NN$33,0),IF($NP$33="Bell_Curve",$NN$33*(35-$NR$33+1)*($NS$33-35+1)/$NU$33,$NN$33/$NT$33)),0)</f>
        <v/>
      </c>
      <c r="AN33" s="402">
        <f>IF(AND(36&gt;=$NR$33,36&lt;=$NS$33),IF($NP$33="Single_Point",IF(36=$NR$33,$NN$33,0),IF($NP$33="Bell_Curve",$NN$33*(36-$NR$33+1)*($NS$33-36+1)/$NU$33,$NN$33/$NT$33)),0)</f>
        <v/>
      </c>
      <c r="AO33" s="402">
        <f>IF(AND(37&gt;=$NR$33,37&lt;=$NS$33),IF($NP$33="Single_Point",IF(37=$NR$33,$NN$33,0),IF($NP$33="Bell_Curve",$NN$33*(37-$NR$33+1)*($NS$33-37+1)/$NU$33,$NN$33/$NT$33)),0)</f>
        <v/>
      </c>
      <c r="AP33" s="402">
        <f>IF(AND(38&gt;=$NR$33,38&lt;=$NS$33),IF($NP$33="Single_Point",IF(38=$NR$33,$NN$33,0),IF($NP$33="Bell_Curve",$NN$33*(38-$NR$33+1)*($NS$33-38+1)/$NU$33,$NN$33/$NT$33)),0)</f>
        <v/>
      </c>
      <c r="AQ33" s="402">
        <f>IF(AND(39&gt;=$NR$33,39&lt;=$NS$33),IF($NP$33="Single_Point",IF(39=$NR$33,$NN$33,0),IF($NP$33="Bell_Curve",$NN$33*(39-$NR$33+1)*($NS$33-39+1)/$NU$33,$NN$33/$NT$33)),0)</f>
        <v/>
      </c>
      <c r="AR33" s="402">
        <f>IF(AND(40&gt;=$NR$33,40&lt;=$NS$33),IF($NP$33="Single_Point",IF(40=$NR$33,$NN$33,0),IF($NP$33="Bell_Curve",$NN$33*(40-$NR$33+1)*($NS$33-40+1)/$NU$33,$NN$33/$NT$33)),0)</f>
        <v/>
      </c>
      <c r="AS33" s="402">
        <f>IF(AND(41&gt;=$NR$33,41&lt;=$NS$33),IF($NP$33="Single_Point",IF(41=$NR$33,$NN$33,0),IF($NP$33="Bell_Curve",$NN$33*(41-$NR$33+1)*($NS$33-41+1)/$NU$33,$NN$33/$NT$33)),0)</f>
        <v/>
      </c>
      <c r="AT33" s="402">
        <f>IF(AND(42&gt;=$NR$33,42&lt;=$NS$33),IF($NP$33="Single_Point",IF(42=$NR$33,$NN$33,0),IF($NP$33="Bell_Curve",$NN$33*(42-$NR$33+1)*($NS$33-42+1)/$NU$33,$NN$33/$NT$33)),0)</f>
        <v/>
      </c>
      <c r="AU33" s="402">
        <f>IF(AND(43&gt;=$NR$33,43&lt;=$NS$33),IF($NP$33="Single_Point",IF(43=$NR$33,$NN$33,0),IF($NP$33="Bell_Curve",$NN$33*(43-$NR$33+1)*($NS$33-43+1)/$NU$33,$NN$33/$NT$33)),0)</f>
        <v/>
      </c>
      <c r="AV33" s="402">
        <f>IF(AND(44&gt;=$NR$33,44&lt;=$NS$33),IF($NP$33="Single_Point",IF(44=$NR$33,$NN$33,0),IF($NP$33="Bell_Curve",$NN$33*(44-$NR$33+1)*($NS$33-44+1)/$NU$33,$NN$33/$NT$33)),0)</f>
        <v/>
      </c>
      <c r="AW33" s="402">
        <f>IF(AND(45&gt;=$NR$33,45&lt;=$NS$33),IF($NP$33="Single_Point",IF(45=$NR$33,$NN$33,0),IF($NP$33="Bell_Curve",$NN$33*(45-$NR$33+1)*($NS$33-45+1)/$NU$33,$NN$33/$NT$33)),0)</f>
        <v/>
      </c>
      <c r="AX33" s="402">
        <f>IF(AND(46&gt;=$NR$33,46&lt;=$NS$33),IF($NP$33="Single_Point",IF(46=$NR$33,$NN$33,0),IF($NP$33="Bell_Curve",$NN$33*(46-$NR$33+1)*($NS$33-46+1)/$NU$33,$NN$33/$NT$33)),0)</f>
        <v/>
      </c>
      <c r="AY33" s="402">
        <f>IF(AND(47&gt;=$NR$33,47&lt;=$NS$33),IF($NP$33="Single_Point",IF(47=$NR$33,$NN$33,0),IF($NP$33="Bell_Curve",$NN$33*(47-$NR$33+1)*($NS$33-47+1)/$NU$33,$NN$33/$NT$33)),0)</f>
        <v/>
      </c>
      <c r="AZ33" s="402">
        <f>IF(AND(48&gt;=$NR$33,48&lt;=$NS$33),IF($NP$33="Single_Point",IF(48=$NR$33,$NN$33,0),IF($NP$33="Bell_Curve",$NN$33*(48-$NR$33+1)*($NS$33-48+1)/$NU$33,$NN$33/$NT$33)),0)</f>
        <v/>
      </c>
      <c r="BA33" s="402">
        <f>IF(AND(49&gt;=$NR$33,49&lt;=$NS$33),IF($NP$33="Single_Point",IF(49=$NR$33,$NN$33,0),IF($NP$33="Bell_Curve",$NN$33*(49-$NR$33+1)*($NS$33-49+1)/$NU$33,$NN$33/$NT$33)),0)</f>
        <v/>
      </c>
      <c r="BB33" s="402">
        <f>IF(AND(50&gt;=$NR$33,50&lt;=$NS$33),IF($NP$33="Single_Point",IF(50=$NR$33,$NN$33,0),IF($NP$33="Bell_Curve",$NN$33*(50-$NR$33+1)*($NS$33-50+1)/$NU$33,$NN$33/$NT$33)),0)</f>
        <v/>
      </c>
      <c r="BC33" s="402">
        <f>IF(AND(51&gt;=$NR$33,51&lt;=$NS$33),IF($NP$33="Single_Point",IF(51=$NR$33,$NN$33,0),IF($NP$33="Bell_Curve",$NN$33*(51-$NR$33+1)*($NS$33-51+1)/$NU$33,$NN$33/$NT$33)),0)</f>
        <v/>
      </c>
      <c r="BD33" s="402">
        <f>IF(AND(52&gt;=$NR$33,52&lt;=$NS$33),IF($NP$33="Single_Point",IF(52=$NR$33,$NN$33,0),IF($NP$33="Bell_Curve",$NN$33*(52-$NR$33+1)*($NS$33-52+1)/$NU$33,$NN$33/$NT$33)),0)</f>
        <v/>
      </c>
      <c r="BE33" s="402">
        <f>IF(AND(53&gt;=$NR$33,53&lt;=$NS$33),IF($NP$33="Single_Point",IF(53=$NR$33,$NN$33,0),IF($NP$33="Bell_Curve",$NN$33*(53-$NR$33+1)*($NS$33-53+1)/$NU$33,$NN$33/$NT$33)),0)</f>
        <v/>
      </c>
      <c r="BF33" s="402">
        <f>IF(AND(54&gt;=$NR$33,54&lt;=$NS$33),IF($NP$33="Single_Point",IF(54=$NR$33,$NN$33,0),IF($NP$33="Bell_Curve",$NN$33*(54-$NR$33+1)*($NS$33-54+1)/$NU$33,$NN$33/$NT$33)),0)</f>
        <v/>
      </c>
      <c r="BG33" s="402">
        <f>IF(AND(55&gt;=$NR$33,55&lt;=$NS$33),IF($NP$33="Single_Point",IF(55=$NR$33,$NN$33,0),IF($NP$33="Bell_Curve",$NN$33*(55-$NR$33+1)*($NS$33-55+1)/$NU$33,$NN$33/$NT$33)),0)</f>
        <v/>
      </c>
      <c r="BH33" s="402">
        <f>IF(AND(56&gt;=$NR$33,56&lt;=$NS$33),IF($NP$33="Single_Point",IF(56=$NR$33,$NN$33,0),IF($NP$33="Bell_Curve",$NN$33*(56-$NR$33+1)*($NS$33-56+1)/$NU$33,$NN$33/$NT$33)),0)</f>
        <v/>
      </c>
      <c r="BI33" s="402">
        <f>IF(AND(57&gt;=$NR$33,57&lt;=$NS$33),IF($NP$33="Single_Point",IF(57=$NR$33,$NN$33,0),IF($NP$33="Bell_Curve",$NN$33*(57-$NR$33+1)*($NS$33-57+1)/$NU$33,$NN$33/$NT$33)),0)</f>
        <v/>
      </c>
      <c r="BJ33" s="402">
        <f>IF(AND(58&gt;=$NR$33,58&lt;=$NS$33),IF($NP$33="Single_Point",IF(58=$NR$33,$NN$33,0),IF($NP$33="Bell_Curve",$NN$33*(58-$NR$33+1)*($NS$33-58+1)/$NU$33,$NN$33/$NT$33)),0)</f>
        <v/>
      </c>
      <c r="BK33" s="402">
        <f>IF(AND(59&gt;=$NR$33,59&lt;=$NS$33),IF($NP$33="Single_Point",IF(59=$NR$33,$NN$33,0),IF($NP$33="Bell_Curve",$NN$33*(59-$NR$33+1)*($NS$33-59+1)/$NU$33,$NN$33/$NT$33)),0)</f>
        <v/>
      </c>
      <c r="BL33" s="402">
        <f>IF(AND(60&gt;=$NR$33,60&lt;=$NS$33),IF($NP$33="Single_Point",IF(60=$NR$33,$NN$33,0),IF($NP$33="Bell_Curve",$NN$33*(60-$NR$33+1)*($NS$33-60+1)/$NU$33,$NN$33/$NT$33)),0)</f>
        <v/>
      </c>
      <c r="BM33" s="402">
        <f>IF(AND(61&gt;=$NR$33,61&lt;=$NS$33),IF($NP$33="Single_Point",IF(61=$NR$33,$NN$33,0),IF($NP$33="Bell_Curve",$NN$33*(61-$NR$33+1)*($NS$33-61+1)/$NU$33,$NN$33/$NT$33)),0)</f>
        <v/>
      </c>
      <c r="BN33" s="402">
        <f>IF(AND(62&gt;=$NR$33,62&lt;=$NS$33),IF($NP$33="Single_Point",IF(62=$NR$33,$NN$33,0),IF($NP$33="Bell_Curve",$NN$33*(62-$NR$33+1)*($NS$33-62+1)/$NU$33,$NN$33/$NT$33)),0)</f>
        <v/>
      </c>
      <c r="BO33" s="402">
        <f>IF(AND(63&gt;=$NR$33,63&lt;=$NS$33),IF($NP$33="Single_Point",IF(63=$NR$33,$NN$33,0),IF($NP$33="Bell_Curve",$NN$33*(63-$NR$33+1)*($NS$33-63+1)/$NU$33,$NN$33/$NT$33)),0)</f>
        <v/>
      </c>
      <c r="BP33" s="402">
        <f>IF(AND(64&gt;=$NR$33,64&lt;=$NS$33),IF($NP$33="Single_Point",IF(64=$NR$33,$NN$33,0),IF($NP$33="Bell_Curve",$NN$33*(64-$NR$33+1)*($NS$33-64+1)/$NU$33,$NN$33/$NT$33)),0)</f>
        <v/>
      </c>
      <c r="BQ33" s="402">
        <f>IF(AND(65&gt;=$NR$33,65&lt;=$NS$33),IF($NP$33="Single_Point",IF(65=$NR$33,$NN$33,0),IF($NP$33="Bell_Curve",$NN$33*(65-$NR$33+1)*($NS$33-65+1)/$NU$33,$NN$33/$NT$33)),0)</f>
        <v/>
      </c>
      <c r="BR33" s="402">
        <f>IF(AND(66&gt;=$NR$33,66&lt;=$NS$33),IF($NP$33="Single_Point",IF(66=$NR$33,$NN$33,0),IF($NP$33="Bell_Curve",$NN$33*(66-$NR$33+1)*($NS$33-66+1)/$NU$33,$NN$33/$NT$33)),0)</f>
        <v/>
      </c>
      <c r="BS33" s="402">
        <f>IF(AND(67&gt;=$NR$33,67&lt;=$NS$33),IF($NP$33="Single_Point",IF(67=$NR$33,$NN$33,0),IF($NP$33="Bell_Curve",$NN$33*(67-$NR$33+1)*($NS$33-67+1)/$NU$33,$NN$33/$NT$33)),0)</f>
        <v/>
      </c>
      <c r="BT33" s="402">
        <f>IF(AND(68&gt;=$NR$33,68&lt;=$NS$33),IF($NP$33="Single_Point",IF(68=$NR$33,$NN$33,0),IF($NP$33="Bell_Curve",$NN$33*(68-$NR$33+1)*($NS$33-68+1)/$NU$33,$NN$33/$NT$33)),0)</f>
        <v/>
      </c>
      <c r="BU33" s="402">
        <f>IF(AND(69&gt;=$NR$33,69&lt;=$NS$33),IF($NP$33="Single_Point",IF(69=$NR$33,$NN$33,0),IF($NP$33="Bell_Curve",$NN$33*(69-$NR$33+1)*($NS$33-69+1)/$NU$33,$NN$33/$NT$33)),0)</f>
        <v/>
      </c>
      <c r="BV33" s="402">
        <f>IF(AND(70&gt;=$NR$33,70&lt;=$NS$33),IF($NP$33="Single_Point",IF(70=$NR$33,$NN$33,0),IF($NP$33="Bell_Curve",$NN$33*(70-$NR$33+1)*($NS$33-70+1)/$NU$33,$NN$33/$NT$33)),0)</f>
        <v/>
      </c>
      <c r="BW33" s="402">
        <f>IF(AND(71&gt;=$NR$33,71&lt;=$NS$33),IF($NP$33="Single_Point",IF(71=$NR$33,$NN$33,0),IF($NP$33="Bell_Curve",$NN$33*(71-$NR$33+1)*($NS$33-71+1)/$NU$33,$NN$33/$NT$33)),0)</f>
        <v/>
      </c>
      <c r="BX33" s="402">
        <f>IF(AND(72&gt;=$NR$33,72&lt;=$NS$33),IF($NP$33="Single_Point",IF(72=$NR$33,$NN$33,0),IF($NP$33="Bell_Curve",$NN$33*(72-$NR$33+1)*($NS$33-72+1)/$NU$33,$NN$33/$NT$33)),0)</f>
        <v/>
      </c>
      <c r="BY33" s="402">
        <f>IF(AND(73&gt;=$NR$33,73&lt;=$NS$33),IF($NP$33="Single_Point",IF(73=$NR$33,$NN$33,0),IF($NP$33="Bell_Curve",$NN$33*(73-$NR$33+1)*($NS$33-73+1)/$NU$33,$NN$33/$NT$33)),0)</f>
        <v/>
      </c>
      <c r="BZ33" s="402">
        <f>IF(AND(74&gt;=$NR$33,74&lt;=$NS$33),IF($NP$33="Single_Point",IF(74=$NR$33,$NN$33,0),IF($NP$33="Bell_Curve",$NN$33*(74-$NR$33+1)*($NS$33-74+1)/$NU$33,$NN$33/$NT$33)),0)</f>
        <v/>
      </c>
      <c r="CA33" s="402">
        <f>IF(AND(75&gt;=$NR$33,75&lt;=$NS$33),IF($NP$33="Single_Point",IF(75=$NR$33,$NN$33,0),IF($NP$33="Bell_Curve",$NN$33*(75-$NR$33+1)*($NS$33-75+1)/$NU$33,$NN$33/$NT$33)),0)</f>
        <v/>
      </c>
      <c r="CB33" s="402">
        <f>IF(AND(76&gt;=$NR$33,76&lt;=$NS$33),IF($NP$33="Single_Point",IF(76=$NR$33,$NN$33,0),IF($NP$33="Bell_Curve",$NN$33*(76-$NR$33+1)*($NS$33-76+1)/$NU$33,$NN$33/$NT$33)),0)</f>
        <v/>
      </c>
      <c r="CC33" s="402">
        <f>IF(AND(77&gt;=$NR$33,77&lt;=$NS$33),IF($NP$33="Single_Point",IF(77=$NR$33,$NN$33,0),IF($NP$33="Bell_Curve",$NN$33*(77-$NR$33+1)*($NS$33-77+1)/$NU$33,$NN$33/$NT$33)),0)</f>
        <v/>
      </c>
      <c r="CD33" s="402">
        <f>IF(AND(78&gt;=$NR$33,78&lt;=$NS$33),IF($NP$33="Single_Point",IF(78=$NR$33,$NN$33,0),IF($NP$33="Bell_Curve",$NN$33*(78-$NR$33+1)*($NS$33-78+1)/$NU$33,$NN$33/$NT$33)),0)</f>
        <v/>
      </c>
      <c r="CE33" s="402">
        <f>IF(AND(79&gt;=$NR$33,79&lt;=$NS$33),IF($NP$33="Single_Point",IF(79=$NR$33,$NN$33,0),IF($NP$33="Bell_Curve",$NN$33*(79-$NR$33+1)*($NS$33-79+1)/$NU$33,$NN$33/$NT$33)),0)</f>
        <v/>
      </c>
      <c r="CF33" s="402">
        <f>IF(AND(80&gt;=$NR$33,80&lt;=$NS$33),IF($NP$33="Single_Point",IF(80=$NR$33,$NN$33,0),IF($NP$33="Bell_Curve",$NN$33*(80-$NR$33+1)*($NS$33-80+1)/$NU$33,$NN$33/$NT$33)),0)</f>
        <v/>
      </c>
      <c r="CG33" s="402">
        <f>IF(AND(81&gt;=$NR$33,81&lt;=$NS$33),IF($NP$33="Single_Point",IF(81=$NR$33,$NN$33,0),IF($NP$33="Bell_Curve",$NN$33*(81-$NR$33+1)*($NS$33-81+1)/$NU$33,$NN$33/$NT$33)),0)</f>
        <v/>
      </c>
      <c r="CH33" s="402">
        <f>IF(AND(82&gt;=$NR$33,82&lt;=$NS$33),IF($NP$33="Single_Point",IF(82=$NR$33,$NN$33,0),IF($NP$33="Bell_Curve",$NN$33*(82-$NR$33+1)*($NS$33-82+1)/$NU$33,$NN$33/$NT$33)),0)</f>
        <v/>
      </c>
      <c r="CI33" s="402">
        <f>IF(AND(83&gt;=$NR$33,83&lt;=$NS$33),IF($NP$33="Single_Point",IF(83=$NR$33,$NN$33,0),IF($NP$33="Bell_Curve",$NN$33*(83-$NR$33+1)*($NS$33-83+1)/$NU$33,$NN$33/$NT$33)),0)</f>
        <v/>
      </c>
      <c r="CJ33" s="402">
        <f>IF(AND(84&gt;=$NR$33,84&lt;=$NS$33),IF($NP$33="Single_Point",IF(84=$NR$33,$NN$33,0),IF($NP$33="Bell_Curve",$NN$33*(84-$NR$33+1)*($NS$33-84+1)/$NU$33,$NN$33/$NT$33)),0)</f>
        <v/>
      </c>
      <c r="CK33" s="402">
        <f>IF(AND(85&gt;=$NR$33,85&lt;=$NS$33),IF($NP$33="Single_Point",IF(85=$NR$33,$NN$33,0),IF($NP$33="Bell_Curve",$NN$33*(85-$NR$33+1)*($NS$33-85+1)/$NU$33,$NN$33/$NT$33)),0)</f>
        <v/>
      </c>
      <c r="CL33" s="402">
        <f>IF(AND(86&gt;=$NR$33,86&lt;=$NS$33),IF($NP$33="Single_Point",IF(86=$NR$33,$NN$33,0),IF($NP$33="Bell_Curve",$NN$33*(86-$NR$33+1)*($NS$33-86+1)/$NU$33,$NN$33/$NT$33)),0)</f>
        <v/>
      </c>
      <c r="CM33" s="402">
        <f>IF(AND(87&gt;=$NR$33,87&lt;=$NS$33),IF($NP$33="Single_Point",IF(87=$NR$33,$NN$33,0),IF($NP$33="Bell_Curve",$NN$33*(87-$NR$33+1)*($NS$33-87+1)/$NU$33,$NN$33/$NT$33)),0)</f>
        <v/>
      </c>
      <c r="CN33" s="402">
        <f>IF(AND(88&gt;=$NR$33,88&lt;=$NS$33),IF($NP$33="Single_Point",IF(88=$NR$33,$NN$33,0),IF($NP$33="Bell_Curve",$NN$33*(88-$NR$33+1)*($NS$33-88+1)/$NU$33,$NN$33/$NT$33)),0)</f>
        <v/>
      </c>
      <c r="CO33" s="402">
        <f>IF(AND(89&gt;=$NR$33,89&lt;=$NS$33),IF($NP$33="Single_Point",IF(89=$NR$33,$NN$33,0),IF($NP$33="Bell_Curve",$NN$33*(89-$NR$33+1)*($NS$33-89+1)/$NU$33,$NN$33/$NT$33)),0)</f>
        <v/>
      </c>
      <c r="CP33" s="402">
        <f>IF(AND(90&gt;=$NR$33,90&lt;=$NS$33),IF($NP$33="Single_Point",IF(90=$NR$33,$NN$33,0),IF($NP$33="Bell_Curve",$NN$33*(90-$NR$33+1)*($NS$33-90+1)/$NU$33,$NN$33/$NT$33)),0)</f>
        <v/>
      </c>
      <c r="CQ33" s="402">
        <f>IF(AND(91&gt;=$NR$33,91&lt;=$NS$33),IF($NP$33="Single_Point",IF(91=$NR$33,$NN$33,0),IF($NP$33="Bell_Curve",$NN$33*(91-$NR$33+1)*($NS$33-91+1)/$NU$33,$NN$33/$NT$33)),0)</f>
        <v/>
      </c>
      <c r="CR33" s="402">
        <f>IF(AND(92&gt;=$NR$33,92&lt;=$NS$33),IF($NP$33="Single_Point",IF(92=$NR$33,$NN$33,0),IF($NP$33="Bell_Curve",$NN$33*(92-$NR$33+1)*($NS$33-92+1)/$NU$33,$NN$33/$NT$33)),0)</f>
        <v/>
      </c>
      <c r="CS33" s="402">
        <f>IF(AND(93&gt;=$NR$33,93&lt;=$NS$33),IF($NP$33="Single_Point",IF(93=$NR$33,$NN$33,0),IF($NP$33="Bell_Curve",$NN$33*(93-$NR$33+1)*($NS$33-93+1)/$NU$33,$NN$33/$NT$33)),0)</f>
        <v/>
      </c>
      <c r="CT33" s="402">
        <f>IF(AND(94&gt;=$NR$33,94&lt;=$NS$33),IF($NP$33="Single_Point",IF(94=$NR$33,$NN$33,0),IF($NP$33="Bell_Curve",$NN$33*(94-$NR$33+1)*($NS$33-94+1)/$NU$33,$NN$33/$NT$33)),0)</f>
        <v/>
      </c>
      <c r="CU33" s="402">
        <f>IF(AND(95&gt;=$NR$33,95&lt;=$NS$33),IF($NP$33="Single_Point",IF(95=$NR$33,$NN$33,0),IF($NP$33="Bell_Curve",$NN$33*(95-$NR$33+1)*($NS$33-95+1)/$NU$33,$NN$33/$NT$33)),0)</f>
        <v/>
      </c>
      <c r="CV33" s="402">
        <f>IF(AND(96&gt;=$NR$33,96&lt;=$NS$33),IF($NP$33="Single_Point",IF(96=$NR$33,$NN$33,0),IF($NP$33="Bell_Curve",$NN$33*(96-$NR$33+1)*($NS$33-96+1)/$NU$33,$NN$33/$NT$33)),0)</f>
        <v/>
      </c>
      <c r="CW33" s="402">
        <f>IF(AND(97&gt;=$NR$33,97&lt;=$NS$33),IF($NP$33="Single_Point",IF(97=$NR$33,$NN$33,0),IF($NP$33="Bell_Curve",$NN$33*(97-$NR$33+1)*($NS$33-97+1)/$NU$33,$NN$33/$NT$33)),0)</f>
        <v/>
      </c>
      <c r="CX33" s="402">
        <f>IF(AND(98&gt;=$NR$33,98&lt;=$NS$33),IF($NP$33="Single_Point",IF(98=$NR$33,$NN$33,0),IF($NP$33="Bell_Curve",$NN$33*(98-$NR$33+1)*($NS$33-98+1)/$NU$33,$NN$33/$NT$33)),0)</f>
        <v/>
      </c>
      <c r="CY33" s="402">
        <f>IF(AND(99&gt;=$NR$33,99&lt;=$NS$33),IF($NP$33="Single_Point",IF(99=$NR$33,$NN$33,0),IF($NP$33="Bell_Curve",$NN$33*(99-$NR$33+1)*($NS$33-99+1)/$NU$33,$NN$33/$NT$33)),0)</f>
        <v/>
      </c>
      <c r="CZ33" s="402">
        <f>IF(AND(100&gt;=$NR$33,100&lt;=$NS$33),IF($NP$33="Single_Point",IF(100=$NR$33,$NN$33,0),IF($NP$33="Bell_Curve",$NN$33*(100-$NR$33+1)*($NS$33-100+1)/$NU$33,$NN$33/$NT$33)),0)</f>
        <v/>
      </c>
      <c r="DA33" s="402">
        <f>IF(AND(101&gt;=$NR$33,101&lt;=$NS$33),IF($NP$33="Single_Point",IF(101=$NR$33,$NN$33,0),IF($NP$33="Bell_Curve",$NN$33*(101-$NR$33+1)*($NS$33-101+1)/$NU$33,$NN$33/$NT$33)),0)</f>
        <v/>
      </c>
      <c r="DB33" s="402">
        <f>IF(AND(102&gt;=$NR$33,102&lt;=$NS$33),IF($NP$33="Single_Point",IF(102=$NR$33,$NN$33,0),IF($NP$33="Bell_Curve",$NN$33*(102-$NR$33+1)*($NS$33-102+1)/$NU$33,$NN$33/$NT$33)),0)</f>
        <v/>
      </c>
      <c r="DC33" s="402">
        <f>IF(AND(103&gt;=$NR$33,103&lt;=$NS$33),IF($NP$33="Single_Point",IF(103=$NR$33,$NN$33,0),IF($NP$33="Bell_Curve",$NN$33*(103-$NR$33+1)*($NS$33-103+1)/$NU$33,$NN$33/$NT$33)),0)</f>
        <v/>
      </c>
      <c r="DD33" s="402">
        <f>IF(AND(104&gt;=$NR$33,104&lt;=$NS$33),IF($NP$33="Single_Point",IF(104=$NR$33,$NN$33,0),IF($NP$33="Bell_Curve",$NN$33*(104-$NR$33+1)*($NS$33-104+1)/$NU$33,$NN$33/$NT$33)),0)</f>
        <v/>
      </c>
      <c r="DE33" s="402">
        <f>IF(AND(105&gt;=$NR$33,105&lt;=$NS$33),IF($NP$33="Single_Point",IF(105=$NR$33,$NN$33,0),IF($NP$33="Bell_Curve",$NN$33*(105-$NR$33+1)*($NS$33-105+1)/$NU$33,$NN$33/$NT$33)),0)</f>
        <v/>
      </c>
      <c r="DF33" s="402">
        <f>IF(AND(106&gt;=$NR$33,106&lt;=$NS$33),IF($NP$33="Single_Point",IF(106=$NR$33,$NN$33,0),IF($NP$33="Bell_Curve",$NN$33*(106-$NR$33+1)*($NS$33-106+1)/$NU$33,$NN$33/$NT$33)),0)</f>
        <v/>
      </c>
      <c r="DG33" s="402">
        <f>IF(AND(107&gt;=$NR$33,107&lt;=$NS$33),IF($NP$33="Single_Point",IF(107=$NR$33,$NN$33,0),IF($NP$33="Bell_Curve",$NN$33*(107-$NR$33+1)*($NS$33-107+1)/$NU$33,$NN$33/$NT$33)),0)</f>
        <v/>
      </c>
      <c r="DH33" s="402">
        <f>IF(AND(108&gt;=$NR$33,108&lt;=$NS$33),IF($NP$33="Single_Point",IF(108=$NR$33,$NN$33,0),IF($NP$33="Bell_Curve",$NN$33*(108-$NR$33+1)*($NS$33-108+1)/$NU$33,$NN$33/$NT$33)),0)</f>
        <v/>
      </c>
      <c r="DI33" s="402">
        <f>IF(AND(109&gt;=$NR$33,109&lt;=$NS$33),IF($NP$33="Single_Point",IF(109=$NR$33,$NN$33,0),IF($NP$33="Bell_Curve",$NN$33*(109-$NR$33+1)*($NS$33-109+1)/$NU$33,$NN$33/$NT$33)),0)</f>
        <v/>
      </c>
      <c r="DJ33" s="402">
        <f>IF(AND(110&gt;=$NR$33,110&lt;=$NS$33),IF($NP$33="Single_Point",IF(110=$NR$33,$NN$33,0),IF($NP$33="Bell_Curve",$NN$33*(110-$NR$33+1)*($NS$33-110+1)/$NU$33,$NN$33/$NT$33)),0)</f>
        <v/>
      </c>
      <c r="DK33" s="402">
        <f>IF(AND(111&gt;=$NR$33,111&lt;=$NS$33),IF($NP$33="Single_Point",IF(111=$NR$33,$NN$33,0),IF($NP$33="Bell_Curve",$NN$33*(111-$NR$33+1)*($NS$33-111+1)/$NU$33,$NN$33/$NT$33)),0)</f>
        <v/>
      </c>
      <c r="DL33" s="402">
        <f>IF(AND(112&gt;=$NR$33,112&lt;=$NS$33),IF($NP$33="Single_Point",IF(112=$NR$33,$NN$33,0),IF($NP$33="Bell_Curve",$NN$33*(112-$NR$33+1)*($NS$33-112+1)/$NU$33,$NN$33/$NT$33)),0)</f>
        <v/>
      </c>
      <c r="DM33" s="402">
        <f>IF(AND(113&gt;=$NR$33,113&lt;=$NS$33),IF($NP$33="Single_Point",IF(113=$NR$33,$NN$33,0),IF($NP$33="Bell_Curve",$NN$33*(113-$NR$33+1)*($NS$33-113+1)/$NU$33,$NN$33/$NT$33)),0)</f>
        <v/>
      </c>
      <c r="DN33" s="402">
        <f>IF(AND(114&gt;=$NR$33,114&lt;=$NS$33),IF($NP$33="Single_Point",IF(114=$NR$33,$NN$33,0),IF($NP$33="Bell_Curve",$NN$33*(114-$NR$33+1)*($NS$33-114+1)/$NU$33,$NN$33/$NT$33)),0)</f>
        <v/>
      </c>
      <c r="DO33" s="402">
        <f>IF(AND(115&gt;=$NR$33,115&lt;=$NS$33),IF($NP$33="Single_Point",IF(115=$NR$33,$NN$33,0),IF($NP$33="Bell_Curve",$NN$33*(115-$NR$33+1)*($NS$33-115+1)/$NU$33,$NN$33/$NT$33)),0)</f>
        <v/>
      </c>
      <c r="DP33" s="402">
        <f>IF(AND(116&gt;=$NR$33,116&lt;=$NS$33),IF($NP$33="Single_Point",IF(116=$NR$33,$NN$33,0),IF($NP$33="Bell_Curve",$NN$33*(116-$NR$33+1)*($NS$33-116+1)/$NU$33,$NN$33/$NT$33)),0)</f>
        <v/>
      </c>
      <c r="DQ33" s="402">
        <f>IF(AND(117&gt;=$NR$33,117&lt;=$NS$33),IF($NP$33="Single_Point",IF(117=$NR$33,$NN$33,0),IF($NP$33="Bell_Curve",$NN$33*(117-$NR$33+1)*($NS$33-117+1)/$NU$33,$NN$33/$NT$33)),0)</f>
        <v/>
      </c>
      <c r="DR33" s="402">
        <f>IF(AND(118&gt;=$NR$33,118&lt;=$NS$33),IF($NP$33="Single_Point",IF(118=$NR$33,$NN$33,0),IF($NP$33="Bell_Curve",$NN$33*(118-$NR$33+1)*($NS$33-118+1)/$NU$33,$NN$33/$NT$33)),0)</f>
        <v/>
      </c>
      <c r="DS33" s="402">
        <f>IF(AND(119&gt;=$NR$33,119&lt;=$NS$33),IF($NP$33="Single_Point",IF(119=$NR$33,$NN$33,0),IF($NP$33="Bell_Curve",$NN$33*(119-$NR$33+1)*($NS$33-119+1)/$NU$33,$NN$33/$NT$33)),0)</f>
        <v/>
      </c>
      <c r="DT33" s="402">
        <f>IF(AND(120&gt;=$NR$33,120&lt;=$NS$33),IF($NP$33="Single_Point",IF(120=$NR$33,$NN$33,0),IF($NP$33="Bell_Curve",$NN$33*(120-$NR$33+1)*($NS$33-120+1)/$NU$33,$NN$33/$NT$33)),0)</f>
        <v/>
      </c>
      <c r="DU33" s="402">
        <f>IF(AND(121&gt;=$NR$33,121&lt;=$NS$33),IF($NP$33="Single_Point",IF(121=$NR$33,$NN$33,0),IF($NP$33="Bell_Curve",$NN$33*(121-$NR$33+1)*($NS$33-121+1)/$NU$33,$NN$33/$NT$33)),0)</f>
        <v/>
      </c>
      <c r="DV33" s="402">
        <f>IF(AND(122&gt;=$NR$33,122&lt;=$NS$33),IF($NP$33="Single_Point",IF(122=$NR$33,$NN$33,0),IF($NP$33="Bell_Curve",$NN$33*(122-$NR$33+1)*($NS$33-122+1)/$NU$33,$NN$33/$NT$33)),0)</f>
        <v/>
      </c>
      <c r="DW33" s="402">
        <f>IF(AND(123&gt;=$NR$33,123&lt;=$NS$33),IF($NP$33="Single_Point",IF(123=$NR$33,$NN$33,0),IF($NP$33="Bell_Curve",$NN$33*(123-$NR$33+1)*($NS$33-123+1)/$NU$33,$NN$33/$NT$33)),0)</f>
        <v/>
      </c>
      <c r="DX33" s="402">
        <f>IF(AND(124&gt;=$NR$33,124&lt;=$NS$33),IF($NP$33="Single_Point",IF(124=$NR$33,$NN$33,0),IF($NP$33="Bell_Curve",$NN$33*(124-$NR$33+1)*($NS$33-124+1)/$NU$33,$NN$33/$NT$33)),0)</f>
        <v/>
      </c>
      <c r="DY33" s="402">
        <f>IF(AND(125&gt;=$NR$33,125&lt;=$NS$33),IF($NP$33="Single_Point",IF(125=$NR$33,$NN$33,0),IF($NP$33="Bell_Curve",$NN$33*(125-$NR$33+1)*($NS$33-125+1)/$NU$33,$NN$33/$NT$33)),0)</f>
        <v/>
      </c>
      <c r="DZ33" s="402">
        <f>IF(AND(126&gt;=$NR$33,126&lt;=$NS$33),IF($NP$33="Single_Point",IF(126=$NR$33,$NN$33,0),IF($NP$33="Bell_Curve",$NN$33*(126-$NR$33+1)*($NS$33-126+1)/$NU$33,$NN$33/$NT$33)),0)</f>
        <v/>
      </c>
      <c r="EA33" s="402">
        <f>IF(AND(127&gt;=$NR$33,127&lt;=$NS$33),IF($NP$33="Single_Point",IF(127=$NR$33,$NN$33,0),IF($NP$33="Bell_Curve",$NN$33*(127-$NR$33+1)*($NS$33-127+1)/$NU$33,$NN$33/$NT$33)),0)</f>
        <v/>
      </c>
      <c r="EB33" s="402">
        <f>IF(AND(128&gt;=$NR$33,128&lt;=$NS$33),IF($NP$33="Single_Point",IF(128=$NR$33,$NN$33,0),IF($NP$33="Bell_Curve",$NN$33*(128-$NR$33+1)*($NS$33-128+1)/$NU$33,$NN$33/$NT$33)),0)</f>
        <v/>
      </c>
      <c r="EC33" s="402">
        <f>IF(AND(129&gt;=$NR$33,129&lt;=$NS$33),IF($NP$33="Single_Point",IF(129=$NR$33,$NN$33,0),IF($NP$33="Bell_Curve",$NN$33*(129-$NR$33+1)*($NS$33-129+1)/$NU$33,$NN$33/$NT$33)),0)</f>
        <v/>
      </c>
      <c r="ED33" s="402">
        <f>IF(AND(130&gt;=$NR$33,130&lt;=$NS$33),IF($NP$33="Single_Point",IF(130=$NR$33,$NN$33,0),IF($NP$33="Bell_Curve",$NN$33*(130-$NR$33+1)*($NS$33-130+1)/$NU$33,$NN$33/$NT$33)),0)</f>
        <v/>
      </c>
      <c r="EE33" s="402">
        <f>IF(AND(131&gt;=$NR$33,131&lt;=$NS$33),IF($NP$33="Single_Point",IF(131=$NR$33,$NN$33,0),IF($NP$33="Bell_Curve",$NN$33*(131-$NR$33+1)*($NS$33-131+1)/$NU$33,$NN$33/$NT$33)),0)</f>
        <v/>
      </c>
      <c r="EF33" s="402">
        <f>IF(AND(132&gt;=$NR$33,132&lt;=$NS$33),IF($NP$33="Single_Point",IF(132=$NR$33,$NN$33,0),IF($NP$33="Bell_Curve",$NN$33*(132-$NR$33+1)*($NS$33-132+1)/$NU$33,$NN$33/$NT$33)),0)</f>
        <v/>
      </c>
      <c r="EG33" s="402">
        <f>IF(AND(133&gt;=$NR$33,133&lt;=$NS$33),IF($NP$33="Single_Point",IF(133=$NR$33,$NN$33,0),IF($NP$33="Bell_Curve",$NN$33*(133-$NR$33+1)*($NS$33-133+1)/$NU$33,$NN$33/$NT$33)),0)</f>
        <v/>
      </c>
      <c r="EH33" s="402">
        <f>IF(AND(134&gt;=$NR$33,134&lt;=$NS$33),IF($NP$33="Single_Point",IF(134=$NR$33,$NN$33,0),IF($NP$33="Bell_Curve",$NN$33*(134-$NR$33+1)*($NS$33-134+1)/$NU$33,$NN$33/$NT$33)),0)</f>
        <v/>
      </c>
      <c r="EI33" s="402">
        <f>IF(AND(135&gt;=$NR$33,135&lt;=$NS$33),IF($NP$33="Single_Point",IF(135=$NR$33,$NN$33,0),IF($NP$33="Bell_Curve",$NN$33*(135-$NR$33+1)*($NS$33-135+1)/$NU$33,$NN$33/$NT$33)),0)</f>
        <v/>
      </c>
      <c r="EJ33" s="402">
        <f>IF(AND(136&gt;=$NR$33,136&lt;=$NS$33),IF($NP$33="Single_Point",IF(136=$NR$33,$NN$33,0),IF($NP$33="Bell_Curve",$NN$33*(136-$NR$33+1)*($NS$33-136+1)/$NU$33,$NN$33/$NT$33)),0)</f>
        <v/>
      </c>
      <c r="EK33" s="402">
        <f>IF(AND(137&gt;=$NR$33,137&lt;=$NS$33),IF($NP$33="Single_Point",IF(137=$NR$33,$NN$33,0),IF($NP$33="Bell_Curve",$NN$33*(137-$NR$33+1)*($NS$33-137+1)/$NU$33,$NN$33/$NT$33)),0)</f>
        <v/>
      </c>
      <c r="EL33" s="402">
        <f>IF(AND(138&gt;=$NR$33,138&lt;=$NS$33),IF($NP$33="Single_Point",IF(138=$NR$33,$NN$33,0),IF($NP$33="Bell_Curve",$NN$33*(138-$NR$33+1)*($NS$33-138+1)/$NU$33,$NN$33/$NT$33)),0)</f>
        <v/>
      </c>
      <c r="EM33" s="402">
        <f>IF(AND(139&gt;=$NR$33,139&lt;=$NS$33),IF($NP$33="Single_Point",IF(139=$NR$33,$NN$33,0),IF($NP$33="Bell_Curve",$NN$33*(139-$NR$33+1)*($NS$33-139+1)/$NU$33,$NN$33/$NT$33)),0)</f>
        <v/>
      </c>
      <c r="EN33" s="402">
        <f>IF(AND(140&gt;=$NR$33,140&lt;=$NS$33),IF($NP$33="Single_Point",IF(140=$NR$33,$NN$33,0),IF($NP$33="Bell_Curve",$NN$33*(140-$NR$33+1)*($NS$33-140+1)/$NU$33,$NN$33/$NT$33)),0)</f>
        <v/>
      </c>
      <c r="EO33" s="402">
        <f>IF(AND(141&gt;=$NR$33,141&lt;=$NS$33),IF($NP$33="Single_Point",IF(141=$NR$33,$NN$33,0),IF($NP$33="Bell_Curve",$NN$33*(141-$NR$33+1)*($NS$33-141+1)/$NU$33,$NN$33/$NT$33)),0)</f>
        <v/>
      </c>
      <c r="EP33" s="402">
        <f>IF(AND(142&gt;=$NR$33,142&lt;=$NS$33),IF($NP$33="Single_Point",IF(142=$NR$33,$NN$33,0),IF($NP$33="Bell_Curve",$NN$33*(142-$NR$33+1)*($NS$33-142+1)/$NU$33,$NN$33/$NT$33)),0)</f>
        <v/>
      </c>
      <c r="EQ33" s="402">
        <f>IF(AND(143&gt;=$NR$33,143&lt;=$NS$33),IF($NP$33="Single_Point",IF(143=$NR$33,$NN$33,0),IF($NP$33="Bell_Curve",$NN$33*(143-$NR$33+1)*($NS$33-143+1)/$NU$33,$NN$33/$NT$33)),0)</f>
        <v/>
      </c>
      <c r="ER33" s="402">
        <f>IF(AND(144&gt;=$NR$33,144&lt;=$NS$33),IF($NP$33="Single_Point",IF(144=$NR$33,$NN$33,0),IF($NP$33="Bell_Curve",$NN$33*(144-$NR$33+1)*($NS$33-144+1)/$NU$33,$NN$33/$NT$33)),0)</f>
        <v/>
      </c>
      <c r="ES33" s="402">
        <f>IF(AND(145&gt;=$NR$33,145&lt;=$NS$33),IF($NP$33="Single_Point",IF(145=$NR$33,$NN$33,0),IF($NP$33="Bell_Curve",$NN$33*(145-$NR$33+1)*($NS$33-145+1)/$NU$33,$NN$33/$NT$33)),0)</f>
        <v/>
      </c>
      <c r="ET33" s="402">
        <f>IF(AND(146&gt;=$NR$33,146&lt;=$NS$33),IF($NP$33="Single_Point",IF(146=$NR$33,$NN$33,0),IF($NP$33="Bell_Curve",$NN$33*(146-$NR$33+1)*($NS$33-146+1)/$NU$33,$NN$33/$NT$33)),0)</f>
        <v/>
      </c>
      <c r="EU33" s="402">
        <f>IF(AND(147&gt;=$NR$33,147&lt;=$NS$33),IF($NP$33="Single_Point",IF(147=$NR$33,$NN$33,0),IF($NP$33="Bell_Curve",$NN$33*(147-$NR$33+1)*($NS$33-147+1)/$NU$33,$NN$33/$NT$33)),0)</f>
        <v/>
      </c>
      <c r="EV33" s="402">
        <f>IF(AND(148&gt;=$NR$33,148&lt;=$NS$33),IF($NP$33="Single_Point",IF(148=$NR$33,$NN$33,0),IF($NP$33="Bell_Curve",$NN$33*(148-$NR$33+1)*($NS$33-148+1)/$NU$33,$NN$33/$NT$33)),0)</f>
        <v/>
      </c>
      <c r="EW33" s="402">
        <f>IF(AND(149&gt;=$NR$33,149&lt;=$NS$33),IF($NP$33="Single_Point",IF(149=$NR$33,$NN$33,0),IF($NP$33="Bell_Curve",$NN$33*(149-$NR$33+1)*($NS$33-149+1)/$NU$33,$NN$33/$NT$33)),0)</f>
        <v/>
      </c>
      <c r="EX33" s="402">
        <f>IF(AND(150&gt;=$NR$33,150&lt;=$NS$33),IF($NP$33="Single_Point",IF(150=$NR$33,$NN$33,0),IF($NP$33="Bell_Curve",$NN$33*(150-$NR$33+1)*($NS$33-150+1)/$NU$33,$NN$33/$NT$33)),0)</f>
        <v/>
      </c>
      <c r="EY33" s="402">
        <f>IF(AND(151&gt;=$NR$33,151&lt;=$NS$33),IF($NP$33="Single_Point",IF(151=$NR$33,$NN$33,0),IF($NP$33="Bell_Curve",$NN$33*(151-$NR$33+1)*($NS$33-151+1)/$NU$33,$NN$33/$NT$33)),0)</f>
        <v/>
      </c>
      <c r="EZ33" s="402">
        <f>IF(AND(152&gt;=$NR$33,152&lt;=$NS$33),IF($NP$33="Single_Point",IF(152=$NR$33,$NN$33,0),IF($NP$33="Bell_Curve",$NN$33*(152-$NR$33+1)*($NS$33-152+1)/$NU$33,$NN$33/$NT$33)),0)</f>
        <v/>
      </c>
      <c r="FA33" s="402">
        <f>IF(AND(153&gt;=$NR$33,153&lt;=$NS$33),IF($NP$33="Single_Point",IF(153=$NR$33,$NN$33,0),IF($NP$33="Bell_Curve",$NN$33*(153-$NR$33+1)*($NS$33-153+1)/$NU$33,$NN$33/$NT$33)),0)</f>
        <v/>
      </c>
      <c r="FB33" s="402">
        <f>IF(AND(154&gt;=$NR$33,154&lt;=$NS$33),IF($NP$33="Single_Point",IF(154=$NR$33,$NN$33,0),IF($NP$33="Bell_Curve",$NN$33*(154-$NR$33+1)*($NS$33-154+1)/$NU$33,$NN$33/$NT$33)),0)</f>
        <v/>
      </c>
      <c r="FC33" s="402">
        <f>IF(AND(155&gt;=$NR$33,155&lt;=$NS$33),IF($NP$33="Single_Point",IF(155=$NR$33,$NN$33,0),IF($NP$33="Bell_Curve",$NN$33*(155-$NR$33+1)*($NS$33-155+1)/$NU$33,$NN$33/$NT$33)),0)</f>
        <v/>
      </c>
      <c r="FD33" s="402">
        <f>IF(AND(156&gt;=$NR$33,156&lt;=$NS$33),IF($NP$33="Single_Point",IF(156=$NR$33,$NN$33,0),IF($NP$33="Bell_Curve",$NN$33*(156-$NR$33+1)*($NS$33-156+1)/$NU$33,$NN$33/$NT$33)),0)</f>
        <v/>
      </c>
      <c r="FE33" s="402">
        <f>IF(AND(157&gt;=$NR$33,157&lt;=$NS$33),IF($NP$33="Single_Point",IF(157=$NR$33,$NN$33,0),IF($NP$33="Bell_Curve",$NN$33*(157-$NR$33+1)*($NS$33-157+1)/$NU$33,$NN$33/$NT$33)),0)</f>
        <v/>
      </c>
      <c r="FF33" s="402">
        <f>IF(AND(158&gt;=$NR$33,158&lt;=$NS$33),IF($NP$33="Single_Point",IF(158=$NR$33,$NN$33,0),IF($NP$33="Bell_Curve",$NN$33*(158-$NR$33+1)*($NS$33-158+1)/$NU$33,$NN$33/$NT$33)),0)</f>
        <v/>
      </c>
      <c r="FG33" s="402">
        <f>IF(AND(159&gt;=$NR$33,159&lt;=$NS$33),IF($NP$33="Single_Point",IF(159=$NR$33,$NN$33,0),IF($NP$33="Bell_Curve",$NN$33*(159-$NR$33+1)*($NS$33-159+1)/$NU$33,$NN$33/$NT$33)),0)</f>
        <v/>
      </c>
      <c r="FH33" s="402">
        <f>IF(AND(160&gt;=$NR$33,160&lt;=$NS$33),IF($NP$33="Single_Point",IF(160=$NR$33,$NN$33,0),IF($NP$33="Bell_Curve",$NN$33*(160-$NR$33+1)*($NS$33-160+1)/$NU$33,$NN$33/$NT$33)),0)</f>
        <v/>
      </c>
      <c r="FI33" s="402">
        <f>IF(AND(161&gt;=$NR$33,161&lt;=$NS$33),IF($NP$33="Single_Point",IF(161=$NR$33,$NN$33,0),IF($NP$33="Bell_Curve",$NN$33*(161-$NR$33+1)*($NS$33-161+1)/$NU$33,$NN$33/$NT$33)),0)</f>
        <v/>
      </c>
      <c r="FJ33" s="402">
        <f>IF(AND(162&gt;=$NR$33,162&lt;=$NS$33),IF($NP$33="Single_Point",IF(162=$NR$33,$NN$33,0),IF($NP$33="Bell_Curve",$NN$33*(162-$NR$33+1)*($NS$33-162+1)/$NU$33,$NN$33/$NT$33)),0)</f>
        <v/>
      </c>
      <c r="FK33" s="402">
        <f>IF(AND(163&gt;=$NR$33,163&lt;=$NS$33),IF($NP$33="Single_Point",IF(163=$NR$33,$NN$33,0),IF($NP$33="Bell_Curve",$NN$33*(163-$NR$33+1)*($NS$33-163+1)/$NU$33,$NN$33/$NT$33)),0)</f>
        <v/>
      </c>
      <c r="FL33" s="402">
        <f>IF(AND(164&gt;=$NR$33,164&lt;=$NS$33),IF($NP$33="Single_Point",IF(164=$NR$33,$NN$33,0),IF($NP$33="Bell_Curve",$NN$33*(164-$NR$33+1)*($NS$33-164+1)/$NU$33,$NN$33/$NT$33)),0)</f>
        <v/>
      </c>
      <c r="FM33" s="402">
        <f>IF(AND(165&gt;=$NR$33,165&lt;=$NS$33),IF($NP$33="Single_Point",IF(165=$NR$33,$NN$33,0),IF($NP$33="Bell_Curve",$NN$33*(165-$NR$33+1)*($NS$33-165+1)/$NU$33,$NN$33/$NT$33)),0)</f>
        <v/>
      </c>
      <c r="FN33" s="402">
        <f>IF(AND(166&gt;=$NR$33,166&lt;=$NS$33),IF($NP$33="Single_Point",IF(166=$NR$33,$NN$33,0),IF($NP$33="Bell_Curve",$NN$33*(166-$NR$33+1)*($NS$33-166+1)/$NU$33,$NN$33/$NT$33)),0)</f>
        <v/>
      </c>
      <c r="FO33" s="402">
        <f>IF(AND(167&gt;=$NR$33,167&lt;=$NS$33),IF($NP$33="Single_Point",IF(167=$NR$33,$NN$33,0),IF($NP$33="Bell_Curve",$NN$33*(167-$NR$33+1)*($NS$33-167+1)/$NU$33,$NN$33/$NT$33)),0)</f>
        <v/>
      </c>
      <c r="FP33" s="402">
        <f>IF(AND(168&gt;=$NR$33,168&lt;=$NS$33),IF($NP$33="Single_Point",IF(168=$NR$33,$NN$33,0),IF($NP$33="Bell_Curve",$NN$33*(168-$NR$33+1)*($NS$33-168+1)/$NU$33,$NN$33/$NT$33)),0)</f>
        <v/>
      </c>
      <c r="FQ33" s="402">
        <f>IF(AND(169&gt;=$NR$33,169&lt;=$NS$33),IF($NP$33="Single_Point",IF(169=$NR$33,$NN$33,0),IF($NP$33="Bell_Curve",$NN$33*(169-$NR$33+1)*($NS$33-169+1)/$NU$33,$NN$33/$NT$33)),0)</f>
        <v/>
      </c>
      <c r="FR33" s="402">
        <f>IF(AND(170&gt;=$NR$33,170&lt;=$NS$33),IF($NP$33="Single_Point",IF(170=$NR$33,$NN$33,0),IF($NP$33="Bell_Curve",$NN$33*(170-$NR$33+1)*($NS$33-170+1)/$NU$33,$NN$33/$NT$33)),0)</f>
        <v/>
      </c>
      <c r="FS33" s="402">
        <f>IF(AND(171&gt;=$NR$33,171&lt;=$NS$33),IF($NP$33="Single_Point",IF(171=$NR$33,$NN$33,0),IF($NP$33="Bell_Curve",$NN$33*(171-$NR$33+1)*($NS$33-171+1)/$NU$33,$NN$33/$NT$33)),0)</f>
        <v/>
      </c>
      <c r="FT33" s="402">
        <f>IF(AND(172&gt;=$NR$33,172&lt;=$NS$33),IF($NP$33="Single_Point",IF(172=$NR$33,$NN$33,0),IF($NP$33="Bell_Curve",$NN$33*(172-$NR$33+1)*($NS$33-172+1)/$NU$33,$NN$33/$NT$33)),0)</f>
        <v/>
      </c>
      <c r="FU33" s="402">
        <f>IF(AND(173&gt;=$NR$33,173&lt;=$NS$33),IF($NP$33="Single_Point",IF(173=$NR$33,$NN$33,0),IF($NP$33="Bell_Curve",$NN$33*(173-$NR$33+1)*($NS$33-173+1)/$NU$33,$NN$33/$NT$33)),0)</f>
        <v/>
      </c>
      <c r="FV33" s="402">
        <f>IF(AND(174&gt;=$NR$33,174&lt;=$NS$33),IF($NP$33="Single_Point",IF(174=$NR$33,$NN$33,0),IF($NP$33="Bell_Curve",$NN$33*(174-$NR$33+1)*($NS$33-174+1)/$NU$33,$NN$33/$NT$33)),0)</f>
        <v/>
      </c>
      <c r="FW33" s="402">
        <f>IF(AND(175&gt;=$NR$33,175&lt;=$NS$33),IF($NP$33="Single_Point",IF(175=$NR$33,$NN$33,0),IF($NP$33="Bell_Curve",$NN$33*(175-$NR$33+1)*($NS$33-175+1)/$NU$33,$NN$33/$NT$33)),0)</f>
        <v/>
      </c>
      <c r="FX33" s="402">
        <f>IF(AND(176&gt;=$NR$33,176&lt;=$NS$33),IF($NP$33="Single_Point",IF(176=$NR$33,$NN$33,0),IF($NP$33="Bell_Curve",$NN$33*(176-$NR$33+1)*($NS$33-176+1)/$NU$33,$NN$33/$NT$33)),0)</f>
        <v/>
      </c>
      <c r="FY33" s="402">
        <f>IF(AND(177&gt;=$NR$33,177&lt;=$NS$33),IF($NP$33="Single_Point",IF(177=$NR$33,$NN$33,0),IF($NP$33="Bell_Curve",$NN$33*(177-$NR$33+1)*($NS$33-177+1)/$NU$33,$NN$33/$NT$33)),0)</f>
        <v/>
      </c>
      <c r="FZ33" s="402">
        <f>IF(AND(178&gt;=$NR$33,178&lt;=$NS$33),IF($NP$33="Single_Point",IF(178=$NR$33,$NN$33,0),IF($NP$33="Bell_Curve",$NN$33*(178-$NR$33+1)*($NS$33-178+1)/$NU$33,$NN$33/$NT$33)),0)</f>
        <v/>
      </c>
      <c r="GA33" s="402">
        <f>IF(AND(179&gt;=$NR$33,179&lt;=$NS$33),IF($NP$33="Single_Point",IF(179=$NR$33,$NN$33,0),IF($NP$33="Bell_Curve",$NN$33*(179-$NR$33+1)*($NS$33-179+1)/$NU$33,$NN$33/$NT$33)),0)</f>
        <v/>
      </c>
      <c r="GB33" s="402">
        <f>IF(AND(180&gt;=$NR$33,180&lt;=$NS$33),IF($NP$33="Single_Point",IF(180=$NR$33,$NN$33,0),IF($NP$33="Bell_Curve",$NN$33*(180-$NR$33+1)*($NS$33-180+1)/$NU$33,$NN$33/$NT$33)),0)</f>
        <v/>
      </c>
      <c r="GC33" s="402">
        <f>IF(AND(181&gt;=$NR$33,181&lt;=$NS$33),IF($NP$33="Single_Point",IF(181=$NR$33,$NN$33,0),IF($NP$33="Bell_Curve",$NN$33*(181-$NR$33+1)*($NS$33-181+1)/$NU$33,$NN$33/$NT$33)),0)</f>
        <v/>
      </c>
      <c r="GD33" s="402">
        <f>IF(AND(182&gt;=$NR$33,182&lt;=$NS$33),IF($NP$33="Single_Point",IF(182=$NR$33,$NN$33,0),IF($NP$33="Bell_Curve",$NN$33*(182-$NR$33+1)*($NS$33-182+1)/$NU$33,$NN$33/$NT$33)),0)</f>
        <v/>
      </c>
      <c r="GE33" s="402">
        <f>IF(AND(183&gt;=$NR$33,183&lt;=$NS$33),IF($NP$33="Single_Point",IF(183=$NR$33,$NN$33,0),IF($NP$33="Bell_Curve",$NN$33*(183-$NR$33+1)*($NS$33-183+1)/$NU$33,$NN$33/$NT$33)),0)</f>
        <v/>
      </c>
      <c r="GF33" s="402">
        <f>IF(AND(184&gt;=$NR$33,184&lt;=$NS$33),IF($NP$33="Single_Point",IF(184=$NR$33,$NN$33,0),IF($NP$33="Bell_Curve",$NN$33*(184-$NR$33+1)*($NS$33-184+1)/$NU$33,$NN$33/$NT$33)),0)</f>
        <v/>
      </c>
      <c r="GG33" s="402">
        <f>IF(AND(185&gt;=$NR$33,185&lt;=$NS$33),IF($NP$33="Single_Point",IF(185=$NR$33,$NN$33,0),IF($NP$33="Bell_Curve",$NN$33*(185-$NR$33+1)*($NS$33-185+1)/$NU$33,$NN$33/$NT$33)),0)</f>
        <v/>
      </c>
      <c r="GH33" s="402">
        <f>IF(AND(186&gt;=$NR$33,186&lt;=$NS$33),IF($NP$33="Single_Point",IF(186=$NR$33,$NN$33,0),IF($NP$33="Bell_Curve",$NN$33*(186-$NR$33+1)*($NS$33-186+1)/$NU$33,$NN$33/$NT$33)),0)</f>
        <v/>
      </c>
      <c r="GI33" s="402">
        <f>IF(AND(187&gt;=$NR$33,187&lt;=$NS$33),IF($NP$33="Single_Point",IF(187=$NR$33,$NN$33,0),IF($NP$33="Bell_Curve",$NN$33*(187-$NR$33+1)*($NS$33-187+1)/$NU$33,$NN$33/$NT$33)),0)</f>
        <v/>
      </c>
      <c r="GJ33" s="402">
        <f>IF(AND(188&gt;=$NR$33,188&lt;=$NS$33),IF($NP$33="Single_Point",IF(188=$NR$33,$NN$33,0),IF($NP$33="Bell_Curve",$NN$33*(188-$NR$33+1)*($NS$33-188+1)/$NU$33,$NN$33/$NT$33)),0)</f>
        <v/>
      </c>
      <c r="GK33" s="402">
        <f>IF(AND(189&gt;=$NR$33,189&lt;=$NS$33),IF($NP$33="Single_Point",IF(189=$NR$33,$NN$33,0),IF($NP$33="Bell_Curve",$NN$33*(189-$NR$33+1)*($NS$33-189+1)/$NU$33,$NN$33/$NT$33)),0)</f>
        <v/>
      </c>
      <c r="GL33" s="402">
        <f>IF(AND(190&gt;=$NR$33,190&lt;=$NS$33),IF($NP$33="Single_Point",IF(190=$NR$33,$NN$33,0),IF($NP$33="Bell_Curve",$NN$33*(190-$NR$33+1)*($NS$33-190+1)/$NU$33,$NN$33/$NT$33)),0)</f>
        <v/>
      </c>
      <c r="GM33" s="402">
        <f>IF(AND(191&gt;=$NR$33,191&lt;=$NS$33),IF($NP$33="Single_Point",IF(191=$NR$33,$NN$33,0),IF($NP$33="Bell_Curve",$NN$33*(191-$NR$33+1)*($NS$33-191+1)/$NU$33,$NN$33/$NT$33)),0)</f>
        <v/>
      </c>
      <c r="GN33" s="402">
        <f>IF(AND(192&gt;=$NR$33,192&lt;=$NS$33),IF($NP$33="Single_Point",IF(192=$NR$33,$NN$33,0),IF($NP$33="Bell_Curve",$NN$33*(192-$NR$33+1)*($NS$33-192+1)/$NU$33,$NN$33/$NT$33)),0)</f>
        <v/>
      </c>
      <c r="GO33" s="402">
        <f>IF(AND(193&gt;=$NR$33,193&lt;=$NS$33),IF($NP$33="Single_Point",IF(193=$NR$33,$NN$33,0),IF($NP$33="Bell_Curve",$NN$33*(193-$NR$33+1)*($NS$33-193+1)/$NU$33,$NN$33/$NT$33)),0)</f>
        <v/>
      </c>
      <c r="GP33" s="402">
        <f>IF(AND(194&gt;=$NR$33,194&lt;=$NS$33),IF($NP$33="Single_Point",IF(194=$NR$33,$NN$33,0),IF($NP$33="Bell_Curve",$NN$33*(194-$NR$33+1)*($NS$33-194+1)/$NU$33,$NN$33/$NT$33)),0)</f>
        <v/>
      </c>
      <c r="GQ33" s="402">
        <f>IF(AND(195&gt;=$NR$33,195&lt;=$NS$33),IF($NP$33="Single_Point",IF(195=$NR$33,$NN$33,0),IF($NP$33="Bell_Curve",$NN$33*(195-$NR$33+1)*($NS$33-195+1)/$NU$33,$NN$33/$NT$33)),0)</f>
        <v/>
      </c>
      <c r="GR33" s="402">
        <f>IF(AND(196&gt;=$NR$33,196&lt;=$NS$33),IF($NP$33="Single_Point",IF(196=$NR$33,$NN$33,0),IF($NP$33="Bell_Curve",$NN$33*(196-$NR$33+1)*($NS$33-196+1)/$NU$33,$NN$33/$NT$33)),0)</f>
        <v/>
      </c>
      <c r="GS33" s="402">
        <f>IF(AND(197&gt;=$NR$33,197&lt;=$NS$33),IF($NP$33="Single_Point",IF(197=$NR$33,$NN$33,0),IF($NP$33="Bell_Curve",$NN$33*(197-$NR$33+1)*($NS$33-197+1)/$NU$33,$NN$33/$NT$33)),0)</f>
        <v/>
      </c>
      <c r="GT33" s="402">
        <f>IF(AND(198&gt;=$NR$33,198&lt;=$NS$33),IF($NP$33="Single_Point",IF(198=$NR$33,$NN$33,0),IF($NP$33="Bell_Curve",$NN$33*(198-$NR$33+1)*($NS$33-198+1)/$NU$33,$NN$33/$NT$33)),0)</f>
        <v/>
      </c>
      <c r="GU33" s="402">
        <f>IF(AND(199&gt;=$NR$33,199&lt;=$NS$33),IF($NP$33="Single_Point",IF(199=$NR$33,$NN$33,0),IF($NP$33="Bell_Curve",$NN$33*(199-$NR$33+1)*($NS$33-199+1)/$NU$33,$NN$33/$NT$33)),0)</f>
        <v/>
      </c>
      <c r="GV33" s="402">
        <f>IF(AND(200&gt;=$NR$33,200&lt;=$NS$33),IF($NP$33="Single_Point",IF(200=$NR$33,$NN$33,0),IF($NP$33="Bell_Curve",$NN$33*(200-$NR$33+1)*($NS$33-200+1)/$NU$33,$NN$33/$NT$33)),0)</f>
        <v/>
      </c>
      <c r="GW33" s="402">
        <f>IF(AND(201&gt;=$NR$33,201&lt;=$NS$33),IF($NP$33="Single_Point",IF(201=$NR$33,$NN$33,0),IF($NP$33="Bell_Curve",$NN$33*(201-$NR$33+1)*($NS$33-201+1)/$NU$33,$NN$33/$NT$33)),0)</f>
        <v/>
      </c>
      <c r="GX33" s="402">
        <f>IF(AND(202&gt;=$NR$33,202&lt;=$NS$33),IF($NP$33="Single_Point",IF(202=$NR$33,$NN$33,0),IF($NP$33="Bell_Curve",$NN$33*(202-$NR$33+1)*($NS$33-202+1)/$NU$33,$NN$33/$NT$33)),0)</f>
        <v/>
      </c>
      <c r="GY33" s="402">
        <f>IF(AND(203&gt;=$NR$33,203&lt;=$NS$33),IF($NP$33="Single_Point",IF(203=$NR$33,$NN$33,0),IF($NP$33="Bell_Curve",$NN$33*(203-$NR$33+1)*($NS$33-203+1)/$NU$33,$NN$33/$NT$33)),0)</f>
        <v/>
      </c>
      <c r="GZ33" s="402">
        <f>IF(AND(204&gt;=$NR$33,204&lt;=$NS$33),IF($NP$33="Single_Point",IF(204=$NR$33,$NN$33,0),IF($NP$33="Bell_Curve",$NN$33*(204-$NR$33+1)*($NS$33-204+1)/$NU$33,$NN$33/$NT$33)),0)</f>
        <v/>
      </c>
      <c r="HA33" s="402">
        <f>IF(AND(205&gt;=$NR$33,205&lt;=$NS$33),IF($NP$33="Single_Point",IF(205=$NR$33,$NN$33,0),IF($NP$33="Bell_Curve",$NN$33*(205-$NR$33+1)*($NS$33-205+1)/$NU$33,$NN$33/$NT$33)),0)</f>
        <v/>
      </c>
      <c r="HB33" s="402">
        <f>IF(AND(206&gt;=$NR$33,206&lt;=$NS$33),IF($NP$33="Single_Point",IF(206=$NR$33,$NN$33,0),IF($NP$33="Bell_Curve",$NN$33*(206-$NR$33+1)*($NS$33-206+1)/$NU$33,$NN$33/$NT$33)),0)</f>
        <v/>
      </c>
      <c r="HC33" s="402">
        <f>IF(AND(207&gt;=$NR$33,207&lt;=$NS$33),IF($NP$33="Single_Point",IF(207=$NR$33,$NN$33,0),IF($NP$33="Bell_Curve",$NN$33*(207-$NR$33+1)*($NS$33-207+1)/$NU$33,$NN$33/$NT$33)),0)</f>
        <v/>
      </c>
      <c r="HD33" s="402">
        <f>IF(AND(208&gt;=$NR$33,208&lt;=$NS$33),IF($NP$33="Single_Point",IF(208=$NR$33,$NN$33,0),IF($NP$33="Bell_Curve",$NN$33*(208-$NR$33+1)*($NS$33-208+1)/$NU$33,$NN$33/$NT$33)),0)</f>
        <v/>
      </c>
      <c r="HE33" s="402">
        <f>IF(AND(209&gt;=$NR$33,209&lt;=$NS$33),IF($NP$33="Single_Point",IF(209=$NR$33,$NN$33,0),IF($NP$33="Bell_Curve",$NN$33*(209-$NR$33+1)*($NS$33-209+1)/$NU$33,$NN$33/$NT$33)),0)</f>
        <v/>
      </c>
      <c r="HF33" s="402">
        <f>IF(AND(210&gt;=$NR$33,210&lt;=$NS$33),IF($NP$33="Single_Point",IF(210=$NR$33,$NN$33,0),IF($NP$33="Bell_Curve",$NN$33*(210-$NR$33+1)*($NS$33-210+1)/$NU$33,$NN$33/$NT$33)),0)</f>
        <v/>
      </c>
      <c r="HG33" s="402">
        <f>IF(AND(211&gt;=$NR$33,211&lt;=$NS$33),IF($NP$33="Single_Point",IF(211=$NR$33,$NN$33,0),IF($NP$33="Bell_Curve",$NN$33*(211-$NR$33+1)*($NS$33-211+1)/$NU$33,$NN$33/$NT$33)),0)</f>
        <v/>
      </c>
      <c r="HH33" s="402">
        <f>IF(AND(212&gt;=$NR$33,212&lt;=$NS$33),IF($NP$33="Single_Point",IF(212=$NR$33,$NN$33,0),IF($NP$33="Bell_Curve",$NN$33*(212-$NR$33+1)*($NS$33-212+1)/$NU$33,$NN$33/$NT$33)),0)</f>
        <v/>
      </c>
      <c r="HI33" s="402">
        <f>IF(AND(213&gt;=$NR$33,213&lt;=$NS$33),IF($NP$33="Single_Point",IF(213=$NR$33,$NN$33,0),IF($NP$33="Bell_Curve",$NN$33*(213-$NR$33+1)*($NS$33-213+1)/$NU$33,$NN$33/$NT$33)),0)</f>
        <v/>
      </c>
      <c r="HJ33" s="402">
        <f>IF(AND(214&gt;=$NR$33,214&lt;=$NS$33),IF($NP$33="Single_Point",IF(214=$NR$33,$NN$33,0),IF($NP$33="Bell_Curve",$NN$33*(214-$NR$33+1)*($NS$33-214+1)/$NU$33,$NN$33/$NT$33)),0)</f>
        <v/>
      </c>
      <c r="HK33" s="402">
        <f>IF(AND(215&gt;=$NR$33,215&lt;=$NS$33),IF($NP$33="Single_Point",IF(215=$NR$33,$NN$33,0),IF($NP$33="Bell_Curve",$NN$33*(215-$NR$33+1)*($NS$33-215+1)/$NU$33,$NN$33/$NT$33)),0)</f>
        <v/>
      </c>
      <c r="HL33" s="402">
        <f>IF(AND(216&gt;=$NR$33,216&lt;=$NS$33),IF($NP$33="Single_Point",IF(216=$NR$33,$NN$33,0),IF($NP$33="Bell_Curve",$NN$33*(216-$NR$33+1)*($NS$33-216+1)/$NU$33,$NN$33/$NT$33)),0)</f>
        <v/>
      </c>
      <c r="HM33" s="402">
        <f>IF(AND(217&gt;=$NR$33,217&lt;=$NS$33),IF($NP$33="Single_Point",IF(217=$NR$33,$NN$33,0),IF($NP$33="Bell_Curve",$NN$33*(217-$NR$33+1)*($NS$33-217+1)/$NU$33,$NN$33/$NT$33)),0)</f>
        <v/>
      </c>
      <c r="HN33" s="402">
        <f>IF(AND(218&gt;=$NR$33,218&lt;=$NS$33),IF($NP$33="Single_Point",IF(218=$NR$33,$NN$33,0),IF($NP$33="Bell_Curve",$NN$33*(218-$NR$33+1)*($NS$33-218+1)/$NU$33,$NN$33/$NT$33)),0)</f>
        <v/>
      </c>
      <c r="HO33" s="402">
        <f>IF(AND(219&gt;=$NR$33,219&lt;=$NS$33),IF($NP$33="Single_Point",IF(219=$NR$33,$NN$33,0),IF($NP$33="Bell_Curve",$NN$33*(219-$NR$33+1)*($NS$33-219+1)/$NU$33,$NN$33/$NT$33)),0)</f>
        <v/>
      </c>
      <c r="HP33" s="402">
        <f>IF(AND(220&gt;=$NR$33,220&lt;=$NS$33),IF($NP$33="Single_Point",IF(220=$NR$33,$NN$33,0),IF($NP$33="Bell_Curve",$NN$33*(220-$NR$33+1)*($NS$33-220+1)/$NU$33,$NN$33/$NT$33)),0)</f>
        <v/>
      </c>
      <c r="HQ33" s="402">
        <f>IF(AND(221&gt;=$NR$33,221&lt;=$NS$33),IF($NP$33="Single_Point",IF(221=$NR$33,$NN$33,0),IF($NP$33="Bell_Curve",$NN$33*(221-$NR$33+1)*($NS$33-221+1)/$NU$33,$NN$33/$NT$33)),0)</f>
        <v/>
      </c>
      <c r="HR33" s="402">
        <f>IF(AND(222&gt;=$NR$33,222&lt;=$NS$33),IF($NP$33="Single_Point",IF(222=$NR$33,$NN$33,0),IF($NP$33="Bell_Curve",$NN$33*(222-$NR$33+1)*($NS$33-222+1)/$NU$33,$NN$33/$NT$33)),0)</f>
        <v/>
      </c>
      <c r="HS33" s="402">
        <f>IF(AND(223&gt;=$NR$33,223&lt;=$NS$33),IF($NP$33="Single_Point",IF(223=$NR$33,$NN$33,0),IF($NP$33="Bell_Curve",$NN$33*(223-$NR$33+1)*($NS$33-223+1)/$NU$33,$NN$33/$NT$33)),0)</f>
        <v/>
      </c>
      <c r="HT33" s="402">
        <f>IF(AND(224&gt;=$NR$33,224&lt;=$NS$33),IF($NP$33="Single_Point",IF(224=$NR$33,$NN$33,0),IF($NP$33="Bell_Curve",$NN$33*(224-$NR$33+1)*($NS$33-224+1)/$NU$33,$NN$33/$NT$33)),0)</f>
        <v/>
      </c>
      <c r="HU33" s="402">
        <f>IF(AND(225&gt;=$NR$33,225&lt;=$NS$33),IF($NP$33="Single_Point",IF(225=$NR$33,$NN$33,0),IF($NP$33="Bell_Curve",$NN$33*(225-$NR$33+1)*($NS$33-225+1)/$NU$33,$NN$33/$NT$33)),0)</f>
        <v/>
      </c>
      <c r="HV33" s="402">
        <f>IF(AND(226&gt;=$NR$33,226&lt;=$NS$33),IF($NP$33="Single_Point",IF(226=$NR$33,$NN$33,0),IF($NP$33="Bell_Curve",$NN$33*(226-$NR$33+1)*($NS$33-226+1)/$NU$33,$NN$33/$NT$33)),0)</f>
        <v/>
      </c>
      <c r="HW33" s="402">
        <f>IF(AND(227&gt;=$NR$33,227&lt;=$NS$33),IF($NP$33="Single_Point",IF(227=$NR$33,$NN$33,0),IF($NP$33="Bell_Curve",$NN$33*(227-$NR$33+1)*($NS$33-227+1)/$NU$33,$NN$33/$NT$33)),0)</f>
        <v/>
      </c>
      <c r="HX33" s="402">
        <f>IF(AND(228&gt;=$NR$33,228&lt;=$NS$33),IF($NP$33="Single_Point",IF(228=$NR$33,$NN$33,0),IF($NP$33="Bell_Curve",$NN$33*(228-$NR$33+1)*($NS$33-228+1)/$NU$33,$NN$33/$NT$33)),0)</f>
        <v/>
      </c>
      <c r="HY33" s="402">
        <f>IF(AND(229&gt;=$NR$33,229&lt;=$NS$33),IF($NP$33="Single_Point",IF(229=$NR$33,$NN$33,0),IF($NP$33="Bell_Curve",$NN$33*(229-$NR$33+1)*($NS$33-229+1)/$NU$33,$NN$33/$NT$33)),0)</f>
        <v/>
      </c>
      <c r="HZ33" s="402">
        <f>IF(AND(230&gt;=$NR$33,230&lt;=$NS$33),IF($NP$33="Single_Point",IF(230=$NR$33,$NN$33,0),IF($NP$33="Bell_Curve",$NN$33*(230-$NR$33+1)*($NS$33-230+1)/$NU$33,$NN$33/$NT$33)),0)</f>
        <v/>
      </c>
      <c r="IA33" s="402">
        <f>IF(AND(231&gt;=$NR$33,231&lt;=$NS$33),IF($NP$33="Single_Point",IF(231=$NR$33,$NN$33,0),IF($NP$33="Bell_Curve",$NN$33*(231-$NR$33+1)*($NS$33-231+1)/$NU$33,$NN$33/$NT$33)),0)</f>
        <v/>
      </c>
      <c r="IB33" s="402">
        <f>IF(AND(232&gt;=$NR$33,232&lt;=$NS$33),IF($NP$33="Single_Point",IF(232=$NR$33,$NN$33,0),IF($NP$33="Bell_Curve",$NN$33*(232-$NR$33+1)*($NS$33-232+1)/$NU$33,$NN$33/$NT$33)),0)</f>
        <v/>
      </c>
      <c r="IC33" s="402">
        <f>IF(AND(233&gt;=$NR$33,233&lt;=$NS$33),IF($NP$33="Single_Point",IF(233=$NR$33,$NN$33,0),IF($NP$33="Bell_Curve",$NN$33*(233-$NR$33+1)*($NS$33-233+1)/$NU$33,$NN$33/$NT$33)),0)</f>
        <v/>
      </c>
      <c r="ID33" s="402">
        <f>IF(AND(234&gt;=$NR$33,234&lt;=$NS$33),IF($NP$33="Single_Point",IF(234=$NR$33,$NN$33,0),IF($NP$33="Bell_Curve",$NN$33*(234-$NR$33+1)*($NS$33-234+1)/$NU$33,$NN$33/$NT$33)),0)</f>
        <v/>
      </c>
      <c r="IE33" s="402">
        <f>IF(AND(235&gt;=$NR$33,235&lt;=$NS$33),IF($NP$33="Single_Point",IF(235=$NR$33,$NN$33,0),IF($NP$33="Bell_Curve",$NN$33*(235-$NR$33+1)*($NS$33-235+1)/$NU$33,$NN$33/$NT$33)),0)</f>
        <v/>
      </c>
      <c r="IF33" s="402">
        <f>IF(AND(236&gt;=$NR$33,236&lt;=$NS$33),IF($NP$33="Single_Point",IF(236=$NR$33,$NN$33,0),IF($NP$33="Bell_Curve",$NN$33*(236-$NR$33+1)*($NS$33-236+1)/$NU$33,$NN$33/$NT$33)),0)</f>
        <v/>
      </c>
      <c r="IG33" s="402">
        <f>IF(AND(237&gt;=$NR$33,237&lt;=$NS$33),IF($NP$33="Single_Point",IF(237=$NR$33,$NN$33,0),IF($NP$33="Bell_Curve",$NN$33*(237-$NR$33+1)*($NS$33-237+1)/$NU$33,$NN$33/$NT$33)),0)</f>
        <v/>
      </c>
      <c r="IH33" s="402">
        <f>IF(AND(238&gt;=$NR$33,238&lt;=$NS$33),IF($NP$33="Single_Point",IF(238=$NR$33,$NN$33,0),IF($NP$33="Bell_Curve",$NN$33*(238-$NR$33+1)*($NS$33-238+1)/$NU$33,$NN$33/$NT$33)),0)</f>
        <v/>
      </c>
      <c r="II33" s="402">
        <f>IF(AND(239&gt;=$NR$33,239&lt;=$NS$33),IF($NP$33="Single_Point",IF(239=$NR$33,$NN$33,0),IF($NP$33="Bell_Curve",$NN$33*(239-$NR$33+1)*($NS$33-239+1)/$NU$33,$NN$33/$NT$33)),0)</f>
        <v/>
      </c>
      <c r="IJ33" s="402">
        <f>IF(AND(240&gt;=$NR$33,240&lt;=$NS$33),IF($NP$33="Single_Point",IF(240=$NR$33,$NN$33,0),IF($NP$33="Bell_Curve",$NN$33*(240-$NR$33+1)*($NS$33-240+1)/$NU$33,$NN$33/$NT$33)),0)</f>
        <v/>
      </c>
      <c r="IK33" s="402">
        <f>IF(AND(241&gt;=$NR$33,241&lt;=$NS$33),IF($NP$33="Single_Point",IF(241=$NR$33,$NN$33,0),IF($NP$33="Bell_Curve",$NN$33*(241-$NR$33+1)*($NS$33-241+1)/$NU$33,$NN$33/$NT$33)),0)</f>
        <v/>
      </c>
      <c r="IL33" s="402">
        <f>IF(AND(242&gt;=$NR$33,242&lt;=$NS$33),IF($NP$33="Single_Point",IF(242=$NR$33,$NN$33,0),IF($NP$33="Bell_Curve",$NN$33*(242-$NR$33+1)*($NS$33-242+1)/$NU$33,$NN$33/$NT$33)),0)</f>
        <v/>
      </c>
      <c r="IM33" s="402">
        <f>IF(AND(243&gt;=$NR$33,243&lt;=$NS$33),IF($NP$33="Single_Point",IF(243=$NR$33,$NN$33,0),IF($NP$33="Bell_Curve",$NN$33*(243-$NR$33+1)*($NS$33-243+1)/$NU$33,$NN$33/$NT$33)),0)</f>
        <v/>
      </c>
      <c r="IN33" s="402">
        <f>IF(AND(244&gt;=$NR$33,244&lt;=$NS$33),IF($NP$33="Single_Point",IF(244=$NR$33,$NN$33,0),IF($NP$33="Bell_Curve",$NN$33*(244-$NR$33+1)*($NS$33-244+1)/$NU$33,$NN$33/$NT$33)),0)</f>
        <v/>
      </c>
      <c r="IO33" s="402">
        <f>IF(AND(245&gt;=$NR$33,245&lt;=$NS$33),IF($NP$33="Single_Point",IF(245=$NR$33,$NN$33,0),IF($NP$33="Bell_Curve",$NN$33*(245-$NR$33+1)*($NS$33-245+1)/$NU$33,$NN$33/$NT$33)),0)</f>
        <v/>
      </c>
      <c r="IP33" s="402">
        <f>IF(AND(246&gt;=$NR$33,246&lt;=$NS$33),IF($NP$33="Single_Point",IF(246=$NR$33,$NN$33,0),IF($NP$33="Bell_Curve",$NN$33*(246-$NR$33+1)*($NS$33-246+1)/$NU$33,$NN$33/$NT$33)),0)</f>
        <v/>
      </c>
      <c r="IQ33" s="402">
        <f>IF(AND(247&gt;=$NR$33,247&lt;=$NS$33),IF($NP$33="Single_Point",IF(247=$NR$33,$NN$33,0),IF($NP$33="Bell_Curve",$NN$33*(247-$NR$33+1)*($NS$33-247+1)/$NU$33,$NN$33/$NT$33)),0)</f>
        <v/>
      </c>
      <c r="IR33" s="402">
        <f>IF(AND(248&gt;=$NR$33,248&lt;=$NS$33),IF($NP$33="Single_Point",IF(248=$NR$33,$NN$33,0),IF($NP$33="Bell_Curve",$NN$33*(248-$NR$33+1)*($NS$33-248+1)/$NU$33,$NN$33/$NT$33)),0)</f>
        <v/>
      </c>
      <c r="IS33" s="402">
        <f>IF(AND(249&gt;=$NR$33,249&lt;=$NS$33),IF($NP$33="Single_Point",IF(249=$NR$33,$NN$33,0),IF($NP$33="Bell_Curve",$NN$33*(249-$NR$33+1)*($NS$33-249+1)/$NU$33,$NN$33/$NT$33)),0)</f>
        <v/>
      </c>
      <c r="IT33" s="402">
        <f>IF(AND(250&gt;=$NR$33,250&lt;=$NS$33),IF($NP$33="Single_Point",IF(250=$NR$33,$NN$33,0),IF($NP$33="Bell_Curve",$NN$33*(250-$NR$33+1)*($NS$33-250+1)/$NU$33,$NN$33/$NT$33)),0)</f>
        <v/>
      </c>
      <c r="IU33" s="402">
        <f>IF(AND(251&gt;=$NR$33,251&lt;=$NS$33),IF($NP$33="Single_Point",IF(251=$NR$33,$NN$33,0),IF($NP$33="Bell_Curve",$NN$33*(251-$NR$33+1)*($NS$33-251+1)/$NU$33,$NN$33/$NT$33)),0)</f>
        <v/>
      </c>
      <c r="IV33" s="402">
        <f>IF(AND(252&gt;=$NR$33,252&lt;=$NS$33),IF($NP$33="Single_Point",IF(252=$NR$33,$NN$33,0),IF($NP$33="Bell_Curve",$NN$33*(252-$NR$33+1)*($NS$33-252+1)/$NU$33,$NN$33/$NT$33)),0)</f>
        <v/>
      </c>
      <c r="IW33" s="402">
        <f>IF(AND(253&gt;=$NR$33,253&lt;=$NS$33),IF($NP$33="Single_Point",IF(253=$NR$33,$NN$33,0),IF($NP$33="Bell_Curve",$NN$33*(253-$NR$33+1)*($NS$33-253+1)/$NU$33,$NN$33/$NT$33)),0)</f>
        <v/>
      </c>
      <c r="IX33" s="402">
        <f>IF(AND(254&gt;=$NR$33,254&lt;=$NS$33),IF($NP$33="Single_Point",IF(254=$NR$33,$NN$33,0),IF($NP$33="Bell_Curve",$NN$33*(254-$NR$33+1)*($NS$33-254+1)/$NU$33,$NN$33/$NT$33)),0)</f>
        <v/>
      </c>
      <c r="IY33" s="402">
        <f>IF(AND(255&gt;=$NR$33,255&lt;=$NS$33),IF($NP$33="Single_Point",IF(255=$NR$33,$NN$33,0),IF($NP$33="Bell_Curve",$NN$33*(255-$NR$33+1)*($NS$33-255+1)/$NU$33,$NN$33/$NT$33)),0)</f>
        <v/>
      </c>
      <c r="IZ33" s="402">
        <f>IF(AND(256&gt;=$NR$33,256&lt;=$NS$33),IF($NP$33="Single_Point",IF(256=$NR$33,$NN$33,0),IF($NP$33="Bell_Curve",$NN$33*(256-$NR$33+1)*($NS$33-256+1)/$NU$33,$NN$33/$NT$33)),0)</f>
        <v/>
      </c>
      <c r="JA33" s="402">
        <f>IF(AND(257&gt;=$NR$33,257&lt;=$NS$33),IF($NP$33="Single_Point",IF(257=$NR$33,$NN$33,0),IF($NP$33="Bell_Curve",$NN$33*(257-$NR$33+1)*($NS$33-257+1)/$NU$33,$NN$33/$NT$33)),0)</f>
        <v/>
      </c>
      <c r="JB33" s="402">
        <f>IF(AND(258&gt;=$NR$33,258&lt;=$NS$33),IF($NP$33="Single_Point",IF(258=$NR$33,$NN$33,0),IF($NP$33="Bell_Curve",$NN$33*(258-$NR$33+1)*($NS$33-258+1)/$NU$33,$NN$33/$NT$33)),0)</f>
        <v/>
      </c>
      <c r="JC33" s="402">
        <f>IF(AND(259&gt;=$NR$33,259&lt;=$NS$33),IF($NP$33="Single_Point",IF(259=$NR$33,$NN$33,0),IF($NP$33="Bell_Curve",$NN$33*(259-$NR$33+1)*($NS$33-259+1)/$NU$33,$NN$33/$NT$33)),0)</f>
        <v/>
      </c>
      <c r="JD33" s="402">
        <f>IF(AND(260&gt;=$NR$33,260&lt;=$NS$33),IF($NP$33="Single_Point",IF(260=$NR$33,$NN$33,0),IF($NP$33="Bell_Curve",$NN$33*(260-$NR$33+1)*($NS$33-260+1)/$NU$33,$NN$33/$NT$33)),0)</f>
        <v/>
      </c>
      <c r="JE33" s="402">
        <f>IF(AND(261&gt;=$NR$33,261&lt;=$NS$33),IF($NP$33="Single_Point",IF(261=$NR$33,$NN$33,0),IF($NP$33="Bell_Curve",$NN$33*(261-$NR$33+1)*($NS$33-261+1)/$NU$33,$NN$33/$NT$33)),0)</f>
        <v/>
      </c>
      <c r="JF33" s="402">
        <f>IF(AND(262&gt;=$NR$33,262&lt;=$NS$33),IF($NP$33="Single_Point",IF(262=$NR$33,$NN$33,0),IF($NP$33="Bell_Curve",$NN$33*(262-$NR$33+1)*($NS$33-262+1)/$NU$33,$NN$33/$NT$33)),0)</f>
        <v/>
      </c>
      <c r="JG33" s="402">
        <f>IF(AND(263&gt;=$NR$33,263&lt;=$NS$33),IF($NP$33="Single_Point",IF(263=$NR$33,$NN$33,0),IF($NP$33="Bell_Curve",$NN$33*(263-$NR$33+1)*($NS$33-263+1)/$NU$33,$NN$33/$NT$33)),0)</f>
        <v/>
      </c>
      <c r="JH33" s="402">
        <f>IF(AND(264&gt;=$NR$33,264&lt;=$NS$33),IF($NP$33="Single_Point",IF(264=$NR$33,$NN$33,0),IF($NP$33="Bell_Curve",$NN$33*(264-$NR$33+1)*($NS$33-264+1)/$NU$33,$NN$33/$NT$33)),0)</f>
        <v/>
      </c>
      <c r="JI33" s="402">
        <f>IF(AND(265&gt;=$NR$33,265&lt;=$NS$33),IF($NP$33="Single_Point",IF(265=$NR$33,$NN$33,0),IF($NP$33="Bell_Curve",$NN$33*(265-$NR$33+1)*($NS$33-265+1)/$NU$33,$NN$33/$NT$33)),0)</f>
        <v/>
      </c>
      <c r="JJ33" s="402">
        <f>IF(AND(266&gt;=$NR$33,266&lt;=$NS$33),IF($NP$33="Single_Point",IF(266=$NR$33,$NN$33,0),IF($NP$33="Bell_Curve",$NN$33*(266-$NR$33+1)*($NS$33-266+1)/$NU$33,$NN$33/$NT$33)),0)</f>
        <v/>
      </c>
      <c r="JK33" s="402">
        <f>IF(AND(267&gt;=$NR$33,267&lt;=$NS$33),IF($NP$33="Single_Point",IF(267=$NR$33,$NN$33,0),IF($NP$33="Bell_Curve",$NN$33*(267-$NR$33+1)*($NS$33-267+1)/$NU$33,$NN$33/$NT$33)),0)</f>
        <v/>
      </c>
      <c r="JL33" s="402">
        <f>IF(AND(268&gt;=$NR$33,268&lt;=$NS$33),IF($NP$33="Single_Point",IF(268=$NR$33,$NN$33,0),IF($NP$33="Bell_Curve",$NN$33*(268-$NR$33+1)*($NS$33-268+1)/$NU$33,$NN$33/$NT$33)),0)</f>
        <v/>
      </c>
      <c r="JM33" s="402">
        <f>IF(AND(269&gt;=$NR$33,269&lt;=$NS$33),IF($NP$33="Single_Point",IF(269=$NR$33,$NN$33,0),IF($NP$33="Bell_Curve",$NN$33*(269-$NR$33+1)*($NS$33-269+1)/$NU$33,$NN$33/$NT$33)),0)</f>
        <v/>
      </c>
      <c r="JN33" s="402">
        <f>IF(AND(270&gt;=$NR$33,270&lt;=$NS$33),IF($NP$33="Single_Point",IF(270=$NR$33,$NN$33,0),IF($NP$33="Bell_Curve",$NN$33*(270-$NR$33+1)*($NS$33-270+1)/$NU$33,$NN$33/$NT$33)),0)</f>
        <v/>
      </c>
      <c r="JO33" s="402">
        <f>IF(AND(271&gt;=$NR$33,271&lt;=$NS$33),IF($NP$33="Single_Point",IF(271=$NR$33,$NN$33,0),IF($NP$33="Bell_Curve",$NN$33*(271-$NR$33+1)*($NS$33-271+1)/$NU$33,$NN$33/$NT$33)),0)</f>
        <v/>
      </c>
      <c r="JP33" s="402">
        <f>IF(AND(272&gt;=$NR$33,272&lt;=$NS$33),IF($NP$33="Single_Point",IF(272=$NR$33,$NN$33,0),IF($NP$33="Bell_Curve",$NN$33*(272-$NR$33+1)*($NS$33-272+1)/$NU$33,$NN$33/$NT$33)),0)</f>
        <v/>
      </c>
      <c r="JQ33" s="402">
        <f>IF(AND(273&gt;=$NR$33,273&lt;=$NS$33),IF($NP$33="Single_Point",IF(273=$NR$33,$NN$33,0),IF($NP$33="Bell_Curve",$NN$33*(273-$NR$33+1)*($NS$33-273+1)/$NU$33,$NN$33/$NT$33)),0)</f>
        <v/>
      </c>
      <c r="JR33" s="402">
        <f>IF(AND(274&gt;=$NR$33,274&lt;=$NS$33),IF($NP$33="Single_Point",IF(274=$NR$33,$NN$33,0),IF($NP$33="Bell_Curve",$NN$33*(274-$NR$33+1)*($NS$33-274+1)/$NU$33,$NN$33/$NT$33)),0)</f>
        <v/>
      </c>
      <c r="JS33" s="402">
        <f>IF(AND(275&gt;=$NR$33,275&lt;=$NS$33),IF($NP$33="Single_Point",IF(275=$NR$33,$NN$33,0),IF($NP$33="Bell_Curve",$NN$33*(275-$NR$33+1)*($NS$33-275+1)/$NU$33,$NN$33/$NT$33)),0)</f>
        <v/>
      </c>
      <c r="JT33" s="402">
        <f>IF(AND(276&gt;=$NR$33,276&lt;=$NS$33),IF($NP$33="Single_Point",IF(276=$NR$33,$NN$33,0),IF($NP$33="Bell_Curve",$NN$33*(276-$NR$33+1)*($NS$33-276+1)/$NU$33,$NN$33/$NT$33)),0)</f>
        <v/>
      </c>
      <c r="JU33" s="402">
        <f>IF(AND(277&gt;=$NR$33,277&lt;=$NS$33),IF($NP$33="Single_Point",IF(277=$NR$33,$NN$33,0),IF($NP$33="Bell_Curve",$NN$33*(277-$NR$33+1)*($NS$33-277+1)/$NU$33,$NN$33/$NT$33)),0)</f>
        <v/>
      </c>
      <c r="JV33" s="402">
        <f>IF(AND(278&gt;=$NR$33,278&lt;=$NS$33),IF($NP$33="Single_Point",IF(278=$NR$33,$NN$33,0),IF($NP$33="Bell_Curve",$NN$33*(278-$NR$33+1)*($NS$33-278+1)/$NU$33,$NN$33/$NT$33)),0)</f>
        <v/>
      </c>
      <c r="JW33" s="402">
        <f>IF(AND(279&gt;=$NR$33,279&lt;=$NS$33),IF($NP$33="Single_Point",IF(279=$NR$33,$NN$33,0),IF($NP$33="Bell_Curve",$NN$33*(279-$NR$33+1)*($NS$33-279+1)/$NU$33,$NN$33/$NT$33)),0)</f>
        <v/>
      </c>
      <c r="JX33" s="402">
        <f>IF(AND(280&gt;=$NR$33,280&lt;=$NS$33),IF($NP$33="Single_Point",IF(280=$NR$33,$NN$33,0),IF($NP$33="Bell_Curve",$NN$33*(280-$NR$33+1)*($NS$33-280+1)/$NU$33,$NN$33/$NT$33)),0)</f>
        <v/>
      </c>
      <c r="JY33" s="402">
        <f>IF(AND(281&gt;=$NR$33,281&lt;=$NS$33),IF($NP$33="Single_Point",IF(281=$NR$33,$NN$33,0),IF($NP$33="Bell_Curve",$NN$33*(281-$NR$33+1)*($NS$33-281+1)/$NU$33,$NN$33/$NT$33)),0)</f>
        <v/>
      </c>
      <c r="JZ33" s="402">
        <f>IF(AND(282&gt;=$NR$33,282&lt;=$NS$33),IF($NP$33="Single_Point",IF(282=$NR$33,$NN$33,0),IF($NP$33="Bell_Curve",$NN$33*(282-$NR$33+1)*($NS$33-282+1)/$NU$33,$NN$33/$NT$33)),0)</f>
        <v/>
      </c>
      <c r="KA33" s="402">
        <f>IF(AND(283&gt;=$NR$33,283&lt;=$NS$33),IF($NP$33="Single_Point",IF(283=$NR$33,$NN$33,0),IF($NP$33="Bell_Curve",$NN$33*(283-$NR$33+1)*($NS$33-283+1)/$NU$33,$NN$33/$NT$33)),0)</f>
        <v/>
      </c>
      <c r="KB33" s="402">
        <f>IF(AND(284&gt;=$NR$33,284&lt;=$NS$33),IF($NP$33="Single_Point",IF(284=$NR$33,$NN$33,0),IF($NP$33="Bell_Curve",$NN$33*(284-$NR$33+1)*($NS$33-284+1)/$NU$33,$NN$33/$NT$33)),0)</f>
        <v/>
      </c>
      <c r="KC33" s="402">
        <f>IF(AND(285&gt;=$NR$33,285&lt;=$NS$33),IF($NP$33="Single_Point",IF(285=$NR$33,$NN$33,0),IF($NP$33="Bell_Curve",$NN$33*(285-$NR$33+1)*($NS$33-285+1)/$NU$33,$NN$33/$NT$33)),0)</f>
        <v/>
      </c>
      <c r="KD33" s="402">
        <f>IF(AND(286&gt;=$NR$33,286&lt;=$NS$33),IF($NP$33="Single_Point",IF(286=$NR$33,$NN$33,0),IF($NP$33="Bell_Curve",$NN$33*(286-$NR$33+1)*($NS$33-286+1)/$NU$33,$NN$33/$NT$33)),0)</f>
        <v/>
      </c>
      <c r="KE33" s="402">
        <f>IF(AND(287&gt;=$NR$33,287&lt;=$NS$33),IF($NP$33="Single_Point",IF(287=$NR$33,$NN$33,0),IF($NP$33="Bell_Curve",$NN$33*(287-$NR$33+1)*($NS$33-287+1)/$NU$33,$NN$33/$NT$33)),0)</f>
        <v/>
      </c>
      <c r="KF33" s="402">
        <f>IF(AND(288&gt;=$NR$33,288&lt;=$NS$33),IF($NP$33="Single_Point",IF(288=$NR$33,$NN$33,0),IF($NP$33="Bell_Curve",$NN$33*(288-$NR$33+1)*($NS$33-288+1)/$NU$33,$NN$33/$NT$33)),0)</f>
        <v/>
      </c>
      <c r="KG33" s="402">
        <f>IF(AND(289&gt;=$NR$33,289&lt;=$NS$33),IF($NP$33="Single_Point",IF(289=$NR$33,$NN$33,0),IF($NP$33="Bell_Curve",$NN$33*(289-$NR$33+1)*($NS$33-289+1)/$NU$33,$NN$33/$NT$33)),0)</f>
        <v/>
      </c>
      <c r="KH33" s="402">
        <f>IF(AND(290&gt;=$NR$33,290&lt;=$NS$33),IF($NP$33="Single_Point",IF(290=$NR$33,$NN$33,0),IF($NP$33="Bell_Curve",$NN$33*(290-$NR$33+1)*($NS$33-290+1)/$NU$33,$NN$33/$NT$33)),0)</f>
        <v/>
      </c>
      <c r="KI33" s="402">
        <f>IF(AND(291&gt;=$NR$33,291&lt;=$NS$33),IF($NP$33="Single_Point",IF(291=$NR$33,$NN$33,0),IF($NP$33="Bell_Curve",$NN$33*(291-$NR$33+1)*($NS$33-291+1)/$NU$33,$NN$33/$NT$33)),0)</f>
        <v/>
      </c>
      <c r="KJ33" s="402">
        <f>IF(AND(292&gt;=$NR$33,292&lt;=$NS$33),IF($NP$33="Single_Point",IF(292=$NR$33,$NN$33,0),IF($NP$33="Bell_Curve",$NN$33*(292-$NR$33+1)*($NS$33-292+1)/$NU$33,$NN$33/$NT$33)),0)</f>
        <v/>
      </c>
      <c r="KK33" s="402">
        <f>IF(AND(293&gt;=$NR$33,293&lt;=$NS$33),IF($NP$33="Single_Point",IF(293=$NR$33,$NN$33,0),IF($NP$33="Bell_Curve",$NN$33*(293-$NR$33+1)*($NS$33-293+1)/$NU$33,$NN$33/$NT$33)),0)</f>
        <v/>
      </c>
      <c r="KL33" s="402">
        <f>IF(AND(294&gt;=$NR$33,294&lt;=$NS$33),IF($NP$33="Single_Point",IF(294=$NR$33,$NN$33,0),IF($NP$33="Bell_Curve",$NN$33*(294-$NR$33+1)*($NS$33-294+1)/$NU$33,$NN$33/$NT$33)),0)</f>
        <v/>
      </c>
      <c r="KM33" s="402">
        <f>IF(AND(295&gt;=$NR$33,295&lt;=$NS$33),IF($NP$33="Single_Point",IF(295=$NR$33,$NN$33,0),IF($NP$33="Bell_Curve",$NN$33*(295-$NR$33+1)*($NS$33-295+1)/$NU$33,$NN$33/$NT$33)),0)</f>
        <v/>
      </c>
      <c r="KN33" s="402">
        <f>IF(AND(296&gt;=$NR$33,296&lt;=$NS$33),IF($NP$33="Single_Point",IF(296=$NR$33,$NN$33,0),IF($NP$33="Bell_Curve",$NN$33*(296-$NR$33+1)*($NS$33-296+1)/$NU$33,$NN$33/$NT$33)),0)</f>
        <v/>
      </c>
      <c r="KO33" s="402">
        <f>IF(AND(297&gt;=$NR$33,297&lt;=$NS$33),IF($NP$33="Single_Point",IF(297=$NR$33,$NN$33,0),IF($NP$33="Bell_Curve",$NN$33*(297-$NR$33+1)*($NS$33-297+1)/$NU$33,$NN$33/$NT$33)),0)</f>
        <v/>
      </c>
      <c r="KP33" s="402">
        <f>IF(AND(298&gt;=$NR$33,298&lt;=$NS$33),IF($NP$33="Single_Point",IF(298=$NR$33,$NN$33,0),IF($NP$33="Bell_Curve",$NN$33*(298-$NR$33+1)*($NS$33-298+1)/$NU$33,$NN$33/$NT$33)),0)</f>
        <v/>
      </c>
      <c r="KQ33" s="402">
        <f>IF(AND(299&gt;=$NR$33,299&lt;=$NS$33),IF($NP$33="Single_Point",IF(299=$NR$33,$NN$33,0),IF($NP$33="Bell_Curve",$NN$33*(299-$NR$33+1)*($NS$33-299+1)/$NU$33,$NN$33/$NT$33)),0)</f>
        <v/>
      </c>
      <c r="KR33" s="402">
        <f>IF(AND(300&gt;=$NR$33,300&lt;=$NS$33),IF($NP$33="Single_Point",IF(300=$NR$33,$NN$33,0),IF($NP$33="Bell_Curve",$NN$33*(300-$NR$33+1)*($NS$33-300+1)/$NU$33,$NN$33/$NT$33)),0)</f>
        <v/>
      </c>
      <c r="KS33" s="402">
        <f>IF(AND(301&gt;=$NR$33,301&lt;=$NS$33),IF($NP$33="Single_Point",IF(301=$NR$33,$NN$33,0),IF($NP$33="Bell_Curve",$NN$33*(301-$NR$33+1)*($NS$33-301+1)/$NU$33,$NN$33/$NT$33)),0)</f>
        <v/>
      </c>
      <c r="KT33" s="402">
        <f>IF(AND(302&gt;=$NR$33,302&lt;=$NS$33),IF($NP$33="Single_Point",IF(302=$NR$33,$NN$33,0),IF($NP$33="Bell_Curve",$NN$33*(302-$NR$33+1)*($NS$33-302+1)/$NU$33,$NN$33/$NT$33)),0)</f>
        <v/>
      </c>
      <c r="KU33" s="402">
        <f>IF(AND(303&gt;=$NR$33,303&lt;=$NS$33),IF($NP$33="Single_Point",IF(303=$NR$33,$NN$33,0),IF($NP$33="Bell_Curve",$NN$33*(303-$NR$33+1)*($NS$33-303+1)/$NU$33,$NN$33/$NT$33)),0)</f>
        <v/>
      </c>
      <c r="KV33" s="402">
        <f>IF(AND(304&gt;=$NR$33,304&lt;=$NS$33),IF($NP$33="Single_Point",IF(304=$NR$33,$NN$33,0),IF($NP$33="Bell_Curve",$NN$33*(304-$NR$33+1)*($NS$33-304+1)/$NU$33,$NN$33/$NT$33)),0)</f>
        <v/>
      </c>
      <c r="KW33" s="402">
        <f>IF(AND(305&gt;=$NR$33,305&lt;=$NS$33),IF($NP$33="Single_Point",IF(305=$NR$33,$NN$33,0),IF($NP$33="Bell_Curve",$NN$33*(305-$NR$33+1)*($NS$33-305+1)/$NU$33,$NN$33/$NT$33)),0)</f>
        <v/>
      </c>
      <c r="KX33" s="402">
        <f>IF(AND(306&gt;=$NR$33,306&lt;=$NS$33),IF($NP$33="Single_Point",IF(306=$NR$33,$NN$33,0),IF($NP$33="Bell_Curve",$NN$33*(306-$NR$33+1)*($NS$33-306+1)/$NU$33,$NN$33/$NT$33)),0)</f>
        <v/>
      </c>
      <c r="KY33" s="402">
        <f>IF(AND(307&gt;=$NR$33,307&lt;=$NS$33),IF($NP$33="Single_Point",IF(307=$NR$33,$NN$33,0),IF($NP$33="Bell_Curve",$NN$33*(307-$NR$33+1)*($NS$33-307+1)/$NU$33,$NN$33/$NT$33)),0)</f>
        <v/>
      </c>
      <c r="KZ33" s="402">
        <f>IF(AND(308&gt;=$NR$33,308&lt;=$NS$33),IF($NP$33="Single_Point",IF(308=$NR$33,$NN$33,0),IF($NP$33="Bell_Curve",$NN$33*(308-$NR$33+1)*($NS$33-308+1)/$NU$33,$NN$33/$NT$33)),0)</f>
        <v/>
      </c>
      <c r="LA33" s="402">
        <f>IF(AND(309&gt;=$NR$33,309&lt;=$NS$33),IF($NP$33="Single_Point",IF(309=$NR$33,$NN$33,0),IF($NP$33="Bell_Curve",$NN$33*(309-$NR$33+1)*($NS$33-309+1)/$NU$33,$NN$33/$NT$33)),0)</f>
        <v/>
      </c>
      <c r="LB33" s="402">
        <f>IF(AND(310&gt;=$NR$33,310&lt;=$NS$33),IF($NP$33="Single_Point",IF(310=$NR$33,$NN$33,0),IF($NP$33="Bell_Curve",$NN$33*(310-$NR$33+1)*($NS$33-310+1)/$NU$33,$NN$33/$NT$33)),0)</f>
        <v/>
      </c>
      <c r="LC33" s="402">
        <f>IF(AND(311&gt;=$NR$33,311&lt;=$NS$33),IF($NP$33="Single_Point",IF(311=$NR$33,$NN$33,0),IF($NP$33="Bell_Curve",$NN$33*(311-$NR$33+1)*($NS$33-311+1)/$NU$33,$NN$33/$NT$33)),0)</f>
        <v/>
      </c>
      <c r="LD33" s="402">
        <f>IF(AND(312&gt;=$NR$33,312&lt;=$NS$33),IF($NP$33="Single_Point",IF(312=$NR$33,$NN$33,0),IF($NP$33="Bell_Curve",$NN$33*(312-$NR$33+1)*($NS$33-312+1)/$NU$33,$NN$33/$NT$33)),0)</f>
        <v/>
      </c>
      <c r="LE33" s="402">
        <f>IF(AND(313&gt;=$NR$33,313&lt;=$NS$33),IF($NP$33="Single_Point",IF(313=$NR$33,$NN$33,0),IF($NP$33="Bell_Curve",$NN$33*(313-$NR$33+1)*($NS$33-313+1)/$NU$33,$NN$33/$NT$33)),0)</f>
        <v/>
      </c>
      <c r="LF33" s="402">
        <f>IF(AND(314&gt;=$NR$33,314&lt;=$NS$33),IF($NP$33="Single_Point",IF(314=$NR$33,$NN$33,0),IF($NP$33="Bell_Curve",$NN$33*(314-$NR$33+1)*($NS$33-314+1)/$NU$33,$NN$33/$NT$33)),0)</f>
        <v/>
      </c>
      <c r="LG33" s="402">
        <f>IF(AND(315&gt;=$NR$33,315&lt;=$NS$33),IF($NP$33="Single_Point",IF(315=$NR$33,$NN$33,0),IF($NP$33="Bell_Curve",$NN$33*(315-$NR$33+1)*($NS$33-315+1)/$NU$33,$NN$33/$NT$33)),0)</f>
        <v/>
      </c>
      <c r="LH33" s="402">
        <f>IF(AND(316&gt;=$NR$33,316&lt;=$NS$33),IF($NP$33="Single_Point",IF(316=$NR$33,$NN$33,0),IF($NP$33="Bell_Curve",$NN$33*(316-$NR$33+1)*($NS$33-316+1)/$NU$33,$NN$33/$NT$33)),0)</f>
        <v/>
      </c>
      <c r="LI33" s="402">
        <f>IF(AND(317&gt;=$NR$33,317&lt;=$NS$33),IF($NP$33="Single_Point",IF(317=$NR$33,$NN$33,0),IF($NP$33="Bell_Curve",$NN$33*(317-$NR$33+1)*($NS$33-317+1)/$NU$33,$NN$33/$NT$33)),0)</f>
        <v/>
      </c>
      <c r="LJ33" s="402">
        <f>IF(AND(318&gt;=$NR$33,318&lt;=$NS$33),IF($NP$33="Single_Point",IF(318=$NR$33,$NN$33,0),IF($NP$33="Bell_Curve",$NN$33*(318-$NR$33+1)*($NS$33-318+1)/$NU$33,$NN$33/$NT$33)),0)</f>
        <v/>
      </c>
      <c r="LK33" s="402">
        <f>IF(AND(319&gt;=$NR$33,319&lt;=$NS$33),IF($NP$33="Single_Point",IF(319=$NR$33,$NN$33,0),IF($NP$33="Bell_Curve",$NN$33*(319-$NR$33+1)*($NS$33-319+1)/$NU$33,$NN$33/$NT$33)),0)</f>
        <v/>
      </c>
      <c r="LL33" s="402">
        <f>IF(AND(320&gt;=$NR$33,320&lt;=$NS$33),IF($NP$33="Single_Point",IF(320=$NR$33,$NN$33,0),IF($NP$33="Bell_Curve",$NN$33*(320-$NR$33+1)*($NS$33-320+1)/$NU$33,$NN$33/$NT$33)),0)</f>
        <v/>
      </c>
      <c r="LM33" s="402">
        <f>IF(AND(321&gt;=$NR$33,321&lt;=$NS$33),IF($NP$33="Single_Point",IF(321=$NR$33,$NN$33,0),IF($NP$33="Bell_Curve",$NN$33*(321-$NR$33+1)*($NS$33-321+1)/$NU$33,$NN$33/$NT$33)),0)</f>
        <v/>
      </c>
      <c r="LN33" s="402">
        <f>IF(AND(322&gt;=$NR$33,322&lt;=$NS$33),IF($NP$33="Single_Point",IF(322=$NR$33,$NN$33,0),IF($NP$33="Bell_Curve",$NN$33*(322-$NR$33+1)*($NS$33-322+1)/$NU$33,$NN$33/$NT$33)),0)</f>
        <v/>
      </c>
      <c r="LO33" s="402">
        <f>IF(AND(323&gt;=$NR$33,323&lt;=$NS$33),IF($NP$33="Single_Point",IF(323=$NR$33,$NN$33,0),IF($NP$33="Bell_Curve",$NN$33*(323-$NR$33+1)*($NS$33-323+1)/$NU$33,$NN$33/$NT$33)),0)</f>
        <v/>
      </c>
      <c r="LP33" s="402">
        <f>IF(AND(324&gt;=$NR$33,324&lt;=$NS$33),IF($NP$33="Single_Point",IF(324=$NR$33,$NN$33,0),IF($NP$33="Bell_Curve",$NN$33*(324-$NR$33+1)*($NS$33-324+1)/$NU$33,$NN$33/$NT$33)),0)</f>
        <v/>
      </c>
      <c r="LQ33" s="402">
        <f>IF(AND(325&gt;=$NR$33,325&lt;=$NS$33),IF($NP$33="Single_Point",IF(325=$NR$33,$NN$33,0),IF($NP$33="Bell_Curve",$NN$33*(325-$NR$33+1)*($NS$33-325+1)/$NU$33,$NN$33/$NT$33)),0)</f>
        <v/>
      </c>
      <c r="LR33" s="402">
        <f>IF(AND(326&gt;=$NR$33,326&lt;=$NS$33),IF($NP$33="Single_Point",IF(326=$NR$33,$NN$33,0),IF($NP$33="Bell_Curve",$NN$33*(326-$NR$33+1)*($NS$33-326+1)/$NU$33,$NN$33/$NT$33)),0)</f>
        <v/>
      </c>
      <c r="LS33" s="402">
        <f>IF(AND(327&gt;=$NR$33,327&lt;=$NS$33),IF($NP$33="Single_Point",IF(327=$NR$33,$NN$33,0),IF($NP$33="Bell_Curve",$NN$33*(327-$NR$33+1)*($NS$33-327+1)/$NU$33,$NN$33/$NT$33)),0)</f>
        <v/>
      </c>
      <c r="LT33" s="402">
        <f>IF(AND(328&gt;=$NR$33,328&lt;=$NS$33),IF($NP$33="Single_Point",IF(328=$NR$33,$NN$33,0),IF($NP$33="Bell_Curve",$NN$33*(328-$NR$33+1)*($NS$33-328+1)/$NU$33,$NN$33/$NT$33)),0)</f>
        <v/>
      </c>
      <c r="LU33" s="402">
        <f>IF(AND(329&gt;=$NR$33,329&lt;=$NS$33),IF($NP$33="Single_Point",IF(329=$NR$33,$NN$33,0),IF($NP$33="Bell_Curve",$NN$33*(329-$NR$33+1)*($NS$33-329+1)/$NU$33,$NN$33/$NT$33)),0)</f>
        <v/>
      </c>
      <c r="LV33" s="402">
        <f>IF(AND(330&gt;=$NR$33,330&lt;=$NS$33),IF($NP$33="Single_Point",IF(330=$NR$33,$NN$33,0),IF($NP$33="Bell_Curve",$NN$33*(330-$NR$33+1)*($NS$33-330+1)/$NU$33,$NN$33/$NT$33)),0)</f>
        <v/>
      </c>
      <c r="LW33" s="402">
        <f>IF(AND(331&gt;=$NR$33,331&lt;=$NS$33),IF($NP$33="Single_Point",IF(331=$NR$33,$NN$33,0),IF($NP$33="Bell_Curve",$NN$33*(331-$NR$33+1)*($NS$33-331+1)/$NU$33,$NN$33/$NT$33)),0)</f>
        <v/>
      </c>
      <c r="LX33" s="402">
        <f>IF(AND(332&gt;=$NR$33,332&lt;=$NS$33),IF($NP$33="Single_Point",IF(332=$NR$33,$NN$33,0),IF($NP$33="Bell_Curve",$NN$33*(332-$NR$33+1)*($NS$33-332+1)/$NU$33,$NN$33/$NT$33)),0)</f>
        <v/>
      </c>
      <c r="LY33" s="402">
        <f>IF(AND(333&gt;=$NR$33,333&lt;=$NS$33),IF($NP$33="Single_Point",IF(333=$NR$33,$NN$33,0),IF($NP$33="Bell_Curve",$NN$33*(333-$NR$33+1)*($NS$33-333+1)/$NU$33,$NN$33/$NT$33)),0)</f>
        <v/>
      </c>
      <c r="LZ33" s="402">
        <f>IF(AND(334&gt;=$NR$33,334&lt;=$NS$33),IF($NP$33="Single_Point",IF(334=$NR$33,$NN$33,0),IF($NP$33="Bell_Curve",$NN$33*(334-$NR$33+1)*($NS$33-334+1)/$NU$33,$NN$33/$NT$33)),0)</f>
        <v/>
      </c>
      <c r="MA33" s="402">
        <f>IF(AND(335&gt;=$NR$33,335&lt;=$NS$33),IF($NP$33="Single_Point",IF(335=$NR$33,$NN$33,0),IF($NP$33="Bell_Curve",$NN$33*(335-$NR$33+1)*($NS$33-335+1)/$NU$33,$NN$33/$NT$33)),0)</f>
        <v/>
      </c>
      <c r="MB33" s="402">
        <f>IF(AND(336&gt;=$NR$33,336&lt;=$NS$33),IF($NP$33="Single_Point",IF(336=$NR$33,$NN$33,0),IF($NP$33="Bell_Curve",$NN$33*(336-$NR$33+1)*($NS$33-336+1)/$NU$33,$NN$33/$NT$33)),0)</f>
        <v/>
      </c>
      <c r="MC33" s="402">
        <f>IF(AND(337&gt;=$NR$33,337&lt;=$NS$33),IF($NP$33="Single_Point",IF(337=$NR$33,$NN$33,0),IF($NP$33="Bell_Curve",$NN$33*(337-$NR$33+1)*($NS$33-337+1)/$NU$33,$NN$33/$NT$33)),0)</f>
        <v/>
      </c>
      <c r="MD33" s="402">
        <f>IF(AND(338&gt;=$NR$33,338&lt;=$NS$33),IF($NP$33="Single_Point",IF(338=$NR$33,$NN$33,0),IF($NP$33="Bell_Curve",$NN$33*(338-$NR$33+1)*($NS$33-338+1)/$NU$33,$NN$33/$NT$33)),0)</f>
        <v/>
      </c>
      <c r="ME33" s="402">
        <f>IF(AND(339&gt;=$NR$33,339&lt;=$NS$33),IF($NP$33="Single_Point",IF(339=$NR$33,$NN$33,0),IF($NP$33="Bell_Curve",$NN$33*(339-$NR$33+1)*($NS$33-339+1)/$NU$33,$NN$33/$NT$33)),0)</f>
        <v/>
      </c>
      <c r="MF33" s="402">
        <f>IF(AND(340&gt;=$NR$33,340&lt;=$NS$33),IF($NP$33="Single_Point",IF(340=$NR$33,$NN$33,0),IF($NP$33="Bell_Curve",$NN$33*(340-$NR$33+1)*($NS$33-340+1)/$NU$33,$NN$33/$NT$33)),0)</f>
        <v/>
      </c>
      <c r="MG33" s="402">
        <f>IF(AND(341&gt;=$NR$33,341&lt;=$NS$33),IF($NP$33="Single_Point",IF(341=$NR$33,$NN$33,0),IF($NP$33="Bell_Curve",$NN$33*(341-$NR$33+1)*($NS$33-341+1)/$NU$33,$NN$33/$NT$33)),0)</f>
        <v/>
      </c>
      <c r="MH33" s="402">
        <f>IF(AND(342&gt;=$NR$33,342&lt;=$NS$33),IF($NP$33="Single_Point",IF(342=$NR$33,$NN$33,0),IF($NP$33="Bell_Curve",$NN$33*(342-$NR$33+1)*($NS$33-342+1)/$NU$33,$NN$33/$NT$33)),0)</f>
        <v/>
      </c>
      <c r="MI33" s="402">
        <f>IF(AND(343&gt;=$NR$33,343&lt;=$NS$33),IF($NP$33="Single_Point",IF(343=$NR$33,$NN$33,0),IF($NP$33="Bell_Curve",$NN$33*(343-$NR$33+1)*($NS$33-343+1)/$NU$33,$NN$33/$NT$33)),0)</f>
        <v/>
      </c>
      <c r="MJ33" s="402">
        <f>IF(AND(344&gt;=$NR$33,344&lt;=$NS$33),IF($NP$33="Single_Point",IF(344=$NR$33,$NN$33,0),IF($NP$33="Bell_Curve",$NN$33*(344-$NR$33+1)*($NS$33-344+1)/$NU$33,$NN$33/$NT$33)),0)</f>
        <v/>
      </c>
      <c r="MK33" s="402">
        <f>IF(AND(345&gt;=$NR$33,345&lt;=$NS$33),IF($NP$33="Single_Point",IF(345=$NR$33,$NN$33,0),IF($NP$33="Bell_Curve",$NN$33*(345-$NR$33+1)*($NS$33-345+1)/$NU$33,$NN$33/$NT$33)),0)</f>
        <v/>
      </c>
      <c r="ML33" s="402">
        <f>IF(AND(346&gt;=$NR$33,346&lt;=$NS$33),IF($NP$33="Single_Point",IF(346=$NR$33,$NN$33,0),IF($NP$33="Bell_Curve",$NN$33*(346-$NR$33+1)*($NS$33-346+1)/$NU$33,$NN$33/$NT$33)),0)</f>
        <v/>
      </c>
      <c r="MM33" s="402">
        <f>IF(AND(347&gt;=$NR$33,347&lt;=$NS$33),IF($NP$33="Single_Point",IF(347=$NR$33,$NN$33,0),IF($NP$33="Bell_Curve",$NN$33*(347-$NR$33+1)*($NS$33-347+1)/$NU$33,$NN$33/$NT$33)),0)</f>
        <v/>
      </c>
      <c r="MN33" s="402">
        <f>IF(AND(348&gt;=$NR$33,348&lt;=$NS$33),IF($NP$33="Single_Point",IF(348=$NR$33,$NN$33,0),IF($NP$33="Bell_Curve",$NN$33*(348-$NR$33+1)*($NS$33-348+1)/$NU$33,$NN$33/$NT$33)),0)</f>
        <v/>
      </c>
      <c r="MO33" s="402">
        <f>IF(AND(349&gt;=$NR$33,349&lt;=$NS$33),IF($NP$33="Single_Point",IF(349=$NR$33,$NN$33,0),IF($NP$33="Bell_Curve",$NN$33*(349-$NR$33+1)*($NS$33-349+1)/$NU$33,$NN$33/$NT$33)),0)</f>
        <v/>
      </c>
      <c r="MP33" s="402">
        <f>IF(AND(350&gt;=$NR$33,350&lt;=$NS$33),IF($NP$33="Single_Point",IF(350=$NR$33,$NN$33,0),IF($NP$33="Bell_Curve",$NN$33*(350-$NR$33+1)*($NS$33-350+1)/$NU$33,$NN$33/$NT$33)),0)</f>
        <v/>
      </c>
      <c r="MQ33" s="402">
        <f>IF(AND(351&gt;=$NR$33,351&lt;=$NS$33),IF($NP$33="Single_Point",IF(351=$NR$33,$NN$33,0),IF($NP$33="Bell_Curve",$NN$33*(351-$NR$33+1)*($NS$33-351+1)/$NU$33,$NN$33/$NT$33)),0)</f>
        <v/>
      </c>
      <c r="MR33" s="402">
        <f>IF(AND(352&gt;=$NR$33,352&lt;=$NS$33),IF($NP$33="Single_Point",IF(352=$NR$33,$NN$33,0),IF($NP$33="Bell_Curve",$NN$33*(352-$NR$33+1)*($NS$33-352+1)/$NU$33,$NN$33/$NT$33)),0)</f>
        <v/>
      </c>
      <c r="MS33" s="402">
        <f>IF(AND(353&gt;=$NR$33,353&lt;=$NS$33),IF($NP$33="Single_Point",IF(353=$NR$33,$NN$33,0),IF($NP$33="Bell_Curve",$NN$33*(353-$NR$33+1)*($NS$33-353+1)/$NU$33,$NN$33/$NT$33)),0)</f>
        <v/>
      </c>
      <c r="MT33" s="402">
        <f>IF(AND(354&gt;=$NR$33,354&lt;=$NS$33),IF($NP$33="Single_Point",IF(354=$NR$33,$NN$33,0),IF($NP$33="Bell_Curve",$NN$33*(354-$NR$33+1)*($NS$33-354+1)/$NU$33,$NN$33/$NT$33)),0)</f>
        <v/>
      </c>
      <c r="MU33" s="402">
        <f>IF(AND(355&gt;=$NR$33,355&lt;=$NS$33),IF($NP$33="Single_Point",IF(355=$NR$33,$NN$33,0),IF($NP$33="Bell_Curve",$NN$33*(355-$NR$33+1)*($NS$33-355+1)/$NU$33,$NN$33/$NT$33)),0)</f>
        <v/>
      </c>
      <c r="MV33" s="402">
        <f>IF(AND(356&gt;=$NR$33,356&lt;=$NS$33),IF($NP$33="Single_Point",IF(356=$NR$33,$NN$33,0),IF($NP$33="Bell_Curve",$NN$33*(356-$NR$33+1)*($NS$33-356+1)/$NU$33,$NN$33/$NT$33)),0)</f>
        <v/>
      </c>
      <c r="MW33" s="402">
        <f>IF(AND(357&gt;=$NR$33,357&lt;=$NS$33),IF($NP$33="Single_Point",IF(357=$NR$33,$NN$33,0),IF($NP$33="Bell_Curve",$NN$33*(357-$NR$33+1)*($NS$33-357+1)/$NU$33,$NN$33/$NT$33)),0)</f>
        <v/>
      </c>
      <c r="MX33" s="402">
        <f>IF(AND(358&gt;=$NR$33,358&lt;=$NS$33),IF($NP$33="Single_Point",IF(358=$NR$33,$NN$33,0),IF($NP$33="Bell_Curve",$NN$33*(358-$NR$33+1)*($NS$33-358+1)/$NU$33,$NN$33/$NT$33)),0)</f>
        <v/>
      </c>
      <c r="MY33" s="402">
        <f>IF(AND(359&gt;=$NR$33,359&lt;=$NS$33),IF($NP$33="Single_Point",IF(359=$NR$33,$NN$33,0),IF($NP$33="Bell_Curve",$NN$33*(359-$NR$33+1)*($NS$33-359+1)/$NU$33,$NN$33/$NT$33)),0)</f>
        <v/>
      </c>
      <c r="MZ33" s="402">
        <f>IF(AND(360&gt;=$NR$33,360&lt;=$NS$33),IF($NP$33="Single_Point",IF(360=$NR$33,$NN$33,0),IF($NP$33="Bell_Curve",$NN$33*(360-$NR$33+1)*($NS$33-360+1)/$NU$33,$NN$33/$NT$33)),0)</f>
        <v/>
      </c>
      <c r="NA33" s="402">
        <f>IF(AND(361&gt;=$NR$33,361&lt;=$NS$33),IF($NP$33="Single_Point",IF(361=$NR$33,$NN$33,0),IF($NP$33="Bell_Curve",$NN$33*(361-$NR$33+1)*($NS$33-361+1)/$NU$33,$NN$33/$NT$33)),0)</f>
        <v/>
      </c>
      <c r="NB33" s="402">
        <f>IF(AND(362&gt;=$NR$33,362&lt;=$NS$33),IF($NP$33="Single_Point",IF(362=$NR$33,$NN$33,0),IF($NP$33="Bell_Curve",$NN$33*(362-$NR$33+1)*($NS$33-362+1)/$NU$33,$NN$33/$NT$33)),0)</f>
        <v/>
      </c>
      <c r="NC33" s="402">
        <f>IF(AND(363&gt;=$NR$33,363&lt;=$NS$33),IF($NP$33="Single_Point",IF(363=$NR$33,$NN$33,0),IF($NP$33="Bell_Curve",$NN$33*(363-$NR$33+1)*($NS$33-363+1)/$NU$33,$NN$33/$NT$33)),0)</f>
        <v/>
      </c>
      <c r="ND33" s="402">
        <f>IF(AND(364&gt;=$NR$33,364&lt;=$NS$33),IF($NP$33="Single_Point",IF(364=$NR$33,$NN$33,0),IF($NP$33="Bell_Curve",$NN$33*(364-$NR$33+1)*($NS$33-364+1)/$NU$33,$NN$33/$NT$33)),0)</f>
        <v/>
      </c>
      <c r="NE33" s="402">
        <f>IF(AND(365&gt;=$NR$33,365&lt;=$NS$33),IF($NP$33="Single_Point",IF(365=$NR$33,$NN$33,0),IF($NP$33="Bell_Curve",$NN$33*(365-$NR$33+1)*($NS$33-365+1)/$NU$33,$NN$33/$NT$33)),0)</f>
        <v/>
      </c>
      <c r="NF33" s="402">
        <f>IF(AND(366&gt;=$NR$33,366&lt;=$NS$33),IF($NP$33="Single_Point",IF(366=$NR$33,$NN$33,0),IF($NP$33="Bell_Curve",$NN$33*(366-$NR$33+1)*($NS$33-366+1)/$NU$33,$NN$33/$NT$33)),0)</f>
        <v/>
      </c>
      <c r="NG33" s="402">
        <f>IF(AND(367&gt;=$NR$33,367&lt;=$NS$33),IF($NP$33="Single_Point",IF(367=$NR$33,$NN$33,0),IF($NP$33="Bell_Curve",$NN$33*(367-$NR$33+1)*($NS$33-367+1)/$NU$33,$NN$33/$NT$33)),0)</f>
        <v/>
      </c>
      <c r="NH33" s="402">
        <f>IF(AND(368&gt;=$NR$33,368&lt;=$NS$33),IF($NP$33="Single_Point",IF(368=$NR$33,$NN$33,0),IF($NP$33="Bell_Curve",$NN$33*(368-$NR$33+1)*($NS$33-368+1)/$NU$33,$NN$33/$NT$33)),0)</f>
        <v/>
      </c>
      <c r="NI33" s="402">
        <f>IF(AND(369&gt;=$NR$33,369&lt;=$NS$33),IF($NP$33="Single_Point",IF(369=$NR$33,$NN$33,0),IF($NP$33="Bell_Curve",$NN$33*(369-$NR$33+1)*($NS$33-369+1)/$NU$33,$NN$33/$NT$33)),0)</f>
        <v/>
      </c>
      <c r="NJ33" s="402">
        <f>IF(AND(370&gt;=$NR$33,370&lt;=$NS$33),IF($NP$33="Single_Point",IF(370=$NR$33,$NN$33,0),IF($NP$33="Bell_Curve",$NN$33*(370-$NR$33+1)*($NS$33-370+1)/$NU$33,$NN$33/$NT$33)),0)</f>
        <v/>
      </c>
      <c r="NK33" s="402">
        <f>IF(AND(371&gt;=$NR$33,371&lt;=$NS$33),IF($NP$33="Single_Point",IF(371=$NR$33,$NN$33,0),IF($NP$33="Bell_Curve",$NN$33*(371-$NR$33+1)*($NS$33-371+1)/$NU$33,$NN$33/$NT$33)),0)</f>
        <v/>
      </c>
      <c r="NL33" s="426">
        <f>IF(AND(372&gt;=$NR$33,372&lt;=$NS$33),IF($NP$33="Single_Point",IF(372=$NR$33,$NN$33,0),IF($NP$33="Bell_Curve",$NN$33*(372-$NR$33+1)*($NS$33-372+1)/$NU$33,$NN$33/$NT$33)),0)</f>
        <v/>
      </c>
      <c r="NM33">
        <f>Budget!C32</f>
        <v/>
      </c>
      <c r="NN33">
        <f>Budget!J32</f>
        <v/>
      </c>
      <c r="NO33">
        <f>Budget!G32</f>
        <v/>
      </c>
      <c r="NP33">
        <f>Budget!H32</f>
        <v/>
      </c>
      <c r="NQ33">
        <f>Budget!I32</f>
        <v/>
      </c>
      <c r="NR33">
        <f>MAX(1,MIN(372,INDEX(MilestoneStart,MATCH(NO33,MilestoneNames,0))+NQ33))</f>
        <v/>
      </c>
      <c r="NS33">
        <f>MAX(NR33,MIN(372,INDEX(MilestoneEnd,MATCH(NO33,MilestoneNames,0))+NQ33))</f>
        <v/>
      </c>
      <c r="NT33">
        <f>NS33-NR33+1</f>
        <v/>
      </c>
      <c r="NU33">
        <f>NT33*(NT33+1)*(NT33+2)/6</f>
        <v/>
      </c>
    </row>
    <row r="34">
      <c r="B34" s="296">
        <f>Budget!B33</f>
        <v/>
      </c>
      <c r="D34" s="425">
        <f>SUM(E34:NL34)</f>
        <v/>
      </c>
      <c r="E34" s="402">
        <f>IF(AND(1&gt;=$NR$34,1&lt;=$NS$34),IF($NP$34="Single_Point",IF(1=$NR$34,$NN$34,0),IF($NP$34="Bell_Curve",$NN$34*(1-$NR$34+1)*($NS$34-1+1)/$NU$34,$NN$34/$NT$34)),0)</f>
        <v/>
      </c>
      <c r="F34" s="402">
        <f>IF(AND(2&gt;=$NR$34,2&lt;=$NS$34),IF($NP$34="Single_Point",IF(2=$NR$34,$NN$34,0),IF($NP$34="Bell_Curve",$NN$34*(2-$NR$34+1)*($NS$34-2+1)/$NU$34,$NN$34/$NT$34)),0)</f>
        <v/>
      </c>
      <c r="G34" s="402">
        <f>IF(AND(3&gt;=$NR$34,3&lt;=$NS$34),IF($NP$34="Single_Point",IF(3=$NR$34,$NN$34,0),IF($NP$34="Bell_Curve",$NN$34*(3-$NR$34+1)*($NS$34-3+1)/$NU$34,$NN$34/$NT$34)),0)</f>
        <v/>
      </c>
      <c r="H34" s="402">
        <f>IF(AND(4&gt;=$NR$34,4&lt;=$NS$34),IF($NP$34="Single_Point",IF(4=$NR$34,$NN$34,0),IF($NP$34="Bell_Curve",$NN$34*(4-$NR$34+1)*($NS$34-4+1)/$NU$34,$NN$34/$NT$34)),0)</f>
        <v/>
      </c>
      <c r="I34" s="402">
        <f>IF(AND(5&gt;=$NR$34,5&lt;=$NS$34),IF($NP$34="Single_Point",IF(5=$NR$34,$NN$34,0),IF($NP$34="Bell_Curve",$NN$34*(5-$NR$34+1)*($NS$34-5+1)/$NU$34,$NN$34/$NT$34)),0)</f>
        <v/>
      </c>
      <c r="J34" s="402">
        <f>IF(AND(6&gt;=$NR$34,6&lt;=$NS$34),IF($NP$34="Single_Point",IF(6=$NR$34,$NN$34,0),IF($NP$34="Bell_Curve",$NN$34*(6-$NR$34+1)*($NS$34-6+1)/$NU$34,$NN$34/$NT$34)),0)</f>
        <v/>
      </c>
      <c r="K34" s="402">
        <f>IF(AND(7&gt;=$NR$34,7&lt;=$NS$34),IF($NP$34="Single_Point",IF(7=$NR$34,$NN$34,0),IF($NP$34="Bell_Curve",$NN$34*(7-$NR$34+1)*($NS$34-7+1)/$NU$34,$NN$34/$NT$34)),0)</f>
        <v/>
      </c>
      <c r="L34" s="402">
        <f>IF(AND(8&gt;=$NR$34,8&lt;=$NS$34),IF($NP$34="Single_Point",IF(8=$NR$34,$NN$34,0),IF($NP$34="Bell_Curve",$NN$34*(8-$NR$34+1)*($NS$34-8+1)/$NU$34,$NN$34/$NT$34)),0)</f>
        <v/>
      </c>
      <c r="M34" s="402">
        <f>IF(AND(9&gt;=$NR$34,9&lt;=$NS$34),IF($NP$34="Single_Point",IF(9=$NR$34,$NN$34,0),IF($NP$34="Bell_Curve",$NN$34*(9-$NR$34+1)*($NS$34-9+1)/$NU$34,$NN$34/$NT$34)),0)</f>
        <v/>
      </c>
      <c r="N34" s="402">
        <f>IF(AND(10&gt;=$NR$34,10&lt;=$NS$34),IF($NP$34="Single_Point",IF(10=$NR$34,$NN$34,0),IF($NP$34="Bell_Curve",$NN$34*(10-$NR$34+1)*($NS$34-10+1)/$NU$34,$NN$34/$NT$34)),0)</f>
        <v/>
      </c>
      <c r="O34" s="402">
        <f>IF(AND(11&gt;=$NR$34,11&lt;=$NS$34),IF($NP$34="Single_Point",IF(11=$NR$34,$NN$34,0),IF($NP$34="Bell_Curve",$NN$34*(11-$NR$34+1)*($NS$34-11+1)/$NU$34,$NN$34/$NT$34)),0)</f>
        <v/>
      </c>
      <c r="P34" s="402">
        <f>IF(AND(12&gt;=$NR$34,12&lt;=$NS$34),IF($NP$34="Single_Point",IF(12=$NR$34,$NN$34,0),IF($NP$34="Bell_Curve",$NN$34*(12-$NR$34+1)*($NS$34-12+1)/$NU$34,$NN$34/$NT$34)),0)</f>
        <v/>
      </c>
      <c r="Q34" s="402">
        <f>IF(AND(13&gt;=$NR$34,13&lt;=$NS$34),IF($NP$34="Single_Point",IF(13=$NR$34,$NN$34,0),IF($NP$34="Bell_Curve",$NN$34*(13-$NR$34+1)*($NS$34-13+1)/$NU$34,$NN$34/$NT$34)),0)</f>
        <v/>
      </c>
      <c r="R34" s="402">
        <f>IF(AND(14&gt;=$NR$34,14&lt;=$NS$34),IF($NP$34="Single_Point",IF(14=$NR$34,$NN$34,0),IF($NP$34="Bell_Curve",$NN$34*(14-$NR$34+1)*($NS$34-14+1)/$NU$34,$NN$34/$NT$34)),0)</f>
        <v/>
      </c>
      <c r="S34" s="402">
        <f>IF(AND(15&gt;=$NR$34,15&lt;=$NS$34),IF($NP$34="Single_Point",IF(15=$NR$34,$NN$34,0),IF($NP$34="Bell_Curve",$NN$34*(15-$NR$34+1)*($NS$34-15+1)/$NU$34,$NN$34/$NT$34)),0)</f>
        <v/>
      </c>
      <c r="T34" s="402">
        <f>IF(AND(16&gt;=$NR$34,16&lt;=$NS$34),IF($NP$34="Single_Point",IF(16=$NR$34,$NN$34,0),IF($NP$34="Bell_Curve",$NN$34*(16-$NR$34+1)*($NS$34-16+1)/$NU$34,$NN$34/$NT$34)),0)</f>
        <v/>
      </c>
      <c r="U34" s="402">
        <f>IF(AND(17&gt;=$NR$34,17&lt;=$NS$34),IF($NP$34="Single_Point",IF(17=$NR$34,$NN$34,0),IF($NP$34="Bell_Curve",$NN$34*(17-$NR$34+1)*($NS$34-17+1)/$NU$34,$NN$34/$NT$34)),0)</f>
        <v/>
      </c>
      <c r="V34" s="402">
        <f>IF(AND(18&gt;=$NR$34,18&lt;=$NS$34),IF($NP$34="Single_Point",IF(18=$NR$34,$NN$34,0),IF($NP$34="Bell_Curve",$NN$34*(18-$NR$34+1)*($NS$34-18+1)/$NU$34,$NN$34/$NT$34)),0)</f>
        <v/>
      </c>
      <c r="W34" s="402">
        <f>IF(AND(19&gt;=$NR$34,19&lt;=$NS$34),IF($NP$34="Single_Point",IF(19=$NR$34,$NN$34,0),IF($NP$34="Bell_Curve",$NN$34*(19-$NR$34+1)*($NS$34-19+1)/$NU$34,$NN$34/$NT$34)),0)</f>
        <v/>
      </c>
      <c r="X34" s="402">
        <f>IF(AND(20&gt;=$NR$34,20&lt;=$NS$34),IF($NP$34="Single_Point",IF(20=$NR$34,$NN$34,0),IF($NP$34="Bell_Curve",$NN$34*(20-$NR$34+1)*($NS$34-20+1)/$NU$34,$NN$34/$NT$34)),0)</f>
        <v/>
      </c>
      <c r="Y34" s="402">
        <f>IF(AND(21&gt;=$NR$34,21&lt;=$NS$34),IF($NP$34="Single_Point",IF(21=$NR$34,$NN$34,0),IF($NP$34="Bell_Curve",$NN$34*(21-$NR$34+1)*($NS$34-21+1)/$NU$34,$NN$34/$NT$34)),0)</f>
        <v/>
      </c>
      <c r="Z34" s="402">
        <f>IF(AND(22&gt;=$NR$34,22&lt;=$NS$34),IF($NP$34="Single_Point",IF(22=$NR$34,$NN$34,0),IF($NP$34="Bell_Curve",$NN$34*(22-$NR$34+1)*($NS$34-22+1)/$NU$34,$NN$34/$NT$34)),0)</f>
        <v/>
      </c>
      <c r="AA34" s="402">
        <f>IF(AND(23&gt;=$NR$34,23&lt;=$NS$34),IF($NP$34="Single_Point",IF(23=$NR$34,$NN$34,0),IF($NP$34="Bell_Curve",$NN$34*(23-$NR$34+1)*($NS$34-23+1)/$NU$34,$NN$34/$NT$34)),0)</f>
        <v/>
      </c>
      <c r="AB34" s="402">
        <f>IF(AND(24&gt;=$NR$34,24&lt;=$NS$34),IF($NP$34="Single_Point",IF(24=$NR$34,$NN$34,0),IF($NP$34="Bell_Curve",$NN$34*(24-$NR$34+1)*($NS$34-24+1)/$NU$34,$NN$34/$NT$34)),0)</f>
        <v/>
      </c>
      <c r="AC34" s="402">
        <f>IF(AND(25&gt;=$NR$34,25&lt;=$NS$34),IF($NP$34="Single_Point",IF(25=$NR$34,$NN$34,0),IF($NP$34="Bell_Curve",$NN$34*(25-$NR$34+1)*($NS$34-25+1)/$NU$34,$NN$34/$NT$34)),0)</f>
        <v/>
      </c>
      <c r="AD34" s="402">
        <f>IF(AND(26&gt;=$NR$34,26&lt;=$NS$34),IF($NP$34="Single_Point",IF(26=$NR$34,$NN$34,0),IF($NP$34="Bell_Curve",$NN$34*(26-$NR$34+1)*($NS$34-26+1)/$NU$34,$NN$34/$NT$34)),0)</f>
        <v/>
      </c>
      <c r="AE34" s="402">
        <f>IF(AND(27&gt;=$NR$34,27&lt;=$NS$34),IF($NP$34="Single_Point",IF(27=$NR$34,$NN$34,0),IF($NP$34="Bell_Curve",$NN$34*(27-$NR$34+1)*($NS$34-27+1)/$NU$34,$NN$34/$NT$34)),0)</f>
        <v/>
      </c>
      <c r="AF34" s="402">
        <f>IF(AND(28&gt;=$NR$34,28&lt;=$NS$34),IF($NP$34="Single_Point",IF(28=$NR$34,$NN$34,0),IF($NP$34="Bell_Curve",$NN$34*(28-$NR$34+1)*($NS$34-28+1)/$NU$34,$NN$34/$NT$34)),0)</f>
        <v/>
      </c>
      <c r="AG34" s="402">
        <f>IF(AND(29&gt;=$NR$34,29&lt;=$NS$34),IF($NP$34="Single_Point",IF(29=$NR$34,$NN$34,0),IF($NP$34="Bell_Curve",$NN$34*(29-$NR$34+1)*($NS$34-29+1)/$NU$34,$NN$34/$NT$34)),0)</f>
        <v/>
      </c>
      <c r="AH34" s="402">
        <f>IF(AND(30&gt;=$NR$34,30&lt;=$NS$34),IF($NP$34="Single_Point",IF(30=$NR$34,$NN$34,0),IF($NP$34="Bell_Curve",$NN$34*(30-$NR$34+1)*($NS$34-30+1)/$NU$34,$NN$34/$NT$34)),0)</f>
        <v/>
      </c>
      <c r="AI34" s="402">
        <f>IF(AND(31&gt;=$NR$34,31&lt;=$NS$34),IF($NP$34="Single_Point",IF(31=$NR$34,$NN$34,0),IF($NP$34="Bell_Curve",$NN$34*(31-$NR$34+1)*($NS$34-31+1)/$NU$34,$NN$34/$NT$34)),0)</f>
        <v/>
      </c>
      <c r="AJ34" s="402">
        <f>IF(AND(32&gt;=$NR$34,32&lt;=$NS$34),IF($NP$34="Single_Point",IF(32=$NR$34,$NN$34,0),IF($NP$34="Bell_Curve",$NN$34*(32-$NR$34+1)*($NS$34-32+1)/$NU$34,$NN$34/$NT$34)),0)</f>
        <v/>
      </c>
      <c r="AK34" s="402">
        <f>IF(AND(33&gt;=$NR$34,33&lt;=$NS$34),IF($NP$34="Single_Point",IF(33=$NR$34,$NN$34,0),IF($NP$34="Bell_Curve",$NN$34*(33-$NR$34+1)*($NS$34-33+1)/$NU$34,$NN$34/$NT$34)),0)</f>
        <v/>
      </c>
      <c r="AL34" s="402">
        <f>IF(AND(34&gt;=$NR$34,34&lt;=$NS$34),IF($NP$34="Single_Point",IF(34=$NR$34,$NN$34,0),IF($NP$34="Bell_Curve",$NN$34*(34-$NR$34+1)*($NS$34-34+1)/$NU$34,$NN$34/$NT$34)),0)</f>
        <v/>
      </c>
      <c r="AM34" s="402">
        <f>IF(AND(35&gt;=$NR$34,35&lt;=$NS$34),IF($NP$34="Single_Point",IF(35=$NR$34,$NN$34,0),IF($NP$34="Bell_Curve",$NN$34*(35-$NR$34+1)*($NS$34-35+1)/$NU$34,$NN$34/$NT$34)),0)</f>
        <v/>
      </c>
      <c r="AN34" s="402">
        <f>IF(AND(36&gt;=$NR$34,36&lt;=$NS$34),IF($NP$34="Single_Point",IF(36=$NR$34,$NN$34,0),IF($NP$34="Bell_Curve",$NN$34*(36-$NR$34+1)*($NS$34-36+1)/$NU$34,$NN$34/$NT$34)),0)</f>
        <v/>
      </c>
      <c r="AO34" s="402">
        <f>IF(AND(37&gt;=$NR$34,37&lt;=$NS$34),IF($NP$34="Single_Point",IF(37=$NR$34,$NN$34,0),IF($NP$34="Bell_Curve",$NN$34*(37-$NR$34+1)*($NS$34-37+1)/$NU$34,$NN$34/$NT$34)),0)</f>
        <v/>
      </c>
      <c r="AP34" s="402">
        <f>IF(AND(38&gt;=$NR$34,38&lt;=$NS$34),IF($NP$34="Single_Point",IF(38=$NR$34,$NN$34,0),IF($NP$34="Bell_Curve",$NN$34*(38-$NR$34+1)*($NS$34-38+1)/$NU$34,$NN$34/$NT$34)),0)</f>
        <v/>
      </c>
      <c r="AQ34" s="402">
        <f>IF(AND(39&gt;=$NR$34,39&lt;=$NS$34),IF($NP$34="Single_Point",IF(39=$NR$34,$NN$34,0),IF($NP$34="Bell_Curve",$NN$34*(39-$NR$34+1)*($NS$34-39+1)/$NU$34,$NN$34/$NT$34)),0)</f>
        <v/>
      </c>
      <c r="AR34" s="402">
        <f>IF(AND(40&gt;=$NR$34,40&lt;=$NS$34),IF($NP$34="Single_Point",IF(40=$NR$34,$NN$34,0),IF($NP$34="Bell_Curve",$NN$34*(40-$NR$34+1)*($NS$34-40+1)/$NU$34,$NN$34/$NT$34)),0)</f>
        <v/>
      </c>
      <c r="AS34" s="402">
        <f>IF(AND(41&gt;=$NR$34,41&lt;=$NS$34),IF($NP$34="Single_Point",IF(41=$NR$34,$NN$34,0),IF($NP$34="Bell_Curve",$NN$34*(41-$NR$34+1)*($NS$34-41+1)/$NU$34,$NN$34/$NT$34)),0)</f>
        <v/>
      </c>
      <c r="AT34" s="402">
        <f>IF(AND(42&gt;=$NR$34,42&lt;=$NS$34),IF($NP$34="Single_Point",IF(42=$NR$34,$NN$34,0),IF($NP$34="Bell_Curve",$NN$34*(42-$NR$34+1)*($NS$34-42+1)/$NU$34,$NN$34/$NT$34)),0)</f>
        <v/>
      </c>
      <c r="AU34" s="402">
        <f>IF(AND(43&gt;=$NR$34,43&lt;=$NS$34),IF($NP$34="Single_Point",IF(43=$NR$34,$NN$34,0),IF($NP$34="Bell_Curve",$NN$34*(43-$NR$34+1)*($NS$34-43+1)/$NU$34,$NN$34/$NT$34)),0)</f>
        <v/>
      </c>
      <c r="AV34" s="402">
        <f>IF(AND(44&gt;=$NR$34,44&lt;=$NS$34),IF($NP$34="Single_Point",IF(44=$NR$34,$NN$34,0),IF($NP$34="Bell_Curve",$NN$34*(44-$NR$34+1)*($NS$34-44+1)/$NU$34,$NN$34/$NT$34)),0)</f>
        <v/>
      </c>
      <c r="AW34" s="402">
        <f>IF(AND(45&gt;=$NR$34,45&lt;=$NS$34),IF($NP$34="Single_Point",IF(45=$NR$34,$NN$34,0),IF($NP$34="Bell_Curve",$NN$34*(45-$NR$34+1)*($NS$34-45+1)/$NU$34,$NN$34/$NT$34)),0)</f>
        <v/>
      </c>
      <c r="AX34" s="402">
        <f>IF(AND(46&gt;=$NR$34,46&lt;=$NS$34),IF($NP$34="Single_Point",IF(46=$NR$34,$NN$34,0),IF($NP$34="Bell_Curve",$NN$34*(46-$NR$34+1)*($NS$34-46+1)/$NU$34,$NN$34/$NT$34)),0)</f>
        <v/>
      </c>
      <c r="AY34" s="402">
        <f>IF(AND(47&gt;=$NR$34,47&lt;=$NS$34),IF($NP$34="Single_Point",IF(47=$NR$34,$NN$34,0),IF($NP$34="Bell_Curve",$NN$34*(47-$NR$34+1)*($NS$34-47+1)/$NU$34,$NN$34/$NT$34)),0)</f>
        <v/>
      </c>
      <c r="AZ34" s="402">
        <f>IF(AND(48&gt;=$NR$34,48&lt;=$NS$34),IF($NP$34="Single_Point",IF(48=$NR$34,$NN$34,0),IF($NP$34="Bell_Curve",$NN$34*(48-$NR$34+1)*($NS$34-48+1)/$NU$34,$NN$34/$NT$34)),0)</f>
        <v/>
      </c>
      <c r="BA34" s="402">
        <f>IF(AND(49&gt;=$NR$34,49&lt;=$NS$34),IF($NP$34="Single_Point",IF(49=$NR$34,$NN$34,0),IF($NP$34="Bell_Curve",$NN$34*(49-$NR$34+1)*($NS$34-49+1)/$NU$34,$NN$34/$NT$34)),0)</f>
        <v/>
      </c>
      <c r="BB34" s="402">
        <f>IF(AND(50&gt;=$NR$34,50&lt;=$NS$34),IF($NP$34="Single_Point",IF(50=$NR$34,$NN$34,0),IF($NP$34="Bell_Curve",$NN$34*(50-$NR$34+1)*($NS$34-50+1)/$NU$34,$NN$34/$NT$34)),0)</f>
        <v/>
      </c>
      <c r="BC34" s="402">
        <f>IF(AND(51&gt;=$NR$34,51&lt;=$NS$34),IF($NP$34="Single_Point",IF(51=$NR$34,$NN$34,0),IF($NP$34="Bell_Curve",$NN$34*(51-$NR$34+1)*($NS$34-51+1)/$NU$34,$NN$34/$NT$34)),0)</f>
        <v/>
      </c>
      <c r="BD34" s="402">
        <f>IF(AND(52&gt;=$NR$34,52&lt;=$NS$34),IF($NP$34="Single_Point",IF(52=$NR$34,$NN$34,0),IF($NP$34="Bell_Curve",$NN$34*(52-$NR$34+1)*($NS$34-52+1)/$NU$34,$NN$34/$NT$34)),0)</f>
        <v/>
      </c>
      <c r="BE34" s="402">
        <f>IF(AND(53&gt;=$NR$34,53&lt;=$NS$34),IF($NP$34="Single_Point",IF(53=$NR$34,$NN$34,0),IF($NP$34="Bell_Curve",$NN$34*(53-$NR$34+1)*($NS$34-53+1)/$NU$34,$NN$34/$NT$34)),0)</f>
        <v/>
      </c>
      <c r="BF34" s="402">
        <f>IF(AND(54&gt;=$NR$34,54&lt;=$NS$34),IF($NP$34="Single_Point",IF(54=$NR$34,$NN$34,0),IF($NP$34="Bell_Curve",$NN$34*(54-$NR$34+1)*($NS$34-54+1)/$NU$34,$NN$34/$NT$34)),0)</f>
        <v/>
      </c>
      <c r="BG34" s="402">
        <f>IF(AND(55&gt;=$NR$34,55&lt;=$NS$34),IF($NP$34="Single_Point",IF(55=$NR$34,$NN$34,0),IF($NP$34="Bell_Curve",$NN$34*(55-$NR$34+1)*($NS$34-55+1)/$NU$34,$NN$34/$NT$34)),0)</f>
        <v/>
      </c>
      <c r="BH34" s="402">
        <f>IF(AND(56&gt;=$NR$34,56&lt;=$NS$34),IF($NP$34="Single_Point",IF(56=$NR$34,$NN$34,0),IF($NP$34="Bell_Curve",$NN$34*(56-$NR$34+1)*($NS$34-56+1)/$NU$34,$NN$34/$NT$34)),0)</f>
        <v/>
      </c>
      <c r="BI34" s="402">
        <f>IF(AND(57&gt;=$NR$34,57&lt;=$NS$34),IF($NP$34="Single_Point",IF(57=$NR$34,$NN$34,0),IF($NP$34="Bell_Curve",$NN$34*(57-$NR$34+1)*($NS$34-57+1)/$NU$34,$NN$34/$NT$34)),0)</f>
        <v/>
      </c>
      <c r="BJ34" s="402">
        <f>IF(AND(58&gt;=$NR$34,58&lt;=$NS$34),IF($NP$34="Single_Point",IF(58=$NR$34,$NN$34,0),IF($NP$34="Bell_Curve",$NN$34*(58-$NR$34+1)*($NS$34-58+1)/$NU$34,$NN$34/$NT$34)),0)</f>
        <v/>
      </c>
      <c r="BK34" s="402">
        <f>IF(AND(59&gt;=$NR$34,59&lt;=$NS$34),IF($NP$34="Single_Point",IF(59=$NR$34,$NN$34,0),IF($NP$34="Bell_Curve",$NN$34*(59-$NR$34+1)*($NS$34-59+1)/$NU$34,$NN$34/$NT$34)),0)</f>
        <v/>
      </c>
      <c r="BL34" s="402">
        <f>IF(AND(60&gt;=$NR$34,60&lt;=$NS$34),IF($NP$34="Single_Point",IF(60=$NR$34,$NN$34,0),IF($NP$34="Bell_Curve",$NN$34*(60-$NR$34+1)*($NS$34-60+1)/$NU$34,$NN$34/$NT$34)),0)</f>
        <v/>
      </c>
      <c r="BM34" s="402">
        <f>IF(AND(61&gt;=$NR$34,61&lt;=$NS$34),IF($NP$34="Single_Point",IF(61=$NR$34,$NN$34,0),IF($NP$34="Bell_Curve",$NN$34*(61-$NR$34+1)*($NS$34-61+1)/$NU$34,$NN$34/$NT$34)),0)</f>
        <v/>
      </c>
      <c r="BN34" s="402">
        <f>IF(AND(62&gt;=$NR$34,62&lt;=$NS$34),IF($NP$34="Single_Point",IF(62=$NR$34,$NN$34,0),IF($NP$34="Bell_Curve",$NN$34*(62-$NR$34+1)*($NS$34-62+1)/$NU$34,$NN$34/$NT$34)),0)</f>
        <v/>
      </c>
      <c r="BO34" s="402">
        <f>IF(AND(63&gt;=$NR$34,63&lt;=$NS$34),IF($NP$34="Single_Point",IF(63=$NR$34,$NN$34,0),IF($NP$34="Bell_Curve",$NN$34*(63-$NR$34+1)*($NS$34-63+1)/$NU$34,$NN$34/$NT$34)),0)</f>
        <v/>
      </c>
      <c r="BP34" s="402">
        <f>IF(AND(64&gt;=$NR$34,64&lt;=$NS$34),IF($NP$34="Single_Point",IF(64=$NR$34,$NN$34,0),IF($NP$34="Bell_Curve",$NN$34*(64-$NR$34+1)*($NS$34-64+1)/$NU$34,$NN$34/$NT$34)),0)</f>
        <v/>
      </c>
      <c r="BQ34" s="402">
        <f>IF(AND(65&gt;=$NR$34,65&lt;=$NS$34),IF($NP$34="Single_Point",IF(65=$NR$34,$NN$34,0),IF($NP$34="Bell_Curve",$NN$34*(65-$NR$34+1)*($NS$34-65+1)/$NU$34,$NN$34/$NT$34)),0)</f>
        <v/>
      </c>
      <c r="BR34" s="402">
        <f>IF(AND(66&gt;=$NR$34,66&lt;=$NS$34),IF($NP$34="Single_Point",IF(66=$NR$34,$NN$34,0),IF($NP$34="Bell_Curve",$NN$34*(66-$NR$34+1)*($NS$34-66+1)/$NU$34,$NN$34/$NT$34)),0)</f>
        <v/>
      </c>
      <c r="BS34" s="402">
        <f>IF(AND(67&gt;=$NR$34,67&lt;=$NS$34),IF($NP$34="Single_Point",IF(67=$NR$34,$NN$34,0),IF($NP$34="Bell_Curve",$NN$34*(67-$NR$34+1)*($NS$34-67+1)/$NU$34,$NN$34/$NT$34)),0)</f>
        <v/>
      </c>
      <c r="BT34" s="402">
        <f>IF(AND(68&gt;=$NR$34,68&lt;=$NS$34),IF($NP$34="Single_Point",IF(68=$NR$34,$NN$34,0),IF($NP$34="Bell_Curve",$NN$34*(68-$NR$34+1)*($NS$34-68+1)/$NU$34,$NN$34/$NT$34)),0)</f>
        <v/>
      </c>
      <c r="BU34" s="402">
        <f>IF(AND(69&gt;=$NR$34,69&lt;=$NS$34),IF($NP$34="Single_Point",IF(69=$NR$34,$NN$34,0),IF($NP$34="Bell_Curve",$NN$34*(69-$NR$34+1)*($NS$34-69+1)/$NU$34,$NN$34/$NT$34)),0)</f>
        <v/>
      </c>
      <c r="BV34" s="402">
        <f>IF(AND(70&gt;=$NR$34,70&lt;=$NS$34),IF($NP$34="Single_Point",IF(70=$NR$34,$NN$34,0),IF($NP$34="Bell_Curve",$NN$34*(70-$NR$34+1)*($NS$34-70+1)/$NU$34,$NN$34/$NT$34)),0)</f>
        <v/>
      </c>
      <c r="BW34" s="402">
        <f>IF(AND(71&gt;=$NR$34,71&lt;=$NS$34),IF($NP$34="Single_Point",IF(71=$NR$34,$NN$34,0),IF($NP$34="Bell_Curve",$NN$34*(71-$NR$34+1)*($NS$34-71+1)/$NU$34,$NN$34/$NT$34)),0)</f>
        <v/>
      </c>
      <c r="BX34" s="402">
        <f>IF(AND(72&gt;=$NR$34,72&lt;=$NS$34),IF($NP$34="Single_Point",IF(72=$NR$34,$NN$34,0),IF($NP$34="Bell_Curve",$NN$34*(72-$NR$34+1)*($NS$34-72+1)/$NU$34,$NN$34/$NT$34)),0)</f>
        <v/>
      </c>
      <c r="BY34" s="402">
        <f>IF(AND(73&gt;=$NR$34,73&lt;=$NS$34),IF($NP$34="Single_Point",IF(73=$NR$34,$NN$34,0),IF($NP$34="Bell_Curve",$NN$34*(73-$NR$34+1)*($NS$34-73+1)/$NU$34,$NN$34/$NT$34)),0)</f>
        <v/>
      </c>
      <c r="BZ34" s="402">
        <f>IF(AND(74&gt;=$NR$34,74&lt;=$NS$34),IF($NP$34="Single_Point",IF(74=$NR$34,$NN$34,0),IF($NP$34="Bell_Curve",$NN$34*(74-$NR$34+1)*($NS$34-74+1)/$NU$34,$NN$34/$NT$34)),0)</f>
        <v/>
      </c>
      <c r="CA34" s="402">
        <f>IF(AND(75&gt;=$NR$34,75&lt;=$NS$34),IF($NP$34="Single_Point",IF(75=$NR$34,$NN$34,0),IF($NP$34="Bell_Curve",$NN$34*(75-$NR$34+1)*($NS$34-75+1)/$NU$34,$NN$34/$NT$34)),0)</f>
        <v/>
      </c>
      <c r="CB34" s="402">
        <f>IF(AND(76&gt;=$NR$34,76&lt;=$NS$34),IF($NP$34="Single_Point",IF(76=$NR$34,$NN$34,0),IF($NP$34="Bell_Curve",$NN$34*(76-$NR$34+1)*($NS$34-76+1)/$NU$34,$NN$34/$NT$34)),0)</f>
        <v/>
      </c>
      <c r="CC34" s="402">
        <f>IF(AND(77&gt;=$NR$34,77&lt;=$NS$34),IF($NP$34="Single_Point",IF(77=$NR$34,$NN$34,0),IF($NP$34="Bell_Curve",$NN$34*(77-$NR$34+1)*($NS$34-77+1)/$NU$34,$NN$34/$NT$34)),0)</f>
        <v/>
      </c>
      <c r="CD34" s="402">
        <f>IF(AND(78&gt;=$NR$34,78&lt;=$NS$34),IF($NP$34="Single_Point",IF(78=$NR$34,$NN$34,0),IF($NP$34="Bell_Curve",$NN$34*(78-$NR$34+1)*($NS$34-78+1)/$NU$34,$NN$34/$NT$34)),0)</f>
        <v/>
      </c>
      <c r="CE34" s="402">
        <f>IF(AND(79&gt;=$NR$34,79&lt;=$NS$34),IF($NP$34="Single_Point",IF(79=$NR$34,$NN$34,0),IF($NP$34="Bell_Curve",$NN$34*(79-$NR$34+1)*($NS$34-79+1)/$NU$34,$NN$34/$NT$34)),0)</f>
        <v/>
      </c>
      <c r="CF34" s="402">
        <f>IF(AND(80&gt;=$NR$34,80&lt;=$NS$34),IF($NP$34="Single_Point",IF(80=$NR$34,$NN$34,0),IF($NP$34="Bell_Curve",$NN$34*(80-$NR$34+1)*($NS$34-80+1)/$NU$34,$NN$34/$NT$34)),0)</f>
        <v/>
      </c>
      <c r="CG34" s="402">
        <f>IF(AND(81&gt;=$NR$34,81&lt;=$NS$34),IF($NP$34="Single_Point",IF(81=$NR$34,$NN$34,0),IF($NP$34="Bell_Curve",$NN$34*(81-$NR$34+1)*($NS$34-81+1)/$NU$34,$NN$34/$NT$34)),0)</f>
        <v/>
      </c>
      <c r="CH34" s="402">
        <f>IF(AND(82&gt;=$NR$34,82&lt;=$NS$34),IF($NP$34="Single_Point",IF(82=$NR$34,$NN$34,0),IF($NP$34="Bell_Curve",$NN$34*(82-$NR$34+1)*($NS$34-82+1)/$NU$34,$NN$34/$NT$34)),0)</f>
        <v/>
      </c>
      <c r="CI34" s="402">
        <f>IF(AND(83&gt;=$NR$34,83&lt;=$NS$34),IF($NP$34="Single_Point",IF(83=$NR$34,$NN$34,0),IF($NP$34="Bell_Curve",$NN$34*(83-$NR$34+1)*($NS$34-83+1)/$NU$34,$NN$34/$NT$34)),0)</f>
        <v/>
      </c>
      <c r="CJ34" s="402">
        <f>IF(AND(84&gt;=$NR$34,84&lt;=$NS$34),IF($NP$34="Single_Point",IF(84=$NR$34,$NN$34,0),IF($NP$34="Bell_Curve",$NN$34*(84-$NR$34+1)*($NS$34-84+1)/$NU$34,$NN$34/$NT$34)),0)</f>
        <v/>
      </c>
      <c r="CK34" s="402">
        <f>IF(AND(85&gt;=$NR$34,85&lt;=$NS$34),IF($NP$34="Single_Point",IF(85=$NR$34,$NN$34,0),IF($NP$34="Bell_Curve",$NN$34*(85-$NR$34+1)*($NS$34-85+1)/$NU$34,$NN$34/$NT$34)),0)</f>
        <v/>
      </c>
      <c r="CL34" s="402">
        <f>IF(AND(86&gt;=$NR$34,86&lt;=$NS$34),IF($NP$34="Single_Point",IF(86=$NR$34,$NN$34,0),IF($NP$34="Bell_Curve",$NN$34*(86-$NR$34+1)*($NS$34-86+1)/$NU$34,$NN$34/$NT$34)),0)</f>
        <v/>
      </c>
      <c r="CM34" s="402">
        <f>IF(AND(87&gt;=$NR$34,87&lt;=$NS$34),IF($NP$34="Single_Point",IF(87=$NR$34,$NN$34,0),IF($NP$34="Bell_Curve",$NN$34*(87-$NR$34+1)*($NS$34-87+1)/$NU$34,$NN$34/$NT$34)),0)</f>
        <v/>
      </c>
      <c r="CN34" s="402">
        <f>IF(AND(88&gt;=$NR$34,88&lt;=$NS$34),IF($NP$34="Single_Point",IF(88=$NR$34,$NN$34,0),IF($NP$34="Bell_Curve",$NN$34*(88-$NR$34+1)*($NS$34-88+1)/$NU$34,$NN$34/$NT$34)),0)</f>
        <v/>
      </c>
      <c r="CO34" s="402">
        <f>IF(AND(89&gt;=$NR$34,89&lt;=$NS$34),IF($NP$34="Single_Point",IF(89=$NR$34,$NN$34,0),IF($NP$34="Bell_Curve",$NN$34*(89-$NR$34+1)*($NS$34-89+1)/$NU$34,$NN$34/$NT$34)),0)</f>
        <v/>
      </c>
      <c r="CP34" s="402">
        <f>IF(AND(90&gt;=$NR$34,90&lt;=$NS$34),IF($NP$34="Single_Point",IF(90=$NR$34,$NN$34,0),IF($NP$34="Bell_Curve",$NN$34*(90-$NR$34+1)*($NS$34-90+1)/$NU$34,$NN$34/$NT$34)),0)</f>
        <v/>
      </c>
      <c r="CQ34" s="402">
        <f>IF(AND(91&gt;=$NR$34,91&lt;=$NS$34),IF($NP$34="Single_Point",IF(91=$NR$34,$NN$34,0),IF($NP$34="Bell_Curve",$NN$34*(91-$NR$34+1)*($NS$34-91+1)/$NU$34,$NN$34/$NT$34)),0)</f>
        <v/>
      </c>
      <c r="CR34" s="402">
        <f>IF(AND(92&gt;=$NR$34,92&lt;=$NS$34),IF($NP$34="Single_Point",IF(92=$NR$34,$NN$34,0),IF($NP$34="Bell_Curve",$NN$34*(92-$NR$34+1)*($NS$34-92+1)/$NU$34,$NN$34/$NT$34)),0)</f>
        <v/>
      </c>
      <c r="CS34" s="402">
        <f>IF(AND(93&gt;=$NR$34,93&lt;=$NS$34),IF($NP$34="Single_Point",IF(93=$NR$34,$NN$34,0),IF($NP$34="Bell_Curve",$NN$34*(93-$NR$34+1)*($NS$34-93+1)/$NU$34,$NN$34/$NT$34)),0)</f>
        <v/>
      </c>
      <c r="CT34" s="402">
        <f>IF(AND(94&gt;=$NR$34,94&lt;=$NS$34),IF($NP$34="Single_Point",IF(94=$NR$34,$NN$34,0),IF($NP$34="Bell_Curve",$NN$34*(94-$NR$34+1)*($NS$34-94+1)/$NU$34,$NN$34/$NT$34)),0)</f>
        <v/>
      </c>
      <c r="CU34" s="402">
        <f>IF(AND(95&gt;=$NR$34,95&lt;=$NS$34),IF($NP$34="Single_Point",IF(95=$NR$34,$NN$34,0),IF($NP$34="Bell_Curve",$NN$34*(95-$NR$34+1)*($NS$34-95+1)/$NU$34,$NN$34/$NT$34)),0)</f>
        <v/>
      </c>
      <c r="CV34" s="402">
        <f>IF(AND(96&gt;=$NR$34,96&lt;=$NS$34),IF($NP$34="Single_Point",IF(96=$NR$34,$NN$34,0),IF($NP$34="Bell_Curve",$NN$34*(96-$NR$34+1)*($NS$34-96+1)/$NU$34,$NN$34/$NT$34)),0)</f>
        <v/>
      </c>
      <c r="CW34" s="402">
        <f>IF(AND(97&gt;=$NR$34,97&lt;=$NS$34),IF($NP$34="Single_Point",IF(97=$NR$34,$NN$34,0),IF($NP$34="Bell_Curve",$NN$34*(97-$NR$34+1)*($NS$34-97+1)/$NU$34,$NN$34/$NT$34)),0)</f>
        <v/>
      </c>
      <c r="CX34" s="402">
        <f>IF(AND(98&gt;=$NR$34,98&lt;=$NS$34),IF($NP$34="Single_Point",IF(98=$NR$34,$NN$34,0),IF($NP$34="Bell_Curve",$NN$34*(98-$NR$34+1)*($NS$34-98+1)/$NU$34,$NN$34/$NT$34)),0)</f>
        <v/>
      </c>
      <c r="CY34" s="402">
        <f>IF(AND(99&gt;=$NR$34,99&lt;=$NS$34),IF($NP$34="Single_Point",IF(99=$NR$34,$NN$34,0),IF($NP$34="Bell_Curve",$NN$34*(99-$NR$34+1)*($NS$34-99+1)/$NU$34,$NN$34/$NT$34)),0)</f>
        <v/>
      </c>
      <c r="CZ34" s="402">
        <f>IF(AND(100&gt;=$NR$34,100&lt;=$NS$34),IF($NP$34="Single_Point",IF(100=$NR$34,$NN$34,0),IF($NP$34="Bell_Curve",$NN$34*(100-$NR$34+1)*($NS$34-100+1)/$NU$34,$NN$34/$NT$34)),0)</f>
        <v/>
      </c>
      <c r="DA34" s="402">
        <f>IF(AND(101&gt;=$NR$34,101&lt;=$NS$34),IF($NP$34="Single_Point",IF(101=$NR$34,$NN$34,0),IF($NP$34="Bell_Curve",$NN$34*(101-$NR$34+1)*($NS$34-101+1)/$NU$34,$NN$34/$NT$34)),0)</f>
        <v/>
      </c>
      <c r="DB34" s="402">
        <f>IF(AND(102&gt;=$NR$34,102&lt;=$NS$34),IF($NP$34="Single_Point",IF(102=$NR$34,$NN$34,0),IF($NP$34="Bell_Curve",$NN$34*(102-$NR$34+1)*($NS$34-102+1)/$NU$34,$NN$34/$NT$34)),0)</f>
        <v/>
      </c>
      <c r="DC34" s="402">
        <f>IF(AND(103&gt;=$NR$34,103&lt;=$NS$34),IF($NP$34="Single_Point",IF(103=$NR$34,$NN$34,0),IF($NP$34="Bell_Curve",$NN$34*(103-$NR$34+1)*($NS$34-103+1)/$NU$34,$NN$34/$NT$34)),0)</f>
        <v/>
      </c>
      <c r="DD34" s="402">
        <f>IF(AND(104&gt;=$NR$34,104&lt;=$NS$34),IF($NP$34="Single_Point",IF(104=$NR$34,$NN$34,0),IF($NP$34="Bell_Curve",$NN$34*(104-$NR$34+1)*($NS$34-104+1)/$NU$34,$NN$34/$NT$34)),0)</f>
        <v/>
      </c>
      <c r="DE34" s="402">
        <f>IF(AND(105&gt;=$NR$34,105&lt;=$NS$34),IF($NP$34="Single_Point",IF(105=$NR$34,$NN$34,0),IF($NP$34="Bell_Curve",$NN$34*(105-$NR$34+1)*($NS$34-105+1)/$NU$34,$NN$34/$NT$34)),0)</f>
        <v/>
      </c>
      <c r="DF34" s="402">
        <f>IF(AND(106&gt;=$NR$34,106&lt;=$NS$34),IF($NP$34="Single_Point",IF(106=$NR$34,$NN$34,0),IF($NP$34="Bell_Curve",$NN$34*(106-$NR$34+1)*($NS$34-106+1)/$NU$34,$NN$34/$NT$34)),0)</f>
        <v/>
      </c>
      <c r="DG34" s="402">
        <f>IF(AND(107&gt;=$NR$34,107&lt;=$NS$34),IF($NP$34="Single_Point",IF(107=$NR$34,$NN$34,0),IF($NP$34="Bell_Curve",$NN$34*(107-$NR$34+1)*($NS$34-107+1)/$NU$34,$NN$34/$NT$34)),0)</f>
        <v/>
      </c>
      <c r="DH34" s="402">
        <f>IF(AND(108&gt;=$NR$34,108&lt;=$NS$34),IF($NP$34="Single_Point",IF(108=$NR$34,$NN$34,0),IF($NP$34="Bell_Curve",$NN$34*(108-$NR$34+1)*($NS$34-108+1)/$NU$34,$NN$34/$NT$34)),0)</f>
        <v/>
      </c>
      <c r="DI34" s="402">
        <f>IF(AND(109&gt;=$NR$34,109&lt;=$NS$34),IF($NP$34="Single_Point",IF(109=$NR$34,$NN$34,0),IF($NP$34="Bell_Curve",$NN$34*(109-$NR$34+1)*($NS$34-109+1)/$NU$34,$NN$34/$NT$34)),0)</f>
        <v/>
      </c>
      <c r="DJ34" s="402">
        <f>IF(AND(110&gt;=$NR$34,110&lt;=$NS$34),IF($NP$34="Single_Point",IF(110=$NR$34,$NN$34,0),IF($NP$34="Bell_Curve",$NN$34*(110-$NR$34+1)*($NS$34-110+1)/$NU$34,$NN$34/$NT$34)),0)</f>
        <v/>
      </c>
      <c r="DK34" s="402">
        <f>IF(AND(111&gt;=$NR$34,111&lt;=$NS$34),IF($NP$34="Single_Point",IF(111=$NR$34,$NN$34,0),IF($NP$34="Bell_Curve",$NN$34*(111-$NR$34+1)*($NS$34-111+1)/$NU$34,$NN$34/$NT$34)),0)</f>
        <v/>
      </c>
      <c r="DL34" s="402">
        <f>IF(AND(112&gt;=$NR$34,112&lt;=$NS$34),IF($NP$34="Single_Point",IF(112=$NR$34,$NN$34,0),IF($NP$34="Bell_Curve",$NN$34*(112-$NR$34+1)*($NS$34-112+1)/$NU$34,$NN$34/$NT$34)),0)</f>
        <v/>
      </c>
      <c r="DM34" s="402">
        <f>IF(AND(113&gt;=$NR$34,113&lt;=$NS$34),IF($NP$34="Single_Point",IF(113=$NR$34,$NN$34,0),IF($NP$34="Bell_Curve",$NN$34*(113-$NR$34+1)*($NS$34-113+1)/$NU$34,$NN$34/$NT$34)),0)</f>
        <v/>
      </c>
      <c r="DN34" s="402">
        <f>IF(AND(114&gt;=$NR$34,114&lt;=$NS$34),IF($NP$34="Single_Point",IF(114=$NR$34,$NN$34,0),IF($NP$34="Bell_Curve",$NN$34*(114-$NR$34+1)*($NS$34-114+1)/$NU$34,$NN$34/$NT$34)),0)</f>
        <v/>
      </c>
      <c r="DO34" s="402">
        <f>IF(AND(115&gt;=$NR$34,115&lt;=$NS$34),IF($NP$34="Single_Point",IF(115=$NR$34,$NN$34,0),IF($NP$34="Bell_Curve",$NN$34*(115-$NR$34+1)*($NS$34-115+1)/$NU$34,$NN$34/$NT$34)),0)</f>
        <v/>
      </c>
      <c r="DP34" s="402">
        <f>IF(AND(116&gt;=$NR$34,116&lt;=$NS$34),IF($NP$34="Single_Point",IF(116=$NR$34,$NN$34,0),IF($NP$34="Bell_Curve",$NN$34*(116-$NR$34+1)*($NS$34-116+1)/$NU$34,$NN$34/$NT$34)),0)</f>
        <v/>
      </c>
      <c r="DQ34" s="402">
        <f>IF(AND(117&gt;=$NR$34,117&lt;=$NS$34),IF($NP$34="Single_Point",IF(117=$NR$34,$NN$34,0),IF($NP$34="Bell_Curve",$NN$34*(117-$NR$34+1)*($NS$34-117+1)/$NU$34,$NN$34/$NT$34)),0)</f>
        <v/>
      </c>
      <c r="DR34" s="402">
        <f>IF(AND(118&gt;=$NR$34,118&lt;=$NS$34),IF($NP$34="Single_Point",IF(118=$NR$34,$NN$34,0),IF($NP$34="Bell_Curve",$NN$34*(118-$NR$34+1)*($NS$34-118+1)/$NU$34,$NN$34/$NT$34)),0)</f>
        <v/>
      </c>
      <c r="DS34" s="402">
        <f>IF(AND(119&gt;=$NR$34,119&lt;=$NS$34),IF($NP$34="Single_Point",IF(119=$NR$34,$NN$34,0),IF($NP$34="Bell_Curve",$NN$34*(119-$NR$34+1)*($NS$34-119+1)/$NU$34,$NN$34/$NT$34)),0)</f>
        <v/>
      </c>
      <c r="DT34" s="402">
        <f>IF(AND(120&gt;=$NR$34,120&lt;=$NS$34),IF($NP$34="Single_Point",IF(120=$NR$34,$NN$34,0),IF($NP$34="Bell_Curve",$NN$34*(120-$NR$34+1)*($NS$34-120+1)/$NU$34,$NN$34/$NT$34)),0)</f>
        <v/>
      </c>
      <c r="DU34" s="402">
        <f>IF(AND(121&gt;=$NR$34,121&lt;=$NS$34),IF($NP$34="Single_Point",IF(121=$NR$34,$NN$34,0),IF($NP$34="Bell_Curve",$NN$34*(121-$NR$34+1)*($NS$34-121+1)/$NU$34,$NN$34/$NT$34)),0)</f>
        <v/>
      </c>
      <c r="DV34" s="402">
        <f>IF(AND(122&gt;=$NR$34,122&lt;=$NS$34),IF($NP$34="Single_Point",IF(122=$NR$34,$NN$34,0),IF($NP$34="Bell_Curve",$NN$34*(122-$NR$34+1)*($NS$34-122+1)/$NU$34,$NN$34/$NT$34)),0)</f>
        <v/>
      </c>
      <c r="DW34" s="402">
        <f>IF(AND(123&gt;=$NR$34,123&lt;=$NS$34),IF($NP$34="Single_Point",IF(123=$NR$34,$NN$34,0),IF($NP$34="Bell_Curve",$NN$34*(123-$NR$34+1)*($NS$34-123+1)/$NU$34,$NN$34/$NT$34)),0)</f>
        <v/>
      </c>
      <c r="DX34" s="402">
        <f>IF(AND(124&gt;=$NR$34,124&lt;=$NS$34),IF($NP$34="Single_Point",IF(124=$NR$34,$NN$34,0),IF($NP$34="Bell_Curve",$NN$34*(124-$NR$34+1)*($NS$34-124+1)/$NU$34,$NN$34/$NT$34)),0)</f>
        <v/>
      </c>
      <c r="DY34" s="402">
        <f>IF(AND(125&gt;=$NR$34,125&lt;=$NS$34),IF($NP$34="Single_Point",IF(125=$NR$34,$NN$34,0),IF($NP$34="Bell_Curve",$NN$34*(125-$NR$34+1)*($NS$34-125+1)/$NU$34,$NN$34/$NT$34)),0)</f>
        <v/>
      </c>
      <c r="DZ34" s="402">
        <f>IF(AND(126&gt;=$NR$34,126&lt;=$NS$34),IF($NP$34="Single_Point",IF(126=$NR$34,$NN$34,0),IF($NP$34="Bell_Curve",$NN$34*(126-$NR$34+1)*($NS$34-126+1)/$NU$34,$NN$34/$NT$34)),0)</f>
        <v/>
      </c>
      <c r="EA34" s="402">
        <f>IF(AND(127&gt;=$NR$34,127&lt;=$NS$34),IF($NP$34="Single_Point",IF(127=$NR$34,$NN$34,0),IF($NP$34="Bell_Curve",$NN$34*(127-$NR$34+1)*($NS$34-127+1)/$NU$34,$NN$34/$NT$34)),0)</f>
        <v/>
      </c>
      <c r="EB34" s="402">
        <f>IF(AND(128&gt;=$NR$34,128&lt;=$NS$34),IF($NP$34="Single_Point",IF(128=$NR$34,$NN$34,0),IF($NP$34="Bell_Curve",$NN$34*(128-$NR$34+1)*($NS$34-128+1)/$NU$34,$NN$34/$NT$34)),0)</f>
        <v/>
      </c>
      <c r="EC34" s="402">
        <f>IF(AND(129&gt;=$NR$34,129&lt;=$NS$34),IF($NP$34="Single_Point",IF(129=$NR$34,$NN$34,0),IF($NP$34="Bell_Curve",$NN$34*(129-$NR$34+1)*($NS$34-129+1)/$NU$34,$NN$34/$NT$34)),0)</f>
        <v/>
      </c>
      <c r="ED34" s="402">
        <f>IF(AND(130&gt;=$NR$34,130&lt;=$NS$34),IF($NP$34="Single_Point",IF(130=$NR$34,$NN$34,0),IF($NP$34="Bell_Curve",$NN$34*(130-$NR$34+1)*($NS$34-130+1)/$NU$34,$NN$34/$NT$34)),0)</f>
        <v/>
      </c>
      <c r="EE34" s="402">
        <f>IF(AND(131&gt;=$NR$34,131&lt;=$NS$34),IF($NP$34="Single_Point",IF(131=$NR$34,$NN$34,0),IF($NP$34="Bell_Curve",$NN$34*(131-$NR$34+1)*($NS$34-131+1)/$NU$34,$NN$34/$NT$34)),0)</f>
        <v/>
      </c>
      <c r="EF34" s="402">
        <f>IF(AND(132&gt;=$NR$34,132&lt;=$NS$34),IF($NP$34="Single_Point",IF(132=$NR$34,$NN$34,0),IF($NP$34="Bell_Curve",$NN$34*(132-$NR$34+1)*($NS$34-132+1)/$NU$34,$NN$34/$NT$34)),0)</f>
        <v/>
      </c>
      <c r="EG34" s="402">
        <f>IF(AND(133&gt;=$NR$34,133&lt;=$NS$34),IF($NP$34="Single_Point",IF(133=$NR$34,$NN$34,0),IF($NP$34="Bell_Curve",$NN$34*(133-$NR$34+1)*($NS$34-133+1)/$NU$34,$NN$34/$NT$34)),0)</f>
        <v/>
      </c>
      <c r="EH34" s="402">
        <f>IF(AND(134&gt;=$NR$34,134&lt;=$NS$34),IF($NP$34="Single_Point",IF(134=$NR$34,$NN$34,0),IF($NP$34="Bell_Curve",$NN$34*(134-$NR$34+1)*($NS$34-134+1)/$NU$34,$NN$34/$NT$34)),0)</f>
        <v/>
      </c>
      <c r="EI34" s="402">
        <f>IF(AND(135&gt;=$NR$34,135&lt;=$NS$34),IF($NP$34="Single_Point",IF(135=$NR$34,$NN$34,0),IF($NP$34="Bell_Curve",$NN$34*(135-$NR$34+1)*($NS$34-135+1)/$NU$34,$NN$34/$NT$34)),0)</f>
        <v/>
      </c>
      <c r="EJ34" s="402">
        <f>IF(AND(136&gt;=$NR$34,136&lt;=$NS$34),IF($NP$34="Single_Point",IF(136=$NR$34,$NN$34,0),IF($NP$34="Bell_Curve",$NN$34*(136-$NR$34+1)*($NS$34-136+1)/$NU$34,$NN$34/$NT$34)),0)</f>
        <v/>
      </c>
      <c r="EK34" s="402">
        <f>IF(AND(137&gt;=$NR$34,137&lt;=$NS$34),IF($NP$34="Single_Point",IF(137=$NR$34,$NN$34,0),IF($NP$34="Bell_Curve",$NN$34*(137-$NR$34+1)*($NS$34-137+1)/$NU$34,$NN$34/$NT$34)),0)</f>
        <v/>
      </c>
      <c r="EL34" s="402">
        <f>IF(AND(138&gt;=$NR$34,138&lt;=$NS$34),IF($NP$34="Single_Point",IF(138=$NR$34,$NN$34,0),IF($NP$34="Bell_Curve",$NN$34*(138-$NR$34+1)*($NS$34-138+1)/$NU$34,$NN$34/$NT$34)),0)</f>
        <v/>
      </c>
      <c r="EM34" s="402">
        <f>IF(AND(139&gt;=$NR$34,139&lt;=$NS$34),IF($NP$34="Single_Point",IF(139=$NR$34,$NN$34,0),IF($NP$34="Bell_Curve",$NN$34*(139-$NR$34+1)*($NS$34-139+1)/$NU$34,$NN$34/$NT$34)),0)</f>
        <v/>
      </c>
      <c r="EN34" s="402">
        <f>IF(AND(140&gt;=$NR$34,140&lt;=$NS$34),IF($NP$34="Single_Point",IF(140=$NR$34,$NN$34,0),IF($NP$34="Bell_Curve",$NN$34*(140-$NR$34+1)*($NS$34-140+1)/$NU$34,$NN$34/$NT$34)),0)</f>
        <v/>
      </c>
      <c r="EO34" s="402">
        <f>IF(AND(141&gt;=$NR$34,141&lt;=$NS$34),IF($NP$34="Single_Point",IF(141=$NR$34,$NN$34,0),IF($NP$34="Bell_Curve",$NN$34*(141-$NR$34+1)*($NS$34-141+1)/$NU$34,$NN$34/$NT$34)),0)</f>
        <v/>
      </c>
      <c r="EP34" s="402">
        <f>IF(AND(142&gt;=$NR$34,142&lt;=$NS$34),IF($NP$34="Single_Point",IF(142=$NR$34,$NN$34,0),IF($NP$34="Bell_Curve",$NN$34*(142-$NR$34+1)*($NS$34-142+1)/$NU$34,$NN$34/$NT$34)),0)</f>
        <v/>
      </c>
      <c r="EQ34" s="402">
        <f>IF(AND(143&gt;=$NR$34,143&lt;=$NS$34),IF($NP$34="Single_Point",IF(143=$NR$34,$NN$34,0),IF($NP$34="Bell_Curve",$NN$34*(143-$NR$34+1)*($NS$34-143+1)/$NU$34,$NN$34/$NT$34)),0)</f>
        <v/>
      </c>
      <c r="ER34" s="402">
        <f>IF(AND(144&gt;=$NR$34,144&lt;=$NS$34),IF($NP$34="Single_Point",IF(144=$NR$34,$NN$34,0),IF($NP$34="Bell_Curve",$NN$34*(144-$NR$34+1)*($NS$34-144+1)/$NU$34,$NN$34/$NT$34)),0)</f>
        <v/>
      </c>
      <c r="ES34" s="402">
        <f>IF(AND(145&gt;=$NR$34,145&lt;=$NS$34),IF($NP$34="Single_Point",IF(145=$NR$34,$NN$34,0),IF($NP$34="Bell_Curve",$NN$34*(145-$NR$34+1)*($NS$34-145+1)/$NU$34,$NN$34/$NT$34)),0)</f>
        <v/>
      </c>
      <c r="ET34" s="402">
        <f>IF(AND(146&gt;=$NR$34,146&lt;=$NS$34),IF($NP$34="Single_Point",IF(146=$NR$34,$NN$34,0),IF($NP$34="Bell_Curve",$NN$34*(146-$NR$34+1)*($NS$34-146+1)/$NU$34,$NN$34/$NT$34)),0)</f>
        <v/>
      </c>
      <c r="EU34" s="402">
        <f>IF(AND(147&gt;=$NR$34,147&lt;=$NS$34),IF($NP$34="Single_Point",IF(147=$NR$34,$NN$34,0),IF($NP$34="Bell_Curve",$NN$34*(147-$NR$34+1)*($NS$34-147+1)/$NU$34,$NN$34/$NT$34)),0)</f>
        <v/>
      </c>
      <c r="EV34" s="402">
        <f>IF(AND(148&gt;=$NR$34,148&lt;=$NS$34),IF($NP$34="Single_Point",IF(148=$NR$34,$NN$34,0),IF($NP$34="Bell_Curve",$NN$34*(148-$NR$34+1)*($NS$34-148+1)/$NU$34,$NN$34/$NT$34)),0)</f>
        <v/>
      </c>
      <c r="EW34" s="402">
        <f>IF(AND(149&gt;=$NR$34,149&lt;=$NS$34),IF($NP$34="Single_Point",IF(149=$NR$34,$NN$34,0),IF($NP$34="Bell_Curve",$NN$34*(149-$NR$34+1)*($NS$34-149+1)/$NU$34,$NN$34/$NT$34)),0)</f>
        <v/>
      </c>
      <c r="EX34" s="402">
        <f>IF(AND(150&gt;=$NR$34,150&lt;=$NS$34),IF($NP$34="Single_Point",IF(150=$NR$34,$NN$34,0),IF($NP$34="Bell_Curve",$NN$34*(150-$NR$34+1)*($NS$34-150+1)/$NU$34,$NN$34/$NT$34)),0)</f>
        <v/>
      </c>
      <c r="EY34" s="402">
        <f>IF(AND(151&gt;=$NR$34,151&lt;=$NS$34),IF($NP$34="Single_Point",IF(151=$NR$34,$NN$34,0),IF($NP$34="Bell_Curve",$NN$34*(151-$NR$34+1)*($NS$34-151+1)/$NU$34,$NN$34/$NT$34)),0)</f>
        <v/>
      </c>
      <c r="EZ34" s="402">
        <f>IF(AND(152&gt;=$NR$34,152&lt;=$NS$34),IF($NP$34="Single_Point",IF(152=$NR$34,$NN$34,0),IF($NP$34="Bell_Curve",$NN$34*(152-$NR$34+1)*($NS$34-152+1)/$NU$34,$NN$34/$NT$34)),0)</f>
        <v/>
      </c>
      <c r="FA34" s="402">
        <f>IF(AND(153&gt;=$NR$34,153&lt;=$NS$34),IF($NP$34="Single_Point",IF(153=$NR$34,$NN$34,0),IF($NP$34="Bell_Curve",$NN$34*(153-$NR$34+1)*($NS$34-153+1)/$NU$34,$NN$34/$NT$34)),0)</f>
        <v/>
      </c>
      <c r="FB34" s="402">
        <f>IF(AND(154&gt;=$NR$34,154&lt;=$NS$34),IF($NP$34="Single_Point",IF(154=$NR$34,$NN$34,0),IF($NP$34="Bell_Curve",$NN$34*(154-$NR$34+1)*($NS$34-154+1)/$NU$34,$NN$34/$NT$34)),0)</f>
        <v/>
      </c>
      <c r="FC34" s="402">
        <f>IF(AND(155&gt;=$NR$34,155&lt;=$NS$34),IF($NP$34="Single_Point",IF(155=$NR$34,$NN$34,0),IF($NP$34="Bell_Curve",$NN$34*(155-$NR$34+1)*($NS$34-155+1)/$NU$34,$NN$34/$NT$34)),0)</f>
        <v/>
      </c>
      <c r="FD34" s="402">
        <f>IF(AND(156&gt;=$NR$34,156&lt;=$NS$34),IF($NP$34="Single_Point",IF(156=$NR$34,$NN$34,0),IF($NP$34="Bell_Curve",$NN$34*(156-$NR$34+1)*($NS$34-156+1)/$NU$34,$NN$34/$NT$34)),0)</f>
        <v/>
      </c>
      <c r="FE34" s="402">
        <f>IF(AND(157&gt;=$NR$34,157&lt;=$NS$34),IF($NP$34="Single_Point",IF(157=$NR$34,$NN$34,0),IF($NP$34="Bell_Curve",$NN$34*(157-$NR$34+1)*($NS$34-157+1)/$NU$34,$NN$34/$NT$34)),0)</f>
        <v/>
      </c>
      <c r="FF34" s="402">
        <f>IF(AND(158&gt;=$NR$34,158&lt;=$NS$34),IF($NP$34="Single_Point",IF(158=$NR$34,$NN$34,0),IF($NP$34="Bell_Curve",$NN$34*(158-$NR$34+1)*($NS$34-158+1)/$NU$34,$NN$34/$NT$34)),0)</f>
        <v/>
      </c>
      <c r="FG34" s="402">
        <f>IF(AND(159&gt;=$NR$34,159&lt;=$NS$34),IF($NP$34="Single_Point",IF(159=$NR$34,$NN$34,0),IF($NP$34="Bell_Curve",$NN$34*(159-$NR$34+1)*($NS$34-159+1)/$NU$34,$NN$34/$NT$34)),0)</f>
        <v/>
      </c>
      <c r="FH34" s="402">
        <f>IF(AND(160&gt;=$NR$34,160&lt;=$NS$34),IF($NP$34="Single_Point",IF(160=$NR$34,$NN$34,0),IF($NP$34="Bell_Curve",$NN$34*(160-$NR$34+1)*($NS$34-160+1)/$NU$34,$NN$34/$NT$34)),0)</f>
        <v/>
      </c>
      <c r="FI34" s="402">
        <f>IF(AND(161&gt;=$NR$34,161&lt;=$NS$34),IF($NP$34="Single_Point",IF(161=$NR$34,$NN$34,0),IF($NP$34="Bell_Curve",$NN$34*(161-$NR$34+1)*($NS$34-161+1)/$NU$34,$NN$34/$NT$34)),0)</f>
        <v/>
      </c>
      <c r="FJ34" s="402">
        <f>IF(AND(162&gt;=$NR$34,162&lt;=$NS$34),IF($NP$34="Single_Point",IF(162=$NR$34,$NN$34,0),IF($NP$34="Bell_Curve",$NN$34*(162-$NR$34+1)*($NS$34-162+1)/$NU$34,$NN$34/$NT$34)),0)</f>
        <v/>
      </c>
      <c r="FK34" s="402">
        <f>IF(AND(163&gt;=$NR$34,163&lt;=$NS$34),IF($NP$34="Single_Point",IF(163=$NR$34,$NN$34,0),IF($NP$34="Bell_Curve",$NN$34*(163-$NR$34+1)*($NS$34-163+1)/$NU$34,$NN$34/$NT$34)),0)</f>
        <v/>
      </c>
      <c r="FL34" s="402">
        <f>IF(AND(164&gt;=$NR$34,164&lt;=$NS$34),IF($NP$34="Single_Point",IF(164=$NR$34,$NN$34,0),IF($NP$34="Bell_Curve",$NN$34*(164-$NR$34+1)*($NS$34-164+1)/$NU$34,$NN$34/$NT$34)),0)</f>
        <v/>
      </c>
      <c r="FM34" s="402">
        <f>IF(AND(165&gt;=$NR$34,165&lt;=$NS$34),IF($NP$34="Single_Point",IF(165=$NR$34,$NN$34,0),IF($NP$34="Bell_Curve",$NN$34*(165-$NR$34+1)*($NS$34-165+1)/$NU$34,$NN$34/$NT$34)),0)</f>
        <v/>
      </c>
      <c r="FN34" s="402">
        <f>IF(AND(166&gt;=$NR$34,166&lt;=$NS$34),IF($NP$34="Single_Point",IF(166=$NR$34,$NN$34,0),IF($NP$34="Bell_Curve",$NN$34*(166-$NR$34+1)*($NS$34-166+1)/$NU$34,$NN$34/$NT$34)),0)</f>
        <v/>
      </c>
      <c r="FO34" s="402">
        <f>IF(AND(167&gt;=$NR$34,167&lt;=$NS$34),IF($NP$34="Single_Point",IF(167=$NR$34,$NN$34,0),IF($NP$34="Bell_Curve",$NN$34*(167-$NR$34+1)*($NS$34-167+1)/$NU$34,$NN$34/$NT$34)),0)</f>
        <v/>
      </c>
      <c r="FP34" s="402">
        <f>IF(AND(168&gt;=$NR$34,168&lt;=$NS$34),IF($NP$34="Single_Point",IF(168=$NR$34,$NN$34,0),IF($NP$34="Bell_Curve",$NN$34*(168-$NR$34+1)*($NS$34-168+1)/$NU$34,$NN$34/$NT$34)),0)</f>
        <v/>
      </c>
      <c r="FQ34" s="402">
        <f>IF(AND(169&gt;=$NR$34,169&lt;=$NS$34),IF($NP$34="Single_Point",IF(169=$NR$34,$NN$34,0),IF($NP$34="Bell_Curve",$NN$34*(169-$NR$34+1)*($NS$34-169+1)/$NU$34,$NN$34/$NT$34)),0)</f>
        <v/>
      </c>
      <c r="FR34" s="402">
        <f>IF(AND(170&gt;=$NR$34,170&lt;=$NS$34),IF($NP$34="Single_Point",IF(170=$NR$34,$NN$34,0),IF($NP$34="Bell_Curve",$NN$34*(170-$NR$34+1)*($NS$34-170+1)/$NU$34,$NN$34/$NT$34)),0)</f>
        <v/>
      </c>
      <c r="FS34" s="402">
        <f>IF(AND(171&gt;=$NR$34,171&lt;=$NS$34),IF($NP$34="Single_Point",IF(171=$NR$34,$NN$34,0),IF($NP$34="Bell_Curve",$NN$34*(171-$NR$34+1)*($NS$34-171+1)/$NU$34,$NN$34/$NT$34)),0)</f>
        <v/>
      </c>
      <c r="FT34" s="402">
        <f>IF(AND(172&gt;=$NR$34,172&lt;=$NS$34),IF($NP$34="Single_Point",IF(172=$NR$34,$NN$34,0),IF($NP$34="Bell_Curve",$NN$34*(172-$NR$34+1)*($NS$34-172+1)/$NU$34,$NN$34/$NT$34)),0)</f>
        <v/>
      </c>
      <c r="FU34" s="402">
        <f>IF(AND(173&gt;=$NR$34,173&lt;=$NS$34),IF($NP$34="Single_Point",IF(173=$NR$34,$NN$34,0),IF($NP$34="Bell_Curve",$NN$34*(173-$NR$34+1)*($NS$34-173+1)/$NU$34,$NN$34/$NT$34)),0)</f>
        <v/>
      </c>
      <c r="FV34" s="402">
        <f>IF(AND(174&gt;=$NR$34,174&lt;=$NS$34),IF($NP$34="Single_Point",IF(174=$NR$34,$NN$34,0),IF($NP$34="Bell_Curve",$NN$34*(174-$NR$34+1)*($NS$34-174+1)/$NU$34,$NN$34/$NT$34)),0)</f>
        <v/>
      </c>
      <c r="FW34" s="402">
        <f>IF(AND(175&gt;=$NR$34,175&lt;=$NS$34),IF($NP$34="Single_Point",IF(175=$NR$34,$NN$34,0),IF($NP$34="Bell_Curve",$NN$34*(175-$NR$34+1)*($NS$34-175+1)/$NU$34,$NN$34/$NT$34)),0)</f>
        <v/>
      </c>
      <c r="FX34" s="402">
        <f>IF(AND(176&gt;=$NR$34,176&lt;=$NS$34),IF($NP$34="Single_Point",IF(176=$NR$34,$NN$34,0),IF($NP$34="Bell_Curve",$NN$34*(176-$NR$34+1)*($NS$34-176+1)/$NU$34,$NN$34/$NT$34)),0)</f>
        <v/>
      </c>
      <c r="FY34" s="402">
        <f>IF(AND(177&gt;=$NR$34,177&lt;=$NS$34),IF($NP$34="Single_Point",IF(177=$NR$34,$NN$34,0),IF($NP$34="Bell_Curve",$NN$34*(177-$NR$34+1)*($NS$34-177+1)/$NU$34,$NN$34/$NT$34)),0)</f>
        <v/>
      </c>
      <c r="FZ34" s="402">
        <f>IF(AND(178&gt;=$NR$34,178&lt;=$NS$34),IF($NP$34="Single_Point",IF(178=$NR$34,$NN$34,0),IF($NP$34="Bell_Curve",$NN$34*(178-$NR$34+1)*($NS$34-178+1)/$NU$34,$NN$34/$NT$34)),0)</f>
        <v/>
      </c>
      <c r="GA34" s="402">
        <f>IF(AND(179&gt;=$NR$34,179&lt;=$NS$34),IF($NP$34="Single_Point",IF(179=$NR$34,$NN$34,0),IF($NP$34="Bell_Curve",$NN$34*(179-$NR$34+1)*($NS$34-179+1)/$NU$34,$NN$34/$NT$34)),0)</f>
        <v/>
      </c>
      <c r="GB34" s="402">
        <f>IF(AND(180&gt;=$NR$34,180&lt;=$NS$34),IF($NP$34="Single_Point",IF(180=$NR$34,$NN$34,0),IF($NP$34="Bell_Curve",$NN$34*(180-$NR$34+1)*($NS$34-180+1)/$NU$34,$NN$34/$NT$34)),0)</f>
        <v/>
      </c>
      <c r="GC34" s="402">
        <f>IF(AND(181&gt;=$NR$34,181&lt;=$NS$34),IF($NP$34="Single_Point",IF(181=$NR$34,$NN$34,0),IF($NP$34="Bell_Curve",$NN$34*(181-$NR$34+1)*($NS$34-181+1)/$NU$34,$NN$34/$NT$34)),0)</f>
        <v/>
      </c>
      <c r="GD34" s="402">
        <f>IF(AND(182&gt;=$NR$34,182&lt;=$NS$34),IF($NP$34="Single_Point",IF(182=$NR$34,$NN$34,0),IF($NP$34="Bell_Curve",$NN$34*(182-$NR$34+1)*($NS$34-182+1)/$NU$34,$NN$34/$NT$34)),0)</f>
        <v/>
      </c>
      <c r="GE34" s="402">
        <f>IF(AND(183&gt;=$NR$34,183&lt;=$NS$34),IF($NP$34="Single_Point",IF(183=$NR$34,$NN$34,0),IF($NP$34="Bell_Curve",$NN$34*(183-$NR$34+1)*($NS$34-183+1)/$NU$34,$NN$34/$NT$34)),0)</f>
        <v/>
      </c>
      <c r="GF34" s="402">
        <f>IF(AND(184&gt;=$NR$34,184&lt;=$NS$34),IF($NP$34="Single_Point",IF(184=$NR$34,$NN$34,0),IF($NP$34="Bell_Curve",$NN$34*(184-$NR$34+1)*($NS$34-184+1)/$NU$34,$NN$34/$NT$34)),0)</f>
        <v/>
      </c>
      <c r="GG34" s="402">
        <f>IF(AND(185&gt;=$NR$34,185&lt;=$NS$34),IF($NP$34="Single_Point",IF(185=$NR$34,$NN$34,0),IF($NP$34="Bell_Curve",$NN$34*(185-$NR$34+1)*($NS$34-185+1)/$NU$34,$NN$34/$NT$34)),0)</f>
        <v/>
      </c>
      <c r="GH34" s="402">
        <f>IF(AND(186&gt;=$NR$34,186&lt;=$NS$34),IF($NP$34="Single_Point",IF(186=$NR$34,$NN$34,0),IF($NP$34="Bell_Curve",$NN$34*(186-$NR$34+1)*($NS$34-186+1)/$NU$34,$NN$34/$NT$34)),0)</f>
        <v/>
      </c>
      <c r="GI34" s="402">
        <f>IF(AND(187&gt;=$NR$34,187&lt;=$NS$34),IF($NP$34="Single_Point",IF(187=$NR$34,$NN$34,0),IF($NP$34="Bell_Curve",$NN$34*(187-$NR$34+1)*($NS$34-187+1)/$NU$34,$NN$34/$NT$34)),0)</f>
        <v/>
      </c>
      <c r="GJ34" s="402">
        <f>IF(AND(188&gt;=$NR$34,188&lt;=$NS$34),IF($NP$34="Single_Point",IF(188=$NR$34,$NN$34,0),IF($NP$34="Bell_Curve",$NN$34*(188-$NR$34+1)*($NS$34-188+1)/$NU$34,$NN$34/$NT$34)),0)</f>
        <v/>
      </c>
      <c r="GK34" s="402">
        <f>IF(AND(189&gt;=$NR$34,189&lt;=$NS$34),IF($NP$34="Single_Point",IF(189=$NR$34,$NN$34,0),IF($NP$34="Bell_Curve",$NN$34*(189-$NR$34+1)*($NS$34-189+1)/$NU$34,$NN$34/$NT$34)),0)</f>
        <v/>
      </c>
      <c r="GL34" s="402">
        <f>IF(AND(190&gt;=$NR$34,190&lt;=$NS$34),IF($NP$34="Single_Point",IF(190=$NR$34,$NN$34,0),IF($NP$34="Bell_Curve",$NN$34*(190-$NR$34+1)*($NS$34-190+1)/$NU$34,$NN$34/$NT$34)),0)</f>
        <v/>
      </c>
      <c r="GM34" s="402">
        <f>IF(AND(191&gt;=$NR$34,191&lt;=$NS$34),IF($NP$34="Single_Point",IF(191=$NR$34,$NN$34,0),IF($NP$34="Bell_Curve",$NN$34*(191-$NR$34+1)*($NS$34-191+1)/$NU$34,$NN$34/$NT$34)),0)</f>
        <v/>
      </c>
      <c r="GN34" s="402">
        <f>IF(AND(192&gt;=$NR$34,192&lt;=$NS$34),IF($NP$34="Single_Point",IF(192=$NR$34,$NN$34,0),IF($NP$34="Bell_Curve",$NN$34*(192-$NR$34+1)*($NS$34-192+1)/$NU$34,$NN$34/$NT$34)),0)</f>
        <v/>
      </c>
      <c r="GO34" s="402">
        <f>IF(AND(193&gt;=$NR$34,193&lt;=$NS$34),IF($NP$34="Single_Point",IF(193=$NR$34,$NN$34,0),IF($NP$34="Bell_Curve",$NN$34*(193-$NR$34+1)*($NS$34-193+1)/$NU$34,$NN$34/$NT$34)),0)</f>
        <v/>
      </c>
      <c r="GP34" s="402">
        <f>IF(AND(194&gt;=$NR$34,194&lt;=$NS$34),IF($NP$34="Single_Point",IF(194=$NR$34,$NN$34,0),IF($NP$34="Bell_Curve",$NN$34*(194-$NR$34+1)*($NS$34-194+1)/$NU$34,$NN$34/$NT$34)),0)</f>
        <v/>
      </c>
      <c r="GQ34" s="402">
        <f>IF(AND(195&gt;=$NR$34,195&lt;=$NS$34),IF($NP$34="Single_Point",IF(195=$NR$34,$NN$34,0),IF($NP$34="Bell_Curve",$NN$34*(195-$NR$34+1)*($NS$34-195+1)/$NU$34,$NN$34/$NT$34)),0)</f>
        <v/>
      </c>
      <c r="GR34" s="402">
        <f>IF(AND(196&gt;=$NR$34,196&lt;=$NS$34),IF($NP$34="Single_Point",IF(196=$NR$34,$NN$34,0),IF($NP$34="Bell_Curve",$NN$34*(196-$NR$34+1)*($NS$34-196+1)/$NU$34,$NN$34/$NT$34)),0)</f>
        <v/>
      </c>
      <c r="GS34" s="402">
        <f>IF(AND(197&gt;=$NR$34,197&lt;=$NS$34),IF($NP$34="Single_Point",IF(197=$NR$34,$NN$34,0),IF($NP$34="Bell_Curve",$NN$34*(197-$NR$34+1)*($NS$34-197+1)/$NU$34,$NN$34/$NT$34)),0)</f>
        <v/>
      </c>
      <c r="GT34" s="402">
        <f>IF(AND(198&gt;=$NR$34,198&lt;=$NS$34),IF($NP$34="Single_Point",IF(198=$NR$34,$NN$34,0),IF($NP$34="Bell_Curve",$NN$34*(198-$NR$34+1)*($NS$34-198+1)/$NU$34,$NN$34/$NT$34)),0)</f>
        <v/>
      </c>
      <c r="GU34" s="402">
        <f>IF(AND(199&gt;=$NR$34,199&lt;=$NS$34),IF($NP$34="Single_Point",IF(199=$NR$34,$NN$34,0),IF($NP$34="Bell_Curve",$NN$34*(199-$NR$34+1)*($NS$34-199+1)/$NU$34,$NN$34/$NT$34)),0)</f>
        <v/>
      </c>
      <c r="GV34" s="402">
        <f>IF(AND(200&gt;=$NR$34,200&lt;=$NS$34),IF($NP$34="Single_Point",IF(200=$NR$34,$NN$34,0),IF($NP$34="Bell_Curve",$NN$34*(200-$NR$34+1)*($NS$34-200+1)/$NU$34,$NN$34/$NT$34)),0)</f>
        <v/>
      </c>
      <c r="GW34" s="402">
        <f>IF(AND(201&gt;=$NR$34,201&lt;=$NS$34),IF($NP$34="Single_Point",IF(201=$NR$34,$NN$34,0),IF($NP$34="Bell_Curve",$NN$34*(201-$NR$34+1)*($NS$34-201+1)/$NU$34,$NN$34/$NT$34)),0)</f>
        <v/>
      </c>
      <c r="GX34" s="402">
        <f>IF(AND(202&gt;=$NR$34,202&lt;=$NS$34),IF($NP$34="Single_Point",IF(202=$NR$34,$NN$34,0),IF($NP$34="Bell_Curve",$NN$34*(202-$NR$34+1)*($NS$34-202+1)/$NU$34,$NN$34/$NT$34)),0)</f>
        <v/>
      </c>
      <c r="GY34" s="402">
        <f>IF(AND(203&gt;=$NR$34,203&lt;=$NS$34),IF($NP$34="Single_Point",IF(203=$NR$34,$NN$34,0),IF($NP$34="Bell_Curve",$NN$34*(203-$NR$34+1)*($NS$34-203+1)/$NU$34,$NN$34/$NT$34)),0)</f>
        <v/>
      </c>
      <c r="GZ34" s="402">
        <f>IF(AND(204&gt;=$NR$34,204&lt;=$NS$34),IF($NP$34="Single_Point",IF(204=$NR$34,$NN$34,0),IF($NP$34="Bell_Curve",$NN$34*(204-$NR$34+1)*($NS$34-204+1)/$NU$34,$NN$34/$NT$34)),0)</f>
        <v/>
      </c>
      <c r="HA34" s="402">
        <f>IF(AND(205&gt;=$NR$34,205&lt;=$NS$34),IF($NP$34="Single_Point",IF(205=$NR$34,$NN$34,0),IF($NP$34="Bell_Curve",$NN$34*(205-$NR$34+1)*($NS$34-205+1)/$NU$34,$NN$34/$NT$34)),0)</f>
        <v/>
      </c>
      <c r="HB34" s="402">
        <f>IF(AND(206&gt;=$NR$34,206&lt;=$NS$34),IF($NP$34="Single_Point",IF(206=$NR$34,$NN$34,0),IF($NP$34="Bell_Curve",$NN$34*(206-$NR$34+1)*($NS$34-206+1)/$NU$34,$NN$34/$NT$34)),0)</f>
        <v/>
      </c>
      <c r="HC34" s="402">
        <f>IF(AND(207&gt;=$NR$34,207&lt;=$NS$34),IF($NP$34="Single_Point",IF(207=$NR$34,$NN$34,0),IF($NP$34="Bell_Curve",$NN$34*(207-$NR$34+1)*($NS$34-207+1)/$NU$34,$NN$34/$NT$34)),0)</f>
        <v/>
      </c>
      <c r="HD34" s="402">
        <f>IF(AND(208&gt;=$NR$34,208&lt;=$NS$34),IF($NP$34="Single_Point",IF(208=$NR$34,$NN$34,0),IF($NP$34="Bell_Curve",$NN$34*(208-$NR$34+1)*($NS$34-208+1)/$NU$34,$NN$34/$NT$34)),0)</f>
        <v/>
      </c>
      <c r="HE34" s="402">
        <f>IF(AND(209&gt;=$NR$34,209&lt;=$NS$34),IF($NP$34="Single_Point",IF(209=$NR$34,$NN$34,0),IF($NP$34="Bell_Curve",$NN$34*(209-$NR$34+1)*($NS$34-209+1)/$NU$34,$NN$34/$NT$34)),0)</f>
        <v/>
      </c>
      <c r="HF34" s="402">
        <f>IF(AND(210&gt;=$NR$34,210&lt;=$NS$34),IF($NP$34="Single_Point",IF(210=$NR$34,$NN$34,0),IF($NP$34="Bell_Curve",$NN$34*(210-$NR$34+1)*($NS$34-210+1)/$NU$34,$NN$34/$NT$34)),0)</f>
        <v/>
      </c>
      <c r="HG34" s="402">
        <f>IF(AND(211&gt;=$NR$34,211&lt;=$NS$34),IF($NP$34="Single_Point",IF(211=$NR$34,$NN$34,0),IF($NP$34="Bell_Curve",$NN$34*(211-$NR$34+1)*($NS$34-211+1)/$NU$34,$NN$34/$NT$34)),0)</f>
        <v/>
      </c>
      <c r="HH34" s="402">
        <f>IF(AND(212&gt;=$NR$34,212&lt;=$NS$34),IF($NP$34="Single_Point",IF(212=$NR$34,$NN$34,0),IF($NP$34="Bell_Curve",$NN$34*(212-$NR$34+1)*($NS$34-212+1)/$NU$34,$NN$34/$NT$34)),0)</f>
        <v/>
      </c>
      <c r="HI34" s="402">
        <f>IF(AND(213&gt;=$NR$34,213&lt;=$NS$34),IF($NP$34="Single_Point",IF(213=$NR$34,$NN$34,0),IF($NP$34="Bell_Curve",$NN$34*(213-$NR$34+1)*($NS$34-213+1)/$NU$34,$NN$34/$NT$34)),0)</f>
        <v/>
      </c>
      <c r="HJ34" s="402">
        <f>IF(AND(214&gt;=$NR$34,214&lt;=$NS$34),IF($NP$34="Single_Point",IF(214=$NR$34,$NN$34,0),IF($NP$34="Bell_Curve",$NN$34*(214-$NR$34+1)*($NS$34-214+1)/$NU$34,$NN$34/$NT$34)),0)</f>
        <v/>
      </c>
      <c r="HK34" s="402">
        <f>IF(AND(215&gt;=$NR$34,215&lt;=$NS$34),IF($NP$34="Single_Point",IF(215=$NR$34,$NN$34,0),IF($NP$34="Bell_Curve",$NN$34*(215-$NR$34+1)*($NS$34-215+1)/$NU$34,$NN$34/$NT$34)),0)</f>
        <v/>
      </c>
      <c r="HL34" s="402">
        <f>IF(AND(216&gt;=$NR$34,216&lt;=$NS$34),IF($NP$34="Single_Point",IF(216=$NR$34,$NN$34,0),IF($NP$34="Bell_Curve",$NN$34*(216-$NR$34+1)*($NS$34-216+1)/$NU$34,$NN$34/$NT$34)),0)</f>
        <v/>
      </c>
      <c r="HM34" s="402">
        <f>IF(AND(217&gt;=$NR$34,217&lt;=$NS$34),IF($NP$34="Single_Point",IF(217=$NR$34,$NN$34,0),IF($NP$34="Bell_Curve",$NN$34*(217-$NR$34+1)*($NS$34-217+1)/$NU$34,$NN$34/$NT$34)),0)</f>
        <v/>
      </c>
      <c r="HN34" s="402">
        <f>IF(AND(218&gt;=$NR$34,218&lt;=$NS$34),IF($NP$34="Single_Point",IF(218=$NR$34,$NN$34,0),IF($NP$34="Bell_Curve",$NN$34*(218-$NR$34+1)*($NS$34-218+1)/$NU$34,$NN$34/$NT$34)),0)</f>
        <v/>
      </c>
      <c r="HO34" s="402">
        <f>IF(AND(219&gt;=$NR$34,219&lt;=$NS$34),IF($NP$34="Single_Point",IF(219=$NR$34,$NN$34,0),IF($NP$34="Bell_Curve",$NN$34*(219-$NR$34+1)*($NS$34-219+1)/$NU$34,$NN$34/$NT$34)),0)</f>
        <v/>
      </c>
      <c r="HP34" s="402">
        <f>IF(AND(220&gt;=$NR$34,220&lt;=$NS$34),IF($NP$34="Single_Point",IF(220=$NR$34,$NN$34,0),IF($NP$34="Bell_Curve",$NN$34*(220-$NR$34+1)*($NS$34-220+1)/$NU$34,$NN$34/$NT$34)),0)</f>
        <v/>
      </c>
      <c r="HQ34" s="402">
        <f>IF(AND(221&gt;=$NR$34,221&lt;=$NS$34),IF($NP$34="Single_Point",IF(221=$NR$34,$NN$34,0),IF($NP$34="Bell_Curve",$NN$34*(221-$NR$34+1)*($NS$34-221+1)/$NU$34,$NN$34/$NT$34)),0)</f>
        <v/>
      </c>
      <c r="HR34" s="402">
        <f>IF(AND(222&gt;=$NR$34,222&lt;=$NS$34),IF($NP$34="Single_Point",IF(222=$NR$34,$NN$34,0),IF($NP$34="Bell_Curve",$NN$34*(222-$NR$34+1)*($NS$34-222+1)/$NU$34,$NN$34/$NT$34)),0)</f>
        <v/>
      </c>
      <c r="HS34" s="402">
        <f>IF(AND(223&gt;=$NR$34,223&lt;=$NS$34),IF($NP$34="Single_Point",IF(223=$NR$34,$NN$34,0),IF($NP$34="Bell_Curve",$NN$34*(223-$NR$34+1)*($NS$34-223+1)/$NU$34,$NN$34/$NT$34)),0)</f>
        <v/>
      </c>
      <c r="HT34" s="402">
        <f>IF(AND(224&gt;=$NR$34,224&lt;=$NS$34),IF($NP$34="Single_Point",IF(224=$NR$34,$NN$34,0),IF($NP$34="Bell_Curve",$NN$34*(224-$NR$34+1)*($NS$34-224+1)/$NU$34,$NN$34/$NT$34)),0)</f>
        <v/>
      </c>
      <c r="HU34" s="402">
        <f>IF(AND(225&gt;=$NR$34,225&lt;=$NS$34),IF($NP$34="Single_Point",IF(225=$NR$34,$NN$34,0),IF($NP$34="Bell_Curve",$NN$34*(225-$NR$34+1)*($NS$34-225+1)/$NU$34,$NN$34/$NT$34)),0)</f>
        <v/>
      </c>
      <c r="HV34" s="402">
        <f>IF(AND(226&gt;=$NR$34,226&lt;=$NS$34),IF($NP$34="Single_Point",IF(226=$NR$34,$NN$34,0),IF($NP$34="Bell_Curve",$NN$34*(226-$NR$34+1)*($NS$34-226+1)/$NU$34,$NN$34/$NT$34)),0)</f>
        <v/>
      </c>
      <c r="HW34" s="402">
        <f>IF(AND(227&gt;=$NR$34,227&lt;=$NS$34),IF($NP$34="Single_Point",IF(227=$NR$34,$NN$34,0),IF($NP$34="Bell_Curve",$NN$34*(227-$NR$34+1)*($NS$34-227+1)/$NU$34,$NN$34/$NT$34)),0)</f>
        <v/>
      </c>
      <c r="HX34" s="402">
        <f>IF(AND(228&gt;=$NR$34,228&lt;=$NS$34),IF($NP$34="Single_Point",IF(228=$NR$34,$NN$34,0),IF($NP$34="Bell_Curve",$NN$34*(228-$NR$34+1)*($NS$34-228+1)/$NU$34,$NN$34/$NT$34)),0)</f>
        <v/>
      </c>
      <c r="HY34" s="402">
        <f>IF(AND(229&gt;=$NR$34,229&lt;=$NS$34),IF($NP$34="Single_Point",IF(229=$NR$34,$NN$34,0),IF($NP$34="Bell_Curve",$NN$34*(229-$NR$34+1)*($NS$34-229+1)/$NU$34,$NN$34/$NT$34)),0)</f>
        <v/>
      </c>
      <c r="HZ34" s="402">
        <f>IF(AND(230&gt;=$NR$34,230&lt;=$NS$34),IF($NP$34="Single_Point",IF(230=$NR$34,$NN$34,0),IF($NP$34="Bell_Curve",$NN$34*(230-$NR$34+1)*($NS$34-230+1)/$NU$34,$NN$34/$NT$34)),0)</f>
        <v/>
      </c>
      <c r="IA34" s="402">
        <f>IF(AND(231&gt;=$NR$34,231&lt;=$NS$34),IF($NP$34="Single_Point",IF(231=$NR$34,$NN$34,0),IF($NP$34="Bell_Curve",$NN$34*(231-$NR$34+1)*($NS$34-231+1)/$NU$34,$NN$34/$NT$34)),0)</f>
        <v/>
      </c>
      <c r="IB34" s="402">
        <f>IF(AND(232&gt;=$NR$34,232&lt;=$NS$34),IF($NP$34="Single_Point",IF(232=$NR$34,$NN$34,0),IF($NP$34="Bell_Curve",$NN$34*(232-$NR$34+1)*($NS$34-232+1)/$NU$34,$NN$34/$NT$34)),0)</f>
        <v/>
      </c>
      <c r="IC34" s="402">
        <f>IF(AND(233&gt;=$NR$34,233&lt;=$NS$34),IF($NP$34="Single_Point",IF(233=$NR$34,$NN$34,0),IF($NP$34="Bell_Curve",$NN$34*(233-$NR$34+1)*($NS$34-233+1)/$NU$34,$NN$34/$NT$34)),0)</f>
        <v/>
      </c>
      <c r="ID34" s="402">
        <f>IF(AND(234&gt;=$NR$34,234&lt;=$NS$34),IF($NP$34="Single_Point",IF(234=$NR$34,$NN$34,0),IF($NP$34="Bell_Curve",$NN$34*(234-$NR$34+1)*($NS$34-234+1)/$NU$34,$NN$34/$NT$34)),0)</f>
        <v/>
      </c>
      <c r="IE34" s="402">
        <f>IF(AND(235&gt;=$NR$34,235&lt;=$NS$34),IF($NP$34="Single_Point",IF(235=$NR$34,$NN$34,0),IF($NP$34="Bell_Curve",$NN$34*(235-$NR$34+1)*($NS$34-235+1)/$NU$34,$NN$34/$NT$34)),0)</f>
        <v/>
      </c>
      <c r="IF34" s="402">
        <f>IF(AND(236&gt;=$NR$34,236&lt;=$NS$34),IF($NP$34="Single_Point",IF(236=$NR$34,$NN$34,0),IF($NP$34="Bell_Curve",$NN$34*(236-$NR$34+1)*($NS$34-236+1)/$NU$34,$NN$34/$NT$34)),0)</f>
        <v/>
      </c>
      <c r="IG34" s="402">
        <f>IF(AND(237&gt;=$NR$34,237&lt;=$NS$34),IF($NP$34="Single_Point",IF(237=$NR$34,$NN$34,0),IF($NP$34="Bell_Curve",$NN$34*(237-$NR$34+1)*($NS$34-237+1)/$NU$34,$NN$34/$NT$34)),0)</f>
        <v/>
      </c>
      <c r="IH34" s="402">
        <f>IF(AND(238&gt;=$NR$34,238&lt;=$NS$34),IF($NP$34="Single_Point",IF(238=$NR$34,$NN$34,0),IF($NP$34="Bell_Curve",$NN$34*(238-$NR$34+1)*($NS$34-238+1)/$NU$34,$NN$34/$NT$34)),0)</f>
        <v/>
      </c>
      <c r="II34" s="402">
        <f>IF(AND(239&gt;=$NR$34,239&lt;=$NS$34),IF($NP$34="Single_Point",IF(239=$NR$34,$NN$34,0),IF($NP$34="Bell_Curve",$NN$34*(239-$NR$34+1)*($NS$34-239+1)/$NU$34,$NN$34/$NT$34)),0)</f>
        <v/>
      </c>
      <c r="IJ34" s="402">
        <f>IF(AND(240&gt;=$NR$34,240&lt;=$NS$34),IF($NP$34="Single_Point",IF(240=$NR$34,$NN$34,0),IF($NP$34="Bell_Curve",$NN$34*(240-$NR$34+1)*($NS$34-240+1)/$NU$34,$NN$34/$NT$34)),0)</f>
        <v/>
      </c>
      <c r="IK34" s="402">
        <f>IF(AND(241&gt;=$NR$34,241&lt;=$NS$34),IF($NP$34="Single_Point",IF(241=$NR$34,$NN$34,0),IF($NP$34="Bell_Curve",$NN$34*(241-$NR$34+1)*($NS$34-241+1)/$NU$34,$NN$34/$NT$34)),0)</f>
        <v/>
      </c>
      <c r="IL34" s="402">
        <f>IF(AND(242&gt;=$NR$34,242&lt;=$NS$34),IF($NP$34="Single_Point",IF(242=$NR$34,$NN$34,0),IF($NP$34="Bell_Curve",$NN$34*(242-$NR$34+1)*($NS$34-242+1)/$NU$34,$NN$34/$NT$34)),0)</f>
        <v/>
      </c>
      <c r="IM34" s="402">
        <f>IF(AND(243&gt;=$NR$34,243&lt;=$NS$34),IF($NP$34="Single_Point",IF(243=$NR$34,$NN$34,0),IF($NP$34="Bell_Curve",$NN$34*(243-$NR$34+1)*($NS$34-243+1)/$NU$34,$NN$34/$NT$34)),0)</f>
        <v/>
      </c>
      <c r="IN34" s="402">
        <f>IF(AND(244&gt;=$NR$34,244&lt;=$NS$34),IF($NP$34="Single_Point",IF(244=$NR$34,$NN$34,0),IF($NP$34="Bell_Curve",$NN$34*(244-$NR$34+1)*($NS$34-244+1)/$NU$34,$NN$34/$NT$34)),0)</f>
        <v/>
      </c>
      <c r="IO34" s="402">
        <f>IF(AND(245&gt;=$NR$34,245&lt;=$NS$34),IF($NP$34="Single_Point",IF(245=$NR$34,$NN$34,0),IF($NP$34="Bell_Curve",$NN$34*(245-$NR$34+1)*($NS$34-245+1)/$NU$34,$NN$34/$NT$34)),0)</f>
        <v/>
      </c>
      <c r="IP34" s="402">
        <f>IF(AND(246&gt;=$NR$34,246&lt;=$NS$34),IF($NP$34="Single_Point",IF(246=$NR$34,$NN$34,0),IF($NP$34="Bell_Curve",$NN$34*(246-$NR$34+1)*($NS$34-246+1)/$NU$34,$NN$34/$NT$34)),0)</f>
        <v/>
      </c>
      <c r="IQ34" s="402">
        <f>IF(AND(247&gt;=$NR$34,247&lt;=$NS$34),IF($NP$34="Single_Point",IF(247=$NR$34,$NN$34,0),IF($NP$34="Bell_Curve",$NN$34*(247-$NR$34+1)*($NS$34-247+1)/$NU$34,$NN$34/$NT$34)),0)</f>
        <v/>
      </c>
      <c r="IR34" s="402">
        <f>IF(AND(248&gt;=$NR$34,248&lt;=$NS$34),IF($NP$34="Single_Point",IF(248=$NR$34,$NN$34,0),IF($NP$34="Bell_Curve",$NN$34*(248-$NR$34+1)*($NS$34-248+1)/$NU$34,$NN$34/$NT$34)),0)</f>
        <v/>
      </c>
      <c r="IS34" s="402">
        <f>IF(AND(249&gt;=$NR$34,249&lt;=$NS$34),IF($NP$34="Single_Point",IF(249=$NR$34,$NN$34,0),IF($NP$34="Bell_Curve",$NN$34*(249-$NR$34+1)*($NS$34-249+1)/$NU$34,$NN$34/$NT$34)),0)</f>
        <v/>
      </c>
      <c r="IT34" s="402">
        <f>IF(AND(250&gt;=$NR$34,250&lt;=$NS$34),IF($NP$34="Single_Point",IF(250=$NR$34,$NN$34,0),IF($NP$34="Bell_Curve",$NN$34*(250-$NR$34+1)*($NS$34-250+1)/$NU$34,$NN$34/$NT$34)),0)</f>
        <v/>
      </c>
      <c r="IU34" s="402">
        <f>IF(AND(251&gt;=$NR$34,251&lt;=$NS$34),IF($NP$34="Single_Point",IF(251=$NR$34,$NN$34,0),IF($NP$34="Bell_Curve",$NN$34*(251-$NR$34+1)*($NS$34-251+1)/$NU$34,$NN$34/$NT$34)),0)</f>
        <v/>
      </c>
      <c r="IV34" s="402">
        <f>IF(AND(252&gt;=$NR$34,252&lt;=$NS$34),IF($NP$34="Single_Point",IF(252=$NR$34,$NN$34,0),IF($NP$34="Bell_Curve",$NN$34*(252-$NR$34+1)*($NS$34-252+1)/$NU$34,$NN$34/$NT$34)),0)</f>
        <v/>
      </c>
      <c r="IW34" s="402">
        <f>IF(AND(253&gt;=$NR$34,253&lt;=$NS$34),IF($NP$34="Single_Point",IF(253=$NR$34,$NN$34,0),IF($NP$34="Bell_Curve",$NN$34*(253-$NR$34+1)*($NS$34-253+1)/$NU$34,$NN$34/$NT$34)),0)</f>
        <v/>
      </c>
      <c r="IX34" s="402">
        <f>IF(AND(254&gt;=$NR$34,254&lt;=$NS$34),IF($NP$34="Single_Point",IF(254=$NR$34,$NN$34,0),IF($NP$34="Bell_Curve",$NN$34*(254-$NR$34+1)*($NS$34-254+1)/$NU$34,$NN$34/$NT$34)),0)</f>
        <v/>
      </c>
      <c r="IY34" s="402">
        <f>IF(AND(255&gt;=$NR$34,255&lt;=$NS$34),IF($NP$34="Single_Point",IF(255=$NR$34,$NN$34,0),IF($NP$34="Bell_Curve",$NN$34*(255-$NR$34+1)*($NS$34-255+1)/$NU$34,$NN$34/$NT$34)),0)</f>
        <v/>
      </c>
      <c r="IZ34" s="402">
        <f>IF(AND(256&gt;=$NR$34,256&lt;=$NS$34),IF($NP$34="Single_Point",IF(256=$NR$34,$NN$34,0),IF($NP$34="Bell_Curve",$NN$34*(256-$NR$34+1)*($NS$34-256+1)/$NU$34,$NN$34/$NT$34)),0)</f>
        <v/>
      </c>
      <c r="JA34" s="402">
        <f>IF(AND(257&gt;=$NR$34,257&lt;=$NS$34),IF($NP$34="Single_Point",IF(257=$NR$34,$NN$34,0),IF($NP$34="Bell_Curve",$NN$34*(257-$NR$34+1)*($NS$34-257+1)/$NU$34,$NN$34/$NT$34)),0)</f>
        <v/>
      </c>
      <c r="JB34" s="402">
        <f>IF(AND(258&gt;=$NR$34,258&lt;=$NS$34),IF($NP$34="Single_Point",IF(258=$NR$34,$NN$34,0),IF($NP$34="Bell_Curve",$NN$34*(258-$NR$34+1)*($NS$34-258+1)/$NU$34,$NN$34/$NT$34)),0)</f>
        <v/>
      </c>
      <c r="JC34" s="402">
        <f>IF(AND(259&gt;=$NR$34,259&lt;=$NS$34),IF($NP$34="Single_Point",IF(259=$NR$34,$NN$34,0),IF($NP$34="Bell_Curve",$NN$34*(259-$NR$34+1)*($NS$34-259+1)/$NU$34,$NN$34/$NT$34)),0)</f>
        <v/>
      </c>
      <c r="JD34" s="402">
        <f>IF(AND(260&gt;=$NR$34,260&lt;=$NS$34),IF($NP$34="Single_Point",IF(260=$NR$34,$NN$34,0),IF($NP$34="Bell_Curve",$NN$34*(260-$NR$34+1)*($NS$34-260+1)/$NU$34,$NN$34/$NT$34)),0)</f>
        <v/>
      </c>
      <c r="JE34" s="402">
        <f>IF(AND(261&gt;=$NR$34,261&lt;=$NS$34),IF($NP$34="Single_Point",IF(261=$NR$34,$NN$34,0),IF($NP$34="Bell_Curve",$NN$34*(261-$NR$34+1)*($NS$34-261+1)/$NU$34,$NN$34/$NT$34)),0)</f>
        <v/>
      </c>
      <c r="JF34" s="402">
        <f>IF(AND(262&gt;=$NR$34,262&lt;=$NS$34),IF($NP$34="Single_Point",IF(262=$NR$34,$NN$34,0),IF($NP$34="Bell_Curve",$NN$34*(262-$NR$34+1)*($NS$34-262+1)/$NU$34,$NN$34/$NT$34)),0)</f>
        <v/>
      </c>
      <c r="JG34" s="402">
        <f>IF(AND(263&gt;=$NR$34,263&lt;=$NS$34),IF($NP$34="Single_Point",IF(263=$NR$34,$NN$34,0),IF($NP$34="Bell_Curve",$NN$34*(263-$NR$34+1)*($NS$34-263+1)/$NU$34,$NN$34/$NT$34)),0)</f>
        <v/>
      </c>
      <c r="JH34" s="402">
        <f>IF(AND(264&gt;=$NR$34,264&lt;=$NS$34),IF($NP$34="Single_Point",IF(264=$NR$34,$NN$34,0),IF($NP$34="Bell_Curve",$NN$34*(264-$NR$34+1)*($NS$34-264+1)/$NU$34,$NN$34/$NT$34)),0)</f>
        <v/>
      </c>
      <c r="JI34" s="402">
        <f>IF(AND(265&gt;=$NR$34,265&lt;=$NS$34),IF($NP$34="Single_Point",IF(265=$NR$34,$NN$34,0),IF($NP$34="Bell_Curve",$NN$34*(265-$NR$34+1)*($NS$34-265+1)/$NU$34,$NN$34/$NT$34)),0)</f>
        <v/>
      </c>
      <c r="JJ34" s="402">
        <f>IF(AND(266&gt;=$NR$34,266&lt;=$NS$34),IF($NP$34="Single_Point",IF(266=$NR$34,$NN$34,0),IF($NP$34="Bell_Curve",$NN$34*(266-$NR$34+1)*($NS$34-266+1)/$NU$34,$NN$34/$NT$34)),0)</f>
        <v/>
      </c>
      <c r="JK34" s="402">
        <f>IF(AND(267&gt;=$NR$34,267&lt;=$NS$34),IF($NP$34="Single_Point",IF(267=$NR$34,$NN$34,0),IF($NP$34="Bell_Curve",$NN$34*(267-$NR$34+1)*($NS$34-267+1)/$NU$34,$NN$34/$NT$34)),0)</f>
        <v/>
      </c>
      <c r="JL34" s="402">
        <f>IF(AND(268&gt;=$NR$34,268&lt;=$NS$34),IF($NP$34="Single_Point",IF(268=$NR$34,$NN$34,0),IF($NP$34="Bell_Curve",$NN$34*(268-$NR$34+1)*($NS$34-268+1)/$NU$34,$NN$34/$NT$34)),0)</f>
        <v/>
      </c>
      <c r="JM34" s="402">
        <f>IF(AND(269&gt;=$NR$34,269&lt;=$NS$34),IF($NP$34="Single_Point",IF(269=$NR$34,$NN$34,0),IF($NP$34="Bell_Curve",$NN$34*(269-$NR$34+1)*($NS$34-269+1)/$NU$34,$NN$34/$NT$34)),0)</f>
        <v/>
      </c>
      <c r="JN34" s="402">
        <f>IF(AND(270&gt;=$NR$34,270&lt;=$NS$34),IF($NP$34="Single_Point",IF(270=$NR$34,$NN$34,0),IF($NP$34="Bell_Curve",$NN$34*(270-$NR$34+1)*($NS$34-270+1)/$NU$34,$NN$34/$NT$34)),0)</f>
        <v/>
      </c>
      <c r="JO34" s="402">
        <f>IF(AND(271&gt;=$NR$34,271&lt;=$NS$34),IF($NP$34="Single_Point",IF(271=$NR$34,$NN$34,0),IF($NP$34="Bell_Curve",$NN$34*(271-$NR$34+1)*($NS$34-271+1)/$NU$34,$NN$34/$NT$34)),0)</f>
        <v/>
      </c>
      <c r="JP34" s="402">
        <f>IF(AND(272&gt;=$NR$34,272&lt;=$NS$34),IF($NP$34="Single_Point",IF(272=$NR$34,$NN$34,0),IF($NP$34="Bell_Curve",$NN$34*(272-$NR$34+1)*($NS$34-272+1)/$NU$34,$NN$34/$NT$34)),0)</f>
        <v/>
      </c>
      <c r="JQ34" s="402">
        <f>IF(AND(273&gt;=$NR$34,273&lt;=$NS$34),IF($NP$34="Single_Point",IF(273=$NR$34,$NN$34,0),IF($NP$34="Bell_Curve",$NN$34*(273-$NR$34+1)*($NS$34-273+1)/$NU$34,$NN$34/$NT$34)),0)</f>
        <v/>
      </c>
      <c r="JR34" s="402">
        <f>IF(AND(274&gt;=$NR$34,274&lt;=$NS$34),IF($NP$34="Single_Point",IF(274=$NR$34,$NN$34,0),IF($NP$34="Bell_Curve",$NN$34*(274-$NR$34+1)*($NS$34-274+1)/$NU$34,$NN$34/$NT$34)),0)</f>
        <v/>
      </c>
      <c r="JS34" s="402">
        <f>IF(AND(275&gt;=$NR$34,275&lt;=$NS$34),IF($NP$34="Single_Point",IF(275=$NR$34,$NN$34,0),IF($NP$34="Bell_Curve",$NN$34*(275-$NR$34+1)*($NS$34-275+1)/$NU$34,$NN$34/$NT$34)),0)</f>
        <v/>
      </c>
      <c r="JT34" s="402">
        <f>IF(AND(276&gt;=$NR$34,276&lt;=$NS$34),IF($NP$34="Single_Point",IF(276=$NR$34,$NN$34,0),IF($NP$34="Bell_Curve",$NN$34*(276-$NR$34+1)*($NS$34-276+1)/$NU$34,$NN$34/$NT$34)),0)</f>
        <v/>
      </c>
      <c r="JU34" s="402">
        <f>IF(AND(277&gt;=$NR$34,277&lt;=$NS$34),IF($NP$34="Single_Point",IF(277=$NR$34,$NN$34,0),IF($NP$34="Bell_Curve",$NN$34*(277-$NR$34+1)*($NS$34-277+1)/$NU$34,$NN$34/$NT$34)),0)</f>
        <v/>
      </c>
      <c r="JV34" s="402">
        <f>IF(AND(278&gt;=$NR$34,278&lt;=$NS$34),IF($NP$34="Single_Point",IF(278=$NR$34,$NN$34,0),IF($NP$34="Bell_Curve",$NN$34*(278-$NR$34+1)*($NS$34-278+1)/$NU$34,$NN$34/$NT$34)),0)</f>
        <v/>
      </c>
      <c r="JW34" s="402">
        <f>IF(AND(279&gt;=$NR$34,279&lt;=$NS$34),IF($NP$34="Single_Point",IF(279=$NR$34,$NN$34,0),IF($NP$34="Bell_Curve",$NN$34*(279-$NR$34+1)*($NS$34-279+1)/$NU$34,$NN$34/$NT$34)),0)</f>
        <v/>
      </c>
      <c r="JX34" s="402">
        <f>IF(AND(280&gt;=$NR$34,280&lt;=$NS$34),IF($NP$34="Single_Point",IF(280=$NR$34,$NN$34,0),IF($NP$34="Bell_Curve",$NN$34*(280-$NR$34+1)*($NS$34-280+1)/$NU$34,$NN$34/$NT$34)),0)</f>
        <v/>
      </c>
      <c r="JY34" s="402">
        <f>IF(AND(281&gt;=$NR$34,281&lt;=$NS$34),IF($NP$34="Single_Point",IF(281=$NR$34,$NN$34,0),IF($NP$34="Bell_Curve",$NN$34*(281-$NR$34+1)*($NS$34-281+1)/$NU$34,$NN$34/$NT$34)),0)</f>
        <v/>
      </c>
      <c r="JZ34" s="402">
        <f>IF(AND(282&gt;=$NR$34,282&lt;=$NS$34),IF($NP$34="Single_Point",IF(282=$NR$34,$NN$34,0),IF($NP$34="Bell_Curve",$NN$34*(282-$NR$34+1)*($NS$34-282+1)/$NU$34,$NN$34/$NT$34)),0)</f>
        <v/>
      </c>
      <c r="KA34" s="402">
        <f>IF(AND(283&gt;=$NR$34,283&lt;=$NS$34),IF($NP$34="Single_Point",IF(283=$NR$34,$NN$34,0),IF($NP$34="Bell_Curve",$NN$34*(283-$NR$34+1)*($NS$34-283+1)/$NU$34,$NN$34/$NT$34)),0)</f>
        <v/>
      </c>
      <c r="KB34" s="402">
        <f>IF(AND(284&gt;=$NR$34,284&lt;=$NS$34),IF($NP$34="Single_Point",IF(284=$NR$34,$NN$34,0),IF($NP$34="Bell_Curve",$NN$34*(284-$NR$34+1)*($NS$34-284+1)/$NU$34,$NN$34/$NT$34)),0)</f>
        <v/>
      </c>
      <c r="KC34" s="402">
        <f>IF(AND(285&gt;=$NR$34,285&lt;=$NS$34),IF($NP$34="Single_Point",IF(285=$NR$34,$NN$34,0),IF($NP$34="Bell_Curve",$NN$34*(285-$NR$34+1)*($NS$34-285+1)/$NU$34,$NN$34/$NT$34)),0)</f>
        <v/>
      </c>
      <c r="KD34" s="402">
        <f>IF(AND(286&gt;=$NR$34,286&lt;=$NS$34),IF($NP$34="Single_Point",IF(286=$NR$34,$NN$34,0),IF($NP$34="Bell_Curve",$NN$34*(286-$NR$34+1)*($NS$34-286+1)/$NU$34,$NN$34/$NT$34)),0)</f>
        <v/>
      </c>
      <c r="KE34" s="402">
        <f>IF(AND(287&gt;=$NR$34,287&lt;=$NS$34),IF($NP$34="Single_Point",IF(287=$NR$34,$NN$34,0),IF($NP$34="Bell_Curve",$NN$34*(287-$NR$34+1)*($NS$34-287+1)/$NU$34,$NN$34/$NT$34)),0)</f>
        <v/>
      </c>
      <c r="KF34" s="402">
        <f>IF(AND(288&gt;=$NR$34,288&lt;=$NS$34),IF($NP$34="Single_Point",IF(288=$NR$34,$NN$34,0),IF($NP$34="Bell_Curve",$NN$34*(288-$NR$34+1)*($NS$34-288+1)/$NU$34,$NN$34/$NT$34)),0)</f>
        <v/>
      </c>
      <c r="KG34" s="402">
        <f>IF(AND(289&gt;=$NR$34,289&lt;=$NS$34),IF($NP$34="Single_Point",IF(289=$NR$34,$NN$34,0),IF($NP$34="Bell_Curve",$NN$34*(289-$NR$34+1)*($NS$34-289+1)/$NU$34,$NN$34/$NT$34)),0)</f>
        <v/>
      </c>
      <c r="KH34" s="402">
        <f>IF(AND(290&gt;=$NR$34,290&lt;=$NS$34),IF($NP$34="Single_Point",IF(290=$NR$34,$NN$34,0),IF($NP$34="Bell_Curve",$NN$34*(290-$NR$34+1)*($NS$34-290+1)/$NU$34,$NN$34/$NT$34)),0)</f>
        <v/>
      </c>
      <c r="KI34" s="402">
        <f>IF(AND(291&gt;=$NR$34,291&lt;=$NS$34),IF($NP$34="Single_Point",IF(291=$NR$34,$NN$34,0),IF($NP$34="Bell_Curve",$NN$34*(291-$NR$34+1)*($NS$34-291+1)/$NU$34,$NN$34/$NT$34)),0)</f>
        <v/>
      </c>
      <c r="KJ34" s="402">
        <f>IF(AND(292&gt;=$NR$34,292&lt;=$NS$34),IF($NP$34="Single_Point",IF(292=$NR$34,$NN$34,0),IF($NP$34="Bell_Curve",$NN$34*(292-$NR$34+1)*($NS$34-292+1)/$NU$34,$NN$34/$NT$34)),0)</f>
        <v/>
      </c>
      <c r="KK34" s="402">
        <f>IF(AND(293&gt;=$NR$34,293&lt;=$NS$34),IF($NP$34="Single_Point",IF(293=$NR$34,$NN$34,0),IF($NP$34="Bell_Curve",$NN$34*(293-$NR$34+1)*($NS$34-293+1)/$NU$34,$NN$34/$NT$34)),0)</f>
        <v/>
      </c>
      <c r="KL34" s="402">
        <f>IF(AND(294&gt;=$NR$34,294&lt;=$NS$34),IF($NP$34="Single_Point",IF(294=$NR$34,$NN$34,0),IF($NP$34="Bell_Curve",$NN$34*(294-$NR$34+1)*($NS$34-294+1)/$NU$34,$NN$34/$NT$34)),0)</f>
        <v/>
      </c>
      <c r="KM34" s="402">
        <f>IF(AND(295&gt;=$NR$34,295&lt;=$NS$34),IF($NP$34="Single_Point",IF(295=$NR$34,$NN$34,0),IF($NP$34="Bell_Curve",$NN$34*(295-$NR$34+1)*($NS$34-295+1)/$NU$34,$NN$34/$NT$34)),0)</f>
        <v/>
      </c>
      <c r="KN34" s="402">
        <f>IF(AND(296&gt;=$NR$34,296&lt;=$NS$34),IF($NP$34="Single_Point",IF(296=$NR$34,$NN$34,0),IF($NP$34="Bell_Curve",$NN$34*(296-$NR$34+1)*($NS$34-296+1)/$NU$34,$NN$34/$NT$34)),0)</f>
        <v/>
      </c>
      <c r="KO34" s="402">
        <f>IF(AND(297&gt;=$NR$34,297&lt;=$NS$34),IF($NP$34="Single_Point",IF(297=$NR$34,$NN$34,0),IF($NP$34="Bell_Curve",$NN$34*(297-$NR$34+1)*($NS$34-297+1)/$NU$34,$NN$34/$NT$34)),0)</f>
        <v/>
      </c>
      <c r="KP34" s="402">
        <f>IF(AND(298&gt;=$NR$34,298&lt;=$NS$34),IF($NP$34="Single_Point",IF(298=$NR$34,$NN$34,0),IF($NP$34="Bell_Curve",$NN$34*(298-$NR$34+1)*($NS$34-298+1)/$NU$34,$NN$34/$NT$34)),0)</f>
        <v/>
      </c>
      <c r="KQ34" s="402">
        <f>IF(AND(299&gt;=$NR$34,299&lt;=$NS$34),IF($NP$34="Single_Point",IF(299=$NR$34,$NN$34,0),IF($NP$34="Bell_Curve",$NN$34*(299-$NR$34+1)*($NS$34-299+1)/$NU$34,$NN$34/$NT$34)),0)</f>
        <v/>
      </c>
      <c r="KR34" s="402">
        <f>IF(AND(300&gt;=$NR$34,300&lt;=$NS$34),IF($NP$34="Single_Point",IF(300=$NR$34,$NN$34,0),IF($NP$34="Bell_Curve",$NN$34*(300-$NR$34+1)*($NS$34-300+1)/$NU$34,$NN$34/$NT$34)),0)</f>
        <v/>
      </c>
      <c r="KS34" s="402">
        <f>IF(AND(301&gt;=$NR$34,301&lt;=$NS$34),IF($NP$34="Single_Point",IF(301=$NR$34,$NN$34,0),IF($NP$34="Bell_Curve",$NN$34*(301-$NR$34+1)*($NS$34-301+1)/$NU$34,$NN$34/$NT$34)),0)</f>
        <v/>
      </c>
      <c r="KT34" s="402">
        <f>IF(AND(302&gt;=$NR$34,302&lt;=$NS$34),IF($NP$34="Single_Point",IF(302=$NR$34,$NN$34,0),IF($NP$34="Bell_Curve",$NN$34*(302-$NR$34+1)*($NS$34-302+1)/$NU$34,$NN$34/$NT$34)),0)</f>
        <v/>
      </c>
      <c r="KU34" s="402">
        <f>IF(AND(303&gt;=$NR$34,303&lt;=$NS$34),IF($NP$34="Single_Point",IF(303=$NR$34,$NN$34,0),IF($NP$34="Bell_Curve",$NN$34*(303-$NR$34+1)*($NS$34-303+1)/$NU$34,$NN$34/$NT$34)),0)</f>
        <v/>
      </c>
      <c r="KV34" s="402">
        <f>IF(AND(304&gt;=$NR$34,304&lt;=$NS$34),IF($NP$34="Single_Point",IF(304=$NR$34,$NN$34,0),IF($NP$34="Bell_Curve",$NN$34*(304-$NR$34+1)*($NS$34-304+1)/$NU$34,$NN$34/$NT$34)),0)</f>
        <v/>
      </c>
      <c r="KW34" s="402">
        <f>IF(AND(305&gt;=$NR$34,305&lt;=$NS$34),IF($NP$34="Single_Point",IF(305=$NR$34,$NN$34,0),IF($NP$34="Bell_Curve",$NN$34*(305-$NR$34+1)*($NS$34-305+1)/$NU$34,$NN$34/$NT$34)),0)</f>
        <v/>
      </c>
      <c r="KX34" s="402">
        <f>IF(AND(306&gt;=$NR$34,306&lt;=$NS$34),IF($NP$34="Single_Point",IF(306=$NR$34,$NN$34,0),IF($NP$34="Bell_Curve",$NN$34*(306-$NR$34+1)*($NS$34-306+1)/$NU$34,$NN$34/$NT$34)),0)</f>
        <v/>
      </c>
      <c r="KY34" s="402">
        <f>IF(AND(307&gt;=$NR$34,307&lt;=$NS$34),IF($NP$34="Single_Point",IF(307=$NR$34,$NN$34,0),IF($NP$34="Bell_Curve",$NN$34*(307-$NR$34+1)*($NS$34-307+1)/$NU$34,$NN$34/$NT$34)),0)</f>
        <v/>
      </c>
      <c r="KZ34" s="402">
        <f>IF(AND(308&gt;=$NR$34,308&lt;=$NS$34),IF($NP$34="Single_Point",IF(308=$NR$34,$NN$34,0),IF($NP$34="Bell_Curve",$NN$34*(308-$NR$34+1)*($NS$34-308+1)/$NU$34,$NN$34/$NT$34)),0)</f>
        <v/>
      </c>
      <c r="LA34" s="402">
        <f>IF(AND(309&gt;=$NR$34,309&lt;=$NS$34),IF($NP$34="Single_Point",IF(309=$NR$34,$NN$34,0),IF($NP$34="Bell_Curve",$NN$34*(309-$NR$34+1)*($NS$34-309+1)/$NU$34,$NN$34/$NT$34)),0)</f>
        <v/>
      </c>
      <c r="LB34" s="402">
        <f>IF(AND(310&gt;=$NR$34,310&lt;=$NS$34),IF($NP$34="Single_Point",IF(310=$NR$34,$NN$34,0),IF($NP$34="Bell_Curve",$NN$34*(310-$NR$34+1)*($NS$34-310+1)/$NU$34,$NN$34/$NT$34)),0)</f>
        <v/>
      </c>
      <c r="LC34" s="402">
        <f>IF(AND(311&gt;=$NR$34,311&lt;=$NS$34),IF($NP$34="Single_Point",IF(311=$NR$34,$NN$34,0),IF($NP$34="Bell_Curve",$NN$34*(311-$NR$34+1)*($NS$34-311+1)/$NU$34,$NN$34/$NT$34)),0)</f>
        <v/>
      </c>
      <c r="LD34" s="402">
        <f>IF(AND(312&gt;=$NR$34,312&lt;=$NS$34),IF($NP$34="Single_Point",IF(312=$NR$34,$NN$34,0),IF($NP$34="Bell_Curve",$NN$34*(312-$NR$34+1)*($NS$34-312+1)/$NU$34,$NN$34/$NT$34)),0)</f>
        <v/>
      </c>
      <c r="LE34" s="402">
        <f>IF(AND(313&gt;=$NR$34,313&lt;=$NS$34),IF($NP$34="Single_Point",IF(313=$NR$34,$NN$34,0),IF($NP$34="Bell_Curve",$NN$34*(313-$NR$34+1)*($NS$34-313+1)/$NU$34,$NN$34/$NT$34)),0)</f>
        <v/>
      </c>
      <c r="LF34" s="402">
        <f>IF(AND(314&gt;=$NR$34,314&lt;=$NS$34),IF($NP$34="Single_Point",IF(314=$NR$34,$NN$34,0),IF($NP$34="Bell_Curve",$NN$34*(314-$NR$34+1)*($NS$34-314+1)/$NU$34,$NN$34/$NT$34)),0)</f>
        <v/>
      </c>
      <c r="LG34" s="402">
        <f>IF(AND(315&gt;=$NR$34,315&lt;=$NS$34),IF($NP$34="Single_Point",IF(315=$NR$34,$NN$34,0),IF($NP$34="Bell_Curve",$NN$34*(315-$NR$34+1)*($NS$34-315+1)/$NU$34,$NN$34/$NT$34)),0)</f>
        <v/>
      </c>
      <c r="LH34" s="402">
        <f>IF(AND(316&gt;=$NR$34,316&lt;=$NS$34),IF($NP$34="Single_Point",IF(316=$NR$34,$NN$34,0),IF($NP$34="Bell_Curve",$NN$34*(316-$NR$34+1)*($NS$34-316+1)/$NU$34,$NN$34/$NT$34)),0)</f>
        <v/>
      </c>
      <c r="LI34" s="402">
        <f>IF(AND(317&gt;=$NR$34,317&lt;=$NS$34),IF($NP$34="Single_Point",IF(317=$NR$34,$NN$34,0),IF($NP$34="Bell_Curve",$NN$34*(317-$NR$34+1)*($NS$34-317+1)/$NU$34,$NN$34/$NT$34)),0)</f>
        <v/>
      </c>
      <c r="LJ34" s="402">
        <f>IF(AND(318&gt;=$NR$34,318&lt;=$NS$34),IF($NP$34="Single_Point",IF(318=$NR$34,$NN$34,0),IF($NP$34="Bell_Curve",$NN$34*(318-$NR$34+1)*($NS$34-318+1)/$NU$34,$NN$34/$NT$34)),0)</f>
        <v/>
      </c>
      <c r="LK34" s="402">
        <f>IF(AND(319&gt;=$NR$34,319&lt;=$NS$34),IF($NP$34="Single_Point",IF(319=$NR$34,$NN$34,0),IF($NP$34="Bell_Curve",$NN$34*(319-$NR$34+1)*($NS$34-319+1)/$NU$34,$NN$34/$NT$34)),0)</f>
        <v/>
      </c>
      <c r="LL34" s="402">
        <f>IF(AND(320&gt;=$NR$34,320&lt;=$NS$34),IF($NP$34="Single_Point",IF(320=$NR$34,$NN$34,0),IF($NP$34="Bell_Curve",$NN$34*(320-$NR$34+1)*($NS$34-320+1)/$NU$34,$NN$34/$NT$34)),0)</f>
        <v/>
      </c>
      <c r="LM34" s="402">
        <f>IF(AND(321&gt;=$NR$34,321&lt;=$NS$34),IF($NP$34="Single_Point",IF(321=$NR$34,$NN$34,0),IF($NP$34="Bell_Curve",$NN$34*(321-$NR$34+1)*($NS$34-321+1)/$NU$34,$NN$34/$NT$34)),0)</f>
        <v/>
      </c>
      <c r="LN34" s="402">
        <f>IF(AND(322&gt;=$NR$34,322&lt;=$NS$34),IF($NP$34="Single_Point",IF(322=$NR$34,$NN$34,0),IF($NP$34="Bell_Curve",$NN$34*(322-$NR$34+1)*($NS$34-322+1)/$NU$34,$NN$34/$NT$34)),0)</f>
        <v/>
      </c>
      <c r="LO34" s="402">
        <f>IF(AND(323&gt;=$NR$34,323&lt;=$NS$34),IF($NP$34="Single_Point",IF(323=$NR$34,$NN$34,0),IF($NP$34="Bell_Curve",$NN$34*(323-$NR$34+1)*($NS$34-323+1)/$NU$34,$NN$34/$NT$34)),0)</f>
        <v/>
      </c>
      <c r="LP34" s="402">
        <f>IF(AND(324&gt;=$NR$34,324&lt;=$NS$34),IF($NP$34="Single_Point",IF(324=$NR$34,$NN$34,0),IF($NP$34="Bell_Curve",$NN$34*(324-$NR$34+1)*($NS$34-324+1)/$NU$34,$NN$34/$NT$34)),0)</f>
        <v/>
      </c>
      <c r="LQ34" s="402">
        <f>IF(AND(325&gt;=$NR$34,325&lt;=$NS$34),IF($NP$34="Single_Point",IF(325=$NR$34,$NN$34,0),IF($NP$34="Bell_Curve",$NN$34*(325-$NR$34+1)*($NS$34-325+1)/$NU$34,$NN$34/$NT$34)),0)</f>
        <v/>
      </c>
      <c r="LR34" s="402">
        <f>IF(AND(326&gt;=$NR$34,326&lt;=$NS$34),IF($NP$34="Single_Point",IF(326=$NR$34,$NN$34,0),IF($NP$34="Bell_Curve",$NN$34*(326-$NR$34+1)*($NS$34-326+1)/$NU$34,$NN$34/$NT$34)),0)</f>
        <v/>
      </c>
      <c r="LS34" s="402">
        <f>IF(AND(327&gt;=$NR$34,327&lt;=$NS$34),IF($NP$34="Single_Point",IF(327=$NR$34,$NN$34,0),IF($NP$34="Bell_Curve",$NN$34*(327-$NR$34+1)*($NS$34-327+1)/$NU$34,$NN$34/$NT$34)),0)</f>
        <v/>
      </c>
      <c r="LT34" s="402">
        <f>IF(AND(328&gt;=$NR$34,328&lt;=$NS$34),IF($NP$34="Single_Point",IF(328=$NR$34,$NN$34,0),IF($NP$34="Bell_Curve",$NN$34*(328-$NR$34+1)*($NS$34-328+1)/$NU$34,$NN$34/$NT$34)),0)</f>
        <v/>
      </c>
      <c r="LU34" s="402">
        <f>IF(AND(329&gt;=$NR$34,329&lt;=$NS$34),IF($NP$34="Single_Point",IF(329=$NR$34,$NN$34,0),IF($NP$34="Bell_Curve",$NN$34*(329-$NR$34+1)*($NS$34-329+1)/$NU$34,$NN$34/$NT$34)),0)</f>
        <v/>
      </c>
      <c r="LV34" s="402">
        <f>IF(AND(330&gt;=$NR$34,330&lt;=$NS$34),IF($NP$34="Single_Point",IF(330=$NR$34,$NN$34,0),IF($NP$34="Bell_Curve",$NN$34*(330-$NR$34+1)*($NS$34-330+1)/$NU$34,$NN$34/$NT$34)),0)</f>
        <v/>
      </c>
      <c r="LW34" s="402">
        <f>IF(AND(331&gt;=$NR$34,331&lt;=$NS$34),IF($NP$34="Single_Point",IF(331=$NR$34,$NN$34,0),IF($NP$34="Bell_Curve",$NN$34*(331-$NR$34+1)*($NS$34-331+1)/$NU$34,$NN$34/$NT$34)),0)</f>
        <v/>
      </c>
      <c r="LX34" s="402">
        <f>IF(AND(332&gt;=$NR$34,332&lt;=$NS$34),IF($NP$34="Single_Point",IF(332=$NR$34,$NN$34,0),IF($NP$34="Bell_Curve",$NN$34*(332-$NR$34+1)*($NS$34-332+1)/$NU$34,$NN$34/$NT$34)),0)</f>
        <v/>
      </c>
      <c r="LY34" s="402">
        <f>IF(AND(333&gt;=$NR$34,333&lt;=$NS$34),IF($NP$34="Single_Point",IF(333=$NR$34,$NN$34,0),IF($NP$34="Bell_Curve",$NN$34*(333-$NR$34+1)*($NS$34-333+1)/$NU$34,$NN$34/$NT$34)),0)</f>
        <v/>
      </c>
      <c r="LZ34" s="402">
        <f>IF(AND(334&gt;=$NR$34,334&lt;=$NS$34),IF($NP$34="Single_Point",IF(334=$NR$34,$NN$34,0),IF($NP$34="Bell_Curve",$NN$34*(334-$NR$34+1)*($NS$34-334+1)/$NU$34,$NN$34/$NT$34)),0)</f>
        <v/>
      </c>
      <c r="MA34" s="402">
        <f>IF(AND(335&gt;=$NR$34,335&lt;=$NS$34),IF($NP$34="Single_Point",IF(335=$NR$34,$NN$34,0),IF($NP$34="Bell_Curve",$NN$34*(335-$NR$34+1)*($NS$34-335+1)/$NU$34,$NN$34/$NT$34)),0)</f>
        <v/>
      </c>
      <c r="MB34" s="402">
        <f>IF(AND(336&gt;=$NR$34,336&lt;=$NS$34),IF($NP$34="Single_Point",IF(336=$NR$34,$NN$34,0),IF($NP$34="Bell_Curve",$NN$34*(336-$NR$34+1)*($NS$34-336+1)/$NU$34,$NN$34/$NT$34)),0)</f>
        <v/>
      </c>
      <c r="MC34" s="402">
        <f>IF(AND(337&gt;=$NR$34,337&lt;=$NS$34),IF($NP$34="Single_Point",IF(337=$NR$34,$NN$34,0),IF($NP$34="Bell_Curve",$NN$34*(337-$NR$34+1)*($NS$34-337+1)/$NU$34,$NN$34/$NT$34)),0)</f>
        <v/>
      </c>
      <c r="MD34" s="402">
        <f>IF(AND(338&gt;=$NR$34,338&lt;=$NS$34),IF($NP$34="Single_Point",IF(338=$NR$34,$NN$34,0),IF($NP$34="Bell_Curve",$NN$34*(338-$NR$34+1)*($NS$34-338+1)/$NU$34,$NN$34/$NT$34)),0)</f>
        <v/>
      </c>
      <c r="ME34" s="402">
        <f>IF(AND(339&gt;=$NR$34,339&lt;=$NS$34),IF($NP$34="Single_Point",IF(339=$NR$34,$NN$34,0),IF($NP$34="Bell_Curve",$NN$34*(339-$NR$34+1)*($NS$34-339+1)/$NU$34,$NN$34/$NT$34)),0)</f>
        <v/>
      </c>
      <c r="MF34" s="402">
        <f>IF(AND(340&gt;=$NR$34,340&lt;=$NS$34),IF($NP$34="Single_Point",IF(340=$NR$34,$NN$34,0),IF($NP$34="Bell_Curve",$NN$34*(340-$NR$34+1)*($NS$34-340+1)/$NU$34,$NN$34/$NT$34)),0)</f>
        <v/>
      </c>
      <c r="MG34" s="402">
        <f>IF(AND(341&gt;=$NR$34,341&lt;=$NS$34),IF($NP$34="Single_Point",IF(341=$NR$34,$NN$34,0),IF($NP$34="Bell_Curve",$NN$34*(341-$NR$34+1)*($NS$34-341+1)/$NU$34,$NN$34/$NT$34)),0)</f>
        <v/>
      </c>
      <c r="MH34" s="402">
        <f>IF(AND(342&gt;=$NR$34,342&lt;=$NS$34),IF($NP$34="Single_Point",IF(342=$NR$34,$NN$34,0),IF($NP$34="Bell_Curve",$NN$34*(342-$NR$34+1)*($NS$34-342+1)/$NU$34,$NN$34/$NT$34)),0)</f>
        <v/>
      </c>
      <c r="MI34" s="402">
        <f>IF(AND(343&gt;=$NR$34,343&lt;=$NS$34),IF($NP$34="Single_Point",IF(343=$NR$34,$NN$34,0),IF($NP$34="Bell_Curve",$NN$34*(343-$NR$34+1)*($NS$34-343+1)/$NU$34,$NN$34/$NT$34)),0)</f>
        <v/>
      </c>
      <c r="MJ34" s="402">
        <f>IF(AND(344&gt;=$NR$34,344&lt;=$NS$34),IF($NP$34="Single_Point",IF(344=$NR$34,$NN$34,0),IF($NP$34="Bell_Curve",$NN$34*(344-$NR$34+1)*($NS$34-344+1)/$NU$34,$NN$34/$NT$34)),0)</f>
        <v/>
      </c>
      <c r="MK34" s="402">
        <f>IF(AND(345&gt;=$NR$34,345&lt;=$NS$34),IF($NP$34="Single_Point",IF(345=$NR$34,$NN$34,0),IF($NP$34="Bell_Curve",$NN$34*(345-$NR$34+1)*($NS$34-345+1)/$NU$34,$NN$34/$NT$34)),0)</f>
        <v/>
      </c>
      <c r="ML34" s="402">
        <f>IF(AND(346&gt;=$NR$34,346&lt;=$NS$34),IF($NP$34="Single_Point",IF(346=$NR$34,$NN$34,0),IF($NP$34="Bell_Curve",$NN$34*(346-$NR$34+1)*($NS$34-346+1)/$NU$34,$NN$34/$NT$34)),0)</f>
        <v/>
      </c>
      <c r="MM34" s="402">
        <f>IF(AND(347&gt;=$NR$34,347&lt;=$NS$34),IF($NP$34="Single_Point",IF(347=$NR$34,$NN$34,0),IF($NP$34="Bell_Curve",$NN$34*(347-$NR$34+1)*($NS$34-347+1)/$NU$34,$NN$34/$NT$34)),0)</f>
        <v/>
      </c>
      <c r="MN34" s="402">
        <f>IF(AND(348&gt;=$NR$34,348&lt;=$NS$34),IF($NP$34="Single_Point",IF(348=$NR$34,$NN$34,0),IF($NP$34="Bell_Curve",$NN$34*(348-$NR$34+1)*($NS$34-348+1)/$NU$34,$NN$34/$NT$34)),0)</f>
        <v/>
      </c>
      <c r="MO34" s="402">
        <f>IF(AND(349&gt;=$NR$34,349&lt;=$NS$34),IF($NP$34="Single_Point",IF(349=$NR$34,$NN$34,0),IF($NP$34="Bell_Curve",$NN$34*(349-$NR$34+1)*($NS$34-349+1)/$NU$34,$NN$34/$NT$34)),0)</f>
        <v/>
      </c>
      <c r="MP34" s="402">
        <f>IF(AND(350&gt;=$NR$34,350&lt;=$NS$34),IF($NP$34="Single_Point",IF(350=$NR$34,$NN$34,0),IF($NP$34="Bell_Curve",$NN$34*(350-$NR$34+1)*($NS$34-350+1)/$NU$34,$NN$34/$NT$34)),0)</f>
        <v/>
      </c>
      <c r="MQ34" s="402">
        <f>IF(AND(351&gt;=$NR$34,351&lt;=$NS$34),IF($NP$34="Single_Point",IF(351=$NR$34,$NN$34,0),IF($NP$34="Bell_Curve",$NN$34*(351-$NR$34+1)*($NS$34-351+1)/$NU$34,$NN$34/$NT$34)),0)</f>
        <v/>
      </c>
      <c r="MR34" s="402">
        <f>IF(AND(352&gt;=$NR$34,352&lt;=$NS$34),IF($NP$34="Single_Point",IF(352=$NR$34,$NN$34,0),IF($NP$34="Bell_Curve",$NN$34*(352-$NR$34+1)*($NS$34-352+1)/$NU$34,$NN$34/$NT$34)),0)</f>
        <v/>
      </c>
      <c r="MS34" s="402">
        <f>IF(AND(353&gt;=$NR$34,353&lt;=$NS$34),IF($NP$34="Single_Point",IF(353=$NR$34,$NN$34,0),IF($NP$34="Bell_Curve",$NN$34*(353-$NR$34+1)*($NS$34-353+1)/$NU$34,$NN$34/$NT$34)),0)</f>
        <v/>
      </c>
      <c r="MT34" s="402">
        <f>IF(AND(354&gt;=$NR$34,354&lt;=$NS$34),IF($NP$34="Single_Point",IF(354=$NR$34,$NN$34,0),IF($NP$34="Bell_Curve",$NN$34*(354-$NR$34+1)*($NS$34-354+1)/$NU$34,$NN$34/$NT$34)),0)</f>
        <v/>
      </c>
      <c r="MU34" s="402">
        <f>IF(AND(355&gt;=$NR$34,355&lt;=$NS$34),IF($NP$34="Single_Point",IF(355=$NR$34,$NN$34,0),IF($NP$34="Bell_Curve",$NN$34*(355-$NR$34+1)*($NS$34-355+1)/$NU$34,$NN$34/$NT$34)),0)</f>
        <v/>
      </c>
      <c r="MV34" s="402">
        <f>IF(AND(356&gt;=$NR$34,356&lt;=$NS$34),IF($NP$34="Single_Point",IF(356=$NR$34,$NN$34,0),IF($NP$34="Bell_Curve",$NN$34*(356-$NR$34+1)*($NS$34-356+1)/$NU$34,$NN$34/$NT$34)),0)</f>
        <v/>
      </c>
      <c r="MW34" s="402">
        <f>IF(AND(357&gt;=$NR$34,357&lt;=$NS$34),IF($NP$34="Single_Point",IF(357=$NR$34,$NN$34,0),IF($NP$34="Bell_Curve",$NN$34*(357-$NR$34+1)*($NS$34-357+1)/$NU$34,$NN$34/$NT$34)),0)</f>
        <v/>
      </c>
      <c r="MX34" s="402">
        <f>IF(AND(358&gt;=$NR$34,358&lt;=$NS$34),IF($NP$34="Single_Point",IF(358=$NR$34,$NN$34,0),IF($NP$34="Bell_Curve",$NN$34*(358-$NR$34+1)*($NS$34-358+1)/$NU$34,$NN$34/$NT$34)),0)</f>
        <v/>
      </c>
      <c r="MY34" s="402">
        <f>IF(AND(359&gt;=$NR$34,359&lt;=$NS$34),IF($NP$34="Single_Point",IF(359=$NR$34,$NN$34,0),IF($NP$34="Bell_Curve",$NN$34*(359-$NR$34+1)*($NS$34-359+1)/$NU$34,$NN$34/$NT$34)),0)</f>
        <v/>
      </c>
      <c r="MZ34" s="402">
        <f>IF(AND(360&gt;=$NR$34,360&lt;=$NS$34),IF($NP$34="Single_Point",IF(360=$NR$34,$NN$34,0),IF($NP$34="Bell_Curve",$NN$34*(360-$NR$34+1)*($NS$34-360+1)/$NU$34,$NN$34/$NT$34)),0)</f>
        <v/>
      </c>
      <c r="NA34" s="402">
        <f>IF(AND(361&gt;=$NR$34,361&lt;=$NS$34),IF($NP$34="Single_Point",IF(361=$NR$34,$NN$34,0),IF($NP$34="Bell_Curve",$NN$34*(361-$NR$34+1)*($NS$34-361+1)/$NU$34,$NN$34/$NT$34)),0)</f>
        <v/>
      </c>
      <c r="NB34" s="402">
        <f>IF(AND(362&gt;=$NR$34,362&lt;=$NS$34),IF($NP$34="Single_Point",IF(362=$NR$34,$NN$34,0),IF($NP$34="Bell_Curve",$NN$34*(362-$NR$34+1)*($NS$34-362+1)/$NU$34,$NN$34/$NT$34)),0)</f>
        <v/>
      </c>
      <c r="NC34" s="402">
        <f>IF(AND(363&gt;=$NR$34,363&lt;=$NS$34),IF($NP$34="Single_Point",IF(363=$NR$34,$NN$34,0),IF($NP$34="Bell_Curve",$NN$34*(363-$NR$34+1)*($NS$34-363+1)/$NU$34,$NN$34/$NT$34)),0)</f>
        <v/>
      </c>
      <c r="ND34" s="402">
        <f>IF(AND(364&gt;=$NR$34,364&lt;=$NS$34),IF($NP$34="Single_Point",IF(364=$NR$34,$NN$34,0),IF($NP$34="Bell_Curve",$NN$34*(364-$NR$34+1)*($NS$34-364+1)/$NU$34,$NN$34/$NT$34)),0)</f>
        <v/>
      </c>
      <c r="NE34" s="402">
        <f>IF(AND(365&gt;=$NR$34,365&lt;=$NS$34),IF($NP$34="Single_Point",IF(365=$NR$34,$NN$34,0),IF($NP$34="Bell_Curve",$NN$34*(365-$NR$34+1)*($NS$34-365+1)/$NU$34,$NN$34/$NT$34)),0)</f>
        <v/>
      </c>
      <c r="NF34" s="402">
        <f>IF(AND(366&gt;=$NR$34,366&lt;=$NS$34),IF($NP$34="Single_Point",IF(366=$NR$34,$NN$34,0),IF($NP$34="Bell_Curve",$NN$34*(366-$NR$34+1)*($NS$34-366+1)/$NU$34,$NN$34/$NT$34)),0)</f>
        <v/>
      </c>
      <c r="NG34" s="402">
        <f>IF(AND(367&gt;=$NR$34,367&lt;=$NS$34),IF($NP$34="Single_Point",IF(367=$NR$34,$NN$34,0),IF($NP$34="Bell_Curve",$NN$34*(367-$NR$34+1)*($NS$34-367+1)/$NU$34,$NN$34/$NT$34)),0)</f>
        <v/>
      </c>
      <c r="NH34" s="402">
        <f>IF(AND(368&gt;=$NR$34,368&lt;=$NS$34),IF($NP$34="Single_Point",IF(368=$NR$34,$NN$34,0),IF($NP$34="Bell_Curve",$NN$34*(368-$NR$34+1)*($NS$34-368+1)/$NU$34,$NN$34/$NT$34)),0)</f>
        <v/>
      </c>
      <c r="NI34" s="402">
        <f>IF(AND(369&gt;=$NR$34,369&lt;=$NS$34),IF($NP$34="Single_Point",IF(369=$NR$34,$NN$34,0),IF($NP$34="Bell_Curve",$NN$34*(369-$NR$34+1)*($NS$34-369+1)/$NU$34,$NN$34/$NT$34)),0)</f>
        <v/>
      </c>
      <c r="NJ34" s="402">
        <f>IF(AND(370&gt;=$NR$34,370&lt;=$NS$34),IF($NP$34="Single_Point",IF(370=$NR$34,$NN$34,0),IF($NP$34="Bell_Curve",$NN$34*(370-$NR$34+1)*($NS$34-370+1)/$NU$34,$NN$34/$NT$34)),0)</f>
        <v/>
      </c>
      <c r="NK34" s="402">
        <f>IF(AND(371&gt;=$NR$34,371&lt;=$NS$34),IF($NP$34="Single_Point",IF(371=$NR$34,$NN$34,0),IF($NP$34="Bell_Curve",$NN$34*(371-$NR$34+1)*($NS$34-371+1)/$NU$34,$NN$34/$NT$34)),0)</f>
        <v/>
      </c>
      <c r="NL34" s="426">
        <f>IF(AND(372&gt;=$NR$34,372&lt;=$NS$34),IF($NP$34="Single_Point",IF(372=$NR$34,$NN$34,0),IF($NP$34="Bell_Curve",$NN$34*(372-$NR$34+1)*($NS$34-372+1)/$NU$34,$NN$34/$NT$34)),0)</f>
        <v/>
      </c>
      <c r="NM34">
        <f>Budget!C33</f>
        <v/>
      </c>
      <c r="NN34">
        <f>Budget!J33</f>
        <v/>
      </c>
      <c r="NO34">
        <f>Budget!G33</f>
        <v/>
      </c>
      <c r="NP34">
        <f>Budget!H33</f>
        <v/>
      </c>
      <c r="NQ34">
        <f>Budget!I33</f>
        <v/>
      </c>
      <c r="NR34">
        <f>MAX(1,MIN(372,INDEX(MilestoneStart,MATCH(NO34,MilestoneNames,0))+NQ34))</f>
        <v/>
      </c>
      <c r="NS34">
        <f>MAX(NR34,MIN(372,INDEX(MilestoneEnd,MATCH(NO34,MilestoneNames,0))+NQ34))</f>
        <v/>
      </c>
      <c r="NT34">
        <f>NS34-NR34+1</f>
        <v/>
      </c>
      <c r="NU34">
        <f>NT34*(NT34+1)*(NT34+2)/6</f>
        <v/>
      </c>
    </row>
    <row r="35">
      <c r="B35" s="296">
        <f>Budget!B34</f>
        <v/>
      </c>
      <c r="D35" s="425">
        <f>SUM(E35:NL35)</f>
        <v/>
      </c>
      <c r="E35" s="402">
        <f>IF(AND(1&gt;=$NR$35,1&lt;=$NS$35),IF($NP$35="Single_Point",IF(1=$NR$35,$NN$35,0),IF($NP$35="Bell_Curve",$NN$35*(1-$NR$35+1)*($NS$35-1+1)/$NU$35,$NN$35/$NT$35)),0)</f>
        <v/>
      </c>
      <c r="F35" s="402">
        <f>IF(AND(2&gt;=$NR$35,2&lt;=$NS$35),IF($NP$35="Single_Point",IF(2=$NR$35,$NN$35,0),IF($NP$35="Bell_Curve",$NN$35*(2-$NR$35+1)*($NS$35-2+1)/$NU$35,$NN$35/$NT$35)),0)</f>
        <v/>
      </c>
      <c r="G35" s="402">
        <f>IF(AND(3&gt;=$NR$35,3&lt;=$NS$35),IF($NP$35="Single_Point",IF(3=$NR$35,$NN$35,0),IF($NP$35="Bell_Curve",$NN$35*(3-$NR$35+1)*($NS$35-3+1)/$NU$35,$NN$35/$NT$35)),0)</f>
        <v/>
      </c>
      <c r="H35" s="402">
        <f>IF(AND(4&gt;=$NR$35,4&lt;=$NS$35),IF($NP$35="Single_Point",IF(4=$NR$35,$NN$35,0),IF($NP$35="Bell_Curve",$NN$35*(4-$NR$35+1)*($NS$35-4+1)/$NU$35,$NN$35/$NT$35)),0)</f>
        <v/>
      </c>
      <c r="I35" s="402">
        <f>IF(AND(5&gt;=$NR$35,5&lt;=$NS$35),IF($NP$35="Single_Point",IF(5=$NR$35,$NN$35,0),IF($NP$35="Bell_Curve",$NN$35*(5-$NR$35+1)*($NS$35-5+1)/$NU$35,$NN$35/$NT$35)),0)</f>
        <v/>
      </c>
      <c r="J35" s="402">
        <f>IF(AND(6&gt;=$NR$35,6&lt;=$NS$35),IF($NP$35="Single_Point",IF(6=$NR$35,$NN$35,0),IF($NP$35="Bell_Curve",$NN$35*(6-$NR$35+1)*($NS$35-6+1)/$NU$35,$NN$35/$NT$35)),0)</f>
        <v/>
      </c>
      <c r="K35" s="402">
        <f>IF(AND(7&gt;=$NR$35,7&lt;=$NS$35),IF($NP$35="Single_Point",IF(7=$NR$35,$NN$35,0),IF($NP$35="Bell_Curve",$NN$35*(7-$NR$35+1)*($NS$35-7+1)/$NU$35,$NN$35/$NT$35)),0)</f>
        <v/>
      </c>
      <c r="L35" s="402">
        <f>IF(AND(8&gt;=$NR$35,8&lt;=$NS$35),IF($NP$35="Single_Point",IF(8=$NR$35,$NN$35,0),IF($NP$35="Bell_Curve",$NN$35*(8-$NR$35+1)*($NS$35-8+1)/$NU$35,$NN$35/$NT$35)),0)</f>
        <v/>
      </c>
      <c r="M35" s="402">
        <f>IF(AND(9&gt;=$NR$35,9&lt;=$NS$35),IF($NP$35="Single_Point",IF(9=$NR$35,$NN$35,0),IF($NP$35="Bell_Curve",$NN$35*(9-$NR$35+1)*($NS$35-9+1)/$NU$35,$NN$35/$NT$35)),0)</f>
        <v/>
      </c>
      <c r="N35" s="402">
        <f>IF(AND(10&gt;=$NR$35,10&lt;=$NS$35),IF($NP$35="Single_Point",IF(10=$NR$35,$NN$35,0),IF($NP$35="Bell_Curve",$NN$35*(10-$NR$35+1)*($NS$35-10+1)/$NU$35,$NN$35/$NT$35)),0)</f>
        <v/>
      </c>
      <c r="O35" s="402">
        <f>IF(AND(11&gt;=$NR$35,11&lt;=$NS$35),IF($NP$35="Single_Point",IF(11=$NR$35,$NN$35,0),IF($NP$35="Bell_Curve",$NN$35*(11-$NR$35+1)*($NS$35-11+1)/$NU$35,$NN$35/$NT$35)),0)</f>
        <v/>
      </c>
      <c r="P35" s="402">
        <f>IF(AND(12&gt;=$NR$35,12&lt;=$NS$35),IF($NP$35="Single_Point",IF(12=$NR$35,$NN$35,0),IF($NP$35="Bell_Curve",$NN$35*(12-$NR$35+1)*($NS$35-12+1)/$NU$35,$NN$35/$NT$35)),0)</f>
        <v/>
      </c>
      <c r="Q35" s="402">
        <f>IF(AND(13&gt;=$NR$35,13&lt;=$NS$35),IF($NP$35="Single_Point",IF(13=$NR$35,$NN$35,0),IF($NP$35="Bell_Curve",$NN$35*(13-$NR$35+1)*($NS$35-13+1)/$NU$35,$NN$35/$NT$35)),0)</f>
        <v/>
      </c>
      <c r="R35" s="402">
        <f>IF(AND(14&gt;=$NR$35,14&lt;=$NS$35),IF($NP$35="Single_Point",IF(14=$NR$35,$NN$35,0),IF($NP$35="Bell_Curve",$NN$35*(14-$NR$35+1)*($NS$35-14+1)/$NU$35,$NN$35/$NT$35)),0)</f>
        <v/>
      </c>
      <c r="S35" s="402">
        <f>IF(AND(15&gt;=$NR$35,15&lt;=$NS$35),IF($NP$35="Single_Point",IF(15=$NR$35,$NN$35,0),IF($NP$35="Bell_Curve",$NN$35*(15-$NR$35+1)*($NS$35-15+1)/$NU$35,$NN$35/$NT$35)),0)</f>
        <v/>
      </c>
      <c r="T35" s="402">
        <f>IF(AND(16&gt;=$NR$35,16&lt;=$NS$35),IF($NP$35="Single_Point",IF(16=$NR$35,$NN$35,0),IF($NP$35="Bell_Curve",$NN$35*(16-$NR$35+1)*($NS$35-16+1)/$NU$35,$NN$35/$NT$35)),0)</f>
        <v/>
      </c>
      <c r="U35" s="402">
        <f>IF(AND(17&gt;=$NR$35,17&lt;=$NS$35),IF($NP$35="Single_Point",IF(17=$NR$35,$NN$35,0),IF($NP$35="Bell_Curve",$NN$35*(17-$NR$35+1)*($NS$35-17+1)/$NU$35,$NN$35/$NT$35)),0)</f>
        <v/>
      </c>
      <c r="V35" s="402">
        <f>IF(AND(18&gt;=$NR$35,18&lt;=$NS$35),IF($NP$35="Single_Point",IF(18=$NR$35,$NN$35,0),IF($NP$35="Bell_Curve",$NN$35*(18-$NR$35+1)*($NS$35-18+1)/$NU$35,$NN$35/$NT$35)),0)</f>
        <v/>
      </c>
      <c r="W35" s="402">
        <f>IF(AND(19&gt;=$NR$35,19&lt;=$NS$35),IF($NP$35="Single_Point",IF(19=$NR$35,$NN$35,0),IF($NP$35="Bell_Curve",$NN$35*(19-$NR$35+1)*($NS$35-19+1)/$NU$35,$NN$35/$NT$35)),0)</f>
        <v/>
      </c>
      <c r="X35" s="402">
        <f>IF(AND(20&gt;=$NR$35,20&lt;=$NS$35),IF($NP$35="Single_Point",IF(20=$NR$35,$NN$35,0),IF($NP$35="Bell_Curve",$NN$35*(20-$NR$35+1)*($NS$35-20+1)/$NU$35,$NN$35/$NT$35)),0)</f>
        <v/>
      </c>
      <c r="Y35" s="402">
        <f>IF(AND(21&gt;=$NR$35,21&lt;=$NS$35),IF($NP$35="Single_Point",IF(21=$NR$35,$NN$35,0),IF($NP$35="Bell_Curve",$NN$35*(21-$NR$35+1)*($NS$35-21+1)/$NU$35,$NN$35/$NT$35)),0)</f>
        <v/>
      </c>
      <c r="Z35" s="402">
        <f>IF(AND(22&gt;=$NR$35,22&lt;=$NS$35),IF($NP$35="Single_Point",IF(22=$NR$35,$NN$35,0),IF($NP$35="Bell_Curve",$NN$35*(22-$NR$35+1)*($NS$35-22+1)/$NU$35,$NN$35/$NT$35)),0)</f>
        <v/>
      </c>
      <c r="AA35" s="402">
        <f>IF(AND(23&gt;=$NR$35,23&lt;=$NS$35),IF($NP$35="Single_Point",IF(23=$NR$35,$NN$35,0),IF($NP$35="Bell_Curve",$NN$35*(23-$NR$35+1)*($NS$35-23+1)/$NU$35,$NN$35/$NT$35)),0)</f>
        <v/>
      </c>
      <c r="AB35" s="402">
        <f>IF(AND(24&gt;=$NR$35,24&lt;=$NS$35),IF($NP$35="Single_Point",IF(24=$NR$35,$NN$35,0),IF($NP$35="Bell_Curve",$NN$35*(24-$NR$35+1)*($NS$35-24+1)/$NU$35,$NN$35/$NT$35)),0)</f>
        <v/>
      </c>
      <c r="AC35" s="402">
        <f>IF(AND(25&gt;=$NR$35,25&lt;=$NS$35),IF($NP$35="Single_Point",IF(25=$NR$35,$NN$35,0),IF($NP$35="Bell_Curve",$NN$35*(25-$NR$35+1)*($NS$35-25+1)/$NU$35,$NN$35/$NT$35)),0)</f>
        <v/>
      </c>
      <c r="AD35" s="402">
        <f>IF(AND(26&gt;=$NR$35,26&lt;=$NS$35),IF($NP$35="Single_Point",IF(26=$NR$35,$NN$35,0),IF($NP$35="Bell_Curve",$NN$35*(26-$NR$35+1)*($NS$35-26+1)/$NU$35,$NN$35/$NT$35)),0)</f>
        <v/>
      </c>
      <c r="AE35" s="402">
        <f>IF(AND(27&gt;=$NR$35,27&lt;=$NS$35),IF($NP$35="Single_Point",IF(27=$NR$35,$NN$35,0),IF($NP$35="Bell_Curve",$NN$35*(27-$NR$35+1)*($NS$35-27+1)/$NU$35,$NN$35/$NT$35)),0)</f>
        <v/>
      </c>
      <c r="AF35" s="402">
        <f>IF(AND(28&gt;=$NR$35,28&lt;=$NS$35),IF($NP$35="Single_Point",IF(28=$NR$35,$NN$35,0),IF($NP$35="Bell_Curve",$NN$35*(28-$NR$35+1)*($NS$35-28+1)/$NU$35,$NN$35/$NT$35)),0)</f>
        <v/>
      </c>
      <c r="AG35" s="402">
        <f>IF(AND(29&gt;=$NR$35,29&lt;=$NS$35),IF($NP$35="Single_Point",IF(29=$NR$35,$NN$35,0),IF($NP$35="Bell_Curve",$NN$35*(29-$NR$35+1)*($NS$35-29+1)/$NU$35,$NN$35/$NT$35)),0)</f>
        <v/>
      </c>
      <c r="AH35" s="402">
        <f>IF(AND(30&gt;=$NR$35,30&lt;=$NS$35),IF($NP$35="Single_Point",IF(30=$NR$35,$NN$35,0),IF($NP$35="Bell_Curve",$NN$35*(30-$NR$35+1)*($NS$35-30+1)/$NU$35,$NN$35/$NT$35)),0)</f>
        <v/>
      </c>
      <c r="AI35" s="402">
        <f>IF(AND(31&gt;=$NR$35,31&lt;=$NS$35),IF($NP$35="Single_Point",IF(31=$NR$35,$NN$35,0),IF($NP$35="Bell_Curve",$NN$35*(31-$NR$35+1)*($NS$35-31+1)/$NU$35,$NN$35/$NT$35)),0)</f>
        <v/>
      </c>
      <c r="AJ35" s="402">
        <f>IF(AND(32&gt;=$NR$35,32&lt;=$NS$35),IF($NP$35="Single_Point",IF(32=$NR$35,$NN$35,0),IF($NP$35="Bell_Curve",$NN$35*(32-$NR$35+1)*($NS$35-32+1)/$NU$35,$NN$35/$NT$35)),0)</f>
        <v/>
      </c>
      <c r="AK35" s="402">
        <f>IF(AND(33&gt;=$NR$35,33&lt;=$NS$35),IF($NP$35="Single_Point",IF(33=$NR$35,$NN$35,0),IF($NP$35="Bell_Curve",$NN$35*(33-$NR$35+1)*($NS$35-33+1)/$NU$35,$NN$35/$NT$35)),0)</f>
        <v/>
      </c>
      <c r="AL35" s="402">
        <f>IF(AND(34&gt;=$NR$35,34&lt;=$NS$35),IF($NP$35="Single_Point",IF(34=$NR$35,$NN$35,0),IF($NP$35="Bell_Curve",$NN$35*(34-$NR$35+1)*($NS$35-34+1)/$NU$35,$NN$35/$NT$35)),0)</f>
        <v/>
      </c>
      <c r="AM35" s="402">
        <f>IF(AND(35&gt;=$NR$35,35&lt;=$NS$35),IF($NP$35="Single_Point",IF(35=$NR$35,$NN$35,0),IF($NP$35="Bell_Curve",$NN$35*(35-$NR$35+1)*($NS$35-35+1)/$NU$35,$NN$35/$NT$35)),0)</f>
        <v/>
      </c>
      <c r="AN35" s="402">
        <f>IF(AND(36&gt;=$NR$35,36&lt;=$NS$35),IF($NP$35="Single_Point",IF(36=$NR$35,$NN$35,0),IF($NP$35="Bell_Curve",$NN$35*(36-$NR$35+1)*($NS$35-36+1)/$NU$35,$NN$35/$NT$35)),0)</f>
        <v/>
      </c>
      <c r="AO35" s="402">
        <f>IF(AND(37&gt;=$NR$35,37&lt;=$NS$35),IF($NP$35="Single_Point",IF(37=$NR$35,$NN$35,0),IF($NP$35="Bell_Curve",$NN$35*(37-$NR$35+1)*($NS$35-37+1)/$NU$35,$NN$35/$NT$35)),0)</f>
        <v/>
      </c>
      <c r="AP35" s="402">
        <f>IF(AND(38&gt;=$NR$35,38&lt;=$NS$35),IF($NP$35="Single_Point",IF(38=$NR$35,$NN$35,0),IF($NP$35="Bell_Curve",$NN$35*(38-$NR$35+1)*($NS$35-38+1)/$NU$35,$NN$35/$NT$35)),0)</f>
        <v/>
      </c>
      <c r="AQ35" s="402">
        <f>IF(AND(39&gt;=$NR$35,39&lt;=$NS$35),IF($NP$35="Single_Point",IF(39=$NR$35,$NN$35,0),IF($NP$35="Bell_Curve",$NN$35*(39-$NR$35+1)*($NS$35-39+1)/$NU$35,$NN$35/$NT$35)),0)</f>
        <v/>
      </c>
      <c r="AR35" s="402">
        <f>IF(AND(40&gt;=$NR$35,40&lt;=$NS$35),IF($NP$35="Single_Point",IF(40=$NR$35,$NN$35,0),IF($NP$35="Bell_Curve",$NN$35*(40-$NR$35+1)*($NS$35-40+1)/$NU$35,$NN$35/$NT$35)),0)</f>
        <v/>
      </c>
      <c r="AS35" s="402">
        <f>IF(AND(41&gt;=$NR$35,41&lt;=$NS$35),IF($NP$35="Single_Point",IF(41=$NR$35,$NN$35,0),IF($NP$35="Bell_Curve",$NN$35*(41-$NR$35+1)*($NS$35-41+1)/$NU$35,$NN$35/$NT$35)),0)</f>
        <v/>
      </c>
      <c r="AT35" s="402">
        <f>IF(AND(42&gt;=$NR$35,42&lt;=$NS$35),IF($NP$35="Single_Point",IF(42=$NR$35,$NN$35,0),IF($NP$35="Bell_Curve",$NN$35*(42-$NR$35+1)*($NS$35-42+1)/$NU$35,$NN$35/$NT$35)),0)</f>
        <v/>
      </c>
      <c r="AU35" s="402">
        <f>IF(AND(43&gt;=$NR$35,43&lt;=$NS$35),IF($NP$35="Single_Point",IF(43=$NR$35,$NN$35,0),IF($NP$35="Bell_Curve",$NN$35*(43-$NR$35+1)*($NS$35-43+1)/$NU$35,$NN$35/$NT$35)),0)</f>
        <v/>
      </c>
      <c r="AV35" s="402">
        <f>IF(AND(44&gt;=$NR$35,44&lt;=$NS$35),IF($NP$35="Single_Point",IF(44=$NR$35,$NN$35,0),IF($NP$35="Bell_Curve",$NN$35*(44-$NR$35+1)*($NS$35-44+1)/$NU$35,$NN$35/$NT$35)),0)</f>
        <v/>
      </c>
      <c r="AW35" s="402">
        <f>IF(AND(45&gt;=$NR$35,45&lt;=$NS$35),IF($NP$35="Single_Point",IF(45=$NR$35,$NN$35,0),IF($NP$35="Bell_Curve",$NN$35*(45-$NR$35+1)*($NS$35-45+1)/$NU$35,$NN$35/$NT$35)),0)</f>
        <v/>
      </c>
      <c r="AX35" s="402">
        <f>IF(AND(46&gt;=$NR$35,46&lt;=$NS$35),IF($NP$35="Single_Point",IF(46=$NR$35,$NN$35,0),IF($NP$35="Bell_Curve",$NN$35*(46-$NR$35+1)*($NS$35-46+1)/$NU$35,$NN$35/$NT$35)),0)</f>
        <v/>
      </c>
      <c r="AY35" s="402">
        <f>IF(AND(47&gt;=$NR$35,47&lt;=$NS$35),IF($NP$35="Single_Point",IF(47=$NR$35,$NN$35,0),IF($NP$35="Bell_Curve",$NN$35*(47-$NR$35+1)*($NS$35-47+1)/$NU$35,$NN$35/$NT$35)),0)</f>
        <v/>
      </c>
      <c r="AZ35" s="402">
        <f>IF(AND(48&gt;=$NR$35,48&lt;=$NS$35),IF($NP$35="Single_Point",IF(48=$NR$35,$NN$35,0),IF($NP$35="Bell_Curve",$NN$35*(48-$NR$35+1)*($NS$35-48+1)/$NU$35,$NN$35/$NT$35)),0)</f>
        <v/>
      </c>
      <c r="BA35" s="402">
        <f>IF(AND(49&gt;=$NR$35,49&lt;=$NS$35),IF($NP$35="Single_Point",IF(49=$NR$35,$NN$35,0),IF($NP$35="Bell_Curve",$NN$35*(49-$NR$35+1)*($NS$35-49+1)/$NU$35,$NN$35/$NT$35)),0)</f>
        <v/>
      </c>
      <c r="BB35" s="402">
        <f>IF(AND(50&gt;=$NR$35,50&lt;=$NS$35),IF($NP$35="Single_Point",IF(50=$NR$35,$NN$35,0),IF($NP$35="Bell_Curve",$NN$35*(50-$NR$35+1)*($NS$35-50+1)/$NU$35,$NN$35/$NT$35)),0)</f>
        <v/>
      </c>
      <c r="BC35" s="402">
        <f>IF(AND(51&gt;=$NR$35,51&lt;=$NS$35),IF($NP$35="Single_Point",IF(51=$NR$35,$NN$35,0),IF($NP$35="Bell_Curve",$NN$35*(51-$NR$35+1)*($NS$35-51+1)/$NU$35,$NN$35/$NT$35)),0)</f>
        <v/>
      </c>
      <c r="BD35" s="402">
        <f>IF(AND(52&gt;=$NR$35,52&lt;=$NS$35),IF($NP$35="Single_Point",IF(52=$NR$35,$NN$35,0),IF($NP$35="Bell_Curve",$NN$35*(52-$NR$35+1)*($NS$35-52+1)/$NU$35,$NN$35/$NT$35)),0)</f>
        <v/>
      </c>
      <c r="BE35" s="402">
        <f>IF(AND(53&gt;=$NR$35,53&lt;=$NS$35),IF($NP$35="Single_Point",IF(53=$NR$35,$NN$35,0),IF($NP$35="Bell_Curve",$NN$35*(53-$NR$35+1)*($NS$35-53+1)/$NU$35,$NN$35/$NT$35)),0)</f>
        <v/>
      </c>
      <c r="BF35" s="402">
        <f>IF(AND(54&gt;=$NR$35,54&lt;=$NS$35),IF($NP$35="Single_Point",IF(54=$NR$35,$NN$35,0),IF($NP$35="Bell_Curve",$NN$35*(54-$NR$35+1)*($NS$35-54+1)/$NU$35,$NN$35/$NT$35)),0)</f>
        <v/>
      </c>
      <c r="BG35" s="402">
        <f>IF(AND(55&gt;=$NR$35,55&lt;=$NS$35),IF($NP$35="Single_Point",IF(55=$NR$35,$NN$35,0),IF($NP$35="Bell_Curve",$NN$35*(55-$NR$35+1)*($NS$35-55+1)/$NU$35,$NN$35/$NT$35)),0)</f>
        <v/>
      </c>
      <c r="BH35" s="402">
        <f>IF(AND(56&gt;=$NR$35,56&lt;=$NS$35),IF($NP$35="Single_Point",IF(56=$NR$35,$NN$35,0),IF($NP$35="Bell_Curve",$NN$35*(56-$NR$35+1)*($NS$35-56+1)/$NU$35,$NN$35/$NT$35)),0)</f>
        <v/>
      </c>
      <c r="BI35" s="402">
        <f>IF(AND(57&gt;=$NR$35,57&lt;=$NS$35),IF($NP$35="Single_Point",IF(57=$NR$35,$NN$35,0),IF($NP$35="Bell_Curve",$NN$35*(57-$NR$35+1)*($NS$35-57+1)/$NU$35,$NN$35/$NT$35)),0)</f>
        <v/>
      </c>
      <c r="BJ35" s="402">
        <f>IF(AND(58&gt;=$NR$35,58&lt;=$NS$35),IF($NP$35="Single_Point",IF(58=$NR$35,$NN$35,0),IF($NP$35="Bell_Curve",$NN$35*(58-$NR$35+1)*($NS$35-58+1)/$NU$35,$NN$35/$NT$35)),0)</f>
        <v/>
      </c>
      <c r="BK35" s="402">
        <f>IF(AND(59&gt;=$NR$35,59&lt;=$NS$35),IF($NP$35="Single_Point",IF(59=$NR$35,$NN$35,0),IF($NP$35="Bell_Curve",$NN$35*(59-$NR$35+1)*($NS$35-59+1)/$NU$35,$NN$35/$NT$35)),0)</f>
        <v/>
      </c>
      <c r="BL35" s="402">
        <f>IF(AND(60&gt;=$NR$35,60&lt;=$NS$35),IF($NP$35="Single_Point",IF(60=$NR$35,$NN$35,0),IF($NP$35="Bell_Curve",$NN$35*(60-$NR$35+1)*($NS$35-60+1)/$NU$35,$NN$35/$NT$35)),0)</f>
        <v/>
      </c>
      <c r="BM35" s="402">
        <f>IF(AND(61&gt;=$NR$35,61&lt;=$NS$35),IF($NP$35="Single_Point",IF(61=$NR$35,$NN$35,0),IF($NP$35="Bell_Curve",$NN$35*(61-$NR$35+1)*($NS$35-61+1)/$NU$35,$NN$35/$NT$35)),0)</f>
        <v/>
      </c>
      <c r="BN35" s="402">
        <f>IF(AND(62&gt;=$NR$35,62&lt;=$NS$35),IF($NP$35="Single_Point",IF(62=$NR$35,$NN$35,0),IF($NP$35="Bell_Curve",$NN$35*(62-$NR$35+1)*($NS$35-62+1)/$NU$35,$NN$35/$NT$35)),0)</f>
        <v/>
      </c>
      <c r="BO35" s="402">
        <f>IF(AND(63&gt;=$NR$35,63&lt;=$NS$35),IF($NP$35="Single_Point",IF(63=$NR$35,$NN$35,0),IF($NP$35="Bell_Curve",$NN$35*(63-$NR$35+1)*($NS$35-63+1)/$NU$35,$NN$35/$NT$35)),0)</f>
        <v/>
      </c>
      <c r="BP35" s="402">
        <f>IF(AND(64&gt;=$NR$35,64&lt;=$NS$35),IF($NP$35="Single_Point",IF(64=$NR$35,$NN$35,0),IF($NP$35="Bell_Curve",$NN$35*(64-$NR$35+1)*($NS$35-64+1)/$NU$35,$NN$35/$NT$35)),0)</f>
        <v/>
      </c>
      <c r="BQ35" s="402">
        <f>IF(AND(65&gt;=$NR$35,65&lt;=$NS$35),IF($NP$35="Single_Point",IF(65=$NR$35,$NN$35,0),IF($NP$35="Bell_Curve",$NN$35*(65-$NR$35+1)*($NS$35-65+1)/$NU$35,$NN$35/$NT$35)),0)</f>
        <v/>
      </c>
      <c r="BR35" s="402">
        <f>IF(AND(66&gt;=$NR$35,66&lt;=$NS$35),IF($NP$35="Single_Point",IF(66=$NR$35,$NN$35,0),IF($NP$35="Bell_Curve",$NN$35*(66-$NR$35+1)*($NS$35-66+1)/$NU$35,$NN$35/$NT$35)),0)</f>
        <v/>
      </c>
      <c r="BS35" s="402">
        <f>IF(AND(67&gt;=$NR$35,67&lt;=$NS$35),IF($NP$35="Single_Point",IF(67=$NR$35,$NN$35,0),IF($NP$35="Bell_Curve",$NN$35*(67-$NR$35+1)*($NS$35-67+1)/$NU$35,$NN$35/$NT$35)),0)</f>
        <v/>
      </c>
      <c r="BT35" s="402">
        <f>IF(AND(68&gt;=$NR$35,68&lt;=$NS$35),IF($NP$35="Single_Point",IF(68=$NR$35,$NN$35,0),IF($NP$35="Bell_Curve",$NN$35*(68-$NR$35+1)*($NS$35-68+1)/$NU$35,$NN$35/$NT$35)),0)</f>
        <v/>
      </c>
      <c r="BU35" s="402">
        <f>IF(AND(69&gt;=$NR$35,69&lt;=$NS$35),IF($NP$35="Single_Point",IF(69=$NR$35,$NN$35,0),IF($NP$35="Bell_Curve",$NN$35*(69-$NR$35+1)*($NS$35-69+1)/$NU$35,$NN$35/$NT$35)),0)</f>
        <v/>
      </c>
      <c r="BV35" s="402">
        <f>IF(AND(70&gt;=$NR$35,70&lt;=$NS$35),IF($NP$35="Single_Point",IF(70=$NR$35,$NN$35,0),IF($NP$35="Bell_Curve",$NN$35*(70-$NR$35+1)*($NS$35-70+1)/$NU$35,$NN$35/$NT$35)),0)</f>
        <v/>
      </c>
      <c r="BW35" s="402">
        <f>IF(AND(71&gt;=$NR$35,71&lt;=$NS$35),IF($NP$35="Single_Point",IF(71=$NR$35,$NN$35,0),IF($NP$35="Bell_Curve",$NN$35*(71-$NR$35+1)*($NS$35-71+1)/$NU$35,$NN$35/$NT$35)),0)</f>
        <v/>
      </c>
      <c r="BX35" s="402">
        <f>IF(AND(72&gt;=$NR$35,72&lt;=$NS$35),IF($NP$35="Single_Point",IF(72=$NR$35,$NN$35,0),IF($NP$35="Bell_Curve",$NN$35*(72-$NR$35+1)*($NS$35-72+1)/$NU$35,$NN$35/$NT$35)),0)</f>
        <v/>
      </c>
      <c r="BY35" s="402">
        <f>IF(AND(73&gt;=$NR$35,73&lt;=$NS$35),IF($NP$35="Single_Point",IF(73=$NR$35,$NN$35,0),IF($NP$35="Bell_Curve",$NN$35*(73-$NR$35+1)*($NS$35-73+1)/$NU$35,$NN$35/$NT$35)),0)</f>
        <v/>
      </c>
      <c r="BZ35" s="402">
        <f>IF(AND(74&gt;=$NR$35,74&lt;=$NS$35),IF($NP$35="Single_Point",IF(74=$NR$35,$NN$35,0),IF($NP$35="Bell_Curve",$NN$35*(74-$NR$35+1)*($NS$35-74+1)/$NU$35,$NN$35/$NT$35)),0)</f>
        <v/>
      </c>
      <c r="CA35" s="402">
        <f>IF(AND(75&gt;=$NR$35,75&lt;=$NS$35),IF($NP$35="Single_Point",IF(75=$NR$35,$NN$35,0),IF($NP$35="Bell_Curve",$NN$35*(75-$NR$35+1)*($NS$35-75+1)/$NU$35,$NN$35/$NT$35)),0)</f>
        <v/>
      </c>
      <c r="CB35" s="402">
        <f>IF(AND(76&gt;=$NR$35,76&lt;=$NS$35),IF($NP$35="Single_Point",IF(76=$NR$35,$NN$35,0),IF($NP$35="Bell_Curve",$NN$35*(76-$NR$35+1)*($NS$35-76+1)/$NU$35,$NN$35/$NT$35)),0)</f>
        <v/>
      </c>
      <c r="CC35" s="402">
        <f>IF(AND(77&gt;=$NR$35,77&lt;=$NS$35),IF($NP$35="Single_Point",IF(77=$NR$35,$NN$35,0),IF($NP$35="Bell_Curve",$NN$35*(77-$NR$35+1)*($NS$35-77+1)/$NU$35,$NN$35/$NT$35)),0)</f>
        <v/>
      </c>
      <c r="CD35" s="402">
        <f>IF(AND(78&gt;=$NR$35,78&lt;=$NS$35),IF($NP$35="Single_Point",IF(78=$NR$35,$NN$35,0),IF($NP$35="Bell_Curve",$NN$35*(78-$NR$35+1)*($NS$35-78+1)/$NU$35,$NN$35/$NT$35)),0)</f>
        <v/>
      </c>
      <c r="CE35" s="402">
        <f>IF(AND(79&gt;=$NR$35,79&lt;=$NS$35),IF($NP$35="Single_Point",IF(79=$NR$35,$NN$35,0),IF($NP$35="Bell_Curve",$NN$35*(79-$NR$35+1)*($NS$35-79+1)/$NU$35,$NN$35/$NT$35)),0)</f>
        <v/>
      </c>
      <c r="CF35" s="402">
        <f>IF(AND(80&gt;=$NR$35,80&lt;=$NS$35),IF($NP$35="Single_Point",IF(80=$NR$35,$NN$35,0),IF($NP$35="Bell_Curve",$NN$35*(80-$NR$35+1)*($NS$35-80+1)/$NU$35,$NN$35/$NT$35)),0)</f>
        <v/>
      </c>
      <c r="CG35" s="402">
        <f>IF(AND(81&gt;=$NR$35,81&lt;=$NS$35),IF($NP$35="Single_Point",IF(81=$NR$35,$NN$35,0),IF($NP$35="Bell_Curve",$NN$35*(81-$NR$35+1)*($NS$35-81+1)/$NU$35,$NN$35/$NT$35)),0)</f>
        <v/>
      </c>
      <c r="CH35" s="402">
        <f>IF(AND(82&gt;=$NR$35,82&lt;=$NS$35),IF($NP$35="Single_Point",IF(82=$NR$35,$NN$35,0),IF($NP$35="Bell_Curve",$NN$35*(82-$NR$35+1)*($NS$35-82+1)/$NU$35,$NN$35/$NT$35)),0)</f>
        <v/>
      </c>
      <c r="CI35" s="402">
        <f>IF(AND(83&gt;=$NR$35,83&lt;=$NS$35),IF($NP$35="Single_Point",IF(83=$NR$35,$NN$35,0),IF($NP$35="Bell_Curve",$NN$35*(83-$NR$35+1)*($NS$35-83+1)/$NU$35,$NN$35/$NT$35)),0)</f>
        <v/>
      </c>
      <c r="CJ35" s="402">
        <f>IF(AND(84&gt;=$NR$35,84&lt;=$NS$35),IF($NP$35="Single_Point",IF(84=$NR$35,$NN$35,0),IF($NP$35="Bell_Curve",$NN$35*(84-$NR$35+1)*($NS$35-84+1)/$NU$35,$NN$35/$NT$35)),0)</f>
        <v/>
      </c>
      <c r="CK35" s="402">
        <f>IF(AND(85&gt;=$NR$35,85&lt;=$NS$35),IF($NP$35="Single_Point",IF(85=$NR$35,$NN$35,0),IF($NP$35="Bell_Curve",$NN$35*(85-$NR$35+1)*($NS$35-85+1)/$NU$35,$NN$35/$NT$35)),0)</f>
        <v/>
      </c>
      <c r="CL35" s="402">
        <f>IF(AND(86&gt;=$NR$35,86&lt;=$NS$35),IF($NP$35="Single_Point",IF(86=$NR$35,$NN$35,0),IF($NP$35="Bell_Curve",$NN$35*(86-$NR$35+1)*($NS$35-86+1)/$NU$35,$NN$35/$NT$35)),0)</f>
        <v/>
      </c>
      <c r="CM35" s="402">
        <f>IF(AND(87&gt;=$NR$35,87&lt;=$NS$35),IF($NP$35="Single_Point",IF(87=$NR$35,$NN$35,0),IF($NP$35="Bell_Curve",$NN$35*(87-$NR$35+1)*($NS$35-87+1)/$NU$35,$NN$35/$NT$35)),0)</f>
        <v/>
      </c>
      <c r="CN35" s="402">
        <f>IF(AND(88&gt;=$NR$35,88&lt;=$NS$35),IF($NP$35="Single_Point",IF(88=$NR$35,$NN$35,0),IF($NP$35="Bell_Curve",$NN$35*(88-$NR$35+1)*($NS$35-88+1)/$NU$35,$NN$35/$NT$35)),0)</f>
        <v/>
      </c>
      <c r="CO35" s="402">
        <f>IF(AND(89&gt;=$NR$35,89&lt;=$NS$35),IF($NP$35="Single_Point",IF(89=$NR$35,$NN$35,0),IF($NP$35="Bell_Curve",$NN$35*(89-$NR$35+1)*($NS$35-89+1)/$NU$35,$NN$35/$NT$35)),0)</f>
        <v/>
      </c>
      <c r="CP35" s="402">
        <f>IF(AND(90&gt;=$NR$35,90&lt;=$NS$35),IF($NP$35="Single_Point",IF(90=$NR$35,$NN$35,0),IF($NP$35="Bell_Curve",$NN$35*(90-$NR$35+1)*($NS$35-90+1)/$NU$35,$NN$35/$NT$35)),0)</f>
        <v/>
      </c>
      <c r="CQ35" s="402">
        <f>IF(AND(91&gt;=$NR$35,91&lt;=$NS$35),IF($NP$35="Single_Point",IF(91=$NR$35,$NN$35,0),IF($NP$35="Bell_Curve",$NN$35*(91-$NR$35+1)*($NS$35-91+1)/$NU$35,$NN$35/$NT$35)),0)</f>
        <v/>
      </c>
      <c r="CR35" s="402">
        <f>IF(AND(92&gt;=$NR$35,92&lt;=$NS$35),IF($NP$35="Single_Point",IF(92=$NR$35,$NN$35,0),IF($NP$35="Bell_Curve",$NN$35*(92-$NR$35+1)*($NS$35-92+1)/$NU$35,$NN$35/$NT$35)),0)</f>
        <v/>
      </c>
      <c r="CS35" s="402">
        <f>IF(AND(93&gt;=$NR$35,93&lt;=$NS$35),IF($NP$35="Single_Point",IF(93=$NR$35,$NN$35,0),IF($NP$35="Bell_Curve",$NN$35*(93-$NR$35+1)*($NS$35-93+1)/$NU$35,$NN$35/$NT$35)),0)</f>
        <v/>
      </c>
      <c r="CT35" s="402">
        <f>IF(AND(94&gt;=$NR$35,94&lt;=$NS$35),IF($NP$35="Single_Point",IF(94=$NR$35,$NN$35,0),IF($NP$35="Bell_Curve",$NN$35*(94-$NR$35+1)*($NS$35-94+1)/$NU$35,$NN$35/$NT$35)),0)</f>
        <v/>
      </c>
      <c r="CU35" s="402">
        <f>IF(AND(95&gt;=$NR$35,95&lt;=$NS$35),IF($NP$35="Single_Point",IF(95=$NR$35,$NN$35,0),IF($NP$35="Bell_Curve",$NN$35*(95-$NR$35+1)*($NS$35-95+1)/$NU$35,$NN$35/$NT$35)),0)</f>
        <v/>
      </c>
      <c r="CV35" s="402">
        <f>IF(AND(96&gt;=$NR$35,96&lt;=$NS$35),IF($NP$35="Single_Point",IF(96=$NR$35,$NN$35,0),IF($NP$35="Bell_Curve",$NN$35*(96-$NR$35+1)*($NS$35-96+1)/$NU$35,$NN$35/$NT$35)),0)</f>
        <v/>
      </c>
      <c r="CW35" s="402">
        <f>IF(AND(97&gt;=$NR$35,97&lt;=$NS$35),IF($NP$35="Single_Point",IF(97=$NR$35,$NN$35,0),IF($NP$35="Bell_Curve",$NN$35*(97-$NR$35+1)*($NS$35-97+1)/$NU$35,$NN$35/$NT$35)),0)</f>
        <v/>
      </c>
      <c r="CX35" s="402">
        <f>IF(AND(98&gt;=$NR$35,98&lt;=$NS$35),IF($NP$35="Single_Point",IF(98=$NR$35,$NN$35,0),IF($NP$35="Bell_Curve",$NN$35*(98-$NR$35+1)*($NS$35-98+1)/$NU$35,$NN$35/$NT$35)),0)</f>
        <v/>
      </c>
      <c r="CY35" s="402">
        <f>IF(AND(99&gt;=$NR$35,99&lt;=$NS$35),IF($NP$35="Single_Point",IF(99=$NR$35,$NN$35,0),IF($NP$35="Bell_Curve",$NN$35*(99-$NR$35+1)*($NS$35-99+1)/$NU$35,$NN$35/$NT$35)),0)</f>
        <v/>
      </c>
      <c r="CZ35" s="402">
        <f>IF(AND(100&gt;=$NR$35,100&lt;=$NS$35),IF($NP$35="Single_Point",IF(100=$NR$35,$NN$35,0),IF($NP$35="Bell_Curve",$NN$35*(100-$NR$35+1)*($NS$35-100+1)/$NU$35,$NN$35/$NT$35)),0)</f>
        <v/>
      </c>
      <c r="DA35" s="402">
        <f>IF(AND(101&gt;=$NR$35,101&lt;=$NS$35),IF($NP$35="Single_Point",IF(101=$NR$35,$NN$35,0),IF($NP$35="Bell_Curve",$NN$35*(101-$NR$35+1)*($NS$35-101+1)/$NU$35,$NN$35/$NT$35)),0)</f>
        <v/>
      </c>
      <c r="DB35" s="402">
        <f>IF(AND(102&gt;=$NR$35,102&lt;=$NS$35),IF($NP$35="Single_Point",IF(102=$NR$35,$NN$35,0),IF($NP$35="Bell_Curve",$NN$35*(102-$NR$35+1)*($NS$35-102+1)/$NU$35,$NN$35/$NT$35)),0)</f>
        <v/>
      </c>
      <c r="DC35" s="402">
        <f>IF(AND(103&gt;=$NR$35,103&lt;=$NS$35),IF($NP$35="Single_Point",IF(103=$NR$35,$NN$35,0),IF($NP$35="Bell_Curve",$NN$35*(103-$NR$35+1)*($NS$35-103+1)/$NU$35,$NN$35/$NT$35)),0)</f>
        <v/>
      </c>
      <c r="DD35" s="402">
        <f>IF(AND(104&gt;=$NR$35,104&lt;=$NS$35),IF($NP$35="Single_Point",IF(104=$NR$35,$NN$35,0),IF($NP$35="Bell_Curve",$NN$35*(104-$NR$35+1)*($NS$35-104+1)/$NU$35,$NN$35/$NT$35)),0)</f>
        <v/>
      </c>
      <c r="DE35" s="402">
        <f>IF(AND(105&gt;=$NR$35,105&lt;=$NS$35),IF($NP$35="Single_Point",IF(105=$NR$35,$NN$35,0),IF($NP$35="Bell_Curve",$NN$35*(105-$NR$35+1)*($NS$35-105+1)/$NU$35,$NN$35/$NT$35)),0)</f>
        <v/>
      </c>
      <c r="DF35" s="402">
        <f>IF(AND(106&gt;=$NR$35,106&lt;=$NS$35),IF($NP$35="Single_Point",IF(106=$NR$35,$NN$35,0),IF($NP$35="Bell_Curve",$NN$35*(106-$NR$35+1)*($NS$35-106+1)/$NU$35,$NN$35/$NT$35)),0)</f>
        <v/>
      </c>
      <c r="DG35" s="402">
        <f>IF(AND(107&gt;=$NR$35,107&lt;=$NS$35),IF($NP$35="Single_Point",IF(107=$NR$35,$NN$35,0),IF($NP$35="Bell_Curve",$NN$35*(107-$NR$35+1)*($NS$35-107+1)/$NU$35,$NN$35/$NT$35)),0)</f>
        <v/>
      </c>
      <c r="DH35" s="402">
        <f>IF(AND(108&gt;=$NR$35,108&lt;=$NS$35),IF($NP$35="Single_Point",IF(108=$NR$35,$NN$35,0),IF($NP$35="Bell_Curve",$NN$35*(108-$NR$35+1)*($NS$35-108+1)/$NU$35,$NN$35/$NT$35)),0)</f>
        <v/>
      </c>
      <c r="DI35" s="402">
        <f>IF(AND(109&gt;=$NR$35,109&lt;=$NS$35),IF($NP$35="Single_Point",IF(109=$NR$35,$NN$35,0),IF($NP$35="Bell_Curve",$NN$35*(109-$NR$35+1)*($NS$35-109+1)/$NU$35,$NN$35/$NT$35)),0)</f>
        <v/>
      </c>
      <c r="DJ35" s="402">
        <f>IF(AND(110&gt;=$NR$35,110&lt;=$NS$35),IF($NP$35="Single_Point",IF(110=$NR$35,$NN$35,0),IF($NP$35="Bell_Curve",$NN$35*(110-$NR$35+1)*($NS$35-110+1)/$NU$35,$NN$35/$NT$35)),0)</f>
        <v/>
      </c>
      <c r="DK35" s="402">
        <f>IF(AND(111&gt;=$NR$35,111&lt;=$NS$35),IF($NP$35="Single_Point",IF(111=$NR$35,$NN$35,0),IF($NP$35="Bell_Curve",$NN$35*(111-$NR$35+1)*($NS$35-111+1)/$NU$35,$NN$35/$NT$35)),0)</f>
        <v/>
      </c>
      <c r="DL35" s="402">
        <f>IF(AND(112&gt;=$NR$35,112&lt;=$NS$35),IF($NP$35="Single_Point",IF(112=$NR$35,$NN$35,0),IF($NP$35="Bell_Curve",$NN$35*(112-$NR$35+1)*($NS$35-112+1)/$NU$35,$NN$35/$NT$35)),0)</f>
        <v/>
      </c>
      <c r="DM35" s="402">
        <f>IF(AND(113&gt;=$NR$35,113&lt;=$NS$35),IF($NP$35="Single_Point",IF(113=$NR$35,$NN$35,0),IF($NP$35="Bell_Curve",$NN$35*(113-$NR$35+1)*($NS$35-113+1)/$NU$35,$NN$35/$NT$35)),0)</f>
        <v/>
      </c>
      <c r="DN35" s="402">
        <f>IF(AND(114&gt;=$NR$35,114&lt;=$NS$35),IF($NP$35="Single_Point",IF(114=$NR$35,$NN$35,0),IF($NP$35="Bell_Curve",$NN$35*(114-$NR$35+1)*($NS$35-114+1)/$NU$35,$NN$35/$NT$35)),0)</f>
        <v/>
      </c>
      <c r="DO35" s="402">
        <f>IF(AND(115&gt;=$NR$35,115&lt;=$NS$35),IF($NP$35="Single_Point",IF(115=$NR$35,$NN$35,0),IF($NP$35="Bell_Curve",$NN$35*(115-$NR$35+1)*($NS$35-115+1)/$NU$35,$NN$35/$NT$35)),0)</f>
        <v/>
      </c>
      <c r="DP35" s="402">
        <f>IF(AND(116&gt;=$NR$35,116&lt;=$NS$35),IF($NP$35="Single_Point",IF(116=$NR$35,$NN$35,0),IF($NP$35="Bell_Curve",$NN$35*(116-$NR$35+1)*($NS$35-116+1)/$NU$35,$NN$35/$NT$35)),0)</f>
        <v/>
      </c>
      <c r="DQ35" s="402">
        <f>IF(AND(117&gt;=$NR$35,117&lt;=$NS$35),IF($NP$35="Single_Point",IF(117=$NR$35,$NN$35,0),IF($NP$35="Bell_Curve",$NN$35*(117-$NR$35+1)*($NS$35-117+1)/$NU$35,$NN$35/$NT$35)),0)</f>
        <v/>
      </c>
      <c r="DR35" s="402">
        <f>IF(AND(118&gt;=$NR$35,118&lt;=$NS$35),IF($NP$35="Single_Point",IF(118=$NR$35,$NN$35,0),IF($NP$35="Bell_Curve",$NN$35*(118-$NR$35+1)*($NS$35-118+1)/$NU$35,$NN$35/$NT$35)),0)</f>
        <v/>
      </c>
      <c r="DS35" s="402">
        <f>IF(AND(119&gt;=$NR$35,119&lt;=$NS$35),IF($NP$35="Single_Point",IF(119=$NR$35,$NN$35,0),IF($NP$35="Bell_Curve",$NN$35*(119-$NR$35+1)*($NS$35-119+1)/$NU$35,$NN$35/$NT$35)),0)</f>
        <v/>
      </c>
      <c r="DT35" s="402">
        <f>IF(AND(120&gt;=$NR$35,120&lt;=$NS$35),IF($NP$35="Single_Point",IF(120=$NR$35,$NN$35,0),IF($NP$35="Bell_Curve",$NN$35*(120-$NR$35+1)*($NS$35-120+1)/$NU$35,$NN$35/$NT$35)),0)</f>
        <v/>
      </c>
      <c r="DU35" s="402">
        <f>IF(AND(121&gt;=$NR$35,121&lt;=$NS$35),IF($NP$35="Single_Point",IF(121=$NR$35,$NN$35,0),IF($NP$35="Bell_Curve",$NN$35*(121-$NR$35+1)*($NS$35-121+1)/$NU$35,$NN$35/$NT$35)),0)</f>
        <v/>
      </c>
      <c r="DV35" s="402">
        <f>IF(AND(122&gt;=$NR$35,122&lt;=$NS$35),IF($NP$35="Single_Point",IF(122=$NR$35,$NN$35,0),IF($NP$35="Bell_Curve",$NN$35*(122-$NR$35+1)*($NS$35-122+1)/$NU$35,$NN$35/$NT$35)),0)</f>
        <v/>
      </c>
      <c r="DW35" s="402">
        <f>IF(AND(123&gt;=$NR$35,123&lt;=$NS$35),IF($NP$35="Single_Point",IF(123=$NR$35,$NN$35,0),IF($NP$35="Bell_Curve",$NN$35*(123-$NR$35+1)*($NS$35-123+1)/$NU$35,$NN$35/$NT$35)),0)</f>
        <v/>
      </c>
      <c r="DX35" s="402">
        <f>IF(AND(124&gt;=$NR$35,124&lt;=$NS$35),IF($NP$35="Single_Point",IF(124=$NR$35,$NN$35,0),IF($NP$35="Bell_Curve",$NN$35*(124-$NR$35+1)*($NS$35-124+1)/$NU$35,$NN$35/$NT$35)),0)</f>
        <v/>
      </c>
      <c r="DY35" s="402">
        <f>IF(AND(125&gt;=$NR$35,125&lt;=$NS$35),IF($NP$35="Single_Point",IF(125=$NR$35,$NN$35,0),IF($NP$35="Bell_Curve",$NN$35*(125-$NR$35+1)*($NS$35-125+1)/$NU$35,$NN$35/$NT$35)),0)</f>
        <v/>
      </c>
      <c r="DZ35" s="402">
        <f>IF(AND(126&gt;=$NR$35,126&lt;=$NS$35),IF($NP$35="Single_Point",IF(126=$NR$35,$NN$35,0),IF($NP$35="Bell_Curve",$NN$35*(126-$NR$35+1)*($NS$35-126+1)/$NU$35,$NN$35/$NT$35)),0)</f>
        <v/>
      </c>
      <c r="EA35" s="402">
        <f>IF(AND(127&gt;=$NR$35,127&lt;=$NS$35),IF($NP$35="Single_Point",IF(127=$NR$35,$NN$35,0),IF($NP$35="Bell_Curve",$NN$35*(127-$NR$35+1)*($NS$35-127+1)/$NU$35,$NN$35/$NT$35)),0)</f>
        <v/>
      </c>
      <c r="EB35" s="402">
        <f>IF(AND(128&gt;=$NR$35,128&lt;=$NS$35),IF($NP$35="Single_Point",IF(128=$NR$35,$NN$35,0),IF($NP$35="Bell_Curve",$NN$35*(128-$NR$35+1)*($NS$35-128+1)/$NU$35,$NN$35/$NT$35)),0)</f>
        <v/>
      </c>
      <c r="EC35" s="402">
        <f>IF(AND(129&gt;=$NR$35,129&lt;=$NS$35),IF($NP$35="Single_Point",IF(129=$NR$35,$NN$35,0),IF($NP$35="Bell_Curve",$NN$35*(129-$NR$35+1)*($NS$35-129+1)/$NU$35,$NN$35/$NT$35)),0)</f>
        <v/>
      </c>
      <c r="ED35" s="402">
        <f>IF(AND(130&gt;=$NR$35,130&lt;=$NS$35),IF($NP$35="Single_Point",IF(130=$NR$35,$NN$35,0),IF($NP$35="Bell_Curve",$NN$35*(130-$NR$35+1)*($NS$35-130+1)/$NU$35,$NN$35/$NT$35)),0)</f>
        <v/>
      </c>
      <c r="EE35" s="402">
        <f>IF(AND(131&gt;=$NR$35,131&lt;=$NS$35),IF($NP$35="Single_Point",IF(131=$NR$35,$NN$35,0),IF($NP$35="Bell_Curve",$NN$35*(131-$NR$35+1)*($NS$35-131+1)/$NU$35,$NN$35/$NT$35)),0)</f>
        <v/>
      </c>
      <c r="EF35" s="402">
        <f>IF(AND(132&gt;=$NR$35,132&lt;=$NS$35),IF($NP$35="Single_Point",IF(132=$NR$35,$NN$35,0),IF($NP$35="Bell_Curve",$NN$35*(132-$NR$35+1)*($NS$35-132+1)/$NU$35,$NN$35/$NT$35)),0)</f>
        <v/>
      </c>
      <c r="EG35" s="402">
        <f>IF(AND(133&gt;=$NR$35,133&lt;=$NS$35),IF($NP$35="Single_Point",IF(133=$NR$35,$NN$35,0),IF($NP$35="Bell_Curve",$NN$35*(133-$NR$35+1)*($NS$35-133+1)/$NU$35,$NN$35/$NT$35)),0)</f>
        <v/>
      </c>
      <c r="EH35" s="402">
        <f>IF(AND(134&gt;=$NR$35,134&lt;=$NS$35),IF($NP$35="Single_Point",IF(134=$NR$35,$NN$35,0),IF($NP$35="Bell_Curve",$NN$35*(134-$NR$35+1)*($NS$35-134+1)/$NU$35,$NN$35/$NT$35)),0)</f>
        <v/>
      </c>
      <c r="EI35" s="402">
        <f>IF(AND(135&gt;=$NR$35,135&lt;=$NS$35),IF($NP$35="Single_Point",IF(135=$NR$35,$NN$35,0),IF($NP$35="Bell_Curve",$NN$35*(135-$NR$35+1)*($NS$35-135+1)/$NU$35,$NN$35/$NT$35)),0)</f>
        <v/>
      </c>
      <c r="EJ35" s="402">
        <f>IF(AND(136&gt;=$NR$35,136&lt;=$NS$35),IF($NP$35="Single_Point",IF(136=$NR$35,$NN$35,0),IF($NP$35="Bell_Curve",$NN$35*(136-$NR$35+1)*($NS$35-136+1)/$NU$35,$NN$35/$NT$35)),0)</f>
        <v/>
      </c>
      <c r="EK35" s="402">
        <f>IF(AND(137&gt;=$NR$35,137&lt;=$NS$35),IF($NP$35="Single_Point",IF(137=$NR$35,$NN$35,0),IF($NP$35="Bell_Curve",$NN$35*(137-$NR$35+1)*($NS$35-137+1)/$NU$35,$NN$35/$NT$35)),0)</f>
        <v/>
      </c>
      <c r="EL35" s="402">
        <f>IF(AND(138&gt;=$NR$35,138&lt;=$NS$35),IF($NP$35="Single_Point",IF(138=$NR$35,$NN$35,0),IF($NP$35="Bell_Curve",$NN$35*(138-$NR$35+1)*($NS$35-138+1)/$NU$35,$NN$35/$NT$35)),0)</f>
        <v/>
      </c>
      <c r="EM35" s="402">
        <f>IF(AND(139&gt;=$NR$35,139&lt;=$NS$35),IF($NP$35="Single_Point",IF(139=$NR$35,$NN$35,0),IF($NP$35="Bell_Curve",$NN$35*(139-$NR$35+1)*($NS$35-139+1)/$NU$35,$NN$35/$NT$35)),0)</f>
        <v/>
      </c>
      <c r="EN35" s="402">
        <f>IF(AND(140&gt;=$NR$35,140&lt;=$NS$35),IF($NP$35="Single_Point",IF(140=$NR$35,$NN$35,0),IF($NP$35="Bell_Curve",$NN$35*(140-$NR$35+1)*($NS$35-140+1)/$NU$35,$NN$35/$NT$35)),0)</f>
        <v/>
      </c>
      <c r="EO35" s="402">
        <f>IF(AND(141&gt;=$NR$35,141&lt;=$NS$35),IF($NP$35="Single_Point",IF(141=$NR$35,$NN$35,0),IF($NP$35="Bell_Curve",$NN$35*(141-$NR$35+1)*($NS$35-141+1)/$NU$35,$NN$35/$NT$35)),0)</f>
        <v/>
      </c>
      <c r="EP35" s="402">
        <f>IF(AND(142&gt;=$NR$35,142&lt;=$NS$35),IF($NP$35="Single_Point",IF(142=$NR$35,$NN$35,0),IF($NP$35="Bell_Curve",$NN$35*(142-$NR$35+1)*($NS$35-142+1)/$NU$35,$NN$35/$NT$35)),0)</f>
        <v/>
      </c>
      <c r="EQ35" s="402">
        <f>IF(AND(143&gt;=$NR$35,143&lt;=$NS$35),IF($NP$35="Single_Point",IF(143=$NR$35,$NN$35,0),IF($NP$35="Bell_Curve",$NN$35*(143-$NR$35+1)*($NS$35-143+1)/$NU$35,$NN$35/$NT$35)),0)</f>
        <v/>
      </c>
      <c r="ER35" s="402">
        <f>IF(AND(144&gt;=$NR$35,144&lt;=$NS$35),IF($NP$35="Single_Point",IF(144=$NR$35,$NN$35,0),IF($NP$35="Bell_Curve",$NN$35*(144-$NR$35+1)*($NS$35-144+1)/$NU$35,$NN$35/$NT$35)),0)</f>
        <v/>
      </c>
      <c r="ES35" s="402">
        <f>IF(AND(145&gt;=$NR$35,145&lt;=$NS$35),IF($NP$35="Single_Point",IF(145=$NR$35,$NN$35,0),IF($NP$35="Bell_Curve",$NN$35*(145-$NR$35+1)*($NS$35-145+1)/$NU$35,$NN$35/$NT$35)),0)</f>
        <v/>
      </c>
      <c r="ET35" s="402">
        <f>IF(AND(146&gt;=$NR$35,146&lt;=$NS$35),IF($NP$35="Single_Point",IF(146=$NR$35,$NN$35,0),IF($NP$35="Bell_Curve",$NN$35*(146-$NR$35+1)*($NS$35-146+1)/$NU$35,$NN$35/$NT$35)),0)</f>
        <v/>
      </c>
      <c r="EU35" s="402">
        <f>IF(AND(147&gt;=$NR$35,147&lt;=$NS$35),IF($NP$35="Single_Point",IF(147=$NR$35,$NN$35,0),IF($NP$35="Bell_Curve",$NN$35*(147-$NR$35+1)*($NS$35-147+1)/$NU$35,$NN$35/$NT$35)),0)</f>
        <v/>
      </c>
      <c r="EV35" s="402">
        <f>IF(AND(148&gt;=$NR$35,148&lt;=$NS$35),IF($NP$35="Single_Point",IF(148=$NR$35,$NN$35,0),IF($NP$35="Bell_Curve",$NN$35*(148-$NR$35+1)*($NS$35-148+1)/$NU$35,$NN$35/$NT$35)),0)</f>
        <v/>
      </c>
      <c r="EW35" s="402">
        <f>IF(AND(149&gt;=$NR$35,149&lt;=$NS$35),IF($NP$35="Single_Point",IF(149=$NR$35,$NN$35,0),IF($NP$35="Bell_Curve",$NN$35*(149-$NR$35+1)*($NS$35-149+1)/$NU$35,$NN$35/$NT$35)),0)</f>
        <v/>
      </c>
      <c r="EX35" s="402">
        <f>IF(AND(150&gt;=$NR$35,150&lt;=$NS$35),IF($NP$35="Single_Point",IF(150=$NR$35,$NN$35,0),IF($NP$35="Bell_Curve",$NN$35*(150-$NR$35+1)*($NS$35-150+1)/$NU$35,$NN$35/$NT$35)),0)</f>
        <v/>
      </c>
      <c r="EY35" s="402">
        <f>IF(AND(151&gt;=$NR$35,151&lt;=$NS$35),IF($NP$35="Single_Point",IF(151=$NR$35,$NN$35,0),IF($NP$35="Bell_Curve",$NN$35*(151-$NR$35+1)*($NS$35-151+1)/$NU$35,$NN$35/$NT$35)),0)</f>
        <v/>
      </c>
      <c r="EZ35" s="402">
        <f>IF(AND(152&gt;=$NR$35,152&lt;=$NS$35),IF($NP$35="Single_Point",IF(152=$NR$35,$NN$35,0),IF($NP$35="Bell_Curve",$NN$35*(152-$NR$35+1)*($NS$35-152+1)/$NU$35,$NN$35/$NT$35)),0)</f>
        <v/>
      </c>
      <c r="FA35" s="402">
        <f>IF(AND(153&gt;=$NR$35,153&lt;=$NS$35),IF($NP$35="Single_Point",IF(153=$NR$35,$NN$35,0),IF($NP$35="Bell_Curve",$NN$35*(153-$NR$35+1)*($NS$35-153+1)/$NU$35,$NN$35/$NT$35)),0)</f>
        <v/>
      </c>
      <c r="FB35" s="402">
        <f>IF(AND(154&gt;=$NR$35,154&lt;=$NS$35),IF($NP$35="Single_Point",IF(154=$NR$35,$NN$35,0),IF($NP$35="Bell_Curve",$NN$35*(154-$NR$35+1)*($NS$35-154+1)/$NU$35,$NN$35/$NT$35)),0)</f>
        <v/>
      </c>
      <c r="FC35" s="402">
        <f>IF(AND(155&gt;=$NR$35,155&lt;=$NS$35),IF($NP$35="Single_Point",IF(155=$NR$35,$NN$35,0),IF($NP$35="Bell_Curve",$NN$35*(155-$NR$35+1)*($NS$35-155+1)/$NU$35,$NN$35/$NT$35)),0)</f>
        <v/>
      </c>
      <c r="FD35" s="402">
        <f>IF(AND(156&gt;=$NR$35,156&lt;=$NS$35),IF($NP$35="Single_Point",IF(156=$NR$35,$NN$35,0),IF($NP$35="Bell_Curve",$NN$35*(156-$NR$35+1)*($NS$35-156+1)/$NU$35,$NN$35/$NT$35)),0)</f>
        <v/>
      </c>
      <c r="FE35" s="402">
        <f>IF(AND(157&gt;=$NR$35,157&lt;=$NS$35),IF($NP$35="Single_Point",IF(157=$NR$35,$NN$35,0),IF($NP$35="Bell_Curve",$NN$35*(157-$NR$35+1)*($NS$35-157+1)/$NU$35,$NN$35/$NT$35)),0)</f>
        <v/>
      </c>
      <c r="FF35" s="402">
        <f>IF(AND(158&gt;=$NR$35,158&lt;=$NS$35),IF($NP$35="Single_Point",IF(158=$NR$35,$NN$35,0),IF($NP$35="Bell_Curve",$NN$35*(158-$NR$35+1)*($NS$35-158+1)/$NU$35,$NN$35/$NT$35)),0)</f>
        <v/>
      </c>
      <c r="FG35" s="402">
        <f>IF(AND(159&gt;=$NR$35,159&lt;=$NS$35),IF($NP$35="Single_Point",IF(159=$NR$35,$NN$35,0),IF($NP$35="Bell_Curve",$NN$35*(159-$NR$35+1)*($NS$35-159+1)/$NU$35,$NN$35/$NT$35)),0)</f>
        <v/>
      </c>
      <c r="FH35" s="402">
        <f>IF(AND(160&gt;=$NR$35,160&lt;=$NS$35),IF($NP$35="Single_Point",IF(160=$NR$35,$NN$35,0),IF($NP$35="Bell_Curve",$NN$35*(160-$NR$35+1)*($NS$35-160+1)/$NU$35,$NN$35/$NT$35)),0)</f>
        <v/>
      </c>
      <c r="FI35" s="402">
        <f>IF(AND(161&gt;=$NR$35,161&lt;=$NS$35),IF($NP$35="Single_Point",IF(161=$NR$35,$NN$35,0),IF($NP$35="Bell_Curve",$NN$35*(161-$NR$35+1)*($NS$35-161+1)/$NU$35,$NN$35/$NT$35)),0)</f>
        <v/>
      </c>
      <c r="FJ35" s="402">
        <f>IF(AND(162&gt;=$NR$35,162&lt;=$NS$35),IF($NP$35="Single_Point",IF(162=$NR$35,$NN$35,0),IF($NP$35="Bell_Curve",$NN$35*(162-$NR$35+1)*($NS$35-162+1)/$NU$35,$NN$35/$NT$35)),0)</f>
        <v/>
      </c>
      <c r="FK35" s="402">
        <f>IF(AND(163&gt;=$NR$35,163&lt;=$NS$35),IF($NP$35="Single_Point",IF(163=$NR$35,$NN$35,0),IF($NP$35="Bell_Curve",$NN$35*(163-$NR$35+1)*($NS$35-163+1)/$NU$35,$NN$35/$NT$35)),0)</f>
        <v/>
      </c>
      <c r="FL35" s="402">
        <f>IF(AND(164&gt;=$NR$35,164&lt;=$NS$35),IF($NP$35="Single_Point",IF(164=$NR$35,$NN$35,0),IF($NP$35="Bell_Curve",$NN$35*(164-$NR$35+1)*($NS$35-164+1)/$NU$35,$NN$35/$NT$35)),0)</f>
        <v/>
      </c>
      <c r="FM35" s="402">
        <f>IF(AND(165&gt;=$NR$35,165&lt;=$NS$35),IF($NP$35="Single_Point",IF(165=$NR$35,$NN$35,0),IF($NP$35="Bell_Curve",$NN$35*(165-$NR$35+1)*($NS$35-165+1)/$NU$35,$NN$35/$NT$35)),0)</f>
        <v/>
      </c>
      <c r="FN35" s="402">
        <f>IF(AND(166&gt;=$NR$35,166&lt;=$NS$35),IF($NP$35="Single_Point",IF(166=$NR$35,$NN$35,0),IF($NP$35="Bell_Curve",$NN$35*(166-$NR$35+1)*($NS$35-166+1)/$NU$35,$NN$35/$NT$35)),0)</f>
        <v/>
      </c>
      <c r="FO35" s="402">
        <f>IF(AND(167&gt;=$NR$35,167&lt;=$NS$35),IF($NP$35="Single_Point",IF(167=$NR$35,$NN$35,0),IF($NP$35="Bell_Curve",$NN$35*(167-$NR$35+1)*($NS$35-167+1)/$NU$35,$NN$35/$NT$35)),0)</f>
        <v/>
      </c>
      <c r="FP35" s="402">
        <f>IF(AND(168&gt;=$NR$35,168&lt;=$NS$35),IF($NP$35="Single_Point",IF(168=$NR$35,$NN$35,0),IF($NP$35="Bell_Curve",$NN$35*(168-$NR$35+1)*($NS$35-168+1)/$NU$35,$NN$35/$NT$35)),0)</f>
        <v/>
      </c>
      <c r="FQ35" s="402">
        <f>IF(AND(169&gt;=$NR$35,169&lt;=$NS$35),IF($NP$35="Single_Point",IF(169=$NR$35,$NN$35,0),IF($NP$35="Bell_Curve",$NN$35*(169-$NR$35+1)*($NS$35-169+1)/$NU$35,$NN$35/$NT$35)),0)</f>
        <v/>
      </c>
      <c r="FR35" s="402">
        <f>IF(AND(170&gt;=$NR$35,170&lt;=$NS$35),IF($NP$35="Single_Point",IF(170=$NR$35,$NN$35,0),IF($NP$35="Bell_Curve",$NN$35*(170-$NR$35+1)*($NS$35-170+1)/$NU$35,$NN$35/$NT$35)),0)</f>
        <v/>
      </c>
      <c r="FS35" s="402">
        <f>IF(AND(171&gt;=$NR$35,171&lt;=$NS$35),IF($NP$35="Single_Point",IF(171=$NR$35,$NN$35,0),IF($NP$35="Bell_Curve",$NN$35*(171-$NR$35+1)*($NS$35-171+1)/$NU$35,$NN$35/$NT$35)),0)</f>
        <v/>
      </c>
      <c r="FT35" s="402">
        <f>IF(AND(172&gt;=$NR$35,172&lt;=$NS$35),IF($NP$35="Single_Point",IF(172=$NR$35,$NN$35,0),IF($NP$35="Bell_Curve",$NN$35*(172-$NR$35+1)*($NS$35-172+1)/$NU$35,$NN$35/$NT$35)),0)</f>
        <v/>
      </c>
      <c r="FU35" s="402">
        <f>IF(AND(173&gt;=$NR$35,173&lt;=$NS$35),IF($NP$35="Single_Point",IF(173=$NR$35,$NN$35,0),IF($NP$35="Bell_Curve",$NN$35*(173-$NR$35+1)*($NS$35-173+1)/$NU$35,$NN$35/$NT$35)),0)</f>
        <v/>
      </c>
      <c r="FV35" s="402">
        <f>IF(AND(174&gt;=$NR$35,174&lt;=$NS$35),IF($NP$35="Single_Point",IF(174=$NR$35,$NN$35,0),IF($NP$35="Bell_Curve",$NN$35*(174-$NR$35+1)*($NS$35-174+1)/$NU$35,$NN$35/$NT$35)),0)</f>
        <v/>
      </c>
      <c r="FW35" s="402">
        <f>IF(AND(175&gt;=$NR$35,175&lt;=$NS$35),IF($NP$35="Single_Point",IF(175=$NR$35,$NN$35,0),IF($NP$35="Bell_Curve",$NN$35*(175-$NR$35+1)*($NS$35-175+1)/$NU$35,$NN$35/$NT$35)),0)</f>
        <v/>
      </c>
      <c r="FX35" s="402">
        <f>IF(AND(176&gt;=$NR$35,176&lt;=$NS$35),IF($NP$35="Single_Point",IF(176=$NR$35,$NN$35,0),IF($NP$35="Bell_Curve",$NN$35*(176-$NR$35+1)*($NS$35-176+1)/$NU$35,$NN$35/$NT$35)),0)</f>
        <v/>
      </c>
      <c r="FY35" s="402">
        <f>IF(AND(177&gt;=$NR$35,177&lt;=$NS$35),IF($NP$35="Single_Point",IF(177=$NR$35,$NN$35,0),IF($NP$35="Bell_Curve",$NN$35*(177-$NR$35+1)*($NS$35-177+1)/$NU$35,$NN$35/$NT$35)),0)</f>
        <v/>
      </c>
      <c r="FZ35" s="402">
        <f>IF(AND(178&gt;=$NR$35,178&lt;=$NS$35),IF($NP$35="Single_Point",IF(178=$NR$35,$NN$35,0),IF($NP$35="Bell_Curve",$NN$35*(178-$NR$35+1)*($NS$35-178+1)/$NU$35,$NN$35/$NT$35)),0)</f>
        <v/>
      </c>
      <c r="GA35" s="402">
        <f>IF(AND(179&gt;=$NR$35,179&lt;=$NS$35),IF($NP$35="Single_Point",IF(179=$NR$35,$NN$35,0),IF($NP$35="Bell_Curve",$NN$35*(179-$NR$35+1)*($NS$35-179+1)/$NU$35,$NN$35/$NT$35)),0)</f>
        <v/>
      </c>
      <c r="GB35" s="402">
        <f>IF(AND(180&gt;=$NR$35,180&lt;=$NS$35),IF($NP$35="Single_Point",IF(180=$NR$35,$NN$35,0),IF($NP$35="Bell_Curve",$NN$35*(180-$NR$35+1)*($NS$35-180+1)/$NU$35,$NN$35/$NT$35)),0)</f>
        <v/>
      </c>
      <c r="GC35" s="402">
        <f>IF(AND(181&gt;=$NR$35,181&lt;=$NS$35),IF($NP$35="Single_Point",IF(181=$NR$35,$NN$35,0),IF($NP$35="Bell_Curve",$NN$35*(181-$NR$35+1)*($NS$35-181+1)/$NU$35,$NN$35/$NT$35)),0)</f>
        <v/>
      </c>
      <c r="GD35" s="402">
        <f>IF(AND(182&gt;=$NR$35,182&lt;=$NS$35),IF($NP$35="Single_Point",IF(182=$NR$35,$NN$35,0),IF($NP$35="Bell_Curve",$NN$35*(182-$NR$35+1)*($NS$35-182+1)/$NU$35,$NN$35/$NT$35)),0)</f>
        <v/>
      </c>
      <c r="GE35" s="402">
        <f>IF(AND(183&gt;=$NR$35,183&lt;=$NS$35),IF($NP$35="Single_Point",IF(183=$NR$35,$NN$35,0),IF($NP$35="Bell_Curve",$NN$35*(183-$NR$35+1)*($NS$35-183+1)/$NU$35,$NN$35/$NT$35)),0)</f>
        <v/>
      </c>
      <c r="GF35" s="402">
        <f>IF(AND(184&gt;=$NR$35,184&lt;=$NS$35),IF($NP$35="Single_Point",IF(184=$NR$35,$NN$35,0),IF($NP$35="Bell_Curve",$NN$35*(184-$NR$35+1)*($NS$35-184+1)/$NU$35,$NN$35/$NT$35)),0)</f>
        <v/>
      </c>
      <c r="GG35" s="402">
        <f>IF(AND(185&gt;=$NR$35,185&lt;=$NS$35),IF($NP$35="Single_Point",IF(185=$NR$35,$NN$35,0),IF($NP$35="Bell_Curve",$NN$35*(185-$NR$35+1)*($NS$35-185+1)/$NU$35,$NN$35/$NT$35)),0)</f>
        <v/>
      </c>
      <c r="GH35" s="402">
        <f>IF(AND(186&gt;=$NR$35,186&lt;=$NS$35),IF($NP$35="Single_Point",IF(186=$NR$35,$NN$35,0),IF($NP$35="Bell_Curve",$NN$35*(186-$NR$35+1)*($NS$35-186+1)/$NU$35,$NN$35/$NT$35)),0)</f>
        <v/>
      </c>
      <c r="GI35" s="402">
        <f>IF(AND(187&gt;=$NR$35,187&lt;=$NS$35),IF($NP$35="Single_Point",IF(187=$NR$35,$NN$35,0),IF($NP$35="Bell_Curve",$NN$35*(187-$NR$35+1)*($NS$35-187+1)/$NU$35,$NN$35/$NT$35)),0)</f>
        <v/>
      </c>
      <c r="GJ35" s="402">
        <f>IF(AND(188&gt;=$NR$35,188&lt;=$NS$35),IF($NP$35="Single_Point",IF(188=$NR$35,$NN$35,0),IF($NP$35="Bell_Curve",$NN$35*(188-$NR$35+1)*($NS$35-188+1)/$NU$35,$NN$35/$NT$35)),0)</f>
        <v/>
      </c>
      <c r="GK35" s="402">
        <f>IF(AND(189&gt;=$NR$35,189&lt;=$NS$35),IF($NP$35="Single_Point",IF(189=$NR$35,$NN$35,0),IF($NP$35="Bell_Curve",$NN$35*(189-$NR$35+1)*($NS$35-189+1)/$NU$35,$NN$35/$NT$35)),0)</f>
        <v/>
      </c>
      <c r="GL35" s="402">
        <f>IF(AND(190&gt;=$NR$35,190&lt;=$NS$35),IF($NP$35="Single_Point",IF(190=$NR$35,$NN$35,0),IF($NP$35="Bell_Curve",$NN$35*(190-$NR$35+1)*($NS$35-190+1)/$NU$35,$NN$35/$NT$35)),0)</f>
        <v/>
      </c>
      <c r="GM35" s="402">
        <f>IF(AND(191&gt;=$NR$35,191&lt;=$NS$35),IF($NP$35="Single_Point",IF(191=$NR$35,$NN$35,0),IF($NP$35="Bell_Curve",$NN$35*(191-$NR$35+1)*($NS$35-191+1)/$NU$35,$NN$35/$NT$35)),0)</f>
        <v/>
      </c>
      <c r="GN35" s="402">
        <f>IF(AND(192&gt;=$NR$35,192&lt;=$NS$35),IF($NP$35="Single_Point",IF(192=$NR$35,$NN$35,0),IF($NP$35="Bell_Curve",$NN$35*(192-$NR$35+1)*($NS$35-192+1)/$NU$35,$NN$35/$NT$35)),0)</f>
        <v/>
      </c>
      <c r="GO35" s="402">
        <f>IF(AND(193&gt;=$NR$35,193&lt;=$NS$35),IF($NP$35="Single_Point",IF(193=$NR$35,$NN$35,0),IF($NP$35="Bell_Curve",$NN$35*(193-$NR$35+1)*($NS$35-193+1)/$NU$35,$NN$35/$NT$35)),0)</f>
        <v/>
      </c>
      <c r="GP35" s="402">
        <f>IF(AND(194&gt;=$NR$35,194&lt;=$NS$35),IF($NP$35="Single_Point",IF(194=$NR$35,$NN$35,0),IF($NP$35="Bell_Curve",$NN$35*(194-$NR$35+1)*($NS$35-194+1)/$NU$35,$NN$35/$NT$35)),0)</f>
        <v/>
      </c>
      <c r="GQ35" s="402">
        <f>IF(AND(195&gt;=$NR$35,195&lt;=$NS$35),IF($NP$35="Single_Point",IF(195=$NR$35,$NN$35,0),IF($NP$35="Bell_Curve",$NN$35*(195-$NR$35+1)*($NS$35-195+1)/$NU$35,$NN$35/$NT$35)),0)</f>
        <v/>
      </c>
      <c r="GR35" s="402">
        <f>IF(AND(196&gt;=$NR$35,196&lt;=$NS$35),IF($NP$35="Single_Point",IF(196=$NR$35,$NN$35,0),IF($NP$35="Bell_Curve",$NN$35*(196-$NR$35+1)*($NS$35-196+1)/$NU$35,$NN$35/$NT$35)),0)</f>
        <v/>
      </c>
      <c r="GS35" s="402">
        <f>IF(AND(197&gt;=$NR$35,197&lt;=$NS$35),IF($NP$35="Single_Point",IF(197=$NR$35,$NN$35,0),IF($NP$35="Bell_Curve",$NN$35*(197-$NR$35+1)*($NS$35-197+1)/$NU$35,$NN$35/$NT$35)),0)</f>
        <v/>
      </c>
      <c r="GT35" s="402">
        <f>IF(AND(198&gt;=$NR$35,198&lt;=$NS$35),IF($NP$35="Single_Point",IF(198=$NR$35,$NN$35,0),IF($NP$35="Bell_Curve",$NN$35*(198-$NR$35+1)*($NS$35-198+1)/$NU$35,$NN$35/$NT$35)),0)</f>
        <v/>
      </c>
      <c r="GU35" s="402">
        <f>IF(AND(199&gt;=$NR$35,199&lt;=$NS$35),IF($NP$35="Single_Point",IF(199=$NR$35,$NN$35,0),IF($NP$35="Bell_Curve",$NN$35*(199-$NR$35+1)*($NS$35-199+1)/$NU$35,$NN$35/$NT$35)),0)</f>
        <v/>
      </c>
      <c r="GV35" s="402">
        <f>IF(AND(200&gt;=$NR$35,200&lt;=$NS$35),IF($NP$35="Single_Point",IF(200=$NR$35,$NN$35,0),IF($NP$35="Bell_Curve",$NN$35*(200-$NR$35+1)*($NS$35-200+1)/$NU$35,$NN$35/$NT$35)),0)</f>
        <v/>
      </c>
      <c r="GW35" s="402">
        <f>IF(AND(201&gt;=$NR$35,201&lt;=$NS$35),IF($NP$35="Single_Point",IF(201=$NR$35,$NN$35,0),IF($NP$35="Bell_Curve",$NN$35*(201-$NR$35+1)*($NS$35-201+1)/$NU$35,$NN$35/$NT$35)),0)</f>
        <v/>
      </c>
      <c r="GX35" s="402">
        <f>IF(AND(202&gt;=$NR$35,202&lt;=$NS$35),IF($NP$35="Single_Point",IF(202=$NR$35,$NN$35,0),IF($NP$35="Bell_Curve",$NN$35*(202-$NR$35+1)*($NS$35-202+1)/$NU$35,$NN$35/$NT$35)),0)</f>
        <v/>
      </c>
      <c r="GY35" s="402">
        <f>IF(AND(203&gt;=$NR$35,203&lt;=$NS$35),IF($NP$35="Single_Point",IF(203=$NR$35,$NN$35,0),IF($NP$35="Bell_Curve",$NN$35*(203-$NR$35+1)*($NS$35-203+1)/$NU$35,$NN$35/$NT$35)),0)</f>
        <v/>
      </c>
      <c r="GZ35" s="402">
        <f>IF(AND(204&gt;=$NR$35,204&lt;=$NS$35),IF($NP$35="Single_Point",IF(204=$NR$35,$NN$35,0),IF($NP$35="Bell_Curve",$NN$35*(204-$NR$35+1)*($NS$35-204+1)/$NU$35,$NN$35/$NT$35)),0)</f>
        <v/>
      </c>
      <c r="HA35" s="402">
        <f>IF(AND(205&gt;=$NR$35,205&lt;=$NS$35),IF($NP$35="Single_Point",IF(205=$NR$35,$NN$35,0),IF($NP$35="Bell_Curve",$NN$35*(205-$NR$35+1)*($NS$35-205+1)/$NU$35,$NN$35/$NT$35)),0)</f>
        <v/>
      </c>
      <c r="HB35" s="402">
        <f>IF(AND(206&gt;=$NR$35,206&lt;=$NS$35),IF($NP$35="Single_Point",IF(206=$NR$35,$NN$35,0),IF($NP$35="Bell_Curve",$NN$35*(206-$NR$35+1)*($NS$35-206+1)/$NU$35,$NN$35/$NT$35)),0)</f>
        <v/>
      </c>
      <c r="HC35" s="402">
        <f>IF(AND(207&gt;=$NR$35,207&lt;=$NS$35),IF($NP$35="Single_Point",IF(207=$NR$35,$NN$35,0),IF($NP$35="Bell_Curve",$NN$35*(207-$NR$35+1)*($NS$35-207+1)/$NU$35,$NN$35/$NT$35)),0)</f>
        <v/>
      </c>
      <c r="HD35" s="402">
        <f>IF(AND(208&gt;=$NR$35,208&lt;=$NS$35),IF($NP$35="Single_Point",IF(208=$NR$35,$NN$35,0),IF($NP$35="Bell_Curve",$NN$35*(208-$NR$35+1)*($NS$35-208+1)/$NU$35,$NN$35/$NT$35)),0)</f>
        <v/>
      </c>
      <c r="HE35" s="402">
        <f>IF(AND(209&gt;=$NR$35,209&lt;=$NS$35),IF($NP$35="Single_Point",IF(209=$NR$35,$NN$35,0),IF($NP$35="Bell_Curve",$NN$35*(209-$NR$35+1)*($NS$35-209+1)/$NU$35,$NN$35/$NT$35)),0)</f>
        <v/>
      </c>
      <c r="HF35" s="402">
        <f>IF(AND(210&gt;=$NR$35,210&lt;=$NS$35),IF($NP$35="Single_Point",IF(210=$NR$35,$NN$35,0),IF($NP$35="Bell_Curve",$NN$35*(210-$NR$35+1)*($NS$35-210+1)/$NU$35,$NN$35/$NT$35)),0)</f>
        <v/>
      </c>
      <c r="HG35" s="402">
        <f>IF(AND(211&gt;=$NR$35,211&lt;=$NS$35),IF($NP$35="Single_Point",IF(211=$NR$35,$NN$35,0),IF($NP$35="Bell_Curve",$NN$35*(211-$NR$35+1)*($NS$35-211+1)/$NU$35,$NN$35/$NT$35)),0)</f>
        <v/>
      </c>
      <c r="HH35" s="402">
        <f>IF(AND(212&gt;=$NR$35,212&lt;=$NS$35),IF($NP$35="Single_Point",IF(212=$NR$35,$NN$35,0),IF($NP$35="Bell_Curve",$NN$35*(212-$NR$35+1)*($NS$35-212+1)/$NU$35,$NN$35/$NT$35)),0)</f>
        <v/>
      </c>
      <c r="HI35" s="402">
        <f>IF(AND(213&gt;=$NR$35,213&lt;=$NS$35),IF($NP$35="Single_Point",IF(213=$NR$35,$NN$35,0),IF($NP$35="Bell_Curve",$NN$35*(213-$NR$35+1)*($NS$35-213+1)/$NU$35,$NN$35/$NT$35)),0)</f>
        <v/>
      </c>
      <c r="HJ35" s="402">
        <f>IF(AND(214&gt;=$NR$35,214&lt;=$NS$35),IF($NP$35="Single_Point",IF(214=$NR$35,$NN$35,0),IF($NP$35="Bell_Curve",$NN$35*(214-$NR$35+1)*($NS$35-214+1)/$NU$35,$NN$35/$NT$35)),0)</f>
        <v/>
      </c>
      <c r="HK35" s="402">
        <f>IF(AND(215&gt;=$NR$35,215&lt;=$NS$35),IF($NP$35="Single_Point",IF(215=$NR$35,$NN$35,0),IF($NP$35="Bell_Curve",$NN$35*(215-$NR$35+1)*($NS$35-215+1)/$NU$35,$NN$35/$NT$35)),0)</f>
        <v/>
      </c>
      <c r="HL35" s="402">
        <f>IF(AND(216&gt;=$NR$35,216&lt;=$NS$35),IF($NP$35="Single_Point",IF(216=$NR$35,$NN$35,0),IF($NP$35="Bell_Curve",$NN$35*(216-$NR$35+1)*($NS$35-216+1)/$NU$35,$NN$35/$NT$35)),0)</f>
        <v/>
      </c>
      <c r="HM35" s="402">
        <f>IF(AND(217&gt;=$NR$35,217&lt;=$NS$35),IF($NP$35="Single_Point",IF(217=$NR$35,$NN$35,0),IF($NP$35="Bell_Curve",$NN$35*(217-$NR$35+1)*($NS$35-217+1)/$NU$35,$NN$35/$NT$35)),0)</f>
        <v/>
      </c>
      <c r="HN35" s="402">
        <f>IF(AND(218&gt;=$NR$35,218&lt;=$NS$35),IF($NP$35="Single_Point",IF(218=$NR$35,$NN$35,0),IF($NP$35="Bell_Curve",$NN$35*(218-$NR$35+1)*($NS$35-218+1)/$NU$35,$NN$35/$NT$35)),0)</f>
        <v/>
      </c>
      <c r="HO35" s="402">
        <f>IF(AND(219&gt;=$NR$35,219&lt;=$NS$35),IF($NP$35="Single_Point",IF(219=$NR$35,$NN$35,0),IF($NP$35="Bell_Curve",$NN$35*(219-$NR$35+1)*($NS$35-219+1)/$NU$35,$NN$35/$NT$35)),0)</f>
        <v/>
      </c>
      <c r="HP35" s="402">
        <f>IF(AND(220&gt;=$NR$35,220&lt;=$NS$35),IF($NP$35="Single_Point",IF(220=$NR$35,$NN$35,0),IF($NP$35="Bell_Curve",$NN$35*(220-$NR$35+1)*($NS$35-220+1)/$NU$35,$NN$35/$NT$35)),0)</f>
        <v/>
      </c>
      <c r="HQ35" s="402">
        <f>IF(AND(221&gt;=$NR$35,221&lt;=$NS$35),IF($NP$35="Single_Point",IF(221=$NR$35,$NN$35,0),IF($NP$35="Bell_Curve",$NN$35*(221-$NR$35+1)*($NS$35-221+1)/$NU$35,$NN$35/$NT$35)),0)</f>
        <v/>
      </c>
      <c r="HR35" s="402">
        <f>IF(AND(222&gt;=$NR$35,222&lt;=$NS$35),IF($NP$35="Single_Point",IF(222=$NR$35,$NN$35,0),IF($NP$35="Bell_Curve",$NN$35*(222-$NR$35+1)*($NS$35-222+1)/$NU$35,$NN$35/$NT$35)),0)</f>
        <v/>
      </c>
      <c r="HS35" s="402">
        <f>IF(AND(223&gt;=$NR$35,223&lt;=$NS$35),IF($NP$35="Single_Point",IF(223=$NR$35,$NN$35,0),IF($NP$35="Bell_Curve",$NN$35*(223-$NR$35+1)*($NS$35-223+1)/$NU$35,$NN$35/$NT$35)),0)</f>
        <v/>
      </c>
      <c r="HT35" s="402">
        <f>IF(AND(224&gt;=$NR$35,224&lt;=$NS$35),IF($NP$35="Single_Point",IF(224=$NR$35,$NN$35,0),IF($NP$35="Bell_Curve",$NN$35*(224-$NR$35+1)*($NS$35-224+1)/$NU$35,$NN$35/$NT$35)),0)</f>
        <v/>
      </c>
      <c r="HU35" s="402">
        <f>IF(AND(225&gt;=$NR$35,225&lt;=$NS$35),IF($NP$35="Single_Point",IF(225=$NR$35,$NN$35,0),IF($NP$35="Bell_Curve",$NN$35*(225-$NR$35+1)*($NS$35-225+1)/$NU$35,$NN$35/$NT$35)),0)</f>
        <v/>
      </c>
      <c r="HV35" s="402">
        <f>IF(AND(226&gt;=$NR$35,226&lt;=$NS$35),IF($NP$35="Single_Point",IF(226=$NR$35,$NN$35,0),IF($NP$35="Bell_Curve",$NN$35*(226-$NR$35+1)*($NS$35-226+1)/$NU$35,$NN$35/$NT$35)),0)</f>
        <v/>
      </c>
      <c r="HW35" s="402">
        <f>IF(AND(227&gt;=$NR$35,227&lt;=$NS$35),IF($NP$35="Single_Point",IF(227=$NR$35,$NN$35,0),IF($NP$35="Bell_Curve",$NN$35*(227-$NR$35+1)*($NS$35-227+1)/$NU$35,$NN$35/$NT$35)),0)</f>
        <v/>
      </c>
      <c r="HX35" s="402">
        <f>IF(AND(228&gt;=$NR$35,228&lt;=$NS$35),IF($NP$35="Single_Point",IF(228=$NR$35,$NN$35,0),IF($NP$35="Bell_Curve",$NN$35*(228-$NR$35+1)*($NS$35-228+1)/$NU$35,$NN$35/$NT$35)),0)</f>
        <v/>
      </c>
      <c r="HY35" s="402">
        <f>IF(AND(229&gt;=$NR$35,229&lt;=$NS$35),IF($NP$35="Single_Point",IF(229=$NR$35,$NN$35,0),IF($NP$35="Bell_Curve",$NN$35*(229-$NR$35+1)*($NS$35-229+1)/$NU$35,$NN$35/$NT$35)),0)</f>
        <v/>
      </c>
      <c r="HZ35" s="402">
        <f>IF(AND(230&gt;=$NR$35,230&lt;=$NS$35),IF($NP$35="Single_Point",IF(230=$NR$35,$NN$35,0),IF($NP$35="Bell_Curve",$NN$35*(230-$NR$35+1)*($NS$35-230+1)/$NU$35,$NN$35/$NT$35)),0)</f>
        <v/>
      </c>
      <c r="IA35" s="402">
        <f>IF(AND(231&gt;=$NR$35,231&lt;=$NS$35),IF($NP$35="Single_Point",IF(231=$NR$35,$NN$35,0),IF($NP$35="Bell_Curve",$NN$35*(231-$NR$35+1)*($NS$35-231+1)/$NU$35,$NN$35/$NT$35)),0)</f>
        <v/>
      </c>
      <c r="IB35" s="402">
        <f>IF(AND(232&gt;=$NR$35,232&lt;=$NS$35),IF($NP$35="Single_Point",IF(232=$NR$35,$NN$35,0),IF($NP$35="Bell_Curve",$NN$35*(232-$NR$35+1)*($NS$35-232+1)/$NU$35,$NN$35/$NT$35)),0)</f>
        <v/>
      </c>
      <c r="IC35" s="402">
        <f>IF(AND(233&gt;=$NR$35,233&lt;=$NS$35),IF($NP$35="Single_Point",IF(233=$NR$35,$NN$35,0),IF($NP$35="Bell_Curve",$NN$35*(233-$NR$35+1)*($NS$35-233+1)/$NU$35,$NN$35/$NT$35)),0)</f>
        <v/>
      </c>
      <c r="ID35" s="402">
        <f>IF(AND(234&gt;=$NR$35,234&lt;=$NS$35),IF($NP$35="Single_Point",IF(234=$NR$35,$NN$35,0),IF($NP$35="Bell_Curve",$NN$35*(234-$NR$35+1)*($NS$35-234+1)/$NU$35,$NN$35/$NT$35)),0)</f>
        <v/>
      </c>
      <c r="IE35" s="402">
        <f>IF(AND(235&gt;=$NR$35,235&lt;=$NS$35),IF($NP$35="Single_Point",IF(235=$NR$35,$NN$35,0),IF($NP$35="Bell_Curve",$NN$35*(235-$NR$35+1)*($NS$35-235+1)/$NU$35,$NN$35/$NT$35)),0)</f>
        <v/>
      </c>
      <c r="IF35" s="402">
        <f>IF(AND(236&gt;=$NR$35,236&lt;=$NS$35),IF($NP$35="Single_Point",IF(236=$NR$35,$NN$35,0),IF($NP$35="Bell_Curve",$NN$35*(236-$NR$35+1)*($NS$35-236+1)/$NU$35,$NN$35/$NT$35)),0)</f>
        <v/>
      </c>
      <c r="IG35" s="402">
        <f>IF(AND(237&gt;=$NR$35,237&lt;=$NS$35),IF($NP$35="Single_Point",IF(237=$NR$35,$NN$35,0),IF($NP$35="Bell_Curve",$NN$35*(237-$NR$35+1)*($NS$35-237+1)/$NU$35,$NN$35/$NT$35)),0)</f>
        <v/>
      </c>
      <c r="IH35" s="402">
        <f>IF(AND(238&gt;=$NR$35,238&lt;=$NS$35),IF($NP$35="Single_Point",IF(238=$NR$35,$NN$35,0),IF($NP$35="Bell_Curve",$NN$35*(238-$NR$35+1)*($NS$35-238+1)/$NU$35,$NN$35/$NT$35)),0)</f>
        <v/>
      </c>
      <c r="II35" s="402">
        <f>IF(AND(239&gt;=$NR$35,239&lt;=$NS$35),IF($NP$35="Single_Point",IF(239=$NR$35,$NN$35,0),IF($NP$35="Bell_Curve",$NN$35*(239-$NR$35+1)*($NS$35-239+1)/$NU$35,$NN$35/$NT$35)),0)</f>
        <v/>
      </c>
      <c r="IJ35" s="402">
        <f>IF(AND(240&gt;=$NR$35,240&lt;=$NS$35),IF($NP$35="Single_Point",IF(240=$NR$35,$NN$35,0),IF($NP$35="Bell_Curve",$NN$35*(240-$NR$35+1)*($NS$35-240+1)/$NU$35,$NN$35/$NT$35)),0)</f>
        <v/>
      </c>
      <c r="IK35" s="402">
        <f>IF(AND(241&gt;=$NR$35,241&lt;=$NS$35),IF($NP$35="Single_Point",IF(241=$NR$35,$NN$35,0),IF($NP$35="Bell_Curve",$NN$35*(241-$NR$35+1)*($NS$35-241+1)/$NU$35,$NN$35/$NT$35)),0)</f>
        <v/>
      </c>
      <c r="IL35" s="402">
        <f>IF(AND(242&gt;=$NR$35,242&lt;=$NS$35),IF($NP$35="Single_Point",IF(242=$NR$35,$NN$35,0),IF($NP$35="Bell_Curve",$NN$35*(242-$NR$35+1)*($NS$35-242+1)/$NU$35,$NN$35/$NT$35)),0)</f>
        <v/>
      </c>
      <c r="IM35" s="402">
        <f>IF(AND(243&gt;=$NR$35,243&lt;=$NS$35),IF($NP$35="Single_Point",IF(243=$NR$35,$NN$35,0),IF($NP$35="Bell_Curve",$NN$35*(243-$NR$35+1)*($NS$35-243+1)/$NU$35,$NN$35/$NT$35)),0)</f>
        <v/>
      </c>
      <c r="IN35" s="402">
        <f>IF(AND(244&gt;=$NR$35,244&lt;=$NS$35),IF($NP$35="Single_Point",IF(244=$NR$35,$NN$35,0),IF($NP$35="Bell_Curve",$NN$35*(244-$NR$35+1)*($NS$35-244+1)/$NU$35,$NN$35/$NT$35)),0)</f>
        <v/>
      </c>
      <c r="IO35" s="402">
        <f>IF(AND(245&gt;=$NR$35,245&lt;=$NS$35),IF($NP$35="Single_Point",IF(245=$NR$35,$NN$35,0),IF($NP$35="Bell_Curve",$NN$35*(245-$NR$35+1)*($NS$35-245+1)/$NU$35,$NN$35/$NT$35)),0)</f>
        <v/>
      </c>
      <c r="IP35" s="402">
        <f>IF(AND(246&gt;=$NR$35,246&lt;=$NS$35),IF($NP$35="Single_Point",IF(246=$NR$35,$NN$35,0),IF($NP$35="Bell_Curve",$NN$35*(246-$NR$35+1)*($NS$35-246+1)/$NU$35,$NN$35/$NT$35)),0)</f>
        <v/>
      </c>
      <c r="IQ35" s="402">
        <f>IF(AND(247&gt;=$NR$35,247&lt;=$NS$35),IF($NP$35="Single_Point",IF(247=$NR$35,$NN$35,0),IF($NP$35="Bell_Curve",$NN$35*(247-$NR$35+1)*($NS$35-247+1)/$NU$35,$NN$35/$NT$35)),0)</f>
        <v/>
      </c>
      <c r="IR35" s="402">
        <f>IF(AND(248&gt;=$NR$35,248&lt;=$NS$35),IF($NP$35="Single_Point",IF(248=$NR$35,$NN$35,0),IF($NP$35="Bell_Curve",$NN$35*(248-$NR$35+1)*($NS$35-248+1)/$NU$35,$NN$35/$NT$35)),0)</f>
        <v/>
      </c>
      <c r="IS35" s="402">
        <f>IF(AND(249&gt;=$NR$35,249&lt;=$NS$35),IF($NP$35="Single_Point",IF(249=$NR$35,$NN$35,0),IF($NP$35="Bell_Curve",$NN$35*(249-$NR$35+1)*($NS$35-249+1)/$NU$35,$NN$35/$NT$35)),0)</f>
        <v/>
      </c>
      <c r="IT35" s="402">
        <f>IF(AND(250&gt;=$NR$35,250&lt;=$NS$35),IF($NP$35="Single_Point",IF(250=$NR$35,$NN$35,0),IF($NP$35="Bell_Curve",$NN$35*(250-$NR$35+1)*($NS$35-250+1)/$NU$35,$NN$35/$NT$35)),0)</f>
        <v/>
      </c>
      <c r="IU35" s="402">
        <f>IF(AND(251&gt;=$NR$35,251&lt;=$NS$35),IF($NP$35="Single_Point",IF(251=$NR$35,$NN$35,0),IF($NP$35="Bell_Curve",$NN$35*(251-$NR$35+1)*($NS$35-251+1)/$NU$35,$NN$35/$NT$35)),0)</f>
        <v/>
      </c>
      <c r="IV35" s="402">
        <f>IF(AND(252&gt;=$NR$35,252&lt;=$NS$35),IF($NP$35="Single_Point",IF(252=$NR$35,$NN$35,0),IF($NP$35="Bell_Curve",$NN$35*(252-$NR$35+1)*($NS$35-252+1)/$NU$35,$NN$35/$NT$35)),0)</f>
        <v/>
      </c>
      <c r="IW35" s="402">
        <f>IF(AND(253&gt;=$NR$35,253&lt;=$NS$35),IF($NP$35="Single_Point",IF(253=$NR$35,$NN$35,0),IF($NP$35="Bell_Curve",$NN$35*(253-$NR$35+1)*($NS$35-253+1)/$NU$35,$NN$35/$NT$35)),0)</f>
        <v/>
      </c>
      <c r="IX35" s="402">
        <f>IF(AND(254&gt;=$NR$35,254&lt;=$NS$35),IF($NP$35="Single_Point",IF(254=$NR$35,$NN$35,0),IF($NP$35="Bell_Curve",$NN$35*(254-$NR$35+1)*($NS$35-254+1)/$NU$35,$NN$35/$NT$35)),0)</f>
        <v/>
      </c>
      <c r="IY35" s="402">
        <f>IF(AND(255&gt;=$NR$35,255&lt;=$NS$35),IF($NP$35="Single_Point",IF(255=$NR$35,$NN$35,0),IF($NP$35="Bell_Curve",$NN$35*(255-$NR$35+1)*($NS$35-255+1)/$NU$35,$NN$35/$NT$35)),0)</f>
        <v/>
      </c>
      <c r="IZ35" s="402">
        <f>IF(AND(256&gt;=$NR$35,256&lt;=$NS$35),IF($NP$35="Single_Point",IF(256=$NR$35,$NN$35,0),IF($NP$35="Bell_Curve",$NN$35*(256-$NR$35+1)*($NS$35-256+1)/$NU$35,$NN$35/$NT$35)),0)</f>
        <v/>
      </c>
      <c r="JA35" s="402">
        <f>IF(AND(257&gt;=$NR$35,257&lt;=$NS$35),IF($NP$35="Single_Point",IF(257=$NR$35,$NN$35,0),IF($NP$35="Bell_Curve",$NN$35*(257-$NR$35+1)*($NS$35-257+1)/$NU$35,$NN$35/$NT$35)),0)</f>
        <v/>
      </c>
      <c r="JB35" s="402">
        <f>IF(AND(258&gt;=$NR$35,258&lt;=$NS$35),IF($NP$35="Single_Point",IF(258=$NR$35,$NN$35,0),IF($NP$35="Bell_Curve",$NN$35*(258-$NR$35+1)*($NS$35-258+1)/$NU$35,$NN$35/$NT$35)),0)</f>
        <v/>
      </c>
      <c r="JC35" s="402">
        <f>IF(AND(259&gt;=$NR$35,259&lt;=$NS$35),IF($NP$35="Single_Point",IF(259=$NR$35,$NN$35,0),IF($NP$35="Bell_Curve",$NN$35*(259-$NR$35+1)*($NS$35-259+1)/$NU$35,$NN$35/$NT$35)),0)</f>
        <v/>
      </c>
      <c r="JD35" s="402">
        <f>IF(AND(260&gt;=$NR$35,260&lt;=$NS$35),IF($NP$35="Single_Point",IF(260=$NR$35,$NN$35,0),IF($NP$35="Bell_Curve",$NN$35*(260-$NR$35+1)*($NS$35-260+1)/$NU$35,$NN$35/$NT$35)),0)</f>
        <v/>
      </c>
      <c r="JE35" s="402">
        <f>IF(AND(261&gt;=$NR$35,261&lt;=$NS$35),IF($NP$35="Single_Point",IF(261=$NR$35,$NN$35,0),IF($NP$35="Bell_Curve",$NN$35*(261-$NR$35+1)*($NS$35-261+1)/$NU$35,$NN$35/$NT$35)),0)</f>
        <v/>
      </c>
      <c r="JF35" s="402">
        <f>IF(AND(262&gt;=$NR$35,262&lt;=$NS$35),IF($NP$35="Single_Point",IF(262=$NR$35,$NN$35,0),IF($NP$35="Bell_Curve",$NN$35*(262-$NR$35+1)*($NS$35-262+1)/$NU$35,$NN$35/$NT$35)),0)</f>
        <v/>
      </c>
      <c r="JG35" s="402">
        <f>IF(AND(263&gt;=$NR$35,263&lt;=$NS$35),IF($NP$35="Single_Point",IF(263=$NR$35,$NN$35,0),IF($NP$35="Bell_Curve",$NN$35*(263-$NR$35+1)*($NS$35-263+1)/$NU$35,$NN$35/$NT$35)),0)</f>
        <v/>
      </c>
      <c r="JH35" s="402">
        <f>IF(AND(264&gt;=$NR$35,264&lt;=$NS$35),IF($NP$35="Single_Point",IF(264=$NR$35,$NN$35,0),IF($NP$35="Bell_Curve",$NN$35*(264-$NR$35+1)*($NS$35-264+1)/$NU$35,$NN$35/$NT$35)),0)</f>
        <v/>
      </c>
      <c r="JI35" s="402">
        <f>IF(AND(265&gt;=$NR$35,265&lt;=$NS$35),IF($NP$35="Single_Point",IF(265=$NR$35,$NN$35,0),IF($NP$35="Bell_Curve",$NN$35*(265-$NR$35+1)*($NS$35-265+1)/$NU$35,$NN$35/$NT$35)),0)</f>
        <v/>
      </c>
      <c r="JJ35" s="402">
        <f>IF(AND(266&gt;=$NR$35,266&lt;=$NS$35),IF($NP$35="Single_Point",IF(266=$NR$35,$NN$35,0),IF($NP$35="Bell_Curve",$NN$35*(266-$NR$35+1)*($NS$35-266+1)/$NU$35,$NN$35/$NT$35)),0)</f>
        <v/>
      </c>
      <c r="JK35" s="402">
        <f>IF(AND(267&gt;=$NR$35,267&lt;=$NS$35),IF($NP$35="Single_Point",IF(267=$NR$35,$NN$35,0),IF($NP$35="Bell_Curve",$NN$35*(267-$NR$35+1)*($NS$35-267+1)/$NU$35,$NN$35/$NT$35)),0)</f>
        <v/>
      </c>
      <c r="JL35" s="402">
        <f>IF(AND(268&gt;=$NR$35,268&lt;=$NS$35),IF($NP$35="Single_Point",IF(268=$NR$35,$NN$35,0),IF($NP$35="Bell_Curve",$NN$35*(268-$NR$35+1)*($NS$35-268+1)/$NU$35,$NN$35/$NT$35)),0)</f>
        <v/>
      </c>
      <c r="JM35" s="402">
        <f>IF(AND(269&gt;=$NR$35,269&lt;=$NS$35),IF($NP$35="Single_Point",IF(269=$NR$35,$NN$35,0),IF($NP$35="Bell_Curve",$NN$35*(269-$NR$35+1)*($NS$35-269+1)/$NU$35,$NN$35/$NT$35)),0)</f>
        <v/>
      </c>
      <c r="JN35" s="402">
        <f>IF(AND(270&gt;=$NR$35,270&lt;=$NS$35),IF($NP$35="Single_Point",IF(270=$NR$35,$NN$35,0),IF($NP$35="Bell_Curve",$NN$35*(270-$NR$35+1)*($NS$35-270+1)/$NU$35,$NN$35/$NT$35)),0)</f>
        <v/>
      </c>
      <c r="JO35" s="402">
        <f>IF(AND(271&gt;=$NR$35,271&lt;=$NS$35),IF($NP$35="Single_Point",IF(271=$NR$35,$NN$35,0),IF($NP$35="Bell_Curve",$NN$35*(271-$NR$35+1)*($NS$35-271+1)/$NU$35,$NN$35/$NT$35)),0)</f>
        <v/>
      </c>
      <c r="JP35" s="402">
        <f>IF(AND(272&gt;=$NR$35,272&lt;=$NS$35),IF($NP$35="Single_Point",IF(272=$NR$35,$NN$35,0),IF($NP$35="Bell_Curve",$NN$35*(272-$NR$35+1)*($NS$35-272+1)/$NU$35,$NN$35/$NT$35)),0)</f>
        <v/>
      </c>
      <c r="JQ35" s="402">
        <f>IF(AND(273&gt;=$NR$35,273&lt;=$NS$35),IF($NP$35="Single_Point",IF(273=$NR$35,$NN$35,0),IF($NP$35="Bell_Curve",$NN$35*(273-$NR$35+1)*($NS$35-273+1)/$NU$35,$NN$35/$NT$35)),0)</f>
        <v/>
      </c>
      <c r="JR35" s="402">
        <f>IF(AND(274&gt;=$NR$35,274&lt;=$NS$35),IF($NP$35="Single_Point",IF(274=$NR$35,$NN$35,0),IF($NP$35="Bell_Curve",$NN$35*(274-$NR$35+1)*($NS$35-274+1)/$NU$35,$NN$35/$NT$35)),0)</f>
        <v/>
      </c>
      <c r="JS35" s="402">
        <f>IF(AND(275&gt;=$NR$35,275&lt;=$NS$35),IF($NP$35="Single_Point",IF(275=$NR$35,$NN$35,0),IF($NP$35="Bell_Curve",$NN$35*(275-$NR$35+1)*($NS$35-275+1)/$NU$35,$NN$35/$NT$35)),0)</f>
        <v/>
      </c>
      <c r="JT35" s="402">
        <f>IF(AND(276&gt;=$NR$35,276&lt;=$NS$35),IF($NP$35="Single_Point",IF(276=$NR$35,$NN$35,0),IF($NP$35="Bell_Curve",$NN$35*(276-$NR$35+1)*($NS$35-276+1)/$NU$35,$NN$35/$NT$35)),0)</f>
        <v/>
      </c>
      <c r="JU35" s="402">
        <f>IF(AND(277&gt;=$NR$35,277&lt;=$NS$35),IF($NP$35="Single_Point",IF(277=$NR$35,$NN$35,0),IF($NP$35="Bell_Curve",$NN$35*(277-$NR$35+1)*($NS$35-277+1)/$NU$35,$NN$35/$NT$35)),0)</f>
        <v/>
      </c>
      <c r="JV35" s="402">
        <f>IF(AND(278&gt;=$NR$35,278&lt;=$NS$35),IF($NP$35="Single_Point",IF(278=$NR$35,$NN$35,0),IF($NP$35="Bell_Curve",$NN$35*(278-$NR$35+1)*($NS$35-278+1)/$NU$35,$NN$35/$NT$35)),0)</f>
        <v/>
      </c>
      <c r="JW35" s="402">
        <f>IF(AND(279&gt;=$NR$35,279&lt;=$NS$35),IF($NP$35="Single_Point",IF(279=$NR$35,$NN$35,0),IF($NP$35="Bell_Curve",$NN$35*(279-$NR$35+1)*($NS$35-279+1)/$NU$35,$NN$35/$NT$35)),0)</f>
        <v/>
      </c>
      <c r="JX35" s="402">
        <f>IF(AND(280&gt;=$NR$35,280&lt;=$NS$35),IF($NP$35="Single_Point",IF(280=$NR$35,$NN$35,0),IF($NP$35="Bell_Curve",$NN$35*(280-$NR$35+1)*($NS$35-280+1)/$NU$35,$NN$35/$NT$35)),0)</f>
        <v/>
      </c>
      <c r="JY35" s="402">
        <f>IF(AND(281&gt;=$NR$35,281&lt;=$NS$35),IF($NP$35="Single_Point",IF(281=$NR$35,$NN$35,0),IF($NP$35="Bell_Curve",$NN$35*(281-$NR$35+1)*($NS$35-281+1)/$NU$35,$NN$35/$NT$35)),0)</f>
        <v/>
      </c>
      <c r="JZ35" s="402">
        <f>IF(AND(282&gt;=$NR$35,282&lt;=$NS$35),IF($NP$35="Single_Point",IF(282=$NR$35,$NN$35,0),IF($NP$35="Bell_Curve",$NN$35*(282-$NR$35+1)*($NS$35-282+1)/$NU$35,$NN$35/$NT$35)),0)</f>
        <v/>
      </c>
      <c r="KA35" s="402">
        <f>IF(AND(283&gt;=$NR$35,283&lt;=$NS$35),IF($NP$35="Single_Point",IF(283=$NR$35,$NN$35,0),IF($NP$35="Bell_Curve",$NN$35*(283-$NR$35+1)*($NS$35-283+1)/$NU$35,$NN$35/$NT$35)),0)</f>
        <v/>
      </c>
      <c r="KB35" s="402">
        <f>IF(AND(284&gt;=$NR$35,284&lt;=$NS$35),IF($NP$35="Single_Point",IF(284=$NR$35,$NN$35,0),IF($NP$35="Bell_Curve",$NN$35*(284-$NR$35+1)*($NS$35-284+1)/$NU$35,$NN$35/$NT$35)),0)</f>
        <v/>
      </c>
      <c r="KC35" s="402">
        <f>IF(AND(285&gt;=$NR$35,285&lt;=$NS$35),IF($NP$35="Single_Point",IF(285=$NR$35,$NN$35,0),IF($NP$35="Bell_Curve",$NN$35*(285-$NR$35+1)*($NS$35-285+1)/$NU$35,$NN$35/$NT$35)),0)</f>
        <v/>
      </c>
      <c r="KD35" s="402">
        <f>IF(AND(286&gt;=$NR$35,286&lt;=$NS$35),IF($NP$35="Single_Point",IF(286=$NR$35,$NN$35,0),IF($NP$35="Bell_Curve",$NN$35*(286-$NR$35+1)*($NS$35-286+1)/$NU$35,$NN$35/$NT$35)),0)</f>
        <v/>
      </c>
      <c r="KE35" s="402">
        <f>IF(AND(287&gt;=$NR$35,287&lt;=$NS$35),IF($NP$35="Single_Point",IF(287=$NR$35,$NN$35,0),IF($NP$35="Bell_Curve",$NN$35*(287-$NR$35+1)*($NS$35-287+1)/$NU$35,$NN$35/$NT$35)),0)</f>
        <v/>
      </c>
      <c r="KF35" s="402">
        <f>IF(AND(288&gt;=$NR$35,288&lt;=$NS$35),IF($NP$35="Single_Point",IF(288=$NR$35,$NN$35,0),IF($NP$35="Bell_Curve",$NN$35*(288-$NR$35+1)*($NS$35-288+1)/$NU$35,$NN$35/$NT$35)),0)</f>
        <v/>
      </c>
      <c r="KG35" s="402">
        <f>IF(AND(289&gt;=$NR$35,289&lt;=$NS$35),IF($NP$35="Single_Point",IF(289=$NR$35,$NN$35,0),IF($NP$35="Bell_Curve",$NN$35*(289-$NR$35+1)*($NS$35-289+1)/$NU$35,$NN$35/$NT$35)),0)</f>
        <v/>
      </c>
      <c r="KH35" s="402">
        <f>IF(AND(290&gt;=$NR$35,290&lt;=$NS$35),IF($NP$35="Single_Point",IF(290=$NR$35,$NN$35,0),IF($NP$35="Bell_Curve",$NN$35*(290-$NR$35+1)*($NS$35-290+1)/$NU$35,$NN$35/$NT$35)),0)</f>
        <v/>
      </c>
      <c r="KI35" s="402">
        <f>IF(AND(291&gt;=$NR$35,291&lt;=$NS$35),IF($NP$35="Single_Point",IF(291=$NR$35,$NN$35,0),IF($NP$35="Bell_Curve",$NN$35*(291-$NR$35+1)*($NS$35-291+1)/$NU$35,$NN$35/$NT$35)),0)</f>
        <v/>
      </c>
      <c r="KJ35" s="402">
        <f>IF(AND(292&gt;=$NR$35,292&lt;=$NS$35),IF($NP$35="Single_Point",IF(292=$NR$35,$NN$35,0),IF($NP$35="Bell_Curve",$NN$35*(292-$NR$35+1)*($NS$35-292+1)/$NU$35,$NN$35/$NT$35)),0)</f>
        <v/>
      </c>
      <c r="KK35" s="402">
        <f>IF(AND(293&gt;=$NR$35,293&lt;=$NS$35),IF($NP$35="Single_Point",IF(293=$NR$35,$NN$35,0),IF($NP$35="Bell_Curve",$NN$35*(293-$NR$35+1)*($NS$35-293+1)/$NU$35,$NN$35/$NT$35)),0)</f>
        <v/>
      </c>
      <c r="KL35" s="402">
        <f>IF(AND(294&gt;=$NR$35,294&lt;=$NS$35),IF($NP$35="Single_Point",IF(294=$NR$35,$NN$35,0),IF($NP$35="Bell_Curve",$NN$35*(294-$NR$35+1)*($NS$35-294+1)/$NU$35,$NN$35/$NT$35)),0)</f>
        <v/>
      </c>
      <c r="KM35" s="402">
        <f>IF(AND(295&gt;=$NR$35,295&lt;=$NS$35),IF($NP$35="Single_Point",IF(295=$NR$35,$NN$35,0),IF($NP$35="Bell_Curve",$NN$35*(295-$NR$35+1)*($NS$35-295+1)/$NU$35,$NN$35/$NT$35)),0)</f>
        <v/>
      </c>
      <c r="KN35" s="402">
        <f>IF(AND(296&gt;=$NR$35,296&lt;=$NS$35),IF($NP$35="Single_Point",IF(296=$NR$35,$NN$35,0),IF($NP$35="Bell_Curve",$NN$35*(296-$NR$35+1)*($NS$35-296+1)/$NU$35,$NN$35/$NT$35)),0)</f>
        <v/>
      </c>
      <c r="KO35" s="402">
        <f>IF(AND(297&gt;=$NR$35,297&lt;=$NS$35),IF($NP$35="Single_Point",IF(297=$NR$35,$NN$35,0),IF($NP$35="Bell_Curve",$NN$35*(297-$NR$35+1)*($NS$35-297+1)/$NU$35,$NN$35/$NT$35)),0)</f>
        <v/>
      </c>
      <c r="KP35" s="402">
        <f>IF(AND(298&gt;=$NR$35,298&lt;=$NS$35),IF($NP$35="Single_Point",IF(298=$NR$35,$NN$35,0),IF($NP$35="Bell_Curve",$NN$35*(298-$NR$35+1)*($NS$35-298+1)/$NU$35,$NN$35/$NT$35)),0)</f>
        <v/>
      </c>
      <c r="KQ35" s="402">
        <f>IF(AND(299&gt;=$NR$35,299&lt;=$NS$35),IF($NP$35="Single_Point",IF(299=$NR$35,$NN$35,0),IF($NP$35="Bell_Curve",$NN$35*(299-$NR$35+1)*($NS$35-299+1)/$NU$35,$NN$35/$NT$35)),0)</f>
        <v/>
      </c>
      <c r="KR35" s="402">
        <f>IF(AND(300&gt;=$NR$35,300&lt;=$NS$35),IF($NP$35="Single_Point",IF(300=$NR$35,$NN$35,0),IF($NP$35="Bell_Curve",$NN$35*(300-$NR$35+1)*($NS$35-300+1)/$NU$35,$NN$35/$NT$35)),0)</f>
        <v/>
      </c>
      <c r="KS35" s="402">
        <f>IF(AND(301&gt;=$NR$35,301&lt;=$NS$35),IF($NP$35="Single_Point",IF(301=$NR$35,$NN$35,0),IF($NP$35="Bell_Curve",$NN$35*(301-$NR$35+1)*($NS$35-301+1)/$NU$35,$NN$35/$NT$35)),0)</f>
        <v/>
      </c>
      <c r="KT35" s="402">
        <f>IF(AND(302&gt;=$NR$35,302&lt;=$NS$35),IF($NP$35="Single_Point",IF(302=$NR$35,$NN$35,0),IF($NP$35="Bell_Curve",$NN$35*(302-$NR$35+1)*($NS$35-302+1)/$NU$35,$NN$35/$NT$35)),0)</f>
        <v/>
      </c>
      <c r="KU35" s="402">
        <f>IF(AND(303&gt;=$NR$35,303&lt;=$NS$35),IF($NP$35="Single_Point",IF(303=$NR$35,$NN$35,0),IF($NP$35="Bell_Curve",$NN$35*(303-$NR$35+1)*($NS$35-303+1)/$NU$35,$NN$35/$NT$35)),0)</f>
        <v/>
      </c>
      <c r="KV35" s="402">
        <f>IF(AND(304&gt;=$NR$35,304&lt;=$NS$35),IF($NP$35="Single_Point",IF(304=$NR$35,$NN$35,0),IF($NP$35="Bell_Curve",$NN$35*(304-$NR$35+1)*($NS$35-304+1)/$NU$35,$NN$35/$NT$35)),0)</f>
        <v/>
      </c>
      <c r="KW35" s="402">
        <f>IF(AND(305&gt;=$NR$35,305&lt;=$NS$35),IF($NP$35="Single_Point",IF(305=$NR$35,$NN$35,0),IF($NP$35="Bell_Curve",$NN$35*(305-$NR$35+1)*($NS$35-305+1)/$NU$35,$NN$35/$NT$35)),0)</f>
        <v/>
      </c>
      <c r="KX35" s="402">
        <f>IF(AND(306&gt;=$NR$35,306&lt;=$NS$35),IF($NP$35="Single_Point",IF(306=$NR$35,$NN$35,0),IF($NP$35="Bell_Curve",$NN$35*(306-$NR$35+1)*($NS$35-306+1)/$NU$35,$NN$35/$NT$35)),0)</f>
        <v/>
      </c>
      <c r="KY35" s="402">
        <f>IF(AND(307&gt;=$NR$35,307&lt;=$NS$35),IF($NP$35="Single_Point",IF(307=$NR$35,$NN$35,0),IF($NP$35="Bell_Curve",$NN$35*(307-$NR$35+1)*($NS$35-307+1)/$NU$35,$NN$35/$NT$35)),0)</f>
        <v/>
      </c>
      <c r="KZ35" s="402">
        <f>IF(AND(308&gt;=$NR$35,308&lt;=$NS$35),IF($NP$35="Single_Point",IF(308=$NR$35,$NN$35,0),IF($NP$35="Bell_Curve",$NN$35*(308-$NR$35+1)*($NS$35-308+1)/$NU$35,$NN$35/$NT$35)),0)</f>
        <v/>
      </c>
      <c r="LA35" s="402">
        <f>IF(AND(309&gt;=$NR$35,309&lt;=$NS$35),IF($NP$35="Single_Point",IF(309=$NR$35,$NN$35,0),IF($NP$35="Bell_Curve",$NN$35*(309-$NR$35+1)*($NS$35-309+1)/$NU$35,$NN$35/$NT$35)),0)</f>
        <v/>
      </c>
      <c r="LB35" s="402">
        <f>IF(AND(310&gt;=$NR$35,310&lt;=$NS$35),IF($NP$35="Single_Point",IF(310=$NR$35,$NN$35,0),IF($NP$35="Bell_Curve",$NN$35*(310-$NR$35+1)*($NS$35-310+1)/$NU$35,$NN$35/$NT$35)),0)</f>
        <v/>
      </c>
      <c r="LC35" s="402">
        <f>IF(AND(311&gt;=$NR$35,311&lt;=$NS$35),IF($NP$35="Single_Point",IF(311=$NR$35,$NN$35,0),IF($NP$35="Bell_Curve",$NN$35*(311-$NR$35+1)*($NS$35-311+1)/$NU$35,$NN$35/$NT$35)),0)</f>
        <v/>
      </c>
      <c r="LD35" s="402">
        <f>IF(AND(312&gt;=$NR$35,312&lt;=$NS$35),IF($NP$35="Single_Point",IF(312=$NR$35,$NN$35,0),IF($NP$35="Bell_Curve",$NN$35*(312-$NR$35+1)*($NS$35-312+1)/$NU$35,$NN$35/$NT$35)),0)</f>
        <v/>
      </c>
      <c r="LE35" s="402">
        <f>IF(AND(313&gt;=$NR$35,313&lt;=$NS$35),IF($NP$35="Single_Point",IF(313=$NR$35,$NN$35,0),IF($NP$35="Bell_Curve",$NN$35*(313-$NR$35+1)*($NS$35-313+1)/$NU$35,$NN$35/$NT$35)),0)</f>
        <v/>
      </c>
      <c r="LF35" s="402">
        <f>IF(AND(314&gt;=$NR$35,314&lt;=$NS$35),IF($NP$35="Single_Point",IF(314=$NR$35,$NN$35,0),IF($NP$35="Bell_Curve",$NN$35*(314-$NR$35+1)*($NS$35-314+1)/$NU$35,$NN$35/$NT$35)),0)</f>
        <v/>
      </c>
      <c r="LG35" s="402">
        <f>IF(AND(315&gt;=$NR$35,315&lt;=$NS$35),IF($NP$35="Single_Point",IF(315=$NR$35,$NN$35,0),IF($NP$35="Bell_Curve",$NN$35*(315-$NR$35+1)*($NS$35-315+1)/$NU$35,$NN$35/$NT$35)),0)</f>
        <v/>
      </c>
      <c r="LH35" s="402">
        <f>IF(AND(316&gt;=$NR$35,316&lt;=$NS$35),IF($NP$35="Single_Point",IF(316=$NR$35,$NN$35,0),IF($NP$35="Bell_Curve",$NN$35*(316-$NR$35+1)*($NS$35-316+1)/$NU$35,$NN$35/$NT$35)),0)</f>
        <v/>
      </c>
      <c r="LI35" s="402">
        <f>IF(AND(317&gt;=$NR$35,317&lt;=$NS$35),IF($NP$35="Single_Point",IF(317=$NR$35,$NN$35,0),IF($NP$35="Bell_Curve",$NN$35*(317-$NR$35+1)*($NS$35-317+1)/$NU$35,$NN$35/$NT$35)),0)</f>
        <v/>
      </c>
      <c r="LJ35" s="402">
        <f>IF(AND(318&gt;=$NR$35,318&lt;=$NS$35),IF($NP$35="Single_Point",IF(318=$NR$35,$NN$35,0),IF($NP$35="Bell_Curve",$NN$35*(318-$NR$35+1)*($NS$35-318+1)/$NU$35,$NN$35/$NT$35)),0)</f>
        <v/>
      </c>
      <c r="LK35" s="402">
        <f>IF(AND(319&gt;=$NR$35,319&lt;=$NS$35),IF($NP$35="Single_Point",IF(319=$NR$35,$NN$35,0),IF($NP$35="Bell_Curve",$NN$35*(319-$NR$35+1)*($NS$35-319+1)/$NU$35,$NN$35/$NT$35)),0)</f>
        <v/>
      </c>
      <c r="LL35" s="402">
        <f>IF(AND(320&gt;=$NR$35,320&lt;=$NS$35),IF($NP$35="Single_Point",IF(320=$NR$35,$NN$35,0),IF($NP$35="Bell_Curve",$NN$35*(320-$NR$35+1)*($NS$35-320+1)/$NU$35,$NN$35/$NT$35)),0)</f>
        <v/>
      </c>
      <c r="LM35" s="402">
        <f>IF(AND(321&gt;=$NR$35,321&lt;=$NS$35),IF($NP$35="Single_Point",IF(321=$NR$35,$NN$35,0),IF($NP$35="Bell_Curve",$NN$35*(321-$NR$35+1)*($NS$35-321+1)/$NU$35,$NN$35/$NT$35)),0)</f>
        <v/>
      </c>
      <c r="LN35" s="402">
        <f>IF(AND(322&gt;=$NR$35,322&lt;=$NS$35),IF($NP$35="Single_Point",IF(322=$NR$35,$NN$35,0),IF($NP$35="Bell_Curve",$NN$35*(322-$NR$35+1)*($NS$35-322+1)/$NU$35,$NN$35/$NT$35)),0)</f>
        <v/>
      </c>
      <c r="LO35" s="402">
        <f>IF(AND(323&gt;=$NR$35,323&lt;=$NS$35),IF($NP$35="Single_Point",IF(323=$NR$35,$NN$35,0),IF($NP$35="Bell_Curve",$NN$35*(323-$NR$35+1)*($NS$35-323+1)/$NU$35,$NN$35/$NT$35)),0)</f>
        <v/>
      </c>
      <c r="LP35" s="402">
        <f>IF(AND(324&gt;=$NR$35,324&lt;=$NS$35),IF($NP$35="Single_Point",IF(324=$NR$35,$NN$35,0),IF($NP$35="Bell_Curve",$NN$35*(324-$NR$35+1)*($NS$35-324+1)/$NU$35,$NN$35/$NT$35)),0)</f>
        <v/>
      </c>
      <c r="LQ35" s="402">
        <f>IF(AND(325&gt;=$NR$35,325&lt;=$NS$35),IF($NP$35="Single_Point",IF(325=$NR$35,$NN$35,0),IF($NP$35="Bell_Curve",$NN$35*(325-$NR$35+1)*($NS$35-325+1)/$NU$35,$NN$35/$NT$35)),0)</f>
        <v/>
      </c>
      <c r="LR35" s="402">
        <f>IF(AND(326&gt;=$NR$35,326&lt;=$NS$35),IF($NP$35="Single_Point",IF(326=$NR$35,$NN$35,0),IF($NP$35="Bell_Curve",$NN$35*(326-$NR$35+1)*($NS$35-326+1)/$NU$35,$NN$35/$NT$35)),0)</f>
        <v/>
      </c>
      <c r="LS35" s="402">
        <f>IF(AND(327&gt;=$NR$35,327&lt;=$NS$35),IF($NP$35="Single_Point",IF(327=$NR$35,$NN$35,0),IF($NP$35="Bell_Curve",$NN$35*(327-$NR$35+1)*($NS$35-327+1)/$NU$35,$NN$35/$NT$35)),0)</f>
        <v/>
      </c>
      <c r="LT35" s="402">
        <f>IF(AND(328&gt;=$NR$35,328&lt;=$NS$35),IF($NP$35="Single_Point",IF(328=$NR$35,$NN$35,0),IF($NP$35="Bell_Curve",$NN$35*(328-$NR$35+1)*($NS$35-328+1)/$NU$35,$NN$35/$NT$35)),0)</f>
        <v/>
      </c>
      <c r="LU35" s="402">
        <f>IF(AND(329&gt;=$NR$35,329&lt;=$NS$35),IF($NP$35="Single_Point",IF(329=$NR$35,$NN$35,0),IF($NP$35="Bell_Curve",$NN$35*(329-$NR$35+1)*($NS$35-329+1)/$NU$35,$NN$35/$NT$35)),0)</f>
        <v/>
      </c>
      <c r="LV35" s="402">
        <f>IF(AND(330&gt;=$NR$35,330&lt;=$NS$35),IF($NP$35="Single_Point",IF(330=$NR$35,$NN$35,0),IF($NP$35="Bell_Curve",$NN$35*(330-$NR$35+1)*($NS$35-330+1)/$NU$35,$NN$35/$NT$35)),0)</f>
        <v/>
      </c>
      <c r="LW35" s="402">
        <f>IF(AND(331&gt;=$NR$35,331&lt;=$NS$35),IF($NP$35="Single_Point",IF(331=$NR$35,$NN$35,0),IF($NP$35="Bell_Curve",$NN$35*(331-$NR$35+1)*($NS$35-331+1)/$NU$35,$NN$35/$NT$35)),0)</f>
        <v/>
      </c>
      <c r="LX35" s="402">
        <f>IF(AND(332&gt;=$NR$35,332&lt;=$NS$35),IF($NP$35="Single_Point",IF(332=$NR$35,$NN$35,0),IF($NP$35="Bell_Curve",$NN$35*(332-$NR$35+1)*($NS$35-332+1)/$NU$35,$NN$35/$NT$35)),0)</f>
        <v/>
      </c>
      <c r="LY35" s="402">
        <f>IF(AND(333&gt;=$NR$35,333&lt;=$NS$35),IF($NP$35="Single_Point",IF(333=$NR$35,$NN$35,0),IF($NP$35="Bell_Curve",$NN$35*(333-$NR$35+1)*($NS$35-333+1)/$NU$35,$NN$35/$NT$35)),0)</f>
        <v/>
      </c>
      <c r="LZ35" s="402">
        <f>IF(AND(334&gt;=$NR$35,334&lt;=$NS$35),IF($NP$35="Single_Point",IF(334=$NR$35,$NN$35,0),IF($NP$35="Bell_Curve",$NN$35*(334-$NR$35+1)*($NS$35-334+1)/$NU$35,$NN$35/$NT$35)),0)</f>
        <v/>
      </c>
      <c r="MA35" s="402">
        <f>IF(AND(335&gt;=$NR$35,335&lt;=$NS$35),IF($NP$35="Single_Point",IF(335=$NR$35,$NN$35,0),IF($NP$35="Bell_Curve",$NN$35*(335-$NR$35+1)*($NS$35-335+1)/$NU$35,$NN$35/$NT$35)),0)</f>
        <v/>
      </c>
      <c r="MB35" s="402">
        <f>IF(AND(336&gt;=$NR$35,336&lt;=$NS$35),IF($NP$35="Single_Point",IF(336=$NR$35,$NN$35,0),IF($NP$35="Bell_Curve",$NN$35*(336-$NR$35+1)*($NS$35-336+1)/$NU$35,$NN$35/$NT$35)),0)</f>
        <v/>
      </c>
      <c r="MC35" s="402">
        <f>IF(AND(337&gt;=$NR$35,337&lt;=$NS$35),IF($NP$35="Single_Point",IF(337=$NR$35,$NN$35,0),IF($NP$35="Bell_Curve",$NN$35*(337-$NR$35+1)*($NS$35-337+1)/$NU$35,$NN$35/$NT$35)),0)</f>
        <v/>
      </c>
      <c r="MD35" s="402">
        <f>IF(AND(338&gt;=$NR$35,338&lt;=$NS$35),IF($NP$35="Single_Point",IF(338=$NR$35,$NN$35,0),IF($NP$35="Bell_Curve",$NN$35*(338-$NR$35+1)*($NS$35-338+1)/$NU$35,$NN$35/$NT$35)),0)</f>
        <v/>
      </c>
      <c r="ME35" s="402">
        <f>IF(AND(339&gt;=$NR$35,339&lt;=$NS$35),IF($NP$35="Single_Point",IF(339=$NR$35,$NN$35,0),IF($NP$35="Bell_Curve",$NN$35*(339-$NR$35+1)*($NS$35-339+1)/$NU$35,$NN$35/$NT$35)),0)</f>
        <v/>
      </c>
      <c r="MF35" s="402">
        <f>IF(AND(340&gt;=$NR$35,340&lt;=$NS$35),IF($NP$35="Single_Point",IF(340=$NR$35,$NN$35,0),IF($NP$35="Bell_Curve",$NN$35*(340-$NR$35+1)*($NS$35-340+1)/$NU$35,$NN$35/$NT$35)),0)</f>
        <v/>
      </c>
      <c r="MG35" s="402">
        <f>IF(AND(341&gt;=$NR$35,341&lt;=$NS$35),IF($NP$35="Single_Point",IF(341=$NR$35,$NN$35,0),IF($NP$35="Bell_Curve",$NN$35*(341-$NR$35+1)*($NS$35-341+1)/$NU$35,$NN$35/$NT$35)),0)</f>
        <v/>
      </c>
      <c r="MH35" s="402">
        <f>IF(AND(342&gt;=$NR$35,342&lt;=$NS$35),IF($NP$35="Single_Point",IF(342=$NR$35,$NN$35,0),IF($NP$35="Bell_Curve",$NN$35*(342-$NR$35+1)*($NS$35-342+1)/$NU$35,$NN$35/$NT$35)),0)</f>
        <v/>
      </c>
      <c r="MI35" s="402">
        <f>IF(AND(343&gt;=$NR$35,343&lt;=$NS$35),IF($NP$35="Single_Point",IF(343=$NR$35,$NN$35,0),IF($NP$35="Bell_Curve",$NN$35*(343-$NR$35+1)*($NS$35-343+1)/$NU$35,$NN$35/$NT$35)),0)</f>
        <v/>
      </c>
      <c r="MJ35" s="402">
        <f>IF(AND(344&gt;=$NR$35,344&lt;=$NS$35),IF($NP$35="Single_Point",IF(344=$NR$35,$NN$35,0),IF($NP$35="Bell_Curve",$NN$35*(344-$NR$35+1)*($NS$35-344+1)/$NU$35,$NN$35/$NT$35)),0)</f>
        <v/>
      </c>
      <c r="MK35" s="402">
        <f>IF(AND(345&gt;=$NR$35,345&lt;=$NS$35),IF($NP$35="Single_Point",IF(345=$NR$35,$NN$35,0),IF($NP$35="Bell_Curve",$NN$35*(345-$NR$35+1)*($NS$35-345+1)/$NU$35,$NN$35/$NT$35)),0)</f>
        <v/>
      </c>
      <c r="ML35" s="402">
        <f>IF(AND(346&gt;=$NR$35,346&lt;=$NS$35),IF($NP$35="Single_Point",IF(346=$NR$35,$NN$35,0),IF($NP$35="Bell_Curve",$NN$35*(346-$NR$35+1)*($NS$35-346+1)/$NU$35,$NN$35/$NT$35)),0)</f>
        <v/>
      </c>
      <c r="MM35" s="402">
        <f>IF(AND(347&gt;=$NR$35,347&lt;=$NS$35),IF($NP$35="Single_Point",IF(347=$NR$35,$NN$35,0),IF($NP$35="Bell_Curve",$NN$35*(347-$NR$35+1)*($NS$35-347+1)/$NU$35,$NN$35/$NT$35)),0)</f>
        <v/>
      </c>
      <c r="MN35" s="402">
        <f>IF(AND(348&gt;=$NR$35,348&lt;=$NS$35),IF($NP$35="Single_Point",IF(348=$NR$35,$NN$35,0),IF($NP$35="Bell_Curve",$NN$35*(348-$NR$35+1)*($NS$35-348+1)/$NU$35,$NN$35/$NT$35)),0)</f>
        <v/>
      </c>
      <c r="MO35" s="402">
        <f>IF(AND(349&gt;=$NR$35,349&lt;=$NS$35),IF($NP$35="Single_Point",IF(349=$NR$35,$NN$35,0),IF($NP$35="Bell_Curve",$NN$35*(349-$NR$35+1)*($NS$35-349+1)/$NU$35,$NN$35/$NT$35)),0)</f>
        <v/>
      </c>
      <c r="MP35" s="402">
        <f>IF(AND(350&gt;=$NR$35,350&lt;=$NS$35),IF($NP$35="Single_Point",IF(350=$NR$35,$NN$35,0),IF($NP$35="Bell_Curve",$NN$35*(350-$NR$35+1)*($NS$35-350+1)/$NU$35,$NN$35/$NT$35)),0)</f>
        <v/>
      </c>
      <c r="MQ35" s="402">
        <f>IF(AND(351&gt;=$NR$35,351&lt;=$NS$35),IF($NP$35="Single_Point",IF(351=$NR$35,$NN$35,0),IF($NP$35="Bell_Curve",$NN$35*(351-$NR$35+1)*($NS$35-351+1)/$NU$35,$NN$35/$NT$35)),0)</f>
        <v/>
      </c>
      <c r="MR35" s="402">
        <f>IF(AND(352&gt;=$NR$35,352&lt;=$NS$35),IF($NP$35="Single_Point",IF(352=$NR$35,$NN$35,0),IF($NP$35="Bell_Curve",$NN$35*(352-$NR$35+1)*($NS$35-352+1)/$NU$35,$NN$35/$NT$35)),0)</f>
        <v/>
      </c>
      <c r="MS35" s="402">
        <f>IF(AND(353&gt;=$NR$35,353&lt;=$NS$35),IF($NP$35="Single_Point",IF(353=$NR$35,$NN$35,0),IF($NP$35="Bell_Curve",$NN$35*(353-$NR$35+1)*($NS$35-353+1)/$NU$35,$NN$35/$NT$35)),0)</f>
        <v/>
      </c>
      <c r="MT35" s="402">
        <f>IF(AND(354&gt;=$NR$35,354&lt;=$NS$35),IF($NP$35="Single_Point",IF(354=$NR$35,$NN$35,0),IF($NP$35="Bell_Curve",$NN$35*(354-$NR$35+1)*($NS$35-354+1)/$NU$35,$NN$35/$NT$35)),0)</f>
        <v/>
      </c>
      <c r="MU35" s="402">
        <f>IF(AND(355&gt;=$NR$35,355&lt;=$NS$35),IF($NP$35="Single_Point",IF(355=$NR$35,$NN$35,0),IF($NP$35="Bell_Curve",$NN$35*(355-$NR$35+1)*($NS$35-355+1)/$NU$35,$NN$35/$NT$35)),0)</f>
        <v/>
      </c>
      <c r="MV35" s="402">
        <f>IF(AND(356&gt;=$NR$35,356&lt;=$NS$35),IF($NP$35="Single_Point",IF(356=$NR$35,$NN$35,0),IF($NP$35="Bell_Curve",$NN$35*(356-$NR$35+1)*($NS$35-356+1)/$NU$35,$NN$35/$NT$35)),0)</f>
        <v/>
      </c>
      <c r="MW35" s="402">
        <f>IF(AND(357&gt;=$NR$35,357&lt;=$NS$35),IF($NP$35="Single_Point",IF(357=$NR$35,$NN$35,0),IF($NP$35="Bell_Curve",$NN$35*(357-$NR$35+1)*($NS$35-357+1)/$NU$35,$NN$35/$NT$35)),0)</f>
        <v/>
      </c>
      <c r="MX35" s="402">
        <f>IF(AND(358&gt;=$NR$35,358&lt;=$NS$35),IF($NP$35="Single_Point",IF(358=$NR$35,$NN$35,0),IF($NP$35="Bell_Curve",$NN$35*(358-$NR$35+1)*($NS$35-358+1)/$NU$35,$NN$35/$NT$35)),0)</f>
        <v/>
      </c>
      <c r="MY35" s="402">
        <f>IF(AND(359&gt;=$NR$35,359&lt;=$NS$35),IF($NP$35="Single_Point",IF(359=$NR$35,$NN$35,0),IF($NP$35="Bell_Curve",$NN$35*(359-$NR$35+1)*($NS$35-359+1)/$NU$35,$NN$35/$NT$35)),0)</f>
        <v/>
      </c>
      <c r="MZ35" s="402">
        <f>IF(AND(360&gt;=$NR$35,360&lt;=$NS$35),IF($NP$35="Single_Point",IF(360=$NR$35,$NN$35,0),IF($NP$35="Bell_Curve",$NN$35*(360-$NR$35+1)*($NS$35-360+1)/$NU$35,$NN$35/$NT$35)),0)</f>
        <v/>
      </c>
      <c r="NA35" s="402">
        <f>IF(AND(361&gt;=$NR$35,361&lt;=$NS$35),IF($NP$35="Single_Point",IF(361=$NR$35,$NN$35,0),IF($NP$35="Bell_Curve",$NN$35*(361-$NR$35+1)*($NS$35-361+1)/$NU$35,$NN$35/$NT$35)),0)</f>
        <v/>
      </c>
      <c r="NB35" s="402">
        <f>IF(AND(362&gt;=$NR$35,362&lt;=$NS$35),IF($NP$35="Single_Point",IF(362=$NR$35,$NN$35,0),IF($NP$35="Bell_Curve",$NN$35*(362-$NR$35+1)*($NS$35-362+1)/$NU$35,$NN$35/$NT$35)),0)</f>
        <v/>
      </c>
      <c r="NC35" s="402">
        <f>IF(AND(363&gt;=$NR$35,363&lt;=$NS$35),IF($NP$35="Single_Point",IF(363=$NR$35,$NN$35,0),IF($NP$35="Bell_Curve",$NN$35*(363-$NR$35+1)*($NS$35-363+1)/$NU$35,$NN$35/$NT$35)),0)</f>
        <v/>
      </c>
      <c r="ND35" s="402">
        <f>IF(AND(364&gt;=$NR$35,364&lt;=$NS$35),IF($NP$35="Single_Point",IF(364=$NR$35,$NN$35,0),IF($NP$35="Bell_Curve",$NN$35*(364-$NR$35+1)*($NS$35-364+1)/$NU$35,$NN$35/$NT$35)),0)</f>
        <v/>
      </c>
      <c r="NE35" s="402">
        <f>IF(AND(365&gt;=$NR$35,365&lt;=$NS$35),IF($NP$35="Single_Point",IF(365=$NR$35,$NN$35,0),IF($NP$35="Bell_Curve",$NN$35*(365-$NR$35+1)*($NS$35-365+1)/$NU$35,$NN$35/$NT$35)),0)</f>
        <v/>
      </c>
      <c r="NF35" s="402">
        <f>IF(AND(366&gt;=$NR$35,366&lt;=$NS$35),IF($NP$35="Single_Point",IF(366=$NR$35,$NN$35,0),IF($NP$35="Bell_Curve",$NN$35*(366-$NR$35+1)*($NS$35-366+1)/$NU$35,$NN$35/$NT$35)),0)</f>
        <v/>
      </c>
      <c r="NG35" s="402">
        <f>IF(AND(367&gt;=$NR$35,367&lt;=$NS$35),IF($NP$35="Single_Point",IF(367=$NR$35,$NN$35,0),IF($NP$35="Bell_Curve",$NN$35*(367-$NR$35+1)*($NS$35-367+1)/$NU$35,$NN$35/$NT$35)),0)</f>
        <v/>
      </c>
      <c r="NH35" s="402">
        <f>IF(AND(368&gt;=$NR$35,368&lt;=$NS$35),IF($NP$35="Single_Point",IF(368=$NR$35,$NN$35,0),IF($NP$35="Bell_Curve",$NN$35*(368-$NR$35+1)*($NS$35-368+1)/$NU$35,$NN$35/$NT$35)),0)</f>
        <v/>
      </c>
      <c r="NI35" s="402">
        <f>IF(AND(369&gt;=$NR$35,369&lt;=$NS$35),IF($NP$35="Single_Point",IF(369=$NR$35,$NN$35,0),IF($NP$35="Bell_Curve",$NN$35*(369-$NR$35+1)*($NS$35-369+1)/$NU$35,$NN$35/$NT$35)),0)</f>
        <v/>
      </c>
      <c r="NJ35" s="402">
        <f>IF(AND(370&gt;=$NR$35,370&lt;=$NS$35),IF($NP$35="Single_Point",IF(370=$NR$35,$NN$35,0),IF($NP$35="Bell_Curve",$NN$35*(370-$NR$35+1)*($NS$35-370+1)/$NU$35,$NN$35/$NT$35)),0)</f>
        <v/>
      </c>
      <c r="NK35" s="402">
        <f>IF(AND(371&gt;=$NR$35,371&lt;=$NS$35),IF($NP$35="Single_Point",IF(371=$NR$35,$NN$35,0),IF($NP$35="Bell_Curve",$NN$35*(371-$NR$35+1)*($NS$35-371+1)/$NU$35,$NN$35/$NT$35)),0)</f>
        <v/>
      </c>
      <c r="NL35" s="426">
        <f>IF(AND(372&gt;=$NR$35,372&lt;=$NS$35),IF($NP$35="Single_Point",IF(372=$NR$35,$NN$35,0),IF($NP$35="Bell_Curve",$NN$35*(372-$NR$35+1)*($NS$35-372+1)/$NU$35,$NN$35/$NT$35)),0)</f>
        <v/>
      </c>
      <c r="NM35">
        <f>Budget!C34</f>
        <v/>
      </c>
      <c r="NN35">
        <f>Budget!J34</f>
        <v/>
      </c>
      <c r="NO35">
        <f>Budget!G34</f>
        <v/>
      </c>
      <c r="NP35">
        <f>Budget!H34</f>
        <v/>
      </c>
      <c r="NQ35">
        <f>Budget!I34</f>
        <v/>
      </c>
      <c r="NR35">
        <f>MAX(1,MIN(372,INDEX(MilestoneStart,MATCH(NO35,MilestoneNames,0))+NQ35))</f>
        <v/>
      </c>
      <c r="NS35">
        <f>MAX(NR35,MIN(372,INDEX(MilestoneEnd,MATCH(NO35,MilestoneNames,0))+NQ35))</f>
        <v/>
      </c>
      <c r="NT35">
        <f>NS35-NR35+1</f>
        <v/>
      </c>
      <c r="NU35">
        <f>NT35*(NT35+1)*(NT35+2)/6</f>
        <v/>
      </c>
    </row>
    <row r="36">
      <c r="B36" s="296">
        <f>Budget!B35</f>
        <v/>
      </c>
      <c r="D36" s="425">
        <f>SUM(E36:NL36)</f>
        <v/>
      </c>
      <c r="E36" s="402">
        <f>IF(AND(1&gt;=$NR$36,1&lt;=$NS$36),IF($NP$36="Single_Point",IF(1=$NR$36,$NN$36,0),IF($NP$36="Bell_Curve",$NN$36*(1-$NR$36+1)*($NS$36-1+1)/$NU$36,$NN$36/$NT$36)),0)</f>
        <v/>
      </c>
      <c r="F36" s="402">
        <f>IF(AND(2&gt;=$NR$36,2&lt;=$NS$36),IF($NP$36="Single_Point",IF(2=$NR$36,$NN$36,0),IF($NP$36="Bell_Curve",$NN$36*(2-$NR$36+1)*($NS$36-2+1)/$NU$36,$NN$36/$NT$36)),0)</f>
        <v/>
      </c>
      <c r="G36" s="402">
        <f>IF(AND(3&gt;=$NR$36,3&lt;=$NS$36),IF($NP$36="Single_Point",IF(3=$NR$36,$NN$36,0),IF($NP$36="Bell_Curve",$NN$36*(3-$NR$36+1)*($NS$36-3+1)/$NU$36,$NN$36/$NT$36)),0)</f>
        <v/>
      </c>
      <c r="H36" s="402">
        <f>IF(AND(4&gt;=$NR$36,4&lt;=$NS$36),IF($NP$36="Single_Point",IF(4=$NR$36,$NN$36,0),IF($NP$36="Bell_Curve",$NN$36*(4-$NR$36+1)*($NS$36-4+1)/$NU$36,$NN$36/$NT$36)),0)</f>
        <v/>
      </c>
      <c r="I36" s="402">
        <f>IF(AND(5&gt;=$NR$36,5&lt;=$NS$36),IF($NP$36="Single_Point",IF(5=$NR$36,$NN$36,0),IF($NP$36="Bell_Curve",$NN$36*(5-$NR$36+1)*($NS$36-5+1)/$NU$36,$NN$36/$NT$36)),0)</f>
        <v/>
      </c>
      <c r="J36" s="402">
        <f>IF(AND(6&gt;=$NR$36,6&lt;=$NS$36),IF($NP$36="Single_Point",IF(6=$NR$36,$NN$36,0),IF($NP$36="Bell_Curve",$NN$36*(6-$NR$36+1)*($NS$36-6+1)/$NU$36,$NN$36/$NT$36)),0)</f>
        <v/>
      </c>
      <c r="K36" s="402">
        <f>IF(AND(7&gt;=$NR$36,7&lt;=$NS$36),IF($NP$36="Single_Point",IF(7=$NR$36,$NN$36,0),IF($NP$36="Bell_Curve",$NN$36*(7-$NR$36+1)*($NS$36-7+1)/$NU$36,$NN$36/$NT$36)),0)</f>
        <v/>
      </c>
      <c r="L36" s="402">
        <f>IF(AND(8&gt;=$NR$36,8&lt;=$NS$36),IF($NP$36="Single_Point",IF(8=$NR$36,$NN$36,0),IF($NP$36="Bell_Curve",$NN$36*(8-$NR$36+1)*($NS$36-8+1)/$NU$36,$NN$36/$NT$36)),0)</f>
        <v/>
      </c>
      <c r="M36" s="402">
        <f>IF(AND(9&gt;=$NR$36,9&lt;=$NS$36),IF($NP$36="Single_Point",IF(9=$NR$36,$NN$36,0),IF($NP$36="Bell_Curve",$NN$36*(9-$NR$36+1)*($NS$36-9+1)/$NU$36,$NN$36/$NT$36)),0)</f>
        <v/>
      </c>
      <c r="N36" s="402">
        <f>IF(AND(10&gt;=$NR$36,10&lt;=$NS$36),IF($NP$36="Single_Point",IF(10=$NR$36,$NN$36,0),IF($NP$36="Bell_Curve",$NN$36*(10-$NR$36+1)*($NS$36-10+1)/$NU$36,$NN$36/$NT$36)),0)</f>
        <v/>
      </c>
      <c r="O36" s="402">
        <f>IF(AND(11&gt;=$NR$36,11&lt;=$NS$36),IF($NP$36="Single_Point",IF(11=$NR$36,$NN$36,0),IF($NP$36="Bell_Curve",$NN$36*(11-$NR$36+1)*($NS$36-11+1)/$NU$36,$NN$36/$NT$36)),0)</f>
        <v/>
      </c>
      <c r="P36" s="402">
        <f>IF(AND(12&gt;=$NR$36,12&lt;=$NS$36),IF($NP$36="Single_Point",IF(12=$NR$36,$NN$36,0),IF($NP$36="Bell_Curve",$NN$36*(12-$NR$36+1)*($NS$36-12+1)/$NU$36,$NN$36/$NT$36)),0)</f>
        <v/>
      </c>
      <c r="Q36" s="402">
        <f>IF(AND(13&gt;=$NR$36,13&lt;=$NS$36),IF($NP$36="Single_Point",IF(13=$NR$36,$NN$36,0),IF($NP$36="Bell_Curve",$NN$36*(13-$NR$36+1)*($NS$36-13+1)/$NU$36,$NN$36/$NT$36)),0)</f>
        <v/>
      </c>
      <c r="R36" s="402">
        <f>IF(AND(14&gt;=$NR$36,14&lt;=$NS$36),IF($NP$36="Single_Point",IF(14=$NR$36,$NN$36,0),IF($NP$36="Bell_Curve",$NN$36*(14-$NR$36+1)*($NS$36-14+1)/$NU$36,$NN$36/$NT$36)),0)</f>
        <v/>
      </c>
      <c r="S36" s="402">
        <f>IF(AND(15&gt;=$NR$36,15&lt;=$NS$36),IF($NP$36="Single_Point",IF(15=$NR$36,$NN$36,0),IF($NP$36="Bell_Curve",$NN$36*(15-$NR$36+1)*($NS$36-15+1)/$NU$36,$NN$36/$NT$36)),0)</f>
        <v/>
      </c>
      <c r="T36" s="402">
        <f>IF(AND(16&gt;=$NR$36,16&lt;=$NS$36),IF($NP$36="Single_Point",IF(16=$NR$36,$NN$36,0),IF($NP$36="Bell_Curve",$NN$36*(16-$NR$36+1)*($NS$36-16+1)/$NU$36,$NN$36/$NT$36)),0)</f>
        <v/>
      </c>
      <c r="U36" s="402">
        <f>IF(AND(17&gt;=$NR$36,17&lt;=$NS$36),IF($NP$36="Single_Point",IF(17=$NR$36,$NN$36,0),IF($NP$36="Bell_Curve",$NN$36*(17-$NR$36+1)*($NS$36-17+1)/$NU$36,$NN$36/$NT$36)),0)</f>
        <v/>
      </c>
      <c r="V36" s="402">
        <f>IF(AND(18&gt;=$NR$36,18&lt;=$NS$36),IF($NP$36="Single_Point",IF(18=$NR$36,$NN$36,0),IF($NP$36="Bell_Curve",$NN$36*(18-$NR$36+1)*($NS$36-18+1)/$NU$36,$NN$36/$NT$36)),0)</f>
        <v/>
      </c>
      <c r="W36" s="402">
        <f>IF(AND(19&gt;=$NR$36,19&lt;=$NS$36),IF($NP$36="Single_Point",IF(19=$NR$36,$NN$36,0),IF($NP$36="Bell_Curve",$NN$36*(19-$NR$36+1)*($NS$36-19+1)/$NU$36,$NN$36/$NT$36)),0)</f>
        <v/>
      </c>
      <c r="X36" s="402">
        <f>IF(AND(20&gt;=$NR$36,20&lt;=$NS$36),IF($NP$36="Single_Point",IF(20=$NR$36,$NN$36,0),IF($NP$36="Bell_Curve",$NN$36*(20-$NR$36+1)*($NS$36-20+1)/$NU$36,$NN$36/$NT$36)),0)</f>
        <v/>
      </c>
      <c r="Y36" s="402">
        <f>IF(AND(21&gt;=$NR$36,21&lt;=$NS$36),IF($NP$36="Single_Point",IF(21=$NR$36,$NN$36,0),IF($NP$36="Bell_Curve",$NN$36*(21-$NR$36+1)*($NS$36-21+1)/$NU$36,$NN$36/$NT$36)),0)</f>
        <v/>
      </c>
      <c r="Z36" s="402">
        <f>IF(AND(22&gt;=$NR$36,22&lt;=$NS$36),IF($NP$36="Single_Point",IF(22=$NR$36,$NN$36,0),IF($NP$36="Bell_Curve",$NN$36*(22-$NR$36+1)*($NS$36-22+1)/$NU$36,$NN$36/$NT$36)),0)</f>
        <v/>
      </c>
      <c r="AA36" s="402">
        <f>IF(AND(23&gt;=$NR$36,23&lt;=$NS$36),IF($NP$36="Single_Point",IF(23=$NR$36,$NN$36,0),IF($NP$36="Bell_Curve",$NN$36*(23-$NR$36+1)*($NS$36-23+1)/$NU$36,$NN$36/$NT$36)),0)</f>
        <v/>
      </c>
      <c r="AB36" s="402">
        <f>IF(AND(24&gt;=$NR$36,24&lt;=$NS$36),IF($NP$36="Single_Point",IF(24=$NR$36,$NN$36,0),IF($NP$36="Bell_Curve",$NN$36*(24-$NR$36+1)*($NS$36-24+1)/$NU$36,$NN$36/$NT$36)),0)</f>
        <v/>
      </c>
      <c r="AC36" s="402">
        <f>IF(AND(25&gt;=$NR$36,25&lt;=$NS$36),IF($NP$36="Single_Point",IF(25=$NR$36,$NN$36,0),IF($NP$36="Bell_Curve",$NN$36*(25-$NR$36+1)*($NS$36-25+1)/$NU$36,$NN$36/$NT$36)),0)</f>
        <v/>
      </c>
      <c r="AD36" s="402">
        <f>IF(AND(26&gt;=$NR$36,26&lt;=$NS$36),IF($NP$36="Single_Point",IF(26=$NR$36,$NN$36,0),IF($NP$36="Bell_Curve",$NN$36*(26-$NR$36+1)*($NS$36-26+1)/$NU$36,$NN$36/$NT$36)),0)</f>
        <v/>
      </c>
      <c r="AE36" s="402">
        <f>IF(AND(27&gt;=$NR$36,27&lt;=$NS$36),IF($NP$36="Single_Point",IF(27=$NR$36,$NN$36,0),IF($NP$36="Bell_Curve",$NN$36*(27-$NR$36+1)*($NS$36-27+1)/$NU$36,$NN$36/$NT$36)),0)</f>
        <v/>
      </c>
      <c r="AF36" s="402">
        <f>IF(AND(28&gt;=$NR$36,28&lt;=$NS$36),IF($NP$36="Single_Point",IF(28=$NR$36,$NN$36,0),IF($NP$36="Bell_Curve",$NN$36*(28-$NR$36+1)*($NS$36-28+1)/$NU$36,$NN$36/$NT$36)),0)</f>
        <v/>
      </c>
      <c r="AG36" s="402">
        <f>IF(AND(29&gt;=$NR$36,29&lt;=$NS$36),IF($NP$36="Single_Point",IF(29=$NR$36,$NN$36,0),IF($NP$36="Bell_Curve",$NN$36*(29-$NR$36+1)*($NS$36-29+1)/$NU$36,$NN$36/$NT$36)),0)</f>
        <v/>
      </c>
      <c r="AH36" s="402">
        <f>IF(AND(30&gt;=$NR$36,30&lt;=$NS$36),IF($NP$36="Single_Point",IF(30=$NR$36,$NN$36,0),IF($NP$36="Bell_Curve",$NN$36*(30-$NR$36+1)*($NS$36-30+1)/$NU$36,$NN$36/$NT$36)),0)</f>
        <v/>
      </c>
      <c r="AI36" s="402">
        <f>IF(AND(31&gt;=$NR$36,31&lt;=$NS$36),IF($NP$36="Single_Point",IF(31=$NR$36,$NN$36,0),IF($NP$36="Bell_Curve",$NN$36*(31-$NR$36+1)*($NS$36-31+1)/$NU$36,$NN$36/$NT$36)),0)</f>
        <v/>
      </c>
      <c r="AJ36" s="402">
        <f>IF(AND(32&gt;=$NR$36,32&lt;=$NS$36),IF($NP$36="Single_Point",IF(32=$NR$36,$NN$36,0),IF($NP$36="Bell_Curve",$NN$36*(32-$NR$36+1)*($NS$36-32+1)/$NU$36,$NN$36/$NT$36)),0)</f>
        <v/>
      </c>
      <c r="AK36" s="402">
        <f>IF(AND(33&gt;=$NR$36,33&lt;=$NS$36),IF($NP$36="Single_Point",IF(33=$NR$36,$NN$36,0),IF($NP$36="Bell_Curve",$NN$36*(33-$NR$36+1)*($NS$36-33+1)/$NU$36,$NN$36/$NT$36)),0)</f>
        <v/>
      </c>
      <c r="AL36" s="402">
        <f>IF(AND(34&gt;=$NR$36,34&lt;=$NS$36),IF($NP$36="Single_Point",IF(34=$NR$36,$NN$36,0),IF($NP$36="Bell_Curve",$NN$36*(34-$NR$36+1)*($NS$36-34+1)/$NU$36,$NN$36/$NT$36)),0)</f>
        <v/>
      </c>
      <c r="AM36" s="402">
        <f>IF(AND(35&gt;=$NR$36,35&lt;=$NS$36),IF($NP$36="Single_Point",IF(35=$NR$36,$NN$36,0),IF($NP$36="Bell_Curve",$NN$36*(35-$NR$36+1)*($NS$36-35+1)/$NU$36,$NN$36/$NT$36)),0)</f>
        <v/>
      </c>
      <c r="AN36" s="402">
        <f>IF(AND(36&gt;=$NR$36,36&lt;=$NS$36),IF($NP$36="Single_Point",IF(36=$NR$36,$NN$36,0),IF($NP$36="Bell_Curve",$NN$36*(36-$NR$36+1)*($NS$36-36+1)/$NU$36,$NN$36/$NT$36)),0)</f>
        <v/>
      </c>
      <c r="AO36" s="402">
        <f>IF(AND(37&gt;=$NR$36,37&lt;=$NS$36),IF($NP$36="Single_Point",IF(37=$NR$36,$NN$36,0),IF($NP$36="Bell_Curve",$NN$36*(37-$NR$36+1)*($NS$36-37+1)/$NU$36,$NN$36/$NT$36)),0)</f>
        <v/>
      </c>
      <c r="AP36" s="402">
        <f>IF(AND(38&gt;=$NR$36,38&lt;=$NS$36),IF($NP$36="Single_Point",IF(38=$NR$36,$NN$36,0),IF($NP$36="Bell_Curve",$NN$36*(38-$NR$36+1)*($NS$36-38+1)/$NU$36,$NN$36/$NT$36)),0)</f>
        <v/>
      </c>
      <c r="AQ36" s="402">
        <f>IF(AND(39&gt;=$NR$36,39&lt;=$NS$36),IF($NP$36="Single_Point",IF(39=$NR$36,$NN$36,0),IF($NP$36="Bell_Curve",$NN$36*(39-$NR$36+1)*($NS$36-39+1)/$NU$36,$NN$36/$NT$36)),0)</f>
        <v/>
      </c>
      <c r="AR36" s="402">
        <f>IF(AND(40&gt;=$NR$36,40&lt;=$NS$36),IF($NP$36="Single_Point",IF(40=$NR$36,$NN$36,0),IF($NP$36="Bell_Curve",$NN$36*(40-$NR$36+1)*($NS$36-40+1)/$NU$36,$NN$36/$NT$36)),0)</f>
        <v/>
      </c>
      <c r="AS36" s="402">
        <f>IF(AND(41&gt;=$NR$36,41&lt;=$NS$36),IF($NP$36="Single_Point",IF(41=$NR$36,$NN$36,0),IF($NP$36="Bell_Curve",$NN$36*(41-$NR$36+1)*($NS$36-41+1)/$NU$36,$NN$36/$NT$36)),0)</f>
        <v/>
      </c>
      <c r="AT36" s="402">
        <f>IF(AND(42&gt;=$NR$36,42&lt;=$NS$36),IF($NP$36="Single_Point",IF(42=$NR$36,$NN$36,0),IF($NP$36="Bell_Curve",$NN$36*(42-$NR$36+1)*($NS$36-42+1)/$NU$36,$NN$36/$NT$36)),0)</f>
        <v/>
      </c>
      <c r="AU36" s="402">
        <f>IF(AND(43&gt;=$NR$36,43&lt;=$NS$36),IF($NP$36="Single_Point",IF(43=$NR$36,$NN$36,0),IF($NP$36="Bell_Curve",$NN$36*(43-$NR$36+1)*($NS$36-43+1)/$NU$36,$NN$36/$NT$36)),0)</f>
        <v/>
      </c>
      <c r="AV36" s="402">
        <f>IF(AND(44&gt;=$NR$36,44&lt;=$NS$36),IF($NP$36="Single_Point",IF(44=$NR$36,$NN$36,0),IF($NP$36="Bell_Curve",$NN$36*(44-$NR$36+1)*($NS$36-44+1)/$NU$36,$NN$36/$NT$36)),0)</f>
        <v/>
      </c>
      <c r="AW36" s="402">
        <f>IF(AND(45&gt;=$NR$36,45&lt;=$NS$36),IF($NP$36="Single_Point",IF(45=$NR$36,$NN$36,0),IF($NP$36="Bell_Curve",$NN$36*(45-$NR$36+1)*($NS$36-45+1)/$NU$36,$NN$36/$NT$36)),0)</f>
        <v/>
      </c>
      <c r="AX36" s="402">
        <f>IF(AND(46&gt;=$NR$36,46&lt;=$NS$36),IF($NP$36="Single_Point",IF(46=$NR$36,$NN$36,0),IF($NP$36="Bell_Curve",$NN$36*(46-$NR$36+1)*($NS$36-46+1)/$NU$36,$NN$36/$NT$36)),0)</f>
        <v/>
      </c>
      <c r="AY36" s="402">
        <f>IF(AND(47&gt;=$NR$36,47&lt;=$NS$36),IF($NP$36="Single_Point",IF(47=$NR$36,$NN$36,0),IF($NP$36="Bell_Curve",$NN$36*(47-$NR$36+1)*($NS$36-47+1)/$NU$36,$NN$36/$NT$36)),0)</f>
        <v/>
      </c>
      <c r="AZ36" s="402">
        <f>IF(AND(48&gt;=$NR$36,48&lt;=$NS$36),IF($NP$36="Single_Point",IF(48=$NR$36,$NN$36,0),IF($NP$36="Bell_Curve",$NN$36*(48-$NR$36+1)*($NS$36-48+1)/$NU$36,$NN$36/$NT$36)),0)</f>
        <v/>
      </c>
      <c r="BA36" s="402">
        <f>IF(AND(49&gt;=$NR$36,49&lt;=$NS$36),IF($NP$36="Single_Point",IF(49=$NR$36,$NN$36,0),IF($NP$36="Bell_Curve",$NN$36*(49-$NR$36+1)*($NS$36-49+1)/$NU$36,$NN$36/$NT$36)),0)</f>
        <v/>
      </c>
      <c r="BB36" s="402">
        <f>IF(AND(50&gt;=$NR$36,50&lt;=$NS$36),IF($NP$36="Single_Point",IF(50=$NR$36,$NN$36,0),IF($NP$36="Bell_Curve",$NN$36*(50-$NR$36+1)*($NS$36-50+1)/$NU$36,$NN$36/$NT$36)),0)</f>
        <v/>
      </c>
      <c r="BC36" s="402">
        <f>IF(AND(51&gt;=$NR$36,51&lt;=$NS$36),IF($NP$36="Single_Point",IF(51=$NR$36,$NN$36,0),IF($NP$36="Bell_Curve",$NN$36*(51-$NR$36+1)*($NS$36-51+1)/$NU$36,$NN$36/$NT$36)),0)</f>
        <v/>
      </c>
      <c r="BD36" s="402">
        <f>IF(AND(52&gt;=$NR$36,52&lt;=$NS$36),IF($NP$36="Single_Point",IF(52=$NR$36,$NN$36,0),IF($NP$36="Bell_Curve",$NN$36*(52-$NR$36+1)*($NS$36-52+1)/$NU$36,$NN$36/$NT$36)),0)</f>
        <v/>
      </c>
      <c r="BE36" s="402">
        <f>IF(AND(53&gt;=$NR$36,53&lt;=$NS$36),IF($NP$36="Single_Point",IF(53=$NR$36,$NN$36,0),IF($NP$36="Bell_Curve",$NN$36*(53-$NR$36+1)*($NS$36-53+1)/$NU$36,$NN$36/$NT$36)),0)</f>
        <v/>
      </c>
      <c r="BF36" s="402">
        <f>IF(AND(54&gt;=$NR$36,54&lt;=$NS$36),IF($NP$36="Single_Point",IF(54=$NR$36,$NN$36,0),IF($NP$36="Bell_Curve",$NN$36*(54-$NR$36+1)*($NS$36-54+1)/$NU$36,$NN$36/$NT$36)),0)</f>
        <v/>
      </c>
      <c r="BG36" s="402">
        <f>IF(AND(55&gt;=$NR$36,55&lt;=$NS$36),IF($NP$36="Single_Point",IF(55=$NR$36,$NN$36,0),IF($NP$36="Bell_Curve",$NN$36*(55-$NR$36+1)*($NS$36-55+1)/$NU$36,$NN$36/$NT$36)),0)</f>
        <v/>
      </c>
      <c r="BH36" s="402">
        <f>IF(AND(56&gt;=$NR$36,56&lt;=$NS$36),IF($NP$36="Single_Point",IF(56=$NR$36,$NN$36,0),IF($NP$36="Bell_Curve",$NN$36*(56-$NR$36+1)*($NS$36-56+1)/$NU$36,$NN$36/$NT$36)),0)</f>
        <v/>
      </c>
      <c r="BI36" s="402">
        <f>IF(AND(57&gt;=$NR$36,57&lt;=$NS$36),IF($NP$36="Single_Point",IF(57=$NR$36,$NN$36,0),IF($NP$36="Bell_Curve",$NN$36*(57-$NR$36+1)*($NS$36-57+1)/$NU$36,$NN$36/$NT$36)),0)</f>
        <v/>
      </c>
      <c r="BJ36" s="402">
        <f>IF(AND(58&gt;=$NR$36,58&lt;=$NS$36),IF($NP$36="Single_Point",IF(58=$NR$36,$NN$36,0),IF($NP$36="Bell_Curve",$NN$36*(58-$NR$36+1)*($NS$36-58+1)/$NU$36,$NN$36/$NT$36)),0)</f>
        <v/>
      </c>
      <c r="BK36" s="402">
        <f>IF(AND(59&gt;=$NR$36,59&lt;=$NS$36),IF($NP$36="Single_Point",IF(59=$NR$36,$NN$36,0),IF($NP$36="Bell_Curve",$NN$36*(59-$NR$36+1)*($NS$36-59+1)/$NU$36,$NN$36/$NT$36)),0)</f>
        <v/>
      </c>
      <c r="BL36" s="402">
        <f>IF(AND(60&gt;=$NR$36,60&lt;=$NS$36),IF($NP$36="Single_Point",IF(60=$NR$36,$NN$36,0),IF($NP$36="Bell_Curve",$NN$36*(60-$NR$36+1)*($NS$36-60+1)/$NU$36,$NN$36/$NT$36)),0)</f>
        <v/>
      </c>
      <c r="BM36" s="402">
        <f>IF(AND(61&gt;=$NR$36,61&lt;=$NS$36),IF($NP$36="Single_Point",IF(61=$NR$36,$NN$36,0),IF($NP$36="Bell_Curve",$NN$36*(61-$NR$36+1)*($NS$36-61+1)/$NU$36,$NN$36/$NT$36)),0)</f>
        <v/>
      </c>
      <c r="BN36" s="402">
        <f>IF(AND(62&gt;=$NR$36,62&lt;=$NS$36),IF($NP$36="Single_Point",IF(62=$NR$36,$NN$36,0),IF($NP$36="Bell_Curve",$NN$36*(62-$NR$36+1)*($NS$36-62+1)/$NU$36,$NN$36/$NT$36)),0)</f>
        <v/>
      </c>
      <c r="BO36" s="402">
        <f>IF(AND(63&gt;=$NR$36,63&lt;=$NS$36),IF($NP$36="Single_Point",IF(63=$NR$36,$NN$36,0),IF($NP$36="Bell_Curve",$NN$36*(63-$NR$36+1)*($NS$36-63+1)/$NU$36,$NN$36/$NT$36)),0)</f>
        <v/>
      </c>
      <c r="BP36" s="402">
        <f>IF(AND(64&gt;=$NR$36,64&lt;=$NS$36),IF($NP$36="Single_Point",IF(64=$NR$36,$NN$36,0),IF($NP$36="Bell_Curve",$NN$36*(64-$NR$36+1)*($NS$36-64+1)/$NU$36,$NN$36/$NT$36)),0)</f>
        <v/>
      </c>
      <c r="BQ36" s="402">
        <f>IF(AND(65&gt;=$NR$36,65&lt;=$NS$36),IF($NP$36="Single_Point",IF(65=$NR$36,$NN$36,0),IF($NP$36="Bell_Curve",$NN$36*(65-$NR$36+1)*($NS$36-65+1)/$NU$36,$NN$36/$NT$36)),0)</f>
        <v/>
      </c>
      <c r="BR36" s="402">
        <f>IF(AND(66&gt;=$NR$36,66&lt;=$NS$36),IF($NP$36="Single_Point",IF(66=$NR$36,$NN$36,0),IF($NP$36="Bell_Curve",$NN$36*(66-$NR$36+1)*($NS$36-66+1)/$NU$36,$NN$36/$NT$36)),0)</f>
        <v/>
      </c>
      <c r="BS36" s="402">
        <f>IF(AND(67&gt;=$NR$36,67&lt;=$NS$36),IF($NP$36="Single_Point",IF(67=$NR$36,$NN$36,0),IF($NP$36="Bell_Curve",$NN$36*(67-$NR$36+1)*($NS$36-67+1)/$NU$36,$NN$36/$NT$36)),0)</f>
        <v/>
      </c>
      <c r="BT36" s="402">
        <f>IF(AND(68&gt;=$NR$36,68&lt;=$NS$36),IF($NP$36="Single_Point",IF(68=$NR$36,$NN$36,0),IF($NP$36="Bell_Curve",$NN$36*(68-$NR$36+1)*($NS$36-68+1)/$NU$36,$NN$36/$NT$36)),0)</f>
        <v/>
      </c>
      <c r="BU36" s="402">
        <f>IF(AND(69&gt;=$NR$36,69&lt;=$NS$36),IF($NP$36="Single_Point",IF(69=$NR$36,$NN$36,0),IF($NP$36="Bell_Curve",$NN$36*(69-$NR$36+1)*($NS$36-69+1)/$NU$36,$NN$36/$NT$36)),0)</f>
        <v/>
      </c>
      <c r="BV36" s="402">
        <f>IF(AND(70&gt;=$NR$36,70&lt;=$NS$36),IF($NP$36="Single_Point",IF(70=$NR$36,$NN$36,0),IF($NP$36="Bell_Curve",$NN$36*(70-$NR$36+1)*($NS$36-70+1)/$NU$36,$NN$36/$NT$36)),0)</f>
        <v/>
      </c>
      <c r="BW36" s="402">
        <f>IF(AND(71&gt;=$NR$36,71&lt;=$NS$36),IF($NP$36="Single_Point",IF(71=$NR$36,$NN$36,0),IF($NP$36="Bell_Curve",$NN$36*(71-$NR$36+1)*($NS$36-71+1)/$NU$36,$NN$36/$NT$36)),0)</f>
        <v/>
      </c>
      <c r="BX36" s="402">
        <f>IF(AND(72&gt;=$NR$36,72&lt;=$NS$36),IF($NP$36="Single_Point",IF(72=$NR$36,$NN$36,0),IF($NP$36="Bell_Curve",$NN$36*(72-$NR$36+1)*($NS$36-72+1)/$NU$36,$NN$36/$NT$36)),0)</f>
        <v/>
      </c>
      <c r="BY36" s="402">
        <f>IF(AND(73&gt;=$NR$36,73&lt;=$NS$36),IF($NP$36="Single_Point",IF(73=$NR$36,$NN$36,0),IF($NP$36="Bell_Curve",$NN$36*(73-$NR$36+1)*($NS$36-73+1)/$NU$36,$NN$36/$NT$36)),0)</f>
        <v/>
      </c>
      <c r="BZ36" s="402">
        <f>IF(AND(74&gt;=$NR$36,74&lt;=$NS$36),IF($NP$36="Single_Point",IF(74=$NR$36,$NN$36,0),IF($NP$36="Bell_Curve",$NN$36*(74-$NR$36+1)*($NS$36-74+1)/$NU$36,$NN$36/$NT$36)),0)</f>
        <v/>
      </c>
      <c r="CA36" s="402">
        <f>IF(AND(75&gt;=$NR$36,75&lt;=$NS$36),IF($NP$36="Single_Point",IF(75=$NR$36,$NN$36,0),IF($NP$36="Bell_Curve",$NN$36*(75-$NR$36+1)*($NS$36-75+1)/$NU$36,$NN$36/$NT$36)),0)</f>
        <v/>
      </c>
      <c r="CB36" s="402">
        <f>IF(AND(76&gt;=$NR$36,76&lt;=$NS$36),IF($NP$36="Single_Point",IF(76=$NR$36,$NN$36,0),IF($NP$36="Bell_Curve",$NN$36*(76-$NR$36+1)*($NS$36-76+1)/$NU$36,$NN$36/$NT$36)),0)</f>
        <v/>
      </c>
      <c r="CC36" s="402">
        <f>IF(AND(77&gt;=$NR$36,77&lt;=$NS$36),IF($NP$36="Single_Point",IF(77=$NR$36,$NN$36,0),IF($NP$36="Bell_Curve",$NN$36*(77-$NR$36+1)*($NS$36-77+1)/$NU$36,$NN$36/$NT$36)),0)</f>
        <v/>
      </c>
      <c r="CD36" s="402">
        <f>IF(AND(78&gt;=$NR$36,78&lt;=$NS$36),IF($NP$36="Single_Point",IF(78=$NR$36,$NN$36,0),IF($NP$36="Bell_Curve",$NN$36*(78-$NR$36+1)*($NS$36-78+1)/$NU$36,$NN$36/$NT$36)),0)</f>
        <v/>
      </c>
      <c r="CE36" s="402">
        <f>IF(AND(79&gt;=$NR$36,79&lt;=$NS$36),IF($NP$36="Single_Point",IF(79=$NR$36,$NN$36,0),IF($NP$36="Bell_Curve",$NN$36*(79-$NR$36+1)*($NS$36-79+1)/$NU$36,$NN$36/$NT$36)),0)</f>
        <v/>
      </c>
      <c r="CF36" s="402">
        <f>IF(AND(80&gt;=$NR$36,80&lt;=$NS$36),IF($NP$36="Single_Point",IF(80=$NR$36,$NN$36,0),IF($NP$36="Bell_Curve",$NN$36*(80-$NR$36+1)*($NS$36-80+1)/$NU$36,$NN$36/$NT$36)),0)</f>
        <v/>
      </c>
      <c r="CG36" s="402">
        <f>IF(AND(81&gt;=$NR$36,81&lt;=$NS$36),IF($NP$36="Single_Point",IF(81=$NR$36,$NN$36,0),IF($NP$36="Bell_Curve",$NN$36*(81-$NR$36+1)*($NS$36-81+1)/$NU$36,$NN$36/$NT$36)),0)</f>
        <v/>
      </c>
      <c r="CH36" s="402">
        <f>IF(AND(82&gt;=$NR$36,82&lt;=$NS$36),IF($NP$36="Single_Point",IF(82=$NR$36,$NN$36,0),IF($NP$36="Bell_Curve",$NN$36*(82-$NR$36+1)*($NS$36-82+1)/$NU$36,$NN$36/$NT$36)),0)</f>
        <v/>
      </c>
      <c r="CI36" s="402">
        <f>IF(AND(83&gt;=$NR$36,83&lt;=$NS$36),IF($NP$36="Single_Point",IF(83=$NR$36,$NN$36,0),IF($NP$36="Bell_Curve",$NN$36*(83-$NR$36+1)*($NS$36-83+1)/$NU$36,$NN$36/$NT$36)),0)</f>
        <v/>
      </c>
      <c r="CJ36" s="402">
        <f>IF(AND(84&gt;=$NR$36,84&lt;=$NS$36),IF($NP$36="Single_Point",IF(84=$NR$36,$NN$36,0),IF($NP$36="Bell_Curve",$NN$36*(84-$NR$36+1)*($NS$36-84+1)/$NU$36,$NN$36/$NT$36)),0)</f>
        <v/>
      </c>
      <c r="CK36" s="402">
        <f>IF(AND(85&gt;=$NR$36,85&lt;=$NS$36),IF($NP$36="Single_Point",IF(85=$NR$36,$NN$36,0),IF($NP$36="Bell_Curve",$NN$36*(85-$NR$36+1)*($NS$36-85+1)/$NU$36,$NN$36/$NT$36)),0)</f>
        <v/>
      </c>
      <c r="CL36" s="402">
        <f>IF(AND(86&gt;=$NR$36,86&lt;=$NS$36),IF($NP$36="Single_Point",IF(86=$NR$36,$NN$36,0),IF($NP$36="Bell_Curve",$NN$36*(86-$NR$36+1)*($NS$36-86+1)/$NU$36,$NN$36/$NT$36)),0)</f>
        <v/>
      </c>
      <c r="CM36" s="402">
        <f>IF(AND(87&gt;=$NR$36,87&lt;=$NS$36),IF($NP$36="Single_Point",IF(87=$NR$36,$NN$36,0),IF($NP$36="Bell_Curve",$NN$36*(87-$NR$36+1)*($NS$36-87+1)/$NU$36,$NN$36/$NT$36)),0)</f>
        <v/>
      </c>
      <c r="CN36" s="402">
        <f>IF(AND(88&gt;=$NR$36,88&lt;=$NS$36),IF($NP$36="Single_Point",IF(88=$NR$36,$NN$36,0),IF($NP$36="Bell_Curve",$NN$36*(88-$NR$36+1)*($NS$36-88+1)/$NU$36,$NN$36/$NT$36)),0)</f>
        <v/>
      </c>
      <c r="CO36" s="402">
        <f>IF(AND(89&gt;=$NR$36,89&lt;=$NS$36),IF($NP$36="Single_Point",IF(89=$NR$36,$NN$36,0),IF($NP$36="Bell_Curve",$NN$36*(89-$NR$36+1)*($NS$36-89+1)/$NU$36,$NN$36/$NT$36)),0)</f>
        <v/>
      </c>
      <c r="CP36" s="402">
        <f>IF(AND(90&gt;=$NR$36,90&lt;=$NS$36),IF($NP$36="Single_Point",IF(90=$NR$36,$NN$36,0),IF($NP$36="Bell_Curve",$NN$36*(90-$NR$36+1)*($NS$36-90+1)/$NU$36,$NN$36/$NT$36)),0)</f>
        <v/>
      </c>
      <c r="CQ36" s="402">
        <f>IF(AND(91&gt;=$NR$36,91&lt;=$NS$36),IF($NP$36="Single_Point",IF(91=$NR$36,$NN$36,0),IF($NP$36="Bell_Curve",$NN$36*(91-$NR$36+1)*($NS$36-91+1)/$NU$36,$NN$36/$NT$36)),0)</f>
        <v/>
      </c>
      <c r="CR36" s="402">
        <f>IF(AND(92&gt;=$NR$36,92&lt;=$NS$36),IF($NP$36="Single_Point",IF(92=$NR$36,$NN$36,0),IF($NP$36="Bell_Curve",$NN$36*(92-$NR$36+1)*($NS$36-92+1)/$NU$36,$NN$36/$NT$36)),0)</f>
        <v/>
      </c>
      <c r="CS36" s="402">
        <f>IF(AND(93&gt;=$NR$36,93&lt;=$NS$36),IF($NP$36="Single_Point",IF(93=$NR$36,$NN$36,0),IF($NP$36="Bell_Curve",$NN$36*(93-$NR$36+1)*($NS$36-93+1)/$NU$36,$NN$36/$NT$36)),0)</f>
        <v/>
      </c>
      <c r="CT36" s="402">
        <f>IF(AND(94&gt;=$NR$36,94&lt;=$NS$36),IF($NP$36="Single_Point",IF(94=$NR$36,$NN$36,0),IF($NP$36="Bell_Curve",$NN$36*(94-$NR$36+1)*($NS$36-94+1)/$NU$36,$NN$36/$NT$36)),0)</f>
        <v/>
      </c>
      <c r="CU36" s="402">
        <f>IF(AND(95&gt;=$NR$36,95&lt;=$NS$36),IF($NP$36="Single_Point",IF(95=$NR$36,$NN$36,0),IF($NP$36="Bell_Curve",$NN$36*(95-$NR$36+1)*($NS$36-95+1)/$NU$36,$NN$36/$NT$36)),0)</f>
        <v/>
      </c>
      <c r="CV36" s="402">
        <f>IF(AND(96&gt;=$NR$36,96&lt;=$NS$36),IF($NP$36="Single_Point",IF(96=$NR$36,$NN$36,0),IF($NP$36="Bell_Curve",$NN$36*(96-$NR$36+1)*($NS$36-96+1)/$NU$36,$NN$36/$NT$36)),0)</f>
        <v/>
      </c>
      <c r="CW36" s="402">
        <f>IF(AND(97&gt;=$NR$36,97&lt;=$NS$36),IF($NP$36="Single_Point",IF(97=$NR$36,$NN$36,0),IF($NP$36="Bell_Curve",$NN$36*(97-$NR$36+1)*($NS$36-97+1)/$NU$36,$NN$36/$NT$36)),0)</f>
        <v/>
      </c>
      <c r="CX36" s="402">
        <f>IF(AND(98&gt;=$NR$36,98&lt;=$NS$36),IF($NP$36="Single_Point",IF(98=$NR$36,$NN$36,0),IF($NP$36="Bell_Curve",$NN$36*(98-$NR$36+1)*($NS$36-98+1)/$NU$36,$NN$36/$NT$36)),0)</f>
        <v/>
      </c>
      <c r="CY36" s="402">
        <f>IF(AND(99&gt;=$NR$36,99&lt;=$NS$36),IF($NP$36="Single_Point",IF(99=$NR$36,$NN$36,0),IF($NP$36="Bell_Curve",$NN$36*(99-$NR$36+1)*($NS$36-99+1)/$NU$36,$NN$36/$NT$36)),0)</f>
        <v/>
      </c>
      <c r="CZ36" s="402">
        <f>IF(AND(100&gt;=$NR$36,100&lt;=$NS$36),IF($NP$36="Single_Point",IF(100=$NR$36,$NN$36,0),IF($NP$36="Bell_Curve",$NN$36*(100-$NR$36+1)*($NS$36-100+1)/$NU$36,$NN$36/$NT$36)),0)</f>
        <v/>
      </c>
      <c r="DA36" s="402">
        <f>IF(AND(101&gt;=$NR$36,101&lt;=$NS$36),IF($NP$36="Single_Point",IF(101=$NR$36,$NN$36,0),IF($NP$36="Bell_Curve",$NN$36*(101-$NR$36+1)*($NS$36-101+1)/$NU$36,$NN$36/$NT$36)),0)</f>
        <v/>
      </c>
      <c r="DB36" s="402">
        <f>IF(AND(102&gt;=$NR$36,102&lt;=$NS$36),IF($NP$36="Single_Point",IF(102=$NR$36,$NN$36,0),IF($NP$36="Bell_Curve",$NN$36*(102-$NR$36+1)*($NS$36-102+1)/$NU$36,$NN$36/$NT$36)),0)</f>
        <v/>
      </c>
      <c r="DC36" s="402">
        <f>IF(AND(103&gt;=$NR$36,103&lt;=$NS$36),IF($NP$36="Single_Point",IF(103=$NR$36,$NN$36,0),IF($NP$36="Bell_Curve",$NN$36*(103-$NR$36+1)*($NS$36-103+1)/$NU$36,$NN$36/$NT$36)),0)</f>
        <v/>
      </c>
      <c r="DD36" s="402">
        <f>IF(AND(104&gt;=$NR$36,104&lt;=$NS$36),IF($NP$36="Single_Point",IF(104=$NR$36,$NN$36,0),IF($NP$36="Bell_Curve",$NN$36*(104-$NR$36+1)*($NS$36-104+1)/$NU$36,$NN$36/$NT$36)),0)</f>
        <v/>
      </c>
      <c r="DE36" s="402">
        <f>IF(AND(105&gt;=$NR$36,105&lt;=$NS$36),IF($NP$36="Single_Point",IF(105=$NR$36,$NN$36,0),IF($NP$36="Bell_Curve",$NN$36*(105-$NR$36+1)*($NS$36-105+1)/$NU$36,$NN$36/$NT$36)),0)</f>
        <v/>
      </c>
      <c r="DF36" s="402">
        <f>IF(AND(106&gt;=$NR$36,106&lt;=$NS$36),IF($NP$36="Single_Point",IF(106=$NR$36,$NN$36,0),IF($NP$36="Bell_Curve",$NN$36*(106-$NR$36+1)*($NS$36-106+1)/$NU$36,$NN$36/$NT$36)),0)</f>
        <v/>
      </c>
      <c r="DG36" s="402">
        <f>IF(AND(107&gt;=$NR$36,107&lt;=$NS$36),IF($NP$36="Single_Point",IF(107=$NR$36,$NN$36,0),IF($NP$36="Bell_Curve",$NN$36*(107-$NR$36+1)*($NS$36-107+1)/$NU$36,$NN$36/$NT$36)),0)</f>
        <v/>
      </c>
      <c r="DH36" s="402">
        <f>IF(AND(108&gt;=$NR$36,108&lt;=$NS$36),IF($NP$36="Single_Point",IF(108=$NR$36,$NN$36,0),IF($NP$36="Bell_Curve",$NN$36*(108-$NR$36+1)*($NS$36-108+1)/$NU$36,$NN$36/$NT$36)),0)</f>
        <v/>
      </c>
      <c r="DI36" s="402">
        <f>IF(AND(109&gt;=$NR$36,109&lt;=$NS$36),IF($NP$36="Single_Point",IF(109=$NR$36,$NN$36,0),IF($NP$36="Bell_Curve",$NN$36*(109-$NR$36+1)*($NS$36-109+1)/$NU$36,$NN$36/$NT$36)),0)</f>
        <v/>
      </c>
      <c r="DJ36" s="402">
        <f>IF(AND(110&gt;=$NR$36,110&lt;=$NS$36),IF($NP$36="Single_Point",IF(110=$NR$36,$NN$36,0),IF($NP$36="Bell_Curve",$NN$36*(110-$NR$36+1)*($NS$36-110+1)/$NU$36,$NN$36/$NT$36)),0)</f>
        <v/>
      </c>
      <c r="DK36" s="402">
        <f>IF(AND(111&gt;=$NR$36,111&lt;=$NS$36),IF($NP$36="Single_Point",IF(111=$NR$36,$NN$36,0),IF($NP$36="Bell_Curve",$NN$36*(111-$NR$36+1)*($NS$36-111+1)/$NU$36,$NN$36/$NT$36)),0)</f>
        <v/>
      </c>
      <c r="DL36" s="402">
        <f>IF(AND(112&gt;=$NR$36,112&lt;=$NS$36),IF($NP$36="Single_Point",IF(112=$NR$36,$NN$36,0),IF($NP$36="Bell_Curve",$NN$36*(112-$NR$36+1)*($NS$36-112+1)/$NU$36,$NN$36/$NT$36)),0)</f>
        <v/>
      </c>
      <c r="DM36" s="402">
        <f>IF(AND(113&gt;=$NR$36,113&lt;=$NS$36),IF($NP$36="Single_Point",IF(113=$NR$36,$NN$36,0),IF($NP$36="Bell_Curve",$NN$36*(113-$NR$36+1)*($NS$36-113+1)/$NU$36,$NN$36/$NT$36)),0)</f>
        <v/>
      </c>
      <c r="DN36" s="402">
        <f>IF(AND(114&gt;=$NR$36,114&lt;=$NS$36),IF($NP$36="Single_Point",IF(114=$NR$36,$NN$36,0),IF($NP$36="Bell_Curve",$NN$36*(114-$NR$36+1)*($NS$36-114+1)/$NU$36,$NN$36/$NT$36)),0)</f>
        <v/>
      </c>
      <c r="DO36" s="402">
        <f>IF(AND(115&gt;=$NR$36,115&lt;=$NS$36),IF($NP$36="Single_Point",IF(115=$NR$36,$NN$36,0),IF($NP$36="Bell_Curve",$NN$36*(115-$NR$36+1)*($NS$36-115+1)/$NU$36,$NN$36/$NT$36)),0)</f>
        <v/>
      </c>
      <c r="DP36" s="402">
        <f>IF(AND(116&gt;=$NR$36,116&lt;=$NS$36),IF($NP$36="Single_Point",IF(116=$NR$36,$NN$36,0),IF($NP$36="Bell_Curve",$NN$36*(116-$NR$36+1)*($NS$36-116+1)/$NU$36,$NN$36/$NT$36)),0)</f>
        <v/>
      </c>
      <c r="DQ36" s="402">
        <f>IF(AND(117&gt;=$NR$36,117&lt;=$NS$36),IF($NP$36="Single_Point",IF(117=$NR$36,$NN$36,0),IF($NP$36="Bell_Curve",$NN$36*(117-$NR$36+1)*($NS$36-117+1)/$NU$36,$NN$36/$NT$36)),0)</f>
        <v/>
      </c>
      <c r="DR36" s="402">
        <f>IF(AND(118&gt;=$NR$36,118&lt;=$NS$36),IF($NP$36="Single_Point",IF(118=$NR$36,$NN$36,0),IF($NP$36="Bell_Curve",$NN$36*(118-$NR$36+1)*($NS$36-118+1)/$NU$36,$NN$36/$NT$36)),0)</f>
        <v/>
      </c>
      <c r="DS36" s="402">
        <f>IF(AND(119&gt;=$NR$36,119&lt;=$NS$36),IF($NP$36="Single_Point",IF(119=$NR$36,$NN$36,0),IF($NP$36="Bell_Curve",$NN$36*(119-$NR$36+1)*($NS$36-119+1)/$NU$36,$NN$36/$NT$36)),0)</f>
        <v/>
      </c>
      <c r="DT36" s="402">
        <f>IF(AND(120&gt;=$NR$36,120&lt;=$NS$36),IF($NP$36="Single_Point",IF(120=$NR$36,$NN$36,0),IF($NP$36="Bell_Curve",$NN$36*(120-$NR$36+1)*($NS$36-120+1)/$NU$36,$NN$36/$NT$36)),0)</f>
        <v/>
      </c>
      <c r="DU36" s="402">
        <f>IF(AND(121&gt;=$NR$36,121&lt;=$NS$36),IF($NP$36="Single_Point",IF(121=$NR$36,$NN$36,0),IF($NP$36="Bell_Curve",$NN$36*(121-$NR$36+1)*($NS$36-121+1)/$NU$36,$NN$36/$NT$36)),0)</f>
        <v/>
      </c>
      <c r="DV36" s="402">
        <f>IF(AND(122&gt;=$NR$36,122&lt;=$NS$36),IF($NP$36="Single_Point",IF(122=$NR$36,$NN$36,0),IF($NP$36="Bell_Curve",$NN$36*(122-$NR$36+1)*($NS$36-122+1)/$NU$36,$NN$36/$NT$36)),0)</f>
        <v/>
      </c>
      <c r="DW36" s="402">
        <f>IF(AND(123&gt;=$NR$36,123&lt;=$NS$36),IF($NP$36="Single_Point",IF(123=$NR$36,$NN$36,0),IF($NP$36="Bell_Curve",$NN$36*(123-$NR$36+1)*($NS$36-123+1)/$NU$36,$NN$36/$NT$36)),0)</f>
        <v/>
      </c>
      <c r="DX36" s="402">
        <f>IF(AND(124&gt;=$NR$36,124&lt;=$NS$36),IF($NP$36="Single_Point",IF(124=$NR$36,$NN$36,0),IF($NP$36="Bell_Curve",$NN$36*(124-$NR$36+1)*($NS$36-124+1)/$NU$36,$NN$36/$NT$36)),0)</f>
        <v/>
      </c>
      <c r="DY36" s="402">
        <f>IF(AND(125&gt;=$NR$36,125&lt;=$NS$36),IF($NP$36="Single_Point",IF(125=$NR$36,$NN$36,0),IF($NP$36="Bell_Curve",$NN$36*(125-$NR$36+1)*($NS$36-125+1)/$NU$36,$NN$36/$NT$36)),0)</f>
        <v/>
      </c>
      <c r="DZ36" s="402">
        <f>IF(AND(126&gt;=$NR$36,126&lt;=$NS$36),IF($NP$36="Single_Point",IF(126=$NR$36,$NN$36,0),IF($NP$36="Bell_Curve",$NN$36*(126-$NR$36+1)*($NS$36-126+1)/$NU$36,$NN$36/$NT$36)),0)</f>
        <v/>
      </c>
      <c r="EA36" s="402">
        <f>IF(AND(127&gt;=$NR$36,127&lt;=$NS$36),IF($NP$36="Single_Point",IF(127=$NR$36,$NN$36,0),IF($NP$36="Bell_Curve",$NN$36*(127-$NR$36+1)*($NS$36-127+1)/$NU$36,$NN$36/$NT$36)),0)</f>
        <v/>
      </c>
      <c r="EB36" s="402">
        <f>IF(AND(128&gt;=$NR$36,128&lt;=$NS$36),IF($NP$36="Single_Point",IF(128=$NR$36,$NN$36,0),IF($NP$36="Bell_Curve",$NN$36*(128-$NR$36+1)*($NS$36-128+1)/$NU$36,$NN$36/$NT$36)),0)</f>
        <v/>
      </c>
      <c r="EC36" s="402">
        <f>IF(AND(129&gt;=$NR$36,129&lt;=$NS$36),IF($NP$36="Single_Point",IF(129=$NR$36,$NN$36,0),IF($NP$36="Bell_Curve",$NN$36*(129-$NR$36+1)*($NS$36-129+1)/$NU$36,$NN$36/$NT$36)),0)</f>
        <v/>
      </c>
      <c r="ED36" s="402">
        <f>IF(AND(130&gt;=$NR$36,130&lt;=$NS$36),IF($NP$36="Single_Point",IF(130=$NR$36,$NN$36,0),IF($NP$36="Bell_Curve",$NN$36*(130-$NR$36+1)*($NS$36-130+1)/$NU$36,$NN$36/$NT$36)),0)</f>
        <v/>
      </c>
      <c r="EE36" s="402">
        <f>IF(AND(131&gt;=$NR$36,131&lt;=$NS$36),IF($NP$36="Single_Point",IF(131=$NR$36,$NN$36,0),IF($NP$36="Bell_Curve",$NN$36*(131-$NR$36+1)*($NS$36-131+1)/$NU$36,$NN$36/$NT$36)),0)</f>
        <v/>
      </c>
      <c r="EF36" s="402">
        <f>IF(AND(132&gt;=$NR$36,132&lt;=$NS$36),IF($NP$36="Single_Point",IF(132=$NR$36,$NN$36,0),IF($NP$36="Bell_Curve",$NN$36*(132-$NR$36+1)*($NS$36-132+1)/$NU$36,$NN$36/$NT$36)),0)</f>
        <v/>
      </c>
      <c r="EG36" s="402">
        <f>IF(AND(133&gt;=$NR$36,133&lt;=$NS$36),IF($NP$36="Single_Point",IF(133=$NR$36,$NN$36,0),IF($NP$36="Bell_Curve",$NN$36*(133-$NR$36+1)*($NS$36-133+1)/$NU$36,$NN$36/$NT$36)),0)</f>
        <v/>
      </c>
      <c r="EH36" s="402">
        <f>IF(AND(134&gt;=$NR$36,134&lt;=$NS$36),IF($NP$36="Single_Point",IF(134=$NR$36,$NN$36,0),IF($NP$36="Bell_Curve",$NN$36*(134-$NR$36+1)*($NS$36-134+1)/$NU$36,$NN$36/$NT$36)),0)</f>
        <v/>
      </c>
      <c r="EI36" s="402">
        <f>IF(AND(135&gt;=$NR$36,135&lt;=$NS$36),IF($NP$36="Single_Point",IF(135=$NR$36,$NN$36,0),IF($NP$36="Bell_Curve",$NN$36*(135-$NR$36+1)*($NS$36-135+1)/$NU$36,$NN$36/$NT$36)),0)</f>
        <v/>
      </c>
      <c r="EJ36" s="402">
        <f>IF(AND(136&gt;=$NR$36,136&lt;=$NS$36),IF($NP$36="Single_Point",IF(136=$NR$36,$NN$36,0),IF($NP$36="Bell_Curve",$NN$36*(136-$NR$36+1)*($NS$36-136+1)/$NU$36,$NN$36/$NT$36)),0)</f>
        <v/>
      </c>
      <c r="EK36" s="402">
        <f>IF(AND(137&gt;=$NR$36,137&lt;=$NS$36),IF($NP$36="Single_Point",IF(137=$NR$36,$NN$36,0),IF($NP$36="Bell_Curve",$NN$36*(137-$NR$36+1)*($NS$36-137+1)/$NU$36,$NN$36/$NT$36)),0)</f>
        <v/>
      </c>
      <c r="EL36" s="402">
        <f>IF(AND(138&gt;=$NR$36,138&lt;=$NS$36),IF($NP$36="Single_Point",IF(138=$NR$36,$NN$36,0),IF($NP$36="Bell_Curve",$NN$36*(138-$NR$36+1)*($NS$36-138+1)/$NU$36,$NN$36/$NT$36)),0)</f>
        <v/>
      </c>
      <c r="EM36" s="402">
        <f>IF(AND(139&gt;=$NR$36,139&lt;=$NS$36),IF($NP$36="Single_Point",IF(139=$NR$36,$NN$36,0),IF($NP$36="Bell_Curve",$NN$36*(139-$NR$36+1)*($NS$36-139+1)/$NU$36,$NN$36/$NT$36)),0)</f>
        <v/>
      </c>
      <c r="EN36" s="402">
        <f>IF(AND(140&gt;=$NR$36,140&lt;=$NS$36),IF($NP$36="Single_Point",IF(140=$NR$36,$NN$36,0),IF($NP$36="Bell_Curve",$NN$36*(140-$NR$36+1)*($NS$36-140+1)/$NU$36,$NN$36/$NT$36)),0)</f>
        <v/>
      </c>
      <c r="EO36" s="402">
        <f>IF(AND(141&gt;=$NR$36,141&lt;=$NS$36),IF($NP$36="Single_Point",IF(141=$NR$36,$NN$36,0),IF($NP$36="Bell_Curve",$NN$36*(141-$NR$36+1)*($NS$36-141+1)/$NU$36,$NN$36/$NT$36)),0)</f>
        <v/>
      </c>
      <c r="EP36" s="402">
        <f>IF(AND(142&gt;=$NR$36,142&lt;=$NS$36),IF($NP$36="Single_Point",IF(142=$NR$36,$NN$36,0),IF($NP$36="Bell_Curve",$NN$36*(142-$NR$36+1)*($NS$36-142+1)/$NU$36,$NN$36/$NT$36)),0)</f>
        <v/>
      </c>
      <c r="EQ36" s="402">
        <f>IF(AND(143&gt;=$NR$36,143&lt;=$NS$36),IF($NP$36="Single_Point",IF(143=$NR$36,$NN$36,0),IF($NP$36="Bell_Curve",$NN$36*(143-$NR$36+1)*($NS$36-143+1)/$NU$36,$NN$36/$NT$36)),0)</f>
        <v/>
      </c>
      <c r="ER36" s="402">
        <f>IF(AND(144&gt;=$NR$36,144&lt;=$NS$36),IF($NP$36="Single_Point",IF(144=$NR$36,$NN$36,0),IF($NP$36="Bell_Curve",$NN$36*(144-$NR$36+1)*($NS$36-144+1)/$NU$36,$NN$36/$NT$36)),0)</f>
        <v/>
      </c>
      <c r="ES36" s="402">
        <f>IF(AND(145&gt;=$NR$36,145&lt;=$NS$36),IF($NP$36="Single_Point",IF(145=$NR$36,$NN$36,0),IF($NP$36="Bell_Curve",$NN$36*(145-$NR$36+1)*($NS$36-145+1)/$NU$36,$NN$36/$NT$36)),0)</f>
        <v/>
      </c>
      <c r="ET36" s="402">
        <f>IF(AND(146&gt;=$NR$36,146&lt;=$NS$36),IF($NP$36="Single_Point",IF(146=$NR$36,$NN$36,0),IF($NP$36="Bell_Curve",$NN$36*(146-$NR$36+1)*($NS$36-146+1)/$NU$36,$NN$36/$NT$36)),0)</f>
        <v/>
      </c>
      <c r="EU36" s="402">
        <f>IF(AND(147&gt;=$NR$36,147&lt;=$NS$36),IF($NP$36="Single_Point",IF(147=$NR$36,$NN$36,0),IF($NP$36="Bell_Curve",$NN$36*(147-$NR$36+1)*($NS$36-147+1)/$NU$36,$NN$36/$NT$36)),0)</f>
        <v/>
      </c>
      <c r="EV36" s="402">
        <f>IF(AND(148&gt;=$NR$36,148&lt;=$NS$36),IF($NP$36="Single_Point",IF(148=$NR$36,$NN$36,0),IF($NP$36="Bell_Curve",$NN$36*(148-$NR$36+1)*($NS$36-148+1)/$NU$36,$NN$36/$NT$36)),0)</f>
        <v/>
      </c>
      <c r="EW36" s="402">
        <f>IF(AND(149&gt;=$NR$36,149&lt;=$NS$36),IF($NP$36="Single_Point",IF(149=$NR$36,$NN$36,0),IF($NP$36="Bell_Curve",$NN$36*(149-$NR$36+1)*($NS$36-149+1)/$NU$36,$NN$36/$NT$36)),0)</f>
        <v/>
      </c>
      <c r="EX36" s="402">
        <f>IF(AND(150&gt;=$NR$36,150&lt;=$NS$36),IF($NP$36="Single_Point",IF(150=$NR$36,$NN$36,0),IF($NP$36="Bell_Curve",$NN$36*(150-$NR$36+1)*($NS$36-150+1)/$NU$36,$NN$36/$NT$36)),0)</f>
        <v/>
      </c>
      <c r="EY36" s="402">
        <f>IF(AND(151&gt;=$NR$36,151&lt;=$NS$36),IF($NP$36="Single_Point",IF(151=$NR$36,$NN$36,0),IF($NP$36="Bell_Curve",$NN$36*(151-$NR$36+1)*($NS$36-151+1)/$NU$36,$NN$36/$NT$36)),0)</f>
        <v/>
      </c>
      <c r="EZ36" s="402">
        <f>IF(AND(152&gt;=$NR$36,152&lt;=$NS$36),IF($NP$36="Single_Point",IF(152=$NR$36,$NN$36,0),IF($NP$36="Bell_Curve",$NN$36*(152-$NR$36+1)*($NS$36-152+1)/$NU$36,$NN$36/$NT$36)),0)</f>
        <v/>
      </c>
      <c r="FA36" s="402">
        <f>IF(AND(153&gt;=$NR$36,153&lt;=$NS$36),IF($NP$36="Single_Point",IF(153=$NR$36,$NN$36,0),IF($NP$36="Bell_Curve",$NN$36*(153-$NR$36+1)*($NS$36-153+1)/$NU$36,$NN$36/$NT$36)),0)</f>
        <v/>
      </c>
      <c r="FB36" s="402">
        <f>IF(AND(154&gt;=$NR$36,154&lt;=$NS$36),IF($NP$36="Single_Point",IF(154=$NR$36,$NN$36,0),IF($NP$36="Bell_Curve",$NN$36*(154-$NR$36+1)*($NS$36-154+1)/$NU$36,$NN$36/$NT$36)),0)</f>
        <v/>
      </c>
      <c r="FC36" s="402">
        <f>IF(AND(155&gt;=$NR$36,155&lt;=$NS$36),IF($NP$36="Single_Point",IF(155=$NR$36,$NN$36,0),IF($NP$36="Bell_Curve",$NN$36*(155-$NR$36+1)*($NS$36-155+1)/$NU$36,$NN$36/$NT$36)),0)</f>
        <v/>
      </c>
      <c r="FD36" s="402">
        <f>IF(AND(156&gt;=$NR$36,156&lt;=$NS$36),IF($NP$36="Single_Point",IF(156=$NR$36,$NN$36,0),IF($NP$36="Bell_Curve",$NN$36*(156-$NR$36+1)*($NS$36-156+1)/$NU$36,$NN$36/$NT$36)),0)</f>
        <v/>
      </c>
      <c r="FE36" s="402">
        <f>IF(AND(157&gt;=$NR$36,157&lt;=$NS$36),IF($NP$36="Single_Point",IF(157=$NR$36,$NN$36,0),IF($NP$36="Bell_Curve",$NN$36*(157-$NR$36+1)*($NS$36-157+1)/$NU$36,$NN$36/$NT$36)),0)</f>
        <v/>
      </c>
      <c r="FF36" s="402">
        <f>IF(AND(158&gt;=$NR$36,158&lt;=$NS$36),IF($NP$36="Single_Point",IF(158=$NR$36,$NN$36,0),IF($NP$36="Bell_Curve",$NN$36*(158-$NR$36+1)*($NS$36-158+1)/$NU$36,$NN$36/$NT$36)),0)</f>
        <v/>
      </c>
      <c r="FG36" s="402">
        <f>IF(AND(159&gt;=$NR$36,159&lt;=$NS$36),IF($NP$36="Single_Point",IF(159=$NR$36,$NN$36,0),IF($NP$36="Bell_Curve",$NN$36*(159-$NR$36+1)*($NS$36-159+1)/$NU$36,$NN$36/$NT$36)),0)</f>
        <v/>
      </c>
      <c r="FH36" s="402">
        <f>IF(AND(160&gt;=$NR$36,160&lt;=$NS$36),IF($NP$36="Single_Point",IF(160=$NR$36,$NN$36,0),IF($NP$36="Bell_Curve",$NN$36*(160-$NR$36+1)*($NS$36-160+1)/$NU$36,$NN$36/$NT$36)),0)</f>
        <v/>
      </c>
      <c r="FI36" s="402">
        <f>IF(AND(161&gt;=$NR$36,161&lt;=$NS$36),IF($NP$36="Single_Point",IF(161=$NR$36,$NN$36,0),IF($NP$36="Bell_Curve",$NN$36*(161-$NR$36+1)*($NS$36-161+1)/$NU$36,$NN$36/$NT$36)),0)</f>
        <v/>
      </c>
      <c r="FJ36" s="402">
        <f>IF(AND(162&gt;=$NR$36,162&lt;=$NS$36),IF($NP$36="Single_Point",IF(162=$NR$36,$NN$36,0),IF($NP$36="Bell_Curve",$NN$36*(162-$NR$36+1)*($NS$36-162+1)/$NU$36,$NN$36/$NT$36)),0)</f>
        <v/>
      </c>
      <c r="FK36" s="402">
        <f>IF(AND(163&gt;=$NR$36,163&lt;=$NS$36),IF($NP$36="Single_Point",IF(163=$NR$36,$NN$36,0),IF($NP$36="Bell_Curve",$NN$36*(163-$NR$36+1)*($NS$36-163+1)/$NU$36,$NN$36/$NT$36)),0)</f>
        <v/>
      </c>
      <c r="FL36" s="402">
        <f>IF(AND(164&gt;=$NR$36,164&lt;=$NS$36),IF($NP$36="Single_Point",IF(164=$NR$36,$NN$36,0),IF($NP$36="Bell_Curve",$NN$36*(164-$NR$36+1)*($NS$36-164+1)/$NU$36,$NN$36/$NT$36)),0)</f>
        <v/>
      </c>
      <c r="FM36" s="402">
        <f>IF(AND(165&gt;=$NR$36,165&lt;=$NS$36),IF($NP$36="Single_Point",IF(165=$NR$36,$NN$36,0),IF($NP$36="Bell_Curve",$NN$36*(165-$NR$36+1)*($NS$36-165+1)/$NU$36,$NN$36/$NT$36)),0)</f>
        <v/>
      </c>
      <c r="FN36" s="402">
        <f>IF(AND(166&gt;=$NR$36,166&lt;=$NS$36),IF($NP$36="Single_Point",IF(166=$NR$36,$NN$36,0),IF($NP$36="Bell_Curve",$NN$36*(166-$NR$36+1)*($NS$36-166+1)/$NU$36,$NN$36/$NT$36)),0)</f>
        <v/>
      </c>
      <c r="FO36" s="402">
        <f>IF(AND(167&gt;=$NR$36,167&lt;=$NS$36),IF($NP$36="Single_Point",IF(167=$NR$36,$NN$36,0),IF($NP$36="Bell_Curve",$NN$36*(167-$NR$36+1)*($NS$36-167+1)/$NU$36,$NN$36/$NT$36)),0)</f>
        <v/>
      </c>
      <c r="FP36" s="402">
        <f>IF(AND(168&gt;=$NR$36,168&lt;=$NS$36),IF($NP$36="Single_Point",IF(168=$NR$36,$NN$36,0),IF($NP$36="Bell_Curve",$NN$36*(168-$NR$36+1)*($NS$36-168+1)/$NU$36,$NN$36/$NT$36)),0)</f>
        <v/>
      </c>
      <c r="FQ36" s="402">
        <f>IF(AND(169&gt;=$NR$36,169&lt;=$NS$36),IF($NP$36="Single_Point",IF(169=$NR$36,$NN$36,0),IF($NP$36="Bell_Curve",$NN$36*(169-$NR$36+1)*($NS$36-169+1)/$NU$36,$NN$36/$NT$36)),0)</f>
        <v/>
      </c>
      <c r="FR36" s="402">
        <f>IF(AND(170&gt;=$NR$36,170&lt;=$NS$36),IF($NP$36="Single_Point",IF(170=$NR$36,$NN$36,0),IF($NP$36="Bell_Curve",$NN$36*(170-$NR$36+1)*($NS$36-170+1)/$NU$36,$NN$36/$NT$36)),0)</f>
        <v/>
      </c>
      <c r="FS36" s="402">
        <f>IF(AND(171&gt;=$NR$36,171&lt;=$NS$36),IF($NP$36="Single_Point",IF(171=$NR$36,$NN$36,0),IF($NP$36="Bell_Curve",$NN$36*(171-$NR$36+1)*($NS$36-171+1)/$NU$36,$NN$36/$NT$36)),0)</f>
        <v/>
      </c>
      <c r="FT36" s="402">
        <f>IF(AND(172&gt;=$NR$36,172&lt;=$NS$36),IF($NP$36="Single_Point",IF(172=$NR$36,$NN$36,0),IF($NP$36="Bell_Curve",$NN$36*(172-$NR$36+1)*($NS$36-172+1)/$NU$36,$NN$36/$NT$36)),0)</f>
        <v/>
      </c>
      <c r="FU36" s="402">
        <f>IF(AND(173&gt;=$NR$36,173&lt;=$NS$36),IF($NP$36="Single_Point",IF(173=$NR$36,$NN$36,0),IF($NP$36="Bell_Curve",$NN$36*(173-$NR$36+1)*($NS$36-173+1)/$NU$36,$NN$36/$NT$36)),0)</f>
        <v/>
      </c>
      <c r="FV36" s="402">
        <f>IF(AND(174&gt;=$NR$36,174&lt;=$NS$36),IF($NP$36="Single_Point",IF(174=$NR$36,$NN$36,0),IF($NP$36="Bell_Curve",$NN$36*(174-$NR$36+1)*($NS$36-174+1)/$NU$36,$NN$36/$NT$36)),0)</f>
        <v/>
      </c>
      <c r="FW36" s="402">
        <f>IF(AND(175&gt;=$NR$36,175&lt;=$NS$36),IF($NP$36="Single_Point",IF(175=$NR$36,$NN$36,0),IF($NP$36="Bell_Curve",$NN$36*(175-$NR$36+1)*($NS$36-175+1)/$NU$36,$NN$36/$NT$36)),0)</f>
        <v/>
      </c>
      <c r="FX36" s="402">
        <f>IF(AND(176&gt;=$NR$36,176&lt;=$NS$36),IF($NP$36="Single_Point",IF(176=$NR$36,$NN$36,0),IF($NP$36="Bell_Curve",$NN$36*(176-$NR$36+1)*($NS$36-176+1)/$NU$36,$NN$36/$NT$36)),0)</f>
        <v/>
      </c>
      <c r="FY36" s="402">
        <f>IF(AND(177&gt;=$NR$36,177&lt;=$NS$36),IF($NP$36="Single_Point",IF(177=$NR$36,$NN$36,0),IF($NP$36="Bell_Curve",$NN$36*(177-$NR$36+1)*($NS$36-177+1)/$NU$36,$NN$36/$NT$36)),0)</f>
        <v/>
      </c>
      <c r="FZ36" s="402">
        <f>IF(AND(178&gt;=$NR$36,178&lt;=$NS$36),IF($NP$36="Single_Point",IF(178=$NR$36,$NN$36,0),IF($NP$36="Bell_Curve",$NN$36*(178-$NR$36+1)*($NS$36-178+1)/$NU$36,$NN$36/$NT$36)),0)</f>
        <v/>
      </c>
      <c r="GA36" s="402">
        <f>IF(AND(179&gt;=$NR$36,179&lt;=$NS$36),IF($NP$36="Single_Point",IF(179=$NR$36,$NN$36,0),IF($NP$36="Bell_Curve",$NN$36*(179-$NR$36+1)*($NS$36-179+1)/$NU$36,$NN$36/$NT$36)),0)</f>
        <v/>
      </c>
      <c r="GB36" s="402">
        <f>IF(AND(180&gt;=$NR$36,180&lt;=$NS$36),IF($NP$36="Single_Point",IF(180=$NR$36,$NN$36,0),IF($NP$36="Bell_Curve",$NN$36*(180-$NR$36+1)*($NS$36-180+1)/$NU$36,$NN$36/$NT$36)),0)</f>
        <v/>
      </c>
      <c r="GC36" s="402">
        <f>IF(AND(181&gt;=$NR$36,181&lt;=$NS$36),IF($NP$36="Single_Point",IF(181=$NR$36,$NN$36,0),IF($NP$36="Bell_Curve",$NN$36*(181-$NR$36+1)*($NS$36-181+1)/$NU$36,$NN$36/$NT$36)),0)</f>
        <v/>
      </c>
      <c r="GD36" s="402">
        <f>IF(AND(182&gt;=$NR$36,182&lt;=$NS$36),IF($NP$36="Single_Point",IF(182=$NR$36,$NN$36,0),IF($NP$36="Bell_Curve",$NN$36*(182-$NR$36+1)*($NS$36-182+1)/$NU$36,$NN$36/$NT$36)),0)</f>
        <v/>
      </c>
      <c r="GE36" s="402">
        <f>IF(AND(183&gt;=$NR$36,183&lt;=$NS$36),IF($NP$36="Single_Point",IF(183=$NR$36,$NN$36,0),IF($NP$36="Bell_Curve",$NN$36*(183-$NR$36+1)*($NS$36-183+1)/$NU$36,$NN$36/$NT$36)),0)</f>
        <v/>
      </c>
      <c r="GF36" s="402">
        <f>IF(AND(184&gt;=$NR$36,184&lt;=$NS$36),IF($NP$36="Single_Point",IF(184=$NR$36,$NN$36,0),IF($NP$36="Bell_Curve",$NN$36*(184-$NR$36+1)*($NS$36-184+1)/$NU$36,$NN$36/$NT$36)),0)</f>
        <v/>
      </c>
      <c r="GG36" s="402">
        <f>IF(AND(185&gt;=$NR$36,185&lt;=$NS$36),IF($NP$36="Single_Point",IF(185=$NR$36,$NN$36,0),IF($NP$36="Bell_Curve",$NN$36*(185-$NR$36+1)*($NS$36-185+1)/$NU$36,$NN$36/$NT$36)),0)</f>
        <v/>
      </c>
      <c r="GH36" s="402">
        <f>IF(AND(186&gt;=$NR$36,186&lt;=$NS$36),IF($NP$36="Single_Point",IF(186=$NR$36,$NN$36,0),IF($NP$36="Bell_Curve",$NN$36*(186-$NR$36+1)*($NS$36-186+1)/$NU$36,$NN$36/$NT$36)),0)</f>
        <v/>
      </c>
      <c r="GI36" s="402">
        <f>IF(AND(187&gt;=$NR$36,187&lt;=$NS$36),IF($NP$36="Single_Point",IF(187=$NR$36,$NN$36,0),IF($NP$36="Bell_Curve",$NN$36*(187-$NR$36+1)*($NS$36-187+1)/$NU$36,$NN$36/$NT$36)),0)</f>
        <v/>
      </c>
      <c r="GJ36" s="402">
        <f>IF(AND(188&gt;=$NR$36,188&lt;=$NS$36),IF($NP$36="Single_Point",IF(188=$NR$36,$NN$36,0),IF($NP$36="Bell_Curve",$NN$36*(188-$NR$36+1)*($NS$36-188+1)/$NU$36,$NN$36/$NT$36)),0)</f>
        <v/>
      </c>
      <c r="GK36" s="402">
        <f>IF(AND(189&gt;=$NR$36,189&lt;=$NS$36),IF($NP$36="Single_Point",IF(189=$NR$36,$NN$36,0),IF($NP$36="Bell_Curve",$NN$36*(189-$NR$36+1)*($NS$36-189+1)/$NU$36,$NN$36/$NT$36)),0)</f>
        <v/>
      </c>
      <c r="GL36" s="402">
        <f>IF(AND(190&gt;=$NR$36,190&lt;=$NS$36),IF($NP$36="Single_Point",IF(190=$NR$36,$NN$36,0),IF($NP$36="Bell_Curve",$NN$36*(190-$NR$36+1)*($NS$36-190+1)/$NU$36,$NN$36/$NT$36)),0)</f>
        <v/>
      </c>
      <c r="GM36" s="402">
        <f>IF(AND(191&gt;=$NR$36,191&lt;=$NS$36),IF($NP$36="Single_Point",IF(191=$NR$36,$NN$36,0),IF($NP$36="Bell_Curve",$NN$36*(191-$NR$36+1)*($NS$36-191+1)/$NU$36,$NN$36/$NT$36)),0)</f>
        <v/>
      </c>
      <c r="GN36" s="402">
        <f>IF(AND(192&gt;=$NR$36,192&lt;=$NS$36),IF($NP$36="Single_Point",IF(192=$NR$36,$NN$36,0),IF($NP$36="Bell_Curve",$NN$36*(192-$NR$36+1)*($NS$36-192+1)/$NU$36,$NN$36/$NT$36)),0)</f>
        <v/>
      </c>
      <c r="GO36" s="402">
        <f>IF(AND(193&gt;=$NR$36,193&lt;=$NS$36),IF($NP$36="Single_Point",IF(193=$NR$36,$NN$36,0),IF($NP$36="Bell_Curve",$NN$36*(193-$NR$36+1)*($NS$36-193+1)/$NU$36,$NN$36/$NT$36)),0)</f>
        <v/>
      </c>
      <c r="GP36" s="402">
        <f>IF(AND(194&gt;=$NR$36,194&lt;=$NS$36),IF($NP$36="Single_Point",IF(194=$NR$36,$NN$36,0),IF($NP$36="Bell_Curve",$NN$36*(194-$NR$36+1)*($NS$36-194+1)/$NU$36,$NN$36/$NT$36)),0)</f>
        <v/>
      </c>
      <c r="GQ36" s="402">
        <f>IF(AND(195&gt;=$NR$36,195&lt;=$NS$36),IF($NP$36="Single_Point",IF(195=$NR$36,$NN$36,0),IF($NP$36="Bell_Curve",$NN$36*(195-$NR$36+1)*($NS$36-195+1)/$NU$36,$NN$36/$NT$36)),0)</f>
        <v/>
      </c>
      <c r="GR36" s="402">
        <f>IF(AND(196&gt;=$NR$36,196&lt;=$NS$36),IF($NP$36="Single_Point",IF(196=$NR$36,$NN$36,0),IF($NP$36="Bell_Curve",$NN$36*(196-$NR$36+1)*($NS$36-196+1)/$NU$36,$NN$36/$NT$36)),0)</f>
        <v/>
      </c>
      <c r="GS36" s="402">
        <f>IF(AND(197&gt;=$NR$36,197&lt;=$NS$36),IF($NP$36="Single_Point",IF(197=$NR$36,$NN$36,0),IF($NP$36="Bell_Curve",$NN$36*(197-$NR$36+1)*($NS$36-197+1)/$NU$36,$NN$36/$NT$36)),0)</f>
        <v/>
      </c>
      <c r="GT36" s="402">
        <f>IF(AND(198&gt;=$NR$36,198&lt;=$NS$36),IF($NP$36="Single_Point",IF(198=$NR$36,$NN$36,0),IF($NP$36="Bell_Curve",$NN$36*(198-$NR$36+1)*($NS$36-198+1)/$NU$36,$NN$36/$NT$36)),0)</f>
        <v/>
      </c>
      <c r="GU36" s="402">
        <f>IF(AND(199&gt;=$NR$36,199&lt;=$NS$36),IF($NP$36="Single_Point",IF(199=$NR$36,$NN$36,0),IF($NP$36="Bell_Curve",$NN$36*(199-$NR$36+1)*($NS$36-199+1)/$NU$36,$NN$36/$NT$36)),0)</f>
        <v/>
      </c>
      <c r="GV36" s="402">
        <f>IF(AND(200&gt;=$NR$36,200&lt;=$NS$36),IF($NP$36="Single_Point",IF(200=$NR$36,$NN$36,0),IF($NP$36="Bell_Curve",$NN$36*(200-$NR$36+1)*($NS$36-200+1)/$NU$36,$NN$36/$NT$36)),0)</f>
        <v/>
      </c>
      <c r="GW36" s="402">
        <f>IF(AND(201&gt;=$NR$36,201&lt;=$NS$36),IF($NP$36="Single_Point",IF(201=$NR$36,$NN$36,0),IF($NP$36="Bell_Curve",$NN$36*(201-$NR$36+1)*($NS$36-201+1)/$NU$36,$NN$36/$NT$36)),0)</f>
        <v/>
      </c>
      <c r="GX36" s="402">
        <f>IF(AND(202&gt;=$NR$36,202&lt;=$NS$36),IF($NP$36="Single_Point",IF(202=$NR$36,$NN$36,0),IF($NP$36="Bell_Curve",$NN$36*(202-$NR$36+1)*($NS$36-202+1)/$NU$36,$NN$36/$NT$36)),0)</f>
        <v/>
      </c>
      <c r="GY36" s="402">
        <f>IF(AND(203&gt;=$NR$36,203&lt;=$NS$36),IF($NP$36="Single_Point",IF(203=$NR$36,$NN$36,0),IF($NP$36="Bell_Curve",$NN$36*(203-$NR$36+1)*($NS$36-203+1)/$NU$36,$NN$36/$NT$36)),0)</f>
        <v/>
      </c>
      <c r="GZ36" s="402">
        <f>IF(AND(204&gt;=$NR$36,204&lt;=$NS$36),IF($NP$36="Single_Point",IF(204=$NR$36,$NN$36,0),IF($NP$36="Bell_Curve",$NN$36*(204-$NR$36+1)*($NS$36-204+1)/$NU$36,$NN$36/$NT$36)),0)</f>
        <v/>
      </c>
      <c r="HA36" s="402">
        <f>IF(AND(205&gt;=$NR$36,205&lt;=$NS$36),IF($NP$36="Single_Point",IF(205=$NR$36,$NN$36,0),IF($NP$36="Bell_Curve",$NN$36*(205-$NR$36+1)*($NS$36-205+1)/$NU$36,$NN$36/$NT$36)),0)</f>
        <v/>
      </c>
      <c r="HB36" s="402">
        <f>IF(AND(206&gt;=$NR$36,206&lt;=$NS$36),IF($NP$36="Single_Point",IF(206=$NR$36,$NN$36,0),IF($NP$36="Bell_Curve",$NN$36*(206-$NR$36+1)*($NS$36-206+1)/$NU$36,$NN$36/$NT$36)),0)</f>
        <v/>
      </c>
      <c r="HC36" s="402">
        <f>IF(AND(207&gt;=$NR$36,207&lt;=$NS$36),IF($NP$36="Single_Point",IF(207=$NR$36,$NN$36,0),IF($NP$36="Bell_Curve",$NN$36*(207-$NR$36+1)*($NS$36-207+1)/$NU$36,$NN$36/$NT$36)),0)</f>
        <v/>
      </c>
      <c r="HD36" s="402">
        <f>IF(AND(208&gt;=$NR$36,208&lt;=$NS$36),IF($NP$36="Single_Point",IF(208=$NR$36,$NN$36,0),IF($NP$36="Bell_Curve",$NN$36*(208-$NR$36+1)*($NS$36-208+1)/$NU$36,$NN$36/$NT$36)),0)</f>
        <v/>
      </c>
      <c r="HE36" s="402">
        <f>IF(AND(209&gt;=$NR$36,209&lt;=$NS$36),IF($NP$36="Single_Point",IF(209=$NR$36,$NN$36,0),IF($NP$36="Bell_Curve",$NN$36*(209-$NR$36+1)*($NS$36-209+1)/$NU$36,$NN$36/$NT$36)),0)</f>
        <v/>
      </c>
      <c r="HF36" s="402">
        <f>IF(AND(210&gt;=$NR$36,210&lt;=$NS$36),IF($NP$36="Single_Point",IF(210=$NR$36,$NN$36,0),IF($NP$36="Bell_Curve",$NN$36*(210-$NR$36+1)*($NS$36-210+1)/$NU$36,$NN$36/$NT$36)),0)</f>
        <v/>
      </c>
      <c r="HG36" s="402">
        <f>IF(AND(211&gt;=$NR$36,211&lt;=$NS$36),IF($NP$36="Single_Point",IF(211=$NR$36,$NN$36,0),IF($NP$36="Bell_Curve",$NN$36*(211-$NR$36+1)*($NS$36-211+1)/$NU$36,$NN$36/$NT$36)),0)</f>
        <v/>
      </c>
      <c r="HH36" s="402">
        <f>IF(AND(212&gt;=$NR$36,212&lt;=$NS$36),IF($NP$36="Single_Point",IF(212=$NR$36,$NN$36,0),IF($NP$36="Bell_Curve",$NN$36*(212-$NR$36+1)*($NS$36-212+1)/$NU$36,$NN$36/$NT$36)),0)</f>
        <v/>
      </c>
      <c r="HI36" s="402">
        <f>IF(AND(213&gt;=$NR$36,213&lt;=$NS$36),IF($NP$36="Single_Point",IF(213=$NR$36,$NN$36,0),IF($NP$36="Bell_Curve",$NN$36*(213-$NR$36+1)*($NS$36-213+1)/$NU$36,$NN$36/$NT$36)),0)</f>
        <v/>
      </c>
      <c r="HJ36" s="402">
        <f>IF(AND(214&gt;=$NR$36,214&lt;=$NS$36),IF($NP$36="Single_Point",IF(214=$NR$36,$NN$36,0),IF($NP$36="Bell_Curve",$NN$36*(214-$NR$36+1)*($NS$36-214+1)/$NU$36,$NN$36/$NT$36)),0)</f>
        <v/>
      </c>
      <c r="HK36" s="402">
        <f>IF(AND(215&gt;=$NR$36,215&lt;=$NS$36),IF($NP$36="Single_Point",IF(215=$NR$36,$NN$36,0),IF($NP$36="Bell_Curve",$NN$36*(215-$NR$36+1)*($NS$36-215+1)/$NU$36,$NN$36/$NT$36)),0)</f>
        <v/>
      </c>
      <c r="HL36" s="402">
        <f>IF(AND(216&gt;=$NR$36,216&lt;=$NS$36),IF($NP$36="Single_Point",IF(216=$NR$36,$NN$36,0),IF($NP$36="Bell_Curve",$NN$36*(216-$NR$36+1)*($NS$36-216+1)/$NU$36,$NN$36/$NT$36)),0)</f>
        <v/>
      </c>
      <c r="HM36" s="402">
        <f>IF(AND(217&gt;=$NR$36,217&lt;=$NS$36),IF($NP$36="Single_Point",IF(217=$NR$36,$NN$36,0),IF($NP$36="Bell_Curve",$NN$36*(217-$NR$36+1)*($NS$36-217+1)/$NU$36,$NN$36/$NT$36)),0)</f>
        <v/>
      </c>
      <c r="HN36" s="402">
        <f>IF(AND(218&gt;=$NR$36,218&lt;=$NS$36),IF($NP$36="Single_Point",IF(218=$NR$36,$NN$36,0),IF($NP$36="Bell_Curve",$NN$36*(218-$NR$36+1)*($NS$36-218+1)/$NU$36,$NN$36/$NT$36)),0)</f>
        <v/>
      </c>
      <c r="HO36" s="402">
        <f>IF(AND(219&gt;=$NR$36,219&lt;=$NS$36),IF($NP$36="Single_Point",IF(219=$NR$36,$NN$36,0),IF($NP$36="Bell_Curve",$NN$36*(219-$NR$36+1)*($NS$36-219+1)/$NU$36,$NN$36/$NT$36)),0)</f>
        <v/>
      </c>
      <c r="HP36" s="402">
        <f>IF(AND(220&gt;=$NR$36,220&lt;=$NS$36),IF($NP$36="Single_Point",IF(220=$NR$36,$NN$36,0),IF($NP$36="Bell_Curve",$NN$36*(220-$NR$36+1)*($NS$36-220+1)/$NU$36,$NN$36/$NT$36)),0)</f>
        <v/>
      </c>
      <c r="HQ36" s="402">
        <f>IF(AND(221&gt;=$NR$36,221&lt;=$NS$36),IF($NP$36="Single_Point",IF(221=$NR$36,$NN$36,0),IF($NP$36="Bell_Curve",$NN$36*(221-$NR$36+1)*($NS$36-221+1)/$NU$36,$NN$36/$NT$36)),0)</f>
        <v/>
      </c>
      <c r="HR36" s="402">
        <f>IF(AND(222&gt;=$NR$36,222&lt;=$NS$36),IF($NP$36="Single_Point",IF(222=$NR$36,$NN$36,0),IF($NP$36="Bell_Curve",$NN$36*(222-$NR$36+1)*($NS$36-222+1)/$NU$36,$NN$36/$NT$36)),0)</f>
        <v/>
      </c>
      <c r="HS36" s="402">
        <f>IF(AND(223&gt;=$NR$36,223&lt;=$NS$36),IF($NP$36="Single_Point",IF(223=$NR$36,$NN$36,0),IF($NP$36="Bell_Curve",$NN$36*(223-$NR$36+1)*($NS$36-223+1)/$NU$36,$NN$36/$NT$36)),0)</f>
        <v/>
      </c>
      <c r="HT36" s="402">
        <f>IF(AND(224&gt;=$NR$36,224&lt;=$NS$36),IF($NP$36="Single_Point",IF(224=$NR$36,$NN$36,0),IF($NP$36="Bell_Curve",$NN$36*(224-$NR$36+1)*($NS$36-224+1)/$NU$36,$NN$36/$NT$36)),0)</f>
        <v/>
      </c>
      <c r="HU36" s="402">
        <f>IF(AND(225&gt;=$NR$36,225&lt;=$NS$36),IF($NP$36="Single_Point",IF(225=$NR$36,$NN$36,0),IF($NP$36="Bell_Curve",$NN$36*(225-$NR$36+1)*($NS$36-225+1)/$NU$36,$NN$36/$NT$36)),0)</f>
        <v/>
      </c>
      <c r="HV36" s="402">
        <f>IF(AND(226&gt;=$NR$36,226&lt;=$NS$36),IF($NP$36="Single_Point",IF(226=$NR$36,$NN$36,0),IF($NP$36="Bell_Curve",$NN$36*(226-$NR$36+1)*($NS$36-226+1)/$NU$36,$NN$36/$NT$36)),0)</f>
        <v/>
      </c>
      <c r="HW36" s="402">
        <f>IF(AND(227&gt;=$NR$36,227&lt;=$NS$36),IF($NP$36="Single_Point",IF(227=$NR$36,$NN$36,0),IF($NP$36="Bell_Curve",$NN$36*(227-$NR$36+1)*($NS$36-227+1)/$NU$36,$NN$36/$NT$36)),0)</f>
        <v/>
      </c>
      <c r="HX36" s="402">
        <f>IF(AND(228&gt;=$NR$36,228&lt;=$NS$36),IF($NP$36="Single_Point",IF(228=$NR$36,$NN$36,0),IF($NP$36="Bell_Curve",$NN$36*(228-$NR$36+1)*($NS$36-228+1)/$NU$36,$NN$36/$NT$36)),0)</f>
        <v/>
      </c>
      <c r="HY36" s="402">
        <f>IF(AND(229&gt;=$NR$36,229&lt;=$NS$36),IF($NP$36="Single_Point",IF(229=$NR$36,$NN$36,0),IF($NP$36="Bell_Curve",$NN$36*(229-$NR$36+1)*($NS$36-229+1)/$NU$36,$NN$36/$NT$36)),0)</f>
        <v/>
      </c>
      <c r="HZ36" s="402">
        <f>IF(AND(230&gt;=$NR$36,230&lt;=$NS$36),IF($NP$36="Single_Point",IF(230=$NR$36,$NN$36,0),IF($NP$36="Bell_Curve",$NN$36*(230-$NR$36+1)*($NS$36-230+1)/$NU$36,$NN$36/$NT$36)),0)</f>
        <v/>
      </c>
      <c r="IA36" s="402">
        <f>IF(AND(231&gt;=$NR$36,231&lt;=$NS$36),IF($NP$36="Single_Point",IF(231=$NR$36,$NN$36,0),IF($NP$36="Bell_Curve",$NN$36*(231-$NR$36+1)*($NS$36-231+1)/$NU$36,$NN$36/$NT$36)),0)</f>
        <v/>
      </c>
      <c r="IB36" s="402">
        <f>IF(AND(232&gt;=$NR$36,232&lt;=$NS$36),IF($NP$36="Single_Point",IF(232=$NR$36,$NN$36,0),IF($NP$36="Bell_Curve",$NN$36*(232-$NR$36+1)*($NS$36-232+1)/$NU$36,$NN$36/$NT$36)),0)</f>
        <v/>
      </c>
      <c r="IC36" s="402">
        <f>IF(AND(233&gt;=$NR$36,233&lt;=$NS$36),IF($NP$36="Single_Point",IF(233=$NR$36,$NN$36,0),IF($NP$36="Bell_Curve",$NN$36*(233-$NR$36+1)*($NS$36-233+1)/$NU$36,$NN$36/$NT$36)),0)</f>
        <v/>
      </c>
      <c r="ID36" s="402">
        <f>IF(AND(234&gt;=$NR$36,234&lt;=$NS$36),IF($NP$36="Single_Point",IF(234=$NR$36,$NN$36,0),IF($NP$36="Bell_Curve",$NN$36*(234-$NR$36+1)*($NS$36-234+1)/$NU$36,$NN$36/$NT$36)),0)</f>
        <v/>
      </c>
      <c r="IE36" s="402">
        <f>IF(AND(235&gt;=$NR$36,235&lt;=$NS$36),IF($NP$36="Single_Point",IF(235=$NR$36,$NN$36,0),IF($NP$36="Bell_Curve",$NN$36*(235-$NR$36+1)*($NS$36-235+1)/$NU$36,$NN$36/$NT$36)),0)</f>
        <v/>
      </c>
      <c r="IF36" s="402">
        <f>IF(AND(236&gt;=$NR$36,236&lt;=$NS$36),IF($NP$36="Single_Point",IF(236=$NR$36,$NN$36,0),IF($NP$36="Bell_Curve",$NN$36*(236-$NR$36+1)*($NS$36-236+1)/$NU$36,$NN$36/$NT$36)),0)</f>
        <v/>
      </c>
      <c r="IG36" s="402">
        <f>IF(AND(237&gt;=$NR$36,237&lt;=$NS$36),IF($NP$36="Single_Point",IF(237=$NR$36,$NN$36,0),IF($NP$36="Bell_Curve",$NN$36*(237-$NR$36+1)*($NS$36-237+1)/$NU$36,$NN$36/$NT$36)),0)</f>
        <v/>
      </c>
      <c r="IH36" s="402">
        <f>IF(AND(238&gt;=$NR$36,238&lt;=$NS$36),IF($NP$36="Single_Point",IF(238=$NR$36,$NN$36,0),IF($NP$36="Bell_Curve",$NN$36*(238-$NR$36+1)*($NS$36-238+1)/$NU$36,$NN$36/$NT$36)),0)</f>
        <v/>
      </c>
      <c r="II36" s="402">
        <f>IF(AND(239&gt;=$NR$36,239&lt;=$NS$36),IF($NP$36="Single_Point",IF(239=$NR$36,$NN$36,0),IF($NP$36="Bell_Curve",$NN$36*(239-$NR$36+1)*($NS$36-239+1)/$NU$36,$NN$36/$NT$36)),0)</f>
        <v/>
      </c>
      <c r="IJ36" s="402">
        <f>IF(AND(240&gt;=$NR$36,240&lt;=$NS$36),IF($NP$36="Single_Point",IF(240=$NR$36,$NN$36,0),IF($NP$36="Bell_Curve",$NN$36*(240-$NR$36+1)*($NS$36-240+1)/$NU$36,$NN$36/$NT$36)),0)</f>
        <v/>
      </c>
      <c r="IK36" s="402">
        <f>IF(AND(241&gt;=$NR$36,241&lt;=$NS$36),IF($NP$36="Single_Point",IF(241=$NR$36,$NN$36,0),IF($NP$36="Bell_Curve",$NN$36*(241-$NR$36+1)*($NS$36-241+1)/$NU$36,$NN$36/$NT$36)),0)</f>
        <v/>
      </c>
      <c r="IL36" s="402">
        <f>IF(AND(242&gt;=$NR$36,242&lt;=$NS$36),IF($NP$36="Single_Point",IF(242=$NR$36,$NN$36,0),IF($NP$36="Bell_Curve",$NN$36*(242-$NR$36+1)*($NS$36-242+1)/$NU$36,$NN$36/$NT$36)),0)</f>
        <v/>
      </c>
      <c r="IM36" s="402">
        <f>IF(AND(243&gt;=$NR$36,243&lt;=$NS$36),IF($NP$36="Single_Point",IF(243=$NR$36,$NN$36,0),IF($NP$36="Bell_Curve",$NN$36*(243-$NR$36+1)*($NS$36-243+1)/$NU$36,$NN$36/$NT$36)),0)</f>
        <v/>
      </c>
      <c r="IN36" s="402">
        <f>IF(AND(244&gt;=$NR$36,244&lt;=$NS$36),IF($NP$36="Single_Point",IF(244=$NR$36,$NN$36,0),IF($NP$36="Bell_Curve",$NN$36*(244-$NR$36+1)*($NS$36-244+1)/$NU$36,$NN$36/$NT$36)),0)</f>
        <v/>
      </c>
      <c r="IO36" s="402">
        <f>IF(AND(245&gt;=$NR$36,245&lt;=$NS$36),IF($NP$36="Single_Point",IF(245=$NR$36,$NN$36,0),IF($NP$36="Bell_Curve",$NN$36*(245-$NR$36+1)*($NS$36-245+1)/$NU$36,$NN$36/$NT$36)),0)</f>
        <v/>
      </c>
      <c r="IP36" s="402">
        <f>IF(AND(246&gt;=$NR$36,246&lt;=$NS$36),IF($NP$36="Single_Point",IF(246=$NR$36,$NN$36,0),IF($NP$36="Bell_Curve",$NN$36*(246-$NR$36+1)*($NS$36-246+1)/$NU$36,$NN$36/$NT$36)),0)</f>
        <v/>
      </c>
      <c r="IQ36" s="402">
        <f>IF(AND(247&gt;=$NR$36,247&lt;=$NS$36),IF($NP$36="Single_Point",IF(247=$NR$36,$NN$36,0),IF($NP$36="Bell_Curve",$NN$36*(247-$NR$36+1)*($NS$36-247+1)/$NU$36,$NN$36/$NT$36)),0)</f>
        <v/>
      </c>
      <c r="IR36" s="402">
        <f>IF(AND(248&gt;=$NR$36,248&lt;=$NS$36),IF($NP$36="Single_Point",IF(248=$NR$36,$NN$36,0),IF($NP$36="Bell_Curve",$NN$36*(248-$NR$36+1)*($NS$36-248+1)/$NU$36,$NN$36/$NT$36)),0)</f>
        <v/>
      </c>
      <c r="IS36" s="402">
        <f>IF(AND(249&gt;=$NR$36,249&lt;=$NS$36),IF($NP$36="Single_Point",IF(249=$NR$36,$NN$36,0),IF($NP$36="Bell_Curve",$NN$36*(249-$NR$36+1)*($NS$36-249+1)/$NU$36,$NN$36/$NT$36)),0)</f>
        <v/>
      </c>
      <c r="IT36" s="402">
        <f>IF(AND(250&gt;=$NR$36,250&lt;=$NS$36),IF($NP$36="Single_Point",IF(250=$NR$36,$NN$36,0),IF($NP$36="Bell_Curve",$NN$36*(250-$NR$36+1)*($NS$36-250+1)/$NU$36,$NN$36/$NT$36)),0)</f>
        <v/>
      </c>
      <c r="IU36" s="402">
        <f>IF(AND(251&gt;=$NR$36,251&lt;=$NS$36),IF($NP$36="Single_Point",IF(251=$NR$36,$NN$36,0),IF($NP$36="Bell_Curve",$NN$36*(251-$NR$36+1)*($NS$36-251+1)/$NU$36,$NN$36/$NT$36)),0)</f>
        <v/>
      </c>
      <c r="IV36" s="402">
        <f>IF(AND(252&gt;=$NR$36,252&lt;=$NS$36),IF($NP$36="Single_Point",IF(252=$NR$36,$NN$36,0),IF($NP$36="Bell_Curve",$NN$36*(252-$NR$36+1)*($NS$36-252+1)/$NU$36,$NN$36/$NT$36)),0)</f>
        <v/>
      </c>
      <c r="IW36" s="402">
        <f>IF(AND(253&gt;=$NR$36,253&lt;=$NS$36),IF($NP$36="Single_Point",IF(253=$NR$36,$NN$36,0),IF($NP$36="Bell_Curve",$NN$36*(253-$NR$36+1)*($NS$36-253+1)/$NU$36,$NN$36/$NT$36)),0)</f>
        <v/>
      </c>
      <c r="IX36" s="402">
        <f>IF(AND(254&gt;=$NR$36,254&lt;=$NS$36),IF($NP$36="Single_Point",IF(254=$NR$36,$NN$36,0),IF($NP$36="Bell_Curve",$NN$36*(254-$NR$36+1)*($NS$36-254+1)/$NU$36,$NN$36/$NT$36)),0)</f>
        <v/>
      </c>
      <c r="IY36" s="402">
        <f>IF(AND(255&gt;=$NR$36,255&lt;=$NS$36),IF($NP$36="Single_Point",IF(255=$NR$36,$NN$36,0),IF($NP$36="Bell_Curve",$NN$36*(255-$NR$36+1)*($NS$36-255+1)/$NU$36,$NN$36/$NT$36)),0)</f>
        <v/>
      </c>
      <c r="IZ36" s="402">
        <f>IF(AND(256&gt;=$NR$36,256&lt;=$NS$36),IF($NP$36="Single_Point",IF(256=$NR$36,$NN$36,0),IF($NP$36="Bell_Curve",$NN$36*(256-$NR$36+1)*($NS$36-256+1)/$NU$36,$NN$36/$NT$36)),0)</f>
        <v/>
      </c>
      <c r="JA36" s="402">
        <f>IF(AND(257&gt;=$NR$36,257&lt;=$NS$36),IF($NP$36="Single_Point",IF(257=$NR$36,$NN$36,0),IF($NP$36="Bell_Curve",$NN$36*(257-$NR$36+1)*($NS$36-257+1)/$NU$36,$NN$36/$NT$36)),0)</f>
        <v/>
      </c>
      <c r="JB36" s="402">
        <f>IF(AND(258&gt;=$NR$36,258&lt;=$NS$36),IF($NP$36="Single_Point",IF(258=$NR$36,$NN$36,0),IF($NP$36="Bell_Curve",$NN$36*(258-$NR$36+1)*($NS$36-258+1)/$NU$36,$NN$36/$NT$36)),0)</f>
        <v/>
      </c>
      <c r="JC36" s="402">
        <f>IF(AND(259&gt;=$NR$36,259&lt;=$NS$36),IF($NP$36="Single_Point",IF(259=$NR$36,$NN$36,0),IF($NP$36="Bell_Curve",$NN$36*(259-$NR$36+1)*($NS$36-259+1)/$NU$36,$NN$36/$NT$36)),0)</f>
        <v/>
      </c>
      <c r="JD36" s="402">
        <f>IF(AND(260&gt;=$NR$36,260&lt;=$NS$36),IF($NP$36="Single_Point",IF(260=$NR$36,$NN$36,0),IF($NP$36="Bell_Curve",$NN$36*(260-$NR$36+1)*($NS$36-260+1)/$NU$36,$NN$36/$NT$36)),0)</f>
        <v/>
      </c>
      <c r="JE36" s="402">
        <f>IF(AND(261&gt;=$NR$36,261&lt;=$NS$36),IF($NP$36="Single_Point",IF(261=$NR$36,$NN$36,0),IF($NP$36="Bell_Curve",$NN$36*(261-$NR$36+1)*($NS$36-261+1)/$NU$36,$NN$36/$NT$36)),0)</f>
        <v/>
      </c>
      <c r="JF36" s="402">
        <f>IF(AND(262&gt;=$NR$36,262&lt;=$NS$36),IF($NP$36="Single_Point",IF(262=$NR$36,$NN$36,0),IF($NP$36="Bell_Curve",$NN$36*(262-$NR$36+1)*($NS$36-262+1)/$NU$36,$NN$36/$NT$36)),0)</f>
        <v/>
      </c>
      <c r="JG36" s="402">
        <f>IF(AND(263&gt;=$NR$36,263&lt;=$NS$36),IF($NP$36="Single_Point",IF(263=$NR$36,$NN$36,0),IF($NP$36="Bell_Curve",$NN$36*(263-$NR$36+1)*($NS$36-263+1)/$NU$36,$NN$36/$NT$36)),0)</f>
        <v/>
      </c>
      <c r="JH36" s="402">
        <f>IF(AND(264&gt;=$NR$36,264&lt;=$NS$36),IF($NP$36="Single_Point",IF(264=$NR$36,$NN$36,0),IF($NP$36="Bell_Curve",$NN$36*(264-$NR$36+1)*($NS$36-264+1)/$NU$36,$NN$36/$NT$36)),0)</f>
        <v/>
      </c>
      <c r="JI36" s="402">
        <f>IF(AND(265&gt;=$NR$36,265&lt;=$NS$36),IF($NP$36="Single_Point",IF(265=$NR$36,$NN$36,0),IF($NP$36="Bell_Curve",$NN$36*(265-$NR$36+1)*($NS$36-265+1)/$NU$36,$NN$36/$NT$36)),0)</f>
        <v/>
      </c>
      <c r="JJ36" s="402">
        <f>IF(AND(266&gt;=$NR$36,266&lt;=$NS$36),IF($NP$36="Single_Point",IF(266=$NR$36,$NN$36,0),IF($NP$36="Bell_Curve",$NN$36*(266-$NR$36+1)*($NS$36-266+1)/$NU$36,$NN$36/$NT$36)),0)</f>
        <v/>
      </c>
      <c r="JK36" s="402">
        <f>IF(AND(267&gt;=$NR$36,267&lt;=$NS$36),IF($NP$36="Single_Point",IF(267=$NR$36,$NN$36,0),IF($NP$36="Bell_Curve",$NN$36*(267-$NR$36+1)*($NS$36-267+1)/$NU$36,$NN$36/$NT$36)),0)</f>
        <v/>
      </c>
      <c r="JL36" s="402">
        <f>IF(AND(268&gt;=$NR$36,268&lt;=$NS$36),IF($NP$36="Single_Point",IF(268=$NR$36,$NN$36,0),IF($NP$36="Bell_Curve",$NN$36*(268-$NR$36+1)*($NS$36-268+1)/$NU$36,$NN$36/$NT$36)),0)</f>
        <v/>
      </c>
      <c r="JM36" s="402">
        <f>IF(AND(269&gt;=$NR$36,269&lt;=$NS$36),IF($NP$36="Single_Point",IF(269=$NR$36,$NN$36,0),IF($NP$36="Bell_Curve",$NN$36*(269-$NR$36+1)*($NS$36-269+1)/$NU$36,$NN$36/$NT$36)),0)</f>
        <v/>
      </c>
      <c r="JN36" s="402">
        <f>IF(AND(270&gt;=$NR$36,270&lt;=$NS$36),IF($NP$36="Single_Point",IF(270=$NR$36,$NN$36,0),IF($NP$36="Bell_Curve",$NN$36*(270-$NR$36+1)*($NS$36-270+1)/$NU$36,$NN$36/$NT$36)),0)</f>
        <v/>
      </c>
      <c r="JO36" s="402">
        <f>IF(AND(271&gt;=$NR$36,271&lt;=$NS$36),IF($NP$36="Single_Point",IF(271=$NR$36,$NN$36,0),IF($NP$36="Bell_Curve",$NN$36*(271-$NR$36+1)*($NS$36-271+1)/$NU$36,$NN$36/$NT$36)),0)</f>
        <v/>
      </c>
      <c r="JP36" s="402">
        <f>IF(AND(272&gt;=$NR$36,272&lt;=$NS$36),IF($NP$36="Single_Point",IF(272=$NR$36,$NN$36,0),IF($NP$36="Bell_Curve",$NN$36*(272-$NR$36+1)*($NS$36-272+1)/$NU$36,$NN$36/$NT$36)),0)</f>
        <v/>
      </c>
      <c r="JQ36" s="402">
        <f>IF(AND(273&gt;=$NR$36,273&lt;=$NS$36),IF($NP$36="Single_Point",IF(273=$NR$36,$NN$36,0),IF($NP$36="Bell_Curve",$NN$36*(273-$NR$36+1)*($NS$36-273+1)/$NU$36,$NN$36/$NT$36)),0)</f>
        <v/>
      </c>
      <c r="JR36" s="402">
        <f>IF(AND(274&gt;=$NR$36,274&lt;=$NS$36),IF($NP$36="Single_Point",IF(274=$NR$36,$NN$36,0),IF($NP$36="Bell_Curve",$NN$36*(274-$NR$36+1)*($NS$36-274+1)/$NU$36,$NN$36/$NT$36)),0)</f>
        <v/>
      </c>
      <c r="JS36" s="402">
        <f>IF(AND(275&gt;=$NR$36,275&lt;=$NS$36),IF($NP$36="Single_Point",IF(275=$NR$36,$NN$36,0),IF($NP$36="Bell_Curve",$NN$36*(275-$NR$36+1)*($NS$36-275+1)/$NU$36,$NN$36/$NT$36)),0)</f>
        <v/>
      </c>
      <c r="JT36" s="402">
        <f>IF(AND(276&gt;=$NR$36,276&lt;=$NS$36),IF($NP$36="Single_Point",IF(276=$NR$36,$NN$36,0),IF($NP$36="Bell_Curve",$NN$36*(276-$NR$36+1)*($NS$36-276+1)/$NU$36,$NN$36/$NT$36)),0)</f>
        <v/>
      </c>
      <c r="JU36" s="402">
        <f>IF(AND(277&gt;=$NR$36,277&lt;=$NS$36),IF($NP$36="Single_Point",IF(277=$NR$36,$NN$36,0),IF($NP$36="Bell_Curve",$NN$36*(277-$NR$36+1)*($NS$36-277+1)/$NU$36,$NN$36/$NT$36)),0)</f>
        <v/>
      </c>
      <c r="JV36" s="402">
        <f>IF(AND(278&gt;=$NR$36,278&lt;=$NS$36),IF($NP$36="Single_Point",IF(278=$NR$36,$NN$36,0),IF($NP$36="Bell_Curve",$NN$36*(278-$NR$36+1)*($NS$36-278+1)/$NU$36,$NN$36/$NT$36)),0)</f>
        <v/>
      </c>
      <c r="JW36" s="402">
        <f>IF(AND(279&gt;=$NR$36,279&lt;=$NS$36),IF($NP$36="Single_Point",IF(279=$NR$36,$NN$36,0),IF($NP$36="Bell_Curve",$NN$36*(279-$NR$36+1)*($NS$36-279+1)/$NU$36,$NN$36/$NT$36)),0)</f>
        <v/>
      </c>
      <c r="JX36" s="402">
        <f>IF(AND(280&gt;=$NR$36,280&lt;=$NS$36),IF($NP$36="Single_Point",IF(280=$NR$36,$NN$36,0),IF($NP$36="Bell_Curve",$NN$36*(280-$NR$36+1)*($NS$36-280+1)/$NU$36,$NN$36/$NT$36)),0)</f>
        <v/>
      </c>
      <c r="JY36" s="402">
        <f>IF(AND(281&gt;=$NR$36,281&lt;=$NS$36),IF($NP$36="Single_Point",IF(281=$NR$36,$NN$36,0),IF($NP$36="Bell_Curve",$NN$36*(281-$NR$36+1)*($NS$36-281+1)/$NU$36,$NN$36/$NT$36)),0)</f>
        <v/>
      </c>
      <c r="JZ36" s="402">
        <f>IF(AND(282&gt;=$NR$36,282&lt;=$NS$36),IF($NP$36="Single_Point",IF(282=$NR$36,$NN$36,0),IF($NP$36="Bell_Curve",$NN$36*(282-$NR$36+1)*($NS$36-282+1)/$NU$36,$NN$36/$NT$36)),0)</f>
        <v/>
      </c>
      <c r="KA36" s="402">
        <f>IF(AND(283&gt;=$NR$36,283&lt;=$NS$36),IF($NP$36="Single_Point",IF(283=$NR$36,$NN$36,0),IF($NP$36="Bell_Curve",$NN$36*(283-$NR$36+1)*($NS$36-283+1)/$NU$36,$NN$36/$NT$36)),0)</f>
        <v/>
      </c>
      <c r="KB36" s="402">
        <f>IF(AND(284&gt;=$NR$36,284&lt;=$NS$36),IF($NP$36="Single_Point",IF(284=$NR$36,$NN$36,0),IF($NP$36="Bell_Curve",$NN$36*(284-$NR$36+1)*($NS$36-284+1)/$NU$36,$NN$36/$NT$36)),0)</f>
        <v/>
      </c>
      <c r="KC36" s="402">
        <f>IF(AND(285&gt;=$NR$36,285&lt;=$NS$36),IF($NP$36="Single_Point",IF(285=$NR$36,$NN$36,0),IF($NP$36="Bell_Curve",$NN$36*(285-$NR$36+1)*($NS$36-285+1)/$NU$36,$NN$36/$NT$36)),0)</f>
        <v/>
      </c>
      <c r="KD36" s="402">
        <f>IF(AND(286&gt;=$NR$36,286&lt;=$NS$36),IF($NP$36="Single_Point",IF(286=$NR$36,$NN$36,0),IF($NP$36="Bell_Curve",$NN$36*(286-$NR$36+1)*($NS$36-286+1)/$NU$36,$NN$36/$NT$36)),0)</f>
        <v/>
      </c>
      <c r="KE36" s="402">
        <f>IF(AND(287&gt;=$NR$36,287&lt;=$NS$36),IF($NP$36="Single_Point",IF(287=$NR$36,$NN$36,0),IF($NP$36="Bell_Curve",$NN$36*(287-$NR$36+1)*($NS$36-287+1)/$NU$36,$NN$36/$NT$36)),0)</f>
        <v/>
      </c>
      <c r="KF36" s="402">
        <f>IF(AND(288&gt;=$NR$36,288&lt;=$NS$36),IF($NP$36="Single_Point",IF(288=$NR$36,$NN$36,0),IF($NP$36="Bell_Curve",$NN$36*(288-$NR$36+1)*($NS$36-288+1)/$NU$36,$NN$36/$NT$36)),0)</f>
        <v/>
      </c>
      <c r="KG36" s="402">
        <f>IF(AND(289&gt;=$NR$36,289&lt;=$NS$36),IF($NP$36="Single_Point",IF(289=$NR$36,$NN$36,0),IF($NP$36="Bell_Curve",$NN$36*(289-$NR$36+1)*($NS$36-289+1)/$NU$36,$NN$36/$NT$36)),0)</f>
        <v/>
      </c>
      <c r="KH36" s="402">
        <f>IF(AND(290&gt;=$NR$36,290&lt;=$NS$36),IF($NP$36="Single_Point",IF(290=$NR$36,$NN$36,0),IF($NP$36="Bell_Curve",$NN$36*(290-$NR$36+1)*($NS$36-290+1)/$NU$36,$NN$36/$NT$36)),0)</f>
        <v/>
      </c>
      <c r="KI36" s="402">
        <f>IF(AND(291&gt;=$NR$36,291&lt;=$NS$36),IF($NP$36="Single_Point",IF(291=$NR$36,$NN$36,0),IF($NP$36="Bell_Curve",$NN$36*(291-$NR$36+1)*($NS$36-291+1)/$NU$36,$NN$36/$NT$36)),0)</f>
        <v/>
      </c>
      <c r="KJ36" s="402">
        <f>IF(AND(292&gt;=$NR$36,292&lt;=$NS$36),IF($NP$36="Single_Point",IF(292=$NR$36,$NN$36,0),IF($NP$36="Bell_Curve",$NN$36*(292-$NR$36+1)*($NS$36-292+1)/$NU$36,$NN$36/$NT$36)),0)</f>
        <v/>
      </c>
      <c r="KK36" s="402">
        <f>IF(AND(293&gt;=$NR$36,293&lt;=$NS$36),IF($NP$36="Single_Point",IF(293=$NR$36,$NN$36,0),IF($NP$36="Bell_Curve",$NN$36*(293-$NR$36+1)*($NS$36-293+1)/$NU$36,$NN$36/$NT$36)),0)</f>
        <v/>
      </c>
      <c r="KL36" s="402">
        <f>IF(AND(294&gt;=$NR$36,294&lt;=$NS$36),IF($NP$36="Single_Point",IF(294=$NR$36,$NN$36,0),IF($NP$36="Bell_Curve",$NN$36*(294-$NR$36+1)*($NS$36-294+1)/$NU$36,$NN$36/$NT$36)),0)</f>
        <v/>
      </c>
      <c r="KM36" s="402">
        <f>IF(AND(295&gt;=$NR$36,295&lt;=$NS$36),IF($NP$36="Single_Point",IF(295=$NR$36,$NN$36,0),IF($NP$36="Bell_Curve",$NN$36*(295-$NR$36+1)*($NS$36-295+1)/$NU$36,$NN$36/$NT$36)),0)</f>
        <v/>
      </c>
      <c r="KN36" s="402">
        <f>IF(AND(296&gt;=$NR$36,296&lt;=$NS$36),IF($NP$36="Single_Point",IF(296=$NR$36,$NN$36,0),IF($NP$36="Bell_Curve",$NN$36*(296-$NR$36+1)*($NS$36-296+1)/$NU$36,$NN$36/$NT$36)),0)</f>
        <v/>
      </c>
      <c r="KO36" s="402">
        <f>IF(AND(297&gt;=$NR$36,297&lt;=$NS$36),IF($NP$36="Single_Point",IF(297=$NR$36,$NN$36,0),IF($NP$36="Bell_Curve",$NN$36*(297-$NR$36+1)*($NS$36-297+1)/$NU$36,$NN$36/$NT$36)),0)</f>
        <v/>
      </c>
      <c r="KP36" s="402">
        <f>IF(AND(298&gt;=$NR$36,298&lt;=$NS$36),IF($NP$36="Single_Point",IF(298=$NR$36,$NN$36,0),IF($NP$36="Bell_Curve",$NN$36*(298-$NR$36+1)*($NS$36-298+1)/$NU$36,$NN$36/$NT$36)),0)</f>
        <v/>
      </c>
      <c r="KQ36" s="402">
        <f>IF(AND(299&gt;=$NR$36,299&lt;=$NS$36),IF($NP$36="Single_Point",IF(299=$NR$36,$NN$36,0),IF($NP$36="Bell_Curve",$NN$36*(299-$NR$36+1)*($NS$36-299+1)/$NU$36,$NN$36/$NT$36)),0)</f>
        <v/>
      </c>
      <c r="KR36" s="402">
        <f>IF(AND(300&gt;=$NR$36,300&lt;=$NS$36),IF($NP$36="Single_Point",IF(300=$NR$36,$NN$36,0),IF($NP$36="Bell_Curve",$NN$36*(300-$NR$36+1)*($NS$36-300+1)/$NU$36,$NN$36/$NT$36)),0)</f>
        <v/>
      </c>
      <c r="KS36" s="402">
        <f>IF(AND(301&gt;=$NR$36,301&lt;=$NS$36),IF($NP$36="Single_Point",IF(301=$NR$36,$NN$36,0),IF($NP$36="Bell_Curve",$NN$36*(301-$NR$36+1)*($NS$36-301+1)/$NU$36,$NN$36/$NT$36)),0)</f>
        <v/>
      </c>
      <c r="KT36" s="402">
        <f>IF(AND(302&gt;=$NR$36,302&lt;=$NS$36),IF($NP$36="Single_Point",IF(302=$NR$36,$NN$36,0),IF($NP$36="Bell_Curve",$NN$36*(302-$NR$36+1)*($NS$36-302+1)/$NU$36,$NN$36/$NT$36)),0)</f>
        <v/>
      </c>
      <c r="KU36" s="402">
        <f>IF(AND(303&gt;=$NR$36,303&lt;=$NS$36),IF($NP$36="Single_Point",IF(303=$NR$36,$NN$36,0),IF($NP$36="Bell_Curve",$NN$36*(303-$NR$36+1)*($NS$36-303+1)/$NU$36,$NN$36/$NT$36)),0)</f>
        <v/>
      </c>
      <c r="KV36" s="402">
        <f>IF(AND(304&gt;=$NR$36,304&lt;=$NS$36),IF($NP$36="Single_Point",IF(304=$NR$36,$NN$36,0),IF($NP$36="Bell_Curve",$NN$36*(304-$NR$36+1)*($NS$36-304+1)/$NU$36,$NN$36/$NT$36)),0)</f>
        <v/>
      </c>
      <c r="KW36" s="402">
        <f>IF(AND(305&gt;=$NR$36,305&lt;=$NS$36),IF($NP$36="Single_Point",IF(305=$NR$36,$NN$36,0),IF($NP$36="Bell_Curve",$NN$36*(305-$NR$36+1)*($NS$36-305+1)/$NU$36,$NN$36/$NT$36)),0)</f>
        <v/>
      </c>
      <c r="KX36" s="402">
        <f>IF(AND(306&gt;=$NR$36,306&lt;=$NS$36),IF($NP$36="Single_Point",IF(306=$NR$36,$NN$36,0),IF($NP$36="Bell_Curve",$NN$36*(306-$NR$36+1)*($NS$36-306+1)/$NU$36,$NN$36/$NT$36)),0)</f>
        <v/>
      </c>
      <c r="KY36" s="402">
        <f>IF(AND(307&gt;=$NR$36,307&lt;=$NS$36),IF($NP$36="Single_Point",IF(307=$NR$36,$NN$36,0),IF($NP$36="Bell_Curve",$NN$36*(307-$NR$36+1)*($NS$36-307+1)/$NU$36,$NN$36/$NT$36)),0)</f>
        <v/>
      </c>
      <c r="KZ36" s="402">
        <f>IF(AND(308&gt;=$NR$36,308&lt;=$NS$36),IF($NP$36="Single_Point",IF(308=$NR$36,$NN$36,0),IF($NP$36="Bell_Curve",$NN$36*(308-$NR$36+1)*($NS$36-308+1)/$NU$36,$NN$36/$NT$36)),0)</f>
        <v/>
      </c>
      <c r="LA36" s="402">
        <f>IF(AND(309&gt;=$NR$36,309&lt;=$NS$36),IF($NP$36="Single_Point",IF(309=$NR$36,$NN$36,0),IF($NP$36="Bell_Curve",$NN$36*(309-$NR$36+1)*($NS$36-309+1)/$NU$36,$NN$36/$NT$36)),0)</f>
        <v/>
      </c>
      <c r="LB36" s="402">
        <f>IF(AND(310&gt;=$NR$36,310&lt;=$NS$36),IF($NP$36="Single_Point",IF(310=$NR$36,$NN$36,0),IF($NP$36="Bell_Curve",$NN$36*(310-$NR$36+1)*($NS$36-310+1)/$NU$36,$NN$36/$NT$36)),0)</f>
        <v/>
      </c>
      <c r="LC36" s="402">
        <f>IF(AND(311&gt;=$NR$36,311&lt;=$NS$36),IF($NP$36="Single_Point",IF(311=$NR$36,$NN$36,0),IF($NP$36="Bell_Curve",$NN$36*(311-$NR$36+1)*($NS$36-311+1)/$NU$36,$NN$36/$NT$36)),0)</f>
        <v/>
      </c>
      <c r="LD36" s="402">
        <f>IF(AND(312&gt;=$NR$36,312&lt;=$NS$36),IF($NP$36="Single_Point",IF(312=$NR$36,$NN$36,0),IF($NP$36="Bell_Curve",$NN$36*(312-$NR$36+1)*($NS$36-312+1)/$NU$36,$NN$36/$NT$36)),0)</f>
        <v/>
      </c>
      <c r="LE36" s="402">
        <f>IF(AND(313&gt;=$NR$36,313&lt;=$NS$36),IF($NP$36="Single_Point",IF(313=$NR$36,$NN$36,0),IF($NP$36="Bell_Curve",$NN$36*(313-$NR$36+1)*($NS$36-313+1)/$NU$36,$NN$36/$NT$36)),0)</f>
        <v/>
      </c>
      <c r="LF36" s="402">
        <f>IF(AND(314&gt;=$NR$36,314&lt;=$NS$36),IF($NP$36="Single_Point",IF(314=$NR$36,$NN$36,0),IF($NP$36="Bell_Curve",$NN$36*(314-$NR$36+1)*($NS$36-314+1)/$NU$36,$NN$36/$NT$36)),0)</f>
        <v/>
      </c>
      <c r="LG36" s="402">
        <f>IF(AND(315&gt;=$NR$36,315&lt;=$NS$36),IF($NP$36="Single_Point",IF(315=$NR$36,$NN$36,0),IF($NP$36="Bell_Curve",$NN$36*(315-$NR$36+1)*($NS$36-315+1)/$NU$36,$NN$36/$NT$36)),0)</f>
        <v/>
      </c>
      <c r="LH36" s="402">
        <f>IF(AND(316&gt;=$NR$36,316&lt;=$NS$36),IF($NP$36="Single_Point",IF(316=$NR$36,$NN$36,0),IF($NP$36="Bell_Curve",$NN$36*(316-$NR$36+1)*($NS$36-316+1)/$NU$36,$NN$36/$NT$36)),0)</f>
        <v/>
      </c>
      <c r="LI36" s="402">
        <f>IF(AND(317&gt;=$NR$36,317&lt;=$NS$36),IF($NP$36="Single_Point",IF(317=$NR$36,$NN$36,0),IF($NP$36="Bell_Curve",$NN$36*(317-$NR$36+1)*($NS$36-317+1)/$NU$36,$NN$36/$NT$36)),0)</f>
        <v/>
      </c>
      <c r="LJ36" s="402">
        <f>IF(AND(318&gt;=$NR$36,318&lt;=$NS$36),IF($NP$36="Single_Point",IF(318=$NR$36,$NN$36,0),IF($NP$36="Bell_Curve",$NN$36*(318-$NR$36+1)*($NS$36-318+1)/$NU$36,$NN$36/$NT$36)),0)</f>
        <v/>
      </c>
      <c r="LK36" s="402">
        <f>IF(AND(319&gt;=$NR$36,319&lt;=$NS$36),IF($NP$36="Single_Point",IF(319=$NR$36,$NN$36,0),IF($NP$36="Bell_Curve",$NN$36*(319-$NR$36+1)*($NS$36-319+1)/$NU$36,$NN$36/$NT$36)),0)</f>
        <v/>
      </c>
      <c r="LL36" s="402">
        <f>IF(AND(320&gt;=$NR$36,320&lt;=$NS$36),IF($NP$36="Single_Point",IF(320=$NR$36,$NN$36,0),IF($NP$36="Bell_Curve",$NN$36*(320-$NR$36+1)*($NS$36-320+1)/$NU$36,$NN$36/$NT$36)),0)</f>
        <v/>
      </c>
      <c r="LM36" s="402">
        <f>IF(AND(321&gt;=$NR$36,321&lt;=$NS$36),IF($NP$36="Single_Point",IF(321=$NR$36,$NN$36,0),IF($NP$36="Bell_Curve",$NN$36*(321-$NR$36+1)*($NS$36-321+1)/$NU$36,$NN$36/$NT$36)),0)</f>
        <v/>
      </c>
      <c r="LN36" s="402">
        <f>IF(AND(322&gt;=$NR$36,322&lt;=$NS$36),IF($NP$36="Single_Point",IF(322=$NR$36,$NN$36,0),IF($NP$36="Bell_Curve",$NN$36*(322-$NR$36+1)*($NS$36-322+1)/$NU$36,$NN$36/$NT$36)),0)</f>
        <v/>
      </c>
      <c r="LO36" s="402">
        <f>IF(AND(323&gt;=$NR$36,323&lt;=$NS$36),IF($NP$36="Single_Point",IF(323=$NR$36,$NN$36,0),IF($NP$36="Bell_Curve",$NN$36*(323-$NR$36+1)*($NS$36-323+1)/$NU$36,$NN$36/$NT$36)),0)</f>
        <v/>
      </c>
      <c r="LP36" s="402">
        <f>IF(AND(324&gt;=$NR$36,324&lt;=$NS$36),IF($NP$36="Single_Point",IF(324=$NR$36,$NN$36,0),IF($NP$36="Bell_Curve",$NN$36*(324-$NR$36+1)*($NS$36-324+1)/$NU$36,$NN$36/$NT$36)),0)</f>
        <v/>
      </c>
      <c r="LQ36" s="402">
        <f>IF(AND(325&gt;=$NR$36,325&lt;=$NS$36),IF($NP$36="Single_Point",IF(325=$NR$36,$NN$36,0),IF($NP$36="Bell_Curve",$NN$36*(325-$NR$36+1)*($NS$36-325+1)/$NU$36,$NN$36/$NT$36)),0)</f>
        <v/>
      </c>
      <c r="LR36" s="402">
        <f>IF(AND(326&gt;=$NR$36,326&lt;=$NS$36),IF($NP$36="Single_Point",IF(326=$NR$36,$NN$36,0),IF($NP$36="Bell_Curve",$NN$36*(326-$NR$36+1)*($NS$36-326+1)/$NU$36,$NN$36/$NT$36)),0)</f>
        <v/>
      </c>
      <c r="LS36" s="402">
        <f>IF(AND(327&gt;=$NR$36,327&lt;=$NS$36),IF($NP$36="Single_Point",IF(327=$NR$36,$NN$36,0),IF($NP$36="Bell_Curve",$NN$36*(327-$NR$36+1)*($NS$36-327+1)/$NU$36,$NN$36/$NT$36)),0)</f>
        <v/>
      </c>
      <c r="LT36" s="402">
        <f>IF(AND(328&gt;=$NR$36,328&lt;=$NS$36),IF($NP$36="Single_Point",IF(328=$NR$36,$NN$36,0),IF($NP$36="Bell_Curve",$NN$36*(328-$NR$36+1)*($NS$36-328+1)/$NU$36,$NN$36/$NT$36)),0)</f>
        <v/>
      </c>
      <c r="LU36" s="402">
        <f>IF(AND(329&gt;=$NR$36,329&lt;=$NS$36),IF($NP$36="Single_Point",IF(329=$NR$36,$NN$36,0),IF($NP$36="Bell_Curve",$NN$36*(329-$NR$36+1)*($NS$36-329+1)/$NU$36,$NN$36/$NT$36)),0)</f>
        <v/>
      </c>
      <c r="LV36" s="402">
        <f>IF(AND(330&gt;=$NR$36,330&lt;=$NS$36),IF($NP$36="Single_Point",IF(330=$NR$36,$NN$36,0),IF($NP$36="Bell_Curve",$NN$36*(330-$NR$36+1)*($NS$36-330+1)/$NU$36,$NN$36/$NT$36)),0)</f>
        <v/>
      </c>
      <c r="LW36" s="402">
        <f>IF(AND(331&gt;=$NR$36,331&lt;=$NS$36),IF($NP$36="Single_Point",IF(331=$NR$36,$NN$36,0),IF($NP$36="Bell_Curve",$NN$36*(331-$NR$36+1)*($NS$36-331+1)/$NU$36,$NN$36/$NT$36)),0)</f>
        <v/>
      </c>
      <c r="LX36" s="402">
        <f>IF(AND(332&gt;=$NR$36,332&lt;=$NS$36),IF($NP$36="Single_Point",IF(332=$NR$36,$NN$36,0),IF($NP$36="Bell_Curve",$NN$36*(332-$NR$36+1)*($NS$36-332+1)/$NU$36,$NN$36/$NT$36)),0)</f>
        <v/>
      </c>
      <c r="LY36" s="402">
        <f>IF(AND(333&gt;=$NR$36,333&lt;=$NS$36),IF($NP$36="Single_Point",IF(333=$NR$36,$NN$36,0),IF($NP$36="Bell_Curve",$NN$36*(333-$NR$36+1)*($NS$36-333+1)/$NU$36,$NN$36/$NT$36)),0)</f>
        <v/>
      </c>
      <c r="LZ36" s="402">
        <f>IF(AND(334&gt;=$NR$36,334&lt;=$NS$36),IF($NP$36="Single_Point",IF(334=$NR$36,$NN$36,0),IF($NP$36="Bell_Curve",$NN$36*(334-$NR$36+1)*($NS$36-334+1)/$NU$36,$NN$36/$NT$36)),0)</f>
        <v/>
      </c>
      <c r="MA36" s="402">
        <f>IF(AND(335&gt;=$NR$36,335&lt;=$NS$36),IF($NP$36="Single_Point",IF(335=$NR$36,$NN$36,0),IF($NP$36="Bell_Curve",$NN$36*(335-$NR$36+1)*($NS$36-335+1)/$NU$36,$NN$36/$NT$36)),0)</f>
        <v/>
      </c>
      <c r="MB36" s="402">
        <f>IF(AND(336&gt;=$NR$36,336&lt;=$NS$36),IF($NP$36="Single_Point",IF(336=$NR$36,$NN$36,0),IF($NP$36="Bell_Curve",$NN$36*(336-$NR$36+1)*($NS$36-336+1)/$NU$36,$NN$36/$NT$36)),0)</f>
        <v/>
      </c>
      <c r="MC36" s="402">
        <f>IF(AND(337&gt;=$NR$36,337&lt;=$NS$36),IF($NP$36="Single_Point",IF(337=$NR$36,$NN$36,0),IF($NP$36="Bell_Curve",$NN$36*(337-$NR$36+1)*($NS$36-337+1)/$NU$36,$NN$36/$NT$36)),0)</f>
        <v/>
      </c>
      <c r="MD36" s="402">
        <f>IF(AND(338&gt;=$NR$36,338&lt;=$NS$36),IF($NP$36="Single_Point",IF(338=$NR$36,$NN$36,0),IF($NP$36="Bell_Curve",$NN$36*(338-$NR$36+1)*($NS$36-338+1)/$NU$36,$NN$36/$NT$36)),0)</f>
        <v/>
      </c>
      <c r="ME36" s="402">
        <f>IF(AND(339&gt;=$NR$36,339&lt;=$NS$36),IF($NP$36="Single_Point",IF(339=$NR$36,$NN$36,0),IF($NP$36="Bell_Curve",$NN$36*(339-$NR$36+1)*($NS$36-339+1)/$NU$36,$NN$36/$NT$36)),0)</f>
        <v/>
      </c>
      <c r="MF36" s="402">
        <f>IF(AND(340&gt;=$NR$36,340&lt;=$NS$36),IF($NP$36="Single_Point",IF(340=$NR$36,$NN$36,0),IF($NP$36="Bell_Curve",$NN$36*(340-$NR$36+1)*($NS$36-340+1)/$NU$36,$NN$36/$NT$36)),0)</f>
        <v/>
      </c>
      <c r="MG36" s="402">
        <f>IF(AND(341&gt;=$NR$36,341&lt;=$NS$36),IF($NP$36="Single_Point",IF(341=$NR$36,$NN$36,0),IF($NP$36="Bell_Curve",$NN$36*(341-$NR$36+1)*($NS$36-341+1)/$NU$36,$NN$36/$NT$36)),0)</f>
        <v/>
      </c>
      <c r="MH36" s="402">
        <f>IF(AND(342&gt;=$NR$36,342&lt;=$NS$36),IF($NP$36="Single_Point",IF(342=$NR$36,$NN$36,0),IF($NP$36="Bell_Curve",$NN$36*(342-$NR$36+1)*($NS$36-342+1)/$NU$36,$NN$36/$NT$36)),0)</f>
        <v/>
      </c>
      <c r="MI36" s="402">
        <f>IF(AND(343&gt;=$NR$36,343&lt;=$NS$36),IF($NP$36="Single_Point",IF(343=$NR$36,$NN$36,0),IF($NP$36="Bell_Curve",$NN$36*(343-$NR$36+1)*($NS$36-343+1)/$NU$36,$NN$36/$NT$36)),0)</f>
        <v/>
      </c>
      <c r="MJ36" s="402">
        <f>IF(AND(344&gt;=$NR$36,344&lt;=$NS$36),IF($NP$36="Single_Point",IF(344=$NR$36,$NN$36,0),IF($NP$36="Bell_Curve",$NN$36*(344-$NR$36+1)*($NS$36-344+1)/$NU$36,$NN$36/$NT$36)),0)</f>
        <v/>
      </c>
      <c r="MK36" s="402">
        <f>IF(AND(345&gt;=$NR$36,345&lt;=$NS$36),IF($NP$36="Single_Point",IF(345=$NR$36,$NN$36,0),IF($NP$36="Bell_Curve",$NN$36*(345-$NR$36+1)*($NS$36-345+1)/$NU$36,$NN$36/$NT$36)),0)</f>
        <v/>
      </c>
      <c r="ML36" s="402">
        <f>IF(AND(346&gt;=$NR$36,346&lt;=$NS$36),IF($NP$36="Single_Point",IF(346=$NR$36,$NN$36,0),IF($NP$36="Bell_Curve",$NN$36*(346-$NR$36+1)*($NS$36-346+1)/$NU$36,$NN$36/$NT$36)),0)</f>
        <v/>
      </c>
      <c r="MM36" s="402">
        <f>IF(AND(347&gt;=$NR$36,347&lt;=$NS$36),IF($NP$36="Single_Point",IF(347=$NR$36,$NN$36,0),IF($NP$36="Bell_Curve",$NN$36*(347-$NR$36+1)*($NS$36-347+1)/$NU$36,$NN$36/$NT$36)),0)</f>
        <v/>
      </c>
      <c r="MN36" s="402">
        <f>IF(AND(348&gt;=$NR$36,348&lt;=$NS$36),IF($NP$36="Single_Point",IF(348=$NR$36,$NN$36,0),IF($NP$36="Bell_Curve",$NN$36*(348-$NR$36+1)*($NS$36-348+1)/$NU$36,$NN$36/$NT$36)),0)</f>
        <v/>
      </c>
      <c r="MO36" s="402">
        <f>IF(AND(349&gt;=$NR$36,349&lt;=$NS$36),IF($NP$36="Single_Point",IF(349=$NR$36,$NN$36,0),IF($NP$36="Bell_Curve",$NN$36*(349-$NR$36+1)*($NS$36-349+1)/$NU$36,$NN$36/$NT$36)),0)</f>
        <v/>
      </c>
      <c r="MP36" s="402">
        <f>IF(AND(350&gt;=$NR$36,350&lt;=$NS$36),IF($NP$36="Single_Point",IF(350=$NR$36,$NN$36,0),IF($NP$36="Bell_Curve",$NN$36*(350-$NR$36+1)*($NS$36-350+1)/$NU$36,$NN$36/$NT$36)),0)</f>
        <v/>
      </c>
      <c r="MQ36" s="402">
        <f>IF(AND(351&gt;=$NR$36,351&lt;=$NS$36),IF($NP$36="Single_Point",IF(351=$NR$36,$NN$36,0),IF($NP$36="Bell_Curve",$NN$36*(351-$NR$36+1)*($NS$36-351+1)/$NU$36,$NN$36/$NT$36)),0)</f>
        <v/>
      </c>
      <c r="MR36" s="402">
        <f>IF(AND(352&gt;=$NR$36,352&lt;=$NS$36),IF($NP$36="Single_Point",IF(352=$NR$36,$NN$36,0),IF($NP$36="Bell_Curve",$NN$36*(352-$NR$36+1)*($NS$36-352+1)/$NU$36,$NN$36/$NT$36)),0)</f>
        <v/>
      </c>
      <c r="MS36" s="402">
        <f>IF(AND(353&gt;=$NR$36,353&lt;=$NS$36),IF($NP$36="Single_Point",IF(353=$NR$36,$NN$36,0),IF($NP$36="Bell_Curve",$NN$36*(353-$NR$36+1)*($NS$36-353+1)/$NU$36,$NN$36/$NT$36)),0)</f>
        <v/>
      </c>
      <c r="MT36" s="402">
        <f>IF(AND(354&gt;=$NR$36,354&lt;=$NS$36),IF($NP$36="Single_Point",IF(354=$NR$36,$NN$36,0),IF($NP$36="Bell_Curve",$NN$36*(354-$NR$36+1)*($NS$36-354+1)/$NU$36,$NN$36/$NT$36)),0)</f>
        <v/>
      </c>
      <c r="MU36" s="402">
        <f>IF(AND(355&gt;=$NR$36,355&lt;=$NS$36),IF($NP$36="Single_Point",IF(355=$NR$36,$NN$36,0),IF($NP$36="Bell_Curve",$NN$36*(355-$NR$36+1)*($NS$36-355+1)/$NU$36,$NN$36/$NT$36)),0)</f>
        <v/>
      </c>
      <c r="MV36" s="402">
        <f>IF(AND(356&gt;=$NR$36,356&lt;=$NS$36),IF($NP$36="Single_Point",IF(356=$NR$36,$NN$36,0),IF($NP$36="Bell_Curve",$NN$36*(356-$NR$36+1)*($NS$36-356+1)/$NU$36,$NN$36/$NT$36)),0)</f>
        <v/>
      </c>
      <c r="MW36" s="402">
        <f>IF(AND(357&gt;=$NR$36,357&lt;=$NS$36),IF($NP$36="Single_Point",IF(357=$NR$36,$NN$36,0),IF($NP$36="Bell_Curve",$NN$36*(357-$NR$36+1)*($NS$36-357+1)/$NU$36,$NN$36/$NT$36)),0)</f>
        <v/>
      </c>
      <c r="MX36" s="402">
        <f>IF(AND(358&gt;=$NR$36,358&lt;=$NS$36),IF($NP$36="Single_Point",IF(358=$NR$36,$NN$36,0),IF($NP$36="Bell_Curve",$NN$36*(358-$NR$36+1)*($NS$36-358+1)/$NU$36,$NN$36/$NT$36)),0)</f>
        <v/>
      </c>
      <c r="MY36" s="402">
        <f>IF(AND(359&gt;=$NR$36,359&lt;=$NS$36),IF($NP$36="Single_Point",IF(359=$NR$36,$NN$36,0),IF($NP$36="Bell_Curve",$NN$36*(359-$NR$36+1)*($NS$36-359+1)/$NU$36,$NN$36/$NT$36)),0)</f>
        <v/>
      </c>
      <c r="MZ36" s="402">
        <f>IF(AND(360&gt;=$NR$36,360&lt;=$NS$36),IF($NP$36="Single_Point",IF(360=$NR$36,$NN$36,0),IF($NP$36="Bell_Curve",$NN$36*(360-$NR$36+1)*($NS$36-360+1)/$NU$36,$NN$36/$NT$36)),0)</f>
        <v/>
      </c>
      <c r="NA36" s="402">
        <f>IF(AND(361&gt;=$NR$36,361&lt;=$NS$36),IF($NP$36="Single_Point",IF(361=$NR$36,$NN$36,0),IF($NP$36="Bell_Curve",$NN$36*(361-$NR$36+1)*($NS$36-361+1)/$NU$36,$NN$36/$NT$36)),0)</f>
        <v/>
      </c>
      <c r="NB36" s="402">
        <f>IF(AND(362&gt;=$NR$36,362&lt;=$NS$36),IF($NP$36="Single_Point",IF(362=$NR$36,$NN$36,0),IF($NP$36="Bell_Curve",$NN$36*(362-$NR$36+1)*($NS$36-362+1)/$NU$36,$NN$36/$NT$36)),0)</f>
        <v/>
      </c>
      <c r="NC36" s="402">
        <f>IF(AND(363&gt;=$NR$36,363&lt;=$NS$36),IF($NP$36="Single_Point",IF(363=$NR$36,$NN$36,0),IF($NP$36="Bell_Curve",$NN$36*(363-$NR$36+1)*($NS$36-363+1)/$NU$36,$NN$36/$NT$36)),0)</f>
        <v/>
      </c>
      <c r="ND36" s="402">
        <f>IF(AND(364&gt;=$NR$36,364&lt;=$NS$36),IF($NP$36="Single_Point",IF(364=$NR$36,$NN$36,0),IF($NP$36="Bell_Curve",$NN$36*(364-$NR$36+1)*($NS$36-364+1)/$NU$36,$NN$36/$NT$36)),0)</f>
        <v/>
      </c>
      <c r="NE36" s="402">
        <f>IF(AND(365&gt;=$NR$36,365&lt;=$NS$36),IF($NP$36="Single_Point",IF(365=$NR$36,$NN$36,0),IF($NP$36="Bell_Curve",$NN$36*(365-$NR$36+1)*($NS$36-365+1)/$NU$36,$NN$36/$NT$36)),0)</f>
        <v/>
      </c>
      <c r="NF36" s="402">
        <f>IF(AND(366&gt;=$NR$36,366&lt;=$NS$36),IF($NP$36="Single_Point",IF(366=$NR$36,$NN$36,0),IF($NP$36="Bell_Curve",$NN$36*(366-$NR$36+1)*($NS$36-366+1)/$NU$36,$NN$36/$NT$36)),0)</f>
        <v/>
      </c>
      <c r="NG36" s="402">
        <f>IF(AND(367&gt;=$NR$36,367&lt;=$NS$36),IF($NP$36="Single_Point",IF(367=$NR$36,$NN$36,0),IF($NP$36="Bell_Curve",$NN$36*(367-$NR$36+1)*($NS$36-367+1)/$NU$36,$NN$36/$NT$36)),0)</f>
        <v/>
      </c>
      <c r="NH36" s="402">
        <f>IF(AND(368&gt;=$NR$36,368&lt;=$NS$36),IF($NP$36="Single_Point",IF(368=$NR$36,$NN$36,0),IF($NP$36="Bell_Curve",$NN$36*(368-$NR$36+1)*($NS$36-368+1)/$NU$36,$NN$36/$NT$36)),0)</f>
        <v/>
      </c>
      <c r="NI36" s="402">
        <f>IF(AND(369&gt;=$NR$36,369&lt;=$NS$36),IF($NP$36="Single_Point",IF(369=$NR$36,$NN$36,0),IF($NP$36="Bell_Curve",$NN$36*(369-$NR$36+1)*($NS$36-369+1)/$NU$36,$NN$36/$NT$36)),0)</f>
        <v/>
      </c>
      <c r="NJ36" s="402">
        <f>IF(AND(370&gt;=$NR$36,370&lt;=$NS$36),IF($NP$36="Single_Point",IF(370=$NR$36,$NN$36,0),IF($NP$36="Bell_Curve",$NN$36*(370-$NR$36+1)*($NS$36-370+1)/$NU$36,$NN$36/$NT$36)),0)</f>
        <v/>
      </c>
      <c r="NK36" s="402">
        <f>IF(AND(371&gt;=$NR$36,371&lt;=$NS$36),IF($NP$36="Single_Point",IF(371=$NR$36,$NN$36,0),IF($NP$36="Bell_Curve",$NN$36*(371-$NR$36+1)*($NS$36-371+1)/$NU$36,$NN$36/$NT$36)),0)</f>
        <v/>
      </c>
      <c r="NL36" s="426">
        <f>IF(AND(372&gt;=$NR$36,372&lt;=$NS$36),IF($NP$36="Single_Point",IF(372=$NR$36,$NN$36,0),IF($NP$36="Bell_Curve",$NN$36*(372-$NR$36+1)*($NS$36-372+1)/$NU$36,$NN$36/$NT$36)),0)</f>
        <v/>
      </c>
      <c r="NM36">
        <f>Budget!C35</f>
        <v/>
      </c>
      <c r="NN36">
        <f>Budget!J35</f>
        <v/>
      </c>
      <c r="NO36">
        <f>Budget!G35</f>
        <v/>
      </c>
      <c r="NP36">
        <f>Budget!H35</f>
        <v/>
      </c>
      <c r="NQ36">
        <f>Budget!I35</f>
        <v/>
      </c>
      <c r="NR36">
        <f>MAX(1,MIN(372,INDEX(MilestoneStart,MATCH(NO36,MilestoneNames,0))+NQ36))</f>
        <v/>
      </c>
      <c r="NS36">
        <f>MAX(NR36,MIN(372,INDEX(MilestoneEnd,MATCH(NO36,MilestoneNames,0))+NQ36))</f>
        <v/>
      </c>
      <c r="NT36">
        <f>NS36-NR36+1</f>
        <v/>
      </c>
      <c r="NU36">
        <f>NT36*(NT36+1)*(NT36+2)/6</f>
        <v/>
      </c>
    </row>
    <row r="37">
      <c r="B37" s="296">
        <f>Budget!B36</f>
        <v/>
      </c>
      <c r="D37" s="402">
        <f>SUM(E37:NL37)</f>
        <v/>
      </c>
      <c r="E37" s="402">
        <f>IF(AND(1&gt;=$NR$37,1&lt;=$NS$37),IF($NP$37="Single_Point",IF(1=$NR$37,$NN$37,0),IF($NP$37="Bell_Curve",$NN$37*(1-$NR$37+1)*($NS$37-1+1)/$NU$37,$NN$37/$NT$37)),0)</f>
        <v/>
      </c>
      <c r="F37" s="402">
        <f>IF(AND(2&gt;=$NR$37,2&lt;=$NS$37),IF($NP$37="Single_Point",IF(2=$NR$37,$NN$37,0),IF($NP$37="Bell_Curve",$NN$37*(2-$NR$37+1)*($NS$37-2+1)/$NU$37,$NN$37/$NT$37)),0)</f>
        <v/>
      </c>
      <c r="G37" s="402">
        <f>IF(AND(3&gt;=$NR$37,3&lt;=$NS$37),IF($NP$37="Single_Point",IF(3=$NR$37,$NN$37,0),IF($NP$37="Bell_Curve",$NN$37*(3-$NR$37+1)*($NS$37-3+1)/$NU$37,$NN$37/$NT$37)),0)</f>
        <v/>
      </c>
      <c r="H37" s="402">
        <f>IF(AND(4&gt;=$NR$37,4&lt;=$NS$37),IF($NP$37="Single_Point",IF(4=$NR$37,$NN$37,0),IF($NP$37="Bell_Curve",$NN$37*(4-$NR$37+1)*($NS$37-4+1)/$NU$37,$NN$37/$NT$37)),0)</f>
        <v/>
      </c>
      <c r="I37" s="402">
        <f>IF(AND(5&gt;=$NR$37,5&lt;=$NS$37),IF($NP$37="Single_Point",IF(5=$NR$37,$NN$37,0),IF($NP$37="Bell_Curve",$NN$37*(5-$NR$37+1)*($NS$37-5+1)/$NU$37,$NN$37/$NT$37)),0)</f>
        <v/>
      </c>
      <c r="J37" s="402">
        <f>IF(AND(6&gt;=$NR$37,6&lt;=$NS$37),IF($NP$37="Single_Point",IF(6=$NR$37,$NN$37,0),IF($NP$37="Bell_Curve",$NN$37*(6-$NR$37+1)*($NS$37-6+1)/$NU$37,$NN$37/$NT$37)),0)</f>
        <v/>
      </c>
      <c r="K37" s="402">
        <f>IF(AND(7&gt;=$NR$37,7&lt;=$NS$37),IF($NP$37="Single_Point",IF(7=$NR$37,$NN$37,0),IF($NP$37="Bell_Curve",$NN$37*(7-$NR$37+1)*($NS$37-7+1)/$NU$37,$NN$37/$NT$37)),0)</f>
        <v/>
      </c>
      <c r="L37" s="402">
        <f>IF(AND(8&gt;=$NR$37,8&lt;=$NS$37),IF($NP$37="Single_Point",IF(8=$NR$37,$NN$37,0),IF($NP$37="Bell_Curve",$NN$37*(8-$NR$37+1)*($NS$37-8+1)/$NU$37,$NN$37/$NT$37)),0)</f>
        <v/>
      </c>
      <c r="M37" s="402">
        <f>IF(AND(9&gt;=$NR$37,9&lt;=$NS$37),IF($NP$37="Single_Point",IF(9=$NR$37,$NN$37,0),IF($NP$37="Bell_Curve",$NN$37*(9-$NR$37+1)*($NS$37-9+1)/$NU$37,$NN$37/$NT$37)),0)</f>
        <v/>
      </c>
      <c r="N37" s="402">
        <f>IF(AND(10&gt;=$NR$37,10&lt;=$NS$37),IF($NP$37="Single_Point",IF(10=$NR$37,$NN$37,0),IF($NP$37="Bell_Curve",$NN$37*(10-$NR$37+1)*($NS$37-10+1)/$NU$37,$NN$37/$NT$37)),0)</f>
        <v/>
      </c>
      <c r="O37" s="402">
        <f>IF(AND(11&gt;=$NR$37,11&lt;=$NS$37),IF($NP$37="Single_Point",IF(11=$NR$37,$NN$37,0),IF($NP$37="Bell_Curve",$NN$37*(11-$NR$37+1)*($NS$37-11+1)/$NU$37,$NN$37/$NT$37)),0)</f>
        <v/>
      </c>
      <c r="P37" s="402">
        <f>IF(AND(12&gt;=$NR$37,12&lt;=$NS$37),IF($NP$37="Single_Point",IF(12=$NR$37,$NN$37,0),IF($NP$37="Bell_Curve",$NN$37*(12-$NR$37+1)*($NS$37-12+1)/$NU$37,$NN$37/$NT$37)),0)</f>
        <v/>
      </c>
      <c r="Q37" s="402">
        <f>IF(AND(13&gt;=$NR$37,13&lt;=$NS$37),IF($NP$37="Single_Point",IF(13=$NR$37,$NN$37,0),IF($NP$37="Bell_Curve",$NN$37*(13-$NR$37+1)*($NS$37-13+1)/$NU$37,$NN$37/$NT$37)),0)</f>
        <v/>
      </c>
      <c r="R37" s="402">
        <f>IF(AND(14&gt;=$NR$37,14&lt;=$NS$37),IF($NP$37="Single_Point",IF(14=$NR$37,$NN$37,0),IF($NP$37="Bell_Curve",$NN$37*(14-$NR$37+1)*($NS$37-14+1)/$NU$37,$NN$37/$NT$37)),0)</f>
        <v/>
      </c>
      <c r="S37" s="402">
        <f>IF(AND(15&gt;=$NR$37,15&lt;=$NS$37),IF($NP$37="Single_Point",IF(15=$NR$37,$NN$37,0),IF($NP$37="Bell_Curve",$NN$37*(15-$NR$37+1)*($NS$37-15+1)/$NU$37,$NN$37/$NT$37)),0)</f>
        <v/>
      </c>
      <c r="T37" s="402">
        <f>IF(AND(16&gt;=$NR$37,16&lt;=$NS$37),IF($NP$37="Single_Point",IF(16=$NR$37,$NN$37,0),IF($NP$37="Bell_Curve",$NN$37*(16-$NR$37+1)*($NS$37-16+1)/$NU$37,$NN$37/$NT$37)),0)</f>
        <v/>
      </c>
      <c r="U37" s="402">
        <f>IF(AND(17&gt;=$NR$37,17&lt;=$NS$37),IF($NP$37="Single_Point",IF(17=$NR$37,$NN$37,0),IF($NP$37="Bell_Curve",$NN$37*(17-$NR$37+1)*($NS$37-17+1)/$NU$37,$NN$37/$NT$37)),0)</f>
        <v/>
      </c>
      <c r="V37" s="402">
        <f>IF(AND(18&gt;=$NR$37,18&lt;=$NS$37),IF($NP$37="Single_Point",IF(18=$NR$37,$NN$37,0),IF($NP$37="Bell_Curve",$NN$37*(18-$NR$37+1)*($NS$37-18+1)/$NU$37,$NN$37/$NT$37)),0)</f>
        <v/>
      </c>
      <c r="W37" s="402">
        <f>IF(AND(19&gt;=$NR$37,19&lt;=$NS$37),IF($NP$37="Single_Point",IF(19=$NR$37,$NN$37,0),IF($NP$37="Bell_Curve",$NN$37*(19-$NR$37+1)*($NS$37-19+1)/$NU$37,$NN$37/$NT$37)),0)</f>
        <v/>
      </c>
      <c r="X37" s="402">
        <f>IF(AND(20&gt;=$NR$37,20&lt;=$NS$37),IF($NP$37="Single_Point",IF(20=$NR$37,$NN$37,0),IF($NP$37="Bell_Curve",$NN$37*(20-$NR$37+1)*($NS$37-20+1)/$NU$37,$NN$37/$NT$37)),0)</f>
        <v/>
      </c>
      <c r="Y37" s="402">
        <f>IF(AND(21&gt;=$NR$37,21&lt;=$NS$37),IF($NP$37="Single_Point",IF(21=$NR$37,$NN$37,0),IF($NP$37="Bell_Curve",$NN$37*(21-$NR$37+1)*($NS$37-21+1)/$NU$37,$NN$37/$NT$37)),0)</f>
        <v/>
      </c>
      <c r="Z37" s="402">
        <f>IF(AND(22&gt;=$NR$37,22&lt;=$NS$37),IF($NP$37="Single_Point",IF(22=$NR$37,$NN$37,0),IF($NP$37="Bell_Curve",$NN$37*(22-$NR$37+1)*($NS$37-22+1)/$NU$37,$NN$37/$NT$37)),0)</f>
        <v/>
      </c>
      <c r="AA37" s="402">
        <f>IF(AND(23&gt;=$NR$37,23&lt;=$NS$37),IF($NP$37="Single_Point",IF(23=$NR$37,$NN$37,0),IF($NP$37="Bell_Curve",$NN$37*(23-$NR$37+1)*($NS$37-23+1)/$NU$37,$NN$37/$NT$37)),0)</f>
        <v/>
      </c>
      <c r="AB37" s="402">
        <f>IF(AND(24&gt;=$NR$37,24&lt;=$NS$37),IF($NP$37="Single_Point",IF(24=$NR$37,$NN$37,0),IF($NP$37="Bell_Curve",$NN$37*(24-$NR$37+1)*($NS$37-24+1)/$NU$37,$NN$37/$NT$37)),0)</f>
        <v/>
      </c>
      <c r="AC37" s="402">
        <f>IF(AND(25&gt;=$NR$37,25&lt;=$NS$37),IF($NP$37="Single_Point",IF(25=$NR$37,$NN$37,0),IF($NP$37="Bell_Curve",$NN$37*(25-$NR$37+1)*($NS$37-25+1)/$NU$37,$NN$37/$NT$37)),0)</f>
        <v/>
      </c>
      <c r="AD37" s="402">
        <f>IF(AND(26&gt;=$NR$37,26&lt;=$NS$37),IF($NP$37="Single_Point",IF(26=$NR$37,$NN$37,0),IF($NP$37="Bell_Curve",$NN$37*(26-$NR$37+1)*($NS$37-26+1)/$NU$37,$NN$37/$NT$37)),0)</f>
        <v/>
      </c>
      <c r="AE37" s="402">
        <f>IF(AND(27&gt;=$NR$37,27&lt;=$NS$37),IF($NP$37="Single_Point",IF(27=$NR$37,$NN$37,0),IF($NP$37="Bell_Curve",$NN$37*(27-$NR$37+1)*($NS$37-27+1)/$NU$37,$NN$37/$NT$37)),0)</f>
        <v/>
      </c>
      <c r="AF37" s="402">
        <f>IF(AND(28&gt;=$NR$37,28&lt;=$NS$37),IF($NP$37="Single_Point",IF(28=$NR$37,$NN$37,0),IF($NP$37="Bell_Curve",$NN$37*(28-$NR$37+1)*($NS$37-28+1)/$NU$37,$NN$37/$NT$37)),0)</f>
        <v/>
      </c>
      <c r="AG37" s="402">
        <f>IF(AND(29&gt;=$NR$37,29&lt;=$NS$37),IF($NP$37="Single_Point",IF(29=$NR$37,$NN$37,0),IF($NP$37="Bell_Curve",$NN$37*(29-$NR$37+1)*($NS$37-29+1)/$NU$37,$NN$37/$NT$37)),0)</f>
        <v/>
      </c>
      <c r="AH37" s="402">
        <f>IF(AND(30&gt;=$NR$37,30&lt;=$NS$37),IF($NP$37="Single_Point",IF(30=$NR$37,$NN$37,0),IF($NP$37="Bell_Curve",$NN$37*(30-$NR$37+1)*($NS$37-30+1)/$NU$37,$NN$37/$NT$37)),0)</f>
        <v/>
      </c>
      <c r="AI37" s="402">
        <f>IF(AND(31&gt;=$NR$37,31&lt;=$NS$37),IF($NP$37="Single_Point",IF(31=$NR$37,$NN$37,0),IF($NP$37="Bell_Curve",$NN$37*(31-$NR$37+1)*($NS$37-31+1)/$NU$37,$NN$37/$NT$37)),0)</f>
        <v/>
      </c>
      <c r="AJ37" s="402">
        <f>IF(AND(32&gt;=$NR$37,32&lt;=$NS$37),IF($NP$37="Single_Point",IF(32=$NR$37,$NN$37,0),IF($NP$37="Bell_Curve",$NN$37*(32-$NR$37+1)*($NS$37-32+1)/$NU$37,$NN$37/$NT$37)),0)</f>
        <v/>
      </c>
      <c r="AK37" s="402">
        <f>IF(AND(33&gt;=$NR$37,33&lt;=$NS$37),IF($NP$37="Single_Point",IF(33=$NR$37,$NN$37,0),IF($NP$37="Bell_Curve",$NN$37*(33-$NR$37+1)*($NS$37-33+1)/$NU$37,$NN$37/$NT$37)),0)</f>
        <v/>
      </c>
      <c r="AL37" s="402">
        <f>IF(AND(34&gt;=$NR$37,34&lt;=$NS$37),IF($NP$37="Single_Point",IF(34=$NR$37,$NN$37,0),IF($NP$37="Bell_Curve",$NN$37*(34-$NR$37+1)*($NS$37-34+1)/$NU$37,$NN$37/$NT$37)),0)</f>
        <v/>
      </c>
      <c r="AM37" s="402">
        <f>IF(AND(35&gt;=$NR$37,35&lt;=$NS$37),IF($NP$37="Single_Point",IF(35=$NR$37,$NN$37,0),IF($NP$37="Bell_Curve",$NN$37*(35-$NR$37+1)*($NS$37-35+1)/$NU$37,$NN$37/$NT$37)),0)</f>
        <v/>
      </c>
      <c r="AN37" s="402">
        <f>IF(AND(36&gt;=$NR$37,36&lt;=$NS$37),IF($NP$37="Single_Point",IF(36=$NR$37,$NN$37,0),IF($NP$37="Bell_Curve",$NN$37*(36-$NR$37+1)*($NS$37-36+1)/$NU$37,$NN$37/$NT$37)),0)</f>
        <v/>
      </c>
      <c r="AO37" s="402">
        <f>IF(AND(37&gt;=$NR$37,37&lt;=$NS$37),IF($NP$37="Single_Point",IF(37=$NR$37,$NN$37,0),IF($NP$37="Bell_Curve",$NN$37*(37-$NR$37+1)*($NS$37-37+1)/$NU$37,$NN$37/$NT$37)),0)</f>
        <v/>
      </c>
      <c r="AP37" s="402">
        <f>IF(AND(38&gt;=$NR$37,38&lt;=$NS$37),IF($NP$37="Single_Point",IF(38=$NR$37,$NN$37,0),IF($NP$37="Bell_Curve",$NN$37*(38-$NR$37+1)*($NS$37-38+1)/$NU$37,$NN$37/$NT$37)),0)</f>
        <v/>
      </c>
      <c r="AQ37" s="402">
        <f>IF(AND(39&gt;=$NR$37,39&lt;=$NS$37),IF($NP$37="Single_Point",IF(39=$NR$37,$NN$37,0),IF($NP$37="Bell_Curve",$NN$37*(39-$NR$37+1)*($NS$37-39+1)/$NU$37,$NN$37/$NT$37)),0)</f>
        <v/>
      </c>
      <c r="AR37" s="402">
        <f>IF(AND(40&gt;=$NR$37,40&lt;=$NS$37),IF($NP$37="Single_Point",IF(40=$NR$37,$NN$37,0),IF($NP$37="Bell_Curve",$NN$37*(40-$NR$37+1)*($NS$37-40+1)/$NU$37,$NN$37/$NT$37)),0)</f>
        <v/>
      </c>
      <c r="AS37" s="402">
        <f>IF(AND(41&gt;=$NR$37,41&lt;=$NS$37),IF($NP$37="Single_Point",IF(41=$NR$37,$NN$37,0),IF($NP$37="Bell_Curve",$NN$37*(41-$NR$37+1)*($NS$37-41+1)/$NU$37,$NN$37/$NT$37)),0)</f>
        <v/>
      </c>
      <c r="AT37" s="402">
        <f>IF(AND(42&gt;=$NR$37,42&lt;=$NS$37),IF($NP$37="Single_Point",IF(42=$NR$37,$NN$37,0),IF($NP$37="Bell_Curve",$NN$37*(42-$NR$37+1)*($NS$37-42+1)/$NU$37,$NN$37/$NT$37)),0)</f>
        <v/>
      </c>
      <c r="AU37" s="402">
        <f>IF(AND(43&gt;=$NR$37,43&lt;=$NS$37),IF($NP$37="Single_Point",IF(43=$NR$37,$NN$37,0),IF($NP$37="Bell_Curve",$NN$37*(43-$NR$37+1)*($NS$37-43+1)/$NU$37,$NN$37/$NT$37)),0)</f>
        <v/>
      </c>
      <c r="AV37" s="402">
        <f>IF(AND(44&gt;=$NR$37,44&lt;=$NS$37),IF($NP$37="Single_Point",IF(44=$NR$37,$NN$37,0),IF($NP$37="Bell_Curve",$NN$37*(44-$NR$37+1)*($NS$37-44+1)/$NU$37,$NN$37/$NT$37)),0)</f>
        <v/>
      </c>
      <c r="AW37" s="402">
        <f>IF(AND(45&gt;=$NR$37,45&lt;=$NS$37),IF($NP$37="Single_Point",IF(45=$NR$37,$NN$37,0),IF($NP$37="Bell_Curve",$NN$37*(45-$NR$37+1)*($NS$37-45+1)/$NU$37,$NN$37/$NT$37)),0)</f>
        <v/>
      </c>
      <c r="AX37" s="402">
        <f>IF(AND(46&gt;=$NR$37,46&lt;=$NS$37),IF($NP$37="Single_Point",IF(46=$NR$37,$NN$37,0),IF($NP$37="Bell_Curve",$NN$37*(46-$NR$37+1)*($NS$37-46+1)/$NU$37,$NN$37/$NT$37)),0)</f>
        <v/>
      </c>
      <c r="AY37" s="402">
        <f>IF(AND(47&gt;=$NR$37,47&lt;=$NS$37),IF($NP$37="Single_Point",IF(47=$NR$37,$NN$37,0),IF($NP$37="Bell_Curve",$NN$37*(47-$NR$37+1)*($NS$37-47+1)/$NU$37,$NN$37/$NT$37)),0)</f>
        <v/>
      </c>
      <c r="AZ37" s="402">
        <f>IF(AND(48&gt;=$NR$37,48&lt;=$NS$37),IF($NP$37="Single_Point",IF(48=$NR$37,$NN$37,0),IF($NP$37="Bell_Curve",$NN$37*(48-$NR$37+1)*($NS$37-48+1)/$NU$37,$NN$37/$NT$37)),0)</f>
        <v/>
      </c>
      <c r="BA37" s="402">
        <f>IF(AND(49&gt;=$NR$37,49&lt;=$NS$37),IF($NP$37="Single_Point",IF(49=$NR$37,$NN$37,0),IF($NP$37="Bell_Curve",$NN$37*(49-$NR$37+1)*($NS$37-49+1)/$NU$37,$NN$37/$NT$37)),0)</f>
        <v/>
      </c>
      <c r="BB37" s="402">
        <f>IF(AND(50&gt;=$NR$37,50&lt;=$NS$37),IF($NP$37="Single_Point",IF(50=$NR$37,$NN$37,0),IF($NP$37="Bell_Curve",$NN$37*(50-$NR$37+1)*($NS$37-50+1)/$NU$37,$NN$37/$NT$37)),0)</f>
        <v/>
      </c>
      <c r="BC37" s="402">
        <f>IF(AND(51&gt;=$NR$37,51&lt;=$NS$37),IF($NP$37="Single_Point",IF(51=$NR$37,$NN$37,0),IF($NP$37="Bell_Curve",$NN$37*(51-$NR$37+1)*($NS$37-51+1)/$NU$37,$NN$37/$NT$37)),0)</f>
        <v/>
      </c>
      <c r="BD37" s="402">
        <f>IF(AND(52&gt;=$NR$37,52&lt;=$NS$37),IF($NP$37="Single_Point",IF(52=$NR$37,$NN$37,0),IF($NP$37="Bell_Curve",$NN$37*(52-$NR$37+1)*($NS$37-52+1)/$NU$37,$NN$37/$NT$37)),0)</f>
        <v/>
      </c>
      <c r="BE37" s="402">
        <f>IF(AND(53&gt;=$NR$37,53&lt;=$NS$37),IF($NP$37="Single_Point",IF(53=$NR$37,$NN$37,0),IF($NP$37="Bell_Curve",$NN$37*(53-$NR$37+1)*($NS$37-53+1)/$NU$37,$NN$37/$NT$37)),0)</f>
        <v/>
      </c>
      <c r="BF37" s="402">
        <f>IF(AND(54&gt;=$NR$37,54&lt;=$NS$37),IF($NP$37="Single_Point",IF(54=$NR$37,$NN$37,0),IF($NP$37="Bell_Curve",$NN$37*(54-$NR$37+1)*($NS$37-54+1)/$NU$37,$NN$37/$NT$37)),0)</f>
        <v/>
      </c>
      <c r="BG37" s="402">
        <f>IF(AND(55&gt;=$NR$37,55&lt;=$NS$37),IF($NP$37="Single_Point",IF(55=$NR$37,$NN$37,0),IF($NP$37="Bell_Curve",$NN$37*(55-$NR$37+1)*($NS$37-55+1)/$NU$37,$NN$37/$NT$37)),0)</f>
        <v/>
      </c>
      <c r="BH37" s="402">
        <f>IF(AND(56&gt;=$NR$37,56&lt;=$NS$37),IF($NP$37="Single_Point",IF(56=$NR$37,$NN$37,0),IF($NP$37="Bell_Curve",$NN$37*(56-$NR$37+1)*($NS$37-56+1)/$NU$37,$NN$37/$NT$37)),0)</f>
        <v/>
      </c>
      <c r="BI37" s="402">
        <f>IF(AND(57&gt;=$NR$37,57&lt;=$NS$37),IF($NP$37="Single_Point",IF(57=$NR$37,$NN$37,0),IF($NP$37="Bell_Curve",$NN$37*(57-$NR$37+1)*($NS$37-57+1)/$NU$37,$NN$37/$NT$37)),0)</f>
        <v/>
      </c>
      <c r="BJ37" s="402">
        <f>IF(AND(58&gt;=$NR$37,58&lt;=$NS$37),IF($NP$37="Single_Point",IF(58=$NR$37,$NN$37,0),IF($NP$37="Bell_Curve",$NN$37*(58-$NR$37+1)*($NS$37-58+1)/$NU$37,$NN$37/$NT$37)),0)</f>
        <v/>
      </c>
      <c r="BK37" s="402">
        <f>IF(AND(59&gt;=$NR$37,59&lt;=$NS$37),IF($NP$37="Single_Point",IF(59=$NR$37,$NN$37,0),IF($NP$37="Bell_Curve",$NN$37*(59-$NR$37+1)*($NS$37-59+1)/$NU$37,$NN$37/$NT$37)),0)</f>
        <v/>
      </c>
      <c r="BL37" s="402">
        <f>IF(AND(60&gt;=$NR$37,60&lt;=$NS$37),IF($NP$37="Single_Point",IF(60=$NR$37,$NN$37,0),IF($NP$37="Bell_Curve",$NN$37*(60-$NR$37+1)*($NS$37-60+1)/$NU$37,$NN$37/$NT$37)),0)</f>
        <v/>
      </c>
      <c r="BM37" s="402">
        <f>IF(AND(61&gt;=$NR$37,61&lt;=$NS$37),IF($NP$37="Single_Point",IF(61=$NR$37,$NN$37,0),IF($NP$37="Bell_Curve",$NN$37*(61-$NR$37+1)*($NS$37-61+1)/$NU$37,$NN$37/$NT$37)),0)</f>
        <v/>
      </c>
      <c r="BN37" s="402">
        <f>IF(AND(62&gt;=$NR$37,62&lt;=$NS$37),IF($NP$37="Single_Point",IF(62=$NR$37,$NN$37,0),IF($NP$37="Bell_Curve",$NN$37*(62-$NR$37+1)*($NS$37-62+1)/$NU$37,$NN$37/$NT$37)),0)</f>
        <v/>
      </c>
      <c r="BO37" s="402">
        <f>IF(AND(63&gt;=$NR$37,63&lt;=$NS$37),IF($NP$37="Single_Point",IF(63=$NR$37,$NN$37,0),IF($NP$37="Bell_Curve",$NN$37*(63-$NR$37+1)*($NS$37-63+1)/$NU$37,$NN$37/$NT$37)),0)</f>
        <v/>
      </c>
      <c r="BP37" s="402">
        <f>IF(AND(64&gt;=$NR$37,64&lt;=$NS$37),IF($NP$37="Single_Point",IF(64=$NR$37,$NN$37,0),IF($NP$37="Bell_Curve",$NN$37*(64-$NR$37+1)*($NS$37-64+1)/$NU$37,$NN$37/$NT$37)),0)</f>
        <v/>
      </c>
      <c r="BQ37" s="402">
        <f>IF(AND(65&gt;=$NR$37,65&lt;=$NS$37),IF($NP$37="Single_Point",IF(65=$NR$37,$NN$37,0),IF($NP$37="Bell_Curve",$NN$37*(65-$NR$37+1)*($NS$37-65+1)/$NU$37,$NN$37/$NT$37)),0)</f>
        <v/>
      </c>
      <c r="BR37" s="402">
        <f>IF(AND(66&gt;=$NR$37,66&lt;=$NS$37),IF($NP$37="Single_Point",IF(66=$NR$37,$NN$37,0),IF($NP$37="Bell_Curve",$NN$37*(66-$NR$37+1)*($NS$37-66+1)/$NU$37,$NN$37/$NT$37)),0)</f>
        <v/>
      </c>
      <c r="BS37" s="402">
        <f>IF(AND(67&gt;=$NR$37,67&lt;=$NS$37),IF($NP$37="Single_Point",IF(67=$NR$37,$NN$37,0),IF($NP$37="Bell_Curve",$NN$37*(67-$NR$37+1)*($NS$37-67+1)/$NU$37,$NN$37/$NT$37)),0)</f>
        <v/>
      </c>
      <c r="BT37" s="402">
        <f>IF(AND(68&gt;=$NR$37,68&lt;=$NS$37),IF($NP$37="Single_Point",IF(68=$NR$37,$NN$37,0),IF($NP$37="Bell_Curve",$NN$37*(68-$NR$37+1)*($NS$37-68+1)/$NU$37,$NN$37/$NT$37)),0)</f>
        <v/>
      </c>
      <c r="BU37" s="402">
        <f>IF(AND(69&gt;=$NR$37,69&lt;=$NS$37),IF($NP$37="Single_Point",IF(69=$NR$37,$NN$37,0),IF($NP$37="Bell_Curve",$NN$37*(69-$NR$37+1)*($NS$37-69+1)/$NU$37,$NN$37/$NT$37)),0)</f>
        <v/>
      </c>
      <c r="BV37" s="402">
        <f>IF(AND(70&gt;=$NR$37,70&lt;=$NS$37),IF($NP$37="Single_Point",IF(70=$NR$37,$NN$37,0),IF($NP$37="Bell_Curve",$NN$37*(70-$NR$37+1)*($NS$37-70+1)/$NU$37,$NN$37/$NT$37)),0)</f>
        <v/>
      </c>
      <c r="BW37" s="402">
        <f>IF(AND(71&gt;=$NR$37,71&lt;=$NS$37),IF($NP$37="Single_Point",IF(71=$NR$37,$NN$37,0),IF($NP$37="Bell_Curve",$NN$37*(71-$NR$37+1)*($NS$37-71+1)/$NU$37,$NN$37/$NT$37)),0)</f>
        <v/>
      </c>
      <c r="BX37" s="402">
        <f>IF(AND(72&gt;=$NR$37,72&lt;=$NS$37),IF($NP$37="Single_Point",IF(72=$NR$37,$NN$37,0),IF($NP$37="Bell_Curve",$NN$37*(72-$NR$37+1)*($NS$37-72+1)/$NU$37,$NN$37/$NT$37)),0)</f>
        <v/>
      </c>
      <c r="BY37" s="402">
        <f>IF(AND(73&gt;=$NR$37,73&lt;=$NS$37),IF($NP$37="Single_Point",IF(73=$NR$37,$NN$37,0),IF($NP$37="Bell_Curve",$NN$37*(73-$NR$37+1)*($NS$37-73+1)/$NU$37,$NN$37/$NT$37)),0)</f>
        <v/>
      </c>
      <c r="BZ37" s="402">
        <f>IF(AND(74&gt;=$NR$37,74&lt;=$NS$37),IF($NP$37="Single_Point",IF(74=$NR$37,$NN$37,0),IF($NP$37="Bell_Curve",$NN$37*(74-$NR$37+1)*($NS$37-74+1)/$NU$37,$NN$37/$NT$37)),0)</f>
        <v/>
      </c>
      <c r="CA37" s="402">
        <f>IF(AND(75&gt;=$NR$37,75&lt;=$NS$37),IF($NP$37="Single_Point",IF(75=$NR$37,$NN$37,0),IF($NP$37="Bell_Curve",$NN$37*(75-$NR$37+1)*($NS$37-75+1)/$NU$37,$NN$37/$NT$37)),0)</f>
        <v/>
      </c>
      <c r="CB37" s="402">
        <f>IF(AND(76&gt;=$NR$37,76&lt;=$NS$37),IF($NP$37="Single_Point",IF(76=$NR$37,$NN$37,0),IF($NP$37="Bell_Curve",$NN$37*(76-$NR$37+1)*($NS$37-76+1)/$NU$37,$NN$37/$NT$37)),0)</f>
        <v/>
      </c>
      <c r="CC37" s="402">
        <f>IF(AND(77&gt;=$NR$37,77&lt;=$NS$37),IF($NP$37="Single_Point",IF(77=$NR$37,$NN$37,0),IF($NP$37="Bell_Curve",$NN$37*(77-$NR$37+1)*($NS$37-77+1)/$NU$37,$NN$37/$NT$37)),0)</f>
        <v/>
      </c>
      <c r="CD37" s="402">
        <f>IF(AND(78&gt;=$NR$37,78&lt;=$NS$37),IF($NP$37="Single_Point",IF(78=$NR$37,$NN$37,0),IF($NP$37="Bell_Curve",$NN$37*(78-$NR$37+1)*($NS$37-78+1)/$NU$37,$NN$37/$NT$37)),0)</f>
        <v/>
      </c>
      <c r="CE37" s="402">
        <f>IF(AND(79&gt;=$NR$37,79&lt;=$NS$37),IF($NP$37="Single_Point",IF(79=$NR$37,$NN$37,0),IF($NP$37="Bell_Curve",$NN$37*(79-$NR$37+1)*($NS$37-79+1)/$NU$37,$NN$37/$NT$37)),0)</f>
        <v/>
      </c>
      <c r="CF37" s="402">
        <f>IF(AND(80&gt;=$NR$37,80&lt;=$NS$37),IF($NP$37="Single_Point",IF(80=$NR$37,$NN$37,0),IF($NP$37="Bell_Curve",$NN$37*(80-$NR$37+1)*($NS$37-80+1)/$NU$37,$NN$37/$NT$37)),0)</f>
        <v/>
      </c>
      <c r="CG37" s="402">
        <f>IF(AND(81&gt;=$NR$37,81&lt;=$NS$37),IF($NP$37="Single_Point",IF(81=$NR$37,$NN$37,0),IF($NP$37="Bell_Curve",$NN$37*(81-$NR$37+1)*($NS$37-81+1)/$NU$37,$NN$37/$NT$37)),0)</f>
        <v/>
      </c>
      <c r="CH37" s="402">
        <f>IF(AND(82&gt;=$NR$37,82&lt;=$NS$37),IF($NP$37="Single_Point",IF(82=$NR$37,$NN$37,0),IF($NP$37="Bell_Curve",$NN$37*(82-$NR$37+1)*($NS$37-82+1)/$NU$37,$NN$37/$NT$37)),0)</f>
        <v/>
      </c>
      <c r="CI37" s="402">
        <f>IF(AND(83&gt;=$NR$37,83&lt;=$NS$37),IF($NP$37="Single_Point",IF(83=$NR$37,$NN$37,0),IF($NP$37="Bell_Curve",$NN$37*(83-$NR$37+1)*($NS$37-83+1)/$NU$37,$NN$37/$NT$37)),0)</f>
        <v/>
      </c>
      <c r="CJ37" s="402">
        <f>IF(AND(84&gt;=$NR$37,84&lt;=$NS$37),IF($NP$37="Single_Point",IF(84=$NR$37,$NN$37,0),IF($NP$37="Bell_Curve",$NN$37*(84-$NR$37+1)*($NS$37-84+1)/$NU$37,$NN$37/$NT$37)),0)</f>
        <v/>
      </c>
      <c r="CK37" s="402">
        <f>IF(AND(85&gt;=$NR$37,85&lt;=$NS$37),IF($NP$37="Single_Point",IF(85=$NR$37,$NN$37,0),IF($NP$37="Bell_Curve",$NN$37*(85-$NR$37+1)*($NS$37-85+1)/$NU$37,$NN$37/$NT$37)),0)</f>
        <v/>
      </c>
      <c r="CL37" s="402">
        <f>IF(AND(86&gt;=$NR$37,86&lt;=$NS$37),IF($NP$37="Single_Point",IF(86=$NR$37,$NN$37,0),IF($NP$37="Bell_Curve",$NN$37*(86-$NR$37+1)*($NS$37-86+1)/$NU$37,$NN$37/$NT$37)),0)</f>
        <v/>
      </c>
      <c r="CM37" s="402">
        <f>IF(AND(87&gt;=$NR$37,87&lt;=$NS$37),IF($NP$37="Single_Point",IF(87=$NR$37,$NN$37,0),IF($NP$37="Bell_Curve",$NN$37*(87-$NR$37+1)*($NS$37-87+1)/$NU$37,$NN$37/$NT$37)),0)</f>
        <v/>
      </c>
      <c r="CN37" s="402">
        <f>IF(AND(88&gt;=$NR$37,88&lt;=$NS$37),IF($NP$37="Single_Point",IF(88=$NR$37,$NN$37,0),IF($NP$37="Bell_Curve",$NN$37*(88-$NR$37+1)*($NS$37-88+1)/$NU$37,$NN$37/$NT$37)),0)</f>
        <v/>
      </c>
      <c r="CO37" s="402">
        <f>IF(AND(89&gt;=$NR$37,89&lt;=$NS$37),IF($NP$37="Single_Point",IF(89=$NR$37,$NN$37,0),IF($NP$37="Bell_Curve",$NN$37*(89-$NR$37+1)*($NS$37-89+1)/$NU$37,$NN$37/$NT$37)),0)</f>
        <v/>
      </c>
      <c r="CP37" s="402">
        <f>IF(AND(90&gt;=$NR$37,90&lt;=$NS$37),IF($NP$37="Single_Point",IF(90=$NR$37,$NN$37,0),IF($NP$37="Bell_Curve",$NN$37*(90-$NR$37+1)*($NS$37-90+1)/$NU$37,$NN$37/$NT$37)),0)</f>
        <v/>
      </c>
      <c r="CQ37" s="402">
        <f>IF(AND(91&gt;=$NR$37,91&lt;=$NS$37),IF($NP$37="Single_Point",IF(91=$NR$37,$NN$37,0),IF($NP$37="Bell_Curve",$NN$37*(91-$NR$37+1)*($NS$37-91+1)/$NU$37,$NN$37/$NT$37)),0)</f>
        <v/>
      </c>
      <c r="CR37" s="402">
        <f>IF(AND(92&gt;=$NR$37,92&lt;=$NS$37),IF($NP$37="Single_Point",IF(92=$NR$37,$NN$37,0),IF($NP$37="Bell_Curve",$NN$37*(92-$NR$37+1)*($NS$37-92+1)/$NU$37,$NN$37/$NT$37)),0)</f>
        <v/>
      </c>
      <c r="CS37" s="402">
        <f>IF(AND(93&gt;=$NR$37,93&lt;=$NS$37),IF($NP$37="Single_Point",IF(93=$NR$37,$NN$37,0),IF($NP$37="Bell_Curve",$NN$37*(93-$NR$37+1)*($NS$37-93+1)/$NU$37,$NN$37/$NT$37)),0)</f>
        <v/>
      </c>
      <c r="CT37" s="402">
        <f>IF(AND(94&gt;=$NR$37,94&lt;=$NS$37),IF($NP$37="Single_Point",IF(94=$NR$37,$NN$37,0),IF($NP$37="Bell_Curve",$NN$37*(94-$NR$37+1)*($NS$37-94+1)/$NU$37,$NN$37/$NT$37)),0)</f>
        <v/>
      </c>
      <c r="CU37" s="402">
        <f>IF(AND(95&gt;=$NR$37,95&lt;=$NS$37),IF($NP$37="Single_Point",IF(95=$NR$37,$NN$37,0),IF($NP$37="Bell_Curve",$NN$37*(95-$NR$37+1)*($NS$37-95+1)/$NU$37,$NN$37/$NT$37)),0)</f>
        <v/>
      </c>
      <c r="CV37" s="402">
        <f>IF(AND(96&gt;=$NR$37,96&lt;=$NS$37),IF($NP$37="Single_Point",IF(96=$NR$37,$NN$37,0),IF($NP$37="Bell_Curve",$NN$37*(96-$NR$37+1)*($NS$37-96+1)/$NU$37,$NN$37/$NT$37)),0)</f>
        <v/>
      </c>
      <c r="CW37" s="402">
        <f>IF(AND(97&gt;=$NR$37,97&lt;=$NS$37),IF($NP$37="Single_Point",IF(97=$NR$37,$NN$37,0),IF($NP$37="Bell_Curve",$NN$37*(97-$NR$37+1)*($NS$37-97+1)/$NU$37,$NN$37/$NT$37)),0)</f>
        <v/>
      </c>
      <c r="CX37" s="402">
        <f>IF(AND(98&gt;=$NR$37,98&lt;=$NS$37),IF($NP$37="Single_Point",IF(98=$NR$37,$NN$37,0),IF($NP$37="Bell_Curve",$NN$37*(98-$NR$37+1)*($NS$37-98+1)/$NU$37,$NN$37/$NT$37)),0)</f>
        <v/>
      </c>
      <c r="CY37" s="402">
        <f>IF(AND(99&gt;=$NR$37,99&lt;=$NS$37),IF($NP$37="Single_Point",IF(99=$NR$37,$NN$37,0),IF($NP$37="Bell_Curve",$NN$37*(99-$NR$37+1)*($NS$37-99+1)/$NU$37,$NN$37/$NT$37)),0)</f>
        <v/>
      </c>
      <c r="CZ37" s="402">
        <f>IF(AND(100&gt;=$NR$37,100&lt;=$NS$37),IF($NP$37="Single_Point",IF(100=$NR$37,$NN$37,0),IF($NP$37="Bell_Curve",$NN$37*(100-$NR$37+1)*($NS$37-100+1)/$NU$37,$NN$37/$NT$37)),0)</f>
        <v/>
      </c>
      <c r="DA37" s="402">
        <f>IF(AND(101&gt;=$NR$37,101&lt;=$NS$37),IF($NP$37="Single_Point",IF(101=$NR$37,$NN$37,0),IF($NP$37="Bell_Curve",$NN$37*(101-$NR$37+1)*($NS$37-101+1)/$NU$37,$NN$37/$NT$37)),0)</f>
        <v/>
      </c>
      <c r="DB37" s="402">
        <f>IF(AND(102&gt;=$NR$37,102&lt;=$NS$37),IF($NP$37="Single_Point",IF(102=$NR$37,$NN$37,0),IF($NP$37="Bell_Curve",$NN$37*(102-$NR$37+1)*($NS$37-102+1)/$NU$37,$NN$37/$NT$37)),0)</f>
        <v/>
      </c>
      <c r="DC37" s="402">
        <f>IF(AND(103&gt;=$NR$37,103&lt;=$NS$37),IF($NP$37="Single_Point",IF(103=$NR$37,$NN$37,0),IF($NP$37="Bell_Curve",$NN$37*(103-$NR$37+1)*($NS$37-103+1)/$NU$37,$NN$37/$NT$37)),0)</f>
        <v/>
      </c>
      <c r="DD37" s="402">
        <f>IF(AND(104&gt;=$NR$37,104&lt;=$NS$37),IF($NP$37="Single_Point",IF(104=$NR$37,$NN$37,0),IF($NP$37="Bell_Curve",$NN$37*(104-$NR$37+1)*($NS$37-104+1)/$NU$37,$NN$37/$NT$37)),0)</f>
        <v/>
      </c>
      <c r="DE37" s="402">
        <f>IF(AND(105&gt;=$NR$37,105&lt;=$NS$37),IF($NP$37="Single_Point",IF(105=$NR$37,$NN$37,0),IF($NP$37="Bell_Curve",$NN$37*(105-$NR$37+1)*($NS$37-105+1)/$NU$37,$NN$37/$NT$37)),0)</f>
        <v/>
      </c>
      <c r="DF37" s="402">
        <f>IF(AND(106&gt;=$NR$37,106&lt;=$NS$37),IF($NP$37="Single_Point",IF(106=$NR$37,$NN$37,0),IF($NP$37="Bell_Curve",$NN$37*(106-$NR$37+1)*($NS$37-106+1)/$NU$37,$NN$37/$NT$37)),0)</f>
        <v/>
      </c>
      <c r="DG37" s="402">
        <f>IF(AND(107&gt;=$NR$37,107&lt;=$NS$37),IF($NP$37="Single_Point",IF(107=$NR$37,$NN$37,0),IF($NP$37="Bell_Curve",$NN$37*(107-$NR$37+1)*($NS$37-107+1)/$NU$37,$NN$37/$NT$37)),0)</f>
        <v/>
      </c>
      <c r="DH37" s="402">
        <f>IF(AND(108&gt;=$NR$37,108&lt;=$NS$37),IF($NP$37="Single_Point",IF(108=$NR$37,$NN$37,0),IF($NP$37="Bell_Curve",$NN$37*(108-$NR$37+1)*($NS$37-108+1)/$NU$37,$NN$37/$NT$37)),0)</f>
        <v/>
      </c>
      <c r="DI37" s="402">
        <f>IF(AND(109&gt;=$NR$37,109&lt;=$NS$37),IF($NP$37="Single_Point",IF(109=$NR$37,$NN$37,0),IF($NP$37="Bell_Curve",$NN$37*(109-$NR$37+1)*($NS$37-109+1)/$NU$37,$NN$37/$NT$37)),0)</f>
        <v/>
      </c>
      <c r="DJ37" s="402">
        <f>IF(AND(110&gt;=$NR$37,110&lt;=$NS$37),IF($NP$37="Single_Point",IF(110=$NR$37,$NN$37,0),IF($NP$37="Bell_Curve",$NN$37*(110-$NR$37+1)*($NS$37-110+1)/$NU$37,$NN$37/$NT$37)),0)</f>
        <v/>
      </c>
      <c r="DK37" s="402">
        <f>IF(AND(111&gt;=$NR$37,111&lt;=$NS$37),IF($NP$37="Single_Point",IF(111=$NR$37,$NN$37,0),IF($NP$37="Bell_Curve",$NN$37*(111-$NR$37+1)*($NS$37-111+1)/$NU$37,$NN$37/$NT$37)),0)</f>
        <v/>
      </c>
      <c r="DL37" s="402">
        <f>IF(AND(112&gt;=$NR$37,112&lt;=$NS$37),IF($NP$37="Single_Point",IF(112=$NR$37,$NN$37,0),IF($NP$37="Bell_Curve",$NN$37*(112-$NR$37+1)*($NS$37-112+1)/$NU$37,$NN$37/$NT$37)),0)</f>
        <v/>
      </c>
      <c r="DM37" s="402">
        <f>IF(AND(113&gt;=$NR$37,113&lt;=$NS$37),IF($NP$37="Single_Point",IF(113=$NR$37,$NN$37,0),IF($NP$37="Bell_Curve",$NN$37*(113-$NR$37+1)*($NS$37-113+1)/$NU$37,$NN$37/$NT$37)),0)</f>
        <v/>
      </c>
      <c r="DN37" s="402">
        <f>IF(AND(114&gt;=$NR$37,114&lt;=$NS$37),IF($NP$37="Single_Point",IF(114=$NR$37,$NN$37,0),IF($NP$37="Bell_Curve",$NN$37*(114-$NR$37+1)*($NS$37-114+1)/$NU$37,$NN$37/$NT$37)),0)</f>
        <v/>
      </c>
      <c r="DO37" s="402">
        <f>IF(AND(115&gt;=$NR$37,115&lt;=$NS$37),IF($NP$37="Single_Point",IF(115=$NR$37,$NN$37,0),IF($NP$37="Bell_Curve",$NN$37*(115-$NR$37+1)*($NS$37-115+1)/$NU$37,$NN$37/$NT$37)),0)</f>
        <v/>
      </c>
      <c r="DP37" s="402">
        <f>IF(AND(116&gt;=$NR$37,116&lt;=$NS$37),IF($NP$37="Single_Point",IF(116=$NR$37,$NN$37,0),IF($NP$37="Bell_Curve",$NN$37*(116-$NR$37+1)*($NS$37-116+1)/$NU$37,$NN$37/$NT$37)),0)</f>
        <v/>
      </c>
      <c r="DQ37" s="402">
        <f>IF(AND(117&gt;=$NR$37,117&lt;=$NS$37),IF($NP$37="Single_Point",IF(117=$NR$37,$NN$37,0),IF($NP$37="Bell_Curve",$NN$37*(117-$NR$37+1)*($NS$37-117+1)/$NU$37,$NN$37/$NT$37)),0)</f>
        <v/>
      </c>
      <c r="DR37" s="402">
        <f>IF(AND(118&gt;=$NR$37,118&lt;=$NS$37),IF($NP$37="Single_Point",IF(118=$NR$37,$NN$37,0),IF($NP$37="Bell_Curve",$NN$37*(118-$NR$37+1)*($NS$37-118+1)/$NU$37,$NN$37/$NT$37)),0)</f>
        <v/>
      </c>
      <c r="DS37" s="402">
        <f>IF(AND(119&gt;=$NR$37,119&lt;=$NS$37),IF($NP$37="Single_Point",IF(119=$NR$37,$NN$37,0),IF($NP$37="Bell_Curve",$NN$37*(119-$NR$37+1)*($NS$37-119+1)/$NU$37,$NN$37/$NT$37)),0)</f>
        <v/>
      </c>
      <c r="DT37" s="402">
        <f>IF(AND(120&gt;=$NR$37,120&lt;=$NS$37),IF($NP$37="Single_Point",IF(120=$NR$37,$NN$37,0),IF($NP$37="Bell_Curve",$NN$37*(120-$NR$37+1)*($NS$37-120+1)/$NU$37,$NN$37/$NT$37)),0)</f>
        <v/>
      </c>
      <c r="DU37" s="402">
        <f>IF(AND(121&gt;=$NR$37,121&lt;=$NS$37),IF($NP$37="Single_Point",IF(121=$NR$37,$NN$37,0),IF($NP$37="Bell_Curve",$NN$37*(121-$NR$37+1)*($NS$37-121+1)/$NU$37,$NN$37/$NT$37)),0)</f>
        <v/>
      </c>
      <c r="DV37" s="402">
        <f>IF(AND(122&gt;=$NR$37,122&lt;=$NS$37),IF($NP$37="Single_Point",IF(122=$NR$37,$NN$37,0),IF($NP$37="Bell_Curve",$NN$37*(122-$NR$37+1)*($NS$37-122+1)/$NU$37,$NN$37/$NT$37)),0)</f>
        <v/>
      </c>
      <c r="DW37" s="402">
        <f>IF(AND(123&gt;=$NR$37,123&lt;=$NS$37),IF($NP$37="Single_Point",IF(123=$NR$37,$NN$37,0),IF($NP$37="Bell_Curve",$NN$37*(123-$NR$37+1)*($NS$37-123+1)/$NU$37,$NN$37/$NT$37)),0)</f>
        <v/>
      </c>
      <c r="DX37" s="402">
        <f>IF(AND(124&gt;=$NR$37,124&lt;=$NS$37),IF($NP$37="Single_Point",IF(124=$NR$37,$NN$37,0),IF($NP$37="Bell_Curve",$NN$37*(124-$NR$37+1)*($NS$37-124+1)/$NU$37,$NN$37/$NT$37)),0)</f>
        <v/>
      </c>
      <c r="DY37" s="402">
        <f>IF(AND(125&gt;=$NR$37,125&lt;=$NS$37),IF($NP$37="Single_Point",IF(125=$NR$37,$NN$37,0),IF($NP$37="Bell_Curve",$NN$37*(125-$NR$37+1)*($NS$37-125+1)/$NU$37,$NN$37/$NT$37)),0)</f>
        <v/>
      </c>
      <c r="DZ37" s="402">
        <f>IF(AND(126&gt;=$NR$37,126&lt;=$NS$37),IF($NP$37="Single_Point",IF(126=$NR$37,$NN$37,0),IF($NP$37="Bell_Curve",$NN$37*(126-$NR$37+1)*($NS$37-126+1)/$NU$37,$NN$37/$NT$37)),0)</f>
        <v/>
      </c>
      <c r="EA37" s="402">
        <f>IF(AND(127&gt;=$NR$37,127&lt;=$NS$37),IF($NP$37="Single_Point",IF(127=$NR$37,$NN$37,0),IF($NP$37="Bell_Curve",$NN$37*(127-$NR$37+1)*($NS$37-127+1)/$NU$37,$NN$37/$NT$37)),0)</f>
        <v/>
      </c>
      <c r="EB37" s="402">
        <f>IF(AND(128&gt;=$NR$37,128&lt;=$NS$37),IF($NP$37="Single_Point",IF(128=$NR$37,$NN$37,0),IF($NP$37="Bell_Curve",$NN$37*(128-$NR$37+1)*($NS$37-128+1)/$NU$37,$NN$37/$NT$37)),0)</f>
        <v/>
      </c>
      <c r="EC37" s="402">
        <f>IF(AND(129&gt;=$NR$37,129&lt;=$NS$37),IF($NP$37="Single_Point",IF(129=$NR$37,$NN$37,0),IF($NP$37="Bell_Curve",$NN$37*(129-$NR$37+1)*($NS$37-129+1)/$NU$37,$NN$37/$NT$37)),0)</f>
        <v/>
      </c>
      <c r="ED37" s="402">
        <f>IF(AND(130&gt;=$NR$37,130&lt;=$NS$37),IF($NP$37="Single_Point",IF(130=$NR$37,$NN$37,0),IF($NP$37="Bell_Curve",$NN$37*(130-$NR$37+1)*($NS$37-130+1)/$NU$37,$NN$37/$NT$37)),0)</f>
        <v/>
      </c>
      <c r="EE37" s="402">
        <f>IF(AND(131&gt;=$NR$37,131&lt;=$NS$37),IF($NP$37="Single_Point",IF(131=$NR$37,$NN$37,0),IF($NP$37="Bell_Curve",$NN$37*(131-$NR$37+1)*($NS$37-131+1)/$NU$37,$NN$37/$NT$37)),0)</f>
        <v/>
      </c>
      <c r="EF37" s="402">
        <f>IF(AND(132&gt;=$NR$37,132&lt;=$NS$37),IF($NP$37="Single_Point",IF(132=$NR$37,$NN$37,0),IF($NP$37="Bell_Curve",$NN$37*(132-$NR$37+1)*($NS$37-132+1)/$NU$37,$NN$37/$NT$37)),0)</f>
        <v/>
      </c>
      <c r="EG37" s="402">
        <f>IF(AND(133&gt;=$NR$37,133&lt;=$NS$37),IF($NP$37="Single_Point",IF(133=$NR$37,$NN$37,0),IF($NP$37="Bell_Curve",$NN$37*(133-$NR$37+1)*($NS$37-133+1)/$NU$37,$NN$37/$NT$37)),0)</f>
        <v/>
      </c>
      <c r="EH37" s="402">
        <f>IF(AND(134&gt;=$NR$37,134&lt;=$NS$37),IF($NP$37="Single_Point",IF(134=$NR$37,$NN$37,0),IF($NP$37="Bell_Curve",$NN$37*(134-$NR$37+1)*($NS$37-134+1)/$NU$37,$NN$37/$NT$37)),0)</f>
        <v/>
      </c>
      <c r="EI37" s="402">
        <f>IF(AND(135&gt;=$NR$37,135&lt;=$NS$37),IF($NP$37="Single_Point",IF(135=$NR$37,$NN$37,0),IF($NP$37="Bell_Curve",$NN$37*(135-$NR$37+1)*($NS$37-135+1)/$NU$37,$NN$37/$NT$37)),0)</f>
        <v/>
      </c>
      <c r="EJ37" s="402">
        <f>IF(AND(136&gt;=$NR$37,136&lt;=$NS$37),IF($NP$37="Single_Point",IF(136=$NR$37,$NN$37,0),IF($NP$37="Bell_Curve",$NN$37*(136-$NR$37+1)*($NS$37-136+1)/$NU$37,$NN$37/$NT$37)),0)</f>
        <v/>
      </c>
      <c r="EK37" s="402">
        <f>IF(AND(137&gt;=$NR$37,137&lt;=$NS$37),IF($NP$37="Single_Point",IF(137=$NR$37,$NN$37,0),IF($NP$37="Bell_Curve",$NN$37*(137-$NR$37+1)*($NS$37-137+1)/$NU$37,$NN$37/$NT$37)),0)</f>
        <v/>
      </c>
      <c r="EL37" s="402">
        <f>IF(AND(138&gt;=$NR$37,138&lt;=$NS$37),IF($NP$37="Single_Point",IF(138=$NR$37,$NN$37,0),IF($NP$37="Bell_Curve",$NN$37*(138-$NR$37+1)*($NS$37-138+1)/$NU$37,$NN$37/$NT$37)),0)</f>
        <v/>
      </c>
      <c r="EM37" s="402">
        <f>IF(AND(139&gt;=$NR$37,139&lt;=$NS$37),IF($NP$37="Single_Point",IF(139=$NR$37,$NN$37,0),IF($NP$37="Bell_Curve",$NN$37*(139-$NR$37+1)*($NS$37-139+1)/$NU$37,$NN$37/$NT$37)),0)</f>
        <v/>
      </c>
      <c r="EN37" s="402">
        <f>IF(AND(140&gt;=$NR$37,140&lt;=$NS$37),IF($NP$37="Single_Point",IF(140=$NR$37,$NN$37,0),IF($NP$37="Bell_Curve",$NN$37*(140-$NR$37+1)*($NS$37-140+1)/$NU$37,$NN$37/$NT$37)),0)</f>
        <v/>
      </c>
      <c r="EO37" s="402">
        <f>IF(AND(141&gt;=$NR$37,141&lt;=$NS$37),IF($NP$37="Single_Point",IF(141=$NR$37,$NN$37,0),IF($NP$37="Bell_Curve",$NN$37*(141-$NR$37+1)*($NS$37-141+1)/$NU$37,$NN$37/$NT$37)),0)</f>
        <v/>
      </c>
      <c r="EP37" s="402">
        <f>IF(AND(142&gt;=$NR$37,142&lt;=$NS$37),IF($NP$37="Single_Point",IF(142=$NR$37,$NN$37,0),IF($NP$37="Bell_Curve",$NN$37*(142-$NR$37+1)*($NS$37-142+1)/$NU$37,$NN$37/$NT$37)),0)</f>
        <v/>
      </c>
      <c r="EQ37" s="402">
        <f>IF(AND(143&gt;=$NR$37,143&lt;=$NS$37),IF($NP$37="Single_Point",IF(143=$NR$37,$NN$37,0),IF($NP$37="Bell_Curve",$NN$37*(143-$NR$37+1)*($NS$37-143+1)/$NU$37,$NN$37/$NT$37)),0)</f>
        <v/>
      </c>
      <c r="ER37" s="402">
        <f>IF(AND(144&gt;=$NR$37,144&lt;=$NS$37),IF($NP$37="Single_Point",IF(144=$NR$37,$NN$37,0),IF($NP$37="Bell_Curve",$NN$37*(144-$NR$37+1)*($NS$37-144+1)/$NU$37,$NN$37/$NT$37)),0)</f>
        <v/>
      </c>
      <c r="ES37" s="402">
        <f>IF(AND(145&gt;=$NR$37,145&lt;=$NS$37),IF($NP$37="Single_Point",IF(145=$NR$37,$NN$37,0),IF($NP$37="Bell_Curve",$NN$37*(145-$NR$37+1)*($NS$37-145+1)/$NU$37,$NN$37/$NT$37)),0)</f>
        <v/>
      </c>
      <c r="ET37" s="402">
        <f>IF(AND(146&gt;=$NR$37,146&lt;=$NS$37),IF($NP$37="Single_Point",IF(146=$NR$37,$NN$37,0),IF($NP$37="Bell_Curve",$NN$37*(146-$NR$37+1)*($NS$37-146+1)/$NU$37,$NN$37/$NT$37)),0)</f>
        <v/>
      </c>
      <c r="EU37" s="402">
        <f>IF(AND(147&gt;=$NR$37,147&lt;=$NS$37),IF($NP$37="Single_Point",IF(147=$NR$37,$NN$37,0),IF($NP$37="Bell_Curve",$NN$37*(147-$NR$37+1)*($NS$37-147+1)/$NU$37,$NN$37/$NT$37)),0)</f>
        <v/>
      </c>
      <c r="EV37" s="402">
        <f>IF(AND(148&gt;=$NR$37,148&lt;=$NS$37),IF($NP$37="Single_Point",IF(148=$NR$37,$NN$37,0),IF($NP$37="Bell_Curve",$NN$37*(148-$NR$37+1)*($NS$37-148+1)/$NU$37,$NN$37/$NT$37)),0)</f>
        <v/>
      </c>
      <c r="EW37" s="402">
        <f>IF(AND(149&gt;=$NR$37,149&lt;=$NS$37),IF($NP$37="Single_Point",IF(149=$NR$37,$NN$37,0),IF($NP$37="Bell_Curve",$NN$37*(149-$NR$37+1)*($NS$37-149+1)/$NU$37,$NN$37/$NT$37)),0)</f>
        <v/>
      </c>
      <c r="EX37" s="402">
        <f>IF(AND(150&gt;=$NR$37,150&lt;=$NS$37),IF($NP$37="Single_Point",IF(150=$NR$37,$NN$37,0),IF($NP$37="Bell_Curve",$NN$37*(150-$NR$37+1)*($NS$37-150+1)/$NU$37,$NN$37/$NT$37)),0)</f>
        <v/>
      </c>
      <c r="EY37" s="402">
        <f>IF(AND(151&gt;=$NR$37,151&lt;=$NS$37),IF($NP$37="Single_Point",IF(151=$NR$37,$NN$37,0),IF($NP$37="Bell_Curve",$NN$37*(151-$NR$37+1)*($NS$37-151+1)/$NU$37,$NN$37/$NT$37)),0)</f>
        <v/>
      </c>
      <c r="EZ37" s="402">
        <f>IF(AND(152&gt;=$NR$37,152&lt;=$NS$37),IF($NP$37="Single_Point",IF(152=$NR$37,$NN$37,0),IF($NP$37="Bell_Curve",$NN$37*(152-$NR$37+1)*($NS$37-152+1)/$NU$37,$NN$37/$NT$37)),0)</f>
        <v/>
      </c>
      <c r="FA37" s="402">
        <f>IF(AND(153&gt;=$NR$37,153&lt;=$NS$37),IF($NP$37="Single_Point",IF(153=$NR$37,$NN$37,0),IF($NP$37="Bell_Curve",$NN$37*(153-$NR$37+1)*($NS$37-153+1)/$NU$37,$NN$37/$NT$37)),0)</f>
        <v/>
      </c>
      <c r="FB37" s="402">
        <f>IF(AND(154&gt;=$NR$37,154&lt;=$NS$37),IF($NP$37="Single_Point",IF(154=$NR$37,$NN$37,0),IF($NP$37="Bell_Curve",$NN$37*(154-$NR$37+1)*($NS$37-154+1)/$NU$37,$NN$37/$NT$37)),0)</f>
        <v/>
      </c>
      <c r="FC37" s="402">
        <f>IF(AND(155&gt;=$NR$37,155&lt;=$NS$37),IF($NP$37="Single_Point",IF(155=$NR$37,$NN$37,0),IF($NP$37="Bell_Curve",$NN$37*(155-$NR$37+1)*($NS$37-155+1)/$NU$37,$NN$37/$NT$37)),0)</f>
        <v/>
      </c>
      <c r="FD37" s="402">
        <f>IF(AND(156&gt;=$NR$37,156&lt;=$NS$37),IF($NP$37="Single_Point",IF(156=$NR$37,$NN$37,0),IF($NP$37="Bell_Curve",$NN$37*(156-$NR$37+1)*($NS$37-156+1)/$NU$37,$NN$37/$NT$37)),0)</f>
        <v/>
      </c>
      <c r="FE37" s="402">
        <f>IF(AND(157&gt;=$NR$37,157&lt;=$NS$37),IF($NP$37="Single_Point",IF(157=$NR$37,$NN$37,0),IF($NP$37="Bell_Curve",$NN$37*(157-$NR$37+1)*($NS$37-157+1)/$NU$37,$NN$37/$NT$37)),0)</f>
        <v/>
      </c>
      <c r="FF37" s="402">
        <f>IF(AND(158&gt;=$NR$37,158&lt;=$NS$37),IF($NP$37="Single_Point",IF(158=$NR$37,$NN$37,0),IF($NP$37="Bell_Curve",$NN$37*(158-$NR$37+1)*($NS$37-158+1)/$NU$37,$NN$37/$NT$37)),0)</f>
        <v/>
      </c>
      <c r="FG37" s="402">
        <f>IF(AND(159&gt;=$NR$37,159&lt;=$NS$37),IF($NP$37="Single_Point",IF(159=$NR$37,$NN$37,0),IF($NP$37="Bell_Curve",$NN$37*(159-$NR$37+1)*($NS$37-159+1)/$NU$37,$NN$37/$NT$37)),0)</f>
        <v/>
      </c>
      <c r="FH37" s="402">
        <f>IF(AND(160&gt;=$NR$37,160&lt;=$NS$37),IF($NP$37="Single_Point",IF(160=$NR$37,$NN$37,0),IF($NP$37="Bell_Curve",$NN$37*(160-$NR$37+1)*($NS$37-160+1)/$NU$37,$NN$37/$NT$37)),0)</f>
        <v/>
      </c>
      <c r="FI37" s="402">
        <f>IF(AND(161&gt;=$NR$37,161&lt;=$NS$37),IF($NP$37="Single_Point",IF(161=$NR$37,$NN$37,0),IF($NP$37="Bell_Curve",$NN$37*(161-$NR$37+1)*($NS$37-161+1)/$NU$37,$NN$37/$NT$37)),0)</f>
        <v/>
      </c>
      <c r="FJ37" s="402">
        <f>IF(AND(162&gt;=$NR$37,162&lt;=$NS$37),IF($NP$37="Single_Point",IF(162=$NR$37,$NN$37,0),IF($NP$37="Bell_Curve",$NN$37*(162-$NR$37+1)*($NS$37-162+1)/$NU$37,$NN$37/$NT$37)),0)</f>
        <v/>
      </c>
      <c r="FK37" s="402">
        <f>IF(AND(163&gt;=$NR$37,163&lt;=$NS$37),IF($NP$37="Single_Point",IF(163=$NR$37,$NN$37,0),IF($NP$37="Bell_Curve",$NN$37*(163-$NR$37+1)*($NS$37-163+1)/$NU$37,$NN$37/$NT$37)),0)</f>
        <v/>
      </c>
      <c r="FL37" s="402">
        <f>IF(AND(164&gt;=$NR$37,164&lt;=$NS$37),IF($NP$37="Single_Point",IF(164=$NR$37,$NN$37,0),IF($NP$37="Bell_Curve",$NN$37*(164-$NR$37+1)*($NS$37-164+1)/$NU$37,$NN$37/$NT$37)),0)</f>
        <v/>
      </c>
      <c r="FM37" s="402">
        <f>IF(AND(165&gt;=$NR$37,165&lt;=$NS$37),IF($NP$37="Single_Point",IF(165=$NR$37,$NN$37,0),IF($NP$37="Bell_Curve",$NN$37*(165-$NR$37+1)*($NS$37-165+1)/$NU$37,$NN$37/$NT$37)),0)</f>
        <v/>
      </c>
      <c r="FN37" s="402">
        <f>IF(AND(166&gt;=$NR$37,166&lt;=$NS$37),IF($NP$37="Single_Point",IF(166=$NR$37,$NN$37,0),IF($NP$37="Bell_Curve",$NN$37*(166-$NR$37+1)*($NS$37-166+1)/$NU$37,$NN$37/$NT$37)),0)</f>
        <v/>
      </c>
      <c r="FO37" s="402">
        <f>IF(AND(167&gt;=$NR$37,167&lt;=$NS$37),IF($NP$37="Single_Point",IF(167=$NR$37,$NN$37,0),IF($NP$37="Bell_Curve",$NN$37*(167-$NR$37+1)*($NS$37-167+1)/$NU$37,$NN$37/$NT$37)),0)</f>
        <v/>
      </c>
      <c r="FP37" s="402">
        <f>IF(AND(168&gt;=$NR$37,168&lt;=$NS$37),IF($NP$37="Single_Point",IF(168=$NR$37,$NN$37,0),IF($NP$37="Bell_Curve",$NN$37*(168-$NR$37+1)*($NS$37-168+1)/$NU$37,$NN$37/$NT$37)),0)</f>
        <v/>
      </c>
      <c r="FQ37" s="402">
        <f>IF(AND(169&gt;=$NR$37,169&lt;=$NS$37),IF($NP$37="Single_Point",IF(169=$NR$37,$NN$37,0),IF($NP$37="Bell_Curve",$NN$37*(169-$NR$37+1)*($NS$37-169+1)/$NU$37,$NN$37/$NT$37)),0)</f>
        <v/>
      </c>
      <c r="FR37" s="402">
        <f>IF(AND(170&gt;=$NR$37,170&lt;=$NS$37),IF($NP$37="Single_Point",IF(170=$NR$37,$NN$37,0),IF($NP$37="Bell_Curve",$NN$37*(170-$NR$37+1)*($NS$37-170+1)/$NU$37,$NN$37/$NT$37)),0)</f>
        <v/>
      </c>
      <c r="FS37" s="402">
        <f>IF(AND(171&gt;=$NR$37,171&lt;=$NS$37),IF($NP$37="Single_Point",IF(171=$NR$37,$NN$37,0),IF($NP$37="Bell_Curve",$NN$37*(171-$NR$37+1)*($NS$37-171+1)/$NU$37,$NN$37/$NT$37)),0)</f>
        <v/>
      </c>
      <c r="FT37" s="402">
        <f>IF(AND(172&gt;=$NR$37,172&lt;=$NS$37),IF($NP$37="Single_Point",IF(172=$NR$37,$NN$37,0),IF($NP$37="Bell_Curve",$NN$37*(172-$NR$37+1)*($NS$37-172+1)/$NU$37,$NN$37/$NT$37)),0)</f>
        <v/>
      </c>
      <c r="FU37" s="402">
        <f>IF(AND(173&gt;=$NR$37,173&lt;=$NS$37),IF($NP$37="Single_Point",IF(173=$NR$37,$NN$37,0),IF($NP$37="Bell_Curve",$NN$37*(173-$NR$37+1)*($NS$37-173+1)/$NU$37,$NN$37/$NT$37)),0)</f>
        <v/>
      </c>
      <c r="FV37" s="402">
        <f>IF(AND(174&gt;=$NR$37,174&lt;=$NS$37),IF($NP$37="Single_Point",IF(174=$NR$37,$NN$37,0),IF($NP$37="Bell_Curve",$NN$37*(174-$NR$37+1)*($NS$37-174+1)/$NU$37,$NN$37/$NT$37)),0)</f>
        <v/>
      </c>
      <c r="FW37" s="402">
        <f>IF(AND(175&gt;=$NR$37,175&lt;=$NS$37),IF($NP$37="Single_Point",IF(175=$NR$37,$NN$37,0),IF($NP$37="Bell_Curve",$NN$37*(175-$NR$37+1)*($NS$37-175+1)/$NU$37,$NN$37/$NT$37)),0)</f>
        <v/>
      </c>
      <c r="FX37" s="402">
        <f>IF(AND(176&gt;=$NR$37,176&lt;=$NS$37),IF($NP$37="Single_Point",IF(176=$NR$37,$NN$37,0),IF($NP$37="Bell_Curve",$NN$37*(176-$NR$37+1)*($NS$37-176+1)/$NU$37,$NN$37/$NT$37)),0)</f>
        <v/>
      </c>
      <c r="FY37" s="402">
        <f>IF(AND(177&gt;=$NR$37,177&lt;=$NS$37),IF($NP$37="Single_Point",IF(177=$NR$37,$NN$37,0),IF($NP$37="Bell_Curve",$NN$37*(177-$NR$37+1)*($NS$37-177+1)/$NU$37,$NN$37/$NT$37)),0)</f>
        <v/>
      </c>
      <c r="FZ37" s="402">
        <f>IF(AND(178&gt;=$NR$37,178&lt;=$NS$37),IF($NP$37="Single_Point",IF(178=$NR$37,$NN$37,0),IF($NP$37="Bell_Curve",$NN$37*(178-$NR$37+1)*($NS$37-178+1)/$NU$37,$NN$37/$NT$37)),0)</f>
        <v/>
      </c>
      <c r="GA37" s="402">
        <f>IF(AND(179&gt;=$NR$37,179&lt;=$NS$37),IF($NP$37="Single_Point",IF(179=$NR$37,$NN$37,0),IF($NP$37="Bell_Curve",$NN$37*(179-$NR$37+1)*($NS$37-179+1)/$NU$37,$NN$37/$NT$37)),0)</f>
        <v/>
      </c>
      <c r="GB37" s="402">
        <f>IF(AND(180&gt;=$NR$37,180&lt;=$NS$37),IF($NP$37="Single_Point",IF(180=$NR$37,$NN$37,0),IF($NP$37="Bell_Curve",$NN$37*(180-$NR$37+1)*($NS$37-180+1)/$NU$37,$NN$37/$NT$37)),0)</f>
        <v/>
      </c>
      <c r="GC37" s="402">
        <f>IF(AND(181&gt;=$NR$37,181&lt;=$NS$37),IF($NP$37="Single_Point",IF(181=$NR$37,$NN$37,0),IF($NP$37="Bell_Curve",$NN$37*(181-$NR$37+1)*($NS$37-181+1)/$NU$37,$NN$37/$NT$37)),0)</f>
        <v/>
      </c>
      <c r="GD37" s="402">
        <f>IF(AND(182&gt;=$NR$37,182&lt;=$NS$37),IF($NP$37="Single_Point",IF(182=$NR$37,$NN$37,0),IF($NP$37="Bell_Curve",$NN$37*(182-$NR$37+1)*($NS$37-182+1)/$NU$37,$NN$37/$NT$37)),0)</f>
        <v/>
      </c>
      <c r="GE37" s="402">
        <f>IF(AND(183&gt;=$NR$37,183&lt;=$NS$37),IF($NP$37="Single_Point",IF(183=$NR$37,$NN$37,0),IF($NP$37="Bell_Curve",$NN$37*(183-$NR$37+1)*($NS$37-183+1)/$NU$37,$NN$37/$NT$37)),0)</f>
        <v/>
      </c>
      <c r="GF37" s="402">
        <f>IF(AND(184&gt;=$NR$37,184&lt;=$NS$37),IF($NP$37="Single_Point",IF(184=$NR$37,$NN$37,0),IF($NP$37="Bell_Curve",$NN$37*(184-$NR$37+1)*($NS$37-184+1)/$NU$37,$NN$37/$NT$37)),0)</f>
        <v/>
      </c>
      <c r="GG37" s="402">
        <f>IF(AND(185&gt;=$NR$37,185&lt;=$NS$37),IF($NP$37="Single_Point",IF(185=$NR$37,$NN$37,0),IF($NP$37="Bell_Curve",$NN$37*(185-$NR$37+1)*($NS$37-185+1)/$NU$37,$NN$37/$NT$37)),0)</f>
        <v/>
      </c>
      <c r="GH37" s="402">
        <f>IF(AND(186&gt;=$NR$37,186&lt;=$NS$37),IF($NP$37="Single_Point",IF(186=$NR$37,$NN$37,0),IF($NP$37="Bell_Curve",$NN$37*(186-$NR$37+1)*($NS$37-186+1)/$NU$37,$NN$37/$NT$37)),0)</f>
        <v/>
      </c>
      <c r="GI37" s="402">
        <f>IF(AND(187&gt;=$NR$37,187&lt;=$NS$37),IF($NP$37="Single_Point",IF(187=$NR$37,$NN$37,0),IF($NP$37="Bell_Curve",$NN$37*(187-$NR$37+1)*($NS$37-187+1)/$NU$37,$NN$37/$NT$37)),0)</f>
        <v/>
      </c>
      <c r="GJ37" s="402">
        <f>IF(AND(188&gt;=$NR$37,188&lt;=$NS$37),IF($NP$37="Single_Point",IF(188=$NR$37,$NN$37,0),IF($NP$37="Bell_Curve",$NN$37*(188-$NR$37+1)*($NS$37-188+1)/$NU$37,$NN$37/$NT$37)),0)</f>
        <v/>
      </c>
      <c r="GK37" s="402">
        <f>IF(AND(189&gt;=$NR$37,189&lt;=$NS$37),IF($NP$37="Single_Point",IF(189=$NR$37,$NN$37,0),IF($NP$37="Bell_Curve",$NN$37*(189-$NR$37+1)*($NS$37-189+1)/$NU$37,$NN$37/$NT$37)),0)</f>
        <v/>
      </c>
      <c r="GL37" s="402">
        <f>IF(AND(190&gt;=$NR$37,190&lt;=$NS$37),IF($NP$37="Single_Point",IF(190=$NR$37,$NN$37,0),IF($NP$37="Bell_Curve",$NN$37*(190-$NR$37+1)*($NS$37-190+1)/$NU$37,$NN$37/$NT$37)),0)</f>
        <v/>
      </c>
      <c r="GM37" s="402">
        <f>IF(AND(191&gt;=$NR$37,191&lt;=$NS$37),IF($NP$37="Single_Point",IF(191=$NR$37,$NN$37,0),IF($NP$37="Bell_Curve",$NN$37*(191-$NR$37+1)*($NS$37-191+1)/$NU$37,$NN$37/$NT$37)),0)</f>
        <v/>
      </c>
      <c r="GN37" s="402">
        <f>IF(AND(192&gt;=$NR$37,192&lt;=$NS$37),IF($NP$37="Single_Point",IF(192=$NR$37,$NN$37,0),IF($NP$37="Bell_Curve",$NN$37*(192-$NR$37+1)*($NS$37-192+1)/$NU$37,$NN$37/$NT$37)),0)</f>
        <v/>
      </c>
      <c r="GO37" s="402">
        <f>IF(AND(193&gt;=$NR$37,193&lt;=$NS$37),IF($NP$37="Single_Point",IF(193=$NR$37,$NN$37,0),IF($NP$37="Bell_Curve",$NN$37*(193-$NR$37+1)*($NS$37-193+1)/$NU$37,$NN$37/$NT$37)),0)</f>
        <v/>
      </c>
      <c r="GP37" s="402">
        <f>IF(AND(194&gt;=$NR$37,194&lt;=$NS$37),IF($NP$37="Single_Point",IF(194=$NR$37,$NN$37,0),IF($NP$37="Bell_Curve",$NN$37*(194-$NR$37+1)*($NS$37-194+1)/$NU$37,$NN$37/$NT$37)),0)</f>
        <v/>
      </c>
      <c r="GQ37" s="402">
        <f>IF(AND(195&gt;=$NR$37,195&lt;=$NS$37),IF($NP$37="Single_Point",IF(195=$NR$37,$NN$37,0),IF($NP$37="Bell_Curve",$NN$37*(195-$NR$37+1)*($NS$37-195+1)/$NU$37,$NN$37/$NT$37)),0)</f>
        <v/>
      </c>
      <c r="GR37" s="402">
        <f>IF(AND(196&gt;=$NR$37,196&lt;=$NS$37),IF($NP$37="Single_Point",IF(196=$NR$37,$NN$37,0),IF($NP$37="Bell_Curve",$NN$37*(196-$NR$37+1)*($NS$37-196+1)/$NU$37,$NN$37/$NT$37)),0)</f>
        <v/>
      </c>
      <c r="GS37" s="402">
        <f>IF(AND(197&gt;=$NR$37,197&lt;=$NS$37),IF($NP$37="Single_Point",IF(197=$NR$37,$NN$37,0),IF($NP$37="Bell_Curve",$NN$37*(197-$NR$37+1)*($NS$37-197+1)/$NU$37,$NN$37/$NT$37)),0)</f>
        <v/>
      </c>
      <c r="GT37" s="402">
        <f>IF(AND(198&gt;=$NR$37,198&lt;=$NS$37),IF($NP$37="Single_Point",IF(198=$NR$37,$NN$37,0),IF($NP$37="Bell_Curve",$NN$37*(198-$NR$37+1)*($NS$37-198+1)/$NU$37,$NN$37/$NT$37)),0)</f>
        <v/>
      </c>
      <c r="GU37" s="402">
        <f>IF(AND(199&gt;=$NR$37,199&lt;=$NS$37),IF($NP$37="Single_Point",IF(199=$NR$37,$NN$37,0),IF($NP$37="Bell_Curve",$NN$37*(199-$NR$37+1)*($NS$37-199+1)/$NU$37,$NN$37/$NT$37)),0)</f>
        <v/>
      </c>
      <c r="GV37" s="402">
        <f>IF(AND(200&gt;=$NR$37,200&lt;=$NS$37),IF($NP$37="Single_Point",IF(200=$NR$37,$NN$37,0),IF($NP$37="Bell_Curve",$NN$37*(200-$NR$37+1)*($NS$37-200+1)/$NU$37,$NN$37/$NT$37)),0)</f>
        <v/>
      </c>
      <c r="GW37" s="402">
        <f>IF(AND(201&gt;=$NR$37,201&lt;=$NS$37),IF($NP$37="Single_Point",IF(201=$NR$37,$NN$37,0),IF($NP$37="Bell_Curve",$NN$37*(201-$NR$37+1)*($NS$37-201+1)/$NU$37,$NN$37/$NT$37)),0)</f>
        <v/>
      </c>
      <c r="GX37" s="402">
        <f>IF(AND(202&gt;=$NR$37,202&lt;=$NS$37),IF($NP$37="Single_Point",IF(202=$NR$37,$NN$37,0),IF($NP$37="Bell_Curve",$NN$37*(202-$NR$37+1)*($NS$37-202+1)/$NU$37,$NN$37/$NT$37)),0)</f>
        <v/>
      </c>
      <c r="GY37" s="402">
        <f>IF(AND(203&gt;=$NR$37,203&lt;=$NS$37),IF($NP$37="Single_Point",IF(203=$NR$37,$NN$37,0),IF($NP$37="Bell_Curve",$NN$37*(203-$NR$37+1)*($NS$37-203+1)/$NU$37,$NN$37/$NT$37)),0)</f>
        <v/>
      </c>
      <c r="GZ37" s="402">
        <f>IF(AND(204&gt;=$NR$37,204&lt;=$NS$37),IF($NP$37="Single_Point",IF(204=$NR$37,$NN$37,0),IF($NP$37="Bell_Curve",$NN$37*(204-$NR$37+1)*($NS$37-204+1)/$NU$37,$NN$37/$NT$37)),0)</f>
        <v/>
      </c>
      <c r="HA37" s="402">
        <f>IF(AND(205&gt;=$NR$37,205&lt;=$NS$37),IF($NP$37="Single_Point",IF(205=$NR$37,$NN$37,0),IF($NP$37="Bell_Curve",$NN$37*(205-$NR$37+1)*($NS$37-205+1)/$NU$37,$NN$37/$NT$37)),0)</f>
        <v/>
      </c>
      <c r="HB37" s="402">
        <f>IF(AND(206&gt;=$NR$37,206&lt;=$NS$37),IF($NP$37="Single_Point",IF(206=$NR$37,$NN$37,0),IF($NP$37="Bell_Curve",$NN$37*(206-$NR$37+1)*($NS$37-206+1)/$NU$37,$NN$37/$NT$37)),0)</f>
        <v/>
      </c>
      <c r="HC37" s="402">
        <f>IF(AND(207&gt;=$NR$37,207&lt;=$NS$37),IF($NP$37="Single_Point",IF(207=$NR$37,$NN$37,0),IF($NP$37="Bell_Curve",$NN$37*(207-$NR$37+1)*($NS$37-207+1)/$NU$37,$NN$37/$NT$37)),0)</f>
        <v/>
      </c>
      <c r="HD37" s="402">
        <f>IF(AND(208&gt;=$NR$37,208&lt;=$NS$37),IF($NP$37="Single_Point",IF(208=$NR$37,$NN$37,0),IF($NP$37="Bell_Curve",$NN$37*(208-$NR$37+1)*($NS$37-208+1)/$NU$37,$NN$37/$NT$37)),0)</f>
        <v/>
      </c>
      <c r="HE37" s="402">
        <f>IF(AND(209&gt;=$NR$37,209&lt;=$NS$37),IF($NP$37="Single_Point",IF(209=$NR$37,$NN$37,0),IF($NP$37="Bell_Curve",$NN$37*(209-$NR$37+1)*($NS$37-209+1)/$NU$37,$NN$37/$NT$37)),0)</f>
        <v/>
      </c>
      <c r="HF37" s="402">
        <f>IF(AND(210&gt;=$NR$37,210&lt;=$NS$37),IF($NP$37="Single_Point",IF(210=$NR$37,$NN$37,0),IF($NP$37="Bell_Curve",$NN$37*(210-$NR$37+1)*($NS$37-210+1)/$NU$37,$NN$37/$NT$37)),0)</f>
        <v/>
      </c>
      <c r="HG37" s="402">
        <f>IF(AND(211&gt;=$NR$37,211&lt;=$NS$37),IF($NP$37="Single_Point",IF(211=$NR$37,$NN$37,0),IF($NP$37="Bell_Curve",$NN$37*(211-$NR$37+1)*($NS$37-211+1)/$NU$37,$NN$37/$NT$37)),0)</f>
        <v/>
      </c>
      <c r="HH37" s="402">
        <f>IF(AND(212&gt;=$NR$37,212&lt;=$NS$37),IF($NP$37="Single_Point",IF(212=$NR$37,$NN$37,0),IF($NP$37="Bell_Curve",$NN$37*(212-$NR$37+1)*($NS$37-212+1)/$NU$37,$NN$37/$NT$37)),0)</f>
        <v/>
      </c>
      <c r="HI37" s="402">
        <f>IF(AND(213&gt;=$NR$37,213&lt;=$NS$37),IF($NP$37="Single_Point",IF(213=$NR$37,$NN$37,0),IF($NP$37="Bell_Curve",$NN$37*(213-$NR$37+1)*($NS$37-213+1)/$NU$37,$NN$37/$NT$37)),0)</f>
        <v/>
      </c>
      <c r="HJ37" s="402">
        <f>IF(AND(214&gt;=$NR$37,214&lt;=$NS$37),IF($NP$37="Single_Point",IF(214=$NR$37,$NN$37,0),IF($NP$37="Bell_Curve",$NN$37*(214-$NR$37+1)*($NS$37-214+1)/$NU$37,$NN$37/$NT$37)),0)</f>
        <v/>
      </c>
      <c r="HK37" s="402">
        <f>IF(AND(215&gt;=$NR$37,215&lt;=$NS$37),IF($NP$37="Single_Point",IF(215=$NR$37,$NN$37,0),IF($NP$37="Bell_Curve",$NN$37*(215-$NR$37+1)*($NS$37-215+1)/$NU$37,$NN$37/$NT$37)),0)</f>
        <v/>
      </c>
      <c r="HL37" s="402">
        <f>IF(AND(216&gt;=$NR$37,216&lt;=$NS$37),IF($NP$37="Single_Point",IF(216=$NR$37,$NN$37,0),IF($NP$37="Bell_Curve",$NN$37*(216-$NR$37+1)*($NS$37-216+1)/$NU$37,$NN$37/$NT$37)),0)</f>
        <v/>
      </c>
      <c r="HM37" s="402">
        <f>IF(AND(217&gt;=$NR$37,217&lt;=$NS$37),IF($NP$37="Single_Point",IF(217=$NR$37,$NN$37,0),IF($NP$37="Bell_Curve",$NN$37*(217-$NR$37+1)*($NS$37-217+1)/$NU$37,$NN$37/$NT$37)),0)</f>
        <v/>
      </c>
      <c r="HN37" s="402">
        <f>IF(AND(218&gt;=$NR$37,218&lt;=$NS$37),IF($NP$37="Single_Point",IF(218=$NR$37,$NN$37,0),IF($NP$37="Bell_Curve",$NN$37*(218-$NR$37+1)*($NS$37-218+1)/$NU$37,$NN$37/$NT$37)),0)</f>
        <v/>
      </c>
      <c r="HO37" s="402">
        <f>IF(AND(219&gt;=$NR$37,219&lt;=$NS$37),IF($NP$37="Single_Point",IF(219=$NR$37,$NN$37,0),IF($NP$37="Bell_Curve",$NN$37*(219-$NR$37+1)*($NS$37-219+1)/$NU$37,$NN$37/$NT$37)),0)</f>
        <v/>
      </c>
      <c r="HP37" s="402">
        <f>IF(AND(220&gt;=$NR$37,220&lt;=$NS$37),IF($NP$37="Single_Point",IF(220=$NR$37,$NN$37,0),IF($NP$37="Bell_Curve",$NN$37*(220-$NR$37+1)*($NS$37-220+1)/$NU$37,$NN$37/$NT$37)),0)</f>
        <v/>
      </c>
      <c r="HQ37" s="402">
        <f>IF(AND(221&gt;=$NR$37,221&lt;=$NS$37),IF($NP$37="Single_Point",IF(221=$NR$37,$NN$37,0),IF($NP$37="Bell_Curve",$NN$37*(221-$NR$37+1)*($NS$37-221+1)/$NU$37,$NN$37/$NT$37)),0)</f>
        <v/>
      </c>
      <c r="HR37" s="402">
        <f>IF(AND(222&gt;=$NR$37,222&lt;=$NS$37),IF($NP$37="Single_Point",IF(222=$NR$37,$NN$37,0),IF($NP$37="Bell_Curve",$NN$37*(222-$NR$37+1)*($NS$37-222+1)/$NU$37,$NN$37/$NT$37)),0)</f>
        <v/>
      </c>
      <c r="HS37" s="402">
        <f>IF(AND(223&gt;=$NR$37,223&lt;=$NS$37),IF($NP$37="Single_Point",IF(223=$NR$37,$NN$37,0),IF($NP$37="Bell_Curve",$NN$37*(223-$NR$37+1)*($NS$37-223+1)/$NU$37,$NN$37/$NT$37)),0)</f>
        <v/>
      </c>
      <c r="HT37" s="402">
        <f>IF(AND(224&gt;=$NR$37,224&lt;=$NS$37),IF($NP$37="Single_Point",IF(224=$NR$37,$NN$37,0),IF($NP$37="Bell_Curve",$NN$37*(224-$NR$37+1)*($NS$37-224+1)/$NU$37,$NN$37/$NT$37)),0)</f>
        <v/>
      </c>
      <c r="HU37" s="402">
        <f>IF(AND(225&gt;=$NR$37,225&lt;=$NS$37),IF($NP$37="Single_Point",IF(225=$NR$37,$NN$37,0),IF($NP$37="Bell_Curve",$NN$37*(225-$NR$37+1)*($NS$37-225+1)/$NU$37,$NN$37/$NT$37)),0)</f>
        <v/>
      </c>
      <c r="HV37" s="402">
        <f>IF(AND(226&gt;=$NR$37,226&lt;=$NS$37),IF($NP$37="Single_Point",IF(226=$NR$37,$NN$37,0),IF($NP$37="Bell_Curve",$NN$37*(226-$NR$37+1)*($NS$37-226+1)/$NU$37,$NN$37/$NT$37)),0)</f>
        <v/>
      </c>
      <c r="HW37" s="402">
        <f>IF(AND(227&gt;=$NR$37,227&lt;=$NS$37),IF($NP$37="Single_Point",IF(227=$NR$37,$NN$37,0),IF($NP$37="Bell_Curve",$NN$37*(227-$NR$37+1)*($NS$37-227+1)/$NU$37,$NN$37/$NT$37)),0)</f>
        <v/>
      </c>
      <c r="HX37" s="402">
        <f>IF(AND(228&gt;=$NR$37,228&lt;=$NS$37),IF($NP$37="Single_Point",IF(228=$NR$37,$NN$37,0),IF($NP$37="Bell_Curve",$NN$37*(228-$NR$37+1)*($NS$37-228+1)/$NU$37,$NN$37/$NT$37)),0)</f>
        <v/>
      </c>
      <c r="HY37" s="402">
        <f>IF(AND(229&gt;=$NR$37,229&lt;=$NS$37),IF($NP$37="Single_Point",IF(229=$NR$37,$NN$37,0),IF($NP$37="Bell_Curve",$NN$37*(229-$NR$37+1)*($NS$37-229+1)/$NU$37,$NN$37/$NT$37)),0)</f>
        <v/>
      </c>
      <c r="HZ37" s="402">
        <f>IF(AND(230&gt;=$NR$37,230&lt;=$NS$37),IF($NP$37="Single_Point",IF(230=$NR$37,$NN$37,0),IF($NP$37="Bell_Curve",$NN$37*(230-$NR$37+1)*($NS$37-230+1)/$NU$37,$NN$37/$NT$37)),0)</f>
        <v/>
      </c>
      <c r="IA37" s="402">
        <f>IF(AND(231&gt;=$NR$37,231&lt;=$NS$37),IF($NP$37="Single_Point",IF(231=$NR$37,$NN$37,0),IF($NP$37="Bell_Curve",$NN$37*(231-$NR$37+1)*($NS$37-231+1)/$NU$37,$NN$37/$NT$37)),0)</f>
        <v/>
      </c>
      <c r="IB37" s="402">
        <f>IF(AND(232&gt;=$NR$37,232&lt;=$NS$37),IF($NP$37="Single_Point",IF(232=$NR$37,$NN$37,0),IF($NP$37="Bell_Curve",$NN$37*(232-$NR$37+1)*($NS$37-232+1)/$NU$37,$NN$37/$NT$37)),0)</f>
        <v/>
      </c>
      <c r="IC37" s="402">
        <f>IF(AND(233&gt;=$NR$37,233&lt;=$NS$37),IF($NP$37="Single_Point",IF(233=$NR$37,$NN$37,0),IF($NP$37="Bell_Curve",$NN$37*(233-$NR$37+1)*($NS$37-233+1)/$NU$37,$NN$37/$NT$37)),0)</f>
        <v/>
      </c>
      <c r="ID37" s="402">
        <f>IF(AND(234&gt;=$NR$37,234&lt;=$NS$37),IF($NP$37="Single_Point",IF(234=$NR$37,$NN$37,0),IF($NP$37="Bell_Curve",$NN$37*(234-$NR$37+1)*($NS$37-234+1)/$NU$37,$NN$37/$NT$37)),0)</f>
        <v/>
      </c>
      <c r="IE37" s="402">
        <f>IF(AND(235&gt;=$NR$37,235&lt;=$NS$37),IF($NP$37="Single_Point",IF(235=$NR$37,$NN$37,0),IF($NP$37="Bell_Curve",$NN$37*(235-$NR$37+1)*($NS$37-235+1)/$NU$37,$NN$37/$NT$37)),0)</f>
        <v/>
      </c>
      <c r="IF37" s="402">
        <f>IF(AND(236&gt;=$NR$37,236&lt;=$NS$37),IF($NP$37="Single_Point",IF(236=$NR$37,$NN$37,0),IF($NP$37="Bell_Curve",$NN$37*(236-$NR$37+1)*($NS$37-236+1)/$NU$37,$NN$37/$NT$37)),0)</f>
        <v/>
      </c>
      <c r="IG37" s="402">
        <f>IF(AND(237&gt;=$NR$37,237&lt;=$NS$37),IF($NP$37="Single_Point",IF(237=$NR$37,$NN$37,0),IF($NP$37="Bell_Curve",$NN$37*(237-$NR$37+1)*($NS$37-237+1)/$NU$37,$NN$37/$NT$37)),0)</f>
        <v/>
      </c>
      <c r="IH37" s="402">
        <f>IF(AND(238&gt;=$NR$37,238&lt;=$NS$37),IF($NP$37="Single_Point",IF(238=$NR$37,$NN$37,0),IF($NP$37="Bell_Curve",$NN$37*(238-$NR$37+1)*($NS$37-238+1)/$NU$37,$NN$37/$NT$37)),0)</f>
        <v/>
      </c>
      <c r="II37" s="402">
        <f>IF(AND(239&gt;=$NR$37,239&lt;=$NS$37),IF($NP$37="Single_Point",IF(239=$NR$37,$NN$37,0),IF($NP$37="Bell_Curve",$NN$37*(239-$NR$37+1)*($NS$37-239+1)/$NU$37,$NN$37/$NT$37)),0)</f>
        <v/>
      </c>
      <c r="IJ37" s="402">
        <f>IF(AND(240&gt;=$NR$37,240&lt;=$NS$37),IF($NP$37="Single_Point",IF(240=$NR$37,$NN$37,0),IF($NP$37="Bell_Curve",$NN$37*(240-$NR$37+1)*($NS$37-240+1)/$NU$37,$NN$37/$NT$37)),0)</f>
        <v/>
      </c>
      <c r="IK37" s="402">
        <f>IF(AND(241&gt;=$NR$37,241&lt;=$NS$37),IF($NP$37="Single_Point",IF(241=$NR$37,$NN$37,0),IF($NP$37="Bell_Curve",$NN$37*(241-$NR$37+1)*($NS$37-241+1)/$NU$37,$NN$37/$NT$37)),0)</f>
        <v/>
      </c>
      <c r="IL37" s="402">
        <f>IF(AND(242&gt;=$NR$37,242&lt;=$NS$37),IF($NP$37="Single_Point",IF(242=$NR$37,$NN$37,0),IF($NP$37="Bell_Curve",$NN$37*(242-$NR$37+1)*($NS$37-242+1)/$NU$37,$NN$37/$NT$37)),0)</f>
        <v/>
      </c>
      <c r="IM37" s="402">
        <f>IF(AND(243&gt;=$NR$37,243&lt;=$NS$37),IF($NP$37="Single_Point",IF(243=$NR$37,$NN$37,0),IF($NP$37="Bell_Curve",$NN$37*(243-$NR$37+1)*($NS$37-243+1)/$NU$37,$NN$37/$NT$37)),0)</f>
        <v/>
      </c>
      <c r="IN37" s="402">
        <f>IF(AND(244&gt;=$NR$37,244&lt;=$NS$37),IF($NP$37="Single_Point",IF(244=$NR$37,$NN$37,0),IF($NP$37="Bell_Curve",$NN$37*(244-$NR$37+1)*($NS$37-244+1)/$NU$37,$NN$37/$NT$37)),0)</f>
        <v/>
      </c>
      <c r="IO37" s="402">
        <f>IF(AND(245&gt;=$NR$37,245&lt;=$NS$37),IF($NP$37="Single_Point",IF(245=$NR$37,$NN$37,0),IF($NP$37="Bell_Curve",$NN$37*(245-$NR$37+1)*($NS$37-245+1)/$NU$37,$NN$37/$NT$37)),0)</f>
        <v/>
      </c>
      <c r="IP37" s="402">
        <f>IF(AND(246&gt;=$NR$37,246&lt;=$NS$37),IF($NP$37="Single_Point",IF(246=$NR$37,$NN$37,0),IF($NP$37="Bell_Curve",$NN$37*(246-$NR$37+1)*($NS$37-246+1)/$NU$37,$NN$37/$NT$37)),0)</f>
        <v/>
      </c>
      <c r="IQ37" s="402">
        <f>IF(AND(247&gt;=$NR$37,247&lt;=$NS$37),IF($NP$37="Single_Point",IF(247=$NR$37,$NN$37,0),IF($NP$37="Bell_Curve",$NN$37*(247-$NR$37+1)*($NS$37-247+1)/$NU$37,$NN$37/$NT$37)),0)</f>
        <v/>
      </c>
      <c r="IR37" s="402">
        <f>IF(AND(248&gt;=$NR$37,248&lt;=$NS$37),IF($NP$37="Single_Point",IF(248=$NR$37,$NN$37,0),IF($NP$37="Bell_Curve",$NN$37*(248-$NR$37+1)*($NS$37-248+1)/$NU$37,$NN$37/$NT$37)),0)</f>
        <v/>
      </c>
      <c r="IS37" s="402">
        <f>IF(AND(249&gt;=$NR$37,249&lt;=$NS$37),IF($NP$37="Single_Point",IF(249=$NR$37,$NN$37,0),IF($NP$37="Bell_Curve",$NN$37*(249-$NR$37+1)*($NS$37-249+1)/$NU$37,$NN$37/$NT$37)),0)</f>
        <v/>
      </c>
      <c r="IT37" s="402">
        <f>IF(AND(250&gt;=$NR$37,250&lt;=$NS$37),IF($NP$37="Single_Point",IF(250=$NR$37,$NN$37,0),IF($NP$37="Bell_Curve",$NN$37*(250-$NR$37+1)*($NS$37-250+1)/$NU$37,$NN$37/$NT$37)),0)</f>
        <v/>
      </c>
      <c r="IU37" s="402">
        <f>IF(AND(251&gt;=$NR$37,251&lt;=$NS$37),IF($NP$37="Single_Point",IF(251=$NR$37,$NN$37,0),IF($NP$37="Bell_Curve",$NN$37*(251-$NR$37+1)*($NS$37-251+1)/$NU$37,$NN$37/$NT$37)),0)</f>
        <v/>
      </c>
      <c r="IV37" s="402">
        <f>IF(AND(252&gt;=$NR$37,252&lt;=$NS$37),IF($NP$37="Single_Point",IF(252=$NR$37,$NN$37,0),IF($NP$37="Bell_Curve",$NN$37*(252-$NR$37+1)*($NS$37-252+1)/$NU$37,$NN$37/$NT$37)),0)</f>
        <v/>
      </c>
      <c r="IW37" s="402">
        <f>IF(AND(253&gt;=$NR$37,253&lt;=$NS$37),IF($NP$37="Single_Point",IF(253=$NR$37,$NN$37,0),IF($NP$37="Bell_Curve",$NN$37*(253-$NR$37+1)*($NS$37-253+1)/$NU$37,$NN$37/$NT$37)),0)</f>
        <v/>
      </c>
      <c r="IX37" s="402">
        <f>IF(AND(254&gt;=$NR$37,254&lt;=$NS$37),IF($NP$37="Single_Point",IF(254=$NR$37,$NN$37,0),IF($NP$37="Bell_Curve",$NN$37*(254-$NR$37+1)*($NS$37-254+1)/$NU$37,$NN$37/$NT$37)),0)</f>
        <v/>
      </c>
      <c r="IY37" s="402">
        <f>IF(AND(255&gt;=$NR$37,255&lt;=$NS$37),IF($NP$37="Single_Point",IF(255=$NR$37,$NN$37,0),IF($NP$37="Bell_Curve",$NN$37*(255-$NR$37+1)*($NS$37-255+1)/$NU$37,$NN$37/$NT$37)),0)</f>
        <v/>
      </c>
      <c r="IZ37" s="402">
        <f>IF(AND(256&gt;=$NR$37,256&lt;=$NS$37),IF($NP$37="Single_Point",IF(256=$NR$37,$NN$37,0),IF($NP$37="Bell_Curve",$NN$37*(256-$NR$37+1)*($NS$37-256+1)/$NU$37,$NN$37/$NT$37)),0)</f>
        <v/>
      </c>
      <c r="JA37" s="402">
        <f>IF(AND(257&gt;=$NR$37,257&lt;=$NS$37),IF($NP$37="Single_Point",IF(257=$NR$37,$NN$37,0),IF($NP$37="Bell_Curve",$NN$37*(257-$NR$37+1)*($NS$37-257+1)/$NU$37,$NN$37/$NT$37)),0)</f>
        <v/>
      </c>
      <c r="JB37" s="402">
        <f>IF(AND(258&gt;=$NR$37,258&lt;=$NS$37),IF($NP$37="Single_Point",IF(258=$NR$37,$NN$37,0),IF($NP$37="Bell_Curve",$NN$37*(258-$NR$37+1)*($NS$37-258+1)/$NU$37,$NN$37/$NT$37)),0)</f>
        <v/>
      </c>
      <c r="JC37" s="402">
        <f>IF(AND(259&gt;=$NR$37,259&lt;=$NS$37),IF($NP$37="Single_Point",IF(259=$NR$37,$NN$37,0),IF($NP$37="Bell_Curve",$NN$37*(259-$NR$37+1)*($NS$37-259+1)/$NU$37,$NN$37/$NT$37)),0)</f>
        <v/>
      </c>
      <c r="JD37" s="402">
        <f>IF(AND(260&gt;=$NR$37,260&lt;=$NS$37),IF($NP$37="Single_Point",IF(260=$NR$37,$NN$37,0),IF($NP$37="Bell_Curve",$NN$37*(260-$NR$37+1)*($NS$37-260+1)/$NU$37,$NN$37/$NT$37)),0)</f>
        <v/>
      </c>
      <c r="JE37" s="402">
        <f>IF(AND(261&gt;=$NR$37,261&lt;=$NS$37),IF($NP$37="Single_Point",IF(261=$NR$37,$NN$37,0),IF($NP$37="Bell_Curve",$NN$37*(261-$NR$37+1)*($NS$37-261+1)/$NU$37,$NN$37/$NT$37)),0)</f>
        <v/>
      </c>
      <c r="JF37" s="402">
        <f>IF(AND(262&gt;=$NR$37,262&lt;=$NS$37),IF($NP$37="Single_Point",IF(262=$NR$37,$NN$37,0),IF($NP$37="Bell_Curve",$NN$37*(262-$NR$37+1)*($NS$37-262+1)/$NU$37,$NN$37/$NT$37)),0)</f>
        <v/>
      </c>
      <c r="JG37" s="402">
        <f>IF(AND(263&gt;=$NR$37,263&lt;=$NS$37),IF($NP$37="Single_Point",IF(263=$NR$37,$NN$37,0),IF($NP$37="Bell_Curve",$NN$37*(263-$NR$37+1)*($NS$37-263+1)/$NU$37,$NN$37/$NT$37)),0)</f>
        <v/>
      </c>
      <c r="JH37" s="402">
        <f>IF(AND(264&gt;=$NR$37,264&lt;=$NS$37),IF($NP$37="Single_Point",IF(264=$NR$37,$NN$37,0),IF($NP$37="Bell_Curve",$NN$37*(264-$NR$37+1)*($NS$37-264+1)/$NU$37,$NN$37/$NT$37)),0)</f>
        <v/>
      </c>
      <c r="JI37" s="402">
        <f>IF(AND(265&gt;=$NR$37,265&lt;=$NS$37),IF($NP$37="Single_Point",IF(265=$NR$37,$NN$37,0),IF($NP$37="Bell_Curve",$NN$37*(265-$NR$37+1)*($NS$37-265+1)/$NU$37,$NN$37/$NT$37)),0)</f>
        <v/>
      </c>
      <c r="JJ37" s="402">
        <f>IF(AND(266&gt;=$NR$37,266&lt;=$NS$37),IF($NP$37="Single_Point",IF(266=$NR$37,$NN$37,0),IF($NP$37="Bell_Curve",$NN$37*(266-$NR$37+1)*($NS$37-266+1)/$NU$37,$NN$37/$NT$37)),0)</f>
        <v/>
      </c>
      <c r="JK37" s="402">
        <f>IF(AND(267&gt;=$NR$37,267&lt;=$NS$37),IF($NP$37="Single_Point",IF(267=$NR$37,$NN$37,0),IF($NP$37="Bell_Curve",$NN$37*(267-$NR$37+1)*($NS$37-267+1)/$NU$37,$NN$37/$NT$37)),0)</f>
        <v/>
      </c>
      <c r="JL37" s="402">
        <f>IF(AND(268&gt;=$NR$37,268&lt;=$NS$37),IF($NP$37="Single_Point",IF(268=$NR$37,$NN$37,0),IF($NP$37="Bell_Curve",$NN$37*(268-$NR$37+1)*($NS$37-268+1)/$NU$37,$NN$37/$NT$37)),0)</f>
        <v/>
      </c>
      <c r="JM37" s="402">
        <f>IF(AND(269&gt;=$NR$37,269&lt;=$NS$37),IF($NP$37="Single_Point",IF(269=$NR$37,$NN$37,0),IF($NP$37="Bell_Curve",$NN$37*(269-$NR$37+1)*($NS$37-269+1)/$NU$37,$NN$37/$NT$37)),0)</f>
        <v/>
      </c>
      <c r="JN37" s="402">
        <f>IF(AND(270&gt;=$NR$37,270&lt;=$NS$37),IF($NP$37="Single_Point",IF(270=$NR$37,$NN$37,0),IF($NP$37="Bell_Curve",$NN$37*(270-$NR$37+1)*($NS$37-270+1)/$NU$37,$NN$37/$NT$37)),0)</f>
        <v/>
      </c>
      <c r="JO37" s="402">
        <f>IF(AND(271&gt;=$NR$37,271&lt;=$NS$37),IF($NP$37="Single_Point",IF(271=$NR$37,$NN$37,0),IF($NP$37="Bell_Curve",$NN$37*(271-$NR$37+1)*($NS$37-271+1)/$NU$37,$NN$37/$NT$37)),0)</f>
        <v/>
      </c>
      <c r="JP37" s="402">
        <f>IF(AND(272&gt;=$NR$37,272&lt;=$NS$37),IF($NP$37="Single_Point",IF(272=$NR$37,$NN$37,0),IF($NP$37="Bell_Curve",$NN$37*(272-$NR$37+1)*($NS$37-272+1)/$NU$37,$NN$37/$NT$37)),0)</f>
        <v/>
      </c>
      <c r="JQ37" s="402">
        <f>IF(AND(273&gt;=$NR$37,273&lt;=$NS$37),IF($NP$37="Single_Point",IF(273=$NR$37,$NN$37,0),IF($NP$37="Bell_Curve",$NN$37*(273-$NR$37+1)*($NS$37-273+1)/$NU$37,$NN$37/$NT$37)),0)</f>
        <v/>
      </c>
      <c r="JR37" s="402">
        <f>IF(AND(274&gt;=$NR$37,274&lt;=$NS$37),IF($NP$37="Single_Point",IF(274=$NR$37,$NN$37,0),IF($NP$37="Bell_Curve",$NN$37*(274-$NR$37+1)*($NS$37-274+1)/$NU$37,$NN$37/$NT$37)),0)</f>
        <v/>
      </c>
      <c r="JS37" s="402">
        <f>IF(AND(275&gt;=$NR$37,275&lt;=$NS$37),IF($NP$37="Single_Point",IF(275=$NR$37,$NN$37,0),IF($NP$37="Bell_Curve",$NN$37*(275-$NR$37+1)*($NS$37-275+1)/$NU$37,$NN$37/$NT$37)),0)</f>
        <v/>
      </c>
      <c r="JT37" s="402">
        <f>IF(AND(276&gt;=$NR$37,276&lt;=$NS$37),IF($NP$37="Single_Point",IF(276=$NR$37,$NN$37,0),IF($NP$37="Bell_Curve",$NN$37*(276-$NR$37+1)*($NS$37-276+1)/$NU$37,$NN$37/$NT$37)),0)</f>
        <v/>
      </c>
      <c r="JU37" s="402">
        <f>IF(AND(277&gt;=$NR$37,277&lt;=$NS$37),IF($NP$37="Single_Point",IF(277=$NR$37,$NN$37,0),IF($NP$37="Bell_Curve",$NN$37*(277-$NR$37+1)*($NS$37-277+1)/$NU$37,$NN$37/$NT$37)),0)</f>
        <v/>
      </c>
      <c r="JV37" s="402">
        <f>IF(AND(278&gt;=$NR$37,278&lt;=$NS$37),IF($NP$37="Single_Point",IF(278=$NR$37,$NN$37,0),IF($NP$37="Bell_Curve",$NN$37*(278-$NR$37+1)*($NS$37-278+1)/$NU$37,$NN$37/$NT$37)),0)</f>
        <v/>
      </c>
      <c r="JW37" s="402">
        <f>IF(AND(279&gt;=$NR$37,279&lt;=$NS$37),IF($NP$37="Single_Point",IF(279=$NR$37,$NN$37,0),IF($NP$37="Bell_Curve",$NN$37*(279-$NR$37+1)*($NS$37-279+1)/$NU$37,$NN$37/$NT$37)),0)</f>
        <v/>
      </c>
      <c r="JX37" s="402">
        <f>IF(AND(280&gt;=$NR$37,280&lt;=$NS$37),IF($NP$37="Single_Point",IF(280=$NR$37,$NN$37,0),IF($NP$37="Bell_Curve",$NN$37*(280-$NR$37+1)*($NS$37-280+1)/$NU$37,$NN$37/$NT$37)),0)</f>
        <v/>
      </c>
      <c r="JY37" s="402">
        <f>IF(AND(281&gt;=$NR$37,281&lt;=$NS$37),IF($NP$37="Single_Point",IF(281=$NR$37,$NN$37,0),IF($NP$37="Bell_Curve",$NN$37*(281-$NR$37+1)*($NS$37-281+1)/$NU$37,$NN$37/$NT$37)),0)</f>
        <v/>
      </c>
      <c r="JZ37" s="402">
        <f>IF(AND(282&gt;=$NR$37,282&lt;=$NS$37),IF($NP$37="Single_Point",IF(282=$NR$37,$NN$37,0),IF($NP$37="Bell_Curve",$NN$37*(282-$NR$37+1)*($NS$37-282+1)/$NU$37,$NN$37/$NT$37)),0)</f>
        <v/>
      </c>
      <c r="KA37" s="402">
        <f>IF(AND(283&gt;=$NR$37,283&lt;=$NS$37),IF($NP$37="Single_Point",IF(283=$NR$37,$NN$37,0),IF($NP$37="Bell_Curve",$NN$37*(283-$NR$37+1)*($NS$37-283+1)/$NU$37,$NN$37/$NT$37)),0)</f>
        <v/>
      </c>
      <c r="KB37" s="402">
        <f>IF(AND(284&gt;=$NR$37,284&lt;=$NS$37),IF($NP$37="Single_Point",IF(284=$NR$37,$NN$37,0),IF($NP$37="Bell_Curve",$NN$37*(284-$NR$37+1)*($NS$37-284+1)/$NU$37,$NN$37/$NT$37)),0)</f>
        <v/>
      </c>
      <c r="KC37" s="402">
        <f>IF(AND(285&gt;=$NR$37,285&lt;=$NS$37),IF($NP$37="Single_Point",IF(285=$NR$37,$NN$37,0),IF($NP$37="Bell_Curve",$NN$37*(285-$NR$37+1)*($NS$37-285+1)/$NU$37,$NN$37/$NT$37)),0)</f>
        <v/>
      </c>
      <c r="KD37" s="402">
        <f>IF(AND(286&gt;=$NR$37,286&lt;=$NS$37),IF($NP$37="Single_Point",IF(286=$NR$37,$NN$37,0),IF($NP$37="Bell_Curve",$NN$37*(286-$NR$37+1)*($NS$37-286+1)/$NU$37,$NN$37/$NT$37)),0)</f>
        <v/>
      </c>
      <c r="KE37" s="402">
        <f>IF(AND(287&gt;=$NR$37,287&lt;=$NS$37),IF($NP$37="Single_Point",IF(287=$NR$37,$NN$37,0),IF($NP$37="Bell_Curve",$NN$37*(287-$NR$37+1)*($NS$37-287+1)/$NU$37,$NN$37/$NT$37)),0)</f>
        <v/>
      </c>
      <c r="KF37" s="402">
        <f>IF(AND(288&gt;=$NR$37,288&lt;=$NS$37),IF($NP$37="Single_Point",IF(288=$NR$37,$NN$37,0),IF($NP$37="Bell_Curve",$NN$37*(288-$NR$37+1)*($NS$37-288+1)/$NU$37,$NN$37/$NT$37)),0)</f>
        <v/>
      </c>
      <c r="KG37" s="402">
        <f>IF(AND(289&gt;=$NR$37,289&lt;=$NS$37),IF($NP$37="Single_Point",IF(289=$NR$37,$NN$37,0),IF($NP$37="Bell_Curve",$NN$37*(289-$NR$37+1)*($NS$37-289+1)/$NU$37,$NN$37/$NT$37)),0)</f>
        <v/>
      </c>
      <c r="KH37" s="402">
        <f>IF(AND(290&gt;=$NR$37,290&lt;=$NS$37),IF($NP$37="Single_Point",IF(290=$NR$37,$NN$37,0),IF($NP$37="Bell_Curve",$NN$37*(290-$NR$37+1)*($NS$37-290+1)/$NU$37,$NN$37/$NT$37)),0)</f>
        <v/>
      </c>
      <c r="KI37" s="402">
        <f>IF(AND(291&gt;=$NR$37,291&lt;=$NS$37),IF($NP$37="Single_Point",IF(291=$NR$37,$NN$37,0),IF($NP$37="Bell_Curve",$NN$37*(291-$NR$37+1)*($NS$37-291+1)/$NU$37,$NN$37/$NT$37)),0)</f>
        <v/>
      </c>
      <c r="KJ37" s="402">
        <f>IF(AND(292&gt;=$NR$37,292&lt;=$NS$37),IF($NP$37="Single_Point",IF(292=$NR$37,$NN$37,0),IF($NP$37="Bell_Curve",$NN$37*(292-$NR$37+1)*($NS$37-292+1)/$NU$37,$NN$37/$NT$37)),0)</f>
        <v/>
      </c>
      <c r="KK37" s="402">
        <f>IF(AND(293&gt;=$NR$37,293&lt;=$NS$37),IF($NP$37="Single_Point",IF(293=$NR$37,$NN$37,0),IF($NP$37="Bell_Curve",$NN$37*(293-$NR$37+1)*($NS$37-293+1)/$NU$37,$NN$37/$NT$37)),0)</f>
        <v/>
      </c>
      <c r="KL37" s="402">
        <f>IF(AND(294&gt;=$NR$37,294&lt;=$NS$37),IF($NP$37="Single_Point",IF(294=$NR$37,$NN$37,0),IF($NP$37="Bell_Curve",$NN$37*(294-$NR$37+1)*($NS$37-294+1)/$NU$37,$NN$37/$NT$37)),0)</f>
        <v/>
      </c>
      <c r="KM37" s="402">
        <f>IF(AND(295&gt;=$NR$37,295&lt;=$NS$37),IF($NP$37="Single_Point",IF(295=$NR$37,$NN$37,0),IF($NP$37="Bell_Curve",$NN$37*(295-$NR$37+1)*($NS$37-295+1)/$NU$37,$NN$37/$NT$37)),0)</f>
        <v/>
      </c>
      <c r="KN37" s="402">
        <f>IF(AND(296&gt;=$NR$37,296&lt;=$NS$37),IF($NP$37="Single_Point",IF(296=$NR$37,$NN$37,0),IF($NP$37="Bell_Curve",$NN$37*(296-$NR$37+1)*($NS$37-296+1)/$NU$37,$NN$37/$NT$37)),0)</f>
        <v/>
      </c>
      <c r="KO37" s="402">
        <f>IF(AND(297&gt;=$NR$37,297&lt;=$NS$37),IF($NP$37="Single_Point",IF(297=$NR$37,$NN$37,0),IF($NP$37="Bell_Curve",$NN$37*(297-$NR$37+1)*($NS$37-297+1)/$NU$37,$NN$37/$NT$37)),0)</f>
        <v/>
      </c>
      <c r="KP37" s="402">
        <f>IF(AND(298&gt;=$NR$37,298&lt;=$NS$37),IF($NP$37="Single_Point",IF(298=$NR$37,$NN$37,0),IF($NP$37="Bell_Curve",$NN$37*(298-$NR$37+1)*($NS$37-298+1)/$NU$37,$NN$37/$NT$37)),0)</f>
        <v/>
      </c>
      <c r="KQ37" s="402">
        <f>IF(AND(299&gt;=$NR$37,299&lt;=$NS$37),IF($NP$37="Single_Point",IF(299=$NR$37,$NN$37,0),IF($NP$37="Bell_Curve",$NN$37*(299-$NR$37+1)*($NS$37-299+1)/$NU$37,$NN$37/$NT$37)),0)</f>
        <v/>
      </c>
      <c r="KR37" s="402">
        <f>IF(AND(300&gt;=$NR$37,300&lt;=$NS$37),IF($NP$37="Single_Point",IF(300=$NR$37,$NN$37,0),IF($NP$37="Bell_Curve",$NN$37*(300-$NR$37+1)*($NS$37-300+1)/$NU$37,$NN$37/$NT$37)),0)</f>
        <v/>
      </c>
      <c r="KS37" s="402">
        <f>IF(AND(301&gt;=$NR$37,301&lt;=$NS$37),IF($NP$37="Single_Point",IF(301=$NR$37,$NN$37,0),IF($NP$37="Bell_Curve",$NN$37*(301-$NR$37+1)*($NS$37-301+1)/$NU$37,$NN$37/$NT$37)),0)</f>
        <v/>
      </c>
      <c r="KT37" s="402">
        <f>IF(AND(302&gt;=$NR$37,302&lt;=$NS$37),IF($NP$37="Single_Point",IF(302=$NR$37,$NN$37,0),IF($NP$37="Bell_Curve",$NN$37*(302-$NR$37+1)*($NS$37-302+1)/$NU$37,$NN$37/$NT$37)),0)</f>
        <v/>
      </c>
      <c r="KU37" s="402">
        <f>IF(AND(303&gt;=$NR$37,303&lt;=$NS$37),IF($NP$37="Single_Point",IF(303=$NR$37,$NN$37,0),IF($NP$37="Bell_Curve",$NN$37*(303-$NR$37+1)*($NS$37-303+1)/$NU$37,$NN$37/$NT$37)),0)</f>
        <v/>
      </c>
      <c r="KV37" s="402">
        <f>IF(AND(304&gt;=$NR$37,304&lt;=$NS$37),IF($NP$37="Single_Point",IF(304=$NR$37,$NN$37,0),IF($NP$37="Bell_Curve",$NN$37*(304-$NR$37+1)*($NS$37-304+1)/$NU$37,$NN$37/$NT$37)),0)</f>
        <v/>
      </c>
      <c r="KW37" s="402">
        <f>IF(AND(305&gt;=$NR$37,305&lt;=$NS$37),IF($NP$37="Single_Point",IF(305=$NR$37,$NN$37,0),IF($NP$37="Bell_Curve",$NN$37*(305-$NR$37+1)*($NS$37-305+1)/$NU$37,$NN$37/$NT$37)),0)</f>
        <v/>
      </c>
      <c r="KX37" s="402">
        <f>IF(AND(306&gt;=$NR$37,306&lt;=$NS$37),IF($NP$37="Single_Point",IF(306=$NR$37,$NN$37,0),IF($NP$37="Bell_Curve",$NN$37*(306-$NR$37+1)*($NS$37-306+1)/$NU$37,$NN$37/$NT$37)),0)</f>
        <v/>
      </c>
      <c r="KY37" s="402">
        <f>IF(AND(307&gt;=$NR$37,307&lt;=$NS$37),IF($NP$37="Single_Point",IF(307=$NR$37,$NN$37,0),IF($NP$37="Bell_Curve",$NN$37*(307-$NR$37+1)*($NS$37-307+1)/$NU$37,$NN$37/$NT$37)),0)</f>
        <v/>
      </c>
      <c r="KZ37" s="402">
        <f>IF(AND(308&gt;=$NR$37,308&lt;=$NS$37),IF($NP$37="Single_Point",IF(308=$NR$37,$NN$37,0),IF($NP$37="Bell_Curve",$NN$37*(308-$NR$37+1)*($NS$37-308+1)/$NU$37,$NN$37/$NT$37)),0)</f>
        <v/>
      </c>
      <c r="LA37" s="402">
        <f>IF(AND(309&gt;=$NR$37,309&lt;=$NS$37),IF($NP$37="Single_Point",IF(309=$NR$37,$NN$37,0),IF($NP$37="Bell_Curve",$NN$37*(309-$NR$37+1)*($NS$37-309+1)/$NU$37,$NN$37/$NT$37)),0)</f>
        <v/>
      </c>
      <c r="LB37" s="402">
        <f>IF(AND(310&gt;=$NR$37,310&lt;=$NS$37),IF($NP$37="Single_Point",IF(310=$NR$37,$NN$37,0),IF($NP$37="Bell_Curve",$NN$37*(310-$NR$37+1)*($NS$37-310+1)/$NU$37,$NN$37/$NT$37)),0)</f>
        <v/>
      </c>
      <c r="LC37" s="402">
        <f>IF(AND(311&gt;=$NR$37,311&lt;=$NS$37),IF($NP$37="Single_Point",IF(311=$NR$37,$NN$37,0),IF($NP$37="Bell_Curve",$NN$37*(311-$NR$37+1)*($NS$37-311+1)/$NU$37,$NN$37/$NT$37)),0)</f>
        <v/>
      </c>
      <c r="LD37" s="402">
        <f>IF(AND(312&gt;=$NR$37,312&lt;=$NS$37),IF($NP$37="Single_Point",IF(312=$NR$37,$NN$37,0),IF($NP$37="Bell_Curve",$NN$37*(312-$NR$37+1)*($NS$37-312+1)/$NU$37,$NN$37/$NT$37)),0)</f>
        <v/>
      </c>
      <c r="LE37" s="402">
        <f>IF(AND(313&gt;=$NR$37,313&lt;=$NS$37),IF($NP$37="Single_Point",IF(313=$NR$37,$NN$37,0),IF($NP$37="Bell_Curve",$NN$37*(313-$NR$37+1)*($NS$37-313+1)/$NU$37,$NN$37/$NT$37)),0)</f>
        <v/>
      </c>
      <c r="LF37" s="402">
        <f>IF(AND(314&gt;=$NR$37,314&lt;=$NS$37),IF($NP$37="Single_Point",IF(314=$NR$37,$NN$37,0),IF($NP$37="Bell_Curve",$NN$37*(314-$NR$37+1)*($NS$37-314+1)/$NU$37,$NN$37/$NT$37)),0)</f>
        <v/>
      </c>
      <c r="LG37" s="402">
        <f>IF(AND(315&gt;=$NR$37,315&lt;=$NS$37),IF($NP$37="Single_Point",IF(315=$NR$37,$NN$37,0),IF($NP$37="Bell_Curve",$NN$37*(315-$NR$37+1)*($NS$37-315+1)/$NU$37,$NN$37/$NT$37)),0)</f>
        <v/>
      </c>
      <c r="LH37" s="402">
        <f>IF(AND(316&gt;=$NR$37,316&lt;=$NS$37),IF($NP$37="Single_Point",IF(316=$NR$37,$NN$37,0),IF($NP$37="Bell_Curve",$NN$37*(316-$NR$37+1)*($NS$37-316+1)/$NU$37,$NN$37/$NT$37)),0)</f>
        <v/>
      </c>
      <c r="LI37" s="402">
        <f>IF(AND(317&gt;=$NR$37,317&lt;=$NS$37),IF($NP$37="Single_Point",IF(317=$NR$37,$NN$37,0),IF($NP$37="Bell_Curve",$NN$37*(317-$NR$37+1)*($NS$37-317+1)/$NU$37,$NN$37/$NT$37)),0)</f>
        <v/>
      </c>
      <c r="LJ37" s="402">
        <f>IF(AND(318&gt;=$NR$37,318&lt;=$NS$37),IF($NP$37="Single_Point",IF(318=$NR$37,$NN$37,0),IF($NP$37="Bell_Curve",$NN$37*(318-$NR$37+1)*($NS$37-318+1)/$NU$37,$NN$37/$NT$37)),0)</f>
        <v/>
      </c>
      <c r="LK37" s="402">
        <f>IF(AND(319&gt;=$NR$37,319&lt;=$NS$37),IF($NP$37="Single_Point",IF(319=$NR$37,$NN$37,0),IF($NP$37="Bell_Curve",$NN$37*(319-$NR$37+1)*($NS$37-319+1)/$NU$37,$NN$37/$NT$37)),0)</f>
        <v/>
      </c>
      <c r="LL37" s="402">
        <f>IF(AND(320&gt;=$NR$37,320&lt;=$NS$37),IF($NP$37="Single_Point",IF(320=$NR$37,$NN$37,0),IF($NP$37="Bell_Curve",$NN$37*(320-$NR$37+1)*($NS$37-320+1)/$NU$37,$NN$37/$NT$37)),0)</f>
        <v/>
      </c>
      <c r="LM37" s="402">
        <f>IF(AND(321&gt;=$NR$37,321&lt;=$NS$37),IF($NP$37="Single_Point",IF(321=$NR$37,$NN$37,0),IF($NP$37="Bell_Curve",$NN$37*(321-$NR$37+1)*($NS$37-321+1)/$NU$37,$NN$37/$NT$37)),0)</f>
        <v/>
      </c>
      <c r="LN37" s="402">
        <f>IF(AND(322&gt;=$NR$37,322&lt;=$NS$37),IF($NP$37="Single_Point",IF(322=$NR$37,$NN$37,0),IF($NP$37="Bell_Curve",$NN$37*(322-$NR$37+1)*($NS$37-322+1)/$NU$37,$NN$37/$NT$37)),0)</f>
        <v/>
      </c>
      <c r="LO37" s="402">
        <f>IF(AND(323&gt;=$NR$37,323&lt;=$NS$37),IF($NP$37="Single_Point",IF(323=$NR$37,$NN$37,0),IF($NP$37="Bell_Curve",$NN$37*(323-$NR$37+1)*($NS$37-323+1)/$NU$37,$NN$37/$NT$37)),0)</f>
        <v/>
      </c>
      <c r="LP37" s="402">
        <f>IF(AND(324&gt;=$NR$37,324&lt;=$NS$37),IF($NP$37="Single_Point",IF(324=$NR$37,$NN$37,0),IF($NP$37="Bell_Curve",$NN$37*(324-$NR$37+1)*($NS$37-324+1)/$NU$37,$NN$37/$NT$37)),0)</f>
        <v/>
      </c>
      <c r="LQ37" s="402">
        <f>IF(AND(325&gt;=$NR$37,325&lt;=$NS$37),IF($NP$37="Single_Point",IF(325=$NR$37,$NN$37,0),IF($NP$37="Bell_Curve",$NN$37*(325-$NR$37+1)*($NS$37-325+1)/$NU$37,$NN$37/$NT$37)),0)</f>
        <v/>
      </c>
      <c r="LR37" s="402">
        <f>IF(AND(326&gt;=$NR$37,326&lt;=$NS$37),IF($NP$37="Single_Point",IF(326=$NR$37,$NN$37,0),IF($NP$37="Bell_Curve",$NN$37*(326-$NR$37+1)*($NS$37-326+1)/$NU$37,$NN$37/$NT$37)),0)</f>
        <v/>
      </c>
      <c r="LS37" s="402">
        <f>IF(AND(327&gt;=$NR$37,327&lt;=$NS$37),IF($NP$37="Single_Point",IF(327=$NR$37,$NN$37,0),IF($NP$37="Bell_Curve",$NN$37*(327-$NR$37+1)*($NS$37-327+1)/$NU$37,$NN$37/$NT$37)),0)</f>
        <v/>
      </c>
      <c r="LT37" s="402">
        <f>IF(AND(328&gt;=$NR$37,328&lt;=$NS$37),IF($NP$37="Single_Point",IF(328=$NR$37,$NN$37,0),IF($NP$37="Bell_Curve",$NN$37*(328-$NR$37+1)*($NS$37-328+1)/$NU$37,$NN$37/$NT$37)),0)</f>
        <v/>
      </c>
      <c r="LU37" s="402">
        <f>IF(AND(329&gt;=$NR$37,329&lt;=$NS$37),IF($NP$37="Single_Point",IF(329=$NR$37,$NN$37,0),IF($NP$37="Bell_Curve",$NN$37*(329-$NR$37+1)*($NS$37-329+1)/$NU$37,$NN$37/$NT$37)),0)</f>
        <v/>
      </c>
      <c r="LV37" s="402">
        <f>IF(AND(330&gt;=$NR$37,330&lt;=$NS$37),IF($NP$37="Single_Point",IF(330=$NR$37,$NN$37,0),IF($NP$37="Bell_Curve",$NN$37*(330-$NR$37+1)*($NS$37-330+1)/$NU$37,$NN$37/$NT$37)),0)</f>
        <v/>
      </c>
      <c r="LW37" s="402">
        <f>IF(AND(331&gt;=$NR$37,331&lt;=$NS$37),IF($NP$37="Single_Point",IF(331=$NR$37,$NN$37,0),IF($NP$37="Bell_Curve",$NN$37*(331-$NR$37+1)*($NS$37-331+1)/$NU$37,$NN$37/$NT$37)),0)</f>
        <v/>
      </c>
      <c r="LX37" s="402">
        <f>IF(AND(332&gt;=$NR$37,332&lt;=$NS$37),IF($NP$37="Single_Point",IF(332=$NR$37,$NN$37,0),IF($NP$37="Bell_Curve",$NN$37*(332-$NR$37+1)*($NS$37-332+1)/$NU$37,$NN$37/$NT$37)),0)</f>
        <v/>
      </c>
      <c r="LY37" s="402">
        <f>IF(AND(333&gt;=$NR$37,333&lt;=$NS$37),IF($NP$37="Single_Point",IF(333=$NR$37,$NN$37,0),IF($NP$37="Bell_Curve",$NN$37*(333-$NR$37+1)*($NS$37-333+1)/$NU$37,$NN$37/$NT$37)),0)</f>
        <v/>
      </c>
      <c r="LZ37" s="402">
        <f>IF(AND(334&gt;=$NR$37,334&lt;=$NS$37),IF($NP$37="Single_Point",IF(334=$NR$37,$NN$37,0),IF($NP$37="Bell_Curve",$NN$37*(334-$NR$37+1)*($NS$37-334+1)/$NU$37,$NN$37/$NT$37)),0)</f>
        <v/>
      </c>
      <c r="MA37" s="402">
        <f>IF(AND(335&gt;=$NR$37,335&lt;=$NS$37),IF($NP$37="Single_Point",IF(335=$NR$37,$NN$37,0),IF($NP$37="Bell_Curve",$NN$37*(335-$NR$37+1)*($NS$37-335+1)/$NU$37,$NN$37/$NT$37)),0)</f>
        <v/>
      </c>
      <c r="MB37" s="402">
        <f>IF(AND(336&gt;=$NR$37,336&lt;=$NS$37),IF($NP$37="Single_Point",IF(336=$NR$37,$NN$37,0),IF($NP$37="Bell_Curve",$NN$37*(336-$NR$37+1)*($NS$37-336+1)/$NU$37,$NN$37/$NT$37)),0)</f>
        <v/>
      </c>
      <c r="MC37" s="402">
        <f>IF(AND(337&gt;=$NR$37,337&lt;=$NS$37),IF($NP$37="Single_Point",IF(337=$NR$37,$NN$37,0),IF($NP$37="Bell_Curve",$NN$37*(337-$NR$37+1)*($NS$37-337+1)/$NU$37,$NN$37/$NT$37)),0)</f>
        <v/>
      </c>
      <c r="MD37" s="402">
        <f>IF(AND(338&gt;=$NR$37,338&lt;=$NS$37),IF($NP$37="Single_Point",IF(338=$NR$37,$NN$37,0),IF($NP$37="Bell_Curve",$NN$37*(338-$NR$37+1)*($NS$37-338+1)/$NU$37,$NN$37/$NT$37)),0)</f>
        <v/>
      </c>
      <c r="ME37" s="402">
        <f>IF(AND(339&gt;=$NR$37,339&lt;=$NS$37),IF($NP$37="Single_Point",IF(339=$NR$37,$NN$37,0),IF($NP$37="Bell_Curve",$NN$37*(339-$NR$37+1)*($NS$37-339+1)/$NU$37,$NN$37/$NT$37)),0)</f>
        <v/>
      </c>
      <c r="MF37" s="402">
        <f>IF(AND(340&gt;=$NR$37,340&lt;=$NS$37),IF($NP$37="Single_Point",IF(340=$NR$37,$NN$37,0),IF($NP$37="Bell_Curve",$NN$37*(340-$NR$37+1)*($NS$37-340+1)/$NU$37,$NN$37/$NT$37)),0)</f>
        <v/>
      </c>
      <c r="MG37" s="402">
        <f>IF(AND(341&gt;=$NR$37,341&lt;=$NS$37),IF($NP$37="Single_Point",IF(341=$NR$37,$NN$37,0),IF($NP$37="Bell_Curve",$NN$37*(341-$NR$37+1)*($NS$37-341+1)/$NU$37,$NN$37/$NT$37)),0)</f>
        <v/>
      </c>
      <c r="MH37" s="402">
        <f>IF(AND(342&gt;=$NR$37,342&lt;=$NS$37),IF($NP$37="Single_Point",IF(342=$NR$37,$NN$37,0),IF($NP$37="Bell_Curve",$NN$37*(342-$NR$37+1)*($NS$37-342+1)/$NU$37,$NN$37/$NT$37)),0)</f>
        <v/>
      </c>
      <c r="MI37" s="402">
        <f>IF(AND(343&gt;=$NR$37,343&lt;=$NS$37),IF($NP$37="Single_Point",IF(343=$NR$37,$NN$37,0),IF($NP$37="Bell_Curve",$NN$37*(343-$NR$37+1)*($NS$37-343+1)/$NU$37,$NN$37/$NT$37)),0)</f>
        <v/>
      </c>
      <c r="MJ37" s="402">
        <f>IF(AND(344&gt;=$NR$37,344&lt;=$NS$37),IF($NP$37="Single_Point",IF(344=$NR$37,$NN$37,0),IF($NP$37="Bell_Curve",$NN$37*(344-$NR$37+1)*($NS$37-344+1)/$NU$37,$NN$37/$NT$37)),0)</f>
        <v/>
      </c>
      <c r="MK37" s="402">
        <f>IF(AND(345&gt;=$NR$37,345&lt;=$NS$37),IF($NP$37="Single_Point",IF(345=$NR$37,$NN$37,0),IF($NP$37="Bell_Curve",$NN$37*(345-$NR$37+1)*($NS$37-345+1)/$NU$37,$NN$37/$NT$37)),0)</f>
        <v/>
      </c>
      <c r="ML37" s="402">
        <f>IF(AND(346&gt;=$NR$37,346&lt;=$NS$37),IF($NP$37="Single_Point",IF(346=$NR$37,$NN$37,0),IF($NP$37="Bell_Curve",$NN$37*(346-$NR$37+1)*($NS$37-346+1)/$NU$37,$NN$37/$NT$37)),0)</f>
        <v/>
      </c>
      <c r="MM37" s="402">
        <f>IF(AND(347&gt;=$NR$37,347&lt;=$NS$37),IF($NP$37="Single_Point",IF(347=$NR$37,$NN$37,0),IF($NP$37="Bell_Curve",$NN$37*(347-$NR$37+1)*($NS$37-347+1)/$NU$37,$NN$37/$NT$37)),0)</f>
        <v/>
      </c>
      <c r="MN37" s="402">
        <f>IF(AND(348&gt;=$NR$37,348&lt;=$NS$37),IF($NP$37="Single_Point",IF(348=$NR$37,$NN$37,0),IF($NP$37="Bell_Curve",$NN$37*(348-$NR$37+1)*($NS$37-348+1)/$NU$37,$NN$37/$NT$37)),0)</f>
        <v/>
      </c>
      <c r="MO37" s="402">
        <f>IF(AND(349&gt;=$NR$37,349&lt;=$NS$37),IF($NP$37="Single_Point",IF(349=$NR$37,$NN$37,0),IF($NP$37="Bell_Curve",$NN$37*(349-$NR$37+1)*($NS$37-349+1)/$NU$37,$NN$37/$NT$37)),0)</f>
        <v/>
      </c>
      <c r="MP37" s="402">
        <f>IF(AND(350&gt;=$NR$37,350&lt;=$NS$37),IF($NP$37="Single_Point",IF(350=$NR$37,$NN$37,0),IF($NP$37="Bell_Curve",$NN$37*(350-$NR$37+1)*($NS$37-350+1)/$NU$37,$NN$37/$NT$37)),0)</f>
        <v/>
      </c>
      <c r="MQ37" s="402">
        <f>IF(AND(351&gt;=$NR$37,351&lt;=$NS$37),IF($NP$37="Single_Point",IF(351=$NR$37,$NN$37,0),IF($NP$37="Bell_Curve",$NN$37*(351-$NR$37+1)*($NS$37-351+1)/$NU$37,$NN$37/$NT$37)),0)</f>
        <v/>
      </c>
      <c r="MR37" s="402">
        <f>IF(AND(352&gt;=$NR$37,352&lt;=$NS$37),IF($NP$37="Single_Point",IF(352=$NR$37,$NN$37,0),IF($NP$37="Bell_Curve",$NN$37*(352-$NR$37+1)*($NS$37-352+1)/$NU$37,$NN$37/$NT$37)),0)</f>
        <v/>
      </c>
      <c r="MS37" s="402">
        <f>IF(AND(353&gt;=$NR$37,353&lt;=$NS$37),IF($NP$37="Single_Point",IF(353=$NR$37,$NN$37,0),IF($NP$37="Bell_Curve",$NN$37*(353-$NR$37+1)*($NS$37-353+1)/$NU$37,$NN$37/$NT$37)),0)</f>
        <v/>
      </c>
      <c r="MT37" s="402">
        <f>IF(AND(354&gt;=$NR$37,354&lt;=$NS$37),IF($NP$37="Single_Point",IF(354=$NR$37,$NN$37,0),IF($NP$37="Bell_Curve",$NN$37*(354-$NR$37+1)*($NS$37-354+1)/$NU$37,$NN$37/$NT$37)),0)</f>
        <v/>
      </c>
      <c r="MU37" s="402">
        <f>IF(AND(355&gt;=$NR$37,355&lt;=$NS$37),IF($NP$37="Single_Point",IF(355=$NR$37,$NN$37,0),IF($NP$37="Bell_Curve",$NN$37*(355-$NR$37+1)*($NS$37-355+1)/$NU$37,$NN$37/$NT$37)),0)</f>
        <v/>
      </c>
      <c r="MV37" s="402">
        <f>IF(AND(356&gt;=$NR$37,356&lt;=$NS$37),IF($NP$37="Single_Point",IF(356=$NR$37,$NN$37,0),IF($NP$37="Bell_Curve",$NN$37*(356-$NR$37+1)*($NS$37-356+1)/$NU$37,$NN$37/$NT$37)),0)</f>
        <v/>
      </c>
      <c r="MW37" s="402">
        <f>IF(AND(357&gt;=$NR$37,357&lt;=$NS$37),IF($NP$37="Single_Point",IF(357=$NR$37,$NN$37,0),IF($NP$37="Bell_Curve",$NN$37*(357-$NR$37+1)*($NS$37-357+1)/$NU$37,$NN$37/$NT$37)),0)</f>
        <v/>
      </c>
      <c r="MX37" s="402">
        <f>IF(AND(358&gt;=$NR$37,358&lt;=$NS$37),IF($NP$37="Single_Point",IF(358=$NR$37,$NN$37,0),IF($NP$37="Bell_Curve",$NN$37*(358-$NR$37+1)*($NS$37-358+1)/$NU$37,$NN$37/$NT$37)),0)</f>
        <v/>
      </c>
      <c r="MY37" s="402">
        <f>IF(AND(359&gt;=$NR$37,359&lt;=$NS$37),IF($NP$37="Single_Point",IF(359=$NR$37,$NN$37,0),IF($NP$37="Bell_Curve",$NN$37*(359-$NR$37+1)*($NS$37-359+1)/$NU$37,$NN$37/$NT$37)),0)</f>
        <v/>
      </c>
      <c r="MZ37" s="402">
        <f>IF(AND(360&gt;=$NR$37,360&lt;=$NS$37),IF($NP$37="Single_Point",IF(360=$NR$37,$NN$37,0),IF($NP$37="Bell_Curve",$NN$37*(360-$NR$37+1)*($NS$37-360+1)/$NU$37,$NN$37/$NT$37)),0)</f>
        <v/>
      </c>
      <c r="NA37" s="402">
        <f>IF(AND(361&gt;=$NR$37,361&lt;=$NS$37),IF($NP$37="Single_Point",IF(361=$NR$37,$NN$37,0),IF($NP$37="Bell_Curve",$NN$37*(361-$NR$37+1)*($NS$37-361+1)/$NU$37,$NN$37/$NT$37)),0)</f>
        <v/>
      </c>
      <c r="NB37" s="402">
        <f>IF(AND(362&gt;=$NR$37,362&lt;=$NS$37),IF($NP$37="Single_Point",IF(362=$NR$37,$NN$37,0),IF($NP$37="Bell_Curve",$NN$37*(362-$NR$37+1)*($NS$37-362+1)/$NU$37,$NN$37/$NT$37)),0)</f>
        <v/>
      </c>
      <c r="NC37" s="402">
        <f>IF(AND(363&gt;=$NR$37,363&lt;=$NS$37),IF($NP$37="Single_Point",IF(363=$NR$37,$NN$37,0),IF($NP$37="Bell_Curve",$NN$37*(363-$NR$37+1)*($NS$37-363+1)/$NU$37,$NN$37/$NT$37)),0)</f>
        <v/>
      </c>
      <c r="ND37" s="402">
        <f>IF(AND(364&gt;=$NR$37,364&lt;=$NS$37),IF($NP$37="Single_Point",IF(364=$NR$37,$NN$37,0),IF($NP$37="Bell_Curve",$NN$37*(364-$NR$37+1)*($NS$37-364+1)/$NU$37,$NN$37/$NT$37)),0)</f>
        <v/>
      </c>
      <c r="NE37" s="402">
        <f>IF(AND(365&gt;=$NR$37,365&lt;=$NS$37),IF($NP$37="Single_Point",IF(365=$NR$37,$NN$37,0),IF($NP$37="Bell_Curve",$NN$37*(365-$NR$37+1)*($NS$37-365+1)/$NU$37,$NN$37/$NT$37)),0)</f>
        <v/>
      </c>
      <c r="NF37" s="402">
        <f>IF(AND(366&gt;=$NR$37,366&lt;=$NS$37),IF($NP$37="Single_Point",IF(366=$NR$37,$NN$37,0),IF($NP$37="Bell_Curve",$NN$37*(366-$NR$37+1)*($NS$37-366+1)/$NU$37,$NN$37/$NT$37)),0)</f>
        <v/>
      </c>
      <c r="NG37" s="402">
        <f>IF(AND(367&gt;=$NR$37,367&lt;=$NS$37),IF($NP$37="Single_Point",IF(367=$NR$37,$NN$37,0),IF($NP$37="Bell_Curve",$NN$37*(367-$NR$37+1)*($NS$37-367+1)/$NU$37,$NN$37/$NT$37)),0)</f>
        <v/>
      </c>
      <c r="NH37" s="402">
        <f>IF(AND(368&gt;=$NR$37,368&lt;=$NS$37),IF($NP$37="Single_Point",IF(368=$NR$37,$NN$37,0),IF($NP$37="Bell_Curve",$NN$37*(368-$NR$37+1)*($NS$37-368+1)/$NU$37,$NN$37/$NT$37)),0)</f>
        <v/>
      </c>
      <c r="NI37" s="402">
        <f>IF(AND(369&gt;=$NR$37,369&lt;=$NS$37),IF($NP$37="Single_Point",IF(369=$NR$37,$NN$37,0),IF($NP$37="Bell_Curve",$NN$37*(369-$NR$37+1)*($NS$37-369+1)/$NU$37,$NN$37/$NT$37)),0)</f>
        <v/>
      </c>
      <c r="NJ37" s="402">
        <f>IF(AND(370&gt;=$NR$37,370&lt;=$NS$37),IF($NP$37="Single_Point",IF(370=$NR$37,$NN$37,0),IF($NP$37="Bell_Curve",$NN$37*(370-$NR$37+1)*($NS$37-370+1)/$NU$37,$NN$37/$NT$37)),0)</f>
        <v/>
      </c>
      <c r="NK37" s="402">
        <f>IF(AND(371&gt;=$NR$37,371&lt;=$NS$37),IF($NP$37="Single_Point",IF(371=$NR$37,$NN$37,0),IF($NP$37="Bell_Curve",$NN$37*(371-$NR$37+1)*($NS$37-371+1)/$NU$37,$NN$37/$NT$37)),0)</f>
        <v/>
      </c>
      <c r="NL37" s="426">
        <f>IF(AND(372&gt;=$NR$37,372&lt;=$NS$37),IF($NP$37="Single_Point",IF(372=$NR$37,$NN$37,0),IF($NP$37="Bell_Curve",$NN$37*(372-$NR$37+1)*($NS$37-372+1)/$NU$37,$NN$37/$NT$37)),0)</f>
        <v/>
      </c>
      <c r="NM37">
        <f>Budget!C36</f>
        <v/>
      </c>
      <c r="NN37">
        <f>Budget!J36</f>
        <v/>
      </c>
      <c r="NO37">
        <f>Budget!G36</f>
        <v/>
      </c>
      <c r="NP37">
        <f>Budget!H36</f>
        <v/>
      </c>
      <c r="NQ37">
        <f>Budget!I36</f>
        <v/>
      </c>
      <c r="NR37">
        <f>MAX(1,MIN(372,INDEX(MilestoneStart,MATCH(NO37,MilestoneNames,0))+NQ37))</f>
        <v/>
      </c>
      <c r="NS37">
        <f>MAX(NR37,MIN(372,INDEX(MilestoneEnd,MATCH(NO37,MilestoneNames,0))+NQ37))</f>
        <v/>
      </c>
      <c r="NT37">
        <f>NS37-NR37+1</f>
        <v/>
      </c>
      <c r="NU37">
        <f>NT37*(NT37+1)*(NT37+2)/6</f>
        <v/>
      </c>
    </row>
    <row r="38">
      <c r="B38" s="296">
        <f>Budget!B37</f>
        <v/>
      </c>
      <c r="D38" s="425">
        <f>SUM(E38:NL38)</f>
        <v/>
      </c>
      <c r="E38" s="402">
        <f>IF(AND(1&gt;=$NR$38,1&lt;=$NS$38),IF($NP$38="Single_Point",IF(1=$NR$38,$NN$38,0),IF($NP$38="Bell_Curve",$NN$38*(1-$NR$38+1)*($NS$38-1+1)/$NU$38,$NN$38/$NT$38)),0)</f>
        <v/>
      </c>
      <c r="F38" s="402">
        <f>IF(AND(2&gt;=$NR$38,2&lt;=$NS$38),IF($NP$38="Single_Point",IF(2=$NR$38,$NN$38,0),IF($NP$38="Bell_Curve",$NN$38*(2-$NR$38+1)*($NS$38-2+1)/$NU$38,$NN$38/$NT$38)),0)</f>
        <v/>
      </c>
      <c r="G38" s="402">
        <f>IF(AND(3&gt;=$NR$38,3&lt;=$NS$38),IF($NP$38="Single_Point",IF(3=$NR$38,$NN$38,0),IF($NP$38="Bell_Curve",$NN$38*(3-$NR$38+1)*($NS$38-3+1)/$NU$38,$NN$38/$NT$38)),0)</f>
        <v/>
      </c>
      <c r="H38" s="402">
        <f>IF(AND(4&gt;=$NR$38,4&lt;=$NS$38),IF($NP$38="Single_Point",IF(4=$NR$38,$NN$38,0),IF($NP$38="Bell_Curve",$NN$38*(4-$NR$38+1)*($NS$38-4+1)/$NU$38,$NN$38/$NT$38)),0)</f>
        <v/>
      </c>
      <c r="I38" s="402">
        <f>IF(AND(5&gt;=$NR$38,5&lt;=$NS$38),IF($NP$38="Single_Point",IF(5=$NR$38,$NN$38,0),IF($NP$38="Bell_Curve",$NN$38*(5-$NR$38+1)*($NS$38-5+1)/$NU$38,$NN$38/$NT$38)),0)</f>
        <v/>
      </c>
      <c r="J38" s="402">
        <f>IF(AND(6&gt;=$NR$38,6&lt;=$NS$38),IF($NP$38="Single_Point",IF(6=$NR$38,$NN$38,0),IF($NP$38="Bell_Curve",$NN$38*(6-$NR$38+1)*($NS$38-6+1)/$NU$38,$NN$38/$NT$38)),0)</f>
        <v/>
      </c>
      <c r="K38" s="402">
        <f>IF(AND(7&gt;=$NR$38,7&lt;=$NS$38),IF($NP$38="Single_Point",IF(7=$NR$38,$NN$38,0),IF($NP$38="Bell_Curve",$NN$38*(7-$NR$38+1)*($NS$38-7+1)/$NU$38,$NN$38/$NT$38)),0)</f>
        <v/>
      </c>
      <c r="L38" s="402">
        <f>IF(AND(8&gt;=$NR$38,8&lt;=$NS$38),IF($NP$38="Single_Point",IF(8=$NR$38,$NN$38,0),IF($NP$38="Bell_Curve",$NN$38*(8-$NR$38+1)*($NS$38-8+1)/$NU$38,$NN$38/$NT$38)),0)</f>
        <v/>
      </c>
      <c r="M38" s="402">
        <f>IF(AND(9&gt;=$NR$38,9&lt;=$NS$38),IF($NP$38="Single_Point",IF(9=$NR$38,$NN$38,0),IF($NP$38="Bell_Curve",$NN$38*(9-$NR$38+1)*($NS$38-9+1)/$NU$38,$NN$38/$NT$38)),0)</f>
        <v/>
      </c>
      <c r="N38" s="402">
        <f>IF(AND(10&gt;=$NR$38,10&lt;=$NS$38),IF($NP$38="Single_Point",IF(10=$NR$38,$NN$38,0),IF($NP$38="Bell_Curve",$NN$38*(10-$NR$38+1)*($NS$38-10+1)/$NU$38,$NN$38/$NT$38)),0)</f>
        <v/>
      </c>
      <c r="O38" s="402">
        <f>IF(AND(11&gt;=$NR$38,11&lt;=$NS$38),IF($NP$38="Single_Point",IF(11=$NR$38,$NN$38,0),IF($NP$38="Bell_Curve",$NN$38*(11-$NR$38+1)*($NS$38-11+1)/$NU$38,$NN$38/$NT$38)),0)</f>
        <v/>
      </c>
      <c r="P38" s="402">
        <f>IF(AND(12&gt;=$NR$38,12&lt;=$NS$38),IF($NP$38="Single_Point",IF(12=$NR$38,$NN$38,0),IF($NP$38="Bell_Curve",$NN$38*(12-$NR$38+1)*($NS$38-12+1)/$NU$38,$NN$38/$NT$38)),0)</f>
        <v/>
      </c>
      <c r="Q38" s="402">
        <f>IF(AND(13&gt;=$NR$38,13&lt;=$NS$38),IF($NP$38="Single_Point",IF(13=$NR$38,$NN$38,0),IF($NP$38="Bell_Curve",$NN$38*(13-$NR$38+1)*($NS$38-13+1)/$NU$38,$NN$38/$NT$38)),0)</f>
        <v/>
      </c>
      <c r="R38" s="402">
        <f>IF(AND(14&gt;=$NR$38,14&lt;=$NS$38),IF($NP$38="Single_Point",IF(14=$NR$38,$NN$38,0),IF($NP$38="Bell_Curve",$NN$38*(14-$NR$38+1)*($NS$38-14+1)/$NU$38,$NN$38/$NT$38)),0)</f>
        <v/>
      </c>
      <c r="S38" s="402">
        <f>IF(AND(15&gt;=$NR$38,15&lt;=$NS$38),IF($NP$38="Single_Point",IF(15=$NR$38,$NN$38,0),IF($NP$38="Bell_Curve",$NN$38*(15-$NR$38+1)*($NS$38-15+1)/$NU$38,$NN$38/$NT$38)),0)</f>
        <v/>
      </c>
      <c r="T38" s="402">
        <f>IF(AND(16&gt;=$NR$38,16&lt;=$NS$38),IF($NP$38="Single_Point",IF(16=$NR$38,$NN$38,0),IF($NP$38="Bell_Curve",$NN$38*(16-$NR$38+1)*($NS$38-16+1)/$NU$38,$NN$38/$NT$38)),0)</f>
        <v/>
      </c>
      <c r="U38" s="402">
        <f>IF(AND(17&gt;=$NR$38,17&lt;=$NS$38),IF($NP$38="Single_Point",IF(17=$NR$38,$NN$38,0),IF($NP$38="Bell_Curve",$NN$38*(17-$NR$38+1)*($NS$38-17+1)/$NU$38,$NN$38/$NT$38)),0)</f>
        <v/>
      </c>
      <c r="V38" s="402">
        <f>IF(AND(18&gt;=$NR$38,18&lt;=$NS$38),IF($NP$38="Single_Point",IF(18=$NR$38,$NN$38,0),IF($NP$38="Bell_Curve",$NN$38*(18-$NR$38+1)*($NS$38-18+1)/$NU$38,$NN$38/$NT$38)),0)</f>
        <v/>
      </c>
      <c r="W38" s="402">
        <f>IF(AND(19&gt;=$NR$38,19&lt;=$NS$38),IF($NP$38="Single_Point",IF(19=$NR$38,$NN$38,0),IF($NP$38="Bell_Curve",$NN$38*(19-$NR$38+1)*($NS$38-19+1)/$NU$38,$NN$38/$NT$38)),0)</f>
        <v/>
      </c>
      <c r="X38" s="402">
        <f>IF(AND(20&gt;=$NR$38,20&lt;=$NS$38),IF($NP$38="Single_Point",IF(20=$NR$38,$NN$38,0),IF($NP$38="Bell_Curve",$NN$38*(20-$NR$38+1)*($NS$38-20+1)/$NU$38,$NN$38/$NT$38)),0)</f>
        <v/>
      </c>
      <c r="Y38" s="402">
        <f>IF(AND(21&gt;=$NR$38,21&lt;=$NS$38),IF($NP$38="Single_Point",IF(21=$NR$38,$NN$38,0),IF($NP$38="Bell_Curve",$NN$38*(21-$NR$38+1)*($NS$38-21+1)/$NU$38,$NN$38/$NT$38)),0)</f>
        <v/>
      </c>
      <c r="Z38" s="402">
        <f>IF(AND(22&gt;=$NR$38,22&lt;=$NS$38),IF($NP$38="Single_Point",IF(22=$NR$38,$NN$38,0),IF($NP$38="Bell_Curve",$NN$38*(22-$NR$38+1)*($NS$38-22+1)/$NU$38,$NN$38/$NT$38)),0)</f>
        <v/>
      </c>
      <c r="AA38" s="402">
        <f>IF(AND(23&gt;=$NR$38,23&lt;=$NS$38),IF($NP$38="Single_Point",IF(23=$NR$38,$NN$38,0),IF($NP$38="Bell_Curve",$NN$38*(23-$NR$38+1)*($NS$38-23+1)/$NU$38,$NN$38/$NT$38)),0)</f>
        <v/>
      </c>
      <c r="AB38" s="402">
        <f>IF(AND(24&gt;=$NR$38,24&lt;=$NS$38),IF($NP$38="Single_Point",IF(24=$NR$38,$NN$38,0),IF($NP$38="Bell_Curve",$NN$38*(24-$NR$38+1)*($NS$38-24+1)/$NU$38,$NN$38/$NT$38)),0)</f>
        <v/>
      </c>
      <c r="AC38" s="402">
        <f>IF(AND(25&gt;=$NR$38,25&lt;=$NS$38),IF($NP$38="Single_Point",IF(25=$NR$38,$NN$38,0),IF($NP$38="Bell_Curve",$NN$38*(25-$NR$38+1)*($NS$38-25+1)/$NU$38,$NN$38/$NT$38)),0)</f>
        <v/>
      </c>
      <c r="AD38" s="402">
        <f>IF(AND(26&gt;=$NR$38,26&lt;=$NS$38),IF($NP$38="Single_Point",IF(26=$NR$38,$NN$38,0),IF($NP$38="Bell_Curve",$NN$38*(26-$NR$38+1)*($NS$38-26+1)/$NU$38,$NN$38/$NT$38)),0)</f>
        <v/>
      </c>
      <c r="AE38" s="402">
        <f>IF(AND(27&gt;=$NR$38,27&lt;=$NS$38),IF($NP$38="Single_Point",IF(27=$NR$38,$NN$38,0),IF($NP$38="Bell_Curve",$NN$38*(27-$NR$38+1)*($NS$38-27+1)/$NU$38,$NN$38/$NT$38)),0)</f>
        <v/>
      </c>
      <c r="AF38" s="402">
        <f>IF(AND(28&gt;=$NR$38,28&lt;=$NS$38),IF($NP$38="Single_Point",IF(28=$NR$38,$NN$38,0),IF($NP$38="Bell_Curve",$NN$38*(28-$NR$38+1)*($NS$38-28+1)/$NU$38,$NN$38/$NT$38)),0)</f>
        <v/>
      </c>
      <c r="AG38" s="402">
        <f>IF(AND(29&gt;=$NR$38,29&lt;=$NS$38),IF($NP$38="Single_Point",IF(29=$NR$38,$NN$38,0),IF($NP$38="Bell_Curve",$NN$38*(29-$NR$38+1)*($NS$38-29+1)/$NU$38,$NN$38/$NT$38)),0)</f>
        <v/>
      </c>
      <c r="AH38" s="402">
        <f>IF(AND(30&gt;=$NR$38,30&lt;=$NS$38),IF($NP$38="Single_Point",IF(30=$NR$38,$NN$38,0),IF($NP$38="Bell_Curve",$NN$38*(30-$NR$38+1)*($NS$38-30+1)/$NU$38,$NN$38/$NT$38)),0)</f>
        <v/>
      </c>
      <c r="AI38" s="402">
        <f>IF(AND(31&gt;=$NR$38,31&lt;=$NS$38),IF($NP$38="Single_Point",IF(31=$NR$38,$NN$38,0),IF($NP$38="Bell_Curve",$NN$38*(31-$NR$38+1)*($NS$38-31+1)/$NU$38,$NN$38/$NT$38)),0)</f>
        <v/>
      </c>
      <c r="AJ38" s="402">
        <f>IF(AND(32&gt;=$NR$38,32&lt;=$NS$38),IF($NP$38="Single_Point",IF(32=$NR$38,$NN$38,0),IF($NP$38="Bell_Curve",$NN$38*(32-$NR$38+1)*($NS$38-32+1)/$NU$38,$NN$38/$NT$38)),0)</f>
        <v/>
      </c>
      <c r="AK38" s="402">
        <f>IF(AND(33&gt;=$NR$38,33&lt;=$NS$38),IF($NP$38="Single_Point",IF(33=$NR$38,$NN$38,0),IF($NP$38="Bell_Curve",$NN$38*(33-$NR$38+1)*($NS$38-33+1)/$NU$38,$NN$38/$NT$38)),0)</f>
        <v/>
      </c>
      <c r="AL38" s="402">
        <f>IF(AND(34&gt;=$NR$38,34&lt;=$NS$38),IF($NP$38="Single_Point",IF(34=$NR$38,$NN$38,0),IF($NP$38="Bell_Curve",$NN$38*(34-$NR$38+1)*($NS$38-34+1)/$NU$38,$NN$38/$NT$38)),0)</f>
        <v/>
      </c>
      <c r="AM38" s="402">
        <f>IF(AND(35&gt;=$NR$38,35&lt;=$NS$38),IF($NP$38="Single_Point",IF(35=$NR$38,$NN$38,0),IF($NP$38="Bell_Curve",$NN$38*(35-$NR$38+1)*($NS$38-35+1)/$NU$38,$NN$38/$NT$38)),0)</f>
        <v/>
      </c>
      <c r="AN38" s="402">
        <f>IF(AND(36&gt;=$NR$38,36&lt;=$NS$38),IF($NP$38="Single_Point",IF(36=$NR$38,$NN$38,0),IF($NP$38="Bell_Curve",$NN$38*(36-$NR$38+1)*($NS$38-36+1)/$NU$38,$NN$38/$NT$38)),0)</f>
        <v/>
      </c>
      <c r="AO38" s="402">
        <f>IF(AND(37&gt;=$NR$38,37&lt;=$NS$38),IF($NP$38="Single_Point",IF(37=$NR$38,$NN$38,0),IF($NP$38="Bell_Curve",$NN$38*(37-$NR$38+1)*($NS$38-37+1)/$NU$38,$NN$38/$NT$38)),0)</f>
        <v/>
      </c>
      <c r="AP38" s="402">
        <f>IF(AND(38&gt;=$NR$38,38&lt;=$NS$38),IF($NP$38="Single_Point",IF(38=$NR$38,$NN$38,0),IF($NP$38="Bell_Curve",$NN$38*(38-$NR$38+1)*($NS$38-38+1)/$NU$38,$NN$38/$NT$38)),0)</f>
        <v/>
      </c>
      <c r="AQ38" s="402">
        <f>IF(AND(39&gt;=$NR$38,39&lt;=$NS$38),IF($NP$38="Single_Point",IF(39=$NR$38,$NN$38,0),IF($NP$38="Bell_Curve",$NN$38*(39-$NR$38+1)*($NS$38-39+1)/$NU$38,$NN$38/$NT$38)),0)</f>
        <v/>
      </c>
      <c r="AR38" s="402">
        <f>IF(AND(40&gt;=$NR$38,40&lt;=$NS$38),IF($NP$38="Single_Point",IF(40=$NR$38,$NN$38,0),IF($NP$38="Bell_Curve",$NN$38*(40-$NR$38+1)*($NS$38-40+1)/$NU$38,$NN$38/$NT$38)),0)</f>
        <v/>
      </c>
      <c r="AS38" s="402">
        <f>IF(AND(41&gt;=$NR$38,41&lt;=$NS$38),IF($NP$38="Single_Point",IF(41=$NR$38,$NN$38,0),IF($NP$38="Bell_Curve",$NN$38*(41-$NR$38+1)*($NS$38-41+1)/$NU$38,$NN$38/$NT$38)),0)</f>
        <v/>
      </c>
      <c r="AT38" s="402">
        <f>IF(AND(42&gt;=$NR$38,42&lt;=$NS$38),IF($NP$38="Single_Point",IF(42=$NR$38,$NN$38,0),IF($NP$38="Bell_Curve",$NN$38*(42-$NR$38+1)*($NS$38-42+1)/$NU$38,$NN$38/$NT$38)),0)</f>
        <v/>
      </c>
      <c r="AU38" s="402">
        <f>IF(AND(43&gt;=$NR$38,43&lt;=$NS$38),IF($NP$38="Single_Point",IF(43=$NR$38,$NN$38,0),IF($NP$38="Bell_Curve",$NN$38*(43-$NR$38+1)*($NS$38-43+1)/$NU$38,$NN$38/$NT$38)),0)</f>
        <v/>
      </c>
      <c r="AV38" s="402">
        <f>IF(AND(44&gt;=$NR$38,44&lt;=$NS$38),IF($NP$38="Single_Point",IF(44=$NR$38,$NN$38,0),IF($NP$38="Bell_Curve",$NN$38*(44-$NR$38+1)*($NS$38-44+1)/$NU$38,$NN$38/$NT$38)),0)</f>
        <v/>
      </c>
      <c r="AW38" s="402">
        <f>IF(AND(45&gt;=$NR$38,45&lt;=$NS$38),IF($NP$38="Single_Point",IF(45=$NR$38,$NN$38,0),IF($NP$38="Bell_Curve",$NN$38*(45-$NR$38+1)*($NS$38-45+1)/$NU$38,$NN$38/$NT$38)),0)</f>
        <v/>
      </c>
      <c r="AX38" s="402">
        <f>IF(AND(46&gt;=$NR$38,46&lt;=$NS$38),IF($NP$38="Single_Point",IF(46=$NR$38,$NN$38,0),IF($NP$38="Bell_Curve",$NN$38*(46-$NR$38+1)*($NS$38-46+1)/$NU$38,$NN$38/$NT$38)),0)</f>
        <v/>
      </c>
      <c r="AY38" s="402">
        <f>IF(AND(47&gt;=$NR$38,47&lt;=$NS$38),IF($NP$38="Single_Point",IF(47=$NR$38,$NN$38,0),IF($NP$38="Bell_Curve",$NN$38*(47-$NR$38+1)*($NS$38-47+1)/$NU$38,$NN$38/$NT$38)),0)</f>
        <v/>
      </c>
      <c r="AZ38" s="402">
        <f>IF(AND(48&gt;=$NR$38,48&lt;=$NS$38),IF($NP$38="Single_Point",IF(48=$NR$38,$NN$38,0),IF($NP$38="Bell_Curve",$NN$38*(48-$NR$38+1)*($NS$38-48+1)/$NU$38,$NN$38/$NT$38)),0)</f>
        <v/>
      </c>
      <c r="BA38" s="402">
        <f>IF(AND(49&gt;=$NR$38,49&lt;=$NS$38),IF($NP$38="Single_Point",IF(49=$NR$38,$NN$38,0),IF($NP$38="Bell_Curve",$NN$38*(49-$NR$38+1)*($NS$38-49+1)/$NU$38,$NN$38/$NT$38)),0)</f>
        <v/>
      </c>
      <c r="BB38" s="402">
        <f>IF(AND(50&gt;=$NR$38,50&lt;=$NS$38),IF($NP$38="Single_Point",IF(50=$NR$38,$NN$38,0),IF($NP$38="Bell_Curve",$NN$38*(50-$NR$38+1)*($NS$38-50+1)/$NU$38,$NN$38/$NT$38)),0)</f>
        <v/>
      </c>
      <c r="BC38" s="402">
        <f>IF(AND(51&gt;=$NR$38,51&lt;=$NS$38),IF($NP$38="Single_Point",IF(51=$NR$38,$NN$38,0),IF($NP$38="Bell_Curve",$NN$38*(51-$NR$38+1)*($NS$38-51+1)/$NU$38,$NN$38/$NT$38)),0)</f>
        <v/>
      </c>
      <c r="BD38" s="402">
        <f>IF(AND(52&gt;=$NR$38,52&lt;=$NS$38),IF($NP$38="Single_Point",IF(52=$NR$38,$NN$38,0),IF($NP$38="Bell_Curve",$NN$38*(52-$NR$38+1)*($NS$38-52+1)/$NU$38,$NN$38/$NT$38)),0)</f>
        <v/>
      </c>
      <c r="BE38" s="402">
        <f>IF(AND(53&gt;=$NR$38,53&lt;=$NS$38),IF($NP$38="Single_Point",IF(53=$NR$38,$NN$38,0),IF($NP$38="Bell_Curve",$NN$38*(53-$NR$38+1)*($NS$38-53+1)/$NU$38,$NN$38/$NT$38)),0)</f>
        <v/>
      </c>
      <c r="BF38" s="402">
        <f>IF(AND(54&gt;=$NR$38,54&lt;=$NS$38),IF($NP$38="Single_Point",IF(54=$NR$38,$NN$38,0),IF($NP$38="Bell_Curve",$NN$38*(54-$NR$38+1)*($NS$38-54+1)/$NU$38,$NN$38/$NT$38)),0)</f>
        <v/>
      </c>
      <c r="BG38" s="402">
        <f>IF(AND(55&gt;=$NR$38,55&lt;=$NS$38),IF($NP$38="Single_Point",IF(55=$NR$38,$NN$38,0),IF($NP$38="Bell_Curve",$NN$38*(55-$NR$38+1)*($NS$38-55+1)/$NU$38,$NN$38/$NT$38)),0)</f>
        <v/>
      </c>
      <c r="BH38" s="402">
        <f>IF(AND(56&gt;=$NR$38,56&lt;=$NS$38),IF($NP$38="Single_Point",IF(56=$NR$38,$NN$38,0),IF($NP$38="Bell_Curve",$NN$38*(56-$NR$38+1)*($NS$38-56+1)/$NU$38,$NN$38/$NT$38)),0)</f>
        <v/>
      </c>
      <c r="BI38" s="402">
        <f>IF(AND(57&gt;=$NR$38,57&lt;=$NS$38),IF($NP$38="Single_Point",IF(57=$NR$38,$NN$38,0),IF($NP$38="Bell_Curve",$NN$38*(57-$NR$38+1)*($NS$38-57+1)/$NU$38,$NN$38/$NT$38)),0)</f>
        <v/>
      </c>
      <c r="BJ38" s="402">
        <f>IF(AND(58&gt;=$NR$38,58&lt;=$NS$38),IF($NP$38="Single_Point",IF(58=$NR$38,$NN$38,0),IF($NP$38="Bell_Curve",$NN$38*(58-$NR$38+1)*($NS$38-58+1)/$NU$38,$NN$38/$NT$38)),0)</f>
        <v/>
      </c>
      <c r="BK38" s="402">
        <f>IF(AND(59&gt;=$NR$38,59&lt;=$NS$38),IF($NP$38="Single_Point",IF(59=$NR$38,$NN$38,0),IF($NP$38="Bell_Curve",$NN$38*(59-$NR$38+1)*($NS$38-59+1)/$NU$38,$NN$38/$NT$38)),0)</f>
        <v/>
      </c>
      <c r="BL38" s="402">
        <f>IF(AND(60&gt;=$NR$38,60&lt;=$NS$38),IF($NP$38="Single_Point",IF(60=$NR$38,$NN$38,0),IF($NP$38="Bell_Curve",$NN$38*(60-$NR$38+1)*($NS$38-60+1)/$NU$38,$NN$38/$NT$38)),0)</f>
        <v/>
      </c>
      <c r="BM38" s="402">
        <f>IF(AND(61&gt;=$NR$38,61&lt;=$NS$38),IF($NP$38="Single_Point",IF(61=$NR$38,$NN$38,0),IF($NP$38="Bell_Curve",$NN$38*(61-$NR$38+1)*($NS$38-61+1)/$NU$38,$NN$38/$NT$38)),0)</f>
        <v/>
      </c>
      <c r="BN38" s="402">
        <f>IF(AND(62&gt;=$NR$38,62&lt;=$NS$38),IF($NP$38="Single_Point",IF(62=$NR$38,$NN$38,0),IF($NP$38="Bell_Curve",$NN$38*(62-$NR$38+1)*($NS$38-62+1)/$NU$38,$NN$38/$NT$38)),0)</f>
        <v/>
      </c>
      <c r="BO38" s="402">
        <f>IF(AND(63&gt;=$NR$38,63&lt;=$NS$38),IF($NP$38="Single_Point",IF(63=$NR$38,$NN$38,0),IF($NP$38="Bell_Curve",$NN$38*(63-$NR$38+1)*($NS$38-63+1)/$NU$38,$NN$38/$NT$38)),0)</f>
        <v/>
      </c>
      <c r="BP38" s="402">
        <f>IF(AND(64&gt;=$NR$38,64&lt;=$NS$38),IF($NP$38="Single_Point",IF(64=$NR$38,$NN$38,0),IF($NP$38="Bell_Curve",$NN$38*(64-$NR$38+1)*($NS$38-64+1)/$NU$38,$NN$38/$NT$38)),0)</f>
        <v/>
      </c>
      <c r="BQ38" s="402">
        <f>IF(AND(65&gt;=$NR$38,65&lt;=$NS$38),IF($NP$38="Single_Point",IF(65=$NR$38,$NN$38,0),IF($NP$38="Bell_Curve",$NN$38*(65-$NR$38+1)*($NS$38-65+1)/$NU$38,$NN$38/$NT$38)),0)</f>
        <v/>
      </c>
      <c r="BR38" s="402">
        <f>IF(AND(66&gt;=$NR$38,66&lt;=$NS$38),IF($NP$38="Single_Point",IF(66=$NR$38,$NN$38,0),IF($NP$38="Bell_Curve",$NN$38*(66-$NR$38+1)*($NS$38-66+1)/$NU$38,$NN$38/$NT$38)),0)</f>
        <v/>
      </c>
      <c r="BS38" s="402">
        <f>IF(AND(67&gt;=$NR$38,67&lt;=$NS$38),IF($NP$38="Single_Point",IF(67=$NR$38,$NN$38,0),IF($NP$38="Bell_Curve",$NN$38*(67-$NR$38+1)*($NS$38-67+1)/$NU$38,$NN$38/$NT$38)),0)</f>
        <v/>
      </c>
      <c r="BT38" s="402">
        <f>IF(AND(68&gt;=$NR$38,68&lt;=$NS$38),IF($NP$38="Single_Point",IF(68=$NR$38,$NN$38,0),IF($NP$38="Bell_Curve",$NN$38*(68-$NR$38+1)*($NS$38-68+1)/$NU$38,$NN$38/$NT$38)),0)</f>
        <v/>
      </c>
      <c r="BU38" s="402">
        <f>IF(AND(69&gt;=$NR$38,69&lt;=$NS$38),IF($NP$38="Single_Point",IF(69=$NR$38,$NN$38,0),IF($NP$38="Bell_Curve",$NN$38*(69-$NR$38+1)*($NS$38-69+1)/$NU$38,$NN$38/$NT$38)),0)</f>
        <v/>
      </c>
      <c r="BV38" s="402">
        <f>IF(AND(70&gt;=$NR$38,70&lt;=$NS$38),IF($NP$38="Single_Point",IF(70=$NR$38,$NN$38,0),IF($NP$38="Bell_Curve",$NN$38*(70-$NR$38+1)*($NS$38-70+1)/$NU$38,$NN$38/$NT$38)),0)</f>
        <v/>
      </c>
      <c r="BW38" s="402">
        <f>IF(AND(71&gt;=$NR$38,71&lt;=$NS$38),IF($NP$38="Single_Point",IF(71=$NR$38,$NN$38,0),IF($NP$38="Bell_Curve",$NN$38*(71-$NR$38+1)*($NS$38-71+1)/$NU$38,$NN$38/$NT$38)),0)</f>
        <v/>
      </c>
      <c r="BX38" s="402">
        <f>IF(AND(72&gt;=$NR$38,72&lt;=$NS$38),IF($NP$38="Single_Point",IF(72=$NR$38,$NN$38,0),IF($NP$38="Bell_Curve",$NN$38*(72-$NR$38+1)*($NS$38-72+1)/$NU$38,$NN$38/$NT$38)),0)</f>
        <v/>
      </c>
      <c r="BY38" s="402">
        <f>IF(AND(73&gt;=$NR$38,73&lt;=$NS$38),IF($NP$38="Single_Point",IF(73=$NR$38,$NN$38,0),IF($NP$38="Bell_Curve",$NN$38*(73-$NR$38+1)*($NS$38-73+1)/$NU$38,$NN$38/$NT$38)),0)</f>
        <v/>
      </c>
      <c r="BZ38" s="402">
        <f>IF(AND(74&gt;=$NR$38,74&lt;=$NS$38),IF($NP$38="Single_Point",IF(74=$NR$38,$NN$38,0),IF($NP$38="Bell_Curve",$NN$38*(74-$NR$38+1)*($NS$38-74+1)/$NU$38,$NN$38/$NT$38)),0)</f>
        <v/>
      </c>
      <c r="CA38" s="402">
        <f>IF(AND(75&gt;=$NR$38,75&lt;=$NS$38),IF($NP$38="Single_Point",IF(75=$NR$38,$NN$38,0),IF($NP$38="Bell_Curve",$NN$38*(75-$NR$38+1)*($NS$38-75+1)/$NU$38,$NN$38/$NT$38)),0)</f>
        <v/>
      </c>
      <c r="CB38" s="402">
        <f>IF(AND(76&gt;=$NR$38,76&lt;=$NS$38),IF($NP$38="Single_Point",IF(76=$NR$38,$NN$38,0),IF($NP$38="Bell_Curve",$NN$38*(76-$NR$38+1)*($NS$38-76+1)/$NU$38,$NN$38/$NT$38)),0)</f>
        <v/>
      </c>
      <c r="CC38" s="402">
        <f>IF(AND(77&gt;=$NR$38,77&lt;=$NS$38),IF($NP$38="Single_Point",IF(77=$NR$38,$NN$38,0),IF($NP$38="Bell_Curve",$NN$38*(77-$NR$38+1)*($NS$38-77+1)/$NU$38,$NN$38/$NT$38)),0)</f>
        <v/>
      </c>
      <c r="CD38" s="402">
        <f>IF(AND(78&gt;=$NR$38,78&lt;=$NS$38),IF($NP$38="Single_Point",IF(78=$NR$38,$NN$38,0),IF($NP$38="Bell_Curve",$NN$38*(78-$NR$38+1)*($NS$38-78+1)/$NU$38,$NN$38/$NT$38)),0)</f>
        <v/>
      </c>
      <c r="CE38" s="402">
        <f>IF(AND(79&gt;=$NR$38,79&lt;=$NS$38),IF($NP$38="Single_Point",IF(79=$NR$38,$NN$38,0),IF($NP$38="Bell_Curve",$NN$38*(79-$NR$38+1)*($NS$38-79+1)/$NU$38,$NN$38/$NT$38)),0)</f>
        <v/>
      </c>
      <c r="CF38" s="402">
        <f>IF(AND(80&gt;=$NR$38,80&lt;=$NS$38),IF($NP$38="Single_Point",IF(80=$NR$38,$NN$38,0),IF($NP$38="Bell_Curve",$NN$38*(80-$NR$38+1)*($NS$38-80+1)/$NU$38,$NN$38/$NT$38)),0)</f>
        <v/>
      </c>
      <c r="CG38" s="402">
        <f>IF(AND(81&gt;=$NR$38,81&lt;=$NS$38),IF($NP$38="Single_Point",IF(81=$NR$38,$NN$38,0),IF($NP$38="Bell_Curve",$NN$38*(81-$NR$38+1)*($NS$38-81+1)/$NU$38,$NN$38/$NT$38)),0)</f>
        <v/>
      </c>
      <c r="CH38" s="402">
        <f>IF(AND(82&gt;=$NR$38,82&lt;=$NS$38),IF($NP$38="Single_Point",IF(82=$NR$38,$NN$38,0),IF($NP$38="Bell_Curve",$NN$38*(82-$NR$38+1)*($NS$38-82+1)/$NU$38,$NN$38/$NT$38)),0)</f>
        <v/>
      </c>
      <c r="CI38" s="402">
        <f>IF(AND(83&gt;=$NR$38,83&lt;=$NS$38),IF($NP$38="Single_Point",IF(83=$NR$38,$NN$38,0),IF($NP$38="Bell_Curve",$NN$38*(83-$NR$38+1)*($NS$38-83+1)/$NU$38,$NN$38/$NT$38)),0)</f>
        <v/>
      </c>
      <c r="CJ38" s="402">
        <f>IF(AND(84&gt;=$NR$38,84&lt;=$NS$38),IF($NP$38="Single_Point",IF(84=$NR$38,$NN$38,0),IF($NP$38="Bell_Curve",$NN$38*(84-$NR$38+1)*($NS$38-84+1)/$NU$38,$NN$38/$NT$38)),0)</f>
        <v/>
      </c>
      <c r="CK38" s="402">
        <f>IF(AND(85&gt;=$NR$38,85&lt;=$NS$38),IF($NP$38="Single_Point",IF(85=$NR$38,$NN$38,0),IF($NP$38="Bell_Curve",$NN$38*(85-$NR$38+1)*($NS$38-85+1)/$NU$38,$NN$38/$NT$38)),0)</f>
        <v/>
      </c>
      <c r="CL38" s="402">
        <f>IF(AND(86&gt;=$NR$38,86&lt;=$NS$38),IF($NP$38="Single_Point",IF(86=$NR$38,$NN$38,0),IF($NP$38="Bell_Curve",$NN$38*(86-$NR$38+1)*($NS$38-86+1)/$NU$38,$NN$38/$NT$38)),0)</f>
        <v/>
      </c>
      <c r="CM38" s="402">
        <f>IF(AND(87&gt;=$NR$38,87&lt;=$NS$38),IF($NP$38="Single_Point",IF(87=$NR$38,$NN$38,0),IF($NP$38="Bell_Curve",$NN$38*(87-$NR$38+1)*($NS$38-87+1)/$NU$38,$NN$38/$NT$38)),0)</f>
        <v/>
      </c>
      <c r="CN38" s="402">
        <f>IF(AND(88&gt;=$NR$38,88&lt;=$NS$38),IF($NP$38="Single_Point",IF(88=$NR$38,$NN$38,0),IF($NP$38="Bell_Curve",$NN$38*(88-$NR$38+1)*($NS$38-88+1)/$NU$38,$NN$38/$NT$38)),0)</f>
        <v/>
      </c>
      <c r="CO38" s="402">
        <f>IF(AND(89&gt;=$NR$38,89&lt;=$NS$38),IF($NP$38="Single_Point",IF(89=$NR$38,$NN$38,0),IF($NP$38="Bell_Curve",$NN$38*(89-$NR$38+1)*($NS$38-89+1)/$NU$38,$NN$38/$NT$38)),0)</f>
        <v/>
      </c>
      <c r="CP38" s="402">
        <f>IF(AND(90&gt;=$NR$38,90&lt;=$NS$38),IF($NP$38="Single_Point",IF(90=$NR$38,$NN$38,0),IF($NP$38="Bell_Curve",$NN$38*(90-$NR$38+1)*($NS$38-90+1)/$NU$38,$NN$38/$NT$38)),0)</f>
        <v/>
      </c>
      <c r="CQ38" s="402">
        <f>IF(AND(91&gt;=$NR$38,91&lt;=$NS$38),IF($NP$38="Single_Point",IF(91=$NR$38,$NN$38,0),IF($NP$38="Bell_Curve",$NN$38*(91-$NR$38+1)*($NS$38-91+1)/$NU$38,$NN$38/$NT$38)),0)</f>
        <v/>
      </c>
      <c r="CR38" s="402">
        <f>IF(AND(92&gt;=$NR$38,92&lt;=$NS$38),IF($NP$38="Single_Point",IF(92=$NR$38,$NN$38,0),IF($NP$38="Bell_Curve",$NN$38*(92-$NR$38+1)*($NS$38-92+1)/$NU$38,$NN$38/$NT$38)),0)</f>
        <v/>
      </c>
      <c r="CS38" s="402">
        <f>IF(AND(93&gt;=$NR$38,93&lt;=$NS$38),IF($NP$38="Single_Point",IF(93=$NR$38,$NN$38,0),IF($NP$38="Bell_Curve",$NN$38*(93-$NR$38+1)*($NS$38-93+1)/$NU$38,$NN$38/$NT$38)),0)</f>
        <v/>
      </c>
      <c r="CT38" s="402">
        <f>IF(AND(94&gt;=$NR$38,94&lt;=$NS$38),IF($NP$38="Single_Point",IF(94=$NR$38,$NN$38,0),IF($NP$38="Bell_Curve",$NN$38*(94-$NR$38+1)*($NS$38-94+1)/$NU$38,$NN$38/$NT$38)),0)</f>
        <v/>
      </c>
      <c r="CU38" s="402">
        <f>IF(AND(95&gt;=$NR$38,95&lt;=$NS$38),IF($NP$38="Single_Point",IF(95=$NR$38,$NN$38,0),IF($NP$38="Bell_Curve",$NN$38*(95-$NR$38+1)*($NS$38-95+1)/$NU$38,$NN$38/$NT$38)),0)</f>
        <v/>
      </c>
      <c r="CV38" s="402">
        <f>IF(AND(96&gt;=$NR$38,96&lt;=$NS$38),IF($NP$38="Single_Point",IF(96=$NR$38,$NN$38,0),IF($NP$38="Bell_Curve",$NN$38*(96-$NR$38+1)*($NS$38-96+1)/$NU$38,$NN$38/$NT$38)),0)</f>
        <v/>
      </c>
      <c r="CW38" s="402">
        <f>IF(AND(97&gt;=$NR$38,97&lt;=$NS$38),IF($NP$38="Single_Point",IF(97=$NR$38,$NN$38,0),IF($NP$38="Bell_Curve",$NN$38*(97-$NR$38+1)*($NS$38-97+1)/$NU$38,$NN$38/$NT$38)),0)</f>
        <v/>
      </c>
      <c r="CX38" s="402">
        <f>IF(AND(98&gt;=$NR$38,98&lt;=$NS$38),IF($NP$38="Single_Point",IF(98=$NR$38,$NN$38,0),IF($NP$38="Bell_Curve",$NN$38*(98-$NR$38+1)*($NS$38-98+1)/$NU$38,$NN$38/$NT$38)),0)</f>
        <v/>
      </c>
      <c r="CY38" s="402">
        <f>IF(AND(99&gt;=$NR$38,99&lt;=$NS$38),IF($NP$38="Single_Point",IF(99=$NR$38,$NN$38,0),IF($NP$38="Bell_Curve",$NN$38*(99-$NR$38+1)*($NS$38-99+1)/$NU$38,$NN$38/$NT$38)),0)</f>
        <v/>
      </c>
      <c r="CZ38" s="402">
        <f>IF(AND(100&gt;=$NR$38,100&lt;=$NS$38),IF($NP$38="Single_Point",IF(100=$NR$38,$NN$38,0),IF($NP$38="Bell_Curve",$NN$38*(100-$NR$38+1)*($NS$38-100+1)/$NU$38,$NN$38/$NT$38)),0)</f>
        <v/>
      </c>
      <c r="DA38" s="402">
        <f>IF(AND(101&gt;=$NR$38,101&lt;=$NS$38),IF($NP$38="Single_Point",IF(101=$NR$38,$NN$38,0),IF($NP$38="Bell_Curve",$NN$38*(101-$NR$38+1)*($NS$38-101+1)/$NU$38,$NN$38/$NT$38)),0)</f>
        <v/>
      </c>
      <c r="DB38" s="402">
        <f>IF(AND(102&gt;=$NR$38,102&lt;=$NS$38),IF($NP$38="Single_Point",IF(102=$NR$38,$NN$38,0),IF($NP$38="Bell_Curve",$NN$38*(102-$NR$38+1)*($NS$38-102+1)/$NU$38,$NN$38/$NT$38)),0)</f>
        <v/>
      </c>
      <c r="DC38" s="402">
        <f>IF(AND(103&gt;=$NR$38,103&lt;=$NS$38),IF($NP$38="Single_Point",IF(103=$NR$38,$NN$38,0),IF($NP$38="Bell_Curve",$NN$38*(103-$NR$38+1)*($NS$38-103+1)/$NU$38,$NN$38/$NT$38)),0)</f>
        <v/>
      </c>
      <c r="DD38" s="402">
        <f>IF(AND(104&gt;=$NR$38,104&lt;=$NS$38),IF($NP$38="Single_Point",IF(104=$NR$38,$NN$38,0),IF($NP$38="Bell_Curve",$NN$38*(104-$NR$38+1)*($NS$38-104+1)/$NU$38,$NN$38/$NT$38)),0)</f>
        <v/>
      </c>
      <c r="DE38" s="402">
        <f>IF(AND(105&gt;=$NR$38,105&lt;=$NS$38),IF($NP$38="Single_Point",IF(105=$NR$38,$NN$38,0),IF($NP$38="Bell_Curve",$NN$38*(105-$NR$38+1)*($NS$38-105+1)/$NU$38,$NN$38/$NT$38)),0)</f>
        <v/>
      </c>
      <c r="DF38" s="402">
        <f>IF(AND(106&gt;=$NR$38,106&lt;=$NS$38),IF($NP$38="Single_Point",IF(106=$NR$38,$NN$38,0),IF($NP$38="Bell_Curve",$NN$38*(106-$NR$38+1)*($NS$38-106+1)/$NU$38,$NN$38/$NT$38)),0)</f>
        <v/>
      </c>
      <c r="DG38" s="402">
        <f>IF(AND(107&gt;=$NR$38,107&lt;=$NS$38),IF($NP$38="Single_Point",IF(107=$NR$38,$NN$38,0),IF($NP$38="Bell_Curve",$NN$38*(107-$NR$38+1)*($NS$38-107+1)/$NU$38,$NN$38/$NT$38)),0)</f>
        <v/>
      </c>
      <c r="DH38" s="402">
        <f>IF(AND(108&gt;=$NR$38,108&lt;=$NS$38),IF($NP$38="Single_Point",IF(108=$NR$38,$NN$38,0),IF($NP$38="Bell_Curve",$NN$38*(108-$NR$38+1)*($NS$38-108+1)/$NU$38,$NN$38/$NT$38)),0)</f>
        <v/>
      </c>
      <c r="DI38" s="402">
        <f>IF(AND(109&gt;=$NR$38,109&lt;=$NS$38),IF($NP$38="Single_Point",IF(109=$NR$38,$NN$38,0),IF($NP$38="Bell_Curve",$NN$38*(109-$NR$38+1)*($NS$38-109+1)/$NU$38,$NN$38/$NT$38)),0)</f>
        <v/>
      </c>
      <c r="DJ38" s="402">
        <f>IF(AND(110&gt;=$NR$38,110&lt;=$NS$38),IF($NP$38="Single_Point",IF(110=$NR$38,$NN$38,0),IF($NP$38="Bell_Curve",$NN$38*(110-$NR$38+1)*($NS$38-110+1)/$NU$38,$NN$38/$NT$38)),0)</f>
        <v/>
      </c>
      <c r="DK38" s="402">
        <f>IF(AND(111&gt;=$NR$38,111&lt;=$NS$38),IF($NP$38="Single_Point",IF(111=$NR$38,$NN$38,0),IF($NP$38="Bell_Curve",$NN$38*(111-$NR$38+1)*($NS$38-111+1)/$NU$38,$NN$38/$NT$38)),0)</f>
        <v/>
      </c>
      <c r="DL38" s="402">
        <f>IF(AND(112&gt;=$NR$38,112&lt;=$NS$38),IF($NP$38="Single_Point",IF(112=$NR$38,$NN$38,0),IF($NP$38="Bell_Curve",$NN$38*(112-$NR$38+1)*($NS$38-112+1)/$NU$38,$NN$38/$NT$38)),0)</f>
        <v/>
      </c>
      <c r="DM38" s="402">
        <f>IF(AND(113&gt;=$NR$38,113&lt;=$NS$38),IF($NP$38="Single_Point",IF(113=$NR$38,$NN$38,0),IF($NP$38="Bell_Curve",$NN$38*(113-$NR$38+1)*($NS$38-113+1)/$NU$38,$NN$38/$NT$38)),0)</f>
        <v/>
      </c>
      <c r="DN38" s="402">
        <f>IF(AND(114&gt;=$NR$38,114&lt;=$NS$38),IF($NP$38="Single_Point",IF(114=$NR$38,$NN$38,0),IF($NP$38="Bell_Curve",$NN$38*(114-$NR$38+1)*($NS$38-114+1)/$NU$38,$NN$38/$NT$38)),0)</f>
        <v/>
      </c>
      <c r="DO38" s="402">
        <f>IF(AND(115&gt;=$NR$38,115&lt;=$NS$38),IF($NP$38="Single_Point",IF(115=$NR$38,$NN$38,0),IF($NP$38="Bell_Curve",$NN$38*(115-$NR$38+1)*($NS$38-115+1)/$NU$38,$NN$38/$NT$38)),0)</f>
        <v/>
      </c>
      <c r="DP38" s="402">
        <f>IF(AND(116&gt;=$NR$38,116&lt;=$NS$38),IF($NP$38="Single_Point",IF(116=$NR$38,$NN$38,0),IF($NP$38="Bell_Curve",$NN$38*(116-$NR$38+1)*($NS$38-116+1)/$NU$38,$NN$38/$NT$38)),0)</f>
        <v/>
      </c>
      <c r="DQ38" s="402">
        <f>IF(AND(117&gt;=$NR$38,117&lt;=$NS$38),IF($NP$38="Single_Point",IF(117=$NR$38,$NN$38,0),IF($NP$38="Bell_Curve",$NN$38*(117-$NR$38+1)*($NS$38-117+1)/$NU$38,$NN$38/$NT$38)),0)</f>
        <v/>
      </c>
      <c r="DR38" s="402">
        <f>IF(AND(118&gt;=$NR$38,118&lt;=$NS$38),IF($NP$38="Single_Point",IF(118=$NR$38,$NN$38,0),IF($NP$38="Bell_Curve",$NN$38*(118-$NR$38+1)*($NS$38-118+1)/$NU$38,$NN$38/$NT$38)),0)</f>
        <v/>
      </c>
      <c r="DS38" s="402">
        <f>IF(AND(119&gt;=$NR$38,119&lt;=$NS$38),IF($NP$38="Single_Point",IF(119=$NR$38,$NN$38,0),IF($NP$38="Bell_Curve",$NN$38*(119-$NR$38+1)*($NS$38-119+1)/$NU$38,$NN$38/$NT$38)),0)</f>
        <v/>
      </c>
      <c r="DT38" s="402">
        <f>IF(AND(120&gt;=$NR$38,120&lt;=$NS$38),IF($NP$38="Single_Point",IF(120=$NR$38,$NN$38,0),IF($NP$38="Bell_Curve",$NN$38*(120-$NR$38+1)*($NS$38-120+1)/$NU$38,$NN$38/$NT$38)),0)</f>
        <v/>
      </c>
      <c r="DU38" s="402">
        <f>IF(AND(121&gt;=$NR$38,121&lt;=$NS$38),IF($NP$38="Single_Point",IF(121=$NR$38,$NN$38,0),IF($NP$38="Bell_Curve",$NN$38*(121-$NR$38+1)*($NS$38-121+1)/$NU$38,$NN$38/$NT$38)),0)</f>
        <v/>
      </c>
      <c r="DV38" s="402">
        <f>IF(AND(122&gt;=$NR$38,122&lt;=$NS$38),IF($NP$38="Single_Point",IF(122=$NR$38,$NN$38,0),IF($NP$38="Bell_Curve",$NN$38*(122-$NR$38+1)*($NS$38-122+1)/$NU$38,$NN$38/$NT$38)),0)</f>
        <v/>
      </c>
      <c r="DW38" s="402">
        <f>IF(AND(123&gt;=$NR$38,123&lt;=$NS$38),IF($NP$38="Single_Point",IF(123=$NR$38,$NN$38,0),IF($NP$38="Bell_Curve",$NN$38*(123-$NR$38+1)*($NS$38-123+1)/$NU$38,$NN$38/$NT$38)),0)</f>
        <v/>
      </c>
      <c r="DX38" s="402">
        <f>IF(AND(124&gt;=$NR$38,124&lt;=$NS$38),IF($NP$38="Single_Point",IF(124=$NR$38,$NN$38,0),IF($NP$38="Bell_Curve",$NN$38*(124-$NR$38+1)*($NS$38-124+1)/$NU$38,$NN$38/$NT$38)),0)</f>
        <v/>
      </c>
      <c r="DY38" s="402">
        <f>IF(AND(125&gt;=$NR$38,125&lt;=$NS$38),IF($NP$38="Single_Point",IF(125=$NR$38,$NN$38,0),IF($NP$38="Bell_Curve",$NN$38*(125-$NR$38+1)*($NS$38-125+1)/$NU$38,$NN$38/$NT$38)),0)</f>
        <v/>
      </c>
      <c r="DZ38" s="402">
        <f>IF(AND(126&gt;=$NR$38,126&lt;=$NS$38),IF($NP$38="Single_Point",IF(126=$NR$38,$NN$38,0),IF($NP$38="Bell_Curve",$NN$38*(126-$NR$38+1)*($NS$38-126+1)/$NU$38,$NN$38/$NT$38)),0)</f>
        <v/>
      </c>
      <c r="EA38" s="402">
        <f>IF(AND(127&gt;=$NR$38,127&lt;=$NS$38),IF($NP$38="Single_Point",IF(127=$NR$38,$NN$38,0),IF($NP$38="Bell_Curve",$NN$38*(127-$NR$38+1)*($NS$38-127+1)/$NU$38,$NN$38/$NT$38)),0)</f>
        <v/>
      </c>
      <c r="EB38" s="402">
        <f>IF(AND(128&gt;=$NR$38,128&lt;=$NS$38),IF($NP$38="Single_Point",IF(128=$NR$38,$NN$38,0),IF($NP$38="Bell_Curve",$NN$38*(128-$NR$38+1)*($NS$38-128+1)/$NU$38,$NN$38/$NT$38)),0)</f>
        <v/>
      </c>
      <c r="EC38" s="402">
        <f>IF(AND(129&gt;=$NR$38,129&lt;=$NS$38),IF($NP$38="Single_Point",IF(129=$NR$38,$NN$38,0),IF($NP$38="Bell_Curve",$NN$38*(129-$NR$38+1)*($NS$38-129+1)/$NU$38,$NN$38/$NT$38)),0)</f>
        <v/>
      </c>
      <c r="ED38" s="402">
        <f>IF(AND(130&gt;=$NR$38,130&lt;=$NS$38),IF($NP$38="Single_Point",IF(130=$NR$38,$NN$38,0),IF($NP$38="Bell_Curve",$NN$38*(130-$NR$38+1)*($NS$38-130+1)/$NU$38,$NN$38/$NT$38)),0)</f>
        <v/>
      </c>
      <c r="EE38" s="402">
        <f>IF(AND(131&gt;=$NR$38,131&lt;=$NS$38),IF($NP$38="Single_Point",IF(131=$NR$38,$NN$38,0),IF($NP$38="Bell_Curve",$NN$38*(131-$NR$38+1)*($NS$38-131+1)/$NU$38,$NN$38/$NT$38)),0)</f>
        <v/>
      </c>
      <c r="EF38" s="402">
        <f>IF(AND(132&gt;=$NR$38,132&lt;=$NS$38),IF($NP$38="Single_Point",IF(132=$NR$38,$NN$38,0),IF($NP$38="Bell_Curve",$NN$38*(132-$NR$38+1)*($NS$38-132+1)/$NU$38,$NN$38/$NT$38)),0)</f>
        <v/>
      </c>
      <c r="EG38" s="402">
        <f>IF(AND(133&gt;=$NR$38,133&lt;=$NS$38),IF($NP$38="Single_Point",IF(133=$NR$38,$NN$38,0),IF($NP$38="Bell_Curve",$NN$38*(133-$NR$38+1)*($NS$38-133+1)/$NU$38,$NN$38/$NT$38)),0)</f>
        <v/>
      </c>
      <c r="EH38" s="402">
        <f>IF(AND(134&gt;=$NR$38,134&lt;=$NS$38),IF($NP$38="Single_Point",IF(134=$NR$38,$NN$38,0),IF($NP$38="Bell_Curve",$NN$38*(134-$NR$38+1)*($NS$38-134+1)/$NU$38,$NN$38/$NT$38)),0)</f>
        <v/>
      </c>
      <c r="EI38" s="402">
        <f>IF(AND(135&gt;=$NR$38,135&lt;=$NS$38),IF($NP$38="Single_Point",IF(135=$NR$38,$NN$38,0),IF($NP$38="Bell_Curve",$NN$38*(135-$NR$38+1)*($NS$38-135+1)/$NU$38,$NN$38/$NT$38)),0)</f>
        <v/>
      </c>
      <c r="EJ38" s="402">
        <f>IF(AND(136&gt;=$NR$38,136&lt;=$NS$38),IF($NP$38="Single_Point",IF(136=$NR$38,$NN$38,0),IF($NP$38="Bell_Curve",$NN$38*(136-$NR$38+1)*($NS$38-136+1)/$NU$38,$NN$38/$NT$38)),0)</f>
        <v/>
      </c>
      <c r="EK38" s="402">
        <f>IF(AND(137&gt;=$NR$38,137&lt;=$NS$38),IF($NP$38="Single_Point",IF(137=$NR$38,$NN$38,0),IF($NP$38="Bell_Curve",$NN$38*(137-$NR$38+1)*($NS$38-137+1)/$NU$38,$NN$38/$NT$38)),0)</f>
        <v/>
      </c>
      <c r="EL38" s="402">
        <f>IF(AND(138&gt;=$NR$38,138&lt;=$NS$38),IF($NP$38="Single_Point",IF(138=$NR$38,$NN$38,0),IF($NP$38="Bell_Curve",$NN$38*(138-$NR$38+1)*($NS$38-138+1)/$NU$38,$NN$38/$NT$38)),0)</f>
        <v/>
      </c>
      <c r="EM38" s="402">
        <f>IF(AND(139&gt;=$NR$38,139&lt;=$NS$38),IF($NP$38="Single_Point",IF(139=$NR$38,$NN$38,0),IF($NP$38="Bell_Curve",$NN$38*(139-$NR$38+1)*($NS$38-139+1)/$NU$38,$NN$38/$NT$38)),0)</f>
        <v/>
      </c>
      <c r="EN38" s="402">
        <f>IF(AND(140&gt;=$NR$38,140&lt;=$NS$38),IF($NP$38="Single_Point",IF(140=$NR$38,$NN$38,0),IF($NP$38="Bell_Curve",$NN$38*(140-$NR$38+1)*($NS$38-140+1)/$NU$38,$NN$38/$NT$38)),0)</f>
        <v/>
      </c>
      <c r="EO38" s="402">
        <f>IF(AND(141&gt;=$NR$38,141&lt;=$NS$38),IF($NP$38="Single_Point",IF(141=$NR$38,$NN$38,0),IF($NP$38="Bell_Curve",$NN$38*(141-$NR$38+1)*($NS$38-141+1)/$NU$38,$NN$38/$NT$38)),0)</f>
        <v/>
      </c>
      <c r="EP38" s="402">
        <f>IF(AND(142&gt;=$NR$38,142&lt;=$NS$38),IF($NP$38="Single_Point",IF(142=$NR$38,$NN$38,0),IF($NP$38="Bell_Curve",$NN$38*(142-$NR$38+1)*($NS$38-142+1)/$NU$38,$NN$38/$NT$38)),0)</f>
        <v/>
      </c>
      <c r="EQ38" s="402">
        <f>IF(AND(143&gt;=$NR$38,143&lt;=$NS$38),IF($NP$38="Single_Point",IF(143=$NR$38,$NN$38,0),IF($NP$38="Bell_Curve",$NN$38*(143-$NR$38+1)*($NS$38-143+1)/$NU$38,$NN$38/$NT$38)),0)</f>
        <v/>
      </c>
      <c r="ER38" s="402">
        <f>IF(AND(144&gt;=$NR$38,144&lt;=$NS$38),IF($NP$38="Single_Point",IF(144=$NR$38,$NN$38,0),IF($NP$38="Bell_Curve",$NN$38*(144-$NR$38+1)*($NS$38-144+1)/$NU$38,$NN$38/$NT$38)),0)</f>
        <v/>
      </c>
      <c r="ES38" s="402">
        <f>IF(AND(145&gt;=$NR$38,145&lt;=$NS$38),IF($NP$38="Single_Point",IF(145=$NR$38,$NN$38,0),IF($NP$38="Bell_Curve",$NN$38*(145-$NR$38+1)*($NS$38-145+1)/$NU$38,$NN$38/$NT$38)),0)</f>
        <v/>
      </c>
      <c r="ET38" s="402">
        <f>IF(AND(146&gt;=$NR$38,146&lt;=$NS$38),IF($NP$38="Single_Point",IF(146=$NR$38,$NN$38,0),IF($NP$38="Bell_Curve",$NN$38*(146-$NR$38+1)*($NS$38-146+1)/$NU$38,$NN$38/$NT$38)),0)</f>
        <v/>
      </c>
      <c r="EU38" s="402">
        <f>IF(AND(147&gt;=$NR$38,147&lt;=$NS$38),IF($NP$38="Single_Point",IF(147=$NR$38,$NN$38,0),IF($NP$38="Bell_Curve",$NN$38*(147-$NR$38+1)*($NS$38-147+1)/$NU$38,$NN$38/$NT$38)),0)</f>
        <v/>
      </c>
      <c r="EV38" s="402">
        <f>IF(AND(148&gt;=$NR$38,148&lt;=$NS$38),IF($NP$38="Single_Point",IF(148=$NR$38,$NN$38,0),IF($NP$38="Bell_Curve",$NN$38*(148-$NR$38+1)*($NS$38-148+1)/$NU$38,$NN$38/$NT$38)),0)</f>
        <v/>
      </c>
      <c r="EW38" s="402">
        <f>IF(AND(149&gt;=$NR$38,149&lt;=$NS$38),IF($NP$38="Single_Point",IF(149=$NR$38,$NN$38,0),IF($NP$38="Bell_Curve",$NN$38*(149-$NR$38+1)*($NS$38-149+1)/$NU$38,$NN$38/$NT$38)),0)</f>
        <v/>
      </c>
      <c r="EX38" s="402">
        <f>IF(AND(150&gt;=$NR$38,150&lt;=$NS$38),IF($NP$38="Single_Point",IF(150=$NR$38,$NN$38,0),IF($NP$38="Bell_Curve",$NN$38*(150-$NR$38+1)*($NS$38-150+1)/$NU$38,$NN$38/$NT$38)),0)</f>
        <v/>
      </c>
      <c r="EY38" s="402">
        <f>IF(AND(151&gt;=$NR$38,151&lt;=$NS$38),IF($NP$38="Single_Point",IF(151=$NR$38,$NN$38,0),IF($NP$38="Bell_Curve",$NN$38*(151-$NR$38+1)*($NS$38-151+1)/$NU$38,$NN$38/$NT$38)),0)</f>
        <v/>
      </c>
      <c r="EZ38" s="402">
        <f>IF(AND(152&gt;=$NR$38,152&lt;=$NS$38),IF($NP$38="Single_Point",IF(152=$NR$38,$NN$38,0),IF($NP$38="Bell_Curve",$NN$38*(152-$NR$38+1)*($NS$38-152+1)/$NU$38,$NN$38/$NT$38)),0)</f>
        <v/>
      </c>
      <c r="FA38" s="402">
        <f>IF(AND(153&gt;=$NR$38,153&lt;=$NS$38),IF($NP$38="Single_Point",IF(153=$NR$38,$NN$38,0),IF($NP$38="Bell_Curve",$NN$38*(153-$NR$38+1)*($NS$38-153+1)/$NU$38,$NN$38/$NT$38)),0)</f>
        <v/>
      </c>
      <c r="FB38" s="402">
        <f>IF(AND(154&gt;=$NR$38,154&lt;=$NS$38),IF($NP$38="Single_Point",IF(154=$NR$38,$NN$38,0),IF($NP$38="Bell_Curve",$NN$38*(154-$NR$38+1)*($NS$38-154+1)/$NU$38,$NN$38/$NT$38)),0)</f>
        <v/>
      </c>
      <c r="FC38" s="402">
        <f>IF(AND(155&gt;=$NR$38,155&lt;=$NS$38),IF($NP$38="Single_Point",IF(155=$NR$38,$NN$38,0),IF($NP$38="Bell_Curve",$NN$38*(155-$NR$38+1)*($NS$38-155+1)/$NU$38,$NN$38/$NT$38)),0)</f>
        <v/>
      </c>
      <c r="FD38" s="402">
        <f>IF(AND(156&gt;=$NR$38,156&lt;=$NS$38),IF($NP$38="Single_Point",IF(156=$NR$38,$NN$38,0),IF($NP$38="Bell_Curve",$NN$38*(156-$NR$38+1)*($NS$38-156+1)/$NU$38,$NN$38/$NT$38)),0)</f>
        <v/>
      </c>
      <c r="FE38" s="402">
        <f>IF(AND(157&gt;=$NR$38,157&lt;=$NS$38),IF($NP$38="Single_Point",IF(157=$NR$38,$NN$38,0),IF($NP$38="Bell_Curve",$NN$38*(157-$NR$38+1)*($NS$38-157+1)/$NU$38,$NN$38/$NT$38)),0)</f>
        <v/>
      </c>
      <c r="FF38" s="402">
        <f>IF(AND(158&gt;=$NR$38,158&lt;=$NS$38),IF($NP$38="Single_Point",IF(158=$NR$38,$NN$38,0),IF($NP$38="Bell_Curve",$NN$38*(158-$NR$38+1)*($NS$38-158+1)/$NU$38,$NN$38/$NT$38)),0)</f>
        <v/>
      </c>
      <c r="FG38" s="402">
        <f>IF(AND(159&gt;=$NR$38,159&lt;=$NS$38),IF($NP$38="Single_Point",IF(159=$NR$38,$NN$38,0),IF($NP$38="Bell_Curve",$NN$38*(159-$NR$38+1)*($NS$38-159+1)/$NU$38,$NN$38/$NT$38)),0)</f>
        <v/>
      </c>
      <c r="FH38" s="402">
        <f>IF(AND(160&gt;=$NR$38,160&lt;=$NS$38),IF($NP$38="Single_Point",IF(160=$NR$38,$NN$38,0),IF($NP$38="Bell_Curve",$NN$38*(160-$NR$38+1)*($NS$38-160+1)/$NU$38,$NN$38/$NT$38)),0)</f>
        <v/>
      </c>
      <c r="FI38" s="402">
        <f>IF(AND(161&gt;=$NR$38,161&lt;=$NS$38),IF($NP$38="Single_Point",IF(161=$NR$38,$NN$38,0),IF($NP$38="Bell_Curve",$NN$38*(161-$NR$38+1)*($NS$38-161+1)/$NU$38,$NN$38/$NT$38)),0)</f>
        <v/>
      </c>
      <c r="FJ38" s="402">
        <f>IF(AND(162&gt;=$NR$38,162&lt;=$NS$38),IF($NP$38="Single_Point",IF(162=$NR$38,$NN$38,0),IF($NP$38="Bell_Curve",$NN$38*(162-$NR$38+1)*($NS$38-162+1)/$NU$38,$NN$38/$NT$38)),0)</f>
        <v/>
      </c>
      <c r="FK38" s="402">
        <f>IF(AND(163&gt;=$NR$38,163&lt;=$NS$38),IF($NP$38="Single_Point",IF(163=$NR$38,$NN$38,0),IF($NP$38="Bell_Curve",$NN$38*(163-$NR$38+1)*($NS$38-163+1)/$NU$38,$NN$38/$NT$38)),0)</f>
        <v/>
      </c>
      <c r="FL38" s="402">
        <f>IF(AND(164&gt;=$NR$38,164&lt;=$NS$38),IF($NP$38="Single_Point",IF(164=$NR$38,$NN$38,0),IF($NP$38="Bell_Curve",$NN$38*(164-$NR$38+1)*($NS$38-164+1)/$NU$38,$NN$38/$NT$38)),0)</f>
        <v/>
      </c>
      <c r="FM38" s="402">
        <f>IF(AND(165&gt;=$NR$38,165&lt;=$NS$38),IF($NP$38="Single_Point",IF(165=$NR$38,$NN$38,0),IF($NP$38="Bell_Curve",$NN$38*(165-$NR$38+1)*($NS$38-165+1)/$NU$38,$NN$38/$NT$38)),0)</f>
        <v/>
      </c>
      <c r="FN38" s="402">
        <f>IF(AND(166&gt;=$NR$38,166&lt;=$NS$38),IF($NP$38="Single_Point",IF(166=$NR$38,$NN$38,0),IF($NP$38="Bell_Curve",$NN$38*(166-$NR$38+1)*($NS$38-166+1)/$NU$38,$NN$38/$NT$38)),0)</f>
        <v/>
      </c>
      <c r="FO38" s="402">
        <f>IF(AND(167&gt;=$NR$38,167&lt;=$NS$38),IF($NP$38="Single_Point",IF(167=$NR$38,$NN$38,0),IF($NP$38="Bell_Curve",$NN$38*(167-$NR$38+1)*($NS$38-167+1)/$NU$38,$NN$38/$NT$38)),0)</f>
        <v/>
      </c>
      <c r="FP38" s="402">
        <f>IF(AND(168&gt;=$NR$38,168&lt;=$NS$38),IF($NP$38="Single_Point",IF(168=$NR$38,$NN$38,0),IF($NP$38="Bell_Curve",$NN$38*(168-$NR$38+1)*($NS$38-168+1)/$NU$38,$NN$38/$NT$38)),0)</f>
        <v/>
      </c>
      <c r="FQ38" s="402">
        <f>IF(AND(169&gt;=$NR$38,169&lt;=$NS$38),IF($NP$38="Single_Point",IF(169=$NR$38,$NN$38,0),IF($NP$38="Bell_Curve",$NN$38*(169-$NR$38+1)*($NS$38-169+1)/$NU$38,$NN$38/$NT$38)),0)</f>
        <v/>
      </c>
      <c r="FR38" s="402">
        <f>IF(AND(170&gt;=$NR$38,170&lt;=$NS$38),IF($NP$38="Single_Point",IF(170=$NR$38,$NN$38,0),IF($NP$38="Bell_Curve",$NN$38*(170-$NR$38+1)*($NS$38-170+1)/$NU$38,$NN$38/$NT$38)),0)</f>
        <v/>
      </c>
      <c r="FS38" s="402">
        <f>IF(AND(171&gt;=$NR$38,171&lt;=$NS$38),IF($NP$38="Single_Point",IF(171=$NR$38,$NN$38,0),IF($NP$38="Bell_Curve",$NN$38*(171-$NR$38+1)*($NS$38-171+1)/$NU$38,$NN$38/$NT$38)),0)</f>
        <v/>
      </c>
      <c r="FT38" s="402">
        <f>IF(AND(172&gt;=$NR$38,172&lt;=$NS$38),IF($NP$38="Single_Point",IF(172=$NR$38,$NN$38,0),IF($NP$38="Bell_Curve",$NN$38*(172-$NR$38+1)*($NS$38-172+1)/$NU$38,$NN$38/$NT$38)),0)</f>
        <v/>
      </c>
      <c r="FU38" s="402">
        <f>IF(AND(173&gt;=$NR$38,173&lt;=$NS$38),IF($NP$38="Single_Point",IF(173=$NR$38,$NN$38,0),IF($NP$38="Bell_Curve",$NN$38*(173-$NR$38+1)*($NS$38-173+1)/$NU$38,$NN$38/$NT$38)),0)</f>
        <v/>
      </c>
      <c r="FV38" s="402">
        <f>IF(AND(174&gt;=$NR$38,174&lt;=$NS$38),IF($NP$38="Single_Point",IF(174=$NR$38,$NN$38,0),IF($NP$38="Bell_Curve",$NN$38*(174-$NR$38+1)*($NS$38-174+1)/$NU$38,$NN$38/$NT$38)),0)</f>
        <v/>
      </c>
      <c r="FW38" s="402">
        <f>IF(AND(175&gt;=$NR$38,175&lt;=$NS$38),IF($NP$38="Single_Point",IF(175=$NR$38,$NN$38,0),IF($NP$38="Bell_Curve",$NN$38*(175-$NR$38+1)*($NS$38-175+1)/$NU$38,$NN$38/$NT$38)),0)</f>
        <v/>
      </c>
      <c r="FX38" s="402">
        <f>IF(AND(176&gt;=$NR$38,176&lt;=$NS$38),IF($NP$38="Single_Point",IF(176=$NR$38,$NN$38,0),IF($NP$38="Bell_Curve",$NN$38*(176-$NR$38+1)*($NS$38-176+1)/$NU$38,$NN$38/$NT$38)),0)</f>
        <v/>
      </c>
      <c r="FY38" s="402">
        <f>IF(AND(177&gt;=$NR$38,177&lt;=$NS$38),IF($NP$38="Single_Point",IF(177=$NR$38,$NN$38,0),IF($NP$38="Bell_Curve",$NN$38*(177-$NR$38+1)*($NS$38-177+1)/$NU$38,$NN$38/$NT$38)),0)</f>
        <v/>
      </c>
      <c r="FZ38" s="402">
        <f>IF(AND(178&gt;=$NR$38,178&lt;=$NS$38),IF($NP$38="Single_Point",IF(178=$NR$38,$NN$38,0),IF($NP$38="Bell_Curve",$NN$38*(178-$NR$38+1)*($NS$38-178+1)/$NU$38,$NN$38/$NT$38)),0)</f>
        <v/>
      </c>
      <c r="GA38" s="402">
        <f>IF(AND(179&gt;=$NR$38,179&lt;=$NS$38),IF($NP$38="Single_Point",IF(179=$NR$38,$NN$38,0),IF($NP$38="Bell_Curve",$NN$38*(179-$NR$38+1)*($NS$38-179+1)/$NU$38,$NN$38/$NT$38)),0)</f>
        <v/>
      </c>
      <c r="GB38" s="402">
        <f>IF(AND(180&gt;=$NR$38,180&lt;=$NS$38),IF($NP$38="Single_Point",IF(180=$NR$38,$NN$38,0),IF($NP$38="Bell_Curve",$NN$38*(180-$NR$38+1)*($NS$38-180+1)/$NU$38,$NN$38/$NT$38)),0)</f>
        <v/>
      </c>
      <c r="GC38" s="402">
        <f>IF(AND(181&gt;=$NR$38,181&lt;=$NS$38),IF($NP$38="Single_Point",IF(181=$NR$38,$NN$38,0),IF($NP$38="Bell_Curve",$NN$38*(181-$NR$38+1)*($NS$38-181+1)/$NU$38,$NN$38/$NT$38)),0)</f>
        <v/>
      </c>
      <c r="GD38" s="402">
        <f>IF(AND(182&gt;=$NR$38,182&lt;=$NS$38),IF($NP$38="Single_Point",IF(182=$NR$38,$NN$38,0),IF($NP$38="Bell_Curve",$NN$38*(182-$NR$38+1)*($NS$38-182+1)/$NU$38,$NN$38/$NT$38)),0)</f>
        <v/>
      </c>
      <c r="GE38" s="402">
        <f>IF(AND(183&gt;=$NR$38,183&lt;=$NS$38),IF($NP$38="Single_Point",IF(183=$NR$38,$NN$38,0),IF($NP$38="Bell_Curve",$NN$38*(183-$NR$38+1)*($NS$38-183+1)/$NU$38,$NN$38/$NT$38)),0)</f>
        <v/>
      </c>
      <c r="GF38" s="402">
        <f>IF(AND(184&gt;=$NR$38,184&lt;=$NS$38),IF($NP$38="Single_Point",IF(184=$NR$38,$NN$38,0),IF($NP$38="Bell_Curve",$NN$38*(184-$NR$38+1)*($NS$38-184+1)/$NU$38,$NN$38/$NT$38)),0)</f>
        <v/>
      </c>
      <c r="GG38" s="402">
        <f>IF(AND(185&gt;=$NR$38,185&lt;=$NS$38),IF($NP$38="Single_Point",IF(185=$NR$38,$NN$38,0),IF($NP$38="Bell_Curve",$NN$38*(185-$NR$38+1)*($NS$38-185+1)/$NU$38,$NN$38/$NT$38)),0)</f>
        <v/>
      </c>
      <c r="GH38" s="402">
        <f>IF(AND(186&gt;=$NR$38,186&lt;=$NS$38),IF($NP$38="Single_Point",IF(186=$NR$38,$NN$38,0),IF($NP$38="Bell_Curve",$NN$38*(186-$NR$38+1)*($NS$38-186+1)/$NU$38,$NN$38/$NT$38)),0)</f>
        <v/>
      </c>
      <c r="GI38" s="402">
        <f>IF(AND(187&gt;=$NR$38,187&lt;=$NS$38),IF($NP$38="Single_Point",IF(187=$NR$38,$NN$38,0),IF($NP$38="Bell_Curve",$NN$38*(187-$NR$38+1)*($NS$38-187+1)/$NU$38,$NN$38/$NT$38)),0)</f>
        <v/>
      </c>
      <c r="GJ38" s="402">
        <f>IF(AND(188&gt;=$NR$38,188&lt;=$NS$38),IF($NP$38="Single_Point",IF(188=$NR$38,$NN$38,0),IF($NP$38="Bell_Curve",$NN$38*(188-$NR$38+1)*($NS$38-188+1)/$NU$38,$NN$38/$NT$38)),0)</f>
        <v/>
      </c>
      <c r="GK38" s="402">
        <f>IF(AND(189&gt;=$NR$38,189&lt;=$NS$38),IF($NP$38="Single_Point",IF(189=$NR$38,$NN$38,0),IF($NP$38="Bell_Curve",$NN$38*(189-$NR$38+1)*($NS$38-189+1)/$NU$38,$NN$38/$NT$38)),0)</f>
        <v/>
      </c>
      <c r="GL38" s="402">
        <f>IF(AND(190&gt;=$NR$38,190&lt;=$NS$38),IF($NP$38="Single_Point",IF(190=$NR$38,$NN$38,0),IF($NP$38="Bell_Curve",$NN$38*(190-$NR$38+1)*($NS$38-190+1)/$NU$38,$NN$38/$NT$38)),0)</f>
        <v/>
      </c>
      <c r="GM38" s="402">
        <f>IF(AND(191&gt;=$NR$38,191&lt;=$NS$38),IF($NP$38="Single_Point",IF(191=$NR$38,$NN$38,0),IF($NP$38="Bell_Curve",$NN$38*(191-$NR$38+1)*($NS$38-191+1)/$NU$38,$NN$38/$NT$38)),0)</f>
        <v/>
      </c>
      <c r="GN38" s="402">
        <f>IF(AND(192&gt;=$NR$38,192&lt;=$NS$38),IF($NP$38="Single_Point",IF(192=$NR$38,$NN$38,0),IF($NP$38="Bell_Curve",$NN$38*(192-$NR$38+1)*($NS$38-192+1)/$NU$38,$NN$38/$NT$38)),0)</f>
        <v/>
      </c>
      <c r="GO38" s="402">
        <f>IF(AND(193&gt;=$NR$38,193&lt;=$NS$38),IF($NP$38="Single_Point",IF(193=$NR$38,$NN$38,0),IF($NP$38="Bell_Curve",$NN$38*(193-$NR$38+1)*($NS$38-193+1)/$NU$38,$NN$38/$NT$38)),0)</f>
        <v/>
      </c>
      <c r="GP38" s="402">
        <f>IF(AND(194&gt;=$NR$38,194&lt;=$NS$38),IF($NP$38="Single_Point",IF(194=$NR$38,$NN$38,0),IF($NP$38="Bell_Curve",$NN$38*(194-$NR$38+1)*($NS$38-194+1)/$NU$38,$NN$38/$NT$38)),0)</f>
        <v/>
      </c>
      <c r="GQ38" s="402">
        <f>IF(AND(195&gt;=$NR$38,195&lt;=$NS$38),IF($NP$38="Single_Point",IF(195=$NR$38,$NN$38,0),IF($NP$38="Bell_Curve",$NN$38*(195-$NR$38+1)*($NS$38-195+1)/$NU$38,$NN$38/$NT$38)),0)</f>
        <v/>
      </c>
      <c r="GR38" s="402">
        <f>IF(AND(196&gt;=$NR$38,196&lt;=$NS$38),IF($NP$38="Single_Point",IF(196=$NR$38,$NN$38,0),IF($NP$38="Bell_Curve",$NN$38*(196-$NR$38+1)*($NS$38-196+1)/$NU$38,$NN$38/$NT$38)),0)</f>
        <v/>
      </c>
      <c r="GS38" s="402">
        <f>IF(AND(197&gt;=$NR$38,197&lt;=$NS$38),IF($NP$38="Single_Point",IF(197=$NR$38,$NN$38,0),IF($NP$38="Bell_Curve",$NN$38*(197-$NR$38+1)*($NS$38-197+1)/$NU$38,$NN$38/$NT$38)),0)</f>
        <v/>
      </c>
      <c r="GT38" s="402">
        <f>IF(AND(198&gt;=$NR$38,198&lt;=$NS$38),IF($NP$38="Single_Point",IF(198=$NR$38,$NN$38,0),IF($NP$38="Bell_Curve",$NN$38*(198-$NR$38+1)*($NS$38-198+1)/$NU$38,$NN$38/$NT$38)),0)</f>
        <v/>
      </c>
      <c r="GU38" s="402">
        <f>IF(AND(199&gt;=$NR$38,199&lt;=$NS$38),IF($NP$38="Single_Point",IF(199=$NR$38,$NN$38,0),IF($NP$38="Bell_Curve",$NN$38*(199-$NR$38+1)*($NS$38-199+1)/$NU$38,$NN$38/$NT$38)),0)</f>
        <v/>
      </c>
      <c r="GV38" s="402">
        <f>IF(AND(200&gt;=$NR$38,200&lt;=$NS$38),IF($NP$38="Single_Point",IF(200=$NR$38,$NN$38,0),IF($NP$38="Bell_Curve",$NN$38*(200-$NR$38+1)*($NS$38-200+1)/$NU$38,$NN$38/$NT$38)),0)</f>
        <v/>
      </c>
      <c r="GW38" s="402">
        <f>IF(AND(201&gt;=$NR$38,201&lt;=$NS$38),IF($NP$38="Single_Point",IF(201=$NR$38,$NN$38,0),IF($NP$38="Bell_Curve",$NN$38*(201-$NR$38+1)*($NS$38-201+1)/$NU$38,$NN$38/$NT$38)),0)</f>
        <v/>
      </c>
      <c r="GX38" s="402">
        <f>IF(AND(202&gt;=$NR$38,202&lt;=$NS$38),IF($NP$38="Single_Point",IF(202=$NR$38,$NN$38,0),IF($NP$38="Bell_Curve",$NN$38*(202-$NR$38+1)*($NS$38-202+1)/$NU$38,$NN$38/$NT$38)),0)</f>
        <v/>
      </c>
      <c r="GY38" s="402">
        <f>IF(AND(203&gt;=$NR$38,203&lt;=$NS$38),IF($NP$38="Single_Point",IF(203=$NR$38,$NN$38,0),IF($NP$38="Bell_Curve",$NN$38*(203-$NR$38+1)*($NS$38-203+1)/$NU$38,$NN$38/$NT$38)),0)</f>
        <v/>
      </c>
      <c r="GZ38" s="402">
        <f>IF(AND(204&gt;=$NR$38,204&lt;=$NS$38),IF($NP$38="Single_Point",IF(204=$NR$38,$NN$38,0),IF($NP$38="Bell_Curve",$NN$38*(204-$NR$38+1)*($NS$38-204+1)/$NU$38,$NN$38/$NT$38)),0)</f>
        <v/>
      </c>
      <c r="HA38" s="402">
        <f>IF(AND(205&gt;=$NR$38,205&lt;=$NS$38),IF($NP$38="Single_Point",IF(205=$NR$38,$NN$38,0),IF($NP$38="Bell_Curve",$NN$38*(205-$NR$38+1)*($NS$38-205+1)/$NU$38,$NN$38/$NT$38)),0)</f>
        <v/>
      </c>
      <c r="HB38" s="402">
        <f>IF(AND(206&gt;=$NR$38,206&lt;=$NS$38),IF($NP$38="Single_Point",IF(206=$NR$38,$NN$38,0),IF($NP$38="Bell_Curve",$NN$38*(206-$NR$38+1)*($NS$38-206+1)/$NU$38,$NN$38/$NT$38)),0)</f>
        <v/>
      </c>
      <c r="HC38" s="402">
        <f>IF(AND(207&gt;=$NR$38,207&lt;=$NS$38),IF($NP$38="Single_Point",IF(207=$NR$38,$NN$38,0),IF($NP$38="Bell_Curve",$NN$38*(207-$NR$38+1)*($NS$38-207+1)/$NU$38,$NN$38/$NT$38)),0)</f>
        <v/>
      </c>
      <c r="HD38" s="402">
        <f>IF(AND(208&gt;=$NR$38,208&lt;=$NS$38),IF($NP$38="Single_Point",IF(208=$NR$38,$NN$38,0),IF($NP$38="Bell_Curve",$NN$38*(208-$NR$38+1)*($NS$38-208+1)/$NU$38,$NN$38/$NT$38)),0)</f>
        <v/>
      </c>
      <c r="HE38" s="402">
        <f>IF(AND(209&gt;=$NR$38,209&lt;=$NS$38),IF($NP$38="Single_Point",IF(209=$NR$38,$NN$38,0),IF($NP$38="Bell_Curve",$NN$38*(209-$NR$38+1)*($NS$38-209+1)/$NU$38,$NN$38/$NT$38)),0)</f>
        <v/>
      </c>
      <c r="HF38" s="402">
        <f>IF(AND(210&gt;=$NR$38,210&lt;=$NS$38),IF($NP$38="Single_Point",IF(210=$NR$38,$NN$38,0),IF($NP$38="Bell_Curve",$NN$38*(210-$NR$38+1)*($NS$38-210+1)/$NU$38,$NN$38/$NT$38)),0)</f>
        <v/>
      </c>
      <c r="HG38" s="402">
        <f>IF(AND(211&gt;=$NR$38,211&lt;=$NS$38),IF($NP$38="Single_Point",IF(211=$NR$38,$NN$38,0),IF($NP$38="Bell_Curve",$NN$38*(211-$NR$38+1)*($NS$38-211+1)/$NU$38,$NN$38/$NT$38)),0)</f>
        <v/>
      </c>
      <c r="HH38" s="402">
        <f>IF(AND(212&gt;=$NR$38,212&lt;=$NS$38),IF($NP$38="Single_Point",IF(212=$NR$38,$NN$38,0),IF($NP$38="Bell_Curve",$NN$38*(212-$NR$38+1)*($NS$38-212+1)/$NU$38,$NN$38/$NT$38)),0)</f>
        <v/>
      </c>
      <c r="HI38" s="402">
        <f>IF(AND(213&gt;=$NR$38,213&lt;=$NS$38),IF($NP$38="Single_Point",IF(213=$NR$38,$NN$38,0),IF($NP$38="Bell_Curve",$NN$38*(213-$NR$38+1)*($NS$38-213+1)/$NU$38,$NN$38/$NT$38)),0)</f>
        <v/>
      </c>
      <c r="HJ38" s="402">
        <f>IF(AND(214&gt;=$NR$38,214&lt;=$NS$38),IF($NP$38="Single_Point",IF(214=$NR$38,$NN$38,0),IF($NP$38="Bell_Curve",$NN$38*(214-$NR$38+1)*($NS$38-214+1)/$NU$38,$NN$38/$NT$38)),0)</f>
        <v/>
      </c>
      <c r="HK38" s="402">
        <f>IF(AND(215&gt;=$NR$38,215&lt;=$NS$38),IF($NP$38="Single_Point",IF(215=$NR$38,$NN$38,0),IF($NP$38="Bell_Curve",$NN$38*(215-$NR$38+1)*($NS$38-215+1)/$NU$38,$NN$38/$NT$38)),0)</f>
        <v/>
      </c>
      <c r="HL38" s="402">
        <f>IF(AND(216&gt;=$NR$38,216&lt;=$NS$38),IF($NP$38="Single_Point",IF(216=$NR$38,$NN$38,0),IF($NP$38="Bell_Curve",$NN$38*(216-$NR$38+1)*($NS$38-216+1)/$NU$38,$NN$38/$NT$38)),0)</f>
        <v/>
      </c>
      <c r="HM38" s="402">
        <f>IF(AND(217&gt;=$NR$38,217&lt;=$NS$38),IF($NP$38="Single_Point",IF(217=$NR$38,$NN$38,0),IF($NP$38="Bell_Curve",$NN$38*(217-$NR$38+1)*($NS$38-217+1)/$NU$38,$NN$38/$NT$38)),0)</f>
        <v/>
      </c>
      <c r="HN38" s="402">
        <f>IF(AND(218&gt;=$NR$38,218&lt;=$NS$38),IF($NP$38="Single_Point",IF(218=$NR$38,$NN$38,0),IF($NP$38="Bell_Curve",$NN$38*(218-$NR$38+1)*($NS$38-218+1)/$NU$38,$NN$38/$NT$38)),0)</f>
        <v/>
      </c>
      <c r="HO38" s="402">
        <f>IF(AND(219&gt;=$NR$38,219&lt;=$NS$38),IF($NP$38="Single_Point",IF(219=$NR$38,$NN$38,0),IF($NP$38="Bell_Curve",$NN$38*(219-$NR$38+1)*($NS$38-219+1)/$NU$38,$NN$38/$NT$38)),0)</f>
        <v/>
      </c>
      <c r="HP38" s="402">
        <f>IF(AND(220&gt;=$NR$38,220&lt;=$NS$38),IF($NP$38="Single_Point",IF(220=$NR$38,$NN$38,0),IF($NP$38="Bell_Curve",$NN$38*(220-$NR$38+1)*($NS$38-220+1)/$NU$38,$NN$38/$NT$38)),0)</f>
        <v/>
      </c>
      <c r="HQ38" s="402">
        <f>IF(AND(221&gt;=$NR$38,221&lt;=$NS$38),IF($NP$38="Single_Point",IF(221=$NR$38,$NN$38,0),IF($NP$38="Bell_Curve",$NN$38*(221-$NR$38+1)*($NS$38-221+1)/$NU$38,$NN$38/$NT$38)),0)</f>
        <v/>
      </c>
      <c r="HR38" s="402">
        <f>IF(AND(222&gt;=$NR$38,222&lt;=$NS$38),IF($NP$38="Single_Point",IF(222=$NR$38,$NN$38,0),IF($NP$38="Bell_Curve",$NN$38*(222-$NR$38+1)*($NS$38-222+1)/$NU$38,$NN$38/$NT$38)),0)</f>
        <v/>
      </c>
      <c r="HS38" s="402">
        <f>IF(AND(223&gt;=$NR$38,223&lt;=$NS$38),IF($NP$38="Single_Point",IF(223=$NR$38,$NN$38,0),IF($NP$38="Bell_Curve",$NN$38*(223-$NR$38+1)*($NS$38-223+1)/$NU$38,$NN$38/$NT$38)),0)</f>
        <v/>
      </c>
      <c r="HT38" s="402">
        <f>IF(AND(224&gt;=$NR$38,224&lt;=$NS$38),IF($NP$38="Single_Point",IF(224=$NR$38,$NN$38,0),IF($NP$38="Bell_Curve",$NN$38*(224-$NR$38+1)*($NS$38-224+1)/$NU$38,$NN$38/$NT$38)),0)</f>
        <v/>
      </c>
      <c r="HU38" s="402">
        <f>IF(AND(225&gt;=$NR$38,225&lt;=$NS$38),IF($NP$38="Single_Point",IF(225=$NR$38,$NN$38,0),IF($NP$38="Bell_Curve",$NN$38*(225-$NR$38+1)*($NS$38-225+1)/$NU$38,$NN$38/$NT$38)),0)</f>
        <v/>
      </c>
      <c r="HV38" s="402">
        <f>IF(AND(226&gt;=$NR$38,226&lt;=$NS$38),IF($NP$38="Single_Point",IF(226=$NR$38,$NN$38,0),IF($NP$38="Bell_Curve",$NN$38*(226-$NR$38+1)*($NS$38-226+1)/$NU$38,$NN$38/$NT$38)),0)</f>
        <v/>
      </c>
      <c r="HW38" s="402">
        <f>IF(AND(227&gt;=$NR$38,227&lt;=$NS$38),IF($NP$38="Single_Point",IF(227=$NR$38,$NN$38,0),IF($NP$38="Bell_Curve",$NN$38*(227-$NR$38+1)*($NS$38-227+1)/$NU$38,$NN$38/$NT$38)),0)</f>
        <v/>
      </c>
      <c r="HX38" s="402">
        <f>IF(AND(228&gt;=$NR$38,228&lt;=$NS$38),IF($NP$38="Single_Point",IF(228=$NR$38,$NN$38,0),IF($NP$38="Bell_Curve",$NN$38*(228-$NR$38+1)*($NS$38-228+1)/$NU$38,$NN$38/$NT$38)),0)</f>
        <v/>
      </c>
      <c r="HY38" s="402">
        <f>IF(AND(229&gt;=$NR$38,229&lt;=$NS$38),IF($NP$38="Single_Point",IF(229=$NR$38,$NN$38,0),IF($NP$38="Bell_Curve",$NN$38*(229-$NR$38+1)*($NS$38-229+1)/$NU$38,$NN$38/$NT$38)),0)</f>
        <v/>
      </c>
      <c r="HZ38" s="402">
        <f>IF(AND(230&gt;=$NR$38,230&lt;=$NS$38),IF($NP$38="Single_Point",IF(230=$NR$38,$NN$38,0),IF($NP$38="Bell_Curve",$NN$38*(230-$NR$38+1)*($NS$38-230+1)/$NU$38,$NN$38/$NT$38)),0)</f>
        <v/>
      </c>
      <c r="IA38" s="402">
        <f>IF(AND(231&gt;=$NR$38,231&lt;=$NS$38),IF($NP$38="Single_Point",IF(231=$NR$38,$NN$38,0),IF($NP$38="Bell_Curve",$NN$38*(231-$NR$38+1)*($NS$38-231+1)/$NU$38,$NN$38/$NT$38)),0)</f>
        <v/>
      </c>
      <c r="IB38" s="402">
        <f>IF(AND(232&gt;=$NR$38,232&lt;=$NS$38),IF($NP$38="Single_Point",IF(232=$NR$38,$NN$38,0),IF($NP$38="Bell_Curve",$NN$38*(232-$NR$38+1)*($NS$38-232+1)/$NU$38,$NN$38/$NT$38)),0)</f>
        <v/>
      </c>
      <c r="IC38" s="402">
        <f>IF(AND(233&gt;=$NR$38,233&lt;=$NS$38),IF($NP$38="Single_Point",IF(233=$NR$38,$NN$38,0),IF($NP$38="Bell_Curve",$NN$38*(233-$NR$38+1)*($NS$38-233+1)/$NU$38,$NN$38/$NT$38)),0)</f>
        <v/>
      </c>
      <c r="ID38" s="402">
        <f>IF(AND(234&gt;=$NR$38,234&lt;=$NS$38),IF($NP$38="Single_Point",IF(234=$NR$38,$NN$38,0),IF($NP$38="Bell_Curve",$NN$38*(234-$NR$38+1)*($NS$38-234+1)/$NU$38,$NN$38/$NT$38)),0)</f>
        <v/>
      </c>
      <c r="IE38" s="402">
        <f>IF(AND(235&gt;=$NR$38,235&lt;=$NS$38),IF($NP$38="Single_Point",IF(235=$NR$38,$NN$38,0),IF($NP$38="Bell_Curve",$NN$38*(235-$NR$38+1)*($NS$38-235+1)/$NU$38,$NN$38/$NT$38)),0)</f>
        <v/>
      </c>
      <c r="IF38" s="402">
        <f>IF(AND(236&gt;=$NR$38,236&lt;=$NS$38),IF($NP$38="Single_Point",IF(236=$NR$38,$NN$38,0),IF($NP$38="Bell_Curve",$NN$38*(236-$NR$38+1)*($NS$38-236+1)/$NU$38,$NN$38/$NT$38)),0)</f>
        <v/>
      </c>
      <c r="IG38" s="402">
        <f>IF(AND(237&gt;=$NR$38,237&lt;=$NS$38),IF($NP$38="Single_Point",IF(237=$NR$38,$NN$38,0),IF($NP$38="Bell_Curve",$NN$38*(237-$NR$38+1)*($NS$38-237+1)/$NU$38,$NN$38/$NT$38)),0)</f>
        <v/>
      </c>
      <c r="IH38" s="402">
        <f>IF(AND(238&gt;=$NR$38,238&lt;=$NS$38),IF($NP$38="Single_Point",IF(238=$NR$38,$NN$38,0),IF($NP$38="Bell_Curve",$NN$38*(238-$NR$38+1)*($NS$38-238+1)/$NU$38,$NN$38/$NT$38)),0)</f>
        <v/>
      </c>
      <c r="II38" s="402">
        <f>IF(AND(239&gt;=$NR$38,239&lt;=$NS$38),IF($NP$38="Single_Point",IF(239=$NR$38,$NN$38,0),IF($NP$38="Bell_Curve",$NN$38*(239-$NR$38+1)*($NS$38-239+1)/$NU$38,$NN$38/$NT$38)),0)</f>
        <v/>
      </c>
      <c r="IJ38" s="402">
        <f>IF(AND(240&gt;=$NR$38,240&lt;=$NS$38),IF($NP$38="Single_Point",IF(240=$NR$38,$NN$38,0),IF($NP$38="Bell_Curve",$NN$38*(240-$NR$38+1)*($NS$38-240+1)/$NU$38,$NN$38/$NT$38)),0)</f>
        <v/>
      </c>
      <c r="IK38" s="402">
        <f>IF(AND(241&gt;=$NR$38,241&lt;=$NS$38),IF($NP$38="Single_Point",IF(241=$NR$38,$NN$38,0),IF($NP$38="Bell_Curve",$NN$38*(241-$NR$38+1)*($NS$38-241+1)/$NU$38,$NN$38/$NT$38)),0)</f>
        <v/>
      </c>
      <c r="IL38" s="402">
        <f>IF(AND(242&gt;=$NR$38,242&lt;=$NS$38),IF($NP$38="Single_Point",IF(242=$NR$38,$NN$38,0),IF($NP$38="Bell_Curve",$NN$38*(242-$NR$38+1)*($NS$38-242+1)/$NU$38,$NN$38/$NT$38)),0)</f>
        <v/>
      </c>
      <c r="IM38" s="402">
        <f>IF(AND(243&gt;=$NR$38,243&lt;=$NS$38),IF($NP$38="Single_Point",IF(243=$NR$38,$NN$38,0),IF($NP$38="Bell_Curve",$NN$38*(243-$NR$38+1)*($NS$38-243+1)/$NU$38,$NN$38/$NT$38)),0)</f>
        <v/>
      </c>
      <c r="IN38" s="402">
        <f>IF(AND(244&gt;=$NR$38,244&lt;=$NS$38),IF($NP$38="Single_Point",IF(244=$NR$38,$NN$38,0),IF($NP$38="Bell_Curve",$NN$38*(244-$NR$38+1)*($NS$38-244+1)/$NU$38,$NN$38/$NT$38)),0)</f>
        <v/>
      </c>
      <c r="IO38" s="402">
        <f>IF(AND(245&gt;=$NR$38,245&lt;=$NS$38),IF($NP$38="Single_Point",IF(245=$NR$38,$NN$38,0),IF($NP$38="Bell_Curve",$NN$38*(245-$NR$38+1)*($NS$38-245+1)/$NU$38,$NN$38/$NT$38)),0)</f>
        <v/>
      </c>
      <c r="IP38" s="402">
        <f>IF(AND(246&gt;=$NR$38,246&lt;=$NS$38),IF($NP$38="Single_Point",IF(246=$NR$38,$NN$38,0),IF($NP$38="Bell_Curve",$NN$38*(246-$NR$38+1)*($NS$38-246+1)/$NU$38,$NN$38/$NT$38)),0)</f>
        <v/>
      </c>
      <c r="IQ38" s="402">
        <f>IF(AND(247&gt;=$NR$38,247&lt;=$NS$38),IF($NP$38="Single_Point",IF(247=$NR$38,$NN$38,0),IF($NP$38="Bell_Curve",$NN$38*(247-$NR$38+1)*($NS$38-247+1)/$NU$38,$NN$38/$NT$38)),0)</f>
        <v/>
      </c>
      <c r="IR38" s="402">
        <f>IF(AND(248&gt;=$NR$38,248&lt;=$NS$38),IF($NP$38="Single_Point",IF(248=$NR$38,$NN$38,0),IF($NP$38="Bell_Curve",$NN$38*(248-$NR$38+1)*($NS$38-248+1)/$NU$38,$NN$38/$NT$38)),0)</f>
        <v/>
      </c>
      <c r="IS38" s="402">
        <f>IF(AND(249&gt;=$NR$38,249&lt;=$NS$38),IF($NP$38="Single_Point",IF(249=$NR$38,$NN$38,0),IF($NP$38="Bell_Curve",$NN$38*(249-$NR$38+1)*($NS$38-249+1)/$NU$38,$NN$38/$NT$38)),0)</f>
        <v/>
      </c>
      <c r="IT38" s="402">
        <f>IF(AND(250&gt;=$NR$38,250&lt;=$NS$38),IF($NP$38="Single_Point",IF(250=$NR$38,$NN$38,0),IF($NP$38="Bell_Curve",$NN$38*(250-$NR$38+1)*($NS$38-250+1)/$NU$38,$NN$38/$NT$38)),0)</f>
        <v/>
      </c>
      <c r="IU38" s="402">
        <f>IF(AND(251&gt;=$NR$38,251&lt;=$NS$38),IF($NP$38="Single_Point",IF(251=$NR$38,$NN$38,0),IF($NP$38="Bell_Curve",$NN$38*(251-$NR$38+1)*($NS$38-251+1)/$NU$38,$NN$38/$NT$38)),0)</f>
        <v/>
      </c>
      <c r="IV38" s="402">
        <f>IF(AND(252&gt;=$NR$38,252&lt;=$NS$38),IF($NP$38="Single_Point",IF(252=$NR$38,$NN$38,0),IF($NP$38="Bell_Curve",$NN$38*(252-$NR$38+1)*($NS$38-252+1)/$NU$38,$NN$38/$NT$38)),0)</f>
        <v/>
      </c>
      <c r="IW38" s="402">
        <f>IF(AND(253&gt;=$NR$38,253&lt;=$NS$38),IF($NP$38="Single_Point",IF(253=$NR$38,$NN$38,0),IF($NP$38="Bell_Curve",$NN$38*(253-$NR$38+1)*($NS$38-253+1)/$NU$38,$NN$38/$NT$38)),0)</f>
        <v/>
      </c>
      <c r="IX38" s="402">
        <f>IF(AND(254&gt;=$NR$38,254&lt;=$NS$38),IF($NP$38="Single_Point",IF(254=$NR$38,$NN$38,0),IF($NP$38="Bell_Curve",$NN$38*(254-$NR$38+1)*($NS$38-254+1)/$NU$38,$NN$38/$NT$38)),0)</f>
        <v/>
      </c>
      <c r="IY38" s="402">
        <f>IF(AND(255&gt;=$NR$38,255&lt;=$NS$38),IF($NP$38="Single_Point",IF(255=$NR$38,$NN$38,0),IF($NP$38="Bell_Curve",$NN$38*(255-$NR$38+1)*($NS$38-255+1)/$NU$38,$NN$38/$NT$38)),0)</f>
        <v/>
      </c>
      <c r="IZ38" s="402">
        <f>IF(AND(256&gt;=$NR$38,256&lt;=$NS$38),IF($NP$38="Single_Point",IF(256=$NR$38,$NN$38,0),IF($NP$38="Bell_Curve",$NN$38*(256-$NR$38+1)*($NS$38-256+1)/$NU$38,$NN$38/$NT$38)),0)</f>
        <v/>
      </c>
      <c r="JA38" s="402">
        <f>IF(AND(257&gt;=$NR$38,257&lt;=$NS$38),IF($NP$38="Single_Point",IF(257=$NR$38,$NN$38,0),IF($NP$38="Bell_Curve",$NN$38*(257-$NR$38+1)*($NS$38-257+1)/$NU$38,$NN$38/$NT$38)),0)</f>
        <v/>
      </c>
      <c r="JB38" s="402">
        <f>IF(AND(258&gt;=$NR$38,258&lt;=$NS$38),IF($NP$38="Single_Point",IF(258=$NR$38,$NN$38,0),IF($NP$38="Bell_Curve",$NN$38*(258-$NR$38+1)*($NS$38-258+1)/$NU$38,$NN$38/$NT$38)),0)</f>
        <v/>
      </c>
      <c r="JC38" s="402">
        <f>IF(AND(259&gt;=$NR$38,259&lt;=$NS$38),IF($NP$38="Single_Point",IF(259=$NR$38,$NN$38,0),IF($NP$38="Bell_Curve",$NN$38*(259-$NR$38+1)*($NS$38-259+1)/$NU$38,$NN$38/$NT$38)),0)</f>
        <v/>
      </c>
      <c r="JD38" s="402">
        <f>IF(AND(260&gt;=$NR$38,260&lt;=$NS$38),IF($NP$38="Single_Point",IF(260=$NR$38,$NN$38,0),IF($NP$38="Bell_Curve",$NN$38*(260-$NR$38+1)*($NS$38-260+1)/$NU$38,$NN$38/$NT$38)),0)</f>
        <v/>
      </c>
      <c r="JE38" s="402">
        <f>IF(AND(261&gt;=$NR$38,261&lt;=$NS$38),IF($NP$38="Single_Point",IF(261=$NR$38,$NN$38,0),IF($NP$38="Bell_Curve",$NN$38*(261-$NR$38+1)*($NS$38-261+1)/$NU$38,$NN$38/$NT$38)),0)</f>
        <v/>
      </c>
      <c r="JF38" s="402">
        <f>IF(AND(262&gt;=$NR$38,262&lt;=$NS$38),IF($NP$38="Single_Point",IF(262=$NR$38,$NN$38,0),IF($NP$38="Bell_Curve",$NN$38*(262-$NR$38+1)*($NS$38-262+1)/$NU$38,$NN$38/$NT$38)),0)</f>
        <v/>
      </c>
      <c r="JG38" s="402">
        <f>IF(AND(263&gt;=$NR$38,263&lt;=$NS$38),IF($NP$38="Single_Point",IF(263=$NR$38,$NN$38,0),IF($NP$38="Bell_Curve",$NN$38*(263-$NR$38+1)*($NS$38-263+1)/$NU$38,$NN$38/$NT$38)),0)</f>
        <v/>
      </c>
      <c r="JH38" s="402">
        <f>IF(AND(264&gt;=$NR$38,264&lt;=$NS$38),IF($NP$38="Single_Point",IF(264=$NR$38,$NN$38,0),IF($NP$38="Bell_Curve",$NN$38*(264-$NR$38+1)*($NS$38-264+1)/$NU$38,$NN$38/$NT$38)),0)</f>
        <v/>
      </c>
      <c r="JI38" s="402">
        <f>IF(AND(265&gt;=$NR$38,265&lt;=$NS$38),IF($NP$38="Single_Point",IF(265=$NR$38,$NN$38,0),IF($NP$38="Bell_Curve",$NN$38*(265-$NR$38+1)*($NS$38-265+1)/$NU$38,$NN$38/$NT$38)),0)</f>
        <v/>
      </c>
      <c r="JJ38" s="402">
        <f>IF(AND(266&gt;=$NR$38,266&lt;=$NS$38),IF($NP$38="Single_Point",IF(266=$NR$38,$NN$38,0),IF($NP$38="Bell_Curve",$NN$38*(266-$NR$38+1)*($NS$38-266+1)/$NU$38,$NN$38/$NT$38)),0)</f>
        <v/>
      </c>
      <c r="JK38" s="402">
        <f>IF(AND(267&gt;=$NR$38,267&lt;=$NS$38),IF($NP$38="Single_Point",IF(267=$NR$38,$NN$38,0),IF($NP$38="Bell_Curve",$NN$38*(267-$NR$38+1)*($NS$38-267+1)/$NU$38,$NN$38/$NT$38)),0)</f>
        <v/>
      </c>
      <c r="JL38" s="402">
        <f>IF(AND(268&gt;=$NR$38,268&lt;=$NS$38),IF($NP$38="Single_Point",IF(268=$NR$38,$NN$38,0),IF($NP$38="Bell_Curve",$NN$38*(268-$NR$38+1)*($NS$38-268+1)/$NU$38,$NN$38/$NT$38)),0)</f>
        <v/>
      </c>
      <c r="JM38" s="402">
        <f>IF(AND(269&gt;=$NR$38,269&lt;=$NS$38),IF($NP$38="Single_Point",IF(269=$NR$38,$NN$38,0),IF($NP$38="Bell_Curve",$NN$38*(269-$NR$38+1)*($NS$38-269+1)/$NU$38,$NN$38/$NT$38)),0)</f>
        <v/>
      </c>
      <c r="JN38" s="402">
        <f>IF(AND(270&gt;=$NR$38,270&lt;=$NS$38),IF($NP$38="Single_Point",IF(270=$NR$38,$NN$38,0),IF($NP$38="Bell_Curve",$NN$38*(270-$NR$38+1)*($NS$38-270+1)/$NU$38,$NN$38/$NT$38)),0)</f>
        <v/>
      </c>
      <c r="JO38" s="402">
        <f>IF(AND(271&gt;=$NR$38,271&lt;=$NS$38),IF($NP$38="Single_Point",IF(271=$NR$38,$NN$38,0),IF($NP$38="Bell_Curve",$NN$38*(271-$NR$38+1)*($NS$38-271+1)/$NU$38,$NN$38/$NT$38)),0)</f>
        <v/>
      </c>
      <c r="JP38" s="402">
        <f>IF(AND(272&gt;=$NR$38,272&lt;=$NS$38),IF($NP$38="Single_Point",IF(272=$NR$38,$NN$38,0),IF($NP$38="Bell_Curve",$NN$38*(272-$NR$38+1)*($NS$38-272+1)/$NU$38,$NN$38/$NT$38)),0)</f>
        <v/>
      </c>
      <c r="JQ38" s="402">
        <f>IF(AND(273&gt;=$NR$38,273&lt;=$NS$38),IF($NP$38="Single_Point",IF(273=$NR$38,$NN$38,0),IF($NP$38="Bell_Curve",$NN$38*(273-$NR$38+1)*($NS$38-273+1)/$NU$38,$NN$38/$NT$38)),0)</f>
        <v/>
      </c>
      <c r="JR38" s="402">
        <f>IF(AND(274&gt;=$NR$38,274&lt;=$NS$38),IF($NP$38="Single_Point",IF(274=$NR$38,$NN$38,0),IF($NP$38="Bell_Curve",$NN$38*(274-$NR$38+1)*($NS$38-274+1)/$NU$38,$NN$38/$NT$38)),0)</f>
        <v/>
      </c>
      <c r="JS38" s="402">
        <f>IF(AND(275&gt;=$NR$38,275&lt;=$NS$38),IF($NP$38="Single_Point",IF(275=$NR$38,$NN$38,0),IF($NP$38="Bell_Curve",$NN$38*(275-$NR$38+1)*($NS$38-275+1)/$NU$38,$NN$38/$NT$38)),0)</f>
        <v/>
      </c>
      <c r="JT38" s="402">
        <f>IF(AND(276&gt;=$NR$38,276&lt;=$NS$38),IF($NP$38="Single_Point",IF(276=$NR$38,$NN$38,0),IF($NP$38="Bell_Curve",$NN$38*(276-$NR$38+1)*($NS$38-276+1)/$NU$38,$NN$38/$NT$38)),0)</f>
        <v/>
      </c>
      <c r="JU38" s="402">
        <f>IF(AND(277&gt;=$NR$38,277&lt;=$NS$38),IF($NP$38="Single_Point",IF(277=$NR$38,$NN$38,0),IF($NP$38="Bell_Curve",$NN$38*(277-$NR$38+1)*($NS$38-277+1)/$NU$38,$NN$38/$NT$38)),0)</f>
        <v/>
      </c>
      <c r="JV38" s="402">
        <f>IF(AND(278&gt;=$NR$38,278&lt;=$NS$38),IF($NP$38="Single_Point",IF(278=$NR$38,$NN$38,0),IF($NP$38="Bell_Curve",$NN$38*(278-$NR$38+1)*($NS$38-278+1)/$NU$38,$NN$38/$NT$38)),0)</f>
        <v/>
      </c>
      <c r="JW38" s="402">
        <f>IF(AND(279&gt;=$NR$38,279&lt;=$NS$38),IF($NP$38="Single_Point",IF(279=$NR$38,$NN$38,0),IF($NP$38="Bell_Curve",$NN$38*(279-$NR$38+1)*($NS$38-279+1)/$NU$38,$NN$38/$NT$38)),0)</f>
        <v/>
      </c>
      <c r="JX38" s="402">
        <f>IF(AND(280&gt;=$NR$38,280&lt;=$NS$38),IF($NP$38="Single_Point",IF(280=$NR$38,$NN$38,0),IF($NP$38="Bell_Curve",$NN$38*(280-$NR$38+1)*($NS$38-280+1)/$NU$38,$NN$38/$NT$38)),0)</f>
        <v/>
      </c>
      <c r="JY38" s="402">
        <f>IF(AND(281&gt;=$NR$38,281&lt;=$NS$38),IF($NP$38="Single_Point",IF(281=$NR$38,$NN$38,0),IF($NP$38="Bell_Curve",$NN$38*(281-$NR$38+1)*($NS$38-281+1)/$NU$38,$NN$38/$NT$38)),0)</f>
        <v/>
      </c>
      <c r="JZ38" s="402">
        <f>IF(AND(282&gt;=$NR$38,282&lt;=$NS$38),IF($NP$38="Single_Point",IF(282=$NR$38,$NN$38,0),IF($NP$38="Bell_Curve",$NN$38*(282-$NR$38+1)*($NS$38-282+1)/$NU$38,$NN$38/$NT$38)),0)</f>
        <v/>
      </c>
      <c r="KA38" s="402">
        <f>IF(AND(283&gt;=$NR$38,283&lt;=$NS$38),IF($NP$38="Single_Point",IF(283=$NR$38,$NN$38,0),IF($NP$38="Bell_Curve",$NN$38*(283-$NR$38+1)*($NS$38-283+1)/$NU$38,$NN$38/$NT$38)),0)</f>
        <v/>
      </c>
      <c r="KB38" s="402">
        <f>IF(AND(284&gt;=$NR$38,284&lt;=$NS$38),IF($NP$38="Single_Point",IF(284=$NR$38,$NN$38,0),IF($NP$38="Bell_Curve",$NN$38*(284-$NR$38+1)*($NS$38-284+1)/$NU$38,$NN$38/$NT$38)),0)</f>
        <v/>
      </c>
      <c r="KC38" s="402">
        <f>IF(AND(285&gt;=$NR$38,285&lt;=$NS$38),IF($NP$38="Single_Point",IF(285=$NR$38,$NN$38,0),IF($NP$38="Bell_Curve",$NN$38*(285-$NR$38+1)*($NS$38-285+1)/$NU$38,$NN$38/$NT$38)),0)</f>
        <v/>
      </c>
      <c r="KD38" s="402">
        <f>IF(AND(286&gt;=$NR$38,286&lt;=$NS$38),IF($NP$38="Single_Point",IF(286=$NR$38,$NN$38,0),IF($NP$38="Bell_Curve",$NN$38*(286-$NR$38+1)*($NS$38-286+1)/$NU$38,$NN$38/$NT$38)),0)</f>
        <v/>
      </c>
      <c r="KE38" s="402">
        <f>IF(AND(287&gt;=$NR$38,287&lt;=$NS$38),IF($NP$38="Single_Point",IF(287=$NR$38,$NN$38,0),IF($NP$38="Bell_Curve",$NN$38*(287-$NR$38+1)*($NS$38-287+1)/$NU$38,$NN$38/$NT$38)),0)</f>
        <v/>
      </c>
      <c r="KF38" s="402">
        <f>IF(AND(288&gt;=$NR$38,288&lt;=$NS$38),IF($NP$38="Single_Point",IF(288=$NR$38,$NN$38,0),IF($NP$38="Bell_Curve",$NN$38*(288-$NR$38+1)*($NS$38-288+1)/$NU$38,$NN$38/$NT$38)),0)</f>
        <v/>
      </c>
      <c r="KG38" s="402">
        <f>IF(AND(289&gt;=$NR$38,289&lt;=$NS$38),IF($NP$38="Single_Point",IF(289=$NR$38,$NN$38,0),IF($NP$38="Bell_Curve",$NN$38*(289-$NR$38+1)*($NS$38-289+1)/$NU$38,$NN$38/$NT$38)),0)</f>
        <v/>
      </c>
      <c r="KH38" s="402">
        <f>IF(AND(290&gt;=$NR$38,290&lt;=$NS$38),IF($NP$38="Single_Point",IF(290=$NR$38,$NN$38,0),IF($NP$38="Bell_Curve",$NN$38*(290-$NR$38+1)*($NS$38-290+1)/$NU$38,$NN$38/$NT$38)),0)</f>
        <v/>
      </c>
      <c r="KI38" s="402">
        <f>IF(AND(291&gt;=$NR$38,291&lt;=$NS$38),IF($NP$38="Single_Point",IF(291=$NR$38,$NN$38,0),IF($NP$38="Bell_Curve",$NN$38*(291-$NR$38+1)*($NS$38-291+1)/$NU$38,$NN$38/$NT$38)),0)</f>
        <v/>
      </c>
      <c r="KJ38" s="402">
        <f>IF(AND(292&gt;=$NR$38,292&lt;=$NS$38),IF($NP$38="Single_Point",IF(292=$NR$38,$NN$38,0),IF($NP$38="Bell_Curve",$NN$38*(292-$NR$38+1)*($NS$38-292+1)/$NU$38,$NN$38/$NT$38)),0)</f>
        <v/>
      </c>
      <c r="KK38" s="402">
        <f>IF(AND(293&gt;=$NR$38,293&lt;=$NS$38),IF($NP$38="Single_Point",IF(293=$NR$38,$NN$38,0),IF($NP$38="Bell_Curve",$NN$38*(293-$NR$38+1)*($NS$38-293+1)/$NU$38,$NN$38/$NT$38)),0)</f>
        <v/>
      </c>
      <c r="KL38" s="402">
        <f>IF(AND(294&gt;=$NR$38,294&lt;=$NS$38),IF($NP$38="Single_Point",IF(294=$NR$38,$NN$38,0),IF($NP$38="Bell_Curve",$NN$38*(294-$NR$38+1)*($NS$38-294+1)/$NU$38,$NN$38/$NT$38)),0)</f>
        <v/>
      </c>
      <c r="KM38" s="402">
        <f>IF(AND(295&gt;=$NR$38,295&lt;=$NS$38),IF($NP$38="Single_Point",IF(295=$NR$38,$NN$38,0),IF($NP$38="Bell_Curve",$NN$38*(295-$NR$38+1)*($NS$38-295+1)/$NU$38,$NN$38/$NT$38)),0)</f>
        <v/>
      </c>
      <c r="KN38" s="402">
        <f>IF(AND(296&gt;=$NR$38,296&lt;=$NS$38),IF($NP$38="Single_Point",IF(296=$NR$38,$NN$38,0),IF($NP$38="Bell_Curve",$NN$38*(296-$NR$38+1)*($NS$38-296+1)/$NU$38,$NN$38/$NT$38)),0)</f>
        <v/>
      </c>
      <c r="KO38" s="402">
        <f>IF(AND(297&gt;=$NR$38,297&lt;=$NS$38),IF($NP$38="Single_Point",IF(297=$NR$38,$NN$38,0),IF($NP$38="Bell_Curve",$NN$38*(297-$NR$38+1)*($NS$38-297+1)/$NU$38,$NN$38/$NT$38)),0)</f>
        <v/>
      </c>
      <c r="KP38" s="402">
        <f>IF(AND(298&gt;=$NR$38,298&lt;=$NS$38),IF($NP$38="Single_Point",IF(298=$NR$38,$NN$38,0),IF($NP$38="Bell_Curve",$NN$38*(298-$NR$38+1)*($NS$38-298+1)/$NU$38,$NN$38/$NT$38)),0)</f>
        <v/>
      </c>
      <c r="KQ38" s="402">
        <f>IF(AND(299&gt;=$NR$38,299&lt;=$NS$38),IF($NP$38="Single_Point",IF(299=$NR$38,$NN$38,0),IF($NP$38="Bell_Curve",$NN$38*(299-$NR$38+1)*($NS$38-299+1)/$NU$38,$NN$38/$NT$38)),0)</f>
        <v/>
      </c>
      <c r="KR38" s="402">
        <f>IF(AND(300&gt;=$NR$38,300&lt;=$NS$38),IF($NP$38="Single_Point",IF(300=$NR$38,$NN$38,0),IF($NP$38="Bell_Curve",$NN$38*(300-$NR$38+1)*($NS$38-300+1)/$NU$38,$NN$38/$NT$38)),0)</f>
        <v/>
      </c>
      <c r="KS38" s="402">
        <f>IF(AND(301&gt;=$NR$38,301&lt;=$NS$38),IF($NP$38="Single_Point",IF(301=$NR$38,$NN$38,0),IF($NP$38="Bell_Curve",$NN$38*(301-$NR$38+1)*($NS$38-301+1)/$NU$38,$NN$38/$NT$38)),0)</f>
        <v/>
      </c>
      <c r="KT38" s="402">
        <f>IF(AND(302&gt;=$NR$38,302&lt;=$NS$38),IF($NP$38="Single_Point",IF(302=$NR$38,$NN$38,0),IF($NP$38="Bell_Curve",$NN$38*(302-$NR$38+1)*($NS$38-302+1)/$NU$38,$NN$38/$NT$38)),0)</f>
        <v/>
      </c>
      <c r="KU38" s="402">
        <f>IF(AND(303&gt;=$NR$38,303&lt;=$NS$38),IF($NP$38="Single_Point",IF(303=$NR$38,$NN$38,0),IF($NP$38="Bell_Curve",$NN$38*(303-$NR$38+1)*($NS$38-303+1)/$NU$38,$NN$38/$NT$38)),0)</f>
        <v/>
      </c>
      <c r="KV38" s="402">
        <f>IF(AND(304&gt;=$NR$38,304&lt;=$NS$38),IF($NP$38="Single_Point",IF(304=$NR$38,$NN$38,0),IF($NP$38="Bell_Curve",$NN$38*(304-$NR$38+1)*($NS$38-304+1)/$NU$38,$NN$38/$NT$38)),0)</f>
        <v/>
      </c>
      <c r="KW38" s="402">
        <f>IF(AND(305&gt;=$NR$38,305&lt;=$NS$38),IF($NP$38="Single_Point",IF(305=$NR$38,$NN$38,0),IF($NP$38="Bell_Curve",$NN$38*(305-$NR$38+1)*($NS$38-305+1)/$NU$38,$NN$38/$NT$38)),0)</f>
        <v/>
      </c>
      <c r="KX38" s="402">
        <f>IF(AND(306&gt;=$NR$38,306&lt;=$NS$38),IF($NP$38="Single_Point",IF(306=$NR$38,$NN$38,0),IF($NP$38="Bell_Curve",$NN$38*(306-$NR$38+1)*($NS$38-306+1)/$NU$38,$NN$38/$NT$38)),0)</f>
        <v/>
      </c>
      <c r="KY38" s="402">
        <f>IF(AND(307&gt;=$NR$38,307&lt;=$NS$38),IF($NP$38="Single_Point",IF(307=$NR$38,$NN$38,0),IF($NP$38="Bell_Curve",$NN$38*(307-$NR$38+1)*($NS$38-307+1)/$NU$38,$NN$38/$NT$38)),0)</f>
        <v/>
      </c>
      <c r="KZ38" s="402">
        <f>IF(AND(308&gt;=$NR$38,308&lt;=$NS$38),IF($NP$38="Single_Point",IF(308=$NR$38,$NN$38,0),IF($NP$38="Bell_Curve",$NN$38*(308-$NR$38+1)*($NS$38-308+1)/$NU$38,$NN$38/$NT$38)),0)</f>
        <v/>
      </c>
      <c r="LA38" s="402">
        <f>IF(AND(309&gt;=$NR$38,309&lt;=$NS$38),IF($NP$38="Single_Point",IF(309=$NR$38,$NN$38,0),IF($NP$38="Bell_Curve",$NN$38*(309-$NR$38+1)*($NS$38-309+1)/$NU$38,$NN$38/$NT$38)),0)</f>
        <v/>
      </c>
      <c r="LB38" s="402">
        <f>IF(AND(310&gt;=$NR$38,310&lt;=$NS$38),IF($NP$38="Single_Point",IF(310=$NR$38,$NN$38,0),IF($NP$38="Bell_Curve",$NN$38*(310-$NR$38+1)*($NS$38-310+1)/$NU$38,$NN$38/$NT$38)),0)</f>
        <v/>
      </c>
      <c r="LC38" s="402">
        <f>IF(AND(311&gt;=$NR$38,311&lt;=$NS$38),IF($NP$38="Single_Point",IF(311=$NR$38,$NN$38,0),IF($NP$38="Bell_Curve",$NN$38*(311-$NR$38+1)*($NS$38-311+1)/$NU$38,$NN$38/$NT$38)),0)</f>
        <v/>
      </c>
      <c r="LD38" s="402">
        <f>IF(AND(312&gt;=$NR$38,312&lt;=$NS$38),IF($NP$38="Single_Point",IF(312=$NR$38,$NN$38,0),IF($NP$38="Bell_Curve",$NN$38*(312-$NR$38+1)*($NS$38-312+1)/$NU$38,$NN$38/$NT$38)),0)</f>
        <v/>
      </c>
      <c r="LE38" s="402">
        <f>IF(AND(313&gt;=$NR$38,313&lt;=$NS$38),IF($NP$38="Single_Point",IF(313=$NR$38,$NN$38,0),IF($NP$38="Bell_Curve",$NN$38*(313-$NR$38+1)*($NS$38-313+1)/$NU$38,$NN$38/$NT$38)),0)</f>
        <v/>
      </c>
      <c r="LF38" s="402">
        <f>IF(AND(314&gt;=$NR$38,314&lt;=$NS$38),IF($NP$38="Single_Point",IF(314=$NR$38,$NN$38,0),IF($NP$38="Bell_Curve",$NN$38*(314-$NR$38+1)*($NS$38-314+1)/$NU$38,$NN$38/$NT$38)),0)</f>
        <v/>
      </c>
      <c r="LG38" s="402">
        <f>IF(AND(315&gt;=$NR$38,315&lt;=$NS$38),IF($NP$38="Single_Point",IF(315=$NR$38,$NN$38,0),IF($NP$38="Bell_Curve",$NN$38*(315-$NR$38+1)*($NS$38-315+1)/$NU$38,$NN$38/$NT$38)),0)</f>
        <v/>
      </c>
      <c r="LH38" s="402">
        <f>IF(AND(316&gt;=$NR$38,316&lt;=$NS$38),IF($NP$38="Single_Point",IF(316=$NR$38,$NN$38,0),IF($NP$38="Bell_Curve",$NN$38*(316-$NR$38+1)*($NS$38-316+1)/$NU$38,$NN$38/$NT$38)),0)</f>
        <v/>
      </c>
      <c r="LI38" s="402">
        <f>IF(AND(317&gt;=$NR$38,317&lt;=$NS$38),IF($NP$38="Single_Point",IF(317=$NR$38,$NN$38,0),IF($NP$38="Bell_Curve",$NN$38*(317-$NR$38+1)*($NS$38-317+1)/$NU$38,$NN$38/$NT$38)),0)</f>
        <v/>
      </c>
      <c r="LJ38" s="402">
        <f>IF(AND(318&gt;=$NR$38,318&lt;=$NS$38),IF($NP$38="Single_Point",IF(318=$NR$38,$NN$38,0),IF($NP$38="Bell_Curve",$NN$38*(318-$NR$38+1)*($NS$38-318+1)/$NU$38,$NN$38/$NT$38)),0)</f>
        <v/>
      </c>
      <c r="LK38" s="402">
        <f>IF(AND(319&gt;=$NR$38,319&lt;=$NS$38),IF($NP$38="Single_Point",IF(319=$NR$38,$NN$38,0),IF($NP$38="Bell_Curve",$NN$38*(319-$NR$38+1)*($NS$38-319+1)/$NU$38,$NN$38/$NT$38)),0)</f>
        <v/>
      </c>
      <c r="LL38" s="402">
        <f>IF(AND(320&gt;=$NR$38,320&lt;=$NS$38),IF($NP$38="Single_Point",IF(320=$NR$38,$NN$38,0),IF($NP$38="Bell_Curve",$NN$38*(320-$NR$38+1)*($NS$38-320+1)/$NU$38,$NN$38/$NT$38)),0)</f>
        <v/>
      </c>
      <c r="LM38" s="402">
        <f>IF(AND(321&gt;=$NR$38,321&lt;=$NS$38),IF($NP$38="Single_Point",IF(321=$NR$38,$NN$38,0),IF($NP$38="Bell_Curve",$NN$38*(321-$NR$38+1)*($NS$38-321+1)/$NU$38,$NN$38/$NT$38)),0)</f>
        <v/>
      </c>
      <c r="LN38" s="402">
        <f>IF(AND(322&gt;=$NR$38,322&lt;=$NS$38),IF($NP$38="Single_Point",IF(322=$NR$38,$NN$38,0),IF($NP$38="Bell_Curve",$NN$38*(322-$NR$38+1)*($NS$38-322+1)/$NU$38,$NN$38/$NT$38)),0)</f>
        <v/>
      </c>
      <c r="LO38" s="402">
        <f>IF(AND(323&gt;=$NR$38,323&lt;=$NS$38),IF($NP$38="Single_Point",IF(323=$NR$38,$NN$38,0),IF($NP$38="Bell_Curve",$NN$38*(323-$NR$38+1)*($NS$38-323+1)/$NU$38,$NN$38/$NT$38)),0)</f>
        <v/>
      </c>
      <c r="LP38" s="402">
        <f>IF(AND(324&gt;=$NR$38,324&lt;=$NS$38),IF($NP$38="Single_Point",IF(324=$NR$38,$NN$38,0),IF($NP$38="Bell_Curve",$NN$38*(324-$NR$38+1)*($NS$38-324+1)/$NU$38,$NN$38/$NT$38)),0)</f>
        <v/>
      </c>
      <c r="LQ38" s="402">
        <f>IF(AND(325&gt;=$NR$38,325&lt;=$NS$38),IF($NP$38="Single_Point",IF(325=$NR$38,$NN$38,0),IF($NP$38="Bell_Curve",$NN$38*(325-$NR$38+1)*($NS$38-325+1)/$NU$38,$NN$38/$NT$38)),0)</f>
        <v/>
      </c>
      <c r="LR38" s="402">
        <f>IF(AND(326&gt;=$NR$38,326&lt;=$NS$38),IF($NP$38="Single_Point",IF(326=$NR$38,$NN$38,0),IF($NP$38="Bell_Curve",$NN$38*(326-$NR$38+1)*($NS$38-326+1)/$NU$38,$NN$38/$NT$38)),0)</f>
        <v/>
      </c>
      <c r="LS38" s="402">
        <f>IF(AND(327&gt;=$NR$38,327&lt;=$NS$38),IF($NP$38="Single_Point",IF(327=$NR$38,$NN$38,0),IF($NP$38="Bell_Curve",$NN$38*(327-$NR$38+1)*($NS$38-327+1)/$NU$38,$NN$38/$NT$38)),0)</f>
        <v/>
      </c>
      <c r="LT38" s="402">
        <f>IF(AND(328&gt;=$NR$38,328&lt;=$NS$38),IF($NP$38="Single_Point",IF(328=$NR$38,$NN$38,0),IF($NP$38="Bell_Curve",$NN$38*(328-$NR$38+1)*($NS$38-328+1)/$NU$38,$NN$38/$NT$38)),0)</f>
        <v/>
      </c>
      <c r="LU38" s="402">
        <f>IF(AND(329&gt;=$NR$38,329&lt;=$NS$38),IF($NP$38="Single_Point",IF(329=$NR$38,$NN$38,0),IF($NP$38="Bell_Curve",$NN$38*(329-$NR$38+1)*($NS$38-329+1)/$NU$38,$NN$38/$NT$38)),0)</f>
        <v/>
      </c>
      <c r="LV38" s="402">
        <f>IF(AND(330&gt;=$NR$38,330&lt;=$NS$38),IF($NP$38="Single_Point",IF(330=$NR$38,$NN$38,0),IF($NP$38="Bell_Curve",$NN$38*(330-$NR$38+1)*($NS$38-330+1)/$NU$38,$NN$38/$NT$38)),0)</f>
        <v/>
      </c>
      <c r="LW38" s="402">
        <f>IF(AND(331&gt;=$NR$38,331&lt;=$NS$38),IF($NP$38="Single_Point",IF(331=$NR$38,$NN$38,0),IF($NP$38="Bell_Curve",$NN$38*(331-$NR$38+1)*($NS$38-331+1)/$NU$38,$NN$38/$NT$38)),0)</f>
        <v/>
      </c>
      <c r="LX38" s="402">
        <f>IF(AND(332&gt;=$NR$38,332&lt;=$NS$38),IF($NP$38="Single_Point",IF(332=$NR$38,$NN$38,0),IF($NP$38="Bell_Curve",$NN$38*(332-$NR$38+1)*($NS$38-332+1)/$NU$38,$NN$38/$NT$38)),0)</f>
        <v/>
      </c>
      <c r="LY38" s="402">
        <f>IF(AND(333&gt;=$NR$38,333&lt;=$NS$38),IF($NP$38="Single_Point",IF(333=$NR$38,$NN$38,0),IF($NP$38="Bell_Curve",$NN$38*(333-$NR$38+1)*($NS$38-333+1)/$NU$38,$NN$38/$NT$38)),0)</f>
        <v/>
      </c>
      <c r="LZ38" s="402">
        <f>IF(AND(334&gt;=$NR$38,334&lt;=$NS$38),IF($NP$38="Single_Point",IF(334=$NR$38,$NN$38,0),IF($NP$38="Bell_Curve",$NN$38*(334-$NR$38+1)*($NS$38-334+1)/$NU$38,$NN$38/$NT$38)),0)</f>
        <v/>
      </c>
      <c r="MA38" s="402">
        <f>IF(AND(335&gt;=$NR$38,335&lt;=$NS$38),IF($NP$38="Single_Point",IF(335=$NR$38,$NN$38,0),IF($NP$38="Bell_Curve",$NN$38*(335-$NR$38+1)*($NS$38-335+1)/$NU$38,$NN$38/$NT$38)),0)</f>
        <v/>
      </c>
      <c r="MB38" s="402">
        <f>IF(AND(336&gt;=$NR$38,336&lt;=$NS$38),IF($NP$38="Single_Point",IF(336=$NR$38,$NN$38,0),IF($NP$38="Bell_Curve",$NN$38*(336-$NR$38+1)*($NS$38-336+1)/$NU$38,$NN$38/$NT$38)),0)</f>
        <v/>
      </c>
      <c r="MC38" s="402">
        <f>IF(AND(337&gt;=$NR$38,337&lt;=$NS$38),IF($NP$38="Single_Point",IF(337=$NR$38,$NN$38,0),IF($NP$38="Bell_Curve",$NN$38*(337-$NR$38+1)*($NS$38-337+1)/$NU$38,$NN$38/$NT$38)),0)</f>
        <v/>
      </c>
      <c r="MD38" s="402">
        <f>IF(AND(338&gt;=$NR$38,338&lt;=$NS$38),IF($NP$38="Single_Point",IF(338=$NR$38,$NN$38,0),IF($NP$38="Bell_Curve",$NN$38*(338-$NR$38+1)*($NS$38-338+1)/$NU$38,$NN$38/$NT$38)),0)</f>
        <v/>
      </c>
      <c r="ME38" s="402">
        <f>IF(AND(339&gt;=$NR$38,339&lt;=$NS$38),IF($NP$38="Single_Point",IF(339=$NR$38,$NN$38,0),IF($NP$38="Bell_Curve",$NN$38*(339-$NR$38+1)*($NS$38-339+1)/$NU$38,$NN$38/$NT$38)),0)</f>
        <v/>
      </c>
      <c r="MF38" s="402">
        <f>IF(AND(340&gt;=$NR$38,340&lt;=$NS$38),IF($NP$38="Single_Point",IF(340=$NR$38,$NN$38,0),IF($NP$38="Bell_Curve",$NN$38*(340-$NR$38+1)*($NS$38-340+1)/$NU$38,$NN$38/$NT$38)),0)</f>
        <v/>
      </c>
      <c r="MG38" s="402">
        <f>IF(AND(341&gt;=$NR$38,341&lt;=$NS$38),IF($NP$38="Single_Point",IF(341=$NR$38,$NN$38,0),IF($NP$38="Bell_Curve",$NN$38*(341-$NR$38+1)*($NS$38-341+1)/$NU$38,$NN$38/$NT$38)),0)</f>
        <v/>
      </c>
      <c r="MH38" s="402">
        <f>IF(AND(342&gt;=$NR$38,342&lt;=$NS$38),IF($NP$38="Single_Point",IF(342=$NR$38,$NN$38,0),IF($NP$38="Bell_Curve",$NN$38*(342-$NR$38+1)*($NS$38-342+1)/$NU$38,$NN$38/$NT$38)),0)</f>
        <v/>
      </c>
      <c r="MI38" s="402">
        <f>IF(AND(343&gt;=$NR$38,343&lt;=$NS$38),IF($NP$38="Single_Point",IF(343=$NR$38,$NN$38,0),IF($NP$38="Bell_Curve",$NN$38*(343-$NR$38+1)*($NS$38-343+1)/$NU$38,$NN$38/$NT$38)),0)</f>
        <v/>
      </c>
      <c r="MJ38" s="402">
        <f>IF(AND(344&gt;=$NR$38,344&lt;=$NS$38),IF($NP$38="Single_Point",IF(344=$NR$38,$NN$38,0),IF($NP$38="Bell_Curve",$NN$38*(344-$NR$38+1)*($NS$38-344+1)/$NU$38,$NN$38/$NT$38)),0)</f>
        <v/>
      </c>
      <c r="MK38" s="402">
        <f>IF(AND(345&gt;=$NR$38,345&lt;=$NS$38),IF($NP$38="Single_Point",IF(345=$NR$38,$NN$38,0),IF($NP$38="Bell_Curve",$NN$38*(345-$NR$38+1)*($NS$38-345+1)/$NU$38,$NN$38/$NT$38)),0)</f>
        <v/>
      </c>
      <c r="ML38" s="402">
        <f>IF(AND(346&gt;=$NR$38,346&lt;=$NS$38),IF($NP$38="Single_Point",IF(346=$NR$38,$NN$38,0),IF($NP$38="Bell_Curve",$NN$38*(346-$NR$38+1)*($NS$38-346+1)/$NU$38,$NN$38/$NT$38)),0)</f>
        <v/>
      </c>
      <c r="MM38" s="402">
        <f>IF(AND(347&gt;=$NR$38,347&lt;=$NS$38),IF($NP$38="Single_Point",IF(347=$NR$38,$NN$38,0),IF($NP$38="Bell_Curve",$NN$38*(347-$NR$38+1)*($NS$38-347+1)/$NU$38,$NN$38/$NT$38)),0)</f>
        <v/>
      </c>
      <c r="MN38" s="402">
        <f>IF(AND(348&gt;=$NR$38,348&lt;=$NS$38),IF($NP$38="Single_Point",IF(348=$NR$38,$NN$38,0),IF($NP$38="Bell_Curve",$NN$38*(348-$NR$38+1)*($NS$38-348+1)/$NU$38,$NN$38/$NT$38)),0)</f>
        <v/>
      </c>
      <c r="MO38" s="402">
        <f>IF(AND(349&gt;=$NR$38,349&lt;=$NS$38),IF($NP$38="Single_Point",IF(349=$NR$38,$NN$38,0),IF($NP$38="Bell_Curve",$NN$38*(349-$NR$38+1)*($NS$38-349+1)/$NU$38,$NN$38/$NT$38)),0)</f>
        <v/>
      </c>
      <c r="MP38" s="402">
        <f>IF(AND(350&gt;=$NR$38,350&lt;=$NS$38),IF($NP$38="Single_Point",IF(350=$NR$38,$NN$38,0),IF($NP$38="Bell_Curve",$NN$38*(350-$NR$38+1)*($NS$38-350+1)/$NU$38,$NN$38/$NT$38)),0)</f>
        <v/>
      </c>
      <c r="MQ38" s="402">
        <f>IF(AND(351&gt;=$NR$38,351&lt;=$NS$38),IF($NP$38="Single_Point",IF(351=$NR$38,$NN$38,0),IF($NP$38="Bell_Curve",$NN$38*(351-$NR$38+1)*($NS$38-351+1)/$NU$38,$NN$38/$NT$38)),0)</f>
        <v/>
      </c>
      <c r="MR38" s="402">
        <f>IF(AND(352&gt;=$NR$38,352&lt;=$NS$38),IF($NP$38="Single_Point",IF(352=$NR$38,$NN$38,0),IF($NP$38="Bell_Curve",$NN$38*(352-$NR$38+1)*($NS$38-352+1)/$NU$38,$NN$38/$NT$38)),0)</f>
        <v/>
      </c>
      <c r="MS38" s="402">
        <f>IF(AND(353&gt;=$NR$38,353&lt;=$NS$38),IF($NP$38="Single_Point",IF(353=$NR$38,$NN$38,0),IF($NP$38="Bell_Curve",$NN$38*(353-$NR$38+1)*($NS$38-353+1)/$NU$38,$NN$38/$NT$38)),0)</f>
        <v/>
      </c>
      <c r="MT38" s="402">
        <f>IF(AND(354&gt;=$NR$38,354&lt;=$NS$38),IF($NP$38="Single_Point",IF(354=$NR$38,$NN$38,0),IF($NP$38="Bell_Curve",$NN$38*(354-$NR$38+1)*($NS$38-354+1)/$NU$38,$NN$38/$NT$38)),0)</f>
        <v/>
      </c>
      <c r="MU38" s="402">
        <f>IF(AND(355&gt;=$NR$38,355&lt;=$NS$38),IF($NP$38="Single_Point",IF(355=$NR$38,$NN$38,0),IF($NP$38="Bell_Curve",$NN$38*(355-$NR$38+1)*($NS$38-355+1)/$NU$38,$NN$38/$NT$38)),0)</f>
        <v/>
      </c>
      <c r="MV38" s="402">
        <f>IF(AND(356&gt;=$NR$38,356&lt;=$NS$38),IF($NP$38="Single_Point",IF(356=$NR$38,$NN$38,0),IF($NP$38="Bell_Curve",$NN$38*(356-$NR$38+1)*($NS$38-356+1)/$NU$38,$NN$38/$NT$38)),0)</f>
        <v/>
      </c>
      <c r="MW38" s="402">
        <f>IF(AND(357&gt;=$NR$38,357&lt;=$NS$38),IF($NP$38="Single_Point",IF(357=$NR$38,$NN$38,0),IF($NP$38="Bell_Curve",$NN$38*(357-$NR$38+1)*($NS$38-357+1)/$NU$38,$NN$38/$NT$38)),0)</f>
        <v/>
      </c>
      <c r="MX38" s="402">
        <f>IF(AND(358&gt;=$NR$38,358&lt;=$NS$38),IF($NP$38="Single_Point",IF(358=$NR$38,$NN$38,0),IF($NP$38="Bell_Curve",$NN$38*(358-$NR$38+1)*($NS$38-358+1)/$NU$38,$NN$38/$NT$38)),0)</f>
        <v/>
      </c>
      <c r="MY38" s="402">
        <f>IF(AND(359&gt;=$NR$38,359&lt;=$NS$38),IF($NP$38="Single_Point",IF(359=$NR$38,$NN$38,0),IF($NP$38="Bell_Curve",$NN$38*(359-$NR$38+1)*($NS$38-359+1)/$NU$38,$NN$38/$NT$38)),0)</f>
        <v/>
      </c>
      <c r="MZ38" s="402">
        <f>IF(AND(360&gt;=$NR$38,360&lt;=$NS$38),IF($NP$38="Single_Point",IF(360=$NR$38,$NN$38,0),IF($NP$38="Bell_Curve",$NN$38*(360-$NR$38+1)*($NS$38-360+1)/$NU$38,$NN$38/$NT$38)),0)</f>
        <v/>
      </c>
      <c r="NA38" s="402">
        <f>IF(AND(361&gt;=$NR$38,361&lt;=$NS$38),IF($NP$38="Single_Point",IF(361=$NR$38,$NN$38,0),IF($NP$38="Bell_Curve",$NN$38*(361-$NR$38+1)*($NS$38-361+1)/$NU$38,$NN$38/$NT$38)),0)</f>
        <v/>
      </c>
      <c r="NB38" s="402">
        <f>IF(AND(362&gt;=$NR$38,362&lt;=$NS$38),IF($NP$38="Single_Point",IF(362=$NR$38,$NN$38,0),IF($NP$38="Bell_Curve",$NN$38*(362-$NR$38+1)*($NS$38-362+1)/$NU$38,$NN$38/$NT$38)),0)</f>
        <v/>
      </c>
      <c r="NC38" s="402">
        <f>IF(AND(363&gt;=$NR$38,363&lt;=$NS$38),IF($NP$38="Single_Point",IF(363=$NR$38,$NN$38,0),IF($NP$38="Bell_Curve",$NN$38*(363-$NR$38+1)*($NS$38-363+1)/$NU$38,$NN$38/$NT$38)),0)</f>
        <v/>
      </c>
      <c r="ND38" s="402">
        <f>IF(AND(364&gt;=$NR$38,364&lt;=$NS$38),IF($NP$38="Single_Point",IF(364=$NR$38,$NN$38,0),IF($NP$38="Bell_Curve",$NN$38*(364-$NR$38+1)*($NS$38-364+1)/$NU$38,$NN$38/$NT$38)),0)</f>
        <v/>
      </c>
      <c r="NE38" s="402">
        <f>IF(AND(365&gt;=$NR$38,365&lt;=$NS$38),IF($NP$38="Single_Point",IF(365=$NR$38,$NN$38,0),IF($NP$38="Bell_Curve",$NN$38*(365-$NR$38+1)*($NS$38-365+1)/$NU$38,$NN$38/$NT$38)),0)</f>
        <v/>
      </c>
      <c r="NF38" s="402">
        <f>IF(AND(366&gt;=$NR$38,366&lt;=$NS$38),IF($NP$38="Single_Point",IF(366=$NR$38,$NN$38,0),IF($NP$38="Bell_Curve",$NN$38*(366-$NR$38+1)*($NS$38-366+1)/$NU$38,$NN$38/$NT$38)),0)</f>
        <v/>
      </c>
      <c r="NG38" s="402">
        <f>IF(AND(367&gt;=$NR$38,367&lt;=$NS$38),IF($NP$38="Single_Point",IF(367=$NR$38,$NN$38,0),IF($NP$38="Bell_Curve",$NN$38*(367-$NR$38+1)*($NS$38-367+1)/$NU$38,$NN$38/$NT$38)),0)</f>
        <v/>
      </c>
      <c r="NH38" s="402">
        <f>IF(AND(368&gt;=$NR$38,368&lt;=$NS$38),IF($NP$38="Single_Point",IF(368=$NR$38,$NN$38,0),IF($NP$38="Bell_Curve",$NN$38*(368-$NR$38+1)*($NS$38-368+1)/$NU$38,$NN$38/$NT$38)),0)</f>
        <v/>
      </c>
      <c r="NI38" s="402">
        <f>IF(AND(369&gt;=$NR$38,369&lt;=$NS$38),IF($NP$38="Single_Point",IF(369=$NR$38,$NN$38,0),IF($NP$38="Bell_Curve",$NN$38*(369-$NR$38+1)*($NS$38-369+1)/$NU$38,$NN$38/$NT$38)),0)</f>
        <v/>
      </c>
      <c r="NJ38" s="402">
        <f>IF(AND(370&gt;=$NR$38,370&lt;=$NS$38),IF($NP$38="Single_Point",IF(370=$NR$38,$NN$38,0),IF($NP$38="Bell_Curve",$NN$38*(370-$NR$38+1)*($NS$38-370+1)/$NU$38,$NN$38/$NT$38)),0)</f>
        <v/>
      </c>
      <c r="NK38" s="402">
        <f>IF(AND(371&gt;=$NR$38,371&lt;=$NS$38),IF($NP$38="Single_Point",IF(371=$NR$38,$NN$38,0),IF($NP$38="Bell_Curve",$NN$38*(371-$NR$38+1)*($NS$38-371+1)/$NU$38,$NN$38/$NT$38)),0)</f>
        <v/>
      </c>
      <c r="NL38" s="426">
        <f>IF(AND(372&gt;=$NR$38,372&lt;=$NS$38),IF($NP$38="Single_Point",IF(372=$NR$38,$NN$38,0),IF($NP$38="Bell_Curve",$NN$38*(372-$NR$38+1)*($NS$38-372+1)/$NU$38,$NN$38/$NT$38)),0)</f>
        <v/>
      </c>
      <c r="NM38">
        <f>Budget!C37</f>
        <v/>
      </c>
      <c r="NN38">
        <f>Budget!J37</f>
        <v/>
      </c>
      <c r="NO38">
        <f>Budget!G37</f>
        <v/>
      </c>
      <c r="NP38">
        <f>Budget!H37</f>
        <v/>
      </c>
      <c r="NQ38">
        <f>Budget!I37</f>
        <v/>
      </c>
      <c r="NR38">
        <f>MAX(1,MIN(372,INDEX(MilestoneStart,MATCH(NO38,MilestoneNames,0))+NQ38))</f>
        <v/>
      </c>
      <c r="NS38">
        <f>MAX(NR38,MIN(372,INDEX(MilestoneEnd,MATCH(NO38,MilestoneNames,0))+NQ38))</f>
        <v/>
      </c>
      <c r="NT38">
        <f>NS38-NR38+1</f>
        <v/>
      </c>
      <c r="NU38">
        <f>NT38*(NT38+1)*(NT38+2)/6</f>
        <v/>
      </c>
    </row>
    <row r="39">
      <c r="B39" s="299">
        <f>Budget!B38</f>
        <v/>
      </c>
      <c r="C39" s="79" t="n"/>
      <c r="D39" s="427">
        <f>SUM(E39:NL39)</f>
        <v/>
      </c>
      <c r="E39" s="427">
        <f>IF(AND(1&gt;=$NR$39,1&lt;=$NS$39),IF($NP$39="Single_Point",IF(1=$NR$39,$NN$39,0),IF($NP$39="Bell_Curve",$NN$39*(1-$NR$39+1)*($NS$39-1+1)/$NU$39,$NN$39/$NT$39)),0)</f>
        <v/>
      </c>
      <c r="F39" s="427">
        <f>IF(AND(2&gt;=$NR$39,2&lt;=$NS$39),IF($NP$39="Single_Point",IF(2=$NR$39,$NN$39,0),IF($NP$39="Bell_Curve",$NN$39*(2-$NR$39+1)*($NS$39-2+1)/$NU$39,$NN$39/$NT$39)),0)</f>
        <v/>
      </c>
      <c r="G39" s="427">
        <f>IF(AND(3&gt;=$NR$39,3&lt;=$NS$39),IF($NP$39="Single_Point",IF(3=$NR$39,$NN$39,0),IF($NP$39="Bell_Curve",$NN$39*(3-$NR$39+1)*($NS$39-3+1)/$NU$39,$NN$39/$NT$39)),0)</f>
        <v/>
      </c>
      <c r="H39" s="427">
        <f>IF(AND(4&gt;=$NR$39,4&lt;=$NS$39),IF($NP$39="Single_Point",IF(4=$NR$39,$NN$39,0),IF($NP$39="Bell_Curve",$NN$39*(4-$NR$39+1)*($NS$39-4+1)/$NU$39,$NN$39/$NT$39)),0)</f>
        <v/>
      </c>
      <c r="I39" s="427">
        <f>IF(AND(5&gt;=$NR$39,5&lt;=$NS$39),IF($NP$39="Single_Point",IF(5=$NR$39,$NN$39,0),IF($NP$39="Bell_Curve",$NN$39*(5-$NR$39+1)*($NS$39-5+1)/$NU$39,$NN$39/$NT$39)),0)</f>
        <v/>
      </c>
      <c r="J39" s="427">
        <f>IF(AND(6&gt;=$NR$39,6&lt;=$NS$39),IF($NP$39="Single_Point",IF(6=$NR$39,$NN$39,0),IF($NP$39="Bell_Curve",$NN$39*(6-$NR$39+1)*($NS$39-6+1)/$NU$39,$NN$39/$NT$39)),0)</f>
        <v/>
      </c>
      <c r="K39" s="427">
        <f>IF(AND(7&gt;=$NR$39,7&lt;=$NS$39),IF($NP$39="Single_Point",IF(7=$NR$39,$NN$39,0),IF($NP$39="Bell_Curve",$NN$39*(7-$NR$39+1)*($NS$39-7+1)/$NU$39,$NN$39/$NT$39)),0)</f>
        <v/>
      </c>
      <c r="L39" s="427">
        <f>IF(AND(8&gt;=$NR$39,8&lt;=$NS$39),IF($NP$39="Single_Point",IF(8=$NR$39,$NN$39,0),IF($NP$39="Bell_Curve",$NN$39*(8-$NR$39+1)*($NS$39-8+1)/$NU$39,$NN$39/$NT$39)),0)</f>
        <v/>
      </c>
      <c r="M39" s="427">
        <f>IF(AND(9&gt;=$NR$39,9&lt;=$NS$39),IF($NP$39="Single_Point",IF(9=$NR$39,$NN$39,0),IF($NP$39="Bell_Curve",$NN$39*(9-$NR$39+1)*($NS$39-9+1)/$NU$39,$NN$39/$NT$39)),0)</f>
        <v/>
      </c>
      <c r="N39" s="427">
        <f>IF(AND(10&gt;=$NR$39,10&lt;=$NS$39),IF($NP$39="Single_Point",IF(10=$NR$39,$NN$39,0),IF($NP$39="Bell_Curve",$NN$39*(10-$NR$39+1)*($NS$39-10+1)/$NU$39,$NN$39/$NT$39)),0)</f>
        <v/>
      </c>
      <c r="O39" s="427">
        <f>IF(AND(11&gt;=$NR$39,11&lt;=$NS$39),IF($NP$39="Single_Point",IF(11=$NR$39,$NN$39,0),IF($NP$39="Bell_Curve",$NN$39*(11-$NR$39+1)*($NS$39-11+1)/$NU$39,$NN$39/$NT$39)),0)</f>
        <v/>
      </c>
      <c r="P39" s="427">
        <f>IF(AND(12&gt;=$NR$39,12&lt;=$NS$39),IF($NP$39="Single_Point",IF(12=$NR$39,$NN$39,0),IF($NP$39="Bell_Curve",$NN$39*(12-$NR$39+1)*($NS$39-12+1)/$NU$39,$NN$39/$NT$39)),0)</f>
        <v/>
      </c>
      <c r="Q39" s="427">
        <f>IF(AND(13&gt;=$NR$39,13&lt;=$NS$39),IF($NP$39="Single_Point",IF(13=$NR$39,$NN$39,0),IF($NP$39="Bell_Curve",$NN$39*(13-$NR$39+1)*($NS$39-13+1)/$NU$39,$NN$39/$NT$39)),0)</f>
        <v/>
      </c>
      <c r="R39" s="427">
        <f>IF(AND(14&gt;=$NR$39,14&lt;=$NS$39),IF($NP$39="Single_Point",IF(14=$NR$39,$NN$39,0),IF($NP$39="Bell_Curve",$NN$39*(14-$NR$39+1)*($NS$39-14+1)/$NU$39,$NN$39/$NT$39)),0)</f>
        <v/>
      </c>
      <c r="S39" s="427">
        <f>IF(AND(15&gt;=$NR$39,15&lt;=$NS$39),IF($NP$39="Single_Point",IF(15=$NR$39,$NN$39,0),IF($NP$39="Bell_Curve",$NN$39*(15-$NR$39+1)*($NS$39-15+1)/$NU$39,$NN$39/$NT$39)),0)</f>
        <v/>
      </c>
      <c r="T39" s="427">
        <f>IF(AND(16&gt;=$NR$39,16&lt;=$NS$39),IF($NP$39="Single_Point",IF(16=$NR$39,$NN$39,0),IF($NP$39="Bell_Curve",$NN$39*(16-$NR$39+1)*($NS$39-16+1)/$NU$39,$NN$39/$NT$39)),0)</f>
        <v/>
      </c>
      <c r="U39" s="427">
        <f>IF(AND(17&gt;=$NR$39,17&lt;=$NS$39),IF($NP$39="Single_Point",IF(17=$NR$39,$NN$39,0),IF($NP$39="Bell_Curve",$NN$39*(17-$NR$39+1)*($NS$39-17+1)/$NU$39,$NN$39/$NT$39)),0)</f>
        <v/>
      </c>
      <c r="V39" s="427">
        <f>IF(AND(18&gt;=$NR$39,18&lt;=$NS$39),IF($NP$39="Single_Point",IF(18=$NR$39,$NN$39,0),IF($NP$39="Bell_Curve",$NN$39*(18-$NR$39+1)*($NS$39-18+1)/$NU$39,$NN$39/$NT$39)),0)</f>
        <v/>
      </c>
      <c r="W39" s="427">
        <f>IF(AND(19&gt;=$NR$39,19&lt;=$NS$39),IF($NP$39="Single_Point",IF(19=$NR$39,$NN$39,0),IF($NP$39="Bell_Curve",$NN$39*(19-$NR$39+1)*($NS$39-19+1)/$NU$39,$NN$39/$NT$39)),0)</f>
        <v/>
      </c>
      <c r="X39" s="427">
        <f>IF(AND(20&gt;=$NR$39,20&lt;=$NS$39),IF($NP$39="Single_Point",IF(20=$NR$39,$NN$39,0),IF($NP$39="Bell_Curve",$NN$39*(20-$NR$39+1)*($NS$39-20+1)/$NU$39,$NN$39/$NT$39)),0)</f>
        <v/>
      </c>
      <c r="Y39" s="427">
        <f>IF(AND(21&gt;=$NR$39,21&lt;=$NS$39),IF($NP$39="Single_Point",IF(21=$NR$39,$NN$39,0),IF($NP$39="Bell_Curve",$NN$39*(21-$NR$39+1)*($NS$39-21+1)/$NU$39,$NN$39/$NT$39)),0)</f>
        <v/>
      </c>
      <c r="Z39" s="427">
        <f>IF(AND(22&gt;=$NR$39,22&lt;=$NS$39),IF($NP$39="Single_Point",IF(22=$NR$39,$NN$39,0),IF($NP$39="Bell_Curve",$NN$39*(22-$NR$39+1)*($NS$39-22+1)/$NU$39,$NN$39/$NT$39)),0)</f>
        <v/>
      </c>
      <c r="AA39" s="427">
        <f>IF(AND(23&gt;=$NR$39,23&lt;=$NS$39),IF($NP$39="Single_Point",IF(23=$NR$39,$NN$39,0),IF($NP$39="Bell_Curve",$NN$39*(23-$NR$39+1)*($NS$39-23+1)/$NU$39,$NN$39/$NT$39)),0)</f>
        <v/>
      </c>
      <c r="AB39" s="427">
        <f>IF(AND(24&gt;=$NR$39,24&lt;=$NS$39),IF($NP$39="Single_Point",IF(24=$NR$39,$NN$39,0),IF($NP$39="Bell_Curve",$NN$39*(24-$NR$39+1)*($NS$39-24+1)/$NU$39,$NN$39/$NT$39)),0)</f>
        <v/>
      </c>
      <c r="AC39" s="427">
        <f>IF(AND(25&gt;=$NR$39,25&lt;=$NS$39),IF($NP$39="Single_Point",IF(25=$NR$39,$NN$39,0),IF($NP$39="Bell_Curve",$NN$39*(25-$NR$39+1)*($NS$39-25+1)/$NU$39,$NN$39/$NT$39)),0)</f>
        <v/>
      </c>
      <c r="AD39" s="427">
        <f>IF(AND(26&gt;=$NR$39,26&lt;=$NS$39),IF($NP$39="Single_Point",IF(26=$NR$39,$NN$39,0),IF($NP$39="Bell_Curve",$NN$39*(26-$NR$39+1)*($NS$39-26+1)/$NU$39,$NN$39/$NT$39)),0)</f>
        <v/>
      </c>
      <c r="AE39" s="427">
        <f>IF(AND(27&gt;=$NR$39,27&lt;=$NS$39),IF($NP$39="Single_Point",IF(27=$NR$39,$NN$39,0),IF($NP$39="Bell_Curve",$NN$39*(27-$NR$39+1)*($NS$39-27+1)/$NU$39,$NN$39/$NT$39)),0)</f>
        <v/>
      </c>
      <c r="AF39" s="427">
        <f>IF(AND(28&gt;=$NR$39,28&lt;=$NS$39),IF($NP$39="Single_Point",IF(28=$NR$39,$NN$39,0),IF($NP$39="Bell_Curve",$NN$39*(28-$NR$39+1)*($NS$39-28+1)/$NU$39,$NN$39/$NT$39)),0)</f>
        <v/>
      </c>
      <c r="AG39" s="427">
        <f>IF(AND(29&gt;=$NR$39,29&lt;=$NS$39),IF($NP$39="Single_Point",IF(29=$NR$39,$NN$39,0),IF($NP$39="Bell_Curve",$NN$39*(29-$NR$39+1)*($NS$39-29+1)/$NU$39,$NN$39/$NT$39)),0)</f>
        <v/>
      </c>
      <c r="AH39" s="427">
        <f>IF(AND(30&gt;=$NR$39,30&lt;=$NS$39),IF($NP$39="Single_Point",IF(30=$NR$39,$NN$39,0),IF($NP$39="Bell_Curve",$NN$39*(30-$NR$39+1)*($NS$39-30+1)/$NU$39,$NN$39/$NT$39)),0)</f>
        <v/>
      </c>
      <c r="AI39" s="427">
        <f>IF(AND(31&gt;=$NR$39,31&lt;=$NS$39),IF($NP$39="Single_Point",IF(31=$NR$39,$NN$39,0),IF($NP$39="Bell_Curve",$NN$39*(31-$NR$39+1)*($NS$39-31+1)/$NU$39,$NN$39/$NT$39)),0)</f>
        <v/>
      </c>
      <c r="AJ39" s="427">
        <f>IF(AND(32&gt;=$NR$39,32&lt;=$NS$39),IF($NP$39="Single_Point",IF(32=$NR$39,$NN$39,0),IF($NP$39="Bell_Curve",$NN$39*(32-$NR$39+1)*($NS$39-32+1)/$NU$39,$NN$39/$NT$39)),0)</f>
        <v/>
      </c>
      <c r="AK39" s="427">
        <f>IF(AND(33&gt;=$NR$39,33&lt;=$NS$39),IF($NP$39="Single_Point",IF(33=$NR$39,$NN$39,0),IF($NP$39="Bell_Curve",$NN$39*(33-$NR$39+1)*($NS$39-33+1)/$NU$39,$NN$39/$NT$39)),0)</f>
        <v/>
      </c>
      <c r="AL39" s="427">
        <f>IF(AND(34&gt;=$NR$39,34&lt;=$NS$39),IF($NP$39="Single_Point",IF(34=$NR$39,$NN$39,0),IF($NP$39="Bell_Curve",$NN$39*(34-$NR$39+1)*($NS$39-34+1)/$NU$39,$NN$39/$NT$39)),0)</f>
        <v/>
      </c>
      <c r="AM39" s="427">
        <f>IF(AND(35&gt;=$NR$39,35&lt;=$NS$39),IF($NP$39="Single_Point",IF(35=$NR$39,$NN$39,0),IF($NP$39="Bell_Curve",$NN$39*(35-$NR$39+1)*($NS$39-35+1)/$NU$39,$NN$39/$NT$39)),0)</f>
        <v/>
      </c>
      <c r="AN39" s="427">
        <f>IF(AND(36&gt;=$NR$39,36&lt;=$NS$39),IF($NP$39="Single_Point",IF(36=$NR$39,$NN$39,0),IF($NP$39="Bell_Curve",$NN$39*(36-$NR$39+1)*($NS$39-36+1)/$NU$39,$NN$39/$NT$39)),0)</f>
        <v/>
      </c>
      <c r="AO39" s="427">
        <f>IF(AND(37&gt;=$NR$39,37&lt;=$NS$39),IF($NP$39="Single_Point",IF(37=$NR$39,$NN$39,0),IF($NP$39="Bell_Curve",$NN$39*(37-$NR$39+1)*($NS$39-37+1)/$NU$39,$NN$39/$NT$39)),0)</f>
        <v/>
      </c>
      <c r="AP39" s="427">
        <f>IF(AND(38&gt;=$NR$39,38&lt;=$NS$39),IF($NP$39="Single_Point",IF(38=$NR$39,$NN$39,0),IF($NP$39="Bell_Curve",$NN$39*(38-$NR$39+1)*($NS$39-38+1)/$NU$39,$NN$39/$NT$39)),0)</f>
        <v/>
      </c>
      <c r="AQ39" s="427">
        <f>IF(AND(39&gt;=$NR$39,39&lt;=$NS$39),IF($NP$39="Single_Point",IF(39=$NR$39,$NN$39,0),IF($NP$39="Bell_Curve",$NN$39*(39-$NR$39+1)*($NS$39-39+1)/$NU$39,$NN$39/$NT$39)),0)</f>
        <v/>
      </c>
      <c r="AR39" s="427">
        <f>IF(AND(40&gt;=$NR$39,40&lt;=$NS$39),IF($NP$39="Single_Point",IF(40=$NR$39,$NN$39,0),IF($NP$39="Bell_Curve",$NN$39*(40-$NR$39+1)*($NS$39-40+1)/$NU$39,$NN$39/$NT$39)),0)</f>
        <v/>
      </c>
      <c r="AS39" s="427">
        <f>IF(AND(41&gt;=$NR$39,41&lt;=$NS$39),IF($NP$39="Single_Point",IF(41=$NR$39,$NN$39,0),IF($NP$39="Bell_Curve",$NN$39*(41-$NR$39+1)*($NS$39-41+1)/$NU$39,$NN$39/$NT$39)),0)</f>
        <v/>
      </c>
      <c r="AT39" s="427">
        <f>IF(AND(42&gt;=$NR$39,42&lt;=$NS$39),IF($NP$39="Single_Point",IF(42=$NR$39,$NN$39,0),IF($NP$39="Bell_Curve",$NN$39*(42-$NR$39+1)*($NS$39-42+1)/$NU$39,$NN$39/$NT$39)),0)</f>
        <v/>
      </c>
      <c r="AU39" s="427">
        <f>IF(AND(43&gt;=$NR$39,43&lt;=$NS$39),IF($NP$39="Single_Point",IF(43=$NR$39,$NN$39,0),IF($NP$39="Bell_Curve",$NN$39*(43-$NR$39+1)*($NS$39-43+1)/$NU$39,$NN$39/$NT$39)),0)</f>
        <v/>
      </c>
      <c r="AV39" s="427">
        <f>IF(AND(44&gt;=$NR$39,44&lt;=$NS$39),IF($NP$39="Single_Point",IF(44=$NR$39,$NN$39,0),IF($NP$39="Bell_Curve",$NN$39*(44-$NR$39+1)*($NS$39-44+1)/$NU$39,$NN$39/$NT$39)),0)</f>
        <v/>
      </c>
      <c r="AW39" s="427">
        <f>IF(AND(45&gt;=$NR$39,45&lt;=$NS$39),IF($NP$39="Single_Point",IF(45=$NR$39,$NN$39,0),IF($NP$39="Bell_Curve",$NN$39*(45-$NR$39+1)*($NS$39-45+1)/$NU$39,$NN$39/$NT$39)),0)</f>
        <v/>
      </c>
      <c r="AX39" s="427">
        <f>IF(AND(46&gt;=$NR$39,46&lt;=$NS$39),IF($NP$39="Single_Point",IF(46=$NR$39,$NN$39,0),IF($NP$39="Bell_Curve",$NN$39*(46-$NR$39+1)*($NS$39-46+1)/$NU$39,$NN$39/$NT$39)),0)</f>
        <v/>
      </c>
      <c r="AY39" s="427">
        <f>IF(AND(47&gt;=$NR$39,47&lt;=$NS$39),IF($NP$39="Single_Point",IF(47=$NR$39,$NN$39,0),IF($NP$39="Bell_Curve",$NN$39*(47-$NR$39+1)*($NS$39-47+1)/$NU$39,$NN$39/$NT$39)),0)</f>
        <v/>
      </c>
      <c r="AZ39" s="427">
        <f>IF(AND(48&gt;=$NR$39,48&lt;=$NS$39),IF($NP$39="Single_Point",IF(48=$NR$39,$NN$39,0),IF($NP$39="Bell_Curve",$NN$39*(48-$NR$39+1)*($NS$39-48+1)/$NU$39,$NN$39/$NT$39)),0)</f>
        <v/>
      </c>
      <c r="BA39" s="427">
        <f>IF(AND(49&gt;=$NR$39,49&lt;=$NS$39),IF($NP$39="Single_Point",IF(49=$NR$39,$NN$39,0),IF($NP$39="Bell_Curve",$NN$39*(49-$NR$39+1)*($NS$39-49+1)/$NU$39,$NN$39/$NT$39)),0)</f>
        <v/>
      </c>
      <c r="BB39" s="427">
        <f>IF(AND(50&gt;=$NR$39,50&lt;=$NS$39),IF($NP$39="Single_Point",IF(50=$NR$39,$NN$39,0),IF($NP$39="Bell_Curve",$NN$39*(50-$NR$39+1)*($NS$39-50+1)/$NU$39,$NN$39/$NT$39)),0)</f>
        <v/>
      </c>
      <c r="BC39" s="427">
        <f>IF(AND(51&gt;=$NR$39,51&lt;=$NS$39),IF($NP$39="Single_Point",IF(51=$NR$39,$NN$39,0),IF($NP$39="Bell_Curve",$NN$39*(51-$NR$39+1)*($NS$39-51+1)/$NU$39,$NN$39/$NT$39)),0)</f>
        <v/>
      </c>
      <c r="BD39" s="427">
        <f>IF(AND(52&gt;=$NR$39,52&lt;=$NS$39),IF($NP$39="Single_Point",IF(52=$NR$39,$NN$39,0),IF($NP$39="Bell_Curve",$NN$39*(52-$NR$39+1)*($NS$39-52+1)/$NU$39,$NN$39/$NT$39)),0)</f>
        <v/>
      </c>
      <c r="BE39" s="427">
        <f>IF(AND(53&gt;=$NR$39,53&lt;=$NS$39),IF($NP$39="Single_Point",IF(53=$NR$39,$NN$39,0),IF($NP$39="Bell_Curve",$NN$39*(53-$NR$39+1)*($NS$39-53+1)/$NU$39,$NN$39/$NT$39)),0)</f>
        <v/>
      </c>
      <c r="BF39" s="427">
        <f>IF(AND(54&gt;=$NR$39,54&lt;=$NS$39),IF($NP$39="Single_Point",IF(54=$NR$39,$NN$39,0),IF($NP$39="Bell_Curve",$NN$39*(54-$NR$39+1)*($NS$39-54+1)/$NU$39,$NN$39/$NT$39)),0)</f>
        <v/>
      </c>
      <c r="BG39" s="427">
        <f>IF(AND(55&gt;=$NR$39,55&lt;=$NS$39),IF($NP$39="Single_Point",IF(55=$NR$39,$NN$39,0),IF($NP$39="Bell_Curve",$NN$39*(55-$NR$39+1)*($NS$39-55+1)/$NU$39,$NN$39/$NT$39)),0)</f>
        <v/>
      </c>
      <c r="BH39" s="427">
        <f>IF(AND(56&gt;=$NR$39,56&lt;=$NS$39),IF($NP$39="Single_Point",IF(56=$NR$39,$NN$39,0),IF($NP$39="Bell_Curve",$NN$39*(56-$NR$39+1)*($NS$39-56+1)/$NU$39,$NN$39/$NT$39)),0)</f>
        <v/>
      </c>
      <c r="BI39" s="427">
        <f>IF(AND(57&gt;=$NR$39,57&lt;=$NS$39),IF($NP$39="Single_Point",IF(57=$NR$39,$NN$39,0),IF($NP$39="Bell_Curve",$NN$39*(57-$NR$39+1)*($NS$39-57+1)/$NU$39,$NN$39/$NT$39)),0)</f>
        <v/>
      </c>
      <c r="BJ39" s="427">
        <f>IF(AND(58&gt;=$NR$39,58&lt;=$NS$39),IF($NP$39="Single_Point",IF(58=$NR$39,$NN$39,0),IF($NP$39="Bell_Curve",$NN$39*(58-$NR$39+1)*($NS$39-58+1)/$NU$39,$NN$39/$NT$39)),0)</f>
        <v/>
      </c>
      <c r="BK39" s="427">
        <f>IF(AND(59&gt;=$NR$39,59&lt;=$NS$39),IF($NP$39="Single_Point",IF(59=$NR$39,$NN$39,0),IF($NP$39="Bell_Curve",$NN$39*(59-$NR$39+1)*($NS$39-59+1)/$NU$39,$NN$39/$NT$39)),0)</f>
        <v/>
      </c>
      <c r="BL39" s="427">
        <f>IF(AND(60&gt;=$NR$39,60&lt;=$NS$39),IF($NP$39="Single_Point",IF(60=$NR$39,$NN$39,0),IF($NP$39="Bell_Curve",$NN$39*(60-$NR$39+1)*($NS$39-60+1)/$NU$39,$NN$39/$NT$39)),0)</f>
        <v/>
      </c>
      <c r="BM39" s="427">
        <f>IF(AND(61&gt;=$NR$39,61&lt;=$NS$39),IF($NP$39="Single_Point",IF(61=$NR$39,$NN$39,0),IF($NP$39="Bell_Curve",$NN$39*(61-$NR$39+1)*($NS$39-61+1)/$NU$39,$NN$39/$NT$39)),0)</f>
        <v/>
      </c>
      <c r="BN39" s="427">
        <f>IF(AND(62&gt;=$NR$39,62&lt;=$NS$39),IF($NP$39="Single_Point",IF(62=$NR$39,$NN$39,0),IF($NP$39="Bell_Curve",$NN$39*(62-$NR$39+1)*($NS$39-62+1)/$NU$39,$NN$39/$NT$39)),0)</f>
        <v/>
      </c>
      <c r="BO39" s="427">
        <f>IF(AND(63&gt;=$NR$39,63&lt;=$NS$39),IF($NP$39="Single_Point",IF(63=$NR$39,$NN$39,0),IF($NP$39="Bell_Curve",$NN$39*(63-$NR$39+1)*($NS$39-63+1)/$NU$39,$NN$39/$NT$39)),0)</f>
        <v/>
      </c>
      <c r="BP39" s="427">
        <f>IF(AND(64&gt;=$NR$39,64&lt;=$NS$39),IF($NP$39="Single_Point",IF(64=$NR$39,$NN$39,0),IF($NP$39="Bell_Curve",$NN$39*(64-$NR$39+1)*($NS$39-64+1)/$NU$39,$NN$39/$NT$39)),0)</f>
        <v/>
      </c>
      <c r="BQ39" s="427">
        <f>IF(AND(65&gt;=$NR$39,65&lt;=$NS$39),IF($NP$39="Single_Point",IF(65=$NR$39,$NN$39,0),IF($NP$39="Bell_Curve",$NN$39*(65-$NR$39+1)*($NS$39-65+1)/$NU$39,$NN$39/$NT$39)),0)</f>
        <v/>
      </c>
      <c r="BR39" s="427">
        <f>IF(AND(66&gt;=$NR$39,66&lt;=$NS$39),IF($NP$39="Single_Point",IF(66=$NR$39,$NN$39,0),IF($NP$39="Bell_Curve",$NN$39*(66-$NR$39+1)*($NS$39-66+1)/$NU$39,$NN$39/$NT$39)),0)</f>
        <v/>
      </c>
      <c r="BS39" s="427">
        <f>IF(AND(67&gt;=$NR$39,67&lt;=$NS$39),IF($NP$39="Single_Point",IF(67=$NR$39,$NN$39,0),IF($NP$39="Bell_Curve",$NN$39*(67-$NR$39+1)*($NS$39-67+1)/$NU$39,$NN$39/$NT$39)),0)</f>
        <v/>
      </c>
      <c r="BT39" s="427">
        <f>IF(AND(68&gt;=$NR$39,68&lt;=$NS$39),IF($NP$39="Single_Point",IF(68=$NR$39,$NN$39,0),IF($NP$39="Bell_Curve",$NN$39*(68-$NR$39+1)*($NS$39-68+1)/$NU$39,$NN$39/$NT$39)),0)</f>
        <v/>
      </c>
      <c r="BU39" s="427">
        <f>IF(AND(69&gt;=$NR$39,69&lt;=$NS$39),IF($NP$39="Single_Point",IF(69=$NR$39,$NN$39,0),IF($NP$39="Bell_Curve",$NN$39*(69-$NR$39+1)*($NS$39-69+1)/$NU$39,$NN$39/$NT$39)),0)</f>
        <v/>
      </c>
      <c r="BV39" s="427">
        <f>IF(AND(70&gt;=$NR$39,70&lt;=$NS$39),IF($NP$39="Single_Point",IF(70=$NR$39,$NN$39,0),IF($NP$39="Bell_Curve",$NN$39*(70-$NR$39+1)*($NS$39-70+1)/$NU$39,$NN$39/$NT$39)),0)</f>
        <v/>
      </c>
      <c r="BW39" s="427">
        <f>IF(AND(71&gt;=$NR$39,71&lt;=$NS$39),IF($NP$39="Single_Point",IF(71=$NR$39,$NN$39,0),IF($NP$39="Bell_Curve",$NN$39*(71-$NR$39+1)*($NS$39-71+1)/$NU$39,$NN$39/$NT$39)),0)</f>
        <v/>
      </c>
      <c r="BX39" s="427">
        <f>IF(AND(72&gt;=$NR$39,72&lt;=$NS$39),IF($NP$39="Single_Point",IF(72=$NR$39,$NN$39,0),IF($NP$39="Bell_Curve",$NN$39*(72-$NR$39+1)*($NS$39-72+1)/$NU$39,$NN$39/$NT$39)),0)</f>
        <v/>
      </c>
      <c r="BY39" s="427">
        <f>IF(AND(73&gt;=$NR$39,73&lt;=$NS$39),IF($NP$39="Single_Point",IF(73=$NR$39,$NN$39,0),IF($NP$39="Bell_Curve",$NN$39*(73-$NR$39+1)*($NS$39-73+1)/$NU$39,$NN$39/$NT$39)),0)</f>
        <v/>
      </c>
      <c r="BZ39" s="427">
        <f>IF(AND(74&gt;=$NR$39,74&lt;=$NS$39),IF($NP$39="Single_Point",IF(74=$NR$39,$NN$39,0),IF($NP$39="Bell_Curve",$NN$39*(74-$NR$39+1)*($NS$39-74+1)/$NU$39,$NN$39/$NT$39)),0)</f>
        <v/>
      </c>
      <c r="CA39" s="427">
        <f>IF(AND(75&gt;=$NR$39,75&lt;=$NS$39),IF($NP$39="Single_Point",IF(75=$NR$39,$NN$39,0),IF($NP$39="Bell_Curve",$NN$39*(75-$NR$39+1)*($NS$39-75+1)/$NU$39,$NN$39/$NT$39)),0)</f>
        <v/>
      </c>
      <c r="CB39" s="427">
        <f>IF(AND(76&gt;=$NR$39,76&lt;=$NS$39),IF($NP$39="Single_Point",IF(76=$NR$39,$NN$39,0),IF($NP$39="Bell_Curve",$NN$39*(76-$NR$39+1)*($NS$39-76+1)/$NU$39,$NN$39/$NT$39)),0)</f>
        <v/>
      </c>
      <c r="CC39" s="427">
        <f>IF(AND(77&gt;=$NR$39,77&lt;=$NS$39),IF($NP$39="Single_Point",IF(77=$NR$39,$NN$39,0),IF($NP$39="Bell_Curve",$NN$39*(77-$NR$39+1)*($NS$39-77+1)/$NU$39,$NN$39/$NT$39)),0)</f>
        <v/>
      </c>
      <c r="CD39" s="427">
        <f>IF(AND(78&gt;=$NR$39,78&lt;=$NS$39),IF($NP$39="Single_Point",IF(78=$NR$39,$NN$39,0),IF($NP$39="Bell_Curve",$NN$39*(78-$NR$39+1)*($NS$39-78+1)/$NU$39,$NN$39/$NT$39)),0)</f>
        <v/>
      </c>
      <c r="CE39" s="427">
        <f>IF(AND(79&gt;=$NR$39,79&lt;=$NS$39),IF($NP$39="Single_Point",IF(79=$NR$39,$NN$39,0),IF($NP$39="Bell_Curve",$NN$39*(79-$NR$39+1)*($NS$39-79+1)/$NU$39,$NN$39/$NT$39)),0)</f>
        <v/>
      </c>
      <c r="CF39" s="427">
        <f>IF(AND(80&gt;=$NR$39,80&lt;=$NS$39),IF($NP$39="Single_Point",IF(80=$NR$39,$NN$39,0),IF($NP$39="Bell_Curve",$NN$39*(80-$NR$39+1)*($NS$39-80+1)/$NU$39,$NN$39/$NT$39)),0)</f>
        <v/>
      </c>
      <c r="CG39" s="427">
        <f>IF(AND(81&gt;=$NR$39,81&lt;=$NS$39),IF($NP$39="Single_Point",IF(81=$NR$39,$NN$39,0),IF($NP$39="Bell_Curve",$NN$39*(81-$NR$39+1)*($NS$39-81+1)/$NU$39,$NN$39/$NT$39)),0)</f>
        <v/>
      </c>
      <c r="CH39" s="427">
        <f>IF(AND(82&gt;=$NR$39,82&lt;=$NS$39),IF($NP$39="Single_Point",IF(82=$NR$39,$NN$39,0),IF($NP$39="Bell_Curve",$NN$39*(82-$NR$39+1)*($NS$39-82+1)/$NU$39,$NN$39/$NT$39)),0)</f>
        <v/>
      </c>
      <c r="CI39" s="427">
        <f>IF(AND(83&gt;=$NR$39,83&lt;=$NS$39),IF($NP$39="Single_Point",IF(83=$NR$39,$NN$39,0),IF($NP$39="Bell_Curve",$NN$39*(83-$NR$39+1)*($NS$39-83+1)/$NU$39,$NN$39/$NT$39)),0)</f>
        <v/>
      </c>
      <c r="CJ39" s="427">
        <f>IF(AND(84&gt;=$NR$39,84&lt;=$NS$39),IF($NP$39="Single_Point",IF(84=$NR$39,$NN$39,0),IF($NP$39="Bell_Curve",$NN$39*(84-$NR$39+1)*($NS$39-84+1)/$NU$39,$NN$39/$NT$39)),0)</f>
        <v/>
      </c>
      <c r="CK39" s="427">
        <f>IF(AND(85&gt;=$NR$39,85&lt;=$NS$39),IF($NP$39="Single_Point",IF(85=$NR$39,$NN$39,0),IF($NP$39="Bell_Curve",$NN$39*(85-$NR$39+1)*($NS$39-85+1)/$NU$39,$NN$39/$NT$39)),0)</f>
        <v/>
      </c>
      <c r="CL39" s="427">
        <f>IF(AND(86&gt;=$NR$39,86&lt;=$NS$39),IF($NP$39="Single_Point",IF(86=$NR$39,$NN$39,0),IF($NP$39="Bell_Curve",$NN$39*(86-$NR$39+1)*($NS$39-86+1)/$NU$39,$NN$39/$NT$39)),0)</f>
        <v/>
      </c>
      <c r="CM39" s="427">
        <f>IF(AND(87&gt;=$NR$39,87&lt;=$NS$39),IF($NP$39="Single_Point",IF(87=$NR$39,$NN$39,0),IF($NP$39="Bell_Curve",$NN$39*(87-$NR$39+1)*($NS$39-87+1)/$NU$39,$NN$39/$NT$39)),0)</f>
        <v/>
      </c>
      <c r="CN39" s="427">
        <f>IF(AND(88&gt;=$NR$39,88&lt;=$NS$39),IF($NP$39="Single_Point",IF(88=$NR$39,$NN$39,0),IF($NP$39="Bell_Curve",$NN$39*(88-$NR$39+1)*($NS$39-88+1)/$NU$39,$NN$39/$NT$39)),0)</f>
        <v/>
      </c>
      <c r="CO39" s="427">
        <f>IF(AND(89&gt;=$NR$39,89&lt;=$NS$39),IF($NP$39="Single_Point",IF(89=$NR$39,$NN$39,0),IF($NP$39="Bell_Curve",$NN$39*(89-$NR$39+1)*($NS$39-89+1)/$NU$39,$NN$39/$NT$39)),0)</f>
        <v/>
      </c>
      <c r="CP39" s="427">
        <f>IF(AND(90&gt;=$NR$39,90&lt;=$NS$39),IF($NP$39="Single_Point",IF(90=$NR$39,$NN$39,0),IF($NP$39="Bell_Curve",$NN$39*(90-$NR$39+1)*($NS$39-90+1)/$NU$39,$NN$39/$NT$39)),0)</f>
        <v/>
      </c>
      <c r="CQ39" s="427">
        <f>IF(AND(91&gt;=$NR$39,91&lt;=$NS$39),IF($NP$39="Single_Point",IF(91=$NR$39,$NN$39,0),IF($NP$39="Bell_Curve",$NN$39*(91-$NR$39+1)*($NS$39-91+1)/$NU$39,$NN$39/$NT$39)),0)</f>
        <v/>
      </c>
      <c r="CR39" s="427">
        <f>IF(AND(92&gt;=$NR$39,92&lt;=$NS$39),IF($NP$39="Single_Point",IF(92=$NR$39,$NN$39,0),IF($NP$39="Bell_Curve",$NN$39*(92-$NR$39+1)*($NS$39-92+1)/$NU$39,$NN$39/$NT$39)),0)</f>
        <v/>
      </c>
      <c r="CS39" s="427">
        <f>IF(AND(93&gt;=$NR$39,93&lt;=$NS$39),IF($NP$39="Single_Point",IF(93=$NR$39,$NN$39,0),IF($NP$39="Bell_Curve",$NN$39*(93-$NR$39+1)*($NS$39-93+1)/$NU$39,$NN$39/$NT$39)),0)</f>
        <v/>
      </c>
      <c r="CT39" s="427">
        <f>IF(AND(94&gt;=$NR$39,94&lt;=$NS$39),IF($NP$39="Single_Point",IF(94=$NR$39,$NN$39,0),IF($NP$39="Bell_Curve",$NN$39*(94-$NR$39+1)*($NS$39-94+1)/$NU$39,$NN$39/$NT$39)),0)</f>
        <v/>
      </c>
      <c r="CU39" s="427">
        <f>IF(AND(95&gt;=$NR$39,95&lt;=$NS$39),IF($NP$39="Single_Point",IF(95=$NR$39,$NN$39,0),IF($NP$39="Bell_Curve",$NN$39*(95-$NR$39+1)*($NS$39-95+1)/$NU$39,$NN$39/$NT$39)),0)</f>
        <v/>
      </c>
      <c r="CV39" s="427">
        <f>IF(AND(96&gt;=$NR$39,96&lt;=$NS$39),IF($NP$39="Single_Point",IF(96=$NR$39,$NN$39,0),IF($NP$39="Bell_Curve",$NN$39*(96-$NR$39+1)*($NS$39-96+1)/$NU$39,$NN$39/$NT$39)),0)</f>
        <v/>
      </c>
      <c r="CW39" s="427">
        <f>IF(AND(97&gt;=$NR$39,97&lt;=$NS$39),IF($NP$39="Single_Point",IF(97=$NR$39,$NN$39,0),IF($NP$39="Bell_Curve",$NN$39*(97-$NR$39+1)*($NS$39-97+1)/$NU$39,$NN$39/$NT$39)),0)</f>
        <v/>
      </c>
      <c r="CX39" s="427">
        <f>IF(AND(98&gt;=$NR$39,98&lt;=$NS$39),IF($NP$39="Single_Point",IF(98=$NR$39,$NN$39,0),IF($NP$39="Bell_Curve",$NN$39*(98-$NR$39+1)*($NS$39-98+1)/$NU$39,$NN$39/$NT$39)),0)</f>
        <v/>
      </c>
      <c r="CY39" s="427">
        <f>IF(AND(99&gt;=$NR$39,99&lt;=$NS$39),IF($NP$39="Single_Point",IF(99=$NR$39,$NN$39,0),IF($NP$39="Bell_Curve",$NN$39*(99-$NR$39+1)*($NS$39-99+1)/$NU$39,$NN$39/$NT$39)),0)</f>
        <v/>
      </c>
      <c r="CZ39" s="427">
        <f>IF(AND(100&gt;=$NR$39,100&lt;=$NS$39),IF($NP$39="Single_Point",IF(100=$NR$39,$NN$39,0),IF($NP$39="Bell_Curve",$NN$39*(100-$NR$39+1)*($NS$39-100+1)/$NU$39,$NN$39/$NT$39)),0)</f>
        <v/>
      </c>
      <c r="DA39" s="427">
        <f>IF(AND(101&gt;=$NR$39,101&lt;=$NS$39),IF($NP$39="Single_Point",IF(101=$NR$39,$NN$39,0),IF($NP$39="Bell_Curve",$NN$39*(101-$NR$39+1)*($NS$39-101+1)/$NU$39,$NN$39/$NT$39)),0)</f>
        <v/>
      </c>
      <c r="DB39" s="427">
        <f>IF(AND(102&gt;=$NR$39,102&lt;=$NS$39),IF($NP$39="Single_Point",IF(102=$NR$39,$NN$39,0),IF($NP$39="Bell_Curve",$NN$39*(102-$NR$39+1)*($NS$39-102+1)/$NU$39,$NN$39/$NT$39)),0)</f>
        <v/>
      </c>
      <c r="DC39" s="427">
        <f>IF(AND(103&gt;=$NR$39,103&lt;=$NS$39),IF($NP$39="Single_Point",IF(103=$NR$39,$NN$39,0),IF($NP$39="Bell_Curve",$NN$39*(103-$NR$39+1)*($NS$39-103+1)/$NU$39,$NN$39/$NT$39)),0)</f>
        <v/>
      </c>
      <c r="DD39" s="427">
        <f>IF(AND(104&gt;=$NR$39,104&lt;=$NS$39),IF($NP$39="Single_Point",IF(104=$NR$39,$NN$39,0),IF($NP$39="Bell_Curve",$NN$39*(104-$NR$39+1)*($NS$39-104+1)/$NU$39,$NN$39/$NT$39)),0)</f>
        <v/>
      </c>
      <c r="DE39" s="427">
        <f>IF(AND(105&gt;=$NR$39,105&lt;=$NS$39),IF($NP$39="Single_Point",IF(105=$NR$39,$NN$39,0),IF($NP$39="Bell_Curve",$NN$39*(105-$NR$39+1)*($NS$39-105+1)/$NU$39,$NN$39/$NT$39)),0)</f>
        <v/>
      </c>
      <c r="DF39" s="427">
        <f>IF(AND(106&gt;=$NR$39,106&lt;=$NS$39),IF($NP$39="Single_Point",IF(106=$NR$39,$NN$39,0),IF($NP$39="Bell_Curve",$NN$39*(106-$NR$39+1)*($NS$39-106+1)/$NU$39,$NN$39/$NT$39)),0)</f>
        <v/>
      </c>
      <c r="DG39" s="427">
        <f>IF(AND(107&gt;=$NR$39,107&lt;=$NS$39),IF($NP$39="Single_Point",IF(107=$NR$39,$NN$39,0),IF($NP$39="Bell_Curve",$NN$39*(107-$NR$39+1)*($NS$39-107+1)/$NU$39,$NN$39/$NT$39)),0)</f>
        <v/>
      </c>
      <c r="DH39" s="427">
        <f>IF(AND(108&gt;=$NR$39,108&lt;=$NS$39),IF($NP$39="Single_Point",IF(108=$NR$39,$NN$39,0),IF($NP$39="Bell_Curve",$NN$39*(108-$NR$39+1)*($NS$39-108+1)/$NU$39,$NN$39/$NT$39)),0)</f>
        <v/>
      </c>
      <c r="DI39" s="427">
        <f>IF(AND(109&gt;=$NR$39,109&lt;=$NS$39),IF($NP$39="Single_Point",IF(109=$NR$39,$NN$39,0),IF($NP$39="Bell_Curve",$NN$39*(109-$NR$39+1)*($NS$39-109+1)/$NU$39,$NN$39/$NT$39)),0)</f>
        <v/>
      </c>
      <c r="DJ39" s="427">
        <f>IF(AND(110&gt;=$NR$39,110&lt;=$NS$39),IF($NP$39="Single_Point",IF(110=$NR$39,$NN$39,0),IF($NP$39="Bell_Curve",$NN$39*(110-$NR$39+1)*($NS$39-110+1)/$NU$39,$NN$39/$NT$39)),0)</f>
        <v/>
      </c>
      <c r="DK39" s="427">
        <f>IF(AND(111&gt;=$NR$39,111&lt;=$NS$39),IF($NP$39="Single_Point",IF(111=$NR$39,$NN$39,0),IF($NP$39="Bell_Curve",$NN$39*(111-$NR$39+1)*($NS$39-111+1)/$NU$39,$NN$39/$NT$39)),0)</f>
        <v/>
      </c>
      <c r="DL39" s="427">
        <f>IF(AND(112&gt;=$NR$39,112&lt;=$NS$39),IF($NP$39="Single_Point",IF(112=$NR$39,$NN$39,0),IF($NP$39="Bell_Curve",$NN$39*(112-$NR$39+1)*($NS$39-112+1)/$NU$39,$NN$39/$NT$39)),0)</f>
        <v/>
      </c>
      <c r="DM39" s="427">
        <f>IF(AND(113&gt;=$NR$39,113&lt;=$NS$39),IF($NP$39="Single_Point",IF(113=$NR$39,$NN$39,0),IF($NP$39="Bell_Curve",$NN$39*(113-$NR$39+1)*($NS$39-113+1)/$NU$39,$NN$39/$NT$39)),0)</f>
        <v/>
      </c>
      <c r="DN39" s="427">
        <f>IF(AND(114&gt;=$NR$39,114&lt;=$NS$39),IF($NP$39="Single_Point",IF(114=$NR$39,$NN$39,0),IF($NP$39="Bell_Curve",$NN$39*(114-$NR$39+1)*($NS$39-114+1)/$NU$39,$NN$39/$NT$39)),0)</f>
        <v/>
      </c>
      <c r="DO39" s="427">
        <f>IF(AND(115&gt;=$NR$39,115&lt;=$NS$39),IF($NP$39="Single_Point",IF(115=$NR$39,$NN$39,0),IF($NP$39="Bell_Curve",$NN$39*(115-$NR$39+1)*($NS$39-115+1)/$NU$39,$NN$39/$NT$39)),0)</f>
        <v/>
      </c>
      <c r="DP39" s="427">
        <f>IF(AND(116&gt;=$NR$39,116&lt;=$NS$39),IF($NP$39="Single_Point",IF(116=$NR$39,$NN$39,0),IF($NP$39="Bell_Curve",$NN$39*(116-$NR$39+1)*($NS$39-116+1)/$NU$39,$NN$39/$NT$39)),0)</f>
        <v/>
      </c>
      <c r="DQ39" s="427">
        <f>IF(AND(117&gt;=$NR$39,117&lt;=$NS$39),IF($NP$39="Single_Point",IF(117=$NR$39,$NN$39,0),IF($NP$39="Bell_Curve",$NN$39*(117-$NR$39+1)*($NS$39-117+1)/$NU$39,$NN$39/$NT$39)),0)</f>
        <v/>
      </c>
      <c r="DR39" s="427">
        <f>IF(AND(118&gt;=$NR$39,118&lt;=$NS$39),IF($NP$39="Single_Point",IF(118=$NR$39,$NN$39,0),IF($NP$39="Bell_Curve",$NN$39*(118-$NR$39+1)*($NS$39-118+1)/$NU$39,$NN$39/$NT$39)),0)</f>
        <v/>
      </c>
      <c r="DS39" s="427">
        <f>IF(AND(119&gt;=$NR$39,119&lt;=$NS$39),IF($NP$39="Single_Point",IF(119=$NR$39,$NN$39,0),IF($NP$39="Bell_Curve",$NN$39*(119-$NR$39+1)*($NS$39-119+1)/$NU$39,$NN$39/$NT$39)),0)</f>
        <v/>
      </c>
      <c r="DT39" s="427">
        <f>IF(AND(120&gt;=$NR$39,120&lt;=$NS$39),IF($NP$39="Single_Point",IF(120=$NR$39,$NN$39,0),IF($NP$39="Bell_Curve",$NN$39*(120-$NR$39+1)*($NS$39-120+1)/$NU$39,$NN$39/$NT$39)),0)</f>
        <v/>
      </c>
      <c r="DU39" s="427">
        <f>IF(AND(121&gt;=$NR$39,121&lt;=$NS$39),IF($NP$39="Single_Point",IF(121=$NR$39,$NN$39,0),IF($NP$39="Bell_Curve",$NN$39*(121-$NR$39+1)*($NS$39-121+1)/$NU$39,$NN$39/$NT$39)),0)</f>
        <v/>
      </c>
      <c r="DV39" s="427">
        <f>IF(AND(122&gt;=$NR$39,122&lt;=$NS$39),IF($NP$39="Single_Point",IF(122=$NR$39,$NN$39,0),IF($NP$39="Bell_Curve",$NN$39*(122-$NR$39+1)*($NS$39-122+1)/$NU$39,$NN$39/$NT$39)),0)</f>
        <v/>
      </c>
      <c r="DW39" s="427">
        <f>IF(AND(123&gt;=$NR$39,123&lt;=$NS$39),IF($NP$39="Single_Point",IF(123=$NR$39,$NN$39,0),IF($NP$39="Bell_Curve",$NN$39*(123-$NR$39+1)*($NS$39-123+1)/$NU$39,$NN$39/$NT$39)),0)</f>
        <v/>
      </c>
      <c r="DX39" s="427">
        <f>IF(AND(124&gt;=$NR$39,124&lt;=$NS$39),IF($NP$39="Single_Point",IF(124=$NR$39,$NN$39,0),IF($NP$39="Bell_Curve",$NN$39*(124-$NR$39+1)*($NS$39-124+1)/$NU$39,$NN$39/$NT$39)),0)</f>
        <v/>
      </c>
      <c r="DY39" s="427">
        <f>IF(AND(125&gt;=$NR$39,125&lt;=$NS$39),IF($NP$39="Single_Point",IF(125=$NR$39,$NN$39,0),IF($NP$39="Bell_Curve",$NN$39*(125-$NR$39+1)*($NS$39-125+1)/$NU$39,$NN$39/$NT$39)),0)</f>
        <v/>
      </c>
      <c r="DZ39" s="427">
        <f>IF(AND(126&gt;=$NR$39,126&lt;=$NS$39),IF($NP$39="Single_Point",IF(126=$NR$39,$NN$39,0),IF($NP$39="Bell_Curve",$NN$39*(126-$NR$39+1)*($NS$39-126+1)/$NU$39,$NN$39/$NT$39)),0)</f>
        <v/>
      </c>
      <c r="EA39" s="427">
        <f>IF(AND(127&gt;=$NR$39,127&lt;=$NS$39),IF($NP$39="Single_Point",IF(127=$NR$39,$NN$39,0),IF($NP$39="Bell_Curve",$NN$39*(127-$NR$39+1)*($NS$39-127+1)/$NU$39,$NN$39/$NT$39)),0)</f>
        <v/>
      </c>
      <c r="EB39" s="427">
        <f>IF(AND(128&gt;=$NR$39,128&lt;=$NS$39),IF($NP$39="Single_Point",IF(128=$NR$39,$NN$39,0),IF($NP$39="Bell_Curve",$NN$39*(128-$NR$39+1)*($NS$39-128+1)/$NU$39,$NN$39/$NT$39)),0)</f>
        <v/>
      </c>
      <c r="EC39" s="427">
        <f>IF(AND(129&gt;=$NR$39,129&lt;=$NS$39),IF($NP$39="Single_Point",IF(129=$NR$39,$NN$39,0),IF($NP$39="Bell_Curve",$NN$39*(129-$NR$39+1)*($NS$39-129+1)/$NU$39,$NN$39/$NT$39)),0)</f>
        <v/>
      </c>
      <c r="ED39" s="427">
        <f>IF(AND(130&gt;=$NR$39,130&lt;=$NS$39),IF($NP$39="Single_Point",IF(130=$NR$39,$NN$39,0),IF($NP$39="Bell_Curve",$NN$39*(130-$NR$39+1)*($NS$39-130+1)/$NU$39,$NN$39/$NT$39)),0)</f>
        <v/>
      </c>
      <c r="EE39" s="427">
        <f>IF(AND(131&gt;=$NR$39,131&lt;=$NS$39),IF($NP$39="Single_Point",IF(131=$NR$39,$NN$39,0),IF($NP$39="Bell_Curve",$NN$39*(131-$NR$39+1)*($NS$39-131+1)/$NU$39,$NN$39/$NT$39)),0)</f>
        <v/>
      </c>
      <c r="EF39" s="427">
        <f>IF(AND(132&gt;=$NR$39,132&lt;=$NS$39),IF($NP$39="Single_Point",IF(132=$NR$39,$NN$39,0),IF($NP$39="Bell_Curve",$NN$39*(132-$NR$39+1)*($NS$39-132+1)/$NU$39,$NN$39/$NT$39)),0)</f>
        <v/>
      </c>
      <c r="EG39" s="427">
        <f>IF(AND(133&gt;=$NR$39,133&lt;=$NS$39),IF($NP$39="Single_Point",IF(133=$NR$39,$NN$39,0),IF($NP$39="Bell_Curve",$NN$39*(133-$NR$39+1)*($NS$39-133+1)/$NU$39,$NN$39/$NT$39)),0)</f>
        <v/>
      </c>
      <c r="EH39" s="427">
        <f>IF(AND(134&gt;=$NR$39,134&lt;=$NS$39),IF($NP$39="Single_Point",IF(134=$NR$39,$NN$39,0),IF($NP$39="Bell_Curve",$NN$39*(134-$NR$39+1)*($NS$39-134+1)/$NU$39,$NN$39/$NT$39)),0)</f>
        <v/>
      </c>
      <c r="EI39" s="427">
        <f>IF(AND(135&gt;=$NR$39,135&lt;=$NS$39),IF($NP$39="Single_Point",IF(135=$NR$39,$NN$39,0),IF($NP$39="Bell_Curve",$NN$39*(135-$NR$39+1)*($NS$39-135+1)/$NU$39,$NN$39/$NT$39)),0)</f>
        <v/>
      </c>
      <c r="EJ39" s="427">
        <f>IF(AND(136&gt;=$NR$39,136&lt;=$NS$39),IF($NP$39="Single_Point",IF(136=$NR$39,$NN$39,0),IF($NP$39="Bell_Curve",$NN$39*(136-$NR$39+1)*($NS$39-136+1)/$NU$39,$NN$39/$NT$39)),0)</f>
        <v/>
      </c>
      <c r="EK39" s="427">
        <f>IF(AND(137&gt;=$NR$39,137&lt;=$NS$39),IF($NP$39="Single_Point",IF(137=$NR$39,$NN$39,0),IF($NP$39="Bell_Curve",$NN$39*(137-$NR$39+1)*($NS$39-137+1)/$NU$39,$NN$39/$NT$39)),0)</f>
        <v/>
      </c>
      <c r="EL39" s="427">
        <f>IF(AND(138&gt;=$NR$39,138&lt;=$NS$39),IF($NP$39="Single_Point",IF(138=$NR$39,$NN$39,0),IF($NP$39="Bell_Curve",$NN$39*(138-$NR$39+1)*($NS$39-138+1)/$NU$39,$NN$39/$NT$39)),0)</f>
        <v/>
      </c>
      <c r="EM39" s="427">
        <f>IF(AND(139&gt;=$NR$39,139&lt;=$NS$39),IF($NP$39="Single_Point",IF(139=$NR$39,$NN$39,0),IF($NP$39="Bell_Curve",$NN$39*(139-$NR$39+1)*($NS$39-139+1)/$NU$39,$NN$39/$NT$39)),0)</f>
        <v/>
      </c>
      <c r="EN39" s="427">
        <f>IF(AND(140&gt;=$NR$39,140&lt;=$NS$39),IF($NP$39="Single_Point",IF(140=$NR$39,$NN$39,0),IF($NP$39="Bell_Curve",$NN$39*(140-$NR$39+1)*($NS$39-140+1)/$NU$39,$NN$39/$NT$39)),0)</f>
        <v/>
      </c>
      <c r="EO39" s="427">
        <f>IF(AND(141&gt;=$NR$39,141&lt;=$NS$39),IF($NP$39="Single_Point",IF(141=$NR$39,$NN$39,0),IF($NP$39="Bell_Curve",$NN$39*(141-$NR$39+1)*($NS$39-141+1)/$NU$39,$NN$39/$NT$39)),0)</f>
        <v/>
      </c>
      <c r="EP39" s="427">
        <f>IF(AND(142&gt;=$NR$39,142&lt;=$NS$39),IF($NP$39="Single_Point",IF(142=$NR$39,$NN$39,0),IF($NP$39="Bell_Curve",$NN$39*(142-$NR$39+1)*($NS$39-142+1)/$NU$39,$NN$39/$NT$39)),0)</f>
        <v/>
      </c>
      <c r="EQ39" s="427">
        <f>IF(AND(143&gt;=$NR$39,143&lt;=$NS$39),IF($NP$39="Single_Point",IF(143=$NR$39,$NN$39,0),IF($NP$39="Bell_Curve",$NN$39*(143-$NR$39+1)*($NS$39-143+1)/$NU$39,$NN$39/$NT$39)),0)</f>
        <v/>
      </c>
      <c r="ER39" s="427">
        <f>IF(AND(144&gt;=$NR$39,144&lt;=$NS$39),IF($NP$39="Single_Point",IF(144=$NR$39,$NN$39,0),IF($NP$39="Bell_Curve",$NN$39*(144-$NR$39+1)*($NS$39-144+1)/$NU$39,$NN$39/$NT$39)),0)</f>
        <v/>
      </c>
      <c r="ES39" s="427">
        <f>IF(AND(145&gt;=$NR$39,145&lt;=$NS$39),IF($NP$39="Single_Point",IF(145=$NR$39,$NN$39,0),IF($NP$39="Bell_Curve",$NN$39*(145-$NR$39+1)*($NS$39-145+1)/$NU$39,$NN$39/$NT$39)),0)</f>
        <v/>
      </c>
      <c r="ET39" s="427">
        <f>IF(AND(146&gt;=$NR$39,146&lt;=$NS$39),IF($NP$39="Single_Point",IF(146=$NR$39,$NN$39,0),IF($NP$39="Bell_Curve",$NN$39*(146-$NR$39+1)*($NS$39-146+1)/$NU$39,$NN$39/$NT$39)),0)</f>
        <v/>
      </c>
      <c r="EU39" s="427">
        <f>IF(AND(147&gt;=$NR$39,147&lt;=$NS$39),IF($NP$39="Single_Point",IF(147=$NR$39,$NN$39,0),IF($NP$39="Bell_Curve",$NN$39*(147-$NR$39+1)*($NS$39-147+1)/$NU$39,$NN$39/$NT$39)),0)</f>
        <v/>
      </c>
      <c r="EV39" s="427">
        <f>IF(AND(148&gt;=$NR$39,148&lt;=$NS$39),IF($NP$39="Single_Point",IF(148=$NR$39,$NN$39,0),IF($NP$39="Bell_Curve",$NN$39*(148-$NR$39+1)*($NS$39-148+1)/$NU$39,$NN$39/$NT$39)),0)</f>
        <v/>
      </c>
      <c r="EW39" s="427">
        <f>IF(AND(149&gt;=$NR$39,149&lt;=$NS$39),IF($NP$39="Single_Point",IF(149=$NR$39,$NN$39,0),IF($NP$39="Bell_Curve",$NN$39*(149-$NR$39+1)*($NS$39-149+1)/$NU$39,$NN$39/$NT$39)),0)</f>
        <v/>
      </c>
      <c r="EX39" s="427">
        <f>IF(AND(150&gt;=$NR$39,150&lt;=$NS$39),IF($NP$39="Single_Point",IF(150=$NR$39,$NN$39,0),IF($NP$39="Bell_Curve",$NN$39*(150-$NR$39+1)*($NS$39-150+1)/$NU$39,$NN$39/$NT$39)),0)</f>
        <v/>
      </c>
      <c r="EY39" s="427">
        <f>IF(AND(151&gt;=$NR$39,151&lt;=$NS$39),IF($NP$39="Single_Point",IF(151=$NR$39,$NN$39,0),IF($NP$39="Bell_Curve",$NN$39*(151-$NR$39+1)*($NS$39-151+1)/$NU$39,$NN$39/$NT$39)),0)</f>
        <v/>
      </c>
      <c r="EZ39" s="427">
        <f>IF(AND(152&gt;=$NR$39,152&lt;=$NS$39),IF($NP$39="Single_Point",IF(152=$NR$39,$NN$39,0),IF($NP$39="Bell_Curve",$NN$39*(152-$NR$39+1)*($NS$39-152+1)/$NU$39,$NN$39/$NT$39)),0)</f>
        <v/>
      </c>
      <c r="FA39" s="427">
        <f>IF(AND(153&gt;=$NR$39,153&lt;=$NS$39),IF($NP$39="Single_Point",IF(153=$NR$39,$NN$39,0),IF($NP$39="Bell_Curve",$NN$39*(153-$NR$39+1)*($NS$39-153+1)/$NU$39,$NN$39/$NT$39)),0)</f>
        <v/>
      </c>
      <c r="FB39" s="427">
        <f>IF(AND(154&gt;=$NR$39,154&lt;=$NS$39),IF($NP$39="Single_Point",IF(154=$NR$39,$NN$39,0),IF($NP$39="Bell_Curve",$NN$39*(154-$NR$39+1)*($NS$39-154+1)/$NU$39,$NN$39/$NT$39)),0)</f>
        <v/>
      </c>
      <c r="FC39" s="427">
        <f>IF(AND(155&gt;=$NR$39,155&lt;=$NS$39),IF($NP$39="Single_Point",IF(155=$NR$39,$NN$39,0),IF($NP$39="Bell_Curve",$NN$39*(155-$NR$39+1)*($NS$39-155+1)/$NU$39,$NN$39/$NT$39)),0)</f>
        <v/>
      </c>
      <c r="FD39" s="427">
        <f>IF(AND(156&gt;=$NR$39,156&lt;=$NS$39),IF($NP$39="Single_Point",IF(156=$NR$39,$NN$39,0),IF($NP$39="Bell_Curve",$NN$39*(156-$NR$39+1)*($NS$39-156+1)/$NU$39,$NN$39/$NT$39)),0)</f>
        <v/>
      </c>
      <c r="FE39" s="427">
        <f>IF(AND(157&gt;=$NR$39,157&lt;=$NS$39),IF($NP$39="Single_Point",IF(157=$NR$39,$NN$39,0),IF($NP$39="Bell_Curve",$NN$39*(157-$NR$39+1)*($NS$39-157+1)/$NU$39,$NN$39/$NT$39)),0)</f>
        <v/>
      </c>
      <c r="FF39" s="427">
        <f>IF(AND(158&gt;=$NR$39,158&lt;=$NS$39),IF($NP$39="Single_Point",IF(158=$NR$39,$NN$39,0),IF($NP$39="Bell_Curve",$NN$39*(158-$NR$39+1)*($NS$39-158+1)/$NU$39,$NN$39/$NT$39)),0)</f>
        <v/>
      </c>
      <c r="FG39" s="427">
        <f>IF(AND(159&gt;=$NR$39,159&lt;=$NS$39),IF($NP$39="Single_Point",IF(159=$NR$39,$NN$39,0),IF($NP$39="Bell_Curve",$NN$39*(159-$NR$39+1)*($NS$39-159+1)/$NU$39,$NN$39/$NT$39)),0)</f>
        <v/>
      </c>
      <c r="FH39" s="427">
        <f>IF(AND(160&gt;=$NR$39,160&lt;=$NS$39),IF($NP$39="Single_Point",IF(160=$NR$39,$NN$39,0),IF($NP$39="Bell_Curve",$NN$39*(160-$NR$39+1)*($NS$39-160+1)/$NU$39,$NN$39/$NT$39)),0)</f>
        <v/>
      </c>
      <c r="FI39" s="427">
        <f>IF(AND(161&gt;=$NR$39,161&lt;=$NS$39),IF($NP$39="Single_Point",IF(161=$NR$39,$NN$39,0),IF($NP$39="Bell_Curve",$NN$39*(161-$NR$39+1)*($NS$39-161+1)/$NU$39,$NN$39/$NT$39)),0)</f>
        <v/>
      </c>
      <c r="FJ39" s="427">
        <f>IF(AND(162&gt;=$NR$39,162&lt;=$NS$39),IF($NP$39="Single_Point",IF(162=$NR$39,$NN$39,0),IF($NP$39="Bell_Curve",$NN$39*(162-$NR$39+1)*($NS$39-162+1)/$NU$39,$NN$39/$NT$39)),0)</f>
        <v/>
      </c>
      <c r="FK39" s="427">
        <f>IF(AND(163&gt;=$NR$39,163&lt;=$NS$39),IF($NP$39="Single_Point",IF(163=$NR$39,$NN$39,0),IF($NP$39="Bell_Curve",$NN$39*(163-$NR$39+1)*($NS$39-163+1)/$NU$39,$NN$39/$NT$39)),0)</f>
        <v/>
      </c>
      <c r="FL39" s="427">
        <f>IF(AND(164&gt;=$NR$39,164&lt;=$NS$39),IF($NP$39="Single_Point",IF(164=$NR$39,$NN$39,0),IF($NP$39="Bell_Curve",$NN$39*(164-$NR$39+1)*($NS$39-164+1)/$NU$39,$NN$39/$NT$39)),0)</f>
        <v/>
      </c>
      <c r="FM39" s="427">
        <f>IF(AND(165&gt;=$NR$39,165&lt;=$NS$39),IF($NP$39="Single_Point",IF(165=$NR$39,$NN$39,0),IF($NP$39="Bell_Curve",$NN$39*(165-$NR$39+1)*($NS$39-165+1)/$NU$39,$NN$39/$NT$39)),0)</f>
        <v/>
      </c>
      <c r="FN39" s="427">
        <f>IF(AND(166&gt;=$NR$39,166&lt;=$NS$39),IF($NP$39="Single_Point",IF(166=$NR$39,$NN$39,0),IF($NP$39="Bell_Curve",$NN$39*(166-$NR$39+1)*($NS$39-166+1)/$NU$39,$NN$39/$NT$39)),0)</f>
        <v/>
      </c>
      <c r="FO39" s="427">
        <f>IF(AND(167&gt;=$NR$39,167&lt;=$NS$39),IF($NP$39="Single_Point",IF(167=$NR$39,$NN$39,0),IF($NP$39="Bell_Curve",$NN$39*(167-$NR$39+1)*($NS$39-167+1)/$NU$39,$NN$39/$NT$39)),0)</f>
        <v/>
      </c>
      <c r="FP39" s="427">
        <f>IF(AND(168&gt;=$NR$39,168&lt;=$NS$39),IF($NP$39="Single_Point",IF(168=$NR$39,$NN$39,0),IF($NP$39="Bell_Curve",$NN$39*(168-$NR$39+1)*($NS$39-168+1)/$NU$39,$NN$39/$NT$39)),0)</f>
        <v/>
      </c>
      <c r="FQ39" s="427">
        <f>IF(AND(169&gt;=$NR$39,169&lt;=$NS$39),IF($NP$39="Single_Point",IF(169=$NR$39,$NN$39,0),IF($NP$39="Bell_Curve",$NN$39*(169-$NR$39+1)*($NS$39-169+1)/$NU$39,$NN$39/$NT$39)),0)</f>
        <v/>
      </c>
      <c r="FR39" s="427">
        <f>IF(AND(170&gt;=$NR$39,170&lt;=$NS$39),IF($NP$39="Single_Point",IF(170=$NR$39,$NN$39,0),IF($NP$39="Bell_Curve",$NN$39*(170-$NR$39+1)*($NS$39-170+1)/$NU$39,$NN$39/$NT$39)),0)</f>
        <v/>
      </c>
      <c r="FS39" s="427">
        <f>IF(AND(171&gt;=$NR$39,171&lt;=$NS$39),IF($NP$39="Single_Point",IF(171=$NR$39,$NN$39,0),IF($NP$39="Bell_Curve",$NN$39*(171-$NR$39+1)*($NS$39-171+1)/$NU$39,$NN$39/$NT$39)),0)</f>
        <v/>
      </c>
      <c r="FT39" s="427">
        <f>IF(AND(172&gt;=$NR$39,172&lt;=$NS$39),IF($NP$39="Single_Point",IF(172=$NR$39,$NN$39,0),IF($NP$39="Bell_Curve",$NN$39*(172-$NR$39+1)*($NS$39-172+1)/$NU$39,$NN$39/$NT$39)),0)</f>
        <v/>
      </c>
      <c r="FU39" s="427">
        <f>IF(AND(173&gt;=$NR$39,173&lt;=$NS$39),IF($NP$39="Single_Point",IF(173=$NR$39,$NN$39,0),IF($NP$39="Bell_Curve",$NN$39*(173-$NR$39+1)*($NS$39-173+1)/$NU$39,$NN$39/$NT$39)),0)</f>
        <v/>
      </c>
      <c r="FV39" s="427">
        <f>IF(AND(174&gt;=$NR$39,174&lt;=$NS$39),IF($NP$39="Single_Point",IF(174=$NR$39,$NN$39,0),IF($NP$39="Bell_Curve",$NN$39*(174-$NR$39+1)*($NS$39-174+1)/$NU$39,$NN$39/$NT$39)),0)</f>
        <v/>
      </c>
      <c r="FW39" s="427">
        <f>IF(AND(175&gt;=$NR$39,175&lt;=$NS$39),IF($NP$39="Single_Point",IF(175=$NR$39,$NN$39,0),IF($NP$39="Bell_Curve",$NN$39*(175-$NR$39+1)*($NS$39-175+1)/$NU$39,$NN$39/$NT$39)),0)</f>
        <v/>
      </c>
      <c r="FX39" s="427">
        <f>IF(AND(176&gt;=$NR$39,176&lt;=$NS$39),IF($NP$39="Single_Point",IF(176=$NR$39,$NN$39,0),IF($NP$39="Bell_Curve",$NN$39*(176-$NR$39+1)*($NS$39-176+1)/$NU$39,$NN$39/$NT$39)),0)</f>
        <v/>
      </c>
      <c r="FY39" s="427">
        <f>IF(AND(177&gt;=$NR$39,177&lt;=$NS$39),IF($NP$39="Single_Point",IF(177=$NR$39,$NN$39,0),IF($NP$39="Bell_Curve",$NN$39*(177-$NR$39+1)*($NS$39-177+1)/$NU$39,$NN$39/$NT$39)),0)</f>
        <v/>
      </c>
      <c r="FZ39" s="427">
        <f>IF(AND(178&gt;=$NR$39,178&lt;=$NS$39),IF($NP$39="Single_Point",IF(178=$NR$39,$NN$39,0),IF($NP$39="Bell_Curve",$NN$39*(178-$NR$39+1)*($NS$39-178+1)/$NU$39,$NN$39/$NT$39)),0)</f>
        <v/>
      </c>
      <c r="GA39" s="427">
        <f>IF(AND(179&gt;=$NR$39,179&lt;=$NS$39),IF($NP$39="Single_Point",IF(179=$NR$39,$NN$39,0),IF($NP$39="Bell_Curve",$NN$39*(179-$NR$39+1)*($NS$39-179+1)/$NU$39,$NN$39/$NT$39)),0)</f>
        <v/>
      </c>
      <c r="GB39" s="427">
        <f>IF(AND(180&gt;=$NR$39,180&lt;=$NS$39),IF($NP$39="Single_Point",IF(180=$NR$39,$NN$39,0),IF($NP$39="Bell_Curve",$NN$39*(180-$NR$39+1)*($NS$39-180+1)/$NU$39,$NN$39/$NT$39)),0)</f>
        <v/>
      </c>
      <c r="GC39" s="427">
        <f>IF(AND(181&gt;=$NR$39,181&lt;=$NS$39),IF($NP$39="Single_Point",IF(181=$NR$39,$NN$39,0),IF($NP$39="Bell_Curve",$NN$39*(181-$NR$39+1)*($NS$39-181+1)/$NU$39,$NN$39/$NT$39)),0)</f>
        <v/>
      </c>
      <c r="GD39" s="427">
        <f>IF(AND(182&gt;=$NR$39,182&lt;=$NS$39),IF($NP$39="Single_Point",IF(182=$NR$39,$NN$39,0),IF($NP$39="Bell_Curve",$NN$39*(182-$NR$39+1)*($NS$39-182+1)/$NU$39,$NN$39/$NT$39)),0)</f>
        <v/>
      </c>
      <c r="GE39" s="427">
        <f>IF(AND(183&gt;=$NR$39,183&lt;=$NS$39),IF($NP$39="Single_Point",IF(183=$NR$39,$NN$39,0),IF($NP$39="Bell_Curve",$NN$39*(183-$NR$39+1)*($NS$39-183+1)/$NU$39,$NN$39/$NT$39)),0)</f>
        <v/>
      </c>
      <c r="GF39" s="427">
        <f>IF(AND(184&gt;=$NR$39,184&lt;=$NS$39),IF($NP$39="Single_Point",IF(184=$NR$39,$NN$39,0),IF($NP$39="Bell_Curve",$NN$39*(184-$NR$39+1)*($NS$39-184+1)/$NU$39,$NN$39/$NT$39)),0)</f>
        <v/>
      </c>
      <c r="GG39" s="427">
        <f>IF(AND(185&gt;=$NR$39,185&lt;=$NS$39),IF($NP$39="Single_Point",IF(185=$NR$39,$NN$39,0),IF($NP$39="Bell_Curve",$NN$39*(185-$NR$39+1)*($NS$39-185+1)/$NU$39,$NN$39/$NT$39)),0)</f>
        <v/>
      </c>
      <c r="GH39" s="427">
        <f>IF(AND(186&gt;=$NR$39,186&lt;=$NS$39),IF($NP$39="Single_Point",IF(186=$NR$39,$NN$39,0),IF($NP$39="Bell_Curve",$NN$39*(186-$NR$39+1)*($NS$39-186+1)/$NU$39,$NN$39/$NT$39)),0)</f>
        <v/>
      </c>
      <c r="GI39" s="427">
        <f>IF(AND(187&gt;=$NR$39,187&lt;=$NS$39),IF($NP$39="Single_Point",IF(187=$NR$39,$NN$39,0),IF($NP$39="Bell_Curve",$NN$39*(187-$NR$39+1)*($NS$39-187+1)/$NU$39,$NN$39/$NT$39)),0)</f>
        <v/>
      </c>
      <c r="GJ39" s="427">
        <f>IF(AND(188&gt;=$NR$39,188&lt;=$NS$39),IF($NP$39="Single_Point",IF(188=$NR$39,$NN$39,0),IF($NP$39="Bell_Curve",$NN$39*(188-$NR$39+1)*($NS$39-188+1)/$NU$39,$NN$39/$NT$39)),0)</f>
        <v/>
      </c>
      <c r="GK39" s="427">
        <f>IF(AND(189&gt;=$NR$39,189&lt;=$NS$39),IF($NP$39="Single_Point",IF(189=$NR$39,$NN$39,0),IF($NP$39="Bell_Curve",$NN$39*(189-$NR$39+1)*($NS$39-189+1)/$NU$39,$NN$39/$NT$39)),0)</f>
        <v/>
      </c>
      <c r="GL39" s="427">
        <f>IF(AND(190&gt;=$NR$39,190&lt;=$NS$39),IF($NP$39="Single_Point",IF(190=$NR$39,$NN$39,0),IF($NP$39="Bell_Curve",$NN$39*(190-$NR$39+1)*($NS$39-190+1)/$NU$39,$NN$39/$NT$39)),0)</f>
        <v/>
      </c>
      <c r="GM39" s="427">
        <f>IF(AND(191&gt;=$NR$39,191&lt;=$NS$39),IF($NP$39="Single_Point",IF(191=$NR$39,$NN$39,0),IF($NP$39="Bell_Curve",$NN$39*(191-$NR$39+1)*($NS$39-191+1)/$NU$39,$NN$39/$NT$39)),0)</f>
        <v/>
      </c>
      <c r="GN39" s="427">
        <f>IF(AND(192&gt;=$NR$39,192&lt;=$NS$39),IF($NP$39="Single_Point",IF(192=$NR$39,$NN$39,0),IF($NP$39="Bell_Curve",$NN$39*(192-$NR$39+1)*($NS$39-192+1)/$NU$39,$NN$39/$NT$39)),0)</f>
        <v/>
      </c>
      <c r="GO39" s="427">
        <f>IF(AND(193&gt;=$NR$39,193&lt;=$NS$39),IF($NP$39="Single_Point",IF(193=$NR$39,$NN$39,0),IF($NP$39="Bell_Curve",$NN$39*(193-$NR$39+1)*($NS$39-193+1)/$NU$39,$NN$39/$NT$39)),0)</f>
        <v/>
      </c>
      <c r="GP39" s="427">
        <f>IF(AND(194&gt;=$NR$39,194&lt;=$NS$39),IF($NP$39="Single_Point",IF(194=$NR$39,$NN$39,0),IF($NP$39="Bell_Curve",$NN$39*(194-$NR$39+1)*($NS$39-194+1)/$NU$39,$NN$39/$NT$39)),0)</f>
        <v/>
      </c>
      <c r="GQ39" s="427">
        <f>IF(AND(195&gt;=$NR$39,195&lt;=$NS$39),IF($NP$39="Single_Point",IF(195=$NR$39,$NN$39,0),IF($NP$39="Bell_Curve",$NN$39*(195-$NR$39+1)*($NS$39-195+1)/$NU$39,$NN$39/$NT$39)),0)</f>
        <v/>
      </c>
      <c r="GR39" s="427">
        <f>IF(AND(196&gt;=$NR$39,196&lt;=$NS$39),IF($NP$39="Single_Point",IF(196=$NR$39,$NN$39,0),IF($NP$39="Bell_Curve",$NN$39*(196-$NR$39+1)*($NS$39-196+1)/$NU$39,$NN$39/$NT$39)),0)</f>
        <v/>
      </c>
      <c r="GS39" s="427">
        <f>IF(AND(197&gt;=$NR$39,197&lt;=$NS$39),IF($NP$39="Single_Point",IF(197=$NR$39,$NN$39,0),IF($NP$39="Bell_Curve",$NN$39*(197-$NR$39+1)*($NS$39-197+1)/$NU$39,$NN$39/$NT$39)),0)</f>
        <v/>
      </c>
      <c r="GT39" s="427">
        <f>IF(AND(198&gt;=$NR$39,198&lt;=$NS$39),IF($NP$39="Single_Point",IF(198=$NR$39,$NN$39,0),IF($NP$39="Bell_Curve",$NN$39*(198-$NR$39+1)*($NS$39-198+1)/$NU$39,$NN$39/$NT$39)),0)</f>
        <v/>
      </c>
      <c r="GU39" s="427">
        <f>IF(AND(199&gt;=$NR$39,199&lt;=$NS$39),IF($NP$39="Single_Point",IF(199=$NR$39,$NN$39,0),IF($NP$39="Bell_Curve",$NN$39*(199-$NR$39+1)*($NS$39-199+1)/$NU$39,$NN$39/$NT$39)),0)</f>
        <v/>
      </c>
      <c r="GV39" s="427">
        <f>IF(AND(200&gt;=$NR$39,200&lt;=$NS$39),IF($NP$39="Single_Point",IF(200=$NR$39,$NN$39,0),IF($NP$39="Bell_Curve",$NN$39*(200-$NR$39+1)*($NS$39-200+1)/$NU$39,$NN$39/$NT$39)),0)</f>
        <v/>
      </c>
      <c r="GW39" s="427">
        <f>IF(AND(201&gt;=$NR$39,201&lt;=$NS$39),IF($NP$39="Single_Point",IF(201=$NR$39,$NN$39,0),IF($NP$39="Bell_Curve",$NN$39*(201-$NR$39+1)*($NS$39-201+1)/$NU$39,$NN$39/$NT$39)),0)</f>
        <v/>
      </c>
      <c r="GX39" s="427">
        <f>IF(AND(202&gt;=$NR$39,202&lt;=$NS$39),IF($NP$39="Single_Point",IF(202=$NR$39,$NN$39,0),IF($NP$39="Bell_Curve",$NN$39*(202-$NR$39+1)*($NS$39-202+1)/$NU$39,$NN$39/$NT$39)),0)</f>
        <v/>
      </c>
      <c r="GY39" s="427">
        <f>IF(AND(203&gt;=$NR$39,203&lt;=$NS$39),IF($NP$39="Single_Point",IF(203=$NR$39,$NN$39,0),IF($NP$39="Bell_Curve",$NN$39*(203-$NR$39+1)*($NS$39-203+1)/$NU$39,$NN$39/$NT$39)),0)</f>
        <v/>
      </c>
      <c r="GZ39" s="427">
        <f>IF(AND(204&gt;=$NR$39,204&lt;=$NS$39),IF($NP$39="Single_Point",IF(204=$NR$39,$NN$39,0),IF($NP$39="Bell_Curve",$NN$39*(204-$NR$39+1)*($NS$39-204+1)/$NU$39,$NN$39/$NT$39)),0)</f>
        <v/>
      </c>
      <c r="HA39" s="427">
        <f>IF(AND(205&gt;=$NR$39,205&lt;=$NS$39),IF($NP$39="Single_Point",IF(205=$NR$39,$NN$39,0),IF($NP$39="Bell_Curve",$NN$39*(205-$NR$39+1)*($NS$39-205+1)/$NU$39,$NN$39/$NT$39)),0)</f>
        <v/>
      </c>
      <c r="HB39" s="427">
        <f>IF(AND(206&gt;=$NR$39,206&lt;=$NS$39),IF($NP$39="Single_Point",IF(206=$NR$39,$NN$39,0),IF($NP$39="Bell_Curve",$NN$39*(206-$NR$39+1)*($NS$39-206+1)/$NU$39,$NN$39/$NT$39)),0)</f>
        <v/>
      </c>
      <c r="HC39" s="427">
        <f>IF(AND(207&gt;=$NR$39,207&lt;=$NS$39),IF($NP$39="Single_Point",IF(207=$NR$39,$NN$39,0),IF($NP$39="Bell_Curve",$NN$39*(207-$NR$39+1)*($NS$39-207+1)/$NU$39,$NN$39/$NT$39)),0)</f>
        <v/>
      </c>
      <c r="HD39" s="427">
        <f>IF(AND(208&gt;=$NR$39,208&lt;=$NS$39),IF($NP$39="Single_Point",IF(208=$NR$39,$NN$39,0),IF($NP$39="Bell_Curve",$NN$39*(208-$NR$39+1)*($NS$39-208+1)/$NU$39,$NN$39/$NT$39)),0)</f>
        <v/>
      </c>
      <c r="HE39" s="427">
        <f>IF(AND(209&gt;=$NR$39,209&lt;=$NS$39),IF($NP$39="Single_Point",IF(209=$NR$39,$NN$39,0),IF($NP$39="Bell_Curve",$NN$39*(209-$NR$39+1)*($NS$39-209+1)/$NU$39,$NN$39/$NT$39)),0)</f>
        <v/>
      </c>
      <c r="HF39" s="427">
        <f>IF(AND(210&gt;=$NR$39,210&lt;=$NS$39),IF($NP$39="Single_Point",IF(210=$NR$39,$NN$39,0),IF($NP$39="Bell_Curve",$NN$39*(210-$NR$39+1)*($NS$39-210+1)/$NU$39,$NN$39/$NT$39)),0)</f>
        <v/>
      </c>
      <c r="HG39" s="427">
        <f>IF(AND(211&gt;=$NR$39,211&lt;=$NS$39),IF($NP$39="Single_Point",IF(211=$NR$39,$NN$39,0),IF($NP$39="Bell_Curve",$NN$39*(211-$NR$39+1)*($NS$39-211+1)/$NU$39,$NN$39/$NT$39)),0)</f>
        <v/>
      </c>
      <c r="HH39" s="427">
        <f>IF(AND(212&gt;=$NR$39,212&lt;=$NS$39),IF($NP$39="Single_Point",IF(212=$NR$39,$NN$39,0),IF($NP$39="Bell_Curve",$NN$39*(212-$NR$39+1)*($NS$39-212+1)/$NU$39,$NN$39/$NT$39)),0)</f>
        <v/>
      </c>
      <c r="HI39" s="427">
        <f>IF(AND(213&gt;=$NR$39,213&lt;=$NS$39),IF($NP$39="Single_Point",IF(213=$NR$39,$NN$39,0),IF($NP$39="Bell_Curve",$NN$39*(213-$NR$39+1)*($NS$39-213+1)/$NU$39,$NN$39/$NT$39)),0)</f>
        <v/>
      </c>
      <c r="HJ39" s="427">
        <f>IF(AND(214&gt;=$NR$39,214&lt;=$NS$39),IF($NP$39="Single_Point",IF(214=$NR$39,$NN$39,0),IF($NP$39="Bell_Curve",$NN$39*(214-$NR$39+1)*($NS$39-214+1)/$NU$39,$NN$39/$NT$39)),0)</f>
        <v/>
      </c>
      <c r="HK39" s="427">
        <f>IF(AND(215&gt;=$NR$39,215&lt;=$NS$39),IF($NP$39="Single_Point",IF(215=$NR$39,$NN$39,0),IF($NP$39="Bell_Curve",$NN$39*(215-$NR$39+1)*($NS$39-215+1)/$NU$39,$NN$39/$NT$39)),0)</f>
        <v/>
      </c>
      <c r="HL39" s="427">
        <f>IF(AND(216&gt;=$NR$39,216&lt;=$NS$39),IF($NP$39="Single_Point",IF(216=$NR$39,$NN$39,0),IF($NP$39="Bell_Curve",$NN$39*(216-$NR$39+1)*($NS$39-216+1)/$NU$39,$NN$39/$NT$39)),0)</f>
        <v/>
      </c>
      <c r="HM39" s="427">
        <f>IF(AND(217&gt;=$NR$39,217&lt;=$NS$39),IF($NP$39="Single_Point",IF(217=$NR$39,$NN$39,0),IF($NP$39="Bell_Curve",$NN$39*(217-$NR$39+1)*($NS$39-217+1)/$NU$39,$NN$39/$NT$39)),0)</f>
        <v/>
      </c>
      <c r="HN39" s="427">
        <f>IF(AND(218&gt;=$NR$39,218&lt;=$NS$39),IF($NP$39="Single_Point",IF(218=$NR$39,$NN$39,0),IF($NP$39="Bell_Curve",$NN$39*(218-$NR$39+1)*($NS$39-218+1)/$NU$39,$NN$39/$NT$39)),0)</f>
        <v/>
      </c>
      <c r="HO39" s="427">
        <f>IF(AND(219&gt;=$NR$39,219&lt;=$NS$39),IF($NP$39="Single_Point",IF(219=$NR$39,$NN$39,0),IF($NP$39="Bell_Curve",$NN$39*(219-$NR$39+1)*($NS$39-219+1)/$NU$39,$NN$39/$NT$39)),0)</f>
        <v/>
      </c>
      <c r="HP39" s="427">
        <f>IF(AND(220&gt;=$NR$39,220&lt;=$NS$39),IF($NP$39="Single_Point",IF(220=$NR$39,$NN$39,0),IF($NP$39="Bell_Curve",$NN$39*(220-$NR$39+1)*($NS$39-220+1)/$NU$39,$NN$39/$NT$39)),0)</f>
        <v/>
      </c>
      <c r="HQ39" s="427">
        <f>IF(AND(221&gt;=$NR$39,221&lt;=$NS$39),IF($NP$39="Single_Point",IF(221=$NR$39,$NN$39,0),IF($NP$39="Bell_Curve",$NN$39*(221-$NR$39+1)*($NS$39-221+1)/$NU$39,$NN$39/$NT$39)),0)</f>
        <v/>
      </c>
      <c r="HR39" s="427">
        <f>IF(AND(222&gt;=$NR$39,222&lt;=$NS$39),IF($NP$39="Single_Point",IF(222=$NR$39,$NN$39,0),IF($NP$39="Bell_Curve",$NN$39*(222-$NR$39+1)*($NS$39-222+1)/$NU$39,$NN$39/$NT$39)),0)</f>
        <v/>
      </c>
      <c r="HS39" s="427">
        <f>IF(AND(223&gt;=$NR$39,223&lt;=$NS$39),IF($NP$39="Single_Point",IF(223=$NR$39,$NN$39,0),IF($NP$39="Bell_Curve",$NN$39*(223-$NR$39+1)*($NS$39-223+1)/$NU$39,$NN$39/$NT$39)),0)</f>
        <v/>
      </c>
      <c r="HT39" s="427">
        <f>IF(AND(224&gt;=$NR$39,224&lt;=$NS$39),IF($NP$39="Single_Point",IF(224=$NR$39,$NN$39,0),IF($NP$39="Bell_Curve",$NN$39*(224-$NR$39+1)*($NS$39-224+1)/$NU$39,$NN$39/$NT$39)),0)</f>
        <v/>
      </c>
      <c r="HU39" s="427">
        <f>IF(AND(225&gt;=$NR$39,225&lt;=$NS$39),IF($NP$39="Single_Point",IF(225=$NR$39,$NN$39,0),IF($NP$39="Bell_Curve",$NN$39*(225-$NR$39+1)*($NS$39-225+1)/$NU$39,$NN$39/$NT$39)),0)</f>
        <v/>
      </c>
      <c r="HV39" s="427">
        <f>IF(AND(226&gt;=$NR$39,226&lt;=$NS$39),IF($NP$39="Single_Point",IF(226=$NR$39,$NN$39,0),IF($NP$39="Bell_Curve",$NN$39*(226-$NR$39+1)*($NS$39-226+1)/$NU$39,$NN$39/$NT$39)),0)</f>
        <v/>
      </c>
      <c r="HW39" s="427">
        <f>IF(AND(227&gt;=$NR$39,227&lt;=$NS$39),IF($NP$39="Single_Point",IF(227=$NR$39,$NN$39,0),IF($NP$39="Bell_Curve",$NN$39*(227-$NR$39+1)*($NS$39-227+1)/$NU$39,$NN$39/$NT$39)),0)</f>
        <v/>
      </c>
      <c r="HX39" s="427">
        <f>IF(AND(228&gt;=$NR$39,228&lt;=$NS$39),IF($NP$39="Single_Point",IF(228=$NR$39,$NN$39,0),IF($NP$39="Bell_Curve",$NN$39*(228-$NR$39+1)*($NS$39-228+1)/$NU$39,$NN$39/$NT$39)),0)</f>
        <v/>
      </c>
      <c r="HY39" s="427">
        <f>IF(AND(229&gt;=$NR$39,229&lt;=$NS$39),IF($NP$39="Single_Point",IF(229=$NR$39,$NN$39,0),IF($NP$39="Bell_Curve",$NN$39*(229-$NR$39+1)*($NS$39-229+1)/$NU$39,$NN$39/$NT$39)),0)</f>
        <v/>
      </c>
      <c r="HZ39" s="427">
        <f>IF(AND(230&gt;=$NR$39,230&lt;=$NS$39),IF($NP$39="Single_Point",IF(230=$NR$39,$NN$39,0),IF($NP$39="Bell_Curve",$NN$39*(230-$NR$39+1)*($NS$39-230+1)/$NU$39,$NN$39/$NT$39)),0)</f>
        <v/>
      </c>
      <c r="IA39" s="427">
        <f>IF(AND(231&gt;=$NR$39,231&lt;=$NS$39),IF($NP$39="Single_Point",IF(231=$NR$39,$NN$39,0),IF($NP$39="Bell_Curve",$NN$39*(231-$NR$39+1)*($NS$39-231+1)/$NU$39,$NN$39/$NT$39)),0)</f>
        <v/>
      </c>
      <c r="IB39" s="427">
        <f>IF(AND(232&gt;=$NR$39,232&lt;=$NS$39),IF($NP$39="Single_Point",IF(232=$NR$39,$NN$39,0),IF($NP$39="Bell_Curve",$NN$39*(232-$NR$39+1)*($NS$39-232+1)/$NU$39,$NN$39/$NT$39)),0)</f>
        <v/>
      </c>
      <c r="IC39" s="427">
        <f>IF(AND(233&gt;=$NR$39,233&lt;=$NS$39),IF($NP$39="Single_Point",IF(233=$NR$39,$NN$39,0),IF($NP$39="Bell_Curve",$NN$39*(233-$NR$39+1)*($NS$39-233+1)/$NU$39,$NN$39/$NT$39)),0)</f>
        <v/>
      </c>
      <c r="ID39" s="427">
        <f>IF(AND(234&gt;=$NR$39,234&lt;=$NS$39),IF($NP$39="Single_Point",IF(234=$NR$39,$NN$39,0),IF($NP$39="Bell_Curve",$NN$39*(234-$NR$39+1)*($NS$39-234+1)/$NU$39,$NN$39/$NT$39)),0)</f>
        <v/>
      </c>
      <c r="IE39" s="427">
        <f>IF(AND(235&gt;=$NR$39,235&lt;=$NS$39),IF($NP$39="Single_Point",IF(235=$NR$39,$NN$39,0),IF($NP$39="Bell_Curve",$NN$39*(235-$NR$39+1)*($NS$39-235+1)/$NU$39,$NN$39/$NT$39)),0)</f>
        <v/>
      </c>
      <c r="IF39" s="427">
        <f>IF(AND(236&gt;=$NR$39,236&lt;=$NS$39),IF($NP$39="Single_Point",IF(236=$NR$39,$NN$39,0),IF($NP$39="Bell_Curve",$NN$39*(236-$NR$39+1)*($NS$39-236+1)/$NU$39,$NN$39/$NT$39)),0)</f>
        <v/>
      </c>
      <c r="IG39" s="427">
        <f>IF(AND(237&gt;=$NR$39,237&lt;=$NS$39),IF($NP$39="Single_Point",IF(237=$NR$39,$NN$39,0),IF($NP$39="Bell_Curve",$NN$39*(237-$NR$39+1)*($NS$39-237+1)/$NU$39,$NN$39/$NT$39)),0)</f>
        <v/>
      </c>
      <c r="IH39" s="427">
        <f>IF(AND(238&gt;=$NR$39,238&lt;=$NS$39),IF($NP$39="Single_Point",IF(238=$NR$39,$NN$39,0),IF($NP$39="Bell_Curve",$NN$39*(238-$NR$39+1)*($NS$39-238+1)/$NU$39,$NN$39/$NT$39)),0)</f>
        <v/>
      </c>
      <c r="II39" s="427">
        <f>IF(AND(239&gt;=$NR$39,239&lt;=$NS$39),IF($NP$39="Single_Point",IF(239=$NR$39,$NN$39,0),IF($NP$39="Bell_Curve",$NN$39*(239-$NR$39+1)*($NS$39-239+1)/$NU$39,$NN$39/$NT$39)),0)</f>
        <v/>
      </c>
      <c r="IJ39" s="427">
        <f>IF(AND(240&gt;=$NR$39,240&lt;=$NS$39),IF($NP$39="Single_Point",IF(240=$NR$39,$NN$39,0),IF($NP$39="Bell_Curve",$NN$39*(240-$NR$39+1)*($NS$39-240+1)/$NU$39,$NN$39/$NT$39)),0)</f>
        <v/>
      </c>
      <c r="IK39" s="427">
        <f>IF(AND(241&gt;=$NR$39,241&lt;=$NS$39),IF($NP$39="Single_Point",IF(241=$NR$39,$NN$39,0),IF($NP$39="Bell_Curve",$NN$39*(241-$NR$39+1)*($NS$39-241+1)/$NU$39,$NN$39/$NT$39)),0)</f>
        <v/>
      </c>
      <c r="IL39" s="427">
        <f>IF(AND(242&gt;=$NR$39,242&lt;=$NS$39),IF($NP$39="Single_Point",IF(242=$NR$39,$NN$39,0),IF($NP$39="Bell_Curve",$NN$39*(242-$NR$39+1)*($NS$39-242+1)/$NU$39,$NN$39/$NT$39)),0)</f>
        <v/>
      </c>
      <c r="IM39" s="427">
        <f>IF(AND(243&gt;=$NR$39,243&lt;=$NS$39),IF($NP$39="Single_Point",IF(243=$NR$39,$NN$39,0),IF($NP$39="Bell_Curve",$NN$39*(243-$NR$39+1)*($NS$39-243+1)/$NU$39,$NN$39/$NT$39)),0)</f>
        <v/>
      </c>
      <c r="IN39" s="427">
        <f>IF(AND(244&gt;=$NR$39,244&lt;=$NS$39),IF($NP$39="Single_Point",IF(244=$NR$39,$NN$39,0),IF($NP$39="Bell_Curve",$NN$39*(244-$NR$39+1)*($NS$39-244+1)/$NU$39,$NN$39/$NT$39)),0)</f>
        <v/>
      </c>
      <c r="IO39" s="427">
        <f>IF(AND(245&gt;=$NR$39,245&lt;=$NS$39),IF($NP$39="Single_Point",IF(245=$NR$39,$NN$39,0),IF($NP$39="Bell_Curve",$NN$39*(245-$NR$39+1)*($NS$39-245+1)/$NU$39,$NN$39/$NT$39)),0)</f>
        <v/>
      </c>
      <c r="IP39" s="427">
        <f>IF(AND(246&gt;=$NR$39,246&lt;=$NS$39),IF($NP$39="Single_Point",IF(246=$NR$39,$NN$39,0),IF($NP$39="Bell_Curve",$NN$39*(246-$NR$39+1)*($NS$39-246+1)/$NU$39,$NN$39/$NT$39)),0)</f>
        <v/>
      </c>
      <c r="IQ39" s="427">
        <f>IF(AND(247&gt;=$NR$39,247&lt;=$NS$39),IF($NP$39="Single_Point",IF(247=$NR$39,$NN$39,0),IF($NP$39="Bell_Curve",$NN$39*(247-$NR$39+1)*($NS$39-247+1)/$NU$39,$NN$39/$NT$39)),0)</f>
        <v/>
      </c>
      <c r="IR39" s="427">
        <f>IF(AND(248&gt;=$NR$39,248&lt;=$NS$39),IF($NP$39="Single_Point",IF(248=$NR$39,$NN$39,0),IF($NP$39="Bell_Curve",$NN$39*(248-$NR$39+1)*($NS$39-248+1)/$NU$39,$NN$39/$NT$39)),0)</f>
        <v/>
      </c>
      <c r="IS39" s="427">
        <f>IF(AND(249&gt;=$NR$39,249&lt;=$NS$39),IF($NP$39="Single_Point",IF(249=$NR$39,$NN$39,0),IF($NP$39="Bell_Curve",$NN$39*(249-$NR$39+1)*($NS$39-249+1)/$NU$39,$NN$39/$NT$39)),0)</f>
        <v/>
      </c>
      <c r="IT39" s="427">
        <f>IF(AND(250&gt;=$NR$39,250&lt;=$NS$39),IF($NP$39="Single_Point",IF(250=$NR$39,$NN$39,0),IF($NP$39="Bell_Curve",$NN$39*(250-$NR$39+1)*($NS$39-250+1)/$NU$39,$NN$39/$NT$39)),0)</f>
        <v/>
      </c>
      <c r="IU39" s="427">
        <f>IF(AND(251&gt;=$NR$39,251&lt;=$NS$39),IF($NP$39="Single_Point",IF(251=$NR$39,$NN$39,0),IF($NP$39="Bell_Curve",$NN$39*(251-$NR$39+1)*($NS$39-251+1)/$NU$39,$NN$39/$NT$39)),0)</f>
        <v/>
      </c>
      <c r="IV39" s="427">
        <f>IF(AND(252&gt;=$NR$39,252&lt;=$NS$39),IF($NP$39="Single_Point",IF(252=$NR$39,$NN$39,0),IF($NP$39="Bell_Curve",$NN$39*(252-$NR$39+1)*($NS$39-252+1)/$NU$39,$NN$39/$NT$39)),0)</f>
        <v/>
      </c>
      <c r="IW39" s="427">
        <f>IF(AND(253&gt;=$NR$39,253&lt;=$NS$39),IF($NP$39="Single_Point",IF(253=$NR$39,$NN$39,0),IF($NP$39="Bell_Curve",$NN$39*(253-$NR$39+1)*($NS$39-253+1)/$NU$39,$NN$39/$NT$39)),0)</f>
        <v/>
      </c>
      <c r="IX39" s="427">
        <f>IF(AND(254&gt;=$NR$39,254&lt;=$NS$39),IF($NP$39="Single_Point",IF(254=$NR$39,$NN$39,0),IF($NP$39="Bell_Curve",$NN$39*(254-$NR$39+1)*($NS$39-254+1)/$NU$39,$NN$39/$NT$39)),0)</f>
        <v/>
      </c>
      <c r="IY39" s="427">
        <f>IF(AND(255&gt;=$NR$39,255&lt;=$NS$39),IF($NP$39="Single_Point",IF(255=$NR$39,$NN$39,0),IF($NP$39="Bell_Curve",$NN$39*(255-$NR$39+1)*($NS$39-255+1)/$NU$39,$NN$39/$NT$39)),0)</f>
        <v/>
      </c>
      <c r="IZ39" s="427">
        <f>IF(AND(256&gt;=$NR$39,256&lt;=$NS$39),IF($NP$39="Single_Point",IF(256=$NR$39,$NN$39,0),IF($NP$39="Bell_Curve",$NN$39*(256-$NR$39+1)*($NS$39-256+1)/$NU$39,$NN$39/$NT$39)),0)</f>
        <v/>
      </c>
      <c r="JA39" s="427">
        <f>IF(AND(257&gt;=$NR$39,257&lt;=$NS$39),IF($NP$39="Single_Point",IF(257=$NR$39,$NN$39,0),IF($NP$39="Bell_Curve",$NN$39*(257-$NR$39+1)*($NS$39-257+1)/$NU$39,$NN$39/$NT$39)),0)</f>
        <v/>
      </c>
      <c r="JB39" s="427">
        <f>IF(AND(258&gt;=$NR$39,258&lt;=$NS$39),IF($NP$39="Single_Point",IF(258=$NR$39,$NN$39,0),IF($NP$39="Bell_Curve",$NN$39*(258-$NR$39+1)*($NS$39-258+1)/$NU$39,$NN$39/$NT$39)),0)</f>
        <v/>
      </c>
      <c r="JC39" s="427">
        <f>IF(AND(259&gt;=$NR$39,259&lt;=$NS$39),IF($NP$39="Single_Point",IF(259=$NR$39,$NN$39,0),IF($NP$39="Bell_Curve",$NN$39*(259-$NR$39+1)*($NS$39-259+1)/$NU$39,$NN$39/$NT$39)),0)</f>
        <v/>
      </c>
      <c r="JD39" s="427">
        <f>IF(AND(260&gt;=$NR$39,260&lt;=$NS$39),IF($NP$39="Single_Point",IF(260=$NR$39,$NN$39,0),IF($NP$39="Bell_Curve",$NN$39*(260-$NR$39+1)*($NS$39-260+1)/$NU$39,$NN$39/$NT$39)),0)</f>
        <v/>
      </c>
      <c r="JE39" s="427">
        <f>IF(AND(261&gt;=$NR$39,261&lt;=$NS$39),IF($NP$39="Single_Point",IF(261=$NR$39,$NN$39,0),IF($NP$39="Bell_Curve",$NN$39*(261-$NR$39+1)*($NS$39-261+1)/$NU$39,$NN$39/$NT$39)),0)</f>
        <v/>
      </c>
      <c r="JF39" s="427">
        <f>IF(AND(262&gt;=$NR$39,262&lt;=$NS$39),IF($NP$39="Single_Point",IF(262=$NR$39,$NN$39,0),IF($NP$39="Bell_Curve",$NN$39*(262-$NR$39+1)*($NS$39-262+1)/$NU$39,$NN$39/$NT$39)),0)</f>
        <v/>
      </c>
      <c r="JG39" s="427">
        <f>IF(AND(263&gt;=$NR$39,263&lt;=$NS$39),IF($NP$39="Single_Point",IF(263=$NR$39,$NN$39,0),IF($NP$39="Bell_Curve",$NN$39*(263-$NR$39+1)*($NS$39-263+1)/$NU$39,$NN$39/$NT$39)),0)</f>
        <v/>
      </c>
      <c r="JH39" s="427">
        <f>IF(AND(264&gt;=$NR$39,264&lt;=$NS$39),IF($NP$39="Single_Point",IF(264=$NR$39,$NN$39,0),IF($NP$39="Bell_Curve",$NN$39*(264-$NR$39+1)*($NS$39-264+1)/$NU$39,$NN$39/$NT$39)),0)</f>
        <v/>
      </c>
      <c r="JI39" s="427">
        <f>IF(AND(265&gt;=$NR$39,265&lt;=$NS$39),IF($NP$39="Single_Point",IF(265=$NR$39,$NN$39,0),IF($NP$39="Bell_Curve",$NN$39*(265-$NR$39+1)*($NS$39-265+1)/$NU$39,$NN$39/$NT$39)),0)</f>
        <v/>
      </c>
      <c r="JJ39" s="427">
        <f>IF(AND(266&gt;=$NR$39,266&lt;=$NS$39),IF($NP$39="Single_Point",IF(266=$NR$39,$NN$39,0),IF($NP$39="Bell_Curve",$NN$39*(266-$NR$39+1)*($NS$39-266+1)/$NU$39,$NN$39/$NT$39)),0)</f>
        <v/>
      </c>
      <c r="JK39" s="427">
        <f>IF(AND(267&gt;=$NR$39,267&lt;=$NS$39),IF($NP$39="Single_Point",IF(267=$NR$39,$NN$39,0),IF($NP$39="Bell_Curve",$NN$39*(267-$NR$39+1)*($NS$39-267+1)/$NU$39,$NN$39/$NT$39)),0)</f>
        <v/>
      </c>
      <c r="JL39" s="427">
        <f>IF(AND(268&gt;=$NR$39,268&lt;=$NS$39),IF($NP$39="Single_Point",IF(268=$NR$39,$NN$39,0),IF($NP$39="Bell_Curve",$NN$39*(268-$NR$39+1)*($NS$39-268+1)/$NU$39,$NN$39/$NT$39)),0)</f>
        <v/>
      </c>
      <c r="JM39" s="427">
        <f>IF(AND(269&gt;=$NR$39,269&lt;=$NS$39),IF($NP$39="Single_Point",IF(269=$NR$39,$NN$39,0),IF($NP$39="Bell_Curve",$NN$39*(269-$NR$39+1)*($NS$39-269+1)/$NU$39,$NN$39/$NT$39)),0)</f>
        <v/>
      </c>
      <c r="JN39" s="427">
        <f>IF(AND(270&gt;=$NR$39,270&lt;=$NS$39),IF($NP$39="Single_Point",IF(270=$NR$39,$NN$39,0),IF($NP$39="Bell_Curve",$NN$39*(270-$NR$39+1)*($NS$39-270+1)/$NU$39,$NN$39/$NT$39)),0)</f>
        <v/>
      </c>
      <c r="JO39" s="427">
        <f>IF(AND(271&gt;=$NR$39,271&lt;=$NS$39),IF($NP$39="Single_Point",IF(271=$NR$39,$NN$39,0),IF($NP$39="Bell_Curve",$NN$39*(271-$NR$39+1)*($NS$39-271+1)/$NU$39,$NN$39/$NT$39)),0)</f>
        <v/>
      </c>
      <c r="JP39" s="427">
        <f>IF(AND(272&gt;=$NR$39,272&lt;=$NS$39),IF($NP$39="Single_Point",IF(272=$NR$39,$NN$39,0),IF($NP$39="Bell_Curve",$NN$39*(272-$NR$39+1)*($NS$39-272+1)/$NU$39,$NN$39/$NT$39)),0)</f>
        <v/>
      </c>
      <c r="JQ39" s="427">
        <f>IF(AND(273&gt;=$NR$39,273&lt;=$NS$39),IF($NP$39="Single_Point",IF(273=$NR$39,$NN$39,0),IF($NP$39="Bell_Curve",$NN$39*(273-$NR$39+1)*($NS$39-273+1)/$NU$39,$NN$39/$NT$39)),0)</f>
        <v/>
      </c>
      <c r="JR39" s="427">
        <f>IF(AND(274&gt;=$NR$39,274&lt;=$NS$39),IF($NP$39="Single_Point",IF(274=$NR$39,$NN$39,0),IF($NP$39="Bell_Curve",$NN$39*(274-$NR$39+1)*($NS$39-274+1)/$NU$39,$NN$39/$NT$39)),0)</f>
        <v/>
      </c>
      <c r="JS39" s="427">
        <f>IF(AND(275&gt;=$NR$39,275&lt;=$NS$39),IF($NP$39="Single_Point",IF(275=$NR$39,$NN$39,0),IF($NP$39="Bell_Curve",$NN$39*(275-$NR$39+1)*($NS$39-275+1)/$NU$39,$NN$39/$NT$39)),0)</f>
        <v/>
      </c>
      <c r="JT39" s="427">
        <f>IF(AND(276&gt;=$NR$39,276&lt;=$NS$39),IF($NP$39="Single_Point",IF(276=$NR$39,$NN$39,0),IF($NP$39="Bell_Curve",$NN$39*(276-$NR$39+1)*($NS$39-276+1)/$NU$39,$NN$39/$NT$39)),0)</f>
        <v/>
      </c>
      <c r="JU39" s="427">
        <f>IF(AND(277&gt;=$NR$39,277&lt;=$NS$39),IF($NP$39="Single_Point",IF(277=$NR$39,$NN$39,0),IF($NP$39="Bell_Curve",$NN$39*(277-$NR$39+1)*($NS$39-277+1)/$NU$39,$NN$39/$NT$39)),0)</f>
        <v/>
      </c>
      <c r="JV39" s="427">
        <f>IF(AND(278&gt;=$NR$39,278&lt;=$NS$39),IF($NP$39="Single_Point",IF(278=$NR$39,$NN$39,0),IF($NP$39="Bell_Curve",$NN$39*(278-$NR$39+1)*($NS$39-278+1)/$NU$39,$NN$39/$NT$39)),0)</f>
        <v/>
      </c>
      <c r="JW39" s="427">
        <f>IF(AND(279&gt;=$NR$39,279&lt;=$NS$39),IF($NP$39="Single_Point",IF(279=$NR$39,$NN$39,0),IF($NP$39="Bell_Curve",$NN$39*(279-$NR$39+1)*($NS$39-279+1)/$NU$39,$NN$39/$NT$39)),0)</f>
        <v/>
      </c>
      <c r="JX39" s="427">
        <f>IF(AND(280&gt;=$NR$39,280&lt;=$NS$39),IF($NP$39="Single_Point",IF(280=$NR$39,$NN$39,0),IF($NP$39="Bell_Curve",$NN$39*(280-$NR$39+1)*($NS$39-280+1)/$NU$39,$NN$39/$NT$39)),0)</f>
        <v/>
      </c>
      <c r="JY39" s="427">
        <f>IF(AND(281&gt;=$NR$39,281&lt;=$NS$39),IF($NP$39="Single_Point",IF(281=$NR$39,$NN$39,0),IF($NP$39="Bell_Curve",$NN$39*(281-$NR$39+1)*($NS$39-281+1)/$NU$39,$NN$39/$NT$39)),0)</f>
        <v/>
      </c>
      <c r="JZ39" s="427">
        <f>IF(AND(282&gt;=$NR$39,282&lt;=$NS$39),IF($NP$39="Single_Point",IF(282=$NR$39,$NN$39,0),IF($NP$39="Bell_Curve",$NN$39*(282-$NR$39+1)*($NS$39-282+1)/$NU$39,$NN$39/$NT$39)),0)</f>
        <v/>
      </c>
      <c r="KA39" s="427">
        <f>IF(AND(283&gt;=$NR$39,283&lt;=$NS$39),IF($NP$39="Single_Point",IF(283=$NR$39,$NN$39,0),IF($NP$39="Bell_Curve",$NN$39*(283-$NR$39+1)*($NS$39-283+1)/$NU$39,$NN$39/$NT$39)),0)</f>
        <v/>
      </c>
      <c r="KB39" s="427">
        <f>IF(AND(284&gt;=$NR$39,284&lt;=$NS$39),IF($NP$39="Single_Point",IF(284=$NR$39,$NN$39,0),IF($NP$39="Bell_Curve",$NN$39*(284-$NR$39+1)*($NS$39-284+1)/$NU$39,$NN$39/$NT$39)),0)</f>
        <v/>
      </c>
      <c r="KC39" s="427">
        <f>IF(AND(285&gt;=$NR$39,285&lt;=$NS$39),IF($NP$39="Single_Point",IF(285=$NR$39,$NN$39,0),IF($NP$39="Bell_Curve",$NN$39*(285-$NR$39+1)*($NS$39-285+1)/$NU$39,$NN$39/$NT$39)),0)</f>
        <v/>
      </c>
      <c r="KD39" s="427">
        <f>IF(AND(286&gt;=$NR$39,286&lt;=$NS$39),IF($NP$39="Single_Point",IF(286=$NR$39,$NN$39,0),IF($NP$39="Bell_Curve",$NN$39*(286-$NR$39+1)*($NS$39-286+1)/$NU$39,$NN$39/$NT$39)),0)</f>
        <v/>
      </c>
      <c r="KE39" s="427">
        <f>IF(AND(287&gt;=$NR$39,287&lt;=$NS$39),IF($NP$39="Single_Point",IF(287=$NR$39,$NN$39,0),IF($NP$39="Bell_Curve",$NN$39*(287-$NR$39+1)*($NS$39-287+1)/$NU$39,$NN$39/$NT$39)),0)</f>
        <v/>
      </c>
      <c r="KF39" s="427">
        <f>IF(AND(288&gt;=$NR$39,288&lt;=$NS$39),IF($NP$39="Single_Point",IF(288=$NR$39,$NN$39,0),IF($NP$39="Bell_Curve",$NN$39*(288-$NR$39+1)*($NS$39-288+1)/$NU$39,$NN$39/$NT$39)),0)</f>
        <v/>
      </c>
      <c r="KG39" s="427">
        <f>IF(AND(289&gt;=$NR$39,289&lt;=$NS$39),IF($NP$39="Single_Point",IF(289=$NR$39,$NN$39,0),IF($NP$39="Bell_Curve",$NN$39*(289-$NR$39+1)*($NS$39-289+1)/$NU$39,$NN$39/$NT$39)),0)</f>
        <v/>
      </c>
      <c r="KH39" s="427">
        <f>IF(AND(290&gt;=$NR$39,290&lt;=$NS$39),IF($NP$39="Single_Point",IF(290=$NR$39,$NN$39,0),IF($NP$39="Bell_Curve",$NN$39*(290-$NR$39+1)*($NS$39-290+1)/$NU$39,$NN$39/$NT$39)),0)</f>
        <v/>
      </c>
      <c r="KI39" s="427">
        <f>IF(AND(291&gt;=$NR$39,291&lt;=$NS$39),IF($NP$39="Single_Point",IF(291=$NR$39,$NN$39,0),IF($NP$39="Bell_Curve",$NN$39*(291-$NR$39+1)*($NS$39-291+1)/$NU$39,$NN$39/$NT$39)),0)</f>
        <v/>
      </c>
      <c r="KJ39" s="427">
        <f>IF(AND(292&gt;=$NR$39,292&lt;=$NS$39),IF($NP$39="Single_Point",IF(292=$NR$39,$NN$39,0),IF($NP$39="Bell_Curve",$NN$39*(292-$NR$39+1)*($NS$39-292+1)/$NU$39,$NN$39/$NT$39)),0)</f>
        <v/>
      </c>
      <c r="KK39" s="427">
        <f>IF(AND(293&gt;=$NR$39,293&lt;=$NS$39),IF($NP$39="Single_Point",IF(293=$NR$39,$NN$39,0),IF($NP$39="Bell_Curve",$NN$39*(293-$NR$39+1)*($NS$39-293+1)/$NU$39,$NN$39/$NT$39)),0)</f>
        <v/>
      </c>
      <c r="KL39" s="427">
        <f>IF(AND(294&gt;=$NR$39,294&lt;=$NS$39),IF($NP$39="Single_Point",IF(294=$NR$39,$NN$39,0),IF($NP$39="Bell_Curve",$NN$39*(294-$NR$39+1)*($NS$39-294+1)/$NU$39,$NN$39/$NT$39)),0)</f>
        <v/>
      </c>
      <c r="KM39" s="427">
        <f>IF(AND(295&gt;=$NR$39,295&lt;=$NS$39),IF($NP$39="Single_Point",IF(295=$NR$39,$NN$39,0),IF($NP$39="Bell_Curve",$NN$39*(295-$NR$39+1)*($NS$39-295+1)/$NU$39,$NN$39/$NT$39)),0)</f>
        <v/>
      </c>
      <c r="KN39" s="427">
        <f>IF(AND(296&gt;=$NR$39,296&lt;=$NS$39),IF($NP$39="Single_Point",IF(296=$NR$39,$NN$39,0),IF($NP$39="Bell_Curve",$NN$39*(296-$NR$39+1)*($NS$39-296+1)/$NU$39,$NN$39/$NT$39)),0)</f>
        <v/>
      </c>
      <c r="KO39" s="427">
        <f>IF(AND(297&gt;=$NR$39,297&lt;=$NS$39),IF($NP$39="Single_Point",IF(297=$NR$39,$NN$39,0),IF($NP$39="Bell_Curve",$NN$39*(297-$NR$39+1)*($NS$39-297+1)/$NU$39,$NN$39/$NT$39)),0)</f>
        <v/>
      </c>
      <c r="KP39" s="427">
        <f>IF(AND(298&gt;=$NR$39,298&lt;=$NS$39),IF($NP$39="Single_Point",IF(298=$NR$39,$NN$39,0),IF($NP$39="Bell_Curve",$NN$39*(298-$NR$39+1)*($NS$39-298+1)/$NU$39,$NN$39/$NT$39)),0)</f>
        <v/>
      </c>
      <c r="KQ39" s="427">
        <f>IF(AND(299&gt;=$NR$39,299&lt;=$NS$39),IF($NP$39="Single_Point",IF(299=$NR$39,$NN$39,0),IF($NP$39="Bell_Curve",$NN$39*(299-$NR$39+1)*($NS$39-299+1)/$NU$39,$NN$39/$NT$39)),0)</f>
        <v/>
      </c>
      <c r="KR39" s="427">
        <f>IF(AND(300&gt;=$NR$39,300&lt;=$NS$39),IF($NP$39="Single_Point",IF(300=$NR$39,$NN$39,0),IF($NP$39="Bell_Curve",$NN$39*(300-$NR$39+1)*($NS$39-300+1)/$NU$39,$NN$39/$NT$39)),0)</f>
        <v/>
      </c>
      <c r="KS39" s="427">
        <f>IF(AND(301&gt;=$NR$39,301&lt;=$NS$39),IF($NP$39="Single_Point",IF(301=$NR$39,$NN$39,0),IF($NP$39="Bell_Curve",$NN$39*(301-$NR$39+1)*($NS$39-301+1)/$NU$39,$NN$39/$NT$39)),0)</f>
        <v/>
      </c>
      <c r="KT39" s="427">
        <f>IF(AND(302&gt;=$NR$39,302&lt;=$NS$39),IF($NP$39="Single_Point",IF(302=$NR$39,$NN$39,0),IF($NP$39="Bell_Curve",$NN$39*(302-$NR$39+1)*($NS$39-302+1)/$NU$39,$NN$39/$NT$39)),0)</f>
        <v/>
      </c>
      <c r="KU39" s="427">
        <f>IF(AND(303&gt;=$NR$39,303&lt;=$NS$39),IF($NP$39="Single_Point",IF(303=$NR$39,$NN$39,0),IF($NP$39="Bell_Curve",$NN$39*(303-$NR$39+1)*($NS$39-303+1)/$NU$39,$NN$39/$NT$39)),0)</f>
        <v/>
      </c>
      <c r="KV39" s="427">
        <f>IF(AND(304&gt;=$NR$39,304&lt;=$NS$39),IF($NP$39="Single_Point",IF(304=$NR$39,$NN$39,0),IF($NP$39="Bell_Curve",$NN$39*(304-$NR$39+1)*($NS$39-304+1)/$NU$39,$NN$39/$NT$39)),0)</f>
        <v/>
      </c>
      <c r="KW39" s="427">
        <f>IF(AND(305&gt;=$NR$39,305&lt;=$NS$39),IF($NP$39="Single_Point",IF(305=$NR$39,$NN$39,0),IF($NP$39="Bell_Curve",$NN$39*(305-$NR$39+1)*($NS$39-305+1)/$NU$39,$NN$39/$NT$39)),0)</f>
        <v/>
      </c>
      <c r="KX39" s="427">
        <f>IF(AND(306&gt;=$NR$39,306&lt;=$NS$39),IF($NP$39="Single_Point",IF(306=$NR$39,$NN$39,0),IF($NP$39="Bell_Curve",$NN$39*(306-$NR$39+1)*($NS$39-306+1)/$NU$39,$NN$39/$NT$39)),0)</f>
        <v/>
      </c>
      <c r="KY39" s="427">
        <f>IF(AND(307&gt;=$NR$39,307&lt;=$NS$39),IF($NP$39="Single_Point",IF(307=$NR$39,$NN$39,0),IF($NP$39="Bell_Curve",$NN$39*(307-$NR$39+1)*($NS$39-307+1)/$NU$39,$NN$39/$NT$39)),0)</f>
        <v/>
      </c>
      <c r="KZ39" s="427">
        <f>IF(AND(308&gt;=$NR$39,308&lt;=$NS$39),IF($NP$39="Single_Point",IF(308=$NR$39,$NN$39,0),IF($NP$39="Bell_Curve",$NN$39*(308-$NR$39+1)*($NS$39-308+1)/$NU$39,$NN$39/$NT$39)),0)</f>
        <v/>
      </c>
      <c r="LA39" s="427">
        <f>IF(AND(309&gt;=$NR$39,309&lt;=$NS$39),IF($NP$39="Single_Point",IF(309=$NR$39,$NN$39,0),IF($NP$39="Bell_Curve",$NN$39*(309-$NR$39+1)*($NS$39-309+1)/$NU$39,$NN$39/$NT$39)),0)</f>
        <v/>
      </c>
      <c r="LB39" s="427">
        <f>IF(AND(310&gt;=$NR$39,310&lt;=$NS$39),IF($NP$39="Single_Point",IF(310=$NR$39,$NN$39,0),IF($NP$39="Bell_Curve",$NN$39*(310-$NR$39+1)*($NS$39-310+1)/$NU$39,$NN$39/$NT$39)),0)</f>
        <v/>
      </c>
      <c r="LC39" s="427">
        <f>IF(AND(311&gt;=$NR$39,311&lt;=$NS$39),IF($NP$39="Single_Point",IF(311=$NR$39,$NN$39,0),IF($NP$39="Bell_Curve",$NN$39*(311-$NR$39+1)*($NS$39-311+1)/$NU$39,$NN$39/$NT$39)),0)</f>
        <v/>
      </c>
      <c r="LD39" s="427">
        <f>IF(AND(312&gt;=$NR$39,312&lt;=$NS$39),IF($NP$39="Single_Point",IF(312=$NR$39,$NN$39,0),IF($NP$39="Bell_Curve",$NN$39*(312-$NR$39+1)*($NS$39-312+1)/$NU$39,$NN$39/$NT$39)),0)</f>
        <v/>
      </c>
      <c r="LE39" s="427">
        <f>IF(AND(313&gt;=$NR$39,313&lt;=$NS$39),IF($NP$39="Single_Point",IF(313=$NR$39,$NN$39,0),IF($NP$39="Bell_Curve",$NN$39*(313-$NR$39+1)*($NS$39-313+1)/$NU$39,$NN$39/$NT$39)),0)</f>
        <v/>
      </c>
      <c r="LF39" s="427">
        <f>IF(AND(314&gt;=$NR$39,314&lt;=$NS$39),IF($NP$39="Single_Point",IF(314=$NR$39,$NN$39,0),IF($NP$39="Bell_Curve",$NN$39*(314-$NR$39+1)*($NS$39-314+1)/$NU$39,$NN$39/$NT$39)),0)</f>
        <v/>
      </c>
      <c r="LG39" s="427">
        <f>IF(AND(315&gt;=$NR$39,315&lt;=$NS$39),IF($NP$39="Single_Point",IF(315=$NR$39,$NN$39,0),IF($NP$39="Bell_Curve",$NN$39*(315-$NR$39+1)*($NS$39-315+1)/$NU$39,$NN$39/$NT$39)),0)</f>
        <v/>
      </c>
      <c r="LH39" s="427">
        <f>IF(AND(316&gt;=$NR$39,316&lt;=$NS$39),IF($NP$39="Single_Point",IF(316=$NR$39,$NN$39,0),IF($NP$39="Bell_Curve",$NN$39*(316-$NR$39+1)*($NS$39-316+1)/$NU$39,$NN$39/$NT$39)),0)</f>
        <v/>
      </c>
      <c r="LI39" s="427">
        <f>IF(AND(317&gt;=$NR$39,317&lt;=$NS$39),IF($NP$39="Single_Point",IF(317=$NR$39,$NN$39,0),IF($NP$39="Bell_Curve",$NN$39*(317-$NR$39+1)*($NS$39-317+1)/$NU$39,$NN$39/$NT$39)),0)</f>
        <v/>
      </c>
      <c r="LJ39" s="427">
        <f>IF(AND(318&gt;=$NR$39,318&lt;=$NS$39),IF($NP$39="Single_Point",IF(318=$NR$39,$NN$39,0),IF($NP$39="Bell_Curve",$NN$39*(318-$NR$39+1)*($NS$39-318+1)/$NU$39,$NN$39/$NT$39)),0)</f>
        <v/>
      </c>
      <c r="LK39" s="427">
        <f>IF(AND(319&gt;=$NR$39,319&lt;=$NS$39),IF($NP$39="Single_Point",IF(319=$NR$39,$NN$39,0),IF($NP$39="Bell_Curve",$NN$39*(319-$NR$39+1)*($NS$39-319+1)/$NU$39,$NN$39/$NT$39)),0)</f>
        <v/>
      </c>
      <c r="LL39" s="427">
        <f>IF(AND(320&gt;=$NR$39,320&lt;=$NS$39),IF($NP$39="Single_Point",IF(320=$NR$39,$NN$39,0),IF($NP$39="Bell_Curve",$NN$39*(320-$NR$39+1)*($NS$39-320+1)/$NU$39,$NN$39/$NT$39)),0)</f>
        <v/>
      </c>
      <c r="LM39" s="427">
        <f>IF(AND(321&gt;=$NR$39,321&lt;=$NS$39),IF($NP$39="Single_Point",IF(321=$NR$39,$NN$39,0),IF($NP$39="Bell_Curve",$NN$39*(321-$NR$39+1)*($NS$39-321+1)/$NU$39,$NN$39/$NT$39)),0)</f>
        <v/>
      </c>
      <c r="LN39" s="427">
        <f>IF(AND(322&gt;=$NR$39,322&lt;=$NS$39),IF($NP$39="Single_Point",IF(322=$NR$39,$NN$39,0),IF($NP$39="Bell_Curve",$NN$39*(322-$NR$39+1)*($NS$39-322+1)/$NU$39,$NN$39/$NT$39)),0)</f>
        <v/>
      </c>
      <c r="LO39" s="427">
        <f>IF(AND(323&gt;=$NR$39,323&lt;=$NS$39),IF($NP$39="Single_Point",IF(323=$NR$39,$NN$39,0),IF($NP$39="Bell_Curve",$NN$39*(323-$NR$39+1)*($NS$39-323+1)/$NU$39,$NN$39/$NT$39)),0)</f>
        <v/>
      </c>
      <c r="LP39" s="427">
        <f>IF(AND(324&gt;=$NR$39,324&lt;=$NS$39),IF($NP$39="Single_Point",IF(324=$NR$39,$NN$39,0),IF($NP$39="Bell_Curve",$NN$39*(324-$NR$39+1)*($NS$39-324+1)/$NU$39,$NN$39/$NT$39)),0)</f>
        <v/>
      </c>
      <c r="LQ39" s="427">
        <f>IF(AND(325&gt;=$NR$39,325&lt;=$NS$39),IF($NP$39="Single_Point",IF(325=$NR$39,$NN$39,0),IF($NP$39="Bell_Curve",$NN$39*(325-$NR$39+1)*($NS$39-325+1)/$NU$39,$NN$39/$NT$39)),0)</f>
        <v/>
      </c>
      <c r="LR39" s="427">
        <f>IF(AND(326&gt;=$NR$39,326&lt;=$NS$39),IF($NP$39="Single_Point",IF(326=$NR$39,$NN$39,0),IF($NP$39="Bell_Curve",$NN$39*(326-$NR$39+1)*($NS$39-326+1)/$NU$39,$NN$39/$NT$39)),0)</f>
        <v/>
      </c>
      <c r="LS39" s="427">
        <f>IF(AND(327&gt;=$NR$39,327&lt;=$NS$39),IF($NP$39="Single_Point",IF(327=$NR$39,$NN$39,0),IF($NP$39="Bell_Curve",$NN$39*(327-$NR$39+1)*($NS$39-327+1)/$NU$39,$NN$39/$NT$39)),0)</f>
        <v/>
      </c>
      <c r="LT39" s="427">
        <f>IF(AND(328&gt;=$NR$39,328&lt;=$NS$39),IF($NP$39="Single_Point",IF(328=$NR$39,$NN$39,0),IF($NP$39="Bell_Curve",$NN$39*(328-$NR$39+1)*($NS$39-328+1)/$NU$39,$NN$39/$NT$39)),0)</f>
        <v/>
      </c>
      <c r="LU39" s="427">
        <f>IF(AND(329&gt;=$NR$39,329&lt;=$NS$39),IF($NP$39="Single_Point",IF(329=$NR$39,$NN$39,0),IF($NP$39="Bell_Curve",$NN$39*(329-$NR$39+1)*($NS$39-329+1)/$NU$39,$NN$39/$NT$39)),0)</f>
        <v/>
      </c>
      <c r="LV39" s="427">
        <f>IF(AND(330&gt;=$NR$39,330&lt;=$NS$39),IF($NP$39="Single_Point",IF(330=$NR$39,$NN$39,0),IF($NP$39="Bell_Curve",$NN$39*(330-$NR$39+1)*($NS$39-330+1)/$NU$39,$NN$39/$NT$39)),0)</f>
        <v/>
      </c>
      <c r="LW39" s="427">
        <f>IF(AND(331&gt;=$NR$39,331&lt;=$NS$39),IF($NP$39="Single_Point",IF(331=$NR$39,$NN$39,0),IF($NP$39="Bell_Curve",$NN$39*(331-$NR$39+1)*($NS$39-331+1)/$NU$39,$NN$39/$NT$39)),0)</f>
        <v/>
      </c>
      <c r="LX39" s="427">
        <f>IF(AND(332&gt;=$NR$39,332&lt;=$NS$39),IF($NP$39="Single_Point",IF(332=$NR$39,$NN$39,0),IF($NP$39="Bell_Curve",$NN$39*(332-$NR$39+1)*($NS$39-332+1)/$NU$39,$NN$39/$NT$39)),0)</f>
        <v/>
      </c>
      <c r="LY39" s="427">
        <f>IF(AND(333&gt;=$NR$39,333&lt;=$NS$39),IF($NP$39="Single_Point",IF(333=$NR$39,$NN$39,0),IF($NP$39="Bell_Curve",$NN$39*(333-$NR$39+1)*($NS$39-333+1)/$NU$39,$NN$39/$NT$39)),0)</f>
        <v/>
      </c>
      <c r="LZ39" s="427">
        <f>IF(AND(334&gt;=$NR$39,334&lt;=$NS$39),IF($NP$39="Single_Point",IF(334=$NR$39,$NN$39,0),IF($NP$39="Bell_Curve",$NN$39*(334-$NR$39+1)*($NS$39-334+1)/$NU$39,$NN$39/$NT$39)),0)</f>
        <v/>
      </c>
      <c r="MA39" s="427">
        <f>IF(AND(335&gt;=$NR$39,335&lt;=$NS$39),IF($NP$39="Single_Point",IF(335=$NR$39,$NN$39,0),IF($NP$39="Bell_Curve",$NN$39*(335-$NR$39+1)*($NS$39-335+1)/$NU$39,$NN$39/$NT$39)),0)</f>
        <v/>
      </c>
      <c r="MB39" s="427">
        <f>IF(AND(336&gt;=$NR$39,336&lt;=$NS$39),IF($NP$39="Single_Point",IF(336=$NR$39,$NN$39,0),IF($NP$39="Bell_Curve",$NN$39*(336-$NR$39+1)*($NS$39-336+1)/$NU$39,$NN$39/$NT$39)),0)</f>
        <v/>
      </c>
      <c r="MC39" s="427">
        <f>IF(AND(337&gt;=$NR$39,337&lt;=$NS$39),IF($NP$39="Single_Point",IF(337=$NR$39,$NN$39,0),IF($NP$39="Bell_Curve",$NN$39*(337-$NR$39+1)*($NS$39-337+1)/$NU$39,$NN$39/$NT$39)),0)</f>
        <v/>
      </c>
      <c r="MD39" s="427">
        <f>IF(AND(338&gt;=$NR$39,338&lt;=$NS$39),IF($NP$39="Single_Point",IF(338=$NR$39,$NN$39,0),IF($NP$39="Bell_Curve",$NN$39*(338-$NR$39+1)*($NS$39-338+1)/$NU$39,$NN$39/$NT$39)),0)</f>
        <v/>
      </c>
      <c r="ME39" s="427">
        <f>IF(AND(339&gt;=$NR$39,339&lt;=$NS$39),IF($NP$39="Single_Point",IF(339=$NR$39,$NN$39,0),IF($NP$39="Bell_Curve",$NN$39*(339-$NR$39+1)*($NS$39-339+1)/$NU$39,$NN$39/$NT$39)),0)</f>
        <v/>
      </c>
      <c r="MF39" s="427">
        <f>IF(AND(340&gt;=$NR$39,340&lt;=$NS$39),IF($NP$39="Single_Point",IF(340=$NR$39,$NN$39,0),IF($NP$39="Bell_Curve",$NN$39*(340-$NR$39+1)*($NS$39-340+1)/$NU$39,$NN$39/$NT$39)),0)</f>
        <v/>
      </c>
      <c r="MG39" s="427">
        <f>IF(AND(341&gt;=$NR$39,341&lt;=$NS$39),IF($NP$39="Single_Point",IF(341=$NR$39,$NN$39,0),IF($NP$39="Bell_Curve",$NN$39*(341-$NR$39+1)*($NS$39-341+1)/$NU$39,$NN$39/$NT$39)),0)</f>
        <v/>
      </c>
      <c r="MH39" s="427">
        <f>IF(AND(342&gt;=$NR$39,342&lt;=$NS$39),IF($NP$39="Single_Point",IF(342=$NR$39,$NN$39,0),IF($NP$39="Bell_Curve",$NN$39*(342-$NR$39+1)*($NS$39-342+1)/$NU$39,$NN$39/$NT$39)),0)</f>
        <v/>
      </c>
      <c r="MI39" s="427">
        <f>IF(AND(343&gt;=$NR$39,343&lt;=$NS$39),IF($NP$39="Single_Point",IF(343=$NR$39,$NN$39,0),IF($NP$39="Bell_Curve",$NN$39*(343-$NR$39+1)*($NS$39-343+1)/$NU$39,$NN$39/$NT$39)),0)</f>
        <v/>
      </c>
      <c r="MJ39" s="427">
        <f>IF(AND(344&gt;=$NR$39,344&lt;=$NS$39),IF($NP$39="Single_Point",IF(344=$NR$39,$NN$39,0),IF($NP$39="Bell_Curve",$NN$39*(344-$NR$39+1)*($NS$39-344+1)/$NU$39,$NN$39/$NT$39)),0)</f>
        <v/>
      </c>
      <c r="MK39" s="427">
        <f>IF(AND(345&gt;=$NR$39,345&lt;=$NS$39),IF($NP$39="Single_Point",IF(345=$NR$39,$NN$39,0),IF($NP$39="Bell_Curve",$NN$39*(345-$NR$39+1)*($NS$39-345+1)/$NU$39,$NN$39/$NT$39)),0)</f>
        <v/>
      </c>
      <c r="ML39" s="427">
        <f>IF(AND(346&gt;=$NR$39,346&lt;=$NS$39),IF($NP$39="Single_Point",IF(346=$NR$39,$NN$39,0),IF($NP$39="Bell_Curve",$NN$39*(346-$NR$39+1)*($NS$39-346+1)/$NU$39,$NN$39/$NT$39)),0)</f>
        <v/>
      </c>
      <c r="MM39" s="427">
        <f>IF(AND(347&gt;=$NR$39,347&lt;=$NS$39),IF($NP$39="Single_Point",IF(347=$NR$39,$NN$39,0),IF($NP$39="Bell_Curve",$NN$39*(347-$NR$39+1)*($NS$39-347+1)/$NU$39,$NN$39/$NT$39)),0)</f>
        <v/>
      </c>
      <c r="MN39" s="427">
        <f>IF(AND(348&gt;=$NR$39,348&lt;=$NS$39),IF($NP$39="Single_Point",IF(348=$NR$39,$NN$39,0),IF($NP$39="Bell_Curve",$NN$39*(348-$NR$39+1)*($NS$39-348+1)/$NU$39,$NN$39/$NT$39)),0)</f>
        <v/>
      </c>
      <c r="MO39" s="427">
        <f>IF(AND(349&gt;=$NR$39,349&lt;=$NS$39),IF($NP$39="Single_Point",IF(349=$NR$39,$NN$39,0),IF($NP$39="Bell_Curve",$NN$39*(349-$NR$39+1)*($NS$39-349+1)/$NU$39,$NN$39/$NT$39)),0)</f>
        <v/>
      </c>
      <c r="MP39" s="427">
        <f>IF(AND(350&gt;=$NR$39,350&lt;=$NS$39),IF($NP$39="Single_Point",IF(350=$NR$39,$NN$39,0),IF($NP$39="Bell_Curve",$NN$39*(350-$NR$39+1)*($NS$39-350+1)/$NU$39,$NN$39/$NT$39)),0)</f>
        <v/>
      </c>
      <c r="MQ39" s="427">
        <f>IF(AND(351&gt;=$NR$39,351&lt;=$NS$39),IF($NP$39="Single_Point",IF(351=$NR$39,$NN$39,0),IF($NP$39="Bell_Curve",$NN$39*(351-$NR$39+1)*($NS$39-351+1)/$NU$39,$NN$39/$NT$39)),0)</f>
        <v/>
      </c>
      <c r="MR39" s="427">
        <f>IF(AND(352&gt;=$NR$39,352&lt;=$NS$39),IF($NP$39="Single_Point",IF(352=$NR$39,$NN$39,0),IF($NP$39="Bell_Curve",$NN$39*(352-$NR$39+1)*($NS$39-352+1)/$NU$39,$NN$39/$NT$39)),0)</f>
        <v/>
      </c>
      <c r="MS39" s="427">
        <f>IF(AND(353&gt;=$NR$39,353&lt;=$NS$39),IF($NP$39="Single_Point",IF(353=$NR$39,$NN$39,0),IF($NP$39="Bell_Curve",$NN$39*(353-$NR$39+1)*($NS$39-353+1)/$NU$39,$NN$39/$NT$39)),0)</f>
        <v/>
      </c>
      <c r="MT39" s="427">
        <f>IF(AND(354&gt;=$NR$39,354&lt;=$NS$39),IF($NP$39="Single_Point",IF(354=$NR$39,$NN$39,0),IF($NP$39="Bell_Curve",$NN$39*(354-$NR$39+1)*($NS$39-354+1)/$NU$39,$NN$39/$NT$39)),0)</f>
        <v/>
      </c>
      <c r="MU39" s="427">
        <f>IF(AND(355&gt;=$NR$39,355&lt;=$NS$39),IF($NP$39="Single_Point",IF(355=$NR$39,$NN$39,0),IF($NP$39="Bell_Curve",$NN$39*(355-$NR$39+1)*($NS$39-355+1)/$NU$39,$NN$39/$NT$39)),0)</f>
        <v/>
      </c>
      <c r="MV39" s="427">
        <f>IF(AND(356&gt;=$NR$39,356&lt;=$NS$39),IF($NP$39="Single_Point",IF(356=$NR$39,$NN$39,0),IF($NP$39="Bell_Curve",$NN$39*(356-$NR$39+1)*($NS$39-356+1)/$NU$39,$NN$39/$NT$39)),0)</f>
        <v/>
      </c>
      <c r="MW39" s="427">
        <f>IF(AND(357&gt;=$NR$39,357&lt;=$NS$39),IF($NP$39="Single_Point",IF(357=$NR$39,$NN$39,0),IF($NP$39="Bell_Curve",$NN$39*(357-$NR$39+1)*($NS$39-357+1)/$NU$39,$NN$39/$NT$39)),0)</f>
        <v/>
      </c>
      <c r="MX39" s="427">
        <f>IF(AND(358&gt;=$NR$39,358&lt;=$NS$39),IF($NP$39="Single_Point",IF(358=$NR$39,$NN$39,0),IF($NP$39="Bell_Curve",$NN$39*(358-$NR$39+1)*($NS$39-358+1)/$NU$39,$NN$39/$NT$39)),0)</f>
        <v/>
      </c>
      <c r="MY39" s="427">
        <f>IF(AND(359&gt;=$NR$39,359&lt;=$NS$39),IF($NP$39="Single_Point",IF(359=$NR$39,$NN$39,0),IF($NP$39="Bell_Curve",$NN$39*(359-$NR$39+1)*($NS$39-359+1)/$NU$39,$NN$39/$NT$39)),0)</f>
        <v/>
      </c>
      <c r="MZ39" s="427">
        <f>IF(AND(360&gt;=$NR$39,360&lt;=$NS$39),IF($NP$39="Single_Point",IF(360=$NR$39,$NN$39,0),IF($NP$39="Bell_Curve",$NN$39*(360-$NR$39+1)*($NS$39-360+1)/$NU$39,$NN$39/$NT$39)),0)</f>
        <v/>
      </c>
      <c r="NA39" s="427">
        <f>IF(AND(361&gt;=$NR$39,361&lt;=$NS$39),IF($NP$39="Single_Point",IF(361=$NR$39,$NN$39,0),IF($NP$39="Bell_Curve",$NN$39*(361-$NR$39+1)*($NS$39-361+1)/$NU$39,$NN$39/$NT$39)),0)</f>
        <v/>
      </c>
      <c r="NB39" s="427">
        <f>IF(AND(362&gt;=$NR$39,362&lt;=$NS$39),IF($NP$39="Single_Point",IF(362=$NR$39,$NN$39,0),IF($NP$39="Bell_Curve",$NN$39*(362-$NR$39+1)*($NS$39-362+1)/$NU$39,$NN$39/$NT$39)),0)</f>
        <v/>
      </c>
      <c r="NC39" s="427">
        <f>IF(AND(363&gt;=$NR$39,363&lt;=$NS$39),IF($NP$39="Single_Point",IF(363=$NR$39,$NN$39,0),IF($NP$39="Bell_Curve",$NN$39*(363-$NR$39+1)*($NS$39-363+1)/$NU$39,$NN$39/$NT$39)),0)</f>
        <v/>
      </c>
      <c r="ND39" s="427">
        <f>IF(AND(364&gt;=$NR$39,364&lt;=$NS$39),IF($NP$39="Single_Point",IF(364=$NR$39,$NN$39,0),IF($NP$39="Bell_Curve",$NN$39*(364-$NR$39+1)*($NS$39-364+1)/$NU$39,$NN$39/$NT$39)),0)</f>
        <v/>
      </c>
      <c r="NE39" s="427">
        <f>IF(AND(365&gt;=$NR$39,365&lt;=$NS$39),IF($NP$39="Single_Point",IF(365=$NR$39,$NN$39,0),IF($NP$39="Bell_Curve",$NN$39*(365-$NR$39+1)*($NS$39-365+1)/$NU$39,$NN$39/$NT$39)),0)</f>
        <v/>
      </c>
      <c r="NF39" s="427">
        <f>IF(AND(366&gt;=$NR$39,366&lt;=$NS$39),IF($NP$39="Single_Point",IF(366=$NR$39,$NN$39,0),IF($NP$39="Bell_Curve",$NN$39*(366-$NR$39+1)*($NS$39-366+1)/$NU$39,$NN$39/$NT$39)),0)</f>
        <v/>
      </c>
      <c r="NG39" s="427">
        <f>IF(AND(367&gt;=$NR$39,367&lt;=$NS$39),IF($NP$39="Single_Point",IF(367=$NR$39,$NN$39,0),IF($NP$39="Bell_Curve",$NN$39*(367-$NR$39+1)*($NS$39-367+1)/$NU$39,$NN$39/$NT$39)),0)</f>
        <v/>
      </c>
      <c r="NH39" s="427">
        <f>IF(AND(368&gt;=$NR$39,368&lt;=$NS$39),IF($NP$39="Single_Point",IF(368=$NR$39,$NN$39,0),IF($NP$39="Bell_Curve",$NN$39*(368-$NR$39+1)*($NS$39-368+1)/$NU$39,$NN$39/$NT$39)),0)</f>
        <v/>
      </c>
      <c r="NI39" s="427">
        <f>IF(AND(369&gt;=$NR$39,369&lt;=$NS$39),IF($NP$39="Single_Point",IF(369=$NR$39,$NN$39,0),IF($NP$39="Bell_Curve",$NN$39*(369-$NR$39+1)*($NS$39-369+1)/$NU$39,$NN$39/$NT$39)),0)</f>
        <v/>
      </c>
      <c r="NJ39" s="427">
        <f>IF(AND(370&gt;=$NR$39,370&lt;=$NS$39),IF($NP$39="Single_Point",IF(370=$NR$39,$NN$39,0),IF($NP$39="Bell_Curve",$NN$39*(370-$NR$39+1)*($NS$39-370+1)/$NU$39,$NN$39/$NT$39)),0)</f>
        <v/>
      </c>
      <c r="NK39" s="427">
        <f>IF(AND(371&gt;=$NR$39,371&lt;=$NS$39),IF($NP$39="Single_Point",IF(371=$NR$39,$NN$39,0),IF($NP$39="Bell_Curve",$NN$39*(371-$NR$39+1)*($NS$39-371+1)/$NU$39,$NN$39/$NT$39)),0)</f>
        <v/>
      </c>
      <c r="NL39" s="428">
        <f>IF(AND(372&gt;=$NR$39,372&lt;=$NS$39),IF($NP$39="Single_Point",IF(372=$NR$39,$NN$39,0),IF($NP$39="Bell_Curve",$NN$39*(372-$NR$39+1)*($NS$39-372+1)/$NU$39,$NN$39/$NT$39)),0)</f>
        <v/>
      </c>
      <c r="NM39">
        <f>Budget!C38</f>
        <v/>
      </c>
      <c r="NN39">
        <f>Budget!J38</f>
        <v/>
      </c>
      <c r="NO39">
        <f>Budget!G38</f>
        <v/>
      </c>
      <c r="NP39">
        <f>Budget!H38</f>
        <v/>
      </c>
      <c r="NQ39">
        <f>Budget!I38</f>
        <v/>
      </c>
      <c r="NR39">
        <f>MAX(1,MIN(372,INDEX(MilestoneStart,MATCH(NO39,MilestoneNames,0))+NQ39))</f>
        <v/>
      </c>
      <c r="NS39">
        <f>MAX(NR39,MIN(372,INDEX(MilestoneEnd,MATCH(NO39,MilestoneNames,0))+NQ39))</f>
        <v/>
      </c>
      <c r="NT39">
        <f>NS39-NR39+1</f>
        <v/>
      </c>
      <c r="NU39">
        <f>NT39*(NT39+1)*(NT39+2)/6</f>
        <v/>
      </c>
    </row>
    <row r="40">
      <c r="B40" s="316">
        <f>Budget!B39</f>
        <v/>
      </c>
      <c r="D40" s="402">
        <f>SUM(E40:NL40)</f>
        <v/>
      </c>
      <c r="E40" s="402">
        <f>IF(AND(1&gt;=$NR$40,1&lt;=$NS$40),IF($NP$40="Single_Point",IF(1=$NR$40,$NN$40,0),IF($NP$40="Bell_Curve",$NN$40*(1-$NR$40+1)*($NS$40-1+1)/$NU$40,$NN$40/$NT$40)),0)</f>
        <v/>
      </c>
      <c r="F40" s="402">
        <f>IF(AND(2&gt;=$NR$40,2&lt;=$NS$40),IF($NP$40="Single_Point",IF(2=$NR$40,$NN$40,0),IF($NP$40="Bell_Curve",$NN$40*(2-$NR$40+1)*($NS$40-2+1)/$NU$40,$NN$40/$NT$40)),0)</f>
        <v/>
      </c>
      <c r="G40" s="402">
        <f>IF(AND(3&gt;=$NR$40,3&lt;=$NS$40),IF($NP$40="Single_Point",IF(3=$NR$40,$NN$40,0),IF($NP$40="Bell_Curve",$NN$40*(3-$NR$40+1)*($NS$40-3+1)/$NU$40,$NN$40/$NT$40)),0)</f>
        <v/>
      </c>
      <c r="H40" s="402">
        <f>IF(AND(4&gt;=$NR$40,4&lt;=$NS$40),IF($NP$40="Single_Point",IF(4=$NR$40,$NN$40,0),IF($NP$40="Bell_Curve",$NN$40*(4-$NR$40+1)*($NS$40-4+1)/$NU$40,$NN$40/$NT$40)),0)</f>
        <v/>
      </c>
      <c r="I40" s="402">
        <f>IF(AND(5&gt;=$NR$40,5&lt;=$NS$40),IF($NP$40="Single_Point",IF(5=$NR$40,$NN$40,0),IF($NP$40="Bell_Curve",$NN$40*(5-$NR$40+1)*($NS$40-5+1)/$NU$40,$NN$40/$NT$40)),0)</f>
        <v/>
      </c>
      <c r="J40" s="402">
        <f>IF(AND(6&gt;=$NR$40,6&lt;=$NS$40),IF($NP$40="Single_Point",IF(6=$NR$40,$NN$40,0),IF($NP$40="Bell_Curve",$NN$40*(6-$NR$40+1)*($NS$40-6+1)/$NU$40,$NN$40/$NT$40)),0)</f>
        <v/>
      </c>
      <c r="K40" s="402">
        <f>IF(AND(7&gt;=$NR$40,7&lt;=$NS$40),IF($NP$40="Single_Point",IF(7=$NR$40,$NN$40,0),IF($NP$40="Bell_Curve",$NN$40*(7-$NR$40+1)*($NS$40-7+1)/$NU$40,$NN$40/$NT$40)),0)</f>
        <v/>
      </c>
      <c r="L40" s="402">
        <f>IF(AND(8&gt;=$NR$40,8&lt;=$NS$40),IF($NP$40="Single_Point",IF(8=$NR$40,$NN$40,0),IF($NP$40="Bell_Curve",$NN$40*(8-$NR$40+1)*($NS$40-8+1)/$NU$40,$NN$40/$NT$40)),0)</f>
        <v/>
      </c>
      <c r="M40" s="402">
        <f>IF(AND(9&gt;=$NR$40,9&lt;=$NS$40),IF($NP$40="Single_Point",IF(9=$NR$40,$NN$40,0),IF($NP$40="Bell_Curve",$NN$40*(9-$NR$40+1)*($NS$40-9+1)/$NU$40,$NN$40/$NT$40)),0)</f>
        <v/>
      </c>
      <c r="N40" s="402">
        <f>IF(AND(10&gt;=$NR$40,10&lt;=$NS$40),IF($NP$40="Single_Point",IF(10=$NR$40,$NN$40,0),IF($NP$40="Bell_Curve",$NN$40*(10-$NR$40+1)*($NS$40-10+1)/$NU$40,$NN$40/$NT$40)),0)</f>
        <v/>
      </c>
      <c r="O40" s="402">
        <f>IF(AND(11&gt;=$NR$40,11&lt;=$NS$40),IF($NP$40="Single_Point",IF(11=$NR$40,$NN$40,0),IF($NP$40="Bell_Curve",$NN$40*(11-$NR$40+1)*($NS$40-11+1)/$NU$40,$NN$40/$NT$40)),0)</f>
        <v/>
      </c>
      <c r="P40" s="402">
        <f>IF(AND(12&gt;=$NR$40,12&lt;=$NS$40),IF($NP$40="Single_Point",IF(12=$NR$40,$NN$40,0),IF($NP$40="Bell_Curve",$NN$40*(12-$NR$40+1)*($NS$40-12+1)/$NU$40,$NN$40/$NT$40)),0)</f>
        <v/>
      </c>
      <c r="Q40" s="402">
        <f>IF(AND(13&gt;=$NR$40,13&lt;=$NS$40),IF($NP$40="Single_Point",IF(13=$NR$40,$NN$40,0),IF($NP$40="Bell_Curve",$NN$40*(13-$NR$40+1)*($NS$40-13+1)/$NU$40,$NN$40/$NT$40)),0)</f>
        <v/>
      </c>
      <c r="R40" s="402">
        <f>IF(AND(14&gt;=$NR$40,14&lt;=$NS$40),IF($NP$40="Single_Point",IF(14=$NR$40,$NN$40,0),IF($NP$40="Bell_Curve",$NN$40*(14-$NR$40+1)*($NS$40-14+1)/$NU$40,$NN$40/$NT$40)),0)</f>
        <v/>
      </c>
      <c r="S40" s="402">
        <f>IF(AND(15&gt;=$NR$40,15&lt;=$NS$40),IF($NP$40="Single_Point",IF(15=$NR$40,$NN$40,0),IF($NP$40="Bell_Curve",$NN$40*(15-$NR$40+1)*($NS$40-15+1)/$NU$40,$NN$40/$NT$40)),0)</f>
        <v/>
      </c>
      <c r="T40" s="402">
        <f>IF(AND(16&gt;=$NR$40,16&lt;=$NS$40),IF($NP$40="Single_Point",IF(16=$NR$40,$NN$40,0),IF($NP$40="Bell_Curve",$NN$40*(16-$NR$40+1)*($NS$40-16+1)/$NU$40,$NN$40/$NT$40)),0)</f>
        <v/>
      </c>
      <c r="U40" s="402">
        <f>IF(AND(17&gt;=$NR$40,17&lt;=$NS$40),IF($NP$40="Single_Point",IF(17=$NR$40,$NN$40,0),IF($NP$40="Bell_Curve",$NN$40*(17-$NR$40+1)*($NS$40-17+1)/$NU$40,$NN$40/$NT$40)),0)</f>
        <v/>
      </c>
      <c r="V40" s="402">
        <f>IF(AND(18&gt;=$NR$40,18&lt;=$NS$40),IF($NP$40="Single_Point",IF(18=$NR$40,$NN$40,0),IF($NP$40="Bell_Curve",$NN$40*(18-$NR$40+1)*($NS$40-18+1)/$NU$40,$NN$40/$NT$40)),0)</f>
        <v/>
      </c>
      <c r="W40" s="402">
        <f>IF(AND(19&gt;=$NR$40,19&lt;=$NS$40),IF($NP$40="Single_Point",IF(19=$NR$40,$NN$40,0),IF($NP$40="Bell_Curve",$NN$40*(19-$NR$40+1)*($NS$40-19+1)/$NU$40,$NN$40/$NT$40)),0)</f>
        <v/>
      </c>
      <c r="X40" s="402">
        <f>IF(AND(20&gt;=$NR$40,20&lt;=$NS$40),IF($NP$40="Single_Point",IF(20=$NR$40,$NN$40,0),IF($NP$40="Bell_Curve",$NN$40*(20-$NR$40+1)*($NS$40-20+1)/$NU$40,$NN$40/$NT$40)),0)</f>
        <v/>
      </c>
      <c r="Y40" s="402">
        <f>IF(AND(21&gt;=$NR$40,21&lt;=$NS$40),IF($NP$40="Single_Point",IF(21=$NR$40,$NN$40,0),IF($NP$40="Bell_Curve",$NN$40*(21-$NR$40+1)*($NS$40-21+1)/$NU$40,$NN$40/$NT$40)),0)</f>
        <v/>
      </c>
      <c r="Z40" s="402">
        <f>IF(AND(22&gt;=$NR$40,22&lt;=$NS$40),IF($NP$40="Single_Point",IF(22=$NR$40,$NN$40,0),IF($NP$40="Bell_Curve",$NN$40*(22-$NR$40+1)*($NS$40-22+1)/$NU$40,$NN$40/$NT$40)),0)</f>
        <v/>
      </c>
      <c r="AA40" s="402">
        <f>IF(AND(23&gt;=$NR$40,23&lt;=$NS$40),IF($NP$40="Single_Point",IF(23=$NR$40,$NN$40,0),IF($NP$40="Bell_Curve",$NN$40*(23-$NR$40+1)*($NS$40-23+1)/$NU$40,$NN$40/$NT$40)),0)</f>
        <v/>
      </c>
      <c r="AB40" s="402">
        <f>IF(AND(24&gt;=$NR$40,24&lt;=$NS$40),IF($NP$40="Single_Point",IF(24=$NR$40,$NN$40,0),IF($NP$40="Bell_Curve",$NN$40*(24-$NR$40+1)*($NS$40-24+1)/$NU$40,$NN$40/$NT$40)),0)</f>
        <v/>
      </c>
      <c r="AC40" s="402">
        <f>IF(AND(25&gt;=$NR$40,25&lt;=$NS$40),IF($NP$40="Single_Point",IF(25=$NR$40,$NN$40,0),IF($NP$40="Bell_Curve",$NN$40*(25-$NR$40+1)*($NS$40-25+1)/$NU$40,$NN$40/$NT$40)),0)</f>
        <v/>
      </c>
      <c r="AD40" s="402">
        <f>IF(AND(26&gt;=$NR$40,26&lt;=$NS$40),IF($NP$40="Single_Point",IF(26=$NR$40,$NN$40,0),IF($NP$40="Bell_Curve",$NN$40*(26-$NR$40+1)*($NS$40-26+1)/$NU$40,$NN$40/$NT$40)),0)</f>
        <v/>
      </c>
      <c r="AE40" s="402">
        <f>IF(AND(27&gt;=$NR$40,27&lt;=$NS$40),IF($NP$40="Single_Point",IF(27=$NR$40,$NN$40,0),IF($NP$40="Bell_Curve",$NN$40*(27-$NR$40+1)*($NS$40-27+1)/$NU$40,$NN$40/$NT$40)),0)</f>
        <v/>
      </c>
      <c r="AF40" s="402">
        <f>IF(AND(28&gt;=$NR$40,28&lt;=$NS$40),IF($NP$40="Single_Point",IF(28=$NR$40,$NN$40,0),IF($NP$40="Bell_Curve",$NN$40*(28-$NR$40+1)*($NS$40-28+1)/$NU$40,$NN$40/$NT$40)),0)</f>
        <v/>
      </c>
      <c r="AG40" s="402">
        <f>IF(AND(29&gt;=$NR$40,29&lt;=$NS$40),IF($NP$40="Single_Point",IF(29=$NR$40,$NN$40,0),IF($NP$40="Bell_Curve",$NN$40*(29-$NR$40+1)*($NS$40-29+1)/$NU$40,$NN$40/$NT$40)),0)</f>
        <v/>
      </c>
      <c r="AH40" s="402">
        <f>IF(AND(30&gt;=$NR$40,30&lt;=$NS$40),IF($NP$40="Single_Point",IF(30=$NR$40,$NN$40,0),IF($NP$40="Bell_Curve",$NN$40*(30-$NR$40+1)*($NS$40-30+1)/$NU$40,$NN$40/$NT$40)),0)</f>
        <v/>
      </c>
      <c r="AI40" s="402">
        <f>IF(AND(31&gt;=$NR$40,31&lt;=$NS$40),IF($NP$40="Single_Point",IF(31=$NR$40,$NN$40,0),IF($NP$40="Bell_Curve",$NN$40*(31-$NR$40+1)*($NS$40-31+1)/$NU$40,$NN$40/$NT$40)),0)</f>
        <v/>
      </c>
      <c r="AJ40" s="402">
        <f>IF(AND(32&gt;=$NR$40,32&lt;=$NS$40),IF($NP$40="Single_Point",IF(32=$NR$40,$NN$40,0),IF($NP$40="Bell_Curve",$NN$40*(32-$NR$40+1)*($NS$40-32+1)/$NU$40,$NN$40/$NT$40)),0)</f>
        <v/>
      </c>
      <c r="AK40" s="402">
        <f>IF(AND(33&gt;=$NR$40,33&lt;=$NS$40),IF($NP$40="Single_Point",IF(33=$NR$40,$NN$40,0),IF($NP$40="Bell_Curve",$NN$40*(33-$NR$40+1)*($NS$40-33+1)/$NU$40,$NN$40/$NT$40)),0)</f>
        <v/>
      </c>
      <c r="AL40" s="402">
        <f>IF(AND(34&gt;=$NR$40,34&lt;=$NS$40),IF($NP$40="Single_Point",IF(34=$NR$40,$NN$40,0),IF($NP$40="Bell_Curve",$NN$40*(34-$NR$40+1)*($NS$40-34+1)/$NU$40,$NN$40/$NT$40)),0)</f>
        <v/>
      </c>
      <c r="AM40" s="402">
        <f>IF(AND(35&gt;=$NR$40,35&lt;=$NS$40),IF($NP$40="Single_Point",IF(35=$NR$40,$NN$40,0),IF($NP$40="Bell_Curve",$NN$40*(35-$NR$40+1)*($NS$40-35+1)/$NU$40,$NN$40/$NT$40)),0)</f>
        <v/>
      </c>
      <c r="AN40" s="402">
        <f>IF(AND(36&gt;=$NR$40,36&lt;=$NS$40),IF($NP$40="Single_Point",IF(36=$NR$40,$NN$40,0),IF($NP$40="Bell_Curve",$NN$40*(36-$NR$40+1)*($NS$40-36+1)/$NU$40,$NN$40/$NT$40)),0)</f>
        <v/>
      </c>
      <c r="AO40" s="402">
        <f>IF(AND(37&gt;=$NR$40,37&lt;=$NS$40),IF($NP$40="Single_Point",IF(37=$NR$40,$NN$40,0),IF($NP$40="Bell_Curve",$NN$40*(37-$NR$40+1)*($NS$40-37+1)/$NU$40,$NN$40/$NT$40)),0)</f>
        <v/>
      </c>
      <c r="AP40" s="402">
        <f>IF(AND(38&gt;=$NR$40,38&lt;=$NS$40),IF($NP$40="Single_Point",IF(38=$NR$40,$NN$40,0),IF($NP$40="Bell_Curve",$NN$40*(38-$NR$40+1)*($NS$40-38+1)/$NU$40,$NN$40/$NT$40)),0)</f>
        <v/>
      </c>
      <c r="AQ40" s="402">
        <f>IF(AND(39&gt;=$NR$40,39&lt;=$NS$40),IF($NP$40="Single_Point",IF(39=$NR$40,$NN$40,0),IF($NP$40="Bell_Curve",$NN$40*(39-$NR$40+1)*($NS$40-39+1)/$NU$40,$NN$40/$NT$40)),0)</f>
        <v/>
      </c>
      <c r="AR40" s="402">
        <f>IF(AND(40&gt;=$NR$40,40&lt;=$NS$40),IF($NP$40="Single_Point",IF(40=$NR$40,$NN$40,0),IF($NP$40="Bell_Curve",$NN$40*(40-$NR$40+1)*($NS$40-40+1)/$NU$40,$NN$40/$NT$40)),0)</f>
        <v/>
      </c>
      <c r="AS40" s="402">
        <f>IF(AND(41&gt;=$NR$40,41&lt;=$NS$40),IF($NP$40="Single_Point",IF(41=$NR$40,$NN$40,0),IF($NP$40="Bell_Curve",$NN$40*(41-$NR$40+1)*($NS$40-41+1)/$NU$40,$NN$40/$NT$40)),0)</f>
        <v/>
      </c>
      <c r="AT40" s="402">
        <f>IF(AND(42&gt;=$NR$40,42&lt;=$NS$40),IF($NP$40="Single_Point",IF(42=$NR$40,$NN$40,0),IF($NP$40="Bell_Curve",$NN$40*(42-$NR$40+1)*($NS$40-42+1)/$NU$40,$NN$40/$NT$40)),0)</f>
        <v/>
      </c>
      <c r="AU40" s="402">
        <f>IF(AND(43&gt;=$NR$40,43&lt;=$NS$40),IF($NP$40="Single_Point",IF(43=$NR$40,$NN$40,0),IF($NP$40="Bell_Curve",$NN$40*(43-$NR$40+1)*($NS$40-43+1)/$NU$40,$NN$40/$NT$40)),0)</f>
        <v/>
      </c>
      <c r="AV40" s="402">
        <f>IF(AND(44&gt;=$NR$40,44&lt;=$NS$40),IF($NP$40="Single_Point",IF(44=$NR$40,$NN$40,0),IF($NP$40="Bell_Curve",$NN$40*(44-$NR$40+1)*($NS$40-44+1)/$NU$40,$NN$40/$NT$40)),0)</f>
        <v/>
      </c>
      <c r="AW40" s="402">
        <f>IF(AND(45&gt;=$NR$40,45&lt;=$NS$40),IF($NP$40="Single_Point",IF(45=$NR$40,$NN$40,0),IF($NP$40="Bell_Curve",$NN$40*(45-$NR$40+1)*($NS$40-45+1)/$NU$40,$NN$40/$NT$40)),0)</f>
        <v/>
      </c>
      <c r="AX40" s="402">
        <f>IF(AND(46&gt;=$NR$40,46&lt;=$NS$40),IF($NP$40="Single_Point",IF(46=$NR$40,$NN$40,0),IF($NP$40="Bell_Curve",$NN$40*(46-$NR$40+1)*($NS$40-46+1)/$NU$40,$NN$40/$NT$40)),0)</f>
        <v/>
      </c>
      <c r="AY40" s="402">
        <f>IF(AND(47&gt;=$NR$40,47&lt;=$NS$40),IF($NP$40="Single_Point",IF(47=$NR$40,$NN$40,0),IF($NP$40="Bell_Curve",$NN$40*(47-$NR$40+1)*($NS$40-47+1)/$NU$40,$NN$40/$NT$40)),0)</f>
        <v/>
      </c>
      <c r="AZ40" s="402">
        <f>IF(AND(48&gt;=$NR$40,48&lt;=$NS$40),IF($NP$40="Single_Point",IF(48=$NR$40,$NN$40,0),IF($NP$40="Bell_Curve",$NN$40*(48-$NR$40+1)*($NS$40-48+1)/$NU$40,$NN$40/$NT$40)),0)</f>
        <v/>
      </c>
      <c r="BA40" s="402">
        <f>IF(AND(49&gt;=$NR$40,49&lt;=$NS$40),IF($NP$40="Single_Point",IF(49=$NR$40,$NN$40,0),IF($NP$40="Bell_Curve",$NN$40*(49-$NR$40+1)*($NS$40-49+1)/$NU$40,$NN$40/$NT$40)),0)</f>
        <v/>
      </c>
      <c r="BB40" s="402">
        <f>IF(AND(50&gt;=$NR$40,50&lt;=$NS$40),IF($NP$40="Single_Point",IF(50=$NR$40,$NN$40,0),IF($NP$40="Bell_Curve",$NN$40*(50-$NR$40+1)*($NS$40-50+1)/$NU$40,$NN$40/$NT$40)),0)</f>
        <v/>
      </c>
      <c r="BC40" s="402">
        <f>IF(AND(51&gt;=$NR$40,51&lt;=$NS$40),IF($NP$40="Single_Point",IF(51=$NR$40,$NN$40,0),IF($NP$40="Bell_Curve",$NN$40*(51-$NR$40+1)*($NS$40-51+1)/$NU$40,$NN$40/$NT$40)),0)</f>
        <v/>
      </c>
      <c r="BD40" s="402">
        <f>IF(AND(52&gt;=$NR$40,52&lt;=$NS$40),IF($NP$40="Single_Point",IF(52=$NR$40,$NN$40,0),IF($NP$40="Bell_Curve",$NN$40*(52-$NR$40+1)*($NS$40-52+1)/$NU$40,$NN$40/$NT$40)),0)</f>
        <v/>
      </c>
      <c r="BE40" s="402">
        <f>IF(AND(53&gt;=$NR$40,53&lt;=$NS$40),IF($NP$40="Single_Point",IF(53=$NR$40,$NN$40,0),IF($NP$40="Bell_Curve",$NN$40*(53-$NR$40+1)*($NS$40-53+1)/$NU$40,$NN$40/$NT$40)),0)</f>
        <v/>
      </c>
      <c r="BF40" s="402">
        <f>IF(AND(54&gt;=$NR$40,54&lt;=$NS$40),IF($NP$40="Single_Point",IF(54=$NR$40,$NN$40,0),IF($NP$40="Bell_Curve",$NN$40*(54-$NR$40+1)*($NS$40-54+1)/$NU$40,$NN$40/$NT$40)),0)</f>
        <v/>
      </c>
      <c r="BG40" s="402">
        <f>IF(AND(55&gt;=$NR$40,55&lt;=$NS$40),IF($NP$40="Single_Point",IF(55=$NR$40,$NN$40,0),IF($NP$40="Bell_Curve",$NN$40*(55-$NR$40+1)*($NS$40-55+1)/$NU$40,$NN$40/$NT$40)),0)</f>
        <v/>
      </c>
      <c r="BH40" s="402">
        <f>IF(AND(56&gt;=$NR$40,56&lt;=$NS$40),IF($NP$40="Single_Point",IF(56=$NR$40,$NN$40,0),IF($NP$40="Bell_Curve",$NN$40*(56-$NR$40+1)*($NS$40-56+1)/$NU$40,$NN$40/$NT$40)),0)</f>
        <v/>
      </c>
      <c r="BI40" s="402">
        <f>IF(AND(57&gt;=$NR$40,57&lt;=$NS$40),IF($NP$40="Single_Point",IF(57=$NR$40,$NN$40,0),IF($NP$40="Bell_Curve",$NN$40*(57-$NR$40+1)*($NS$40-57+1)/$NU$40,$NN$40/$NT$40)),0)</f>
        <v/>
      </c>
      <c r="BJ40" s="402">
        <f>IF(AND(58&gt;=$NR$40,58&lt;=$NS$40),IF($NP$40="Single_Point",IF(58=$NR$40,$NN$40,0),IF($NP$40="Bell_Curve",$NN$40*(58-$NR$40+1)*($NS$40-58+1)/$NU$40,$NN$40/$NT$40)),0)</f>
        <v/>
      </c>
      <c r="BK40" s="402">
        <f>IF(AND(59&gt;=$NR$40,59&lt;=$NS$40),IF($NP$40="Single_Point",IF(59=$NR$40,$NN$40,0),IF($NP$40="Bell_Curve",$NN$40*(59-$NR$40+1)*($NS$40-59+1)/$NU$40,$NN$40/$NT$40)),0)</f>
        <v/>
      </c>
      <c r="BL40" s="402">
        <f>IF(AND(60&gt;=$NR$40,60&lt;=$NS$40),IF($NP$40="Single_Point",IF(60=$NR$40,$NN$40,0),IF($NP$40="Bell_Curve",$NN$40*(60-$NR$40+1)*($NS$40-60+1)/$NU$40,$NN$40/$NT$40)),0)</f>
        <v/>
      </c>
      <c r="BM40" s="402">
        <f>IF(AND(61&gt;=$NR$40,61&lt;=$NS$40),IF($NP$40="Single_Point",IF(61=$NR$40,$NN$40,0),IF($NP$40="Bell_Curve",$NN$40*(61-$NR$40+1)*($NS$40-61+1)/$NU$40,$NN$40/$NT$40)),0)</f>
        <v/>
      </c>
      <c r="BN40" s="402">
        <f>IF(AND(62&gt;=$NR$40,62&lt;=$NS$40),IF($NP$40="Single_Point",IF(62=$NR$40,$NN$40,0),IF($NP$40="Bell_Curve",$NN$40*(62-$NR$40+1)*($NS$40-62+1)/$NU$40,$NN$40/$NT$40)),0)</f>
        <v/>
      </c>
      <c r="BO40" s="402">
        <f>IF(AND(63&gt;=$NR$40,63&lt;=$NS$40),IF($NP$40="Single_Point",IF(63=$NR$40,$NN$40,0),IF($NP$40="Bell_Curve",$NN$40*(63-$NR$40+1)*($NS$40-63+1)/$NU$40,$NN$40/$NT$40)),0)</f>
        <v/>
      </c>
      <c r="BP40" s="402">
        <f>IF(AND(64&gt;=$NR$40,64&lt;=$NS$40),IF($NP$40="Single_Point",IF(64=$NR$40,$NN$40,0),IF($NP$40="Bell_Curve",$NN$40*(64-$NR$40+1)*($NS$40-64+1)/$NU$40,$NN$40/$NT$40)),0)</f>
        <v/>
      </c>
      <c r="BQ40" s="402">
        <f>IF(AND(65&gt;=$NR$40,65&lt;=$NS$40),IF($NP$40="Single_Point",IF(65=$NR$40,$NN$40,0),IF($NP$40="Bell_Curve",$NN$40*(65-$NR$40+1)*($NS$40-65+1)/$NU$40,$NN$40/$NT$40)),0)</f>
        <v/>
      </c>
      <c r="BR40" s="402">
        <f>IF(AND(66&gt;=$NR$40,66&lt;=$NS$40),IF($NP$40="Single_Point",IF(66=$NR$40,$NN$40,0),IF($NP$40="Bell_Curve",$NN$40*(66-$NR$40+1)*($NS$40-66+1)/$NU$40,$NN$40/$NT$40)),0)</f>
        <v/>
      </c>
      <c r="BS40" s="402">
        <f>IF(AND(67&gt;=$NR$40,67&lt;=$NS$40),IF($NP$40="Single_Point",IF(67=$NR$40,$NN$40,0),IF($NP$40="Bell_Curve",$NN$40*(67-$NR$40+1)*($NS$40-67+1)/$NU$40,$NN$40/$NT$40)),0)</f>
        <v/>
      </c>
      <c r="BT40" s="402">
        <f>IF(AND(68&gt;=$NR$40,68&lt;=$NS$40),IF($NP$40="Single_Point",IF(68=$NR$40,$NN$40,0),IF($NP$40="Bell_Curve",$NN$40*(68-$NR$40+1)*($NS$40-68+1)/$NU$40,$NN$40/$NT$40)),0)</f>
        <v/>
      </c>
      <c r="BU40" s="402">
        <f>IF(AND(69&gt;=$NR$40,69&lt;=$NS$40),IF($NP$40="Single_Point",IF(69=$NR$40,$NN$40,0),IF($NP$40="Bell_Curve",$NN$40*(69-$NR$40+1)*($NS$40-69+1)/$NU$40,$NN$40/$NT$40)),0)</f>
        <v/>
      </c>
      <c r="BV40" s="402">
        <f>IF(AND(70&gt;=$NR$40,70&lt;=$NS$40),IF($NP$40="Single_Point",IF(70=$NR$40,$NN$40,0),IF($NP$40="Bell_Curve",$NN$40*(70-$NR$40+1)*($NS$40-70+1)/$NU$40,$NN$40/$NT$40)),0)</f>
        <v/>
      </c>
      <c r="BW40" s="402">
        <f>IF(AND(71&gt;=$NR$40,71&lt;=$NS$40),IF($NP$40="Single_Point",IF(71=$NR$40,$NN$40,0),IF($NP$40="Bell_Curve",$NN$40*(71-$NR$40+1)*($NS$40-71+1)/$NU$40,$NN$40/$NT$40)),0)</f>
        <v/>
      </c>
      <c r="BX40" s="402">
        <f>IF(AND(72&gt;=$NR$40,72&lt;=$NS$40),IF($NP$40="Single_Point",IF(72=$NR$40,$NN$40,0),IF($NP$40="Bell_Curve",$NN$40*(72-$NR$40+1)*($NS$40-72+1)/$NU$40,$NN$40/$NT$40)),0)</f>
        <v/>
      </c>
      <c r="BY40" s="402">
        <f>IF(AND(73&gt;=$NR$40,73&lt;=$NS$40),IF($NP$40="Single_Point",IF(73=$NR$40,$NN$40,0),IF($NP$40="Bell_Curve",$NN$40*(73-$NR$40+1)*($NS$40-73+1)/$NU$40,$NN$40/$NT$40)),0)</f>
        <v/>
      </c>
      <c r="BZ40" s="402">
        <f>IF(AND(74&gt;=$NR$40,74&lt;=$NS$40),IF($NP$40="Single_Point",IF(74=$NR$40,$NN$40,0),IF($NP$40="Bell_Curve",$NN$40*(74-$NR$40+1)*($NS$40-74+1)/$NU$40,$NN$40/$NT$40)),0)</f>
        <v/>
      </c>
      <c r="CA40" s="402">
        <f>IF(AND(75&gt;=$NR$40,75&lt;=$NS$40),IF($NP$40="Single_Point",IF(75=$NR$40,$NN$40,0),IF($NP$40="Bell_Curve",$NN$40*(75-$NR$40+1)*($NS$40-75+1)/$NU$40,$NN$40/$NT$40)),0)</f>
        <v/>
      </c>
      <c r="CB40" s="402">
        <f>IF(AND(76&gt;=$NR$40,76&lt;=$NS$40),IF($NP$40="Single_Point",IF(76=$NR$40,$NN$40,0),IF($NP$40="Bell_Curve",$NN$40*(76-$NR$40+1)*($NS$40-76+1)/$NU$40,$NN$40/$NT$40)),0)</f>
        <v/>
      </c>
      <c r="CC40" s="402">
        <f>IF(AND(77&gt;=$NR$40,77&lt;=$NS$40),IF($NP$40="Single_Point",IF(77=$NR$40,$NN$40,0),IF($NP$40="Bell_Curve",$NN$40*(77-$NR$40+1)*($NS$40-77+1)/$NU$40,$NN$40/$NT$40)),0)</f>
        <v/>
      </c>
      <c r="CD40" s="402">
        <f>IF(AND(78&gt;=$NR$40,78&lt;=$NS$40),IF($NP$40="Single_Point",IF(78=$NR$40,$NN$40,0),IF($NP$40="Bell_Curve",$NN$40*(78-$NR$40+1)*($NS$40-78+1)/$NU$40,$NN$40/$NT$40)),0)</f>
        <v/>
      </c>
      <c r="CE40" s="402">
        <f>IF(AND(79&gt;=$NR$40,79&lt;=$NS$40),IF($NP$40="Single_Point",IF(79=$NR$40,$NN$40,0),IF($NP$40="Bell_Curve",$NN$40*(79-$NR$40+1)*($NS$40-79+1)/$NU$40,$NN$40/$NT$40)),0)</f>
        <v/>
      </c>
      <c r="CF40" s="402">
        <f>IF(AND(80&gt;=$NR$40,80&lt;=$NS$40),IF($NP$40="Single_Point",IF(80=$NR$40,$NN$40,0),IF($NP$40="Bell_Curve",$NN$40*(80-$NR$40+1)*($NS$40-80+1)/$NU$40,$NN$40/$NT$40)),0)</f>
        <v/>
      </c>
      <c r="CG40" s="402">
        <f>IF(AND(81&gt;=$NR$40,81&lt;=$NS$40),IF($NP$40="Single_Point",IF(81=$NR$40,$NN$40,0),IF($NP$40="Bell_Curve",$NN$40*(81-$NR$40+1)*($NS$40-81+1)/$NU$40,$NN$40/$NT$40)),0)</f>
        <v/>
      </c>
      <c r="CH40" s="402">
        <f>IF(AND(82&gt;=$NR$40,82&lt;=$NS$40),IF($NP$40="Single_Point",IF(82=$NR$40,$NN$40,0),IF($NP$40="Bell_Curve",$NN$40*(82-$NR$40+1)*($NS$40-82+1)/$NU$40,$NN$40/$NT$40)),0)</f>
        <v/>
      </c>
      <c r="CI40" s="402">
        <f>IF(AND(83&gt;=$NR$40,83&lt;=$NS$40),IF($NP$40="Single_Point",IF(83=$NR$40,$NN$40,0),IF($NP$40="Bell_Curve",$NN$40*(83-$NR$40+1)*($NS$40-83+1)/$NU$40,$NN$40/$NT$40)),0)</f>
        <v/>
      </c>
      <c r="CJ40" s="402">
        <f>IF(AND(84&gt;=$NR$40,84&lt;=$NS$40),IF($NP$40="Single_Point",IF(84=$NR$40,$NN$40,0),IF($NP$40="Bell_Curve",$NN$40*(84-$NR$40+1)*($NS$40-84+1)/$NU$40,$NN$40/$NT$40)),0)</f>
        <v/>
      </c>
      <c r="CK40" s="402">
        <f>IF(AND(85&gt;=$NR$40,85&lt;=$NS$40),IF($NP$40="Single_Point",IF(85=$NR$40,$NN$40,0),IF($NP$40="Bell_Curve",$NN$40*(85-$NR$40+1)*($NS$40-85+1)/$NU$40,$NN$40/$NT$40)),0)</f>
        <v/>
      </c>
      <c r="CL40" s="402">
        <f>IF(AND(86&gt;=$NR$40,86&lt;=$NS$40),IF($NP$40="Single_Point",IF(86=$NR$40,$NN$40,0),IF($NP$40="Bell_Curve",$NN$40*(86-$NR$40+1)*($NS$40-86+1)/$NU$40,$NN$40/$NT$40)),0)</f>
        <v/>
      </c>
      <c r="CM40" s="402">
        <f>IF(AND(87&gt;=$NR$40,87&lt;=$NS$40),IF($NP$40="Single_Point",IF(87=$NR$40,$NN$40,0),IF($NP$40="Bell_Curve",$NN$40*(87-$NR$40+1)*($NS$40-87+1)/$NU$40,$NN$40/$NT$40)),0)</f>
        <v/>
      </c>
      <c r="CN40" s="402">
        <f>IF(AND(88&gt;=$NR$40,88&lt;=$NS$40),IF($NP$40="Single_Point",IF(88=$NR$40,$NN$40,0),IF($NP$40="Bell_Curve",$NN$40*(88-$NR$40+1)*($NS$40-88+1)/$NU$40,$NN$40/$NT$40)),0)</f>
        <v/>
      </c>
      <c r="CO40" s="402">
        <f>IF(AND(89&gt;=$NR$40,89&lt;=$NS$40),IF($NP$40="Single_Point",IF(89=$NR$40,$NN$40,0),IF($NP$40="Bell_Curve",$NN$40*(89-$NR$40+1)*($NS$40-89+1)/$NU$40,$NN$40/$NT$40)),0)</f>
        <v/>
      </c>
      <c r="CP40" s="402">
        <f>IF(AND(90&gt;=$NR$40,90&lt;=$NS$40),IF($NP$40="Single_Point",IF(90=$NR$40,$NN$40,0),IF($NP$40="Bell_Curve",$NN$40*(90-$NR$40+1)*($NS$40-90+1)/$NU$40,$NN$40/$NT$40)),0)</f>
        <v/>
      </c>
      <c r="CQ40" s="402">
        <f>IF(AND(91&gt;=$NR$40,91&lt;=$NS$40),IF($NP$40="Single_Point",IF(91=$NR$40,$NN$40,0),IF($NP$40="Bell_Curve",$NN$40*(91-$NR$40+1)*($NS$40-91+1)/$NU$40,$NN$40/$NT$40)),0)</f>
        <v/>
      </c>
      <c r="CR40" s="402">
        <f>IF(AND(92&gt;=$NR$40,92&lt;=$NS$40),IF($NP$40="Single_Point",IF(92=$NR$40,$NN$40,0),IF($NP$40="Bell_Curve",$NN$40*(92-$NR$40+1)*($NS$40-92+1)/$NU$40,$NN$40/$NT$40)),0)</f>
        <v/>
      </c>
      <c r="CS40" s="402">
        <f>IF(AND(93&gt;=$NR$40,93&lt;=$NS$40),IF($NP$40="Single_Point",IF(93=$NR$40,$NN$40,0),IF($NP$40="Bell_Curve",$NN$40*(93-$NR$40+1)*($NS$40-93+1)/$NU$40,$NN$40/$NT$40)),0)</f>
        <v/>
      </c>
      <c r="CT40" s="402">
        <f>IF(AND(94&gt;=$NR$40,94&lt;=$NS$40),IF($NP$40="Single_Point",IF(94=$NR$40,$NN$40,0),IF($NP$40="Bell_Curve",$NN$40*(94-$NR$40+1)*($NS$40-94+1)/$NU$40,$NN$40/$NT$40)),0)</f>
        <v/>
      </c>
      <c r="CU40" s="402">
        <f>IF(AND(95&gt;=$NR$40,95&lt;=$NS$40),IF($NP$40="Single_Point",IF(95=$NR$40,$NN$40,0),IF($NP$40="Bell_Curve",$NN$40*(95-$NR$40+1)*($NS$40-95+1)/$NU$40,$NN$40/$NT$40)),0)</f>
        <v/>
      </c>
      <c r="CV40" s="402">
        <f>IF(AND(96&gt;=$NR$40,96&lt;=$NS$40),IF($NP$40="Single_Point",IF(96=$NR$40,$NN$40,0),IF($NP$40="Bell_Curve",$NN$40*(96-$NR$40+1)*($NS$40-96+1)/$NU$40,$NN$40/$NT$40)),0)</f>
        <v/>
      </c>
      <c r="CW40" s="402">
        <f>IF(AND(97&gt;=$NR$40,97&lt;=$NS$40),IF($NP$40="Single_Point",IF(97=$NR$40,$NN$40,0),IF($NP$40="Bell_Curve",$NN$40*(97-$NR$40+1)*($NS$40-97+1)/$NU$40,$NN$40/$NT$40)),0)</f>
        <v/>
      </c>
      <c r="CX40" s="402">
        <f>IF(AND(98&gt;=$NR$40,98&lt;=$NS$40),IF($NP$40="Single_Point",IF(98=$NR$40,$NN$40,0),IF($NP$40="Bell_Curve",$NN$40*(98-$NR$40+1)*($NS$40-98+1)/$NU$40,$NN$40/$NT$40)),0)</f>
        <v/>
      </c>
      <c r="CY40" s="402">
        <f>IF(AND(99&gt;=$NR$40,99&lt;=$NS$40),IF($NP$40="Single_Point",IF(99=$NR$40,$NN$40,0),IF($NP$40="Bell_Curve",$NN$40*(99-$NR$40+1)*($NS$40-99+1)/$NU$40,$NN$40/$NT$40)),0)</f>
        <v/>
      </c>
      <c r="CZ40" s="402">
        <f>IF(AND(100&gt;=$NR$40,100&lt;=$NS$40),IF($NP$40="Single_Point",IF(100=$NR$40,$NN$40,0),IF($NP$40="Bell_Curve",$NN$40*(100-$NR$40+1)*($NS$40-100+1)/$NU$40,$NN$40/$NT$40)),0)</f>
        <v/>
      </c>
      <c r="DA40" s="402">
        <f>IF(AND(101&gt;=$NR$40,101&lt;=$NS$40),IF($NP$40="Single_Point",IF(101=$NR$40,$NN$40,0),IF($NP$40="Bell_Curve",$NN$40*(101-$NR$40+1)*($NS$40-101+1)/$NU$40,$NN$40/$NT$40)),0)</f>
        <v/>
      </c>
      <c r="DB40" s="402">
        <f>IF(AND(102&gt;=$NR$40,102&lt;=$NS$40),IF($NP$40="Single_Point",IF(102=$NR$40,$NN$40,0),IF($NP$40="Bell_Curve",$NN$40*(102-$NR$40+1)*($NS$40-102+1)/$NU$40,$NN$40/$NT$40)),0)</f>
        <v/>
      </c>
      <c r="DC40" s="402">
        <f>IF(AND(103&gt;=$NR$40,103&lt;=$NS$40),IF($NP$40="Single_Point",IF(103=$NR$40,$NN$40,0),IF($NP$40="Bell_Curve",$NN$40*(103-$NR$40+1)*($NS$40-103+1)/$NU$40,$NN$40/$NT$40)),0)</f>
        <v/>
      </c>
      <c r="DD40" s="402">
        <f>IF(AND(104&gt;=$NR$40,104&lt;=$NS$40),IF($NP$40="Single_Point",IF(104=$NR$40,$NN$40,0),IF($NP$40="Bell_Curve",$NN$40*(104-$NR$40+1)*($NS$40-104+1)/$NU$40,$NN$40/$NT$40)),0)</f>
        <v/>
      </c>
      <c r="DE40" s="402">
        <f>IF(AND(105&gt;=$NR$40,105&lt;=$NS$40),IF($NP$40="Single_Point",IF(105=$NR$40,$NN$40,0),IF($NP$40="Bell_Curve",$NN$40*(105-$NR$40+1)*($NS$40-105+1)/$NU$40,$NN$40/$NT$40)),0)</f>
        <v/>
      </c>
      <c r="DF40" s="402">
        <f>IF(AND(106&gt;=$NR$40,106&lt;=$NS$40),IF($NP$40="Single_Point",IF(106=$NR$40,$NN$40,0),IF($NP$40="Bell_Curve",$NN$40*(106-$NR$40+1)*($NS$40-106+1)/$NU$40,$NN$40/$NT$40)),0)</f>
        <v/>
      </c>
      <c r="DG40" s="402">
        <f>IF(AND(107&gt;=$NR$40,107&lt;=$NS$40),IF($NP$40="Single_Point",IF(107=$NR$40,$NN$40,0),IF($NP$40="Bell_Curve",$NN$40*(107-$NR$40+1)*($NS$40-107+1)/$NU$40,$NN$40/$NT$40)),0)</f>
        <v/>
      </c>
      <c r="DH40" s="402">
        <f>IF(AND(108&gt;=$NR$40,108&lt;=$NS$40),IF($NP$40="Single_Point",IF(108=$NR$40,$NN$40,0),IF($NP$40="Bell_Curve",$NN$40*(108-$NR$40+1)*($NS$40-108+1)/$NU$40,$NN$40/$NT$40)),0)</f>
        <v/>
      </c>
      <c r="DI40" s="402">
        <f>IF(AND(109&gt;=$NR$40,109&lt;=$NS$40),IF($NP$40="Single_Point",IF(109=$NR$40,$NN$40,0),IF($NP$40="Bell_Curve",$NN$40*(109-$NR$40+1)*($NS$40-109+1)/$NU$40,$NN$40/$NT$40)),0)</f>
        <v/>
      </c>
      <c r="DJ40" s="402">
        <f>IF(AND(110&gt;=$NR$40,110&lt;=$NS$40),IF($NP$40="Single_Point",IF(110=$NR$40,$NN$40,0),IF($NP$40="Bell_Curve",$NN$40*(110-$NR$40+1)*($NS$40-110+1)/$NU$40,$NN$40/$NT$40)),0)</f>
        <v/>
      </c>
      <c r="DK40" s="402">
        <f>IF(AND(111&gt;=$NR$40,111&lt;=$NS$40),IF($NP$40="Single_Point",IF(111=$NR$40,$NN$40,0),IF($NP$40="Bell_Curve",$NN$40*(111-$NR$40+1)*($NS$40-111+1)/$NU$40,$NN$40/$NT$40)),0)</f>
        <v/>
      </c>
      <c r="DL40" s="402">
        <f>IF(AND(112&gt;=$NR$40,112&lt;=$NS$40),IF($NP$40="Single_Point",IF(112=$NR$40,$NN$40,0),IF($NP$40="Bell_Curve",$NN$40*(112-$NR$40+1)*($NS$40-112+1)/$NU$40,$NN$40/$NT$40)),0)</f>
        <v/>
      </c>
      <c r="DM40" s="402">
        <f>IF(AND(113&gt;=$NR$40,113&lt;=$NS$40),IF($NP$40="Single_Point",IF(113=$NR$40,$NN$40,0),IF($NP$40="Bell_Curve",$NN$40*(113-$NR$40+1)*($NS$40-113+1)/$NU$40,$NN$40/$NT$40)),0)</f>
        <v/>
      </c>
      <c r="DN40" s="402">
        <f>IF(AND(114&gt;=$NR$40,114&lt;=$NS$40),IF($NP$40="Single_Point",IF(114=$NR$40,$NN$40,0),IF($NP$40="Bell_Curve",$NN$40*(114-$NR$40+1)*($NS$40-114+1)/$NU$40,$NN$40/$NT$40)),0)</f>
        <v/>
      </c>
      <c r="DO40" s="402">
        <f>IF(AND(115&gt;=$NR$40,115&lt;=$NS$40),IF($NP$40="Single_Point",IF(115=$NR$40,$NN$40,0),IF($NP$40="Bell_Curve",$NN$40*(115-$NR$40+1)*($NS$40-115+1)/$NU$40,$NN$40/$NT$40)),0)</f>
        <v/>
      </c>
      <c r="DP40" s="402">
        <f>IF(AND(116&gt;=$NR$40,116&lt;=$NS$40),IF($NP$40="Single_Point",IF(116=$NR$40,$NN$40,0),IF($NP$40="Bell_Curve",$NN$40*(116-$NR$40+1)*($NS$40-116+1)/$NU$40,$NN$40/$NT$40)),0)</f>
        <v/>
      </c>
      <c r="DQ40" s="402">
        <f>IF(AND(117&gt;=$NR$40,117&lt;=$NS$40),IF($NP$40="Single_Point",IF(117=$NR$40,$NN$40,0),IF($NP$40="Bell_Curve",$NN$40*(117-$NR$40+1)*($NS$40-117+1)/$NU$40,$NN$40/$NT$40)),0)</f>
        <v/>
      </c>
      <c r="DR40" s="402">
        <f>IF(AND(118&gt;=$NR$40,118&lt;=$NS$40),IF($NP$40="Single_Point",IF(118=$NR$40,$NN$40,0),IF($NP$40="Bell_Curve",$NN$40*(118-$NR$40+1)*($NS$40-118+1)/$NU$40,$NN$40/$NT$40)),0)</f>
        <v/>
      </c>
      <c r="DS40" s="402">
        <f>IF(AND(119&gt;=$NR$40,119&lt;=$NS$40),IF($NP$40="Single_Point",IF(119=$NR$40,$NN$40,0),IF($NP$40="Bell_Curve",$NN$40*(119-$NR$40+1)*($NS$40-119+1)/$NU$40,$NN$40/$NT$40)),0)</f>
        <v/>
      </c>
      <c r="DT40" s="402">
        <f>IF(AND(120&gt;=$NR$40,120&lt;=$NS$40),IF($NP$40="Single_Point",IF(120=$NR$40,$NN$40,0),IF($NP$40="Bell_Curve",$NN$40*(120-$NR$40+1)*($NS$40-120+1)/$NU$40,$NN$40/$NT$40)),0)</f>
        <v/>
      </c>
      <c r="DU40" s="402">
        <f>IF(AND(121&gt;=$NR$40,121&lt;=$NS$40),IF($NP$40="Single_Point",IF(121=$NR$40,$NN$40,0),IF($NP$40="Bell_Curve",$NN$40*(121-$NR$40+1)*($NS$40-121+1)/$NU$40,$NN$40/$NT$40)),0)</f>
        <v/>
      </c>
      <c r="DV40" s="402">
        <f>IF(AND(122&gt;=$NR$40,122&lt;=$NS$40),IF($NP$40="Single_Point",IF(122=$NR$40,$NN$40,0),IF($NP$40="Bell_Curve",$NN$40*(122-$NR$40+1)*($NS$40-122+1)/$NU$40,$NN$40/$NT$40)),0)</f>
        <v/>
      </c>
      <c r="DW40" s="402">
        <f>IF(AND(123&gt;=$NR$40,123&lt;=$NS$40),IF($NP$40="Single_Point",IF(123=$NR$40,$NN$40,0),IF($NP$40="Bell_Curve",$NN$40*(123-$NR$40+1)*($NS$40-123+1)/$NU$40,$NN$40/$NT$40)),0)</f>
        <v/>
      </c>
      <c r="DX40" s="402">
        <f>IF(AND(124&gt;=$NR$40,124&lt;=$NS$40),IF($NP$40="Single_Point",IF(124=$NR$40,$NN$40,0),IF($NP$40="Bell_Curve",$NN$40*(124-$NR$40+1)*($NS$40-124+1)/$NU$40,$NN$40/$NT$40)),0)</f>
        <v/>
      </c>
      <c r="DY40" s="402">
        <f>IF(AND(125&gt;=$NR$40,125&lt;=$NS$40),IF($NP$40="Single_Point",IF(125=$NR$40,$NN$40,0),IF($NP$40="Bell_Curve",$NN$40*(125-$NR$40+1)*($NS$40-125+1)/$NU$40,$NN$40/$NT$40)),0)</f>
        <v/>
      </c>
      <c r="DZ40" s="402">
        <f>IF(AND(126&gt;=$NR$40,126&lt;=$NS$40),IF($NP$40="Single_Point",IF(126=$NR$40,$NN$40,0),IF($NP$40="Bell_Curve",$NN$40*(126-$NR$40+1)*($NS$40-126+1)/$NU$40,$NN$40/$NT$40)),0)</f>
        <v/>
      </c>
      <c r="EA40" s="402">
        <f>IF(AND(127&gt;=$NR$40,127&lt;=$NS$40),IF($NP$40="Single_Point",IF(127=$NR$40,$NN$40,0),IF($NP$40="Bell_Curve",$NN$40*(127-$NR$40+1)*($NS$40-127+1)/$NU$40,$NN$40/$NT$40)),0)</f>
        <v/>
      </c>
      <c r="EB40" s="402">
        <f>IF(AND(128&gt;=$NR$40,128&lt;=$NS$40),IF($NP$40="Single_Point",IF(128=$NR$40,$NN$40,0),IF($NP$40="Bell_Curve",$NN$40*(128-$NR$40+1)*($NS$40-128+1)/$NU$40,$NN$40/$NT$40)),0)</f>
        <v/>
      </c>
      <c r="EC40" s="402">
        <f>IF(AND(129&gt;=$NR$40,129&lt;=$NS$40),IF($NP$40="Single_Point",IF(129=$NR$40,$NN$40,0),IF($NP$40="Bell_Curve",$NN$40*(129-$NR$40+1)*($NS$40-129+1)/$NU$40,$NN$40/$NT$40)),0)</f>
        <v/>
      </c>
      <c r="ED40" s="402">
        <f>IF(AND(130&gt;=$NR$40,130&lt;=$NS$40),IF($NP$40="Single_Point",IF(130=$NR$40,$NN$40,0),IF($NP$40="Bell_Curve",$NN$40*(130-$NR$40+1)*($NS$40-130+1)/$NU$40,$NN$40/$NT$40)),0)</f>
        <v/>
      </c>
      <c r="EE40" s="402">
        <f>IF(AND(131&gt;=$NR$40,131&lt;=$NS$40),IF($NP$40="Single_Point",IF(131=$NR$40,$NN$40,0),IF($NP$40="Bell_Curve",$NN$40*(131-$NR$40+1)*($NS$40-131+1)/$NU$40,$NN$40/$NT$40)),0)</f>
        <v/>
      </c>
      <c r="EF40" s="402">
        <f>IF(AND(132&gt;=$NR$40,132&lt;=$NS$40),IF($NP$40="Single_Point",IF(132=$NR$40,$NN$40,0),IF($NP$40="Bell_Curve",$NN$40*(132-$NR$40+1)*($NS$40-132+1)/$NU$40,$NN$40/$NT$40)),0)</f>
        <v/>
      </c>
      <c r="EG40" s="402">
        <f>IF(AND(133&gt;=$NR$40,133&lt;=$NS$40),IF($NP$40="Single_Point",IF(133=$NR$40,$NN$40,0),IF($NP$40="Bell_Curve",$NN$40*(133-$NR$40+1)*($NS$40-133+1)/$NU$40,$NN$40/$NT$40)),0)</f>
        <v/>
      </c>
      <c r="EH40" s="402">
        <f>IF(AND(134&gt;=$NR$40,134&lt;=$NS$40),IF($NP$40="Single_Point",IF(134=$NR$40,$NN$40,0),IF($NP$40="Bell_Curve",$NN$40*(134-$NR$40+1)*($NS$40-134+1)/$NU$40,$NN$40/$NT$40)),0)</f>
        <v/>
      </c>
      <c r="EI40" s="402">
        <f>IF(AND(135&gt;=$NR$40,135&lt;=$NS$40),IF($NP$40="Single_Point",IF(135=$NR$40,$NN$40,0),IF($NP$40="Bell_Curve",$NN$40*(135-$NR$40+1)*($NS$40-135+1)/$NU$40,$NN$40/$NT$40)),0)</f>
        <v/>
      </c>
      <c r="EJ40" s="402">
        <f>IF(AND(136&gt;=$NR$40,136&lt;=$NS$40),IF($NP$40="Single_Point",IF(136=$NR$40,$NN$40,0),IF($NP$40="Bell_Curve",$NN$40*(136-$NR$40+1)*($NS$40-136+1)/$NU$40,$NN$40/$NT$40)),0)</f>
        <v/>
      </c>
      <c r="EK40" s="402">
        <f>IF(AND(137&gt;=$NR$40,137&lt;=$NS$40),IF($NP$40="Single_Point",IF(137=$NR$40,$NN$40,0),IF($NP$40="Bell_Curve",$NN$40*(137-$NR$40+1)*($NS$40-137+1)/$NU$40,$NN$40/$NT$40)),0)</f>
        <v/>
      </c>
      <c r="EL40" s="402">
        <f>IF(AND(138&gt;=$NR$40,138&lt;=$NS$40),IF($NP$40="Single_Point",IF(138=$NR$40,$NN$40,0),IF($NP$40="Bell_Curve",$NN$40*(138-$NR$40+1)*($NS$40-138+1)/$NU$40,$NN$40/$NT$40)),0)</f>
        <v/>
      </c>
      <c r="EM40" s="402">
        <f>IF(AND(139&gt;=$NR$40,139&lt;=$NS$40),IF($NP$40="Single_Point",IF(139=$NR$40,$NN$40,0),IF($NP$40="Bell_Curve",$NN$40*(139-$NR$40+1)*($NS$40-139+1)/$NU$40,$NN$40/$NT$40)),0)</f>
        <v/>
      </c>
      <c r="EN40" s="402">
        <f>IF(AND(140&gt;=$NR$40,140&lt;=$NS$40),IF($NP$40="Single_Point",IF(140=$NR$40,$NN$40,0),IF($NP$40="Bell_Curve",$NN$40*(140-$NR$40+1)*($NS$40-140+1)/$NU$40,$NN$40/$NT$40)),0)</f>
        <v/>
      </c>
      <c r="EO40" s="402">
        <f>IF(AND(141&gt;=$NR$40,141&lt;=$NS$40),IF($NP$40="Single_Point",IF(141=$NR$40,$NN$40,0),IF($NP$40="Bell_Curve",$NN$40*(141-$NR$40+1)*($NS$40-141+1)/$NU$40,$NN$40/$NT$40)),0)</f>
        <v/>
      </c>
      <c r="EP40" s="402">
        <f>IF(AND(142&gt;=$NR$40,142&lt;=$NS$40),IF($NP$40="Single_Point",IF(142=$NR$40,$NN$40,0),IF($NP$40="Bell_Curve",$NN$40*(142-$NR$40+1)*($NS$40-142+1)/$NU$40,$NN$40/$NT$40)),0)</f>
        <v/>
      </c>
      <c r="EQ40" s="402">
        <f>IF(AND(143&gt;=$NR$40,143&lt;=$NS$40),IF($NP$40="Single_Point",IF(143=$NR$40,$NN$40,0),IF($NP$40="Bell_Curve",$NN$40*(143-$NR$40+1)*($NS$40-143+1)/$NU$40,$NN$40/$NT$40)),0)</f>
        <v/>
      </c>
      <c r="ER40" s="402">
        <f>IF(AND(144&gt;=$NR$40,144&lt;=$NS$40),IF($NP$40="Single_Point",IF(144=$NR$40,$NN$40,0),IF($NP$40="Bell_Curve",$NN$40*(144-$NR$40+1)*($NS$40-144+1)/$NU$40,$NN$40/$NT$40)),0)</f>
        <v/>
      </c>
      <c r="ES40" s="402">
        <f>IF(AND(145&gt;=$NR$40,145&lt;=$NS$40),IF($NP$40="Single_Point",IF(145=$NR$40,$NN$40,0),IF($NP$40="Bell_Curve",$NN$40*(145-$NR$40+1)*($NS$40-145+1)/$NU$40,$NN$40/$NT$40)),0)</f>
        <v/>
      </c>
      <c r="ET40" s="402">
        <f>IF(AND(146&gt;=$NR$40,146&lt;=$NS$40),IF($NP$40="Single_Point",IF(146=$NR$40,$NN$40,0),IF($NP$40="Bell_Curve",$NN$40*(146-$NR$40+1)*($NS$40-146+1)/$NU$40,$NN$40/$NT$40)),0)</f>
        <v/>
      </c>
      <c r="EU40" s="402">
        <f>IF(AND(147&gt;=$NR$40,147&lt;=$NS$40),IF($NP$40="Single_Point",IF(147=$NR$40,$NN$40,0),IF($NP$40="Bell_Curve",$NN$40*(147-$NR$40+1)*($NS$40-147+1)/$NU$40,$NN$40/$NT$40)),0)</f>
        <v/>
      </c>
      <c r="EV40" s="402">
        <f>IF(AND(148&gt;=$NR$40,148&lt;=$NS$40),IF($NP$40="Single_Point",IF(148=$NR$40,$NN$40,0),IF($NP$40="Bell_Curve",$NN$40*(148-$NR$40+1)*($NS$40-148+1)/$NU$40,$NN$40/$NT$40)),0)</f>
        <v/>
      </c>
      <c r="EW40" s="402">
        <f>IF(AND(149&gt;=$NR$40,149&lt;=$NS$40),IF($NP$40="Single_Point",IF(149=$NR$40,$NN$40,0),IF($NP$40="Bell_Curve",$NN$40*(149-$NR$40+1)*($NS$40-149+1)/$NU$40,$NN$40/$NT$40)),0)</f>
        <v/>
      </c>
      <c r="EX40" s="402">
        <f>IF(AND(150&gt;=$NR$40,150&lt;=$NS$40),IF($NP$40="Single_Point",IF(150=$NR$40,$NN$40,0),IF($NP$40="Bell_Curve",$NN$40*(150-$NR$40+1)*($NS$40-150+1)/$NU$40,$NN$40/$NT$40)),0)</f>
        <v/>
      </c>
      <c r="EY40" s="402">
        <f>IF(AND(151&gt;=$NR$40,151&lt;=$NS$40),IF($NP$40="Single_Point",IF(151=$NR$40,$NN$40,0),IF($NP$40="Bell_Curve",$NN$40*(151-$NR$40+1)*($NS$40-151+1)/$NU$40,$NN$40/$NT$40)),0)</f>
        <v/>
      </c>
      <c r="EZ40" s="402">
        <f>IF(AND(152&gt;=$NR$40,152&lt;=$NS$40),IF($NP$40="Single_Point",IF(152=$NR$40,$NN$40,0),IF($NP$40="Bell_Curve",$NN$40*(152-$NR$40+1)*($NS$40-152+1)/$NU$40,$NN$40/$NT$40)),0)</f>
        <v/>
      </c>
      <c r="FA40" s="402">
        <f>IF(AND(153&gt;=$NR$40,153&lt;=$NS$40),IF($NP$40="Single_Point",IF(153=$NR$40,$NN$40,0),IF($NP$40="Bell_Curve",$NN$40*(153-$NR$40+1)*($NS$40-153+1)/$NU$40,$NN$40/$NT$40)),0)</f>
        <v/>
      </c>
      <c r="FB40" s="402">
        <f>IF(AND(154&gt;=$NR$40,154&lt;=$NS$40),IF($NP$40="Single_Point",IF(154=$NR$40,$NN$40,0),IF($NP$40="Bell_Curve",$NN$40*(154-$NR$40+1)*($NS$40-154+1)/$NU$40,$NN$40/$NT$40)),0)</f>
        <v/>
      </c>
      <c r="FC40" s="402">
        <f>IF(AND(155&gt;=$NR$40,155&lt;=$NS$40),IF($NP$40="Single_Point",IF(155=$NR$40,$NN$40,0),IF($NP$40="Bell_Curve",$NN$40*(155-$NR$40+1)*($NS$40-155+1)/$NU$40,$NN$40/$NT$40)),0)</f>
        <v/>
      </c>
      <c r="FD40" s="402">
        <f>IF(AND(156&gt;=$NR$40,156&lt;=$NS$40),IF($NP$40="Single_Point",IF(156=$NR$40,$NN$40,0),IF($NP$40="Bell_Curve",$NN$40*(156-$NR$40+1)*($NS$40-156+1)/$NU$40,$NN$40/$NT$40)),0)</f>
        <v/>
      </c>
      <c r="FE40" s="402">
        <f>IF(AND(157&gt;=$NR$40,157&lt;=$NS$40),IF($NP$40="Single_Point",IF(157=$NR$40,$NN$40,0),IF($NP$40="Bell_Curve",$NN$40*(157-$NR$40+1)*($NS$40-157+1)/$NU$40,$NN$40/$NT$40)),0)</f>
        <v/>
      </c>
      <c r="FF40" s="402">
        <f>IF(AND(158&gt;=$NR$40,158&lt;=$NS$40),IF($NP$40="Single_Point",IF(158=$NR$40,$NN$40,0),IF($NP$40="Bell_Curve",$NN$40*(158-$NR$40+1)*($NS$40-158+1)/$NU$40,$NN$40/$NT$40)),0)</f>
        <v/>
      </c>
      <c r="FG40" s="402">
        <f>IF(AND(159&gt;=$NR$40,159&lt;=$NS$40),IF($NP$40="Single_Point",IF(159=$NR$40,$NN$40,0),IF($NP$40="Bell_Curve",$NN$40*(159-$NR$40+1)*($NS$40-159+1)/$NU$40,$NN$40/$NT$40)),0)</f>
        <v/>
      </c>
      <c r="FH40" s="402">
        <f>IF(AND(160&gt;=$NR$40,160&lt;=$NS$40),IF($NP$40="Single_Point",IF(160=$NR$40,$NN$40,0),IF($NP$40="Bell_Curve",$NN$40*(160-$NR$40+1)*($NS$40-160+1)/$NU$40,$NN$40/$NT$40)),0)</f>
        <v/>
      </c>
      <c r="FI40" s="402">
        <f>IF(AND(161&gt;=$NR$40,161&lt;=$NS$40),IF($NP$40="Single_Point",IF(161=$NR$40,$NN$40,0),IF($NP$40="Bell_Curve",$NN$40*(161-$NR$40+1)*($NS$40-161+1)/$NU$40,$NN$40/$NT$40)),0)</f>
        <v/>
      </c>
      <c r="FJ40" s="402">
        <f>IF(AND(162&gt;=$NR$40,162&lt;=$NS$40),IF($NP$40="Single_Point",IF(162=$NR$40,$NN$40,0),IF($NP$40="Bell_Curve",$NN$40*(162-$NR$40+1)*($NS$40-162+1)/$NU$40,$NN$40/$NT$40)),0)</f>
        <v/>
      </c>
      <c r="FK40" s="402">
        <f>IF(AND(163&gt;=$NR$40,163&lt;=$NS$40),IF($NP$40="Single_Point",IF(163=$NR$40,$NN$40,0),IF($NP$40="Bell_Curve",$NN$40*(163-$NR$40+1)*($NS$40-163+1)/$NU$40,$NN$40/$NT$40)),0)</f>
        <v/>
      </c>
      <c r="FL40" s="402">
        <f>IF(AND(164&gt;=$NR$40,164&lt;=$NS$40),IF($NP$40="Single_Point",IF(164=$NR$40,$NN$40,0),IF($NP$40="Bell_Curve",$NN$40*(164-$NR$40+1)*($NS$40-164+1)/$NU$40,$NN$40/$NT$40)),0)</f>
        <v/>
      </c>
      <c r="FM40" s="402">
        <f>IF(AND(165&gt;=$NR$40,165&lt;=$NS$40),IF($NP$40="Single_Point",IF(165=$NR$40,$NN$40,0),IF($NP$40="Bell_Curve",$NN$40*(165-$NR$40+1)*($NS$40-165+1)/$NU$40,$NN$40/$NT$40)),0)</f>
        <v/>
      </c>
      <c r="FN40" s="402">
        <f>IF(AND(166&gt;=$NR$40,166&lt;=$NS$40),IF($NP$40="Single_Point",IF(166=$NR$40,$NN$40,0),IF($NP$40="Bell_Curve",$NN$40*(166-$NR$40+1)*($NS$40-166+1)/$NU$40,$NN$40/$NT$40)),0)</f>
        <v/>
      </c>
      <c r="FO40" s="402">
        <f>IF(AND(167&gt;=$NR$40,167&lt;=$NS$40),IF($NP$40="Single_Point",IF(167=$NR$40,$NN$40,0),IF($NP$40="Bell_Curve",$NN$40*(167-$NR$40+1)*($NS$40-167+1)/$NU$40,$NN$40/$NT$40)),0)</f>
        <v/>
      </c>
      <c r="FP40" s="402">
        <f>IF(AND(168&gt;=$NR$40,168&lt;=$NS$40),IF($NP$40="Single_Point",IF(168=$NR$40,$NN$40,0),IF($NP$40="Bell_Curve",$NN$40*(168-$NR$40+1)*($NS$40-168+1)/$NU$40,$NN$40/$NT$40)),0)</f>
        <v/>
      </c>
      <c r="FQ40" s="402">
        <f>IF(AND(169&gt;=$NR$40,169&lt;=$NS$40),IF($NP$40="Single_Point",IF(169=$NR$40,$NN$40,0),IF($NP$40="Bell_Curve",$NN$40*(169-$NR$40+1)*($NS$40-169+1)/$NU$40,$NN$40/$NT$40)),0)</f>
        <v/>
      </c>
      <c r="FR40" s="402">
        <f>IF(AND(170&gt;=$NR$40,170&lt;=$NS$40),IF($NP$40="Single_Point",IF(170=$NR$40,$NN$40,0),IF($NP$40="Bell_Curve",$NN$40*(170-$NR$40+1)*($NS$40-170+1)/$NU$40,$NN$40/$NT$40)),0)</f>
        <v/>
      </c>
      <c r="FS40" s="402">
        <f>IF(AND(171&gt;=$NR$40,171&lt;=$NS$40),IF($NP$40="Single_Point",IF(171=$NR$40,$NN$40,0),IF($NP$40="Bell_Curve",$NN$40*(171-$NR$40+1)*($NS$40-171+1)/$NU$40,$NN$40/$NT$40)),0)</f>
        <v/>
      </c>
      <c r="FT40" s="402">
        <f>IF(AND(172&gt;=$NR$40,172&lt;=$NS$40),IF($NP$40="Single_Point",IF(172=$NR$40,$NN$40,0),IF($NP$40="Bell_Curve",$NN$40*(172-$NR$40+1)*($NS$40-172+1)/$NU$40,$NN$40/$NT$40)),0)</f>
        <v/>
      </c>
      <c r="FU40" s="402">
        <f>IF(AND(173&gt;=$NR$40,173&lt;=$NS$40),IF($NP$40="Single_Point",IF(173=$NR$40,$NN$40,0),IF($NP$40="Bell_Curve",$NN$40*(173-$NR$40+1)*($NS$40-173+1)/$NU$40,$NN$40/$NT$40)),0)</f>
        <v/>
      </c>
      <c r="FV40" s="402">
        <f>IF(AND(174&gt;=$NR$40,174&lt;=$NS$40),IF($NP$40="Single_Point",IF(174=$NR$40,$NN$40,0),IF($NP$40="Bell_Curve",$NN$40*(174-$NR$40+1)*($NS$40-174+1)/$NU$40,$NN$40/$NT$40)),0)</f>
        <v/>
      </c>
      <c r="FW40" s="402">
        <f>IF(AND(175&gt;=$NR$40,175&lt;=$NS$40),IF($NP$40="Single_Point",IF(175=$NR$40,$NN$40,0),IF($NP$40="Bell_Curve",$NN$40*(175-$NR$40+1)*($NS$40-175+1)/$NU$40,$NN$40/$NT$40)),0)</f>
        <v/>
      </c>
      <c r="FX40" s="402">
        <f>IF(AND(176&gt;=$NR$40,176&lt;=$NS$40),IF($NP$40="Single_Point",IF(176=$NR$40,$NN$40,0),IF($NP$40="Bell_Curve",$NN$40*(176-$NR$40+1)*($NS$40-176+1)/$NU$40,$NN$40/$NT$40)),0)</f>
        <v/>
      </c>
      <c r="FY40" s="402">
        <f>IF(AND(177&gt;=$NR$40,177&lt;=$NS$40),IF($NP$40="Single_Point",IF(177=$NR$40,$NN$40,0),IF($NP$40="Bell_Curve",$NN$40*(177-$NR$40+1)*($NS$40-177+1)/$NU$40,$NN$40/$NT$40)),0)</f>
        <v/>
      </c>
      <c r="FZ40" s="402">
        <f>IF(AND(178&gt;=$NR$40,178&lt;=$NS$40),IF($NP$40="Single_Point",IF(178=$NR$40,$NN$40,0),IF($NP$40="Bell_Curve",$NN$40*(178-$NR$40+1)*($NS$40-178+1)/$NU$40,$NN$40/$NT$40)),0)</f>
        <v/>
      </c>
      <c r="GA40" s="402">
        <f>IF(AND(179&gt;=$NR$40,179&lt;=$NS$40),IF($NP$40="Single_Point",IF(179=$NR$40,$NN$40,0),IF($NP$40="Bell_Curve",$NN$40*(179-$NR$40+1)*($NS$40-179+1)/$NU$40,$NN$40/$NT$40)),0)</f>
        <v/>
      </c>
      <c r="GB40" s="402">
        <f>IF(AND(180&gt;=$NR$40,180&lt;=$NS$40),IF($NP$40="Single_Point",IF(180=$NR$40,$NN$40,0),IF($NP$40="Bell_Curve",$NN$40*(180-$NR$40+1)*($NS$40-180+1)/$NU$40,$NN$40/$NT$40)),0)</f>
        <v/>
      </c>
      <c r="GC40" s="402">
        <f>IF(AND(181&gt;=$NR$40,181&lt;=$NS$40),IF($NP$40="Single_Point",IF(181=$NR$40,$NN$40,0),IF($NP$40="Bell_Curve",$NN$40*(181-$NR$40+1)*($NS$40-181+1)/$NU$40,$NN$40/$NT$40)),0)</f>
        <v/>
      </c>
      <c r="GD40" s="402">
        <f>IF(AND(182&gt;=$NR$40,182&lt;=$NS$40),IF($NP$40="Single_Point",IF(182=$NR$40,$NN$40,0),IF($NP$40="Bell_Curve",$NN$40*(182-$NR$40+1)*($NS$40-182+1)/$NU$40,$NN$40/$NT$40)),0)</f>
        <v/>
      </c>
      <c r="GE40" s="402">
        <f>IF(AND(183&gt;=$NR$40,183&lt;=$NS$40),IF($NP$40="Single_Point",IF(183=$NR$40,$NN$40,0),IF($NP$40="Bell_Curve",$NN$40*(183-$NR$40+1)*($NS$40-183+1)/$NU$40,$NN$40/$NT$40)),0)</f>
        <v/>
      </c>
      <c r="GF40" s="402">
        <f>IF(AND(184&gt;=$NR$40,184&lt;=$NS$40),IF($NP$40="Single_Point",IF(184=$NR$40,$NN$40,0),IF($NP$40="Bell_Curve",$NN$40*(184-$NR$40+1)*($NS$40-184+1)/$NU$40,$NN$40/$NT$40)),0)</f>
        <v/>
      </c>
      <c r="GG40" s="402">
        <f>IF(AND(185&gt;=$NR$40,185&lt;=$NS$40),IF($NP$40="Single_Point",IF(185=$NR$40,$NN$40,0),IF($NP$40="Bell_Curve",$NN$40*(185-$NR$40+1)*($NS$40-185+1)/$NU$40,$NN$40/$NT$40)),0)</f>
        <v/>
      </c>
      <c r="GH40" s="402">
        <f>IF(AND(186&gt;=$NR$40,186&lt;=$NS$40),IF($NP$40="Single_Point",IF(186=$NR$40,$NN$40,0),IF($NP$40="Bell_Curve",$NN$40*(186-$NR$40+1)*($NS$40-186+1)/$NU$40,$NN$40/$NT$40)),0)</f>
        <v/>
      </c>
      <c r="GI40" s="402">
        <f>IF(AND(187&gt;=$NR$40,187&lt;=$NS$40),IF($NP$40="Single_Point",IF(187=$NR$40,$NN$40,0),IF($NP$40="Bell_Curve",$NN$40*(187-$NR$40+1)*($NS$40-187+1)/$NU$40,$NN$40/$NT$40)),0)</f>
        <v/>
      </c>
      <c r="GJ40" s="402">
        <f>IF(AND(188&gt;=$NR$40,188&lt;=$NS$40),IF($NP$40="Single_Point",IF(188=$NR$40,$NN$40,0),IF($NP$40="Bell_Curve",$NN$40*(188-$NR$40+1)*($NS$40-188+1)/$NU$40,$NN$40/$NT$40)),0)</f>
        <v/>
      </c>
      <c r="GK40" s="402">
        <f>IF(AND(189&gt;=$NR$40,189&lt;=$NS$40),IF($NP$40="Single_Point",IF(189=$NR$40,$NN$40,0),IF($NP$40="Bell_Curve",$NN$40*(189-$NR$40+1)*($NS$40-189+1)/$NU$40,$NN$40/$NT$40)),0)</f>
        <v/>
      </c>
      <c r="GL40" s="402">
        <f>IF(AND(190&gt;=$NR$40,190&lt;=$NS$40),IF($NP$40="Single_Point",IF(190=$NR$40,$NN$40,0),IF($NP$40="Bell_Curve",$NN$40*(190-$NR$40+1)*($NS$40-190+1)/$NU$40,$NN$40/$NT$40)),0)</f>
        <v/>
      </c>
      <c r="GM40" s="402">
        <f>IF(AND(191&gt;=$NR$40,191&lt;=$NS$40),IF($NP$40="Single_Point",IF(191=$NR$40,$NN$40,0),IF($NP$40="Bell_Curve",$NN$40*(191-$NR$40+1)*($NS$40-191+1)/$NU$40,$NN$40/$NT$40)),0)</f>
        <v/>
      </c>
      <c r="GN40" s="402">
        <f>IF(AND(192&gt;=$NR$40,192&lt;=$NS$40),IF($NP$40="Single_Point",IF(192=$NR$40,$NN$40,0),IF($NP$40="Bell_Curve",$NN$40*(192-$NR$40+1)*($NS$40-192+1)/$NU$40,$NN$40/$NT$40)),0)</f>
        <v/>
      </c>
      <c r="GO40" s="402">
        <f>IF(AND(193&gt;=$NR$40,193&lt;=$NS$40),IF($NP$40="Single_Point",IF(193=$NR$40,$NN$40,0),IF($NP$40="Bell_Curve",$NN$40*(193-$NR$40+1)*($NS$40-193+1)/$NU$40,$NN$40/$NT$40)),0)</f>
        <v/>
      </c>
      <c r="GP40" s="402">
        <f>IF(AND(194&gt;=$NR$40,194&lt;=$NS$40),IF($NP$40="Single_Point",IF(194=$NR$40,$NN$40,0),IF($NP$40="Bell_Curve",$NN$40*(194-$NR$40+1)*($NS$40-194+1)/$NU$40,$NN$40/$NT$40)),0)</f>
        <v/>
      </c>
      <c r="GQ40" s="402">
        <f>IF(AND(195&gt;=$NR$40,195&lt;=$NS$40),IF($NP$40="Single_Point",IF(195=$NR$40,$NN$40,0),IF($NP$40="Bell_Curve",$NN$40*(195-$NR$40+1)*($NS$40-195+1)/$NU$40,$NN$40/$NT$40)),0)</f>
        <v/>
      </c>
      <c r="GR40" s="402">
        <f>IF(AND(196&gt;=$NR$40,196&lt;=$NS$40),IF($NP$40="Single_Point",IF(196=$NR$40,$NN$40,0),IF($NP$40="Bell_Curve",$NN$40*(196-$NR$40+1)*($NS$40-196+1)/$NU$40,$NN$40/$NT$40)),0)</f>
        <v/>
      </c>
      <c r="GS40" s="402">
        <f>IF(AND(197&gt;=$NR$40,197&lt;=$NS$40),IF($NP$40="Single_Point",IF(197=$NR$40,$NN$40,0),IF($NP$40="Bell_Curve",$NN$40*(197-$NR$40+1)*($NS$40-197+1)/$NU$40,$NN$40/$NT$40)),0)</f>
        <v/>
      </c>
      <c r="GT40" s="402">
        <f>IF(AND(198&gt;=$NR$40,198&lt;=$NS$40),IF($NP$40="Single_Point",IF(198=$NR$40,$NN$40,0),IF($NP$40="Bell_Curve",$NN$40*(198-$NR$40+1)*($NS$40-198+1)/$NU$40,$NN$40/$NT$40)),0)</f>
        <v/>
      </c>
      <c r="GU40" s="402">
        <f>IF(AND(199&gt;=$NR$40,199&lt;=$NS$40),IF($NP$40="Single_Point",IF(199=$NR$40,$NN$40,0),IF($NP$40="Bell_Curve",$NN$40*(199-$NR$40+1)*($NS$40-199+1)/$NU$40,$NN$40/$NT$40)),0)</f>
        <v/>
      </c>
      <c r="GV40" s="402">
        <f>IF(AND(200&gt;=$NR$40,200&lt;=$NS$40),IF($NP$40="Single_Point",IF(200=$NR$40,$NN$40,0),IF($NP$40="Bell_Curve",$NN$40*(200-$NR$40+1)*($NS$40-200+1)/$NU$40,$NN$40/$NT$40)),0)</f>
        <v/>
      </c>
      <c r="GW40" s="402">
        <f>IF(AND(201&gt;=$NR$40,201&lt;=$NS$40),IF($NP$40="Single_Point",IF(201=$NR$40,$NN$40,0),IF($NP$40="Bell_Curve",$NN$40*(201-$NR$40+1)*($NS$40-201+1)/$NU$40,$NN$40/$NT$40)),0)</f>
        <v/>
      </c>
      <c r="GX40" s="402">
        <f>IF(AND(202&gt;=$NR$40,202&lt;=$NS$40),IF($NP$40="Single_Point",IF(202=$NR$40,$NN$40,0),IF($NP$40="Bell_Curve",$NN$40*(202-$NR$40+1)*($NS$40-202+1)/$NU$40,$NN$40/$NT$40)),0)</f>
        <v/>
      </c>
      <c r="GY40" s="402">
        <f>IF(AND(203&gt;=$NR$40,203&lt;=$NS$40),IF($NP$40="Single_Point",IF(203=$NR$40,$NN$40,0),IF($NP$40="Bell_Curve",$NN$40*(203-$NR$40+1)*($NS$40-203+1)/$NU$40,$NN$40/$NT$40)),0)</f>
        <v/>
      </c>
      <c r="GZ40" s="402">
        <f>IF(AND(204&gt;=$NR$40,204&lt;=$NS$40),IF($NP$40="Single_Point",IF(204=$NR$40,$NN$40,0),IF($NP$40="Bell_Curve",$NN$40*(204-$NR$40+1)*($NS$40-204+1)/$NU$40,$NN$40/$NT$40)),0)</f>
        <v/>
      </c>
      <c r="HA40" s="402">
        <f>IF(AND(205&gt;=$NR$40,205&lt;=$NS$40),IF($NP$40="Single_Point",IF(205=$NR$40,$NN$40,0),IF($NP$40="Bell_Curve",$NN$40*(205-$NR$40+1)*($NS$40-205+1)/$NU$40,$NN$40/$NT$40)),0)</f>
        <v/>
      </c>
      <c r="HB40" s="402">
        <f>IF(AND(206&gt;=$NR$40,206&lt;=$NS$40),IF($NP$40="Single_Point",IF(206=$NR$40,$NN$40,0),IF($NP$40="Bell_Curve",$NN$40*(206-$NR$40+1)*($NS$40-206+1)/$NU$40,$NN$40/$NT$40)),0)</f>
        <v/>
      </c>
      <c r="HC40" s="402">
        <f>IF(AND(207&gt;=$NR$40,207&lt;=$NS$40),IF($NP$40="Single_Point",IF(207=$NR$40,$NN$40,0),IF($NP$40="Bell_Curve",$NN$40*(207-$NR$40+1)*($NS$40-207+1)/$NU$40,$NN$40/$NT$40)),0)</f>
        <v/>
      </c>
      <c r="HD40" s="402">
        <f>IF(AND(208&gt;=$NR$40,208&lt;=$NS$40),IF($NP$40="Single_Point",IF(208=$NR$40,$NN$40,0),IF($NP$40="Bell_Curve",$NN$40*(208-$NR$40+1)*($NS$40-208+1)/$NU$40,$NN$40/$NT$40)),0)</f>
        <v/>
      </c>
      <c r="HE40" s="402">
        <f>IF(AND(209&gt;=$NR$40,209&lt;=$NS$40),IF($NP$40="Single_Point",IF(209=$NR$40,$NN$40,0),IF($NP$40="Bell_Curve",$NN$40*(209-$NR$40+1)*($NS$40-209+1)/$NU$40,$NN$40/$NT$40)),0)</f>
        <v/>
      </c>
      <c r="HF40" s="402">
        <f>IF(AND(210&gt;=$NR$40,210&lt;=$NS$40),IF($NP$40="Single_Point",IF(210=$NR$40,$NN$40,0),IF($NP$40="Bell_Curve",$NN$40*(210-$NR$40+1)*($NS$40-210+1)/$NU$40,$NN$40/$NT$40)),0)</f>
        <v/>
      </c>
      <c r="HG40" s="402">
        <f>IF(AND(211&gt;=$NR$40,211&lt;=$NS$40),IF($NP$40="Single_Point",IF(211=$NR$40,$NN$40,0),IF($NP$40="Bell_Curve",$NN$40*(211-$NR$40+1)*($NS$40-211+1)/$NU$40,$NN$40/$NT$40)),0)</f>
        <v/>
      </c>
      <c r="HH40" s="402">
        <f>IF(AND(212&gt;=$NR$40,212&lt;=$NS$40),IF($NP$40="Single_Point",IF(212=$NR$40,$NN$40,0),IF($NP$40="Bell_Curve",$NN$40*(212-$NR$40+1)*($NS$40-212+1)/$NU$40,$NN$40/$NT$40)),0)</f>
        <v/>
      </c>
      <c r="HI40" s="402">
        <f>IF(AND(213&gt;=$NR$40,213&lt;=$NS$40),IF($NP$40="Single_Point",IF(213=$NR$40,$NN$40,0),IF($NP$40="Bell_Curve",$NN$40*(213-$NR$40+1)*($NS$40-213+1)/$NU$40,$NN$40/$NT$40)),0)</f>
        <v/>
      </c>
      <c r="HJ40" s="402">
        <f>IF(AND(214&gt;=$NR$40,214&lt;=$NS$40),IF($NP$40="Single_Point",IF(214=$NR$40,$NN$40,0),IF($NP$40="Bell_Curve",$NN$40*(214-$NR$40+1)*($NS$40-214+1)/$NU$40,$NN$40/$NT$40)),0)</f>
        <v/>
      </c>
      <c r="HK40" s="402">
        <f>IF(AND(215&gt;=$NR$40,215&lt;=$NS$40),IF($NP$40="Single_Point",IF(215=$NR$40,$NN$40,0),IF($NP$40="Bell_Curve",$NN$40*(215-$NR$40+1)*($NS$40-215+1)/$NU$40,$NN$40/$NT$40)),0)</f>
        <v/>
      </c>
      <c r="HL40" s="402">
        <f>IF(AND(216&gt;=$NR$40,216&lt;=$NS$40),IF($NP$40="Single_Point",IF(216=$NR$40,$NN$40,0),IF($NP$40="Bell_Curve",$NN$40*(216-$NR$40+1)*($NS$40-216+1)/$NU$40,$NN$40/$NT$40)),0)</f>
        <v/>
      </c>
      <c r="HM40" s="402">
        <f>IF(AND(217&gt;=$NR$40,217&lt;=$NS$40),IF($NP$40="Single_Point",IF(217=$NR$40,$NN$40,0),IF($NP$40="Bell_Curve",$NN$40*(217-$NR$40+1)*($NS$40-217+1)/$NU$40,$NN$40/$NT$40)),0)</f>
        <v/>
      </c>
      <c r="HN40" s="402">
        <f>IF(AND(218&gt;=$NR$40,218&lt;=$NS$40),IF($NP$40="Single_Point",IF(218=$NR$40,$NN$40,0),IF($NP$40="Bell_Curve",$NN$40*(218-$NR$40+1)*($NS$40-218+1)/$NU$40,$NN$40/$NT$40)),0)</f>
        <v/>
      </c>
      <c r="HO40" s="402">
        <f>IF(AND(219&gt;=$NR$40,219&lt;=$NS$40),IF($NP$40="Single_Point",IF(219=$NR$40,$NN$40,0),IF($NP$40="Bell_Curve",$NN$40*(219-$NR$40+1)*($NS$40-219+1)/$NU$40,$NN$40/$NT$40)),0)</f>
        <v/>
      </c>
      <c r="HP40" s="402">
        <f>IF(AND(220&gt;=$NR$40,220&lt;=$NS$40),IF($NP$40="Single_Point",IF(220=$NR$40,$NN$40,0),IF($NP$40="Bell_Curve",$NN$40*(220-$NR$40+1)*($NS$40-220+1)/$NU$40,$NN$40/$NT$40)),0)</f>
        <v/>
      </c>
      <c r="HQ40" s="402">
        <f>IF(AND(221&gt;=$NR$40,221&lt;=$NS$40),IF($NP$40="Single_Point",IF(221=$NR$40,$NN$40,0),IF($NP$40="Bell_Curve",$NN$40*(221-$NR$40+1)*($NS$40-221+1)/$NU$40,$NN$40/$NT$40)),0)</f>
        <v/>
      </c>
      <c r="HR40" s="402">
        <f>IF(AND(222&gt;=$NR$40,222&lt;=$NS$40),IF($NP$40="Single_Point",IF(222=$NR$40,$NN$40,0),IF($NP$40="Bell_Curve",$NN$40*(222-$NR$40+1)*($NS$40-222+1)/$NU$40,$NN$40/$NT$40)),0)</f>
        <v/>
      </c>
      <c r="HS40" s="402">
        <f>IF(AND(223&gt;=$NR$40,223&lt;=$NS$40),IF($NP$40="Single_Point",IF(223=$NR$40,$NN$40,0),IF($NP$40="Bell_Curve",$NN$40*(223-$NR$40+1)*($NS$40-223+1)/$NU$40,$NN$40/$NT$40)),0)</f>
        <v/>
      </c>
      <c r="HT40" s="402">
        <f>IF(AND(224&gt;=$NR$40,224&lt;=$NS$40),IF($NP$40="Single_Point",IF(224=$NR$40,$NN$40,0),IF($NP$40="Bell_Curve",$NN$40*(224-$NR$40+1)*($NS$40-224+1)/$NU$40,$NN$40/$NT$40)),0)</f>
        <v/>
      </c>
      <c r="HU40" s="402">
        <f>IF(AND(225&gt;=$NR$40,225&lt;=$NS$40),IF($NP$40="Single_Point",IF(225=$NR$40,$NN$40,0),IF($NP$40="Bell_Curve",$NN$40*(225-$NR$40+1)*($NS$40-225+1)/$NU$40,$NN$40/$NT$40)),0)</f>
        <v/>
      </c>
      <c r="HV40" s="402">
        <f>IF(AND(226&gt;=$NR$40,226&lt;=$NS$40),IF($NP$40="Single_Point",IF(226=$NR$40,$NN$40,0),IF($NP$40="Bell_Curve",$NN$40*(226-$NR$40+1)*($NS$40-226+1)/$NU$40,$NN$40/$NT$40)),0)</f>
        <v/>
      </c>
      <c r="HW40" s="402">
        <f>IF(AND(227&gt;=$NR$40,227&lt;=$NS$40),IF($NP$40="Single_Point",IF(227=$NR$40,$NN$40,0),IF($NP$40="Bell_Curve",$NN$40*(227-$NR$40+1)*($NS$40-227+1)/$NU$40,$NN$40/$NT$40)),0)</f>
        <v/>
      </c>
      <c r="HX40" s="402">
        <f>IF(AND(228&gt;=$NR$40,228&lt;=$NS$40),IF($NP$40="Single_Point",IF(228=$NR$40,$NN$40,0),IF($NP$40="Bell_Curve",$NN$40*(228-$NR$40+1)*($NS$40-228+1)/$NU$40,$NN$40/$NT$40)),0)</f>
        <v/>
      </c>
      <c r="HY40" s="402">
        <f>IF(AND(229&gt;=$NR$40,229&lt;=$NS$40),IF($NP$40="Single_Point",IF(229=$NR$40,$NN$40,0),IF($NP$40="Bell_Curve",$NN$40*(229-$NR$40+1)*($NS$40-229+1)/$NU$40,$NN$40/$NT$40)),0)</f>
        <v/>
      </c>
      <c r="HZ40" s="402">
        <f>IF(AND(230&gt;=$NR$40,230&lt;=$NS$40),IF($NP$40="Single_Point",IF(230=$NR$40,$NN$40,0),IF($NP$40="Bell_Curve",$NN$40*(230-$NR$40+1)*($NS$40-230+1)/$NU$40,$NN$40/$NT$40)),0)</f>
        <v/>
      </c>
      <c r="IA40" s="402">
        <f>IF(AND(231&gt;=$NR$40,231&lt;=$NS$40),IF($NP$40="Single_Point",IF(231=$NR$40,$NN$40,0),IF($NP$40="Bell_Curve",$NN$40*(231-$NR$40+1)*($NS$40-231+1)/$NU$40,$NN$40/$NT$40)),0)</f>
        <v/>
      </c>
      <c r="IB40" s="402">
        <f>IF(AND(232&gt;=$NR$40,232&lt;=$NS$40),IF($NP$40="Single_Point",IF(232=$NR$40,$NN$40,0),IF($NP$40="Bell_Curve",$NN$40*(232-$NR$40+1)*($NS$40-232+1)/$NU$40,$NN$40/$NT$40)),0)</f>
        <v/>
      </c>
      <c r="IC40" s="402">
        <f>IF(AND(233&gt;=$NR$40,233&lt;=$NS$40),IF($NP$40="Single_Point",IF(233=$NR$40,$NN$40,0),IF($NP$40="Bell_Curve",$NN$40*(233-$NR$40+1)*($NS$40-233+1)/$NU$40,$NN$40/$NT$40)),0)</f>
        <v/>
      </c>
      <c r="ID40" s="402">
        <f>IF(AND(234&gt;=$NR$40,234&lt;=$NS$40),IF($NP$40="Single_Point",IF(234=$NR$40,$NN$40,0),IF($NP$40="Bell_Curve",$NN$40*(234-$NR$40+1)*($NS$40-234+1)/$NU$40,$NN$40/$NT$40)),0)</f>
        <v/>
      </c>
      <c r="IE40" s="402">
        <f>IF(AND(235&gt;=$NR$40,235&lt;=$NS$40),IF($NP$40="Single_Point",IF(235=$NR$40,$NN$40,0),IF($NP$40="Bell_Curve",$NN$40*(235-$NR$40+1)*($NS$40-235+1)/$NU$40,$NN$40/$NT$40)),0)</f>
        <v/>
      </c>
      <c r="IF40" s="402">
        <f>IF(AND(236&gt;=$NR$40,236&lt;=$NS$40),IF($NP$40="Single_Point",IF(236=$NR$40,$NN$40,0),IF($NP$40="Bell_Curve",$NN$40*(236-$NR$40+1)*($NS$40-236+1)/$NU$40,$NN$40/$NT$40)),0)</f>
        <v/>
      </c>
      <c r="IG40" s="402">
        <f>IF(AND(237&gt;=$NR$40,237&lt;=$NS$40),IF($NP$40="Single_Point",IF(237=$NR$40,$NN$40,0),IF($NP$40="Bell_Curve",$NN$40*(237-$NR$40+1)*($NS$40-237+1)/$NU$40,$NN$40/$NT$40)),0)</f>
        <v/>
      </c>
      <c r="IH40" s="402">
        <f>IF(AND(238&gt;=$NR$40,238&lt;=$NS$40),IF($NP$40="Single_Point",IF(238=$NR$40,$NN$40,0),IF($NP$40="Bell_Curve",$NN$40*(238-$NR$40+1)*($NS$40-238+1)/$NU$40,$NN$40/$NT$40)),0)</f>
        <v/>
      </c>
      <c r="II40" s="402">
        <f>IF(AND(239&gt;=$NR$40,239&lt;=$NS$40),IF($NP$40="Single_Point",IF(239=$NR$40,$NN$40,0),IF($NP$40="Bell_Curve",$NN$40*(239-$NR$40+1)*($NS$40-239+1)/$NU$40,$NN$40/$NT$40)),0)</f>
        <v/>
      </c>
      <c r="IJ40" s="402">
        <f>IF(AND(240&gt;=$NR$40,240&lt;=$NS$40),IF($NP$40="Single_Point",IF(240=$NR$40,$NN$40,0),IF($NP$40="Bell_Curve",$NN$40*(240-$NR$40+1)*($NS$40-240+1)/$NU$40,$NN$40/$NT$40)),0)</f>
        <v/>
      </c>
      <c r="IK40" s="402">
        <f>IF(AND(241&gt;=$NR$40,241&lt;=$NS$40),IF($NP$40="Single_Point",IF(241=$NR$40,$NN$40,0),IF($NP$40="Bell_Curve",$NN$40*(241-$NR$40+1)*($NS$40-241+1)/$NU$40,$NN$40/$NT$40)),0)</f>
        <v/>
      </c>
      <c r="IL40" s="402">
        <f>IF(AND(242&gt;=$NR$40,242&lt;=$NS$40),IF($NP$40="Single_Point",IF(242=$NR$40,$NN$40,0),IF($NP$40="Bell_Curve",$NN$40*(242-$NR$40+1)*($NS$40-242+1)/$NU$40,$NN$40/$NT$40)),0)</f>
        <v/>
      </c>
      <c r="IM40" s="402">
        <f>IF(AND(243&gt;=$NR$40,243&lt;=$NS$40),IF($NP$40="Single_Point",IF(243=$NR$40,$NN$40,0),IF($NP$40="Bell_Curve",$NN$40*(243-$NR$40+1)*($NS$40-243+1)/$NU$40,$NN$40/$NT$40)),0)</f>
        <v/>
      </c>
      <c r="IN40" s="402">
        <f>IF(AND(244&gt;=$NR$40,244&lt;=$NS$40),IF($NP$40="Single_Point",IF(244=$NR$40,$NN$40,0),IF($NP$40="Bell_Curve",$NN$40*(244-$NR$40+1)*($NS$40-244+1)/$NU$40,$NN$40/$NT$40)),0)</f>
        <v/>
      </c>
      <c r="IO40" s="402">
        <f>IF(AND(245&gt;=$NR$40,245&lt;=$NS$40),IF($NP$40="Single_Point",IF(245=$NR$40,$NN$40,0),IF($NP$40="Bell_Curve",$NN$40*(245-$NR$40+1)*($NS$40-245+1)/$NU$40,$NN$40/$NT$40)),0)</f>
        <v/>
      </c>
      <c r="IP40" s="402">
        <f>IF(AND(246&gt;=$NR$40,246&lt;=$NS$40),IF($NP$40="Single_Point",IF(246=$NR$40,$NN$40,0),IF($NP$40="Bell_Curve",$NN$40*(246-$NR$40+1)*($NS$40-246+1)/$NU$40,$NN$40/$NT$40)),0)</f>
        <v/>
      </c>
      <c r="IQ40" s="402">
        <f>IF(AND(247&gt;=$NR$40,247&lt;=$NS$40),IF($NP$40="Single_Point",IF(247=$NR$40,$NN$40,0),IF($NP$40="Bell_Curve",$NN$40*(247-$NR$40+1)*($NS$40-247+1)/$NU$40,$NN$40/$NT$40)),0)</f>
        <v/>
      </c>
      <c r="IR40" s="402">
        <f>IF(AND(248&gt;=$NR$40,248&lt;=$NS$40),IF($NP$40="Single_Point",IF(248=$NR$40,$NN$40,0),IF($NP$40="Bell_Curve",$NN$40*(248-$NR$40+1)*($NS$40-248+1)/$NU$40,$NN$40/$NT$40)),0)</f>
        <v/>
      </c>
      <c r="IS40" s="402">
        <f>IF(AND(249&gt;=$NR$40,249&lt;=$NS$40),IF($NP$40="Single_Point",IF(249=$NR$40,$NN$40,0),IF($NP$40="Bell_Curve",$NN$40*(249-$NR$40+1)*($NS$40-249+1)/$NU$40,$NN$40/$NT$40)),0)</f>
        <v/>
      </c>
      <c r="IT40" s="402">
        <f>IF(AND(250&gt;=$NR$40,250&lt;=$NS$40),IF($NP$40="Single_Point",IF(250=$NR$40,$NN$40,0),IF($NP$40="Bell_Curve",$NN$40*(250-$NR$40+1)*($NS$40-250+1)/$NU$40,$NN$40/$NT$40)),0)</f>
        <v/>
      </c>
      <c r="IU40" s="402">
        <f>IF(AND(251&gt;=$NR$40,251&lt;=$NS$40),IF($NP$40="Single_Point",IF(251=$NR$40,$NN$40,0),IF($NP$40="Bell_Curve",$NN$40*(251-$NR$40+1)*($NS$40-251+1)/$NU$40,$NN$40/$NT$40)),0)</f>
        <v/>
      </c>
      <c r="IV40" s="402">
        <f>IF(AND(252&gt;=$NR$40,252&lt;=$NS$40),IF($NP$40="Single_Point",IF(252=$NR$40,$NN$40,0),IF($NP$40="Bell_Curve",$NN$40*(252-$NR$40+1)*($NS$40-252+1)/$NU$40,$NN$40/$NT$40)),0)</f>
        <v/>
      </c>
      <c r="IW40" s="402">
        <f>IF(AND(253&gt;=$NR$40,253&lt;=$NS$40),IF($NP$40="Single_Point",IF(253=$NR$40,$NN$40,0),IF($NP$40="Bell_Curve",$NN$40*(253-$NR$40+1)*($NS$40-253+1)/$NU$40,$NN$40/$NT$40)),0)</f>
        <v/>
      </c>
      <c r="IX40" s="402">
        <f>IF(AND(254&gt;=$NR$40,254&lt;=$NS$40),IF($NP$40="Single_Point",IF(254=$NR$40,$NN$40,0),IF($NP$40="Bell_Curve",$NN$40*(254-$NR$40+1)*($NS$40-254+1)/$NU$40,$NN$40/$NT$40)),0)</f>
        <v/>
      </c>
      <c r="IY40" s="402">
        <f>IF(AND(255&gt;=$NR$40,255&lt;=$NS$40),IF($NP$40="Single_Point",IF(255=$NR$40,$NN$40,0),IF($NP$40="Bell_Curve",$NN$40*(255-$NR$40+1)*($NS$40-255+1)/$NU$40,$NN$40/$NT$40)),0)</f>
        <v/>
      </c>
      <c r="IZ40" s="402">
        <f>IF(AND(256&gt;=$NR$40,256&lt;=$NS$40),IF($NP$40="Single_Point",IF(256=$NR$40,$NN$40,0),IF($NP$40="Bell_Curve",$NN$40*(256-$NR$40+1)*($NS$40-256+1)/$NU$40,$NN$40/$NT$40)),0)</f>
        <v/>
      </c>
      <c r="JA40" s="402">
        <f>IF(AND(257&gt;=$NR$40,257&lt;=$NS$40),IF($NP$40="Single_Point",IF(257=$NR$40,$NN$40,0),IF($NP$40="Bell_Curve",$NN$40*(257-$NR$40+1)*($NS$40-257+1)/$NU$40,$NN$40/$NT$40)),0)</f>
        <v/>
      </c>
      <c r="JB40" s="402">
        <f>IF(AND(258&gt;=$NR$40,258&lt;=$NS$40),IF($NP$40="Single_Point",IF(258=$NR$40,$NN$40,0),IF($NP$40="Bell_Curve",$NN$40*(258-$NR$40+1)*($NS$40-258+1)/$NU$40,$NN$40/$NT$40)),0)</f>
        <v/>
      </c>
      <c r="JC40" s="402">
        <f>IF(AND(259&gt;=$NR$40,259&lt;=$NS$40),IF($NP$40="Single_Point",IF(259=$NR$40,$NN$40,0),IF($NP$40="Bell_Curve",$NN$40*(259-$NR$40+1)*($NS$40-259+1)/$NU$40,$NN$40/$NT$40)),0)</f>
        <v/>
      </c>
      <c r="JD40" s="402">
        <f>IF(AND(260&gt;=$NR$40,260&lt;=$NS$40),IF($NP$40="Single_Point",IF(260=$NR$40,$NN$40,0),IF($NP$40="Bell_Curve",$NN$40*(260-$NR$40+1)*($NS$40-260+1)/$NU$40,$NN$40/$NT$40)),0)</f>
        <v/>
      </c>
      <c r="JE40" s="402">
        <f>IF(AND(261&gt;=$NR$40,261&lt;=$NS$40),IF($NP$40="Single_Point",IF(261=$NR$40,$NN$40,0),IF($NP$40="Bell_Curve",$NN$40*(261-$NR$40+1)*($NS$40-261+1)/$NU$40,$NN$40/$NT$40)),0)</f>
        <v/>
      </c>
      <c r="JF40" s="402">
        <f>IF(AND(262&gt;=$NR$40,262&lt;=$NS$40),IF($NP$40="Single_Point",IF(262=$NR$40,$NN$40,0),IF($NP$40="Bell_Curve",$NN$40*(262-$NR$40+1)*($NS$40-262+1)/$NU$40,$NN$40/$NT$40)),0)</f>
        <v/>
      </c>
      <c r="JG40" s="402">
        <f>IF(AND(263&gt;=$NR$40,263&lt;=$NS$40),IF($NP$40="Single_Point",IF(263=$NR$40,$NN$40,0),IF($NP$40="Bell_Curve",$NN$40*(263-$NR$40+1)*($NS$40-263+1)/$NU$40,$NN$40/$NT$40)),0)</f>
        <v/>
      </c>
      <c r="JH40" s="402">
        <f>IF(AND(264&gt;=$NR$40,264&lt;=$NS$40),IF($NP$40="Single_Point",IF(264=$NR$40,$NN$40,0),IF($NP$40="Bell_Curve",$NN$40*(264-$NR$40+1)*($NS$40-264+1)/$NU$40,$NN$40/$NT$40)),0)</f>
        <v/>
      </c>
      <c r="JI40" s="402">
        <f>IF(AND(265&gt;=$NR$40,265&lt;=$NS$40),IF($NP$40="Single_Point",IF(265=$NR$40,$NN$40,0),IF($NP$40="Bell_Curve",$NN$40*(265-$NR$40+1)*($NS$40-265+1)/$NU$40,$NN$40/$NT$40)),0)</f>
        <v/>
      </c>
      <c r="JJ40" s="402">
        <f>IF(AND(266&gt;=$NR$40,266&lt;=$NS$40),IF($NP$40="Single_Point",IF(266=$NR$40,$NN$40,0),IF($NP$40="Bell_Curve",$NN$40*(266-$NR$40+1)*($NS$40-266+1)/$NU$40,$NN$40/$NT$40)),0)</f>
        <v/>
      </c>
      <c r="JK40" s="402">
        <f>IF(AND(267&gt;=$NR$40,267&lt;=$NS$40),IF($NP$40="Single_Point",IF(267=$NR$40,$NN$40,0),IF($NP$40="Bell_Curve",$NN$40*(267-$NR$40+1)*($NS$40-267+1)/$NU$40,$NN$40/$NT$40)),0)</f>
        <v/>
      </c>
      <c r="JL40" s="402">
        <f>IF(AND(268&gt;=$NR$40,268&lt;=$NS$40),IF($NP$40="Single_Point",IF(268=$NR$40,$NN$40,0),IF($NP$40="Bell_Curve",$NN$40*(268-$NR$40+1)*($NS$40-268+1)/$NU$40,$NN$40/$NT$40)),0)</f>
        <v/>
      </c>
      <c r="JM40" s="402">
        <f>IF(AND(269&gt;=$NR$40,269&lt;=$NS$40),IF($NP$40="Single_Point",IF(269=$NR$40,$NN$40,0),IF($NP$40="Bell_Curve",$NN$40*(269-$NR$40+1)*($NS$40-269+1)/$NU$40,$NN$40/$NT$40)),0)</f>
        <v/>
      </c>
      <c r="JN40" s="402">
        <f>IF(AND(270&gt;=$NR$40,270&lt;=$NS$40),IF($NP$40="Single_Point",IF(270=$NR$40,$NN$40,0),IF($NP$40="Bell_Curve",$NN$40*(270-$NR$40+1)*($NS$40-270+1)/$NU$40,$NN$40/$NT$40)),0)</f>
        <v/>
      </c>
      <c r="JO40" s="402">
        <f>IF(AND(271&gt;=$NR$40,271&lt;=$NS$40),IF($NP$40="Single_Point",IF(271=$NR$40,$NN$40,0),IF($NP$40="Bell_Curve",$NN$40*(271-$NR$40+1)*($NS$40-271+1)/$NU$40,$NN$40/$NT$40)),0)</f>
        <v/>
      </c>
      <c r="JP40" s="402">
        <f>IF(AND(272&gt;=$NR$40,272&lt;=$NS$40),IF($NP$40="Single_Point",IF(272=$NR$40,$NN$40,0),IF($NP$40="Bell_Curve",$NN$40*(272-$NR$40+1)*($NS$40-272+1)/$NU$40,$NN$40/$NT$40)),0)</f>
        <v/>
      </c>
      <c r="JQ40" s="402">
        <f>IF(AND(273&gt;=$NR$40,273&lt;=$NS$40),IF($NP$40="Single_Point",IF(273=$NR$40,$NN$40,0),IF($NP$40="Bell_Curve",$NN$40*(273-$NR$40+1)*($NS$40-273+1)/$NU$40,$NN$40/$NT$40)),0)</f>
        <v/>
      </c>
      <c r="JR40" s="402">
        <f>IF(AND(274&gt;=$NR$40,274&lt;=$NS$40),IF($NP$40="Single_Point",IF(274=$NR$40,$NN$40,0),IF($NP$40="Bell_Curve",$NN$40*(274-$NR$40+1)*($NS$40-274+1)/$NU$40,$NN$40/$NT$40)),0)</f>
        <v/>
      </c>
      <c r="JS40" s="402">
        <f>IF(AND(275&gt;=$NR$40,275&lt;=$NS$40),IF($NP$40="Single_Point",IF(275=$NR$40,$NN$40,0),IF($NP$40="Bell_Curve",$NN$40*(275-$NR$40+1)*($NS$40-275+1)/$NU$40,$NN$40/$NT$40)),0)</f>
        <v/>
      </c>
      <c r="JT40" s="402">
        <f>IF(AND(276&gt;=$NR$40,276&lt;=$NS$40),IF($NP$40="Single_Point",IF(276=$NR$40,$NN$40,0),IF($NP$40="Bell_Curve",$NN$40*(276-$NR$40+1)*($NS$40-276+1)/$NU$40,$NN$40/$NT$40)),0)</f>
        <v/>
      </c>
      <c r="JU40" s="402">
        <f>IF(AND(277&gt;=$NR$40,277&lt;=$NS$40),IF($NP$40="Single_Point",IF(277=$NR$40,$NN$40,0),IF($NP$40="Bell_Curve",$NN$40*(277-$NR$40+1)*($NS$40-277+1)/$NU$40,$NN$40/$NT$40)),0)</f>
        <v/>
      </c>
      <c r="JV40" s="402">
        <f>IF(AND(278&gt;=$NR$40,278&lt;=$NS$40),IF($NP$40="Single_Point",IF(278=$NR$40,$NN$40,0),IF($NP$40="Bell_Curve",$NN$40*(278-$NR$40+1)*($NS$40-278+1)/$NU$40,$NN$40/$NT$40)),0)</f>
        <v/>
      </c>
      <c r="JW40" s="402">
        <f>IF(AND(279&gt;=$NR$40,279&lt;=$NS$40),IF($NP$40="Single_Point",IF(279=$NR$40,$NN$40,0),IF($NP$40="Bell_Curve",$NN$40*(279-$NR$40+1)*($NS$40-279+1)/$NU$40,$NN$40/$NT$40)),0)</f>
        <v/>
      </c>
      <c r="JX40" s="402">
        <f>IF(AND(280&gt;=$NR$40,280&lt;=$NS$40),IF($NP$40="Single_Point",IF(280=$NR$40,$NN$40,0),IF($NP$40="Bell_Curve",$NN$40*(280-$NR$40+1)*($NS$40-280+1)/$NU$40,$NN$40/$NT$40)),0)</f>
        <v/>
      </c>
      <c r="JY40" s="402">
        <f>IF(AND(281&gt;=$NR$40,281&lt;=$NS$40),IF($NP$40="Single_Point",IF(281=$NR$40,$NN$40,0),IF($NP$40="Bell_Curve",$NN$40*(281-$NR$40+1)*($NS$40-281+1)/$NU$40,$NN$40/$NT$40)),0)</f>
        <v/>
      </c>
      <c r="JZ40" s="402">
        <f>IF(AND(282&gt;=$NR$40,282&lt;=$NS$40),IF($NP$40="Single_Point",IF(282=$NR$40,$NN$40,0),IF($NP$40="Bell_Curve",$NN$40*(282-$NR$40+1)*($NS$40-282+1)/$NU$40,$NN$40/$NT$40)),0)</f>
        <v/>
      </c>
      <c r="KA40" s="402">
        <f>IF(AND(283&gt;=$NR$40,283&lt;=$NS$40),IF($NP$40="Single_Point",IF(283=$NR$40,$NN$40,0),IF($NP$40="Bell_Curve",$NN$40*(283-$NR$40+1)*($NS$40-283+1)/$NU$40,$NN$40/$NT$40)),0)</f>
        <v/>
      </c>
      <c r="KB40" s="402">
        <f>IF(AND(284&gt;=$NR$40,284&lt;=$NS$40),IF($NP$40="Single_Point",IF(284=$NR$40,$NN$40,0),IF($NP$40="Bell_Curve",$NN$40*(284-$NR$40+1)*($NS$40-284+1)/$NU$40,$NN$40/$NT$40)),0)</f>
        <v/>
      </c>
      <c r="KC40" s="402">
        <f>IF(AND(285&gt;=$NR$40,285&lt;=$NS$40),IF($NP$40="Single_Point",IF(285=$NR$40,$NN$40,0),IF($NP$40="Bell_Curve",$NN$40*(285-$NR$40+1)*($NS$40-285+1)/$NU$40,$NN$40/$NT$40)),0)</f>
        <v/>
      </c>
      <c r="KD40" s="402">
        <f>IF(AND(286&gt;=$NR$40,286&lt;=$NS$40),IF($NP$40="Single_Point",IF(286=$NR$40,$NN$40,0),IF($NP$40="Bell_Curve",$NN$40*(286-$NR$40+1)*($NS$40-286+1)/$NU$40,$NN$40/$NT$40)),0)</f>
        <v/>
      </c>
      <c r="KE40" s="402">
        <f>IF(AND(287&gt;=$NR$40,287&lt;=$NS$40),IF($NP$40="Single_Point",IF(287=$NR$40,$NN$40,0),IF($NP$40="Bell_Curve",$NN$40*(287-$NR$40+1)*($NS$40-287+1)/$NU$40,$NN$40/$NT$40)),0)</f>
        <v/>
      </c>
      <c r="KF40" s="402">
        <f>IF(AND(288&gt;=$NR$40,288&lt;=$NS$40),IF($NP$40="Single_Point",IF(288=$NR$40,$NN$40,0),IF($NP$40="Bell_Curve",$NN$40*(288-$NR$40+1)*($NS$40-288+1)/$NU$40,$NN$40/$NT$40)),0)</f>
        <v/>
      </c>
      <c r="KG40" s="402">
        <f>IF(AND(289&gt;=$NR$40,289&lt;=$NS$40),IF($NP$40="Single_Point",IF(289=$NR$40,$NN$40,0),IF($NP$40="Bell_Curve",$NN$40*(289-$NR$40+1)*($NS$40-289+1)/$NU$40,$NN$40/$NT$40)),0)</f>
        <v/>
      </c>
      <c r="KH40" s="402">
        <f>IF(AND(290&gt;=$NR$40,290&lt;=$NS$40),IF($NP$40="Single_Point",IF(290=$NR$40,$NN$40,0),IF($NP$40="Bell_Curve",$NN$40*(290-$NR$40+1)*($NS$40-290+1)/$NU$40,$NN$40/$NT$40)),0)</f>
        <v/>
      </c>
      <c r="KI40" s="402">
        <f>IF(AND(291&gt;=$NR$40,291&lt;=$NS$40),IF($NP$40="Single_Point",IF(291=$NR$40,$NN$40,0),IF($NP$40="Bell_Curve",$NN$40*(291-$NR$40+1)*($NS$40-291+1)/$NU$40,$NN$40/$NT$40)),0)</f>
        <v/>
      </c>
      <c r="KJ40" s="402">
        <f>IF(AND(292&gt;=$NR$40,292&lt;=$NS$40),IF($NP$40="Single_Point",IF(292=$NR$40,$NN$40,0),IF($NP$40="Bell_Curve",$NN$40*(292-$NR$40+1)*($NS$40-292+1)/$NU$40,$NN$40/$NT$40)),0)</f>
        <v/>
      </c>
      <c r="KK40" s="402">
        <f>IF(AND(293&gt;=$NR$40,293&lt;=$NS$40),IF($NP$40="Single_Point",IF(293=$NR$40,$NN$40,0),IF($NP$40="Bell_Curve",$NN$40*(293-$NR$40+1)*($NS$40-293+1)/$NU$40,$NN$40/$NT$40)),0)</f>
        <v/>
      </c>
      <c r="KL40" s="402">
        <f>IF(AND(294&gt;=$NR$40,294&lt;=$NS$40),IF($NP$40="Single_Point",IF(294=$NR$40,$NN$40,0),IF($NP$40="Bell_Curve",$NN$40*(294-$NR$40+1)*($NS$40-294+1)/$NU$40,$NN$40/$NT$40)),0)</f>
        <v/>
      </c>
      <c r="KM40" s="402">
        <f>IF(AND(295&gt;=$NR$40,295&lt;=$NS$40),IF($NP$40="Single_Point",IF(295=$NR$40,$NN$40,0),IF($NP$40="Bell_Curve",$NN$40*(295-$NR$40+1)*($NS$40-295+1)/$NU$40,$NN$40/$NT$40)),0)</f>
        <v/>
      </c>
      <c r="KN40" s="402">
        <f>IF(AND(296&gt;=$NR$40,296&lt;=$NS$40),IF($NP$40="Single_Point",IF(296=$NR$40,$NN$40,0),IF($NP$40="Bell_Curve",$NN$40*(296-$NR$40+1)*($NS$40-296+1)/$NU$40,$NN$40/$NT$40)),0)</f>
        <v/>
      </c>
      <c r="KO40" s="402">
        <f>IF(AND(297&gt;=$NR$40,297&lt;=$NS$40),IF($NP$40="Single_Point",IF(297=$NR$40,$NN$40,0),IF($NP$40="Bell_Curve",$NN$40*(297-$NR$40+1)*($NS$40-297+1)/$NU$40,$NN$40/$NT$40)),0)</f>
        <v/>
      </c>
      <c r="KP40" s="402">
        <f>IF(AND(298&gt;=$NR$40,298&lt;=$NS$40),IF($NP$40="Single_Point",IF(298=$NR$40,$NN$40,0),IF($NP$40="Bell_Curve",$NN$40*(298-$NR$40+1)*($NS$40-298+1)/$NU$40,$NN$40/$NT$40)),0)</f>
        <v/>
      </c>
      <c r="KQ40" s="402">
        <f>IF(AND(299&gt;=$NR$40,299&lt;=$NS$40),IF($NP$40="Single_Point",IF(299=$NR$40,$NN$40,0),IF($NP$40="Bell_Curve",$NN$40*(299-$NR$40+1)*($NS$40-299+1)/$NU$40,$NN$40/$NT$40)),0)</f>
        <v/>
      </c>
      <c r="KR40" s="402">
        <f>IF(AND(300&gt;=$NR$40,300&lt;=$NS$40),IF($NP$40="Single_Point",IF(300=$NR$40,$NN$40,0),IF($NP$40="Bell_Curve",$NN$40*(300-$NR$40+1)*($NS$40-300+1)/$NU$40,$NN$40/$NT$40)),0)</f>
        <v/>
      </c>
      <c r="KS40" s="402">
        <f>IF(AND(301&gt;=$NR$40,301&lt;=$NS$40),IF($NP$40="Single_Point",IF(301=$NR$40,$NN$40,0),IF($NP$40="Bell_Curve",$NN$40*(301-$NR$40+1)*($NS$40-301+1)/$NU$40,$NN$40/$NT$40)),0)</f>
        <v/>
      </c>
      <c r="KT40" s="402">
        <f>IF(AND(302&gt;=$NR$40,302&lt;=$NS$40),IF($NP$40="Single_Point",IF(302=$NR$40,$NN$40,0),IF($NP$40="Bell_Curve",$NN$40*(302-$NR$40+1)*($NS$40-302+1)/$NU$40,$NN$40/$NT$40)),0)</f>
        <v/>
      </c>
      <c r="KU40" s="402">
        <f>IF(AND(303&gt;=$NR$40,303&lt;=$NS$40),IF($NP$40="Single_Point",IF(303=$NR$40,$NN$40,0),IF($NP$40="Bell_Curve",$NN$40*(303-$NR$40+1)*($NS$40-303+1)/$NU$40,$NN$40/$NT$40)),0)</f>
        <v/>
      </c>
      <c r="KV40" s="402">
        <f>IF(AND(304&gt;=$NR$40,304&lt;=$NS$40),IF($NP$40="Single_Point",IF(304=$NR$40,$NN$40,0),IF($NP$40="Bell_Curve",$NN$40*(304-$NR$40+1)*($NS$40-304+1)/$NU$40,$NN$40/$NT$40)),0)</f>
        <v/>
      </c>
      <c r="KW40" s="402">
        <f>IF(AND(305&gt;=$NR$40,305&lt;=$NS$40),IF($NP$40="Single_Point",IF(305=$NR$40,$NN$40,0),IF($NP$40="Bell_Curve",$NN$40*(305-$NR$40+1)*($NS$40-305+1)/$NU$40,$NN$40/$NT$40)),0)</f>
        <v/>
      </c>
      <c r="KX40" s="402">
        <f>IF(AND(306&gt;=$NR$40,306&lt;=$NS$40),IF($NP$40="Single_Point",IF(306=$NR$40,$NN$40,0),IF($NP$40="Bell_Curve",$NN$40*(306-$NR$40+1)*($NS$40-306+1)/$NU$40,$NN$40/$NT$40)),0)</f>
        <v/>
      </c>
      <c r="KY40" s="402">
        <f>IF(AND(307&gt;=$NR$40,307&lt;=$NS$40),IF($NP$40="Single_Point",IF(307=$NR$40,$NN$40,0),IF($NP$40="Bell_Curve",$NN$40*(307-$NR$40+1)*($NS$40-307+1)/$NU$40,$NN$40/$NT$40)),0)</f>
        <v/>
      </c>
      <c r="KZ40" s="402">
        <f>IF(AND(308&gt;=$NR$40,308&lt;=$NS$40),IF($NP$40="Single_Point",IF(308=$NR$40,$NN$40,0),IF($NP$40="Bell_Curve",$NN$40*(308-$NR$40+1)*($NS$40-308+1)/$NU$40,$NN$40/$NT$40)),0)</f>
        <v/>
      </c>
      <c r="LA40" s="402">
        <f>IF(AND(309&gt;=$NR$40,309&lt;=$NS$40),IF($NP$40="Single_Point",IF(309=$NR$40,$NN$40,0),IF($NP$40="Bell_Curve",$NN$40*(309-$NR$40+1)*($NS$40-309+1)/$NU$40,$NN$40/$NT$40)),0)</f>
        <v/>
      </c>
      <c r="LB40" s="402">
        <f>IF(AND(310&gt;=$NR$40,310&lt;=$NS$40),IF($NP$40="Single_Point",IF(310=$NR$40,$NN$40,0),IF($NP$40="Bell_Curve",$NN$40*(310-$NR$40+1)*($NS$40-310+1)/$NU$40,$NN$40/$NT$40)),0)</f>
        <v/>
      </c>
      <c r="LC40" s="402">
        <f>IF(AND(311&gt;=$NR$40,311&lt;=$NS$40),IF($NP$40="Single_Point",IF(311=$NR$40,$NN$40,0),IF($NP$40="Bell_Curve",$NN$40*(311-$NR$40+1)*($NS$40-311+1)/$NU$40,$NN$40/$NT$40)),0)</f>
        <v/>
      </c>
      <c r="LD40" s="402">
        <f>IF(AND(312&gt;=$NR$40,312&lt;=$NS$40),IF($NP$40="Single_Point",IF(312=$NR$40,$NN$40,0),IF($NP$40="Bell_Curve",$NN$40*(312-$NR$40+1)*($NS$40-312+1)/$NU$40,$NN$40/$NT$40)),0)</f>
        <v/>
      </c>
      <c r="LE40" s="402">
        <f>IF(AND(313&gt;=$NR$40,313&lt;=$NS$40),IF($NP$40="Single_Point",IF(313=$NR$40,$NN$40,0),IF($NP$40="Bell_Curve",$NN$40*(313-$NR$40+1)*($NS$40-313+1)/$NU$40,$NN$40/$NT$40)),0)</f>
        <v/>
      </c>
      <c r="LF40" s="402">
        <f>IF(AND(314&gt;=$NR$40,314&lt;=$NS$40),IF($NP$40="Single_Point",IF(314=$NR$40,$NN$40,0),IF($NP$40="Bell_Curve",$NN$40*(314-$NR$40+1)*($NS$40-314+1)/$NU$40,$NN$40/$NT$40)),0)</f>
        <v/>
      </c>
      <c r="LG40" s="402">
        <f>IF(AND(315&gt;=$NR$40,315&lt;=$NS$40),IF($NP$40="Single_Point",IF(315=$NR$40,$NN$40,0),IF($NP$40="Bell_Curve",$NN$40*(315-$NR$40+1)*($NS$40-315+1)/$NU$40,$NN$40/$NT$40)),0)</f>
        <v/>
      </c>
      <c r="LH40" s="402">
        <f>IF(AND(316&gt;=$NR$40,316&lt;=$NS$40),IF($NP$40="Single_Point",IF(316=$NR$40,$NN$40,0),IF($NP$40="Bell_Curve",$NN$40*(316-$NR$40+1)*($NS$40-316+1)/$NU$40,$NN$40/$NT$40)),0)</f>
        <v/>
      </c>
      <c r="LI40" s="402">
        <f>IF(AND(317&gt;=$NR$40,317&lt;=$NS$40),IF($NP$40="Single_Point",IF(317=$NR$40,$NN$40,0),IF($NP$40="Bell_Curve",$NN$40*(317-$NR$40+1)*($NS$40-317+1)/$NU$40,$NN$40/$NT$40)),0)</f>
        <v/>
      </c>
      <c r="LJ40" s="402">
        <f>IF(AND(318&gt;=$NR$40,318&lt;=$NS$40),IF($NP$40="Single_Point",IF(318=$NR$40,$NN$40,0),IF($NP$40="Bell_Curve",$NN$40*(318-$NR$40+1)*($NS$40-318+1)/$NU$40,$NN$40/$NT$40)),0)</f>
        <v/>
      </c>
      <c r="LK40" s="402">
        <f>IF(AND(319&gt;=$NR$40,319&lt;=$NS$40),IF($NP$40="Single_Point",IF(319=$NR$40,$NN$40,0),IF($NP$40="Bell_Curve",$NN$40*(319-$NR$40+1)*($NS$40-319+1)/$NU$40,$NN$40/$NT$40)),0)</f>
        <v/>
      </c>
      <c r="LL40" s="402">
        <f>IF(AND(320&gt;=$NR$40,320&lt;=$NS$40),IF($NP$40="Single_Point",IF(320=$NR$40,$NN$40,0),IF($NP$40="Bell_Curve",$NN$40*(320-$NR$40+1)*($NS$40-320+1)/$NU$40,$NN$40/$NT$40)),0)</f>
        <v/>
      </c>
      <c r="LM40" s="402">
        <f>IF(AND(321&gt;=$NR$40,321&lt;=$NS$40),IF($NP$40="Single_Point",IF(321=$NR$40,$NN$40,0),IF($NP$40="Bell_Curve",$NN$40*(321-$NR$40+1)*($NS$40-321+1)/$NU$40,$NN$40/$NT$40)),0)</f>
        <v/>
      </c>
      <c r="LN40" s="402">
        <f>IF(AND(322&gt;=$NR$40,322&lt;=$NS$40),IF($NP$40="Single_Point",IF(322=$NR$40,$NN$40,0),IF($NP$40="Bell_Curve",$NN$40*(322-$NR$40+1)*($NS$40-322+1)/$NU$40,$NN$40/$NT$40)),0)</f>
        <v/>
      </c>
      <c r="LO40" s="402">
        <f>IF(AND(323&gt;=$NR$40,323&lt;=$NS$40),IF($NP$40="Single_Point",IF(323=$NR$40,$NN$40,0),IF($NP$40="Bell_Curve",$NN$40*(323-$NR$40+1)*($NS$40-323+1)/$NU$40,$NN$40/$NT$40)),0)</f>
        <v/>
      </c>
      <c r="LP40" s="402">
        <f>IF(AND(324&gt;=$NR$40,324&lt;=$NS$40),IF($NP$40="Single_Point",IF(324=$NR$40,$NN$40,0),IF($NP$40="Bell_Curve",$NN$40*(324-$NR$40+1)*($NS$40-324+1)/$NU$40,$NN$40/$NT$40)),0)</f>
        <v/>
      </c>
      <c r="LQ40" s="402">
        <f>IF(AND(325&gt;=$NR$40,325&lt;=$NS$40),IF($NP$40="Single_Point",IF(325=$NR$40,$NN$40,0),IF($NP$40="Bell_Curve",$NN$40*(325-$NR$40+1)*($NS$40-325+1)/$NU$40,$NN$40/$NT$40)),0)</f>
        <v/>
      </c>
      <c r="LR40" s="402">
        <f>IF(AND(326&gt;=$NR$40,326&lt;=$NS$40),IF($NP$40="Single_Point",IF(326=$NR$40,$NN$40,0),IF($NP$40="Bell_Curve",$NN$40*(326-$NR$40+1)*($NS$40-326+1)/$NU$40,$NN$40/$NT$40)),0)</f>
        <v/>
      </c>
      <c r="LS40" s="402">
        <f>IF(AND(327&gt;=$NR$40,327&lt;=$NS$40),IF($NP$40="Single_Point",IF(327=$NR$40,$NN$40,0),IF($NP$40="Bell_Curve",$NN$40*(327-$NR$40+1)*($NS$40-327+1)/$NU$40,$NN$40/$NT$40)),0)</f>
        <v/>
      </c>
      <c r="LT40" s="402">
        <f>IF(AND(328&gt;=$NR$40,328&lt;=$NS$40),IF($NP$40="Single_Point",IF(328=$NR$40,$NN$40,0),IF($NP$40="Bell_Curve",$NN$40*(328-$NR$40+1)*($NS$40-328+1)/$NU$40,$NN$40/$NT$40)),0)</f>
        <v/>
      </c>
      <c r="LU40" s="402">
        <f>IF(AND(329&gt;=$NR$40,329&lt;=$NS$40),IF($NP$40="Single_Point",IF(329=$NR$40,$NN$40,0),IF($NP$40="Bell_Curve",$NN$40*(329-$NR$40+1)*($NS$40-329+1)/$NU$40,$NN$40/$NT$40)),0)</f>
        <v/>
      </c>
      <c r="LV40" s="402">
        <f>IF(AND(330&gt;=$NR$40,330&lt;=$NS$40),IF($NP$40="Single_Point",IF(330=$NR$40,$NN$40,0),IF($NP$40="Bell_Curve",$NN$40*(330-$NR$40+1)*($NS$40-330+1)/$NU$40,$NN$40/$NT$40)),0)</f>
        <v/>
      </c>
      <c r="LW40" s="402">
        <f>IF(AND(331&gt;=$NR$40,331&lt;=$NS$40),IF($NP$40="Single_Point",IF(331=$NR$40,$NN$40,0),IF($NP$40="Bell_Curve",$NN$40*(331-$NR$40+1)*($NS$40-331+1)/$NU$40,$NN$40/$NT$40)),0)</f>
        <v/>
      </c>
      <c r="LX40" s="402">
        <f>IF(AND(332&gt;=$NR$40,332&lt;=$NS$40),IF($NP$40="Single_Point",IF(332=$NR$40,$NN$40,0),IF($NP$40="Bell_Curve",$NN$40*(332-$NR$40+1)*($NS$40-332+1)/$NU$40,$NN$40/$NT$40)),0)</f>
        <v/>
      </c>
      <c r="LY40" s="402">
        <f>IF(AND(333&gt;=$NR$40,333&lt;=$NS$40),IF($NP$40="Single_Point",IF(333=$NR$40,$NN$40,0),IF($NP$40="Bell_Curve",$NN$40*(333-$NR$40+1)*($NS$40-333+1)/$NU$40,$NN$40/$NT$40)),0)</f>
        <v/>
      </c>
      <c r="LZ40" s="402">
        <f>IF(AND(334&gt;=$NR$40,334&lt;=$NS$40),IF($NP$40="Single_Point",IF(334=$NR$40,$NN$40,0),IF($NP$40="Bell_Curve",$NN$40*(334-$NR$40+1)*($NS$40-334+1)/$NU$40,$NN$40/$NT$40)),0)</f>
        <v/>
      </c>
      <c r="MA40" s="402">
        <f>IF(AND(335&gt;=$NR$40,335&lt;=$NS$40),IF($NP$40="Single_Point",IF(335=$NR$40,$NN$40,0),IF($NP$40="Bell_Curve",$NN$40*(335-$NR$40+1)*($NS$40-335+1)/$NU$40,$NN$40/$NT$40)),0)</f>
        <v/>
      </c>
      <c r="MB40" s="402">
        <f>IF(AND(336&gt;=$NR$40,336&lt;=$NS$40),IF($NP$40="Single_Point",IF(336=$NR$40,$NN$40,0),IF($NP$40="Bell_Curve",$NN$40*(336-$NR$40+1)*($NS$40-336+1)/$NU$40,$NN$40/$NT$40)),0)</f>
        <v/>
      </c>
      <c r="MC40" s="402">
        <f>IF(AND(337&gt;=$NR$40,337&lt;=$NS$40),IF($NP$40="Single_Point",IF(337=$NR$40,$NN$40,0),IF($NP$40="Bell_Curve",$NN$40*(337-$NR$40+1)*($NS$40-337+1)/$NU$40,$NN$40/$NT$40)),0)</f>
        <v/>
      </c>
      <c r="MD40" s="402">
        <f>IF(AND(338&gt;=$NR$40,338&lt;=$NS$40),IF($NP$40="Single_Point",IF(338=$NR$40,$NN$40,0),IF($NP$40="Bell_Curve",$NN$40*(338-$NR$40+1)*($NS$40-338+1)/$NU$40,$NN$40/$NT$40)),0)</f>
        <v/>
      </c>
      <c r="ME40" s="402">
        <f>IF(AND(339&gt;=$NR$40,339&lt;=$NS$40),IF($NP$40="Single_Point",IF(339=$NR$40,$NN$40,0),IF($NP$40="Bell_Curve",$NN$40*(339-$NR$40+1)*($NS$40-339+1)/$NU$40,$NN$40/$NT$40)),0)</f>
        <v/>
      </c>
      <c r="MF40" s="402">
        <f>IF(AND(340&gt;=$NR$40,340&lt;=$NS$40),IF($NP$40="Single_Point",IF(340=$NR$40,$NN$40,0),IF($NP$40="Bell_Curve",$NN$40*(340-$NR$40+1)*($NS$40-340+1)/$NU$40,$NN$40/$NT$40)),0)</f>
        <v/>
      </c>
      <c r="MG40" s="402">
        <f>IF(AND(341&gt;=$NR$40,341&lt;=$NS$40),IF($NP$40="Single_Point",IF(341=$NR$40,$NN$40,0),IF($NP$40="Bell_Curve",$NN$40*(341-$NR$40+1)*($NS$40-341+1)/$NU$40,$NN$40/$NT$40)),0)</f>
        <v/>
      </c>
      <c r="MH40" s="402">
        <f>IF(AND(342&gt;=$NR$40,342&lt;=$NS$40),IF($NP$40="Single_Point",IF(342=$NR$40,$NN$40,0),IF($NP$40="Bell_Curve",$NN$40*(342-$NR$40+1)*($NS$40-342+1)/$NU$40,$NN$40/$NT$40)),0)</f>
        <v/>
      </c>
      <c r="MI40" s="402">
        <f>IF(AND(343&gt;=$NR$40,343&lt;=$NS$40),IF($NP$40="Single_Point",IF(343=$NR$40,$NN$40,0),IF($NP$40="Bell_Curve",$NN$40*(343-$NR$40+1)*($NS$40-343+1)/$NU$40,$NN$40/$NT$40)),0)</f>
        <v/>
      </c>
      <c r="MJ40" s="402">
        <f>IF(AND(344&gt;=$NR$40,344&lt;=$NS$40),IF($NP$40="Single_Point",IF(344=$NR$40,$NN$40,0),IF($NP$40="Bell_Curve",$NN$40*(344-$NR$40+1)*($NS$40-344+1)/$NU$40,$NN$40/$NT$40)),0)</f>
        <v/>
      </c>
      <c r="MK40" s="402">
        <f>IF(AND(345&gt;=$NR$40,345&lt;=$NS$40),IF($NP$40="Single_Point",IF(345=$NR$40,$NN$40,0),IF($NP$40="Bell_Curve",$NN$40*(345-$NR$40+1)*($NS$40-345+1)/$NU$40,$NN$40/$NT$40)),0)</f>
        <v/>
      </c>
      <c r="ML40" s="402">
        <f>IF(AND(346&gt;=$NR$40,346&lt;=$NS$40),IF($NP$40="Single_Point",IF(346=$NR$40,$NN$40,0),IF($NP$40="Bell_Curve",$NN$40*(346-$NR$40+1)*($NS$40-346+1)/$NU$40,$NN$40/$NT$40)),0)</f>
        <v/>
      </c>
      <c r="MM40" s="402">
        <f>IF(AND(347&gt;=$NR$40,347&lt;=$NS$40),IF($NP$40="Single_Point",IF(347=$NR$40,$NN$40,0),IF($NP$40="Bell_Curve",$NN$40*(347-$NR$40+1)*($NS$40-347+1)/$NU$40,$NN$40/$NT$40)),0)</f>
        <v/>
      </c>
      <c r="MN40" s="402">
        <f>IF(AND(348&gt;=$NR$40,348&lt;=$NS$40),IF($NP$40="Single_Point",IF(348=$NR$40,$NN$40,0),IF($NP$40="Bell_Curve",$NN$40*(348-$NR$40+1)*($NS$40-348+1)/$NU$40,$NN$40/$NT$40)),0)</f>
        <v/>
      </c>
      <c r="MO40" s="402">
        <f>IF(AND(349&gt;=$NR$40,349&lt;=$NS$40),IF($NP$40="Single_Point",IF(349=$NR$40,$NN$40,0),IF($NP$40="Bell_Curve",$NN$40*(349-$NR$40+1)*($NS$40-349+1)/$NU$40,$NN$40/$NT$40)),0)</f>
        <v/>
      </c>
      <c r="MP40" s="402">
        <f>IF(AND(350&gt;=$NR$40,350&lt;=$NS$40),IF($NP$40="Single_Point",IF(350=$NR$40,$NN$40,0),IF($NP$40="Bell_Curve",$NN$40*(350-$NR$40+1)*($NS$40-350+1)/$NU$40,$NN$40/$NT$40)),0)</f>
        <v/>
      </c>
      <c r="MQ40" s="402">
        <f>IF(AND(351&gt;=$NR$40,351&lt;=$NS$40),IF($NP$40="Single_Point",IF(351=$NR$40,$NN$40,0),IF($NP$40="Bell_Curve",$NN$40*(351-$NR$40+1)*($NS$40-351+1)/$NU$40,$NN$40/$NT$40)),0)</f>
        <v/>
      </c>
      <c r="MR40" s="402">
        <f>IF(AND(352&gt;=$NR$40,352&lt;=$NS$40),IF($NP$40="Single_Point",IF(352=$NR$40,$NN$40,0),IF($NP$40="Bell_Curve",$NN$40*(352-$NR$40+1)*($NS$40-352+1)/$NU$40,$NN$40/$NT$40)),0)</f>
        <v/>
      </c>
      <c r="MS40" s="402">
        <f>IF(AND(353&gt;=$NR$40,353&lt;=$NS$40),IF($NP$40="Single_Point",IF(353=$NR$40,$NN$40,0),IF($NP$40="Bell_Curve",$NN$40*(353-$NR$40+1)*($NS$40-353+1)/$NU$40,$NN$40/$NT$40)),0)</f>
        <v/>
      </c>
      <c r="MT40" s="402">
        <f>IF(AND(354&gt;=$NR$40,354&lt;=$NS$40),IF($NP$40="Single_Point",IF(354=$NR$40,$NN$40,0),IF($NP$40="Bell_Curve",$NN$40*(354-$NR$40+1)*($NS$40-354+1)/$NU$40,$NN$40/$NT$40)),0)</f>
        <v/>
      </c>
      <c r="MU40" s="402">
        <f>IF(AND(355&gt;=$NR$40,355&lt;=$NS$40),IF($NP$40="Single_Point",IF(355=$NR$40,$NN$40,0),IF($NP$40="Bell_Curve",$NN$40*(355-$NR$40+1)*($NS$40-355+1)/$NU$40,$NN$40/$NT$40)),0)</f>
        <v/>
      </c>
      <c r="MV40" s="402">
        <f>IF(AND(356&gt;=$NR$40,356&lt;=$NS$40),IF($NP$40="Single_Point",IF(356=$NR$40,$NN$40,0),IF($NP$40="Bell_Curve",$NN$40*(356-$NR$40+1)*($NS$40-356+1)/$NU$40,$NN$40/$NT$40)),0)</f>
        <v/>
      </c>
      <c r="MW40" s="402">
        <f>IF(AND(357&gt;=$NR$40,357&lt;=$NS$40),IF($NP$40="Single_Point",IF(357=$NR$40,$NN$40,0),IF($NP$40="Bell_Curve",$NN$40*(357-$NR$40+1)*($NS$40-357+1)/$NU$40,$NN$40/$NT$40)),0)</f>
        <v/>
      </c>
      <c r="MX40" s="402">
        <f>IF(AND(358&gt;=$NR$40,358&lt;=$NS$40),IF($NP$40="Single_Point",IF(358=$NR$40,$NN$40,0),IF($NP$40="Bell_Curve",$NN$40*(358-$NR$40+1)*($NS$40-358+1)/$NU$40,$NN$40/$NT$40)),0)</f>
        <v/>
      </c>
      <c r="MY40" s="402">
        <f>IF(AND(359&gt;=$NR$40,359&lt;=$NS$40),IF($NP$40="Single_Point",IF(359=$NR$40,$NN$40,0),IF($NP$40="Bell_Curve",$NN$40*(359-$NR$40+1)*($NS$40-359+1)/$NU$40,$NN$40/$NT$40)),0)</f>
        <v/>
      </c>
      <c r="MZ40" s="402">
        <f>IF(AND(360&gt;=$NR$40,360&lt;=$NS$40),IF($NP$40="Single_Point",IF(360=$NR$40,$NN$40,0),IF($NP$40="Bell_Curve",$NN$40*(360-$NR$40+1)*($NS$40-360+1)/$NU$40,$NN$40/$NT$40)),0)</f>
        <v/>
      </c>
      <c r="NA40" s="402">
        <f>IF(AND(361&gt;=$NR$40,361&lt;=$NS$40),IF($NP$40="Single_Point",IF(361=$NR$40,$NN$40,0),IF($NP$40="Bell_Curve",$NN$40*(361-$NR$40+1)*($NS$40-361+1)/$NU$40,$NN$40/$NT$40)),0)</f>
        <v/>
      </c>
      <c r="NB40" s="402">
        <f>IF(AND(362&gt;=$NR$40,362&lt;=$NS$40),IF($NP$40="Single_Point",IF(362=$NR$40,$NN$40,0),IF($NP$40="Bell_Curve",$NN$40*(362-$NR$40+1)*($NS$40-362+1)/$NU$40,$NN$40/$NT$40)),0)</f>
        <v/>
      </c>
      <c r="NC40" s="402">
        <f>IF(AND(363&gt;=$NR$40,363&lt;=$NS$40),IF($NP$40="Single_Point",IF(363=$NR$40,$NN$40,0),IF($NP$40="Bell_Curve",$NN$40*(363-$NR$40+1)*($NS$40-363+1)/$NU$40,$NN$40/$NT$40)),0)</f>
        <v/>
      </c>
      <c r="ND40" s="402">
        <f>IF(AND(364&gt;=$NR$40,364&lt;=$NS$40),IF($NP$40="Single_Point",IF(364=$NR$40,$NN$40,0),IF($NP$40="Bell_Curve",$NN$40*(364-$NR$40+1)*($NS$40-364+1)/$NU$40,$NN$40/$NT$40)),0)</f>
        <v/>
      </c>
      <c r="NE40" s="402">
        <f>IF(AND(365&gt;=$NR$40,365&lt;=$NS$40),IF($NP$40="Single_Point",IF(365=$NR$40,$NN$40,0),IF($NP$40="Bell_Curve",$NN$40*(365-$NR$40+1)*($NS$40-365+1)/$NU$40,$NN$40/$NT$40)),0)</f>
        <v/>
      </c>
      <c r="NF40" s="402">
        <f>IF(AND(366&gt;=$NR$40,366&lt;=$NS$40),IF($NP$40="Single_Point",IF(366=$NR$40,$NN$40,0),IF($NP$40="Bell_Curve",$NN$40*(366-$NR$40+1)*($NS$40-366+1)/$NU$40,$NN$40/$NT$40)),0)</f>
        <v/>
      </c>
      <c r="NG40" s="402">
        <f>IF(AND(367&gt;=$NR$40,367&lt;=$NS$40),IF($NP$40="Single_Point",IF(367=$NR$40,$NN$40,0),IF($NP$40="Bell_Curve",$NN$40*(367-$NR$40+1)*($NS$40-367+1)/$NU$40,$NN$40/$NT$40)),0)</f>
        <v/>
      </c>
      <c r="NH40" s="402">
        <f>IF(AND(368&gt;=$NR$40,368&lt;=$NS$40),IF($NP$40="Single_Point",IF(368=$NR$40,$NN$40,0),IF($NP$40="Bell_Curve",$NN$40*(368-$NR$40+1)*($NS$40-368+1)/$NU$40,$NN$40/$NT$40)),0)</f>
        <v/>
      </c>
      <c r="NI40" s="402">
        <f>IF(AND(369&gt;=$NR$40,369&lt;=$NS$40),IF($NP$40="Single_Point",IF(369=$NR$40,$NN$40,0),IF($NP$40="Bell_Curve",$NN$40*(369-$NR$40+1)*($NS$40-369+1)/$NU$40,$NN$40/$NT$40)),0)</f>
        <v/>
      </c>
      <c r="NJ40" s="402">
        <f>IF(AND(370&gt;=$NR$40,370&lt;=$NS$40),IF($NP$40="Single_Point",IF(370=$NR$40,$NN$40,0),IF($NP$40="Bell_Curve",$NN$40*(370-$NR$40+1)*($NS$40-370+1)/$NU$40,$NN$40/$NT$40)),0)</f>
        <v/>
      </c>
      <c r="NK40" s="402">
        <f>IF(AND(371&gt;=$NR$40,371&lt;=$NS$40),IF($NP$40="Single_Point",IF(371=$NR$40,$NN$40,0),IF($NP$40="Bell_Curve",$NN$40*(371-$NR$40+1)*($NS$40-371+1)/$NU$40,$NN$40/$NT$40)),0)</f>
        <v/>
      </c>
      <c r="NL40" s="402">
        <f>IF(AND(372&gt;=$NR$40,372&lt;=$NS$40),IF($NP$40="Single_Point",IF(372=$NR$40,$NN$40,0),IF($NP$40="Bell_Curve",$NN$40*(372-$NR$40+1)*($NS$40-372+1)/$NU$40,$NN$40/$NT$40)),0)</f>
        <v/>
      </c>
      <c r="NM40">
        <f>Budget!C39</f>
        <v/>
      </c>
      <c r="NN40">
        <f>Budget!J39</f>
        <v/>
      </c>
      <c r="NO40">
        <f>Budget!G39</f>
        <v/>
      </c>
      <c r="NP40">
        <f>Budget!H39</f>
        <v/>
      </c>
      <c r="NQ40">
        <f>Budget!I39</f>
        <v/>
      </c>
      <c r="NR40">
        <f>MAX(1,MIN(372,INDEX(MilestoneStart,MATCH(NO40,MilestoneNames,0))+NQ40))</f>
        <v/>
      </c>
      <c r="NS40">
        <f>MAX(NR40,MIN(372,INDEX(MilestoneEnd,MATCH(NO40,MilestoneNames,0))+NQ40))</f>
        <v/>
      </c>
      <c r="NT40">
        <f>NS40-NR40+1</f>
        <v/>
      </c>
      <c r="NU40">
        <f>NT40*(NT40+1)*(NT40+2)/6</f>
        <v/>
      </c>
    </row>
    <row r="41">
      <c r="B41" s="429">
        <f>Budget!B40</f>
        <v/>
      </c>
      <c r="C41" s="60" t="n"/>
      <c r="D41" s="430">
        <f>SUM(E41:NL41)</f>
        <v/>
      </c>
      <c r="E41" s="402">
        <f>IF(AND(1&gt;=$NR$41,1&lt;=$NS$41),IF($NP$41="Single_Point",IF(1=$NR$41,$NN$41,0),IF($NP$41="Bell_Curve",$NN$41*(1-$NR$41+1)*($NS$41-1+1)/$NU$41,$NN$41/$NT$41)),0)</f>
        <v/>
      </c>
      <c r="F41" s="402">
        <f>IF(AND(2&gt;=$NR$41,2&lt;=$NS$41),IF($NP$41="Single_Point",IF(2=$NR$41,$NN$41,0),IF($NP$41="Bell_Curve",$NN$41*(2-$NR$41+1)*($NS$41-2+1)/$NU$41,$NN$41/$NT$41)),0)</f>
        <v/>
      </c>
      <c r="G41" s="402">
        <f>IF(AND(3&gt;=$NR$41,3&lt;=$NS$41),IF($NP$41="Single_Point",IF(3=$NR$41,$NN$41,0),IF($NP$41="Bell_Curve",$NN$41*(3-$NR$41+1)*($NS$41-3+1)/$NU$41,$NN$41/$NT$41)),0)</f>
        <v/>
      </c>
      <c r="H41" s="402">
        <f>IF(AND(4&gt;=$NR$41,4&lt;=$NS$41),IF($NP$41="Single_Point",IF(4=$NR$41,$NN$41,0),IF($NP$41="Bell_Curve",$NN$41*(4-$NR$41+1)*($NS$41-4+1)/$NU$41,$NN$41/$NT$41)),0)</f>
        <v/>
      </c>
      <c r="I41" s="402">
        <f>IF(AND(5&gt;=$NR$41,5&lt;=$NS$41),IF($NP$41="Single_Point",IF(5=$NR$41,$NN$41,0),IF($NP$41="Bell_Curve",$NN$41*(5-$NR$41+1)*($NS$41-5+1)/$NU$41,$NN$41/$NT$41)),0)</f>
        <v/>
      </c>
      <c r="J41" s="402">
        <f>IF(AND(6&gt;=$NR$41,6&lt;=$NS$41),IF($NP$41="Single_Point",IF(6=$NR$41,$NN$41,0),IF($NP$41="Bell_Curve",$NN$41*(6-$NR$41+1)*($NS$41-6+1)/$NU$41,$NN$41/$NT$41)),0)</f>
        <v/>
      </c>
      <c r="K41" s="402">
        <f>IF(AND(7&gt;=$NR$41,7&lt;=$NS$41),IF($NP$41="Single_Point",IF(7=$NR$41,$NN$41,0),IF($NP$41="Bell_Curve",$NN$41*(7-$NR$41+1)*($NS$41-7+1)/$NU$41,$NN$41/$NT$41)),0)</f>
        <v/>
      </c>
      <c r="L41" s="402">
        <f>IF(AND(8&gt;=$NR$41,8&lt;=$NS$41),IF($NP$41="Single_Point",IF(8=$NR$41,$NN$41,0),IF($NP$41="Bell_Curve",$NN$41*(8-$NR$41+1)*($NS$41-8+1)/$NU$41,$NN$41/$NT$41)),0)</f>
        <v/>
      </c>
      <c r="M41" s="402">
        <f>IF(AND(9&gt;=$NR$41,9&lt;=$NS$41),IF($NP$41="Single_Point",IF(9=$NR$41,$NN$41,0),IF($NP$41="Bell_Curve",$NN$41*(9-$NR$41+1)*($NS$41-9+1)/$NU$41,$NN$41/$NT$41)),0)</f>
        <v/>
      </c>
      <c r="N41" s="402">
        <f>IF(AND(10&gt;=$NR$41,10&lt;=$NS$41),IF($NP$41="Single_Point",IF(10=$NR$41,$NN$41,0),IF($NP$41="Bell_Curve",$NN$41*(10-$NR$41+1)*($NS$41-10+1)/$NU$41,$NN$41/$NT$41)),0)</f>
        <v/>
      </c>
      <c r="O41" s="402">
        <f>IF(AND(11&gt;=$NR$41,11&lt;=$NS$41),IF($NP$41="Single_Point",IF(11=$NR$41,$NN$41,0),IF($NP$41="Bell_Curve",$NN$41*(11-$NR$41+1)*($NS$41-11+1)/$NU$41,$NN$41/$NT$41)),0)</f>
        <v/>
      </c>
      <c r="P41" s="402">
        <f>IF(AND(12&gt;=$NR$41,12&lt;=$NS$41),IF($NP$41="Single_Point",IF(12=$NR$41,$NN$41,0),IF($NP$41="Bell_Curve",$NN$41*(12-$NR$41+1)*($NS$41-12+1)/$NU$41,$NN$41/$NT$41)),0)</f>
        <v/>
      </c>
      <c r="Q41" s="402">
        <f>IF(AND(13&gt;=$NR$41,13&lt;=$NS$41),IF($NP$41="Single_Point",IF(13=$NR$41,$NN$41,0),IF($NP$41="Bell_Curve",$NN$41*(13-$NR$41+1)*($NS$41-13+1)/$NU$41,$NN$41/$NT$41)),0)</f>
        <v/>
      </c>
      <c r="R41" s="402">
        <f>IF(AND(14&gt;=$NR$41,14&lt;=$NS$41),IF($NP$41="Single_Point",IF(14=$NR$41,$NN$41,0),IF($NP$41="Bell_Curve",$NN$41*(14-$NR$41+1)*($NS$41-14+1)/$NU$41,$NN$41/$NT$41)),0)</f>
        <v/>
      </c>
      <c r="S41" s="402">
        <f>IF(AND(15&gt;=$NR$41,15&lt;=$NS$41),IF($NP$41="Single_Point",IF(15=$NR$41,$NN$41,0),IF($NP$41="Bell_Curve",$NN$41*(15-$NR$41+1)*($NS$41-15+1)/$NU$41,$NN$41/$NT$41)),0)</f>
        <v/>
      </c>
      <c r="T41" s="402">
        <f>IF(AND(16&gt;=$NR$41,16&lt;=$NS$41),IF($NP$41="Single_Point",IF(16=$NR$41,$NN$41,0),IF($NP$41="Bell_Curve",$NN$41*(16-$NR$41+1)*($NS$41-16+1)/$NU$41,$NN$41/$NT$41)),0)</f>
        <v/>
      </c>
      <c r="U41" s="402">
        <f>IF(AND(17&gt;=$NR$41,17&lt;=$NS$41),IF($NP$41="Single_Point",IF(17=$NR$41,$NN$41,0),IF($NP$41="Bell_Curve",$NN$41*(17-$NR$41+1)*($NS$41-17+1)/$NU$41,$NN$41/$NT$41)),0)</f>
        <v/>
      </c>
      <c r="V41" s="402">
        <f>IF(AND(18&gt;=$NR$41,18&lt;=$NS$41),IF($NP$41="Single_Point",IF(18=$NR$41,$NN$41,0),IF($NP$41="Bell_Curve",$NN$41*(18-$NR$41+1)*($NS$41-18+1)/$NU$41,$NN$41/$NT$41)),0)</f>
        <v/>
      </c>
      <c r="W41" s="402">
        <f>IF(AND(19&gt;=$NR$41,19&lt;=$NS$41),IF($NP$41="Single_Point",IF(19=$NR$41,$NN$41,0),IF($NP$41="Bell_Curve",$NN$41*(19-$NR$41+1)*($NS$41-19+1)/$NU$41,$NN$41/$NT$41)),0)</f>
        <v/>
      </c>
      <c r="X41" s="402">
        <f>IF(AND(20&gt;=$NR$41,20&lt;=$NS$41),IF($NP$41="Single_Point",IF(20=$NR$41,$NN$41,0),IF($NP$41="Bell_Curve",$NN$41*(20-$NR$41+1)*($NS$41-20+1)/$NU$41,$NN$41/$NT$41)),0)</f>
        <v/>
      </c>
      <c r="Y41" s="402">
        <f>IF(AND(21&gt;=$NR$41,21&lt;=$NS$41),IF($NP$41="Single_Point",IF(21=$NR$41,$NN$41,0),IF($NP$41="Bell_Curve",$NN$41*(21-$NR$41+1)*($NS$41-21+1)/$NU$41,$NN$41/$NT$41)),0)</f>
        <v/>
      </c>
      <c r="Z41" s="402">
        <f>IF(AND(22&gt;=$NR$41,22&lt;=$NS$41),IF($NP$41="Single_Point",IF(22=$NR$41,$NN$41,0),IF($NP$41="Bell_Curve",$NN$41*(22-$NR$41+1)*($NS$41-22+1)/$NU$41,$NN$41/$NT$41)),0)</f>
        <v/>
      </c>
      <c r="AA41" s="402">
        <f>IF(AND(23&gt;=$NR$41,23&lt;=$NS$41),IF($NP$41="Single_Point",IF(23=$NR$41,$NN$41,0),IF($NP$41="Bell_Curve",$NN$41*(23-$NR$41+1)*($NS$41-23+1)/$NU$41,$NN$41/$NT$41)),0)</f>
        <v/>
      </c>
      <c r="AB41" s="402">
        <f>IF(AND(24&gt;=$NR$41,24&lt;=$NS$41),IF($NP$41="Single_Point",IF(24=$NR$41,$NN$41,0),IF($NP$41="Bell_Curve",$NN$41*(24-$NR$41+1)*($NS$41-24+1)/$NU$41,$NN$41/$NT$41)),0)</f>
        <v/>
      </c>
      <c r="AC41" s="402">
        <f>IF(AND(25&gt;=$NR$41,25&lt;=$NS$41),IF($NP$41="Single_Point",IF(25=$NR$41,$NN$41,0),IF($NP$41="Bell_Curve",$NN$41*(25-$NR$41+1)*($NS$41-25+1)/$NU$41,$NN$41/$NT$41)),0)</f>
        <v/>
      </c>
      <c r="AD41" s="402">
        <f>IF(AND(26&gt;=$NR$41,26&lt;=$NS$41),IF($NP$41="Single_Point",IF(26=$NR$41,$NN$41,0),IF($NP$41="Bell_Curve",$NN$41*(26-$NR$41+1)*($NS$41-26+1)/$NU$41,$NN$41/$NT$41)),0)</f>
        <v/>
      </c>
      <c r="AE41" s="402">
        <f>IF(AND(27&gt;=$NR$41,27&lt;=$NS$41),IF($NP$41="Single_Point",IF(27=$NR$41,$NN$41,0),IF($NP$41="Bell_Curve",$NN$41*(27-$NR$41+1)*($NS$41-27+1)/$NU$41,$NN$41/$NT$41)),0)</f>
        <v/>
      </c>
      <c r="AF41" s="402">
        <f>IF(AND(28&gt;=$NR$41,28&lt;=$NS$41),IF($NP$41="Single_Point",IF(28=$NR$41,$NN$41,0),IF($NP$41="Bell_Curve",$NN$41*(28-$NR$41+1)*($NS$41-28+1)/$NU$41,$NN$41/$NT$41)),0)</f>
        <v/>
      </c>
      <c r="AG41" s="402">
        <f>IF(AND(29&gt;=$NR$41,29&lt;=$NS$41),IF($NP$41="Single_Point",IF(29=$NR$41,$NN$41,0),IF($NP$41="Bell_Curve",$NN$41*(29-$NR$41+1)*($NS$41-29+1)/$NU$41,$NN$41/$NT$41)),0)</f>
        <v/>
      </c>
      <c r="AH41" s="402">
        <f>IF(AND(30&gt;=$NR$41,30&lt;=$NS$41),IF($NP$41="Single_Point",IF(30=$NR$41,$NN$41,0),IF($NP$41="Bell_Curve",$NN$41*(30-$NR$41+1)*($NS$41-30+1)/$NU$41,$NN$41/$NT$41)),0)</f>
        <v/>
      </c>
      <c r="AI41" s="402">
        <f>IF(AND(31&gt;=$NR$41,31&lt;=$NS$41),IF($NP$41="Single_Point",IF(31=$NR$41,$NN$41,0),IF($NP$41="Bell_Curve",$NN$41*(31-$NR$41+1)*($NS$41-31+1)/$NU$41,$NN$41/$NT$41)),0)</f>
        <v/>
      </c>
      <c r="AJ41" s="402">
        <f>IF(AND(32&gt;=$NR$41,32&lt;=$NS$41),IF($NP$41="Single_Point",IF(32=$NR$41,$NN$41,0),IF($NP$41="Bell_Curve",$NN$41*(32-$NR$41+1)*($NS$41-32+1)/$NU$41,$NN$41/$NT$41)),0)</f>
        <v/>
      </c>
      <c r="AK41" s="402">
        <f>IF(AND(33&gt;=$NR$41,33&lt;=$NS$41),IF($NP$41="Single_Point",IF(33=$NR$41,$NN$41,0),IF($NP$41="Bell_Curve",$NN$41*(33-$NR$41+1)*($NS$41-33+1)/$NU$41,$NN$41/$NT$41)),0)</f>
        <v/>
      </c>
      <c r="AL41" s="402">
        <f>IF(AND(34&gt;=$NR$41,34&lt;=$NS$41),IF($NP$41="Single_Point",IF(34=$NR$41,$NN$41,0),IF($NP$41="Bell_Curve",$NN$41*(34-$NR$41+1)*($NS$41-34+1)/$NU$41,$NN$41/$NT$41)),0)</f>
        <v/>
      </c>
      <c r="AM41" s="402">
        <f>IF(AND(35&gt;=$NR$41,35&lt;=$NS$41),IF($NP$41="Single_Point",IF(35=$NR$41,$NN$41,0),IF($NP$41="Bell_Curve",$NN$41*(35-$NR$41+1)*($NS$41-35+1)/$NU$41,$NN$41/$NT$41)),0)</f>
        <v/>
      </c>
      <c r="AN41" s="402">
        <f>IF(AND(36&gt;=$NR$41,36&lt;=$NS$41),IF($NP$41="Single_Point",IF(36=$NR$41,$NN$41,0),IF($NP$41="Bell_Curve",$NN$41*(36-$NR$41+1)*($NS$41-36+1)/$NU$41,$NN$41/$NT$41)),0)</f>
        <v/>
      </c>
      <c r="AO41" s="402">
        <f>IF(AND(37&gt;=$NR$41,37&lt;=$NS$41),IF($NP$41="Single_Point",IF(37=$NR$41,$NN$41,0),IF($NP$41="Bell_Curve",$NN$41*(37-$NR$41+1)*($NS$41-37+1)/$NU$41,$NN$41/$NT$41)),0)</f>
        <v/>
      </c>
      <c r="AP41" s="402">
        <f>IF(AND(38&gt;=$NR$41,38&lt;=$NS$41),IF($NP$41="Single_Point",IF(38=$NR$41,$NN$41,0),IF($NP$41="Bell_Curve",$NN$41*(38-$NR$41+1)*($NS$41-38+1)/$NU$41,$NN$41/$NT$41)),0)</f>
        <v/>
      </c>
      <c r="AQ41" s="402">
        <f>IF(AND(39&gt;=$NR$41,39&lt;=$NS$41),IF($NP$41="Single_Point",IF(39=$NR$41,$NN$41,0),IF($NP$41="Bell_Curve",$NN$41*(39-$NR$41+1)*($NS$41-39+1)/$NU$41,$NN$41/$NT$41)),0)</f>
        <v/>
      </c>
      <c r="AR41" s="402">
        <f>IF(AND(40&gt;=$NR$41,40&lt;=$NS$41),IF($NP$41="Single_Point",IF(40=$NR$41,$NN$41,0),IF($NP$41="Bell_Curve",$NN$41*(40-$NR$41+1)*($NS$41-40+1)/$NU$41,$NN$41/$NT$41)),0)</f>
        <v/>
      </c>
      <c r="AS41" s="402">
        <f>IF(AND(41&gt;=$NR$41,41&lt;=$NS$41),IF($NP$41="Single_Point",IF(41=$NR$41,$NN$41,0),IF($NP$41="Bell_Curve",$NN$41*(41-$NR$41+1)*($NS$41-41+1)/$NU$41,$NN$41/$NT$41)),0)</f>
        <v/>
      </c>
      <c r="AT41" s="402">
        <f>IF(AND(42&gt;=$NR$41,42&lt;=$NS$41),IF($NP$41="Single_Point",IF(42=$NR$41,$NN$41,0),IF($NP$41="Bell_Curve",$NN$41*(42-$NR$41+1)*($NS$41-42+1)/$NU$41,$NN$41/$NT$41)),0)</f>
        <v/>
      </c>
      <c r="AU41" s="402">
        <f>IF(AND(43&gt;=$NR$41,43&lt;=$NS$41),IF($NP$41="Single_Point",IF(43=$NR$41,$NN$41,0),IF($NP$41="Bell_Curve",$NN$41*(43-$NR$41+1)*($NS$41-43+1)/$NU$41,$NN$41/$NT$41)),0)</f>
        <v/>
      </c>
      <c r="AV41" s="402">
        <f>IF(AND(44&gt;=$NR$41,44&lt;=$NS$41),IF($NP$41="Single_Point",IF(44=$NR$41,$NN$41,0),IF($NP$41="Bell_Curve",$NN$41*(44-$NR$41+1)*($NS$41-44+1)/$NU$41,$NN$41/$NT$41)),0)</f>
        <v/>
      </c>
      <c r="AW41" s="402">
        <f>IF(AND(45&gt;=$NR$41,45&lt;=$NS$41),IF($NP$41="Single_Point",IF(45=$NR$41,$NN$41,0),IF($NP$41="Bell_Curve",$NN$41*(45-$NR$41+1)*($NS$41-45+1)/$NU$41,$NN$41/$NT$41)),0)</f>
        <v/>
      </c>
      <c r="AX41" s="402">
        <f>IF(AND(46&gt;=$NR$41,46&lt;=$NS$41),IF($NP$41="Single_Point",IF(46=$NR$41,$NN$41,0),IF($NP$41="Bell_Curve",$NN$41*(46-$NR$41+1)*($NS$41-46+1)/$NU$41,$NN$41/$NT$41)),0)</f>
        <v/>
      </c>
      <c r="AY41" s="402">
        <f>IF(AND(47&gt;=$NR$41,47&lt;=$NS$41),IF($NP$41="Single_Point",IF(47=$NR$41,$NN$41,0),IF($NP$41="Bell_Curve",$NN$41*(47-$NR$41+1)*($NS$41-47+1)/$NU$41,$NN$41/$NT$41)),0)</f>
        <v/>
      </c>
      <c r="AZ41" s="402">
        <f>IF(AND(48&gt;=$NR$41,48&lt;=$NS$41),IF($NP$41="Single_Point",IF(48=$NR$41,$NN$41,0),IF($NP$41="Bell_Curve",$NN$41*(48-$NR$41+1)*($NS$41-48+1)/$NU$41,$NN$41/$NT$41)),0)</f>
        <v/>
      </c>
      <c r="BA41" s="402">
        <f>IF(AND(49&gt;=$NR$41,49&lt;=$NS$41),IF($NP$41="Single_Point",IF(49=$NR$41,$NN$41,0),IF($NP$41="Bell_Curve",$NN$41*(49-$NR$41+1)*($NS$41-49+1)/$NU$41,$NN$41/$NT$41)),0)</f>
        <v/>
      </c>
      <c r="BB41" s="402">
        <f>IF(AND(50&gt;=$NR$41,50&lt;=$NS$41),IF($NP$41="Single_Point",IF(50=$NR$41,$NN$41,0),IF($NP$41="Bell_Curve",$NN$41*(50-$NR$41+1)*($NS$41-50+1)/$NU$41,$NN$41/$NT$41)),0)</f>
        <v/>
      </c>
      <c r="BC41" s="402">
        <f>IF(AND(51&gt;=$NR$41,51&lt;=$NS$41),IF($NP$41="Single_Point",IF(51=$NR$41,$NN$41,0),IF($NP$41="Bell_Curve",$NN$41*(51-$NR$41+1)*($NS$41-51+1)/$NU$41,$NN$41/$NT$41)),0)</f>
        <v/>
      </c>
      <c r="BD41" s="402">
        <f>IF(AND(52&gt;=$NR$41,52&lt;=$NS$41),IF($NP$41="Single_Point",IF(52=$NR$41,$NN$41,0),IF($NP$41="Bell_Curve",$NN$41*(52-$NR$41+1)*($NS$41-52+1)/$NU$41,$NN$41/$NT$41)),0)</f>
        <v/>
      </c>
      <c r="BE41" s="402">
        <f>IF(AND(53&gt;=$NR$41,53&lt;=$NS$41),IF($NP$41="Single_Point",IF(53=$NR$41,$NN$41,0),IF($NP$41="Bell_Curve",$NN$41*(53-$NR$41+1)*($NS$41-53+1)/$NU$41,$NN$41/$NT$41)),0)</f>
        <v/>
      </c>
      <c r="BF41" s="402">
        <f>IF(AND(54&gt;=$NR$41,54&lt;=$NS$41),IF($NP$41="Single_Point",IF(54=$NR$41,$NN$41,0),IF($NP$41="Bell_Curve",$NN$41*(54-$NR$41+1)*($NS$41-54+1)/$NU$41,$NN$41/$NT$41)),0)</f>
        <v/>
      </c>
      <c r="BG41" s="402">
        <f>IF(AND(55&gt;=$NR$41,55&lt;=$NS$41),IF($NP$41="Single_Point",IF(55=$NR$41,$NN$41,0),IF($NP$41="Bell_Curve",$NN$41*(55-$NR$41+1)*($NS$41-55+1)/$NU$41,$NN$41/$NT$41)),0)</f>
        <v/>
      </c>
      <c r="BH41" s="402">
        <f>IF(AND(56&gt;=$NR$41,56&lt;=$NS$41),IF($NP$41="Single_Point",IF(56=$NR$41,$NN$41,0),IF($NP$41="Bell_Curve",$NN$41*(56-$NR$41+1)*($NS$41-56+1)/$NU$41,$NN$41/$NT$41)),0)</f>
        <v/>
      </c>
      <c r="BI41" s="402">
        <f>IF(AND(57&gt;=$NR$41,57&lt;=$NS$41),IF($NP$41="Single_Point",IF(57=$NR$41,$NN$41,0),IF($NP$41="Bell_Curve",$NN$41*(57-$NR$41+1)*($NS$41-57+1)/$NU$41,$NN$41/$NT$41)),0)</f>
        <v/>
      </c>
      <c r="BJ41" s="402">
        <f>IF(AND(58&gt;=$NR$41,58&lt;=$NS$41),IF($NP$41="Single_Point",IF(58=$NR$41,$NN$41,0),IF($NP$41="Bell_Curve",$NN$41*(58-$NR$41+1)*($NS$41-58+1)/$NU$41,$NN$41/$NT$41)),0)</f>
        <v/>
      </c>
      <c r="BK41" s="402">
        <f>IF(AND(59&gt;=$NR$41,59&lt;=$NS$41),IF($NP$41="Single_Point",IF(59=$NR$41,$NN$41,0),IF($NP$41="Bell_Curve",$NN$41*(59-$NR$41+1)*($NS$41-59+1)/$NU$41,$NN$41/$NT$41)),0)</f>
        <v/>
      </c>
      <c r="BL41" s="402">
        <f>IF(AND(60&gt;=$NR$41,60&lt;=$NS$41),IF($NP$41="Single_Point",IF(60=$NR$41,$NN$41,0),IF($NP$41="Bell_Curve",$NN$41*(60-$NR$41+1)*($NS$41-60+1)/$NU$41,$NN$41/$NT$41)),0)</f>
        <v/>
      </c>
      <c r="BM41" s="402">
        <f>IF(AND(61&gt;=$NR$41,61&lt;=$NS$41),IF($NP$41="Single_Point",IF(61=$NR$41,$NN$41,0),IF($NP$41="Bell_Curve",$NN$41*(61-$NR$41+1)*($NS$41-61+1)/$NU$41,$NN$41/$NT$41)),0)</f>
        <v/>
      </c>
      <c r="BN41" s="402">
        <f>IF(AND(62&gt;=$NR$41,62&lt;=$NS$41),IF($NP$41="Single_Point",IF(62=$NR$41,$NN$41,0),IF($NP$41="Bell_Curve",$NN$41*(62-$NR$41+1)*($NS$41-62+1)/$NU$41,$NN$41/$NT$41)),0)</f>
        <v/>
      </c>
      <c r="BO41" s="402">
        <f>IF(AND(63&gt;=$NR$41,63&lt;=$NS$41),IF($NP$41="Single_Point",IF(63=$NR$41,$NN$41,0),IF($NP$41="Bell_Curve",$NN$41*(63-$NR$41+1)*($NS$41-63+1)/$NU$41,$NN$41/$NT$41)),0)</f>
        <v/>
      </c>
      <c r="BP41" s="402">
        <f>IF(AND(64&gt;=$NR$41,64&lt;=$NS$41),IF($NP$41="Single_Point",IF(64=$NR$41,$NN$41,0),IF($NP$41="Bell_Curve",$NN$41*(64-$NR$41+1)*($NS$41-64+1)/$NU$41,$NN$41/$NT$41)),0)</f>
        <v/>
      </c>
      <c r="BQ41" s="402">
        <f>IF(AND(65&gt;=$NR$41,65&lt;=$NS$41),IF($NP$41="Single_Point",IF(65=$NR$41,$NN$41,0),IF($NP$41="Bell_Curve",$NN$41*(65-$NR$41+1)*($NS$41-65+1)/$NU$41,$NN$41/$NT$41)),0)</f>
        <v/>
      </c>
      <c r="BR41" s="402">
        <f>IF(AND(66&gt;=$NR$41,66&lt;=$NS$41),IF($NP$41="Single_Point",IF(66=$NR$41,$NN$41,0),IF($NP$41="Bell_Curve",$NN$41*(66-$NR$41+1)*($NS$41-66+1)/$NU$41,$NN$41/$NT$41)),0)</f>
        <v/>
      </c>
      <c r="BS41" s="402">
        <f>IF(AND(67&gt;=$NR$41,67&lt;=$NS$41),IF($NP$41="Single_Point",IF(67=$NR$41,$NN$41,0),IF($NP$41="Bell_Curve",$NN$41*(67-$NR$41+1)*($NS$41-67+1)/$NU$41,$NN$41/$NT$41)),0)</f>
        <v/>
      </c>
      <c r="BT41" s="402">
        <f>IF(AND(68&gt;=$NR$41,68&lt;=$NS$41),IF($NP$41="Single_Point",IF(68=$NR$41,$NN$41,0),IF($NP$41="Bell_Curve",$NN$41*(68-$NR$41+1)*($NS$41-68+1)/$NU$41,$NN$41/$NT$41)),0)</f>
        <v/>
      </c>
      <c r="BU41" s="402">
        <f>IF(AND(69&gt;=$NR$41,69&lt;=$NS$41),IF($NP$41="Single_Point",IF(69=$NR$41,$NN$41,0),IF($NP$41="Bell_Curve",$NN$41*(69-$NR$41+1)*($NS$41-69+1)/$NU$41,$NN$41/$NT$41)),0)</f>
        <v/>
      </c>
      <c r="BV41" s="402">
        <f>IF(AND(70&gt;=$NR$41,70&lt;=$NS$41),IF($NP$41="Single_Point",IF(70=$NR$41,$NN$41,0),IF($NP$41="Bell_Curve",$NN$41*(70-$NR$41+1)*($NS$41-70+1)/$NU$41,$NN$41/$NT$41)),0)</f>
        <v/>
      </c>
      <c r="BW41" s="402">
        <f>IF(AND(71&gt;=$NR$41,71&lt;=$NS$41),IF($NP$41="Single_Point",IF(71=$NR$41,$NN$41,0),IF($NP$41="Bell_Curve",$NN$41*(71-$NR$41+1)*($NS$41-71+1)/$NU$41,$NN$41/$NT$41)),0)</f>
        <v/>
      </c>
      <c r="BX41" s="402">
        <f>IF(AND(72&gt;=$NR$41,72&lt;=$NS$41),IF($NP$41="Single_Point",IF(72=$NR$41,$NN$41,0),IF($NP$41="Bell_Curve",$NN$41*(72-$NR$41+1)*($NS$41-72+1)/$NU$41,$NN$41/$NT$41)),0)</f>
        <v/>
      </c>
      <c r="BY41" s="402">
        <f>IF(AND(73&gt;=$NR$41,73&lt;=$NS$41),IF($NP$41="Single_Point",IF(73=$NR$41,$NN$41,0),IF($NP$41="Bell_Curve",$NN$41*(73-$NR$41+1)*($NS$41-73+1)/$NU$41,$NN$41/$NT$41)),0)</f>
        <v/>
      </c>
      <c r="BZ41" s="402">
        <f>IF(AND(74&gt;=$NR$41,74&lt;=$NS$41),IF($NP$41="Single_Point",IF(74=$NR$41,$NN$41,0),IF($NP$41="Bell_Curve",$NN$41*(74-$NR$41+1)*($NS$41-74+1)/$NU$41,$NN$41/$NT$41)),0)</f>
        <v/>
      </c>
      <c r="CA41" s="402">
        <f>IF(AND(75&gt;=$NR$41,75&lt;=$NS$41),IF($NP$41="Single_Point",IF(75=$NR$41,$NN$41,0),IF($NP$41="Bell_Curve",$NN$41*(75-$NR$41+1)*($NS$41-75+1)/$NU$41,$NN$41/$NT$41)),0)</f>
        <v/>
      </c>
      <c r="CB41" s="402">
        <f>IF(AND(76&gt;=$NR$41,76&lt;=$NS$41),IF($NP$41="Single_Point",IF(76=$NR$41,$NN$41,0),IF($NP$41="Bell_Curve",$NN$41*(76-$NR$41+1)*($NS$41-76+1)/$NU$41,$NN$41/$NT$41)),0)</f>
        <v/>
      </c>
      <c r="CC41" s="402">
        <f>IF(AND(77&gt;=$NR$41,77&lt;=$NS$41),IF($NP$41="Single_Point",IF(77=$NR$41,$NN$41,0),IF($NP$41="Bell_Curve",$NN$41*(77-$NR$41+1)*($NS$41-77+1)/$NU$41,$NN$41/$NT$41)),0)</f>
        <v/>
      </c>
      <c r="CD41" s="402">
        <f>IF(AND(78&gt;=$NR$41,78&lt;=$NS$41),IF($NP$41="Single_Point",IF(78=$NR$41,$NN$41,0),IF($NP$41="Bell_Curve",$NN$41*(78-$NR$41+1)*($NS$41-78+1)/$NU$41,$NN$41/$NT$41)),0)</f>
        <v/>
      </c>
      <c r="CE41" s="402">
        <f>IF(AND(79&gt;=$NR$41,79&lt;=$NS$41),IF($NP$41="Single_Point",IF(79=$NR$41,$NN$41,0),IF($NP$41="Bell_Curve",$NN$41*(79-$NR$41+1)*($NS$41-79+1)/$NU$41,$NN$41/$NT$41)),0)</f>
        <v/>
      </c>
      <c r="CF41" s="402">
        <f>IF(AND(80&gt;=$NR$41,80&lt;=$NS$41),IF($NP$41="Single_Point",IF(80=$NR$41,$NN$41,0),IF($NP$41="Bell_Curve",$NN$41*(80-$NR$41+1)*($NS$41-80+1)/$NU$41,$NN$41/$NT$41)),0)</f>
        <v/>
      </c>
      <c r="CG41" s="402">
        <f>IF(AND(81&gt;=$NR$41,81&lt;=$NS$41),IF($NP$41="Single_Point",IF(81=$NR$41,$NN$41,0),IF($NP$41="Bell_Curve",$NN$41*(81-$NR$41+1)*($NS$41-81+1)/$NU$41,$NN$41/$NT$41)),0)</f>
        <v/>
      </c>
      <c r="CH41" s="402">
        <f>IF(AND(82&gt;=$NR$41,82&lt;=$NS$41),IF($NP$41="Single_Point",IF(82=$NR$41,$NN$41,0),IF($NP$41="Bell_Curve",$NN$41*(82-$NR$41+1)*($NS$41-82+1)/$NU$41,$NN$41/$NT$41)),0)</f>
        <v/>
      </c>
      <c r="CI41" s="402">
        <f>IF(AND(83&gt;=$NR$41,83&lt;=$NS$41),IF($NP$41="Single_Point",IF(83=$NR$41,$NN$41,0),IF($NP$41="Bell_Curve",$NN$41*(83-$NR$41+1)*($NS$41-83+1)/$NU$41,$NN$41/$NT$41)),0)</f>
        <v/>
      </c>
      <c r="CJ41" s="402">
        <f>IF(AND(84&gt;=$NR$41,84&lt;=$NS$41),IF($NP$41="Single_Point",IF(84=$NR$41,$NN$41,0),IF($NP$41="Bell_Curve",$NN$41*(84-$NR$41+1)*($NS$41-84+1)/$NU$41,$NN$41/$NT$41)),0)</f>
        <v/>
      </c>
      <c r="CK41" s="402">
        <f>IF(AND(85&gt;=$NR$41,85&lt;=$NS$41),IF($NP$41="Single_Point",IF(85=$NR$41,$NN$41,0),IF($NP$41="Bell_Curve",$NN$41*(85-$NR$41+1)*($NS$41-85+1)/$NU$41,$NN$41/$NT$41)),0)</f>
        <v/>
      </c>
      <c r="CL41" s="402">
        <f>IF(AND(86&gt;=$NR$41,86&lt;=$NS$41),IF($NP$41="Single_Point",IF(86=$NR$41,$NN$41,0),IF($NP$41="Bell_Curve",$NN$41*(86-$NR$41+1)*($NS$41-86+1)/$NU$41,$NN$41/$NT$41)),0)</f>
        <v/>
      </c>
      <c r="CM41" s="402">
        <f>IF(AND(87&gt;=$NR$41,87&lt;=$NS$41),IF($NP$41="Single_Point",IF(87=$NR$41,$NN$41,0),IF($NP$41="Bell_Curve",$NN$41*(87-$NR$41+1)*($NS$41-87+1)/$NU$41,$NN$41/$NT$41)),0)</f>
        <v/>
      </c>
      <c r="CN41" s="402">
        <f>IF(AND(88&gt;=$NR$41,88&lt;=$NS$41),IF($NP$41="Single_Point",IF(88=$NR$41,$NN$41,0),IF($NP$41="Bell_Curve",$NN$41*(88-$NR$41+1)*($NS$41-88+1)/$NU$41,$NN$41/$NT$41)),0)</f>
        <v/>
      </c>
      <c r="CO41" s="402">
        <f>IF(AND(89&gt;=$NR$41,89&lt;=$NS$41),IF($NP$41="Single_Point",IF(89=$NR$41,$NN$41,0),IF($NP$41="Bell_Curve",$NN$41*(89-$NR$41+1)*($NS$41-89+1)/$NU$41,$NN$41/$NT$41)),0)</f>
        <v/>
      </c>
      <c r="CP41" s="402">
        <f>IF(AND(90&gt;=$NR$41,90&lt;=$NS$41),IF($NP$41="Single_Point",IF(90=$NR$41,$NN$41,0),IF($NP$41="Bell_Curve",$NN$41*(90-$NR$41+1)*($NS$41-90+1)/$NU$41,$NN$41/$NT$41)),0)</f>
        <v/>
      </c>
      <c r="CQ41" s="402">
        <f>IF(AND(91&gt;=$NR$41,91&lt;=$NS$41),IF($NP$41="Single_Point",IF(91=$NR$41,$NN$41,0),IF($NP$41="Bell_Curve",$NN$41*(91-$NR$41+1)*($NS$41-91+1)/$NU$41,$NN$41/$NT$41)),0)</f>
        <v/>
      </c>
      <c r="CR41" s="402">
        <f>IF(AND(92&gt;=$NR$41,92&lt;=$NS$41),IF($NP$41="Single_Point",IF(92=$NR$41,$NN$41,0),IF($NP$41="Bell_Curve",$NN$41*(92-$NR$41+1)*($NS$41-92+1)/$NU$41,$NN$41/$NT$41)),0)</f>
        <v/>
      </c>
      <c r="CS41" s="402">
        <f>IF(AND(93&gt;=$NR$41,93&lt;=$NS$41),IF($NP$41="Single_Point",IF(93=$NR$41,$NN$41,0),IF($NP$41="Bell_Curve",$NN$41*(93-$NR$41+1)*($NS$41-93+1)/$NU$41,$NN$41/$NT$41)),0)</f>
        <v/>
      </c>
      <c r="CT41" s="402">
        <f>IF(AND(94&gt;=$NR$41,94&lt;=$NS$41),IF($NP$41="Single_Point",IF(94=$NR$41,$NN$41,0),IF($NP$41="Bell_Curve",$NN$41*(94-$NR$41+1)*($NS$41-94+1)/$NU$41,$NN$41/$NT$41)),0)</f>
        <v/>
      </c>
      <c r="CU41" s="402">
        <f>IF(AND(95&gt;=$NR$41,95&lt;=$NS$41),IF($NP$41="Single_Point",IF(95=$NR$41,$NN$41,0),IF($NP$41="Bell_Curve",$NN$41*(95-$NR$41+1)*($NS$41-95+1)/$NU$41,$NN$41/$NT$41)),0)</f>
        <v/>
      </c>
      <c r="CV41" s="402">
        <f>IF(AND(96&gt;=$NR$41,96&lt;=$NS$41),IF($NP$41="Single_Point",IF(96=$NR$41,$NN$41,0),IF($NP$41="Bell_Curve",$NN$41*(96-$NR$41+1)*($NS$41-96+1)/$NU$41,$NN$41/$NT$41)),0)</f>
        <v/>
      </c>
      <c r="CW41" s="402">
        <f>IF(AND(97&gt;=$NR$41,97&lt;=$NS$41),IF($NP$41="Single_Point",IF(97=$NR$41,$NN$41,0),IF($NP$41="Bell_Curve",$NN$41*(97-$NR$41+1)*($NS$41-97+1)/$NU$41,$NN$41/$NT$41)),0)</f>
        <v/>
      </c>
      <c r="CX41" s="402">
        <f>IF(AND(98&gt;=$NR$41,98&lt;=$NS$41),IF($NP$41="Single_Point",IF(98=$NR$41,$NN$41,0),IF($NP$41="Bell_Curve",$NN$41*(98-$NR$41+1)*($NS$41-98+1)/$NU$41,$NN$41/$NT$41)),0)</f>
        <v/>
      </c>
      <c r="CY41" s="402">
        <f>IF(AND(99&gt;=$NR$41,99&lt;=$NS$41),IF($NP$41="Single_Point",IF(99=$NR$41,$NN$41,0),IF($NP$41="Bell_Curve",$NN$41*(99-$NR$41+1)*($NS$41-99+1)/$NU$41,$NN$41/$NT$41)),0)</f>
        <v/>
      </c>
      <c r="CZ41" s="402">
        <f>IF(AND(100&gt;=$NR$41,100&lt;=$NS$41),IF($NP$41="Single_Point",IF(100=$NR$41,$NN$41,0),IF($NP$41="Bell_Curve",$NN$41*(100-$NR$41+1)*($NS$41-100+1)/$NU$41,$NN$41/$NT$41)),0)</f>
        <v/>
      </c>
      <c r="DA41" s="402">
        <f>IF(AND(101&gt;=$NR$41,101&lt;=$NS$41),IF($NP$41="Single_Point",IF(101=$NR$41,$NN$41,0),IF($NP$41="Bell_Curve",$NN$41*(101-$NR$41+1)*($NS$41-101+1)/$NU$41,$NN$41/$NT$41)),0)</f>
        <v/>
      </c>
      <c r="DB41" s="402">
        <f>IF(AND(102&gt;=$NR$41,102&lt;=$NS$41),IF($NP$41="Single_Point",IF(102=$NR$41,$NN$41,0),IF($NP$41="Bell_Curve",$NN$41*(102-$NR$41+1)*($NS$41-102+1)/$NU$41,$NN$41/$NT$41)),0)</f>
        <v/>
      </c>
      <c r="DC41" s="402">
        <f>IF(AND(103&gt;=$NR$41,103&lt;=$NS$41),IF($NP$41="Single_Point",IF(103=$NR$41,$NN$41,0),IF($NP$41="Bell_Curve",$NN$41*(103-$NR$41+1)*($NS$41-103+1)/$NU$41,$NN$41/$NT$41)),0)</f>
        <v/>
      </c>
      <c r="DD41" s="402">
        <f>IF(AND(104&gt;=$NR$41,104&lt;=$NS$41),IF($NP$41="Single_Point",IF(104=$NR$41,$NN$41,0),IF($NP$41="Bell_Curve",$NN$41*(104-$NR$41+1)*($NS$41-104+1)/$NU$41,$NN$41/$NT$41)),0)</f>
        <v/>
      </c>
      <c r="DE41" s="402">
        <f>IF(AND(105&gt;=$NR$41,105&lt;=$NS$41),IF($NP$41="Single_Point",IF(105=$NR$41,$NN$41,0),IF($NP$41="Bell_Curve",$NN$41*(105-$NR$41+1)*($NS$41-105+1)/$NU$41,$NN$41/$NT$41)),0)</f>
        <v/>
      </c>
      <c r="DF41" s="402">
        <f>IF(AND(106&gt;=$NR$41,106&lt;=$NS$41),IF($NP$41="Single_Point",IF(106=$NR$41,$NN$41,0),IF($NP$41="Bell_Curve",$NN$41*(106-$NR$41+1)*($NS$41-106+1)/$NU$41,$NN$41/$NT$41)),0)</f>
        <v/>
      </c>
      <c r="DG41" s="402">
        <f>IF(AND(107&gt;=$NR$41,107&lt;=$NS$41),IF($NP$41="Single_Point",IF(107=$NR$41,$NN$41,0),IF($NP$41="Bell_Curve",$NN$41*(107-$NR$41+1)*($NS$41-107+1)/$NU$41,$NN$41/$NT$41)),0)</f>
        <v/>
      </c>
      <c r="DH41" s="402">
        <f>IF(AND(108&gt;=$NR$41,108&lt;=$NS$41),IF($NP$41="Single_Point",IF(108=$NR$41,$NN$41,0),IF($NP$41="Bell_Curve",$NN$41*(108-$NR$41+1)*($NS$41-108+1)/$NU$41,$NN$41/$NT$41)),0)</f>
        <v/>
      </c>
      <c r="DI41" s="402">
        <f>IF(AND(109&gt;=$NR$41,109&lt;=$NS$41),IF($NP$41="Single_Point",IF(109=$NR$41,$NN$41,0),IF($NP$41="Bell_Curve",$NN$41*(109-$NR$41+1)*($NS$41-109+1)/$NU$41,$NN$41/$NT$41)),0)</f>
        <v/>
      </c>
      <c r="DJ41" s="402">
        <f>IF(AND(110&gt;=$NR$41,110&lt;=$NS$41),IF($NP$41="Single_Point",IF(110=$NR$41,$NN$41,0),IF($NP$41="Bell_Curve",$NN$41*(110-$NR$41+1)*($NS$41-110+1)/$NU$41,$NN$41/$NT$41)),0)</f>
        <v/>
      </c>
      <c r="DK41" s="402">
        <f>IF(AND(111&gt;=$NR$41,111&lt;=$NS$41),IF($NP$41="Single_Point",IF(111=$NR$41,$NN$41,0),IF($NP$41="Bell_Curve",$NN$41*(111-$NR$41+1)*($NS$41-111+1)/$NU$41,$NN$41/$NT$41)),0)</f>
        <v/>
      </c>
      <c r="DL41" s="402">
        <f>IF(AND(112&gt;=$NR$41,112&lt;=$NS$41),IF($NP$41="Single_Point",IF(112=$NR$41,$NN$41,0),IF($NP$41="Bell_Curve",$NN$41*(112-$NR$41+1)*($NS$41-112+1)/$NU$41,$NN$41/$NT$41)),0)</f>
        <v/>
      </c>
      <c r="DM41" s="402">
        <f>IF(AND(113&gt;=$NR$41,113&lt;=$NS$41),IF($NP$41="Single_Point",IF(113=$NR$41,$NN$41,0),IF($NP$41="Bell_Curve",$NN$41*(113-$NR$41+1)*($NS$41-113+1)/$NU$41,$NN$41/$NT$41)),0)</f>
        <v/>
      </c>
      <c r="DN41" s="402">
        <f>IF(AND(114&gt;=$NR$41,114&lt;=$NS$41),IF($NP$41="Single_Point",IF(114=$NR$41,$NN$41,0),IF($NP$41="Bell_Curve",$NN$41*(114-$NR$41+1)*($NS$41-114+1)/$NU$41,$NN$41/$NT$41)),0)</f>
        <v/>
      </c>
      <c r="DO41" s="402">
        <f>IF(AND(115&gt;=$NR$41,115&lt;=$NS$41),IF($NP$41="Single_Point",IF(115=$NR$41,$NN$41,0),IF($NP$41="Bell_Curve",$NN$41*(115-$NR$41+1)*($NS$41-115+1)/$NU$41,$NN$41/$NT$41)),0)</f>
        <v/>
      </c>
      <c r="DP41" s="402">
        <f>IF(AND(116&gt;=$NR$41,116&lt;=$NS$41),IF($NP$41="Single_Point",IF(116=$NR$41,$NN$41,0),IF($NP$41="Bell_Curve",$NN$41*(116-$NR$41+1)*($NS$41-116+1)/$NU$41,$NN$41/$NT$41)),0)</f>
        <v/>
      </c>
      <c r="DQ41" s="402">
        <f>IF(AND(117&gt;=$NR$41,117&lt;=$NS$41),IF($NP$41="Single_Point",IF(117=$NR$41,$NN$41,0),IF($NP$41="Bell_Curve",$NN$41*(117-$NR$41+1)*($NS$41-117+1)/$NU$41,$NN$41/$NT$41)),0)</f>
        <v/>
      </c>
      <c r="DR41" s="402">
        <f>IF(AND(118&gt;=$NR$41,118&lt;=$NS$41),IF($NP$41="Single_Point",IF(118=$NR$41,$NN$41,0),IF($NP$41="Bell_Curve",$NN$41*(118-$NR$41+1)*($NS$41-118+1)/$NU$41,$NN$41/$NT$41)),0)</f>
        <v/>
      </c>
      <c r="DS41" s="402">
        <f>IF(AND(119&gt;=$NR$41,119&lt;=$NS$41),IF($NP$41="Single_Point",IF(119=$NR$41,$NN$41,0),IF($NP$41="Bell_Curve",$NN$41*(119-$NR$41+1)*($NS$41-119+1)/$NU$41,$NN$41/$NT$41)),0)</f>
        <v/>
      </c>
      <c r="DT41" s="402">
        <f>IF(AND(120&gt;=$NR$41,120&lt;=$NS$41),IF($NP$41="Single_Point",IF(120=$NR$41,$NN$41,0),IF($NP$41="Bell_Curve",$NN$41*(120-$NR$41+1)*($NS$41-120+1)/$NU$41,$NN$41/$NT$41)),0)</f>
        <v/>
      </c>
      <c r="DU41" s="402">
        <f>IF(AND(121&gt;=$NR$41,121&lt;=$NS$41),IF($NP$41="Single_Point",IF(121=$NR$41,$NN$41,0),IF($NP$41="Bell_Curve",$NN$41*(121-$NR$41+1)*($NS$41-121+1)/$NU$41,$NN$41/$NT$41)),0)</f>
        <v/>
      </c>
      <c r="DV41" s="402">
        <f>IF(AND(122&gt;=$NR$41,122&lt;=$NS$41),IF($NP$41="Single_Point",IF(122=$NR$41,$NN$41,0),IF($NP$41="Bell_Curve",$NN$41*(122-$NR$41+1)*($NS$41-122+1)/$NU$41,$NN$41/$NT$41)),0)</f>
        <v/>
      </c>
      <c r="DW41" s="402">
        <f>IF(AND(123&gt;=$NR$41,123&lt;=$NS$41),IF($NP$41="Single_Point",IF(123=$NR$41,$NN$41,0),IF($NP$41="Bell_Curve",$NN$41*(123-$NR$41+1)*($NS$41-123+1)/$NU$41,$NN$41/$NT$41)),0)</f>
        <v/>
      </c>
      <c r="DX41" s="402">
        <f>IF(AND(124&gt;=$NR$41,124&lt;=$NS$41),IF($NP$41="Single_Point",IF(124=$NR$41,$NN$41,0),IF($NP$41="Bell_Curve",$NN$41*(124-$NR$41+1)*($NS$41-124+1)/$NU$41,$NN$41/$NT$41)),0)</f>
        <v/>
      </c>
      <c r="DY41" s="402">
        <f>IF(AND(125&gt;=$NR$41,125&lt;=$NS$41),IF($NP$41="Single_Point",IF(125=$NR$41,$NN$41,0),IF($NP$41="Bell_Curve",$NN$41*(125-$NR$41+1)*($NS$41-125+1)/$NU$41,$NN$41/$NT$41)),0)</f>
        <v/>
      </c>
      <c r="DZ41" s="402">
        <f>IF(AND(126&gt;=$NR$41,126&lt;=$NS$41),IF($NP$41="Single_Point",IF(126=$NR$41,$NN$41,0),IF($NP$41="Bell_Curve",$NN$41*(126-$NR$41+1)*($NS$41-126+1)/$NU$41,$NN$41/$NT$41)),0)</f>
        <v/>
      </c>
      <c r="EA41" s="402">
        <f>IF(AND(127&gt;=$NR$41,127&lt;=$NS$41),IF($NP$41="Single_Point",IF(127=$NR$41,$NN$41,0),IF($NP$41="Bell_Curve",$NN$41*(127-$NR$41+1)*($NS$41-127+1)/$NU$41,$NN$41/$NT$41)),0)</f>
        <v/>
      </c>
      <c r="EB41" s="402">
        <f>IF(AND(128&gt;=$NR$41,128&lt;=$NS$41),IF($NP$41="Single_Point",IF(128=$NR$41,$NN$41,0),IF($NP$41="Bell_Curve",$NN$41*(128-$NR$41+1)*($NS$41-128+1)/$NU$41,$NN$41/$NT$41)),0)</f>
        <v/>
      </c>
      <c r="EC41" s="402">
        <f>IF(AND(129&gt;=$NR$41,129&lt;=$NS$41),IF($NP$41="Single_Point",IF(129=$NR$41,$NN$41,0),IF($NP$41="Bell_Curve",$NN$41*(129-$NR$41+1)*($NS$41-129+1)/$NU$41,$NN$41/$NT$41)),0)</f>
        <v/>
      </c>
      <c r="ED41" s="402">
        <f>IF(AND(130&gt;=$NR$41,130&lt;=$NS$41),IF($NP$41="Single_Point",IF(130=$NR$41,$NN$41,0),IF($NP$41="Bell_Curve",$NN$41*(130-$NR$41+1)*($NS$41-130+1)/$NU$41,$NN$41/$NT$41)),0)</f>
        <v/>
      </c>
      <c r="EE41" s="402">
        <f>IF(AND(131&gt;=$NR$41,131&lt;=$NS$41),IF($NP$41="Single_Point",IF(131=$NR$41,$NN$41,0),IF($NP$41="Bell_Curve",$NN$41*(131-$NR$41+1)*($NS$41-131+1)/$NU$41,$NN$41/$NT$41)),0)</f>
        <v/>
      </c>
      <c r="EF41" s="402">
        <f>IF(AND(132&gt;=$NR$41,132&lt;=$NS$41),IF($NP$41="Single_Point",IF(132=$NR$41,$NN$41,0),IF($NP$41="Bell_Curve",$NN$41*(132-$NR$41+1)*($NS$41-132+1)/$NU$41,$NN$41/$NT$41)),0)</f>
        <v/>
      </c>
      <c r="EG41" s="402">
        <f>IF(AND(133&gt;=$NR$41,133&lt;=$NS$41),IF($NP$41="Single_Point",IF(133=$NR$41,$NN$41,0),IF($NP$41="Bell_Curve",$NN$41*(133-$NR$41+1)*($NS$41-133+1)/$NU$41,$NN$41/$NT$41)),0)</f>
        <v/>
      </c>
      <c r="EH41" s="402">
        <f>IF(AND(134&gt;=$NR$41,134&lt;=$NS$41),IF($NP$41="Single_Point",IF(134=$NR$41,$NN$41,0),IF($NP$41="Bell_Curve",$NN$41*(134-$NR$41+1)*($NS$41-134+1)/$NU$41,$NN$41/$NT$41)),0)</f>
        <v/>
      </c>
      <c r="EI41" s="402">
        <f>IF(AND(135&gt;=$NR$41,135&lt;=$NS$41),IF($NP$41="Single_Point",IF(135=$NR$41,$NN$41,0),IF($NP$41="Bell_Curve",$NN$41*(135-$NR$41+1)*($NS$41-135+1)/$NU$41,$NN$41/$NT$41)),0)</f>
        <v/>
      </c>
      <c r="EJ41" s="402">
        <f>IF(AND(136&gt;=$NR$41,136&lt;=$NS$41),IF($NP$41="Single_Point",IF(136=$NR$41,$NN$41,0),IF($NP$41="Bell_Curve",$NN$41*(136-$NR$41+1)*($NS$41-136+1)/$NU$41,$NN$41/$NT$41)),0)</f>
        <v/>
      </c>
      <c r="EK41" s="402">
        <f>IF(AND(137&gt;=$NR$41,137&lt;=$NS$41),IF($NP$41="Single_Point",IF(137=$NR$41,$NN$41,0),IF($NP$41="Bell_Curve",$NN$41*(137-$NR$41+1)*($NS$41-137+1)/$NU$41,$NN$41/$NT$41)),0)</f>
        <v/>
      </c>
      <c r="EL41" s="402">
        <f>IF(AND(138&gt;=$NR$41,138&lt;=$NS$41),IF($NP$41="Single_Point",IF(138=$NR$41,$NN$41,0),IF($NP$41="Bell_Curve",$NN$41*(138-$NR$41+1)*($NS$41-138+1)/$NU$41,$NN$41/$NT$41)),0)</f>
        <v/>
      </c>
      <c r="EM41" s="402">
        <f>IF(AND(139&gt;=$NR$41,139&lt;=$NS$41),IF($NP$41="Single_Point",IF(139=$NR$41,$NN$41,0),IF($NP$41="Bell_Curve",$NN$41*(139-$NR$41+1)*($NS$41-139+1)/$NU$41,$NN$41/$NT$41)),0)</f>
        <v/>
      </c>
      <c r="EN41" s="402">
        <f>IF(AND(140&gt;=$NR$41,140&lt;=$NS$41),IF($NP$41="Single_Point",IF(140=$NR$41,$NN$41,0),IF($NP$41="Bell_Curve",$NN$41*(140-$NR$41+1)*($NS$41-140+1)/$NU$41,$NN$41/$NT$41)),0)</f>
        <v/>
      </c>
      <c r="EO41" s="402">
        <f>IF(AND(141&gt;=$NR$41,141&lt;=$NS$41),IF($NP$41="Single_Point",IF(141=$NR$41,$NN$41,0),IF($NP$41="Bell_Curve",$NN$41*(141-$NR$41+1)*($NS$41-141+1)/$NU$41,$NN$41/$NT$41)),0)</f>
        <v/>
      </c>
      <c r="EP41" s="402">
        <f>IF(AND(142&gt;=$NR$41,142&lt;=$NS$41),IF($NP$41="Single_Point",IF(142=$NR$41,$NN$41,0),IF($NP$41="Bell_Curve",$NN$41*(142-$NR$41+1)*($NS$41-142+1)/$NU$41,$NN$41/$NT$41)),0)</f>
        <v/>
      </c>
      <c r="EQ41" s="402">
        <f>IF(AND(143&gt;=$NR$41,143&lt;=$NS$41),IF($NP$41="Single_Point",IF(143=$NR$41,$NN$41,0),IF($NP$41="Bell_Curve",$NN$41*(143-$NR$41+1)*($NS$41-143+1)/$NU$41,$NN$41/$NT$41)),0)</f>
        <v/>
      </c>
      <c r="ER41" s="402">
        <f>IF(AND(144&gt;=$NR$41,144&lt;=$NS$41),IF($NP$41="Single_Point",IF(144=$NR$41,$NN$41,0),IF($NP$41="Bell_Curve",$NN$41*(144-$NR$41+1)*($NS$41-144+1)/$NU$41,$NN$41/$NT$41)),0)</f>
        <v/>
      </c>
      <c r="ES41" s="402">
        <f>IF(AND(145&gt;=$NR$41,145&lt;=$NS$41),IF($NP$41="Single_Point",IF(145=$NR$41,$NN$41,0),IF($NP$41="Bell_Curve",$NN$41*(145-$NR$41+1)*($NS$41-145+1)/$NU$41,$NN$41/$NT$41)),0)</f>
        <v/>
      </c>
      <c r="ET41" s="402">
        <f>IF(AND(146&gt;=$NR$41,146&lt;=$NS$41),IF($NP$41="Single_Point",IF(146=$NR$41,$NN$41,0),IF($NP$41="Bell_Curve",$NN$41*(146-$NR$41+1)*($NS$41-146+1)/$NU$41,$NN$41/$NT$41)),0)</f>
        <v/>
      </c>
      <c r="EU41" s="402">
        <f>IF(AND(147&gt;=$NR$41,147&lt;=$NS$41),IF($NP$41="Single_Point",IF(147=$NR$41,$NN$41,0),IF($NP$41="Bell_Curve",$NN$41*(147-$NR$41+1)*($NS$41-147+1)/$NU$41,$NN$41/$NT$41)),0)</f>
        <v/>
      </c>
      <c r="EV41" s="402">
        <f>IF(AND(148&gt;=$NR$41,148&lt;=$NS$41),IF($NP$41="Single_Point",IF(148=$NR$41,$NN$41,0),IF($NP$41="Bell_Curve",$NN$41*(148-$NR$41+1)*($NS$41-148+1)/$NU$41,$NN$41/$NT$41)),0)</f>
        <v/>
      </c>
      <c r="EW41" s="402">
        <f>IF(AND(149&gt;=$NR$41,149&lt;=$NS$41),IF($NP$41="Single_Point",IF(149=$NR$41,$NN$41,0),IF($NP$41="Bell_Curve",$NN$41*(149-$NR$41+1)*($NS$41-149+1)/$NU$41,$NN$41/$NT$41)),0)</f>
        <v/>
      </c>
      <c r="EX41" s="402">
        <f>IF(AND(150&gt;=$NR$41,150&lt;=$NS$41),IF($NP$41="Single_Point",IF(150=$NR$41,$NN$41,0),IF($NP$41="Bell_Curve",$NN$41*(150-$NR$41+1)*($NS$41-150+1)/$NU$41,$NN$41/$NT$41)),0)</f>
        <v/>
      </c>
      <c r="EY41" s="402">
        <f>IF(AND(151&gt;=$NR$41,151&lt;=$NS$41),IF($NP$41="Single_Point",IF(151=$NR$41,$NN$41,0),IF($NP$41="Bell_Curve",$NN$41*(151-$NR$41+1)*($NS$41-151+1)/$NU$41,$NN$41/$NT$41)),0)</f>
        <v/>
      </c>
      <c r="EZ41" s="402">
        <f>IF(AND(152&gt;=$NR$41,152&lt;=$NS$41),IF($NP$41="Single_Point",IF(152=$NR$41,$NN$41,0),IF($NP$41="Bell_Curve",$NN$41*(152-$NR$41+1)*($NS$41-152+1)/$NU$41,$NN$41/$NT$41)),0)</f>
        <v/>
      </c>
      <c r="FA41" s="402">
        <f>IF(AND(153&gt;=$NR$41,153&lt;=$NS$41),IF($NP$41="Single_Point",IF(153=$NR$41,$NN$41,0),IF($NP$41="Bell_Curve",$NN$41*(153-$NR$41+1)*($NS$41-153+1)/$NU$41,$NN$41/$NT$41)),0)</f>
        <v/>
      </c>
      <c r="FB41" s="402">
        <f>IF(AND(154&gt;=$NR$41,154&lt;=$NS$41),IF($NP$41="Single_Point",IF(154=$NR$41,$NN$41,0),IF($NP$41="Bell_Curve",$NN$41*(154-$NR$41+1)*($NS$41-154+1)/$NU$41,$NN$41/$NT$41)),0)</f>
        <v/>
      </c>
      <c r="FC41" s="402">
        <f>IF(AND(155&gt;=$NR$41,155&lt;=$NS$41),IF($NP$41="Single_Point",IF(155=$NR$41,$NN$41,0),IF($NP$41="Bell_Curve",$NN$41*(155-$NR$41+1)*($NS$41-155+1)/$NU$41,$NN$41/$NT$41)),0)</f>
        <v/>
      </c>
      <c r="FD41" s="402">
        <f>IF(AND(156&gt;=$NR$41,156&lt;=$NS$41),IF($NP$41="Single_Point",IF(156=$NR$41,$NN$41,0),IF($NP$41="Bell_Curve",$NN$41*(156-$NR$41+1)*($NS$41-156+1)/$NU$41,$NN$41/$NT$41)),0)</f>
        <v/>
      </c>
      <c r="FE41" s="402">
        <f>IF(AND(157&gt;=$NR$41,157&lt;=$NS$41),IF($NP$41="Single_Point",IF(157=$NR$41,$NN$41,0),IF($NP$41="Bell_Curve",$NN$41*(157-$NR$41+1)*($NS$41-157+1)/$NU$41,$NN$41/$NT$41)),0)</f>
        <v/>
      </c>
      <c r="FF41" s="402">
        <f>IF(AND(158&gt;=$NR$41,158&lt;=$NS$41),IF($NP$41="Single_Point",IF(158=$NR$41,$NN$41,0),IF($NP$41="Bell_Curve",$NN$41*(158-$NR$41+1)*($NS$41-158+1)/$NU$41,$NN$41/$NT$41)),0)</f>
        <v/>
      </c>
      <c r="FG41" s="402">
        <f>IF(AND(159&gt;=$NR$41,159&lt;=$NS$41),IF($NP$41="Single_Point",IF(159=$NR$41,$NN$41,0),IF($NP$41="Bell_Curve",$NN$41*(159-$NR$41+1)*($NS$41-159+1)/$NU$41,$NN$41/$NT$41)),0)</f>
        <v/>
      </c>
      <c r="FH41" s="402">
        <f>IF(AND(160&gt;=$NR$41,160&lt;=$NS$41),IF($NP$41="Single_Point",IF(160=$NR$41,$NN$41,0),IF($NP$41="Bell_Curve",$NN$41*(160-$NR$41+1)*($NS$41-160+1)/$NU$41,$NN$41/$NT$41)),0)</f>
        <v/>
      </c>
      <c r="FI41" s="402">
        <f>IF(AND(161&gt;=$NR$41,161&lt;=$NS$41),IF($NP$41="Single_Point",IF(161=$NR$41,$NN$41,0),IF($NP$41="Bell_Curve",$NN$41*(161-$NR$41+1)*($NS$41-161+1)/$NU$41,$NN$41/$NT$41)),0)</f>
        <v/>
      </c>
      <c r="FJ41" s="402">
        <f>IF(AND(162&gt;=$NR$41,162&lt;=$NS$41),IF($NP$41="Single_Point",IF(162=$NR$41,$NN$41,0),IF($NP$41="Bell_Curve",$NN$41*(162-$NR$41+1)*($NS$41-162+1)/$NU$41,$NN$41/$NT$41)),0)</f>
        <v/>
      </c>
      <c r="FK41" s="402">
        <f>IF(AND(163&gt;=$NR$41,163&lt;=$NS$41),IF($NP$41="Single_Point",IF(163=$NR$41,$NN$41,0),IF($NP$41="Bell_Curve",$NN$41*(163-$NR$41+1)*($NS$41-163+1)/$NU$41,$NN$41/$NT$41)),0)</f>
        <v/>
      </c>
      <c r="FL41" s="402">
        <f>IF(AND(164&gt;=$NR$41,164&lt;=$NS$41),IF($NP$41="Single_Point",IF(164=$NR$41,$NN$41,0),IF($NP$41="Bell_Curve",$NN$41*(164-$NR$41+1)*($NS$41-164+1)/$NU$41,$NN$41/$NT$41)),0)</f>
        <v/>
      </c>
      <c r="FM41" s="402">
        <f>IF(AND(165&gt;=$NR$41,165&lt;=$NS$41),IF($NP$41="Single_Point",IF(165=$NR$41,$NN$41,0),IF($NP$41="Bell_Curve",$NN$41*(165-$NR$41+1)*($NS$41-165+1)/$NU$41,$NN$41/$NT$41)),0)</f>
        <v/>
      </c>
      <c r="FN41" s="402">
        <f>IF(AND(166&gt;=$NR$41,166&lt;=$NS$41),IF($NP$41="Single_Point",IF(166=$NR$41,$NN$41,0),IF($NP$41="Bell_Curve",$NN$41*(166-$NR$41+1)*($NS$41-166+1)/$NU$41,$NN$41/$NT$41)),0)</f>
        <v/>
      </c>
      <c r="FO41" s="402">
        <f>IF(AND(167&gt;=$NR$41,167&lt;=$NS$41),IF($NP$41="Single_Point",IF(167=$NR$41,$NN$41,0),IF($NP$41="Bell_Curve",$NN$41*(167-$NR$41+1)*($NS$41-167+1)/$NU$41,$NN$41/$NT$41)),0)</f>
        <v/>
      </c>
      <c r="FP41" s="402">
        <f>IF(AND(168&gt;=$NR$41,168&lt;=$NS$41),IF($NP$41="Single_Point",IF(168=$NR$41,$NN$41,0),IF($NP$41="Bell_Curve",$NN$41*(168-$NR$41+1)*($NS$41-168+1)/$NU$41,$NN$41/$NT$41)),0)</f>
        <v/>
      </c>
      <c r="FQ41" s="402">
        <f>IF(AND(169&gt;=$NR$41,169&lt;=$NS$41),IF($NP$41="Single_Point",IF(169=$NR$41,$NN$41,0),IF($NP$41="Bell_Curve",$NN$41*(169-$NR$41+1)*($NS$41-169+1)/$NU$41,$NN$41/$NT$41)),0)</f>
        <v/>
      </c>
      <c r="FR41" s="402">
        <f>IF(AND(170&gt;=$NR$41,170&lt;=$NS$41),IF($NP$41="Single_Point",IF(170=$NR$41,$NN$41,0),IF($NP$41="Bell_Curve",$NN$41*(170-$NR$41+1)*($NS$41-170+1)/$NU$41,$NN$41/$NT$41)),0)</f>
        <v/>
      </c>
      <c r="FS41" s="402">
        <f>IF(AND(171&gt;=$NR$41,171&lt;=$NS$41),IF($NP$41="Single_Point",IF(171=$NR$41,$NN$41,0),IF($NP$41="Bell_Curve",$NN$41*(171-$NR$41+1)*($NS$41-171+1)/$NU$41,$NN$41/$NT$41)),0)</f>
        <v/>
      </c>
      <c r="FT41" s="402">
        <f>IF(AND(172&gt;=$NR$41,172&lt;=$NS$41),IF($NP$41="Single_Point",IF(172=$NR$41,$NN$41,0),IF($NP$41="Bell_Curve",$NN$41*(172-$NR$41+1)*($NS$41-172+1)/$NU$41,$NN$41/$NT$41)),0)</f>
        <v/>
      </c>
      <c r="FU41" s="402">
        <f>IF(AND(173&gt;=$NR$41,173&lt;=$NS$41),IF($NP$41="Single_Point",IF(173=$NR$41,$NN$41,0),IF($NP$41="Bell_Curve",$NN$41*(173-$NR$41+1)*($NS$41-173+1)/$NU$41,$NN$41/$NT$41)),0)</f>
        <v/>
      </c>
      <c r="FV41" s="402">
        <f>IF(AND(174&gt;=$NR$41,174&lt;=$NS$41),IF($NP$41="Single_Point",IF(174=$NR$41,$NN$41,0),IF($NP$41="Bell_Curve",$NN$41*(174-$NR$41+1)*($NS$41-174+1)/$NU$41,$NN$41/$NT$41)),0)</f>
        <v/>
      </c>
      <c r="FW41" s="402">
        <f>IF(AND(175&gt;=$NR$41,175&lt;=$NS$41),IF($NP$41="Single_Point",IF(175=$NR$41,$NN$41,0),IF($NP$41="Bell_Curve",$NN$41*(175-$NR$41+1)*($NS$41-175+1)/$NU$41,$NN$41/$NT$41)),0)</f>
        <v/>
      </c>
      <c r="FX41" s="402">
        <f>IF(AND(176&gt;=$NR$41,176&lt;=$NS$41),IF($NP$41="Single_Point",IF(176=$NR$41,$NN$41,0),IF($NP$41="Bell_Curve",$NN$41*(176-$NR$41+1)*($NS$41-176+1)/$NU$41,$NN$41/$NT$41)),0)</f>
        <v/>
      </c>
      <c r="FY41" s="402">
        <f>IF(AND(177&gt;=$NR$41,177&lt;=$NS$41),IF($NP$41="Single_Point",IF(177=$NR$41,$NN$41,0),IF($NP$41="Bell_Curve",$NN$41*(177-$NR$41+1)*($NS$41-177+1)/$NU$41,$NN$41/$NT$41)),0)</f>
        <v/>
      </c>
      <c r="FZ41" s="402">
        <f>IF(AND(178&gt;=$NR$41,178&lt;=$NS$41),IF($NP$41="Single_Point",IF(178=$NR$41,$NN$41,0),IF($NP$41="Bell_Curve",$NN$41*(178-$NR$41+1)*($NS$41-178+1)/$NU$41,$NN$41/$NT$41)),0)</f>
        <v/>
      </c>
      <c r="GA41" s="402">
        <f>IF(AND(179&gt;=$NR$41,179&lt;=$NS$41),IF($NP$41="Single_Point",IF(179=$NR$41,$NN$41,0),IF($NP$41="Bell_Curve",$NN$41*(179-$NR$41+1)*($NS$41-179+1)/$NU$41,$NN$41/$NT$41)),0)</f>
        <v/>
      </c>
      <c r="GB41" s="402">
        <f>IF(AND(180&gt;=$NR$41,180&lt;=$NS$41),IF($NP$41="Single_Point",IF(180=$NR$41,$NN$41,0),IF($NP$41="Bell_Curve",$NN$41*(180-$NR$41+1)*($NS$41-180+1)/$NU$41,$NN$41/$NT$41)),0)</f>
        <v/>
      </c>
      <c r="GC41" s="402">
        <f>IF(AND(181&gt;=$NR$41,181&lt;=$NS$41),IF($NP$41="Single_Point",IF(181=$NR$41,$NN$41,0),IF($NP$41="Bell_Curve",$NN$41*(181-$NR$41+1)*($NS$41-181+1)/$NU$41,$NN$41/$NT$41)),0)</f>
        <v/>
      </c>
      <c r="GD41" s="402">
        <f>IF(AND(182&gt;=$NR$41,182&lt;=$NS$41),IF($NP$41="Single_Point",IF(182=$NR$41,$NN$41,0),IF($NP$41="Bell_Curve",$NN$41*(182-$NR$41+1)*($NS$41-182+1)/$NU$41,$NN$41/$NT$41)),0)</f>
        <v/>
      </c>
      <c r="GE41" s="402">
        <f>IF(AND(183&gt;=$NR$41,183&lt;=$NS$41),IF($NP$41="Single_Point",IF(183=$NR$41,$NN$41,0),IF($NP$41="Bell_Curve",$NN$41*(183-$NR$41+1)*($NS$41-183+1)/$NU$41,$NN$41/$NT$41)),0)</f>
        <v/>
      </c>
      <c r="GF41" s="402">
        <f>IF(AND(184&gt;=$NR$41,184&lt;=$NS$41),IF($NP$41="Single_Point",IF(184=$NR$41,$NN$41,0),IF($NP$41="Bell_Curve",$NN$41*(184-$NR$41+1)*($NS$41-184+1)/$NU$41,$NN$41/$NT$41)),0)</f>
        <v/>
      </c>
      <c r="GG41" s="402">
        <f>IF(AND(185&gt;=$NR$41,185&lt;=$NS$41),IF($NP$41="Single_Point",IF(185=$NR$41,$NN$41,0),IF($NP$41="Bell_Curve",$NN$41*(185-$NR$41+1)*($NS$41-185+1)/$NU$41,$NN$41/$NT$41)),0)</f>
        <v/>
      </c>
      <c r="GH41" s="402">
        <f>IF(AND(186&gt;=$NR$41,186&lt;=$NS$41),IF($NP$41="Single_Point",IF(186=$NR$41,$NN$41,0),IF($NP$41="Bell_Curve",$NN$41*(186-$NR$41+1)*($NS$41-186+1)/$NU$41,$NN$41/$NT$41)),0)</f>
        <v/>
      </c>
      <c r="GI41" s="402">
        <f>IF(AND(187&gt;=$NR$41,187&lt;=$NS$41),IF($NP$41="Single_Point",IF(187=$NR$41,$NN$41,0),IF($NP$41="Bell_Curve",$NN$41*(187-$NR$41+1)*($NS$41-187+1)/$NU$41,$NN$41/$NT$41)),0)</f>
        <v/>
      </c>
      <c r="GJ41" s="402">
        <f>IF(AND(188&gt;=$NR$41,188&lt;=$NS$41),IF($NP$41="Single_Point",IF(188=$NR$41,$NN$41,0),IF($NP$41="Bell_Curve",$NN$41*(188-$NR$41+1)*($NS$41-188+1)/$NU$41,$NN$41/$NT$41)),0)</f>
        <v/>
      </c>
      <c r="GK41" s="402">
        <f>IF(AND(189&gt;=$NR$41,189&lt;=$NS$41),IF($NP$41="Single_Point",IF(189=$NR$41,$NN$41,0),IF($NP$41="Bell_Curve",$NN$41*(189-$NR$41+1)*($NS$41-189+1)/$NU$41,$NN$41/$NT$41)),0)</f>
        <v/>
      </c>
      <c r="GL41" s="402">
        <f>IF(AND(190&gt;=$NR$41,190&lt;=$NS$41),IF($NP$41="Single_Point",IF(190=$NR$41,$NN$41,0),IF($NP$41="Bell_Curve",$NN$41*(190-$NR$41+1)*($NS$41-190+1)/$NU$41,$NN$41/$NT$41)),0)</f>
        <v/>
      </c>
      <c r="GM41" s="402">
        <f>IF(AND(191&gt;=$NR$41,191&lt;=$NS$41),IF($NP$41="Single_Point",IF(191=$NR$41,$NN$41,0),IF($NP$41="Bell_Curve",$NN$41*(191-$NR$41+1)*($NS$41-191+1)/$NU$41,$NN$41/$NT$41)),0)</f>
        <v/>
      </c>
      <c r="GN41" s="402">
        <f>IF(AND(192&gt;=$NR$41,192&lt;=$NS$41),IF($NP$41="Single_Point",IF(192=$NR$41,$NN$41,0),IF($NP$41="Bell_Curve",$NN$41*(192-$NR$41+1)*($NS$41-192+1)/$NU$41,$NN$41/$NT$41)),0)</f>
        <v/>
      </c>
      <c r="GO41" s="402">
        <f>IF(AND(193&gt;=$NR$41,193&lt;=$NS$41),IF($NP$41="Single_Point",IF(193=$NR$41,$NN$41,0),IF($NP$41="Bell_Curve",$NN$41*(193-$NR$41+1)*($NS$41-193+1)/$NU$41,$NN$41/$NT$41)),0)</f>
        <v/>
      </c>
      <c r="GP41" s="402">
        <f>IF(AND(194&gt;=$NR$41,194&lt;=$NS$41),IF($NP$41="Single_Point",IF(194=$NR$41,$NN$41,0),IF($NP$41="Bell_Curve",$NN$41*(194-$NR$41+1)*($NS$41-194+1)/$NU$41,$NN$41/$NT$41)),0)</f>
        <v/>
      </c>
      <c r="GQ41" s="402">
        <f>IF(AND(195&gt;=$NR$41,195&lt;=$NS$41),IF($NP$41="Single_Point",IF(195=$NR$41,$NN$41,0),IF($NP$41="Bell_Curve",$NN$41*(195-$NR$41+1)*($NS$41-195+1)/$NU$41,$NN$41/$NT$41)),0)</f>
        <v/>
      </c>
      <c r="GR41" s="402">
        <f>IF(AND(196&gt;=$NR$41,196&lt;=$NS$41),IF($NP$41="Single_Point",IF(196=$NR$41,$NN$41,0),IF($NP$41="Bell_Curve",$NN$41*(196-$NR$41+1)*($NS$41-196+1)/$NU$41,$NN$41/$NT$41)),0)</f>
        <v/>
      </c>
      <c r="GS41" s="402">
        <f>IF(AND(197&gt;=$NR$41,197&lt;=$NS$41),IF($NP$41="Single_Point",IF(197=$NR$41,$NN$41,0),IF($NP$41="Bell_Curve",$NN$41*(197-$NR$41+1)*($NS$41-197+1)/$NU$41,$NN$41/$NT$41)),0)</f>
        <v/>
      </c>
      <c r="GT41" s="402">
        <f>IF(AND(198&gt;=$NR$41,198&lt;=$NS$41),IF($NP$41="Single_Point",IF(198=$NR$41,$NN$41,0),IF($NP$41="Bell_Curve",$NN$41*(198-$NR$41+1)*($NS$41-198+1)/$NU$41,$NN$41/$NT$41)),0)</f>
        <v/>
      </c>
      <c r="GU41" s="402">
        <f>IF(AND(199&gt;=$NR$41,199&lt;=$NS$41),IF($NP$41="Single_Point",IF(199=$NR$41,$NN$41,0),IF($NP$41="Bell_Curve",$NN$41*(199-$NR$41+1)*($NS$41-199+1)/$NU$41,$NN$41/$NT$41)),0)</f>
        <v/>
      </c>
      <c r="GV41" s="402">
        <f>IF(AND(200&gt;=$NR$41,200&lt;=$NS$41),IF($NP$41="Single_Point",IF(200=$NR$41,$NN$41,0),IF($NP$41="Bell_Curve",$NN$41*(200-$NR$41+1)*($NS$41-200+1)/$NU$41,$NN$41/$NT$41)),0)</f>
        <v/>
      </c>
      <c r="GW41" s="402">
        <f>IF(AND(201&gt;=$NR$41,201&lt;=$NS$41),IF($NP$41="Single_Point",IF(201=$NR$41,$NN$41,0),IF($NP$41="Bell_Curve",$NN$41*(201-$NR$41+1)*($NS$41-201+1)/$NU$41,$NN$41/$NT$41)),0)</f>
        <v/>
      </c>
      <c r="GX41" s="402">
        <f>IF(AND(202&gt;=$NR$41,202&lt;=$NS$41),IF($NP$41="Single_Point",IF(202=$NR$41,$NN$41,0),IF($NP$41="Bell_Curve",$NN$41*(202-$NR$41+1)*($NS$41-202+1)/$NU$41,$NN$41/$NT$41)),0)</f>
        <v/>
      </c>
      <c r="GY41" s="402">
        <f>IF(AND(203&gt;=$NR$41,203&lt;=$NS$41),IF($NP$41="Single_Point",IF(203=$NR$41,$NN$41,0),IF($NP$41="Bell_Curve",$NN$41*(203-$NR$41+1)*($NS$41-203+1)/$NU$41,$NN$41/$NT$41)),0)</f>
        <v/>
      </c>
      <c r="GZ41" s="402">
        <f>IF(AND(204&gt;=$NR$41,204&lt;=$NS$41),IF($NP$41="Single_Point",IF(204=$NR$41,$NN$41,0),IF($NP$41="Bell_Curve",$NN$41*(204-$NR$41+1)*($NS$41-204+1)/$NU$41,$NN$41/$NT$41)),0)</f>
        <v/>
      </c>
      <c r="HA41" s="402">
        <f>IF(AND(205&gt;=$NR$41,205&lt;=$NS$41),IF($NP$41="Single_Point",IF(205=$NR$41,$NN$41,0),IF($NP$41="Bell_Curve",$NN$41*(205-$NR$41+1)*($NS$41-205+1)/$NU$41,$NN$41/$NT$41)),0)</f>
        <v/>
      </c>
      <c r="HB41" s="402">
        <f>IF(AND(206&gt;=$NR$41,206&lt;=$NS$41),IF($NP$41="Single_Point",IF(206=$NR$41,$NN$41,0),IF($NP$41="Bell_Curve",$NN$41*(206-$NR$41+1)*($NS$41-206+1)/$NU$41,$NN$41/$NT$41)),0)</f>
        <v/>
      </c>
      <c r="HC41" s="402">
        <f>IF(AND(207&gt;=$NR$41,207&lt;=$NS$41),IF($NP$41="Single_Point",IF(207=$NR$41,$NN$41,0),IF($NP$41="Bell_Curve",$NN$41*(207-$NR$41+1)*($NS$41-207+1)/$NU$41,$NN$41/$NT$41)),0)</f>
        <v/>
      </c>
      <c r="HD41" s="402">
        <f>IF(AND(208&gt;=$NR$41,208&lt;=$NS$41),IF($NP$41="Single_Point",IF(208=$NR$41,$NN$41,0),IF($NP$41="Bell_Curve",$NN$41*(208-$NR$41+1)*($NS$41-208+1)/$NU$41,$NN$41/$NT$41)),0)</f>
        <v/>
      </c>
      <c r="HE41" s="402">
        <f>IF(AND(209&gt;=$NR$41,209&lt;=$NS$41),IF($NP$41="Single_Point",IF(209=$NR$41,$NN$41,0),IF($NP$41="Bell_Curve",$NN$41*(209-$NR$41+1)*($NS$41-209+1)/$NU$41,$NN$41/$NT$41)),0)</f>
        <v/>
      </c>
      <c r="HF41" s="402">
        <f>IF(AND(210&gt;=$NR$41,210&lt;=$NS$41),IF($NP$41="Single_Point",IF(210=$NR$41,$NN$41,0),IF($NP$41="Bell_Curve",$NN$41*(210-$NR$41+1)*($NS$41-210+1)/$NU$41,$NN$41/$NT$41)),0)</f>
        <v/>
      </c>
      <c r="HG41" s="402">
        <f>IF(AND(211&gt;=$NR$41,211&lt;=$NS$41),IF($NP$41="Single_Point",IF(211=$NR$41,$NN$41,0),IF($NP$41="Bell_Curve",$NN$41*(211-$NR$41+1)*($NS$41-211+1)/$NU$41,$NN$41/$NT$41)),0)</f>
        <v/>
      </c>
      <c r="HH41" s="402">
        <f>IF(AND(212&gt;=$NR$41,212&lt;=$NS$41),IF($NP$41="Single_Point",IF(212=$NR$41,$NN$41,0),IF($NP$41="Bell_Curve",$NN$41*(212-$NR$41+1)*($NS$41-212+1)/$NU$41,$NN$41/$NT$41)),0)</f>
        <v/>
      </c>
      <c r="HI41" s="402">
        <f>IF(AND(213&gt;=$NR$41,213&lt;=$NS$41),IF($NP$41="Single_Point",IF(213=$NR$41,$NN$41,0),IF($NP$41="Bell_Curve",$NN$41*(213-$NR$41+1)*($NS$41-213+1)/$NU$41,$NN$41/$NT$41)),0)</f>
        <v/>
      </c>
      <c r="HJ41" s="402">
        <f>IF(AND(214&gt;=$NR$41,214&lt;=$NS$41),IF($NP$41="Single_Point",IF(214=$NR$41,$NN$41,0),IF($NP$41="Bell_Curve",$NN$41*(214-$NR$41+1)*($NS$41-214+1)/$NU$41,$NN$41/$NT$41)),0)</f>
        <v/>
      </c>
      <c r="HK41" s="402">
        <f>IF(AND(215&gt;=$NR$41,215&lt;=$NS$41),IF($NP$41="Single_Point",IF(215=$NR$41,$NN$41,0),IF($NP$41="Bell_Curve",$NN$41*(215-$NR$41+1)*($NS$41-215+1)/$NU$41,$NN$41/$NT$41)),0)</f>
        <v/>
      </c>
      <c r="HL41" s="402">
        <f>IF(AND(216&gt;=$NR$41,216&lt;=$NS$41),IF($NP$41="Single_Point",IF(216=$NR$41,$NN$41,0),IF($NP$41="Bell_Curve",$NN$41*(216-$NR$41+1)*($NS$41-216+1)/$NU$41,$NN$41/$NT$41)),0)</f>
        <v/>
      </c>
      <c r="HM41" s="402">
        <f>IF(AND(217&gt;=$NR$41,217&lt;=$NS$41),IF($NP$41="Single_Point",IF(217=$NR$41,$NN$41,0),IF($NP$41="Bell_Curve",$NN$41*(217-$NR$41+1)*($NS$41-217+1)/$NU$41,$NN$41/$NT$41)),0)</f>
        <v/>
      </c>
      <c r="HN41" s="402">
        <f>IF(AND(218&gt;=$NR$41,218&lt;=$NS$41),IF($NP$41="Single_Point",IF(218=$NR$41,$NN$41,0),IF($NP$41="Bell_Curve",$NN$41*(218-$NR$41+1)*($NS$41-218+1)/$NU$41,$NN$41/$NT$41)),0)</f>
        <v/>
      </c>
      <c r="HO41" s="402">
        <f>IF(AND(219&gt;=$NR$41,219&lt;=$NS$41),IF($NP$41="Single_Point",IF(219=$NR$41,$NN$41,0),IF($NP$41="Bell_Curve",$NN$41*(219-$NR$41+1)*($NS$41-219+1)/$NU$41,$NN$41/$NT$41)),0)</f>
        <v/>
      </c>
      <c r="HP41" s="402">
        <f>IF(AND(220&gt;=$NR$41,220&lt;=$NS$41),IF($NP$41="Single_Point",IF(220=$NR$41,$NN$41,0),IF($NP$41="Bell_Curve",$NN$41*(220-$NR$41+1)*($NS$41-220+1)/$NU$41,$NN$41/$NT$41)),0)</f>
        <v/>
      </c>
      <c r="HQ41" s="402">
        <f>IF(AND(221&gt;=$NR$41,221&lt;=$NS$41),IF($NP$41="Single_Point",IF(221=$NR$41,$NN$41,0),IF($NP$41="Bell_Curve",$NN$41*(221-$NR$41+1)*($NS$41-221+1)/$NU$41,$NN$41/$NT$41)),0)</f>
        <v/>
      </c>
      <c r="HR41" s="402">
        <f>IF(AND(222&gt;=$NR$41,222&lt;=$NS$41),IF($NP$41="Single_Point",IF(222=$NR$41,$NN$41,0),IF($NP$41="Bell_Curve",$NN$41*(222-$NR$41+1)*($NS$41-222+1)/$NU$41,$NN$41/$NT$41)),0)</f>
        <v/>
      </c>
      <c r="HS41" s="402">
        <f>IF(AND(223&gt;=$NR$41,223&lt;=$NS$41),IF($NP$41="Single_Point",IF(223=$NR$41,$NN$41,0),IF($NP$41="Bell_Curve",$NN$41*(223-$NR$41+1)*($NS$41-223+1)/$NU$41,$NN$41/$NT$41)),0)</f>
        <v/>
      </c>
      <c r="HT41" s="402">
        <f>IF(AND(224&gt;=$NR$41,224&lt;=$NS$41),IF($NP$41="Single_Point",IF(224=$NR$41,$NN$41,0),IF($NP$41="Bell_Curve",$NN$41*(224-$NR$41+1)*($NS$41-224+1)/$NU$41,$NN$41/$NT$41)),0)</f>
        <v/>
      </c>
      <c r="HU41" s="402">
        <f>IF(AND(225&gt;=$NR$41,225&lt;=$NS$41),IF($NP$41="Single_Point",IF(225=$NR$41,$NN$41,0),IF($NP$41="Bell_Curve",$NN$41*(225-$NR$41+1)*($NS$41-225+1)/$NU$41,$NN$41/$NT$41)),0)</f>
        <v/>
      </c>
      <c r="HV41" s="402">
        <f>IF(AND(226&gt;=$NR$41,226&lt;=$NS$41),IF($NP$41="Single_Point",IF(226=$NR$41,$NN$41,0),IF($NP$41="Bell_Curve",$NN$41*(226-$NR$41+1)*($NS$41-226+1)/$NU$41,$NN$41/$NT$41)),0)</f>
        <v/>
      </c>
      <c r="HW41" s="402">
        <f>IF(AND(227&gt;=$NR$41,227&lt;=$NS$41),IF($NP$41="Single_Point",IF(227=$NR$41,$NN$41,0),IF($NP$41="Bell_Curve",$NN$41*(227-$NR$41+1)*($NS$41-227+1)/$NU$41,$NN$41/$NT$41)),0)</f>
        <v/>
      </c>
      <c r="HX41" s="402">
        <f>IF(AND(228&gt;=$NR$41,228&lt;=$NS$41),IF($NP$41="Single_Point",IF(228=$NR$41,$NN$41,0),IF($NP$41="Bell_Curve",$NN$41*(228-$NR$41+1)*($NS$41-228+1)/$NU$41,$NN$41/$NT$41)),0)</f>
        <v/>
      </c>
      <c r="HY41" s="402">
        <f>IF(AND(229&gt;=$NR$41,229&lt;=$NS$41),IF($NP$41="Single_Point",IF(229=$NR$41,$NN$41,0),IF($NP$41="Bell_Curve",$NN$41*(229-$NR$41+1)*($NS$41-229+1)/$NU$41,$NN$41/$NT$41)),0)</f>
        <v/>
      </c>
      <c r="HZ41" s="402">
        <f>IF(AND(230&gt;=$NR$41,230&lt;=$NS$41),IF($NP$41="Single_Point",IF(230=$NR$41,$NN$41,0),IF($NP$41="Bell_Curve",$NN$41*(230-$NR$41+1)*($NS$41-230+1)/$NU$41,$NN$41/$NT$41)),0)</f>
        <v/>
      </c>
      <c r="IA41" s="402">
        <f>IF(AND(231&gt;=$NR$41,231&lt;=$NS$41),IF($NP$41="Single_Point",IF(231=$NR$41,$NN$41,0),IF($NP$41="Bell_Curve",$NN$41*(231-$NR$41+1)*($NS$41-231+1)/$NU$41,$NN$41/$NT$41)),0)</f>
        <v/>
      </c>
      <c r="IB41" s="402">
        <f>IF(AND(232&gt;=$NR$41,232&lt;=$NS$41),IF($NP$41="Single_Point",IF(232=$NR$41,$NN$41,0),IF($NP$41="Bell_Curve",$NN$41*(232-$NR$41+1)*($NS$41-232+1)/$NU$41,$NN$41/$NT$41)),0)</f>
        <v/>
      </c>
      <c r="IC41" s="402">
        <f>IF(AND(233&gt;=$NR$41,233&lt;=$NS$41),IF($NP$41="Single_Point",IF(233=$NR$41,$NN$41,0),IF($NP$41="Bell_Curve",$NN$41*(233-$NR$41+1)*($NS$41-233+1)/$NU$41,$NN$41/$NT$41)),0)</f>
        <v/>
      </c>
      <c r="ID41" s="402">
        <f>IF(AND(234&gt;=$NR$41,234&lt;=$NS$41),IF($NP$41="Single_Point",IF(234=$NR$41,$NN$41,0),IF($NP$41="Bell_Curve",$NN$41*(234-$NR$41+1)*($NS$41-234+1)/$NU$41,$NN$41/$NT$41)),0)</f>
        <v/>
      </c>
      <c r="IE41" s="402">
        <f>IF(AND(235&gt;=$NR$41,235&lt;=$NS$41),IF($NP$41="Single_Point",IF(235=$NR$41,$NN$41,0),IF($NP$41="Bell_Curve",$NN$41*(235-$NR$41+1)*($NS$41-235+1)/$NU$41,$NN$41/$NT$41)),0)</f>
        <v/>
      </c>
      <c r="IF41" s="402">
        <f>IF(AND(236&gt;=$NR$41,236&lt;=$NS$41),IF($NP$41="Single_Point",IF(236=$NR$41,$NN$41,0),IF($NP$41="Bell_Curve",$NN$41*(236-$NR$41+1)*($NS$41-236+1)/$NU$41,$NN$41/$NT$41)),0)</f>
        <v/>
      </c>
      <c r="IG41" s="402">
        <f>IF(AND(237&gt;=$NR$41,237&lt;=$NS$41),IF($NP$41="Single_Point",IF(237=$NR$41,$NN$41,0),IF($NP$41="Bell_Curve",$NN$41*(237-$NR$41+1)*($NS$41-237+1)/$NU$41,$NN$41/$NT$41)),0)</f>
        <v/>
      </c>
      <c r="IH41" s="402">
        <f>IF(AND(238&gt;=$NR$41,238&lt;=$NS$41),IF($NP$41="Single_Point",IF(238=$NR$41,$NN$41,0),IF($NP$41="Bell_Curve",$NN$41*(238-$NR$41+1)*($NS$41-238+1)/$NU$41,$NN$41/$NT$41)),0)</f>
        <v/>
      </c>
      <c r="II41" s="402">
        <f>IF(AND(239&gt;=$NR$41,239&lt;=$NS$41),IF($NP$41="Single_Point",IF(239=$NR$41,$NN$41,0),IF($NP$41="Bell_Curve",$NN$41*(239-$NR$41+1)*($NS$41-239+1)/$NU$41,$NN$41/$NT$41)),0)</f>
        <v/>
      </c>
      <c r="IJ41" s="402">
        <f>IF(AND(240&gt;=$NR$41,240&lt;=$NS$41),IF($NP$41="Single_Point",IF(240=$NR$41,$NN$41,0),IF($NP$41="Bell_Curve",$NN$41*(240-$NR$41+1)*($NS$41-240+1)/$NU$41,$NN$41/$NT$41)),0)</f>
        <v/>
      </c>
      <c r="IK41" s="402">
        <f>IF(AND(241&gt;=$NR$41,241&lt;=$NS$41),IF($NP$41="Single_Point",IF(241=$NR$41,$NN$41,0),IF($NP$41="Bell_Curve",$NN$41*(241-$NR$41+1)*($NS$41-241+1)/$NU$41,$NN$41/$NT$41)),0)</f>
        <v/>
      </c>
      <c r="IL41" s="402">
        <f>IF(AND(242&gt;=$NR$41,242&lt;=$NS$41),IF($NP$41="Single_Point",IF(242=$NR$41,$NN$41,0),IF($NP$41="Bell_Curve",$NN$41*(242-$NR$41+1)*($NS$41-242+1)/$NU$41,$NN$41/$NT$41)),0)</f>
        <v/>
      </c>
      <c r="IM41" s="402">
        <f>IF(AND(243&gt;=$NR$41,243&lt;=$NS$41),IF($NP$41="Single_Point",IF(243=$NR$41,$NN$41,0),IF($NP$41="Bell_Curve",$NN$41*(243-$NR$41+1)*($NS$41-243+1)/$NU$41,$NN$41/$NT$41)),0)</f>
        <v/>
      </c>
      <c r="IN41" s="402">
        <f>IF(AND(244&gt;=$NR$41,244&lt;=$NS$41),IF($NP$41="Single_Point",IF(244=$NR$41,$NN$41,0),IF($NP$41="Bell_Curve",$NN$41*(244-$NR$41+1)*($NS$41-244+1)/$NU$41,$NN$41/$NT$41)),0)</f>
        <v/>
      </c>
      <c r="IO41" s="402">
        <f>IF(AND(245&gt;=$NR$41,245&lt;=$NS$41),IF($NP$41="Single_Point",IF(245=$NR$41,$NN$41,0),IF($NP$41="Bell_Curve",$NN$41*(245-$NR$41+1)*($NS$41-245+1)/$NU$41,$NN$41/$NT$41)),0)</f>
        <v/>
      </c>
      <c r="IP41" s="402">
        <f>IF(AND(246&gt;=$NR$41,246&lt;=$NS$41),IF($NP$41="Single_Point",IF(246=$NR$41,$NN$41,0),IF($NP$41="Bell_Curve",$NN$41*(246-$NR$41+1)*($NS$41-246+1)/$NU$41,$NN$41/$NT$41)),0)</f>
        <v/>
      </c>
      <c r="IQ41" s="402">
        <f>IF(AND(247&gt;=$NR$41,247&lt;=$NS$41),IF($NP$41="Single_Point",IF(247=$NR$41,$NN$41,0),IF($NP$41="Bell_Curve",$NN$41*(247-$NR$41+1)*($NS$41-247+1)/$NU$41,$NN$41/$NT$41)),0)</f>
        <v/>
      </c>
      <c r="IR41" s="402">
        <f>IF(AND(248&gt;=$NR$41,248&lt;=$NS$41),IF($NP$41="Single_Point",IF(248=$NR$41,$NN$41,0),IF($NP$41="Bell_Curve",$NN$41*(248-$NR$41+1)*($NS$41-248+1)/$NU$41,$NN$41/$NT$41)),0)</f>
        <v/>
      </c>
      <c r="IS41" s="402">
        <f>IF(AND(249&gt;=$NR$41,249&lt;=$NS$41),IF($NP$41="Single_Point",IF(249=$NR$41,$NN$41,0),IF($NP$41="Bell_Curve",$NN$41*(249-$NR$41+1)*($NS$41-249+1)/$NU$41,$NN$41/$NT$41)),0)</f>
        <v/>
      </c>
      <c r="IT41" s="402">
        <f>IF(AND(250&gt;=$NR$41,250&lt;=$NS$41),IF($NP$41="Single_Point",IF(250=$NR$41,$NN$41,0),IF($NP$41="Bell_Curve",$NN$41*(250-$NR$41+1)*($NS$41-250+1)/$NU$41,$NN$41/$NT$41)),0)</f>
        <v/>
      </c>
      <c r="IU41" s="402">
        <f>IF(AND(251&gt;=$NR$41,251&lt;=$NS$41),IF($NP$41="Single_Point",IF(251=$NR$41,$NN$41,0),IF($NP$41="Bell_Curve",$NN$41*(251-$NR$41+1)*($NS$41-251+1)/$NU$41,$NN$41/$NT$41)),0)</f>
        <v/>
      </c>
      <c r="IV41" s="402">
        <f>IF(AND(252&gt;=$NR$41,252&lt;=$NS$41),IF($NP$41="Single_Point",IF(252=$NR$41,$NN$41,0),IF($NP$41="Bell_Curve",$NN$41*(252-$NR$41+1)*($NS$41-252+1)/$NU$41,$NN$41/$NT$41)),0)</f>
        <v/>
      </c>
      <c r="IW41" s="402">
        <f>IF(AND(253&gt;=$NR$41,253&lt;=$NS$41),IF($NP$41="Single_Point",IF(253=$NR$41,$NN$41,0),IF($NP$41="Bell_Curve",$NN$41*(253-$NR$41+1)*($NS$41-253+1)/$NU$41,$NN$41/$NT$41)),0)</f>
        <v/>
      </c>
      <c r="IX41" s="402">
        <f>IF(AND(254&gt;=$NR$41,254&lt;=$NS$41),IF($NP$41="Single_Point",IF(254=$NR$41,$NN$41,0),IF($NP$41="Bell_Curve",$NN$41*(254-$NR$41+1)*($NS$41-254+1)/$NU$41,$NN$41/$NT$41)),0)</f>
        <v/>
      </c>
      <c r="IY41" s="402">
        <f>IF(AND(255&gt;=$NR$41,255&lt;=$NS$41),IF($NP$41="Single_Point",IF(255=$NR$41,$NN$41,0),IF($NP$41="Bell_Curve",$NN$41*(255-$NR$41+1)*($NS$41-255+1)/$NU$41,$NN$41/$NT$41)),0)</f>
        <v/>
      </c>
      <c r="IZ41" s="402">
        <f>IF(AND(256&gt;=$NR$41,256&lt;=$NS$41),IF($NP$41="Single_Point",IF(256=$NR$41,$NN$41,0),IF($NP$41="Bell_Curve",$NN$41*(256-$NR$41+1)*($NS$41-256+1)/$NU$41,$NN$41/$NT$41)),0)</f>
        <v/>
      </c>
      <c r="JA41" s="402">
        <f>IF(AND(257&gt;=$NR$41,257&lt;=$NS$41),IF($NP$41="Single_Point",IF(257=$NR$41,$NN$41,0),IF($NP$41="Bell_Curve",$NN$41*(257-$NR$41+1)*($NS$41-257+1)/$NU$41,$NN$41/$NT$41)),0)</f>
        <v/>
      </c>
      <c r="JB41" s="402">
        <f>IF(AND(258&gt;=$NR$41,258&lt;=$NS$41),IF($NP$41="Single_Point",IF(258=$NR$41,$NN$41,0),IF($NP$41="Bell_Curve",$NN$41*(258-$NR$41+1)*($NS$41-258+1)/$NU$41,$NN$41/$NT$41)),0)</f>
        <v/>
      </c>
      <c r="JC41" s="402">
        <f>IF(AND(259&gt;=$NR$41,259&lt;=$NS$41),IF($NP$41="Single_Point",IF(259=$NR$41,$NN$41,0),IF($NP$41="Bell_Curve",$NN$41*(259-$NR$41+1)*($NS$41-259+1)/$NU$41,$NN$41/$NT$41)),0)</f>
        <v/>
      </c>
      <c r="JD41" s="402">
        <f>IF(AND(260&gt;=$NR$41,260&lt;=$NS$41),IF($NP$41="Single_Point",IF(260=$NR$41,$NN$41,0),IF($NP$41="Bell_Curve",$NN$41*(260-$NR$41+1)*($NS$41-260+1)/$NU$41,$NN$41/$NT$41)),0)</f>
        <v/>
      </c>
      <c r="JE41" s="402">
        <f>IF(AND(261&gt;=$NR$41,261&lt;=$NS$41),IF($NP$41="Single_Point",IF(261=$NR$41,$NN$41,0),IF($NP$41="Bell_Curve",$NN$41*(261-$NR$41+1)*($NS$41-261+1)/$NU$41,$NN$41/$NT$41)),0)</f>
        <v/>
      </c>
      <c r="JF41" s="402">
        <f>IF(AND(262&gt;=$NR$41,262&lt;=$NS$41),IF($NP$41="Single_Point",IF(262=$NR$41,$NN$41,0),IF($NP$41="Bell_Curve",$NN$41*(262-$NR$41+1)*($NS$41-262+1)/$NU$41,$NN$41/$NT$41)),0)</f>
        <v/>
      </c>
      <c r="JG41" s="402">
        <f>IF(AND(263&gt;=$NR$41,263&lt;=$NS$41),IF($NP$41="Single_Point",IF(263=$NR$41,$NN$41,0),IF($NP$41="Bell_Curve",$NN$41*(263-$NR$41+1)*($NS$41-263+1)/$NU$41,$NN$41/$NT$41)),0)</f>
        <v/>
      </c>
      <c r="JH41" s="402">
        <f>IF(AND(264&gt;=$NR$41,264&lt;=$NS$41),IF($NP$41="Single_Point",IF(264=$NR$41,$NN$41,0),IF($NP$41="Bell_Curve",$NN$41*(264-$NR$41+1)*($NS$41-264+1)/$NU$41,$NN$41/$NT$41)),0)</f>
        <v/>
      </c>
      <c r="JI41" s="402">
        <f>IF(AND(265&gt;=$NR$41,265&lt;=$NS$41),IF($NP$41="Single_Point",IF(265=$NR$41,$NN$41,0),IF($NP$41="Bell_Curve",$NN$41*(265-$NR$41+1)*($NS$41-265+1)/$NU$41,$NN$41/$NT$41)),0)</f>
        <v/>
      </c>
      <c r="JJ41" s="402">
        <f>IF(AND(266&gt;=$NR$41,266&lt;=$NS$41),IF($NP$41="Single_Point",IF(266=$NR$41,$NN$41,0),IF($NP$41="Bell_Curve",$NN$41*(266-$NR$41+1)*($NS$41-266+1)/$NU$41,$NN$41/$NT$41)),0)</f>
        <v/>
      </c>
      <c r="JK41" s="402">
        <f>IF(AND(267&gt;=$NR$41,267&lt;=$NS$41),IF($NP$41="Single_Point",IF(267=$NR$41,$NN$41,0),IF($NP$41="Bell_Curve",$NN$41*(267-$NR$41+1)*($NS$41-267+1)/$NU$41,$NN$41/$NT$41)),0)</f>
        <v/>
      </c>
      <c r="JL41" s="402">
        <f>IF(AND(268&gt;=$NR$41,268&lt;=$NS$41),IF($NP$41="Single_Point",IF(268=$NR$41,$NN$41,0),IF($NP$41="Bell_Curve",$NN$41*(268-$NR$41+1)*($NS$41-268+1)/$NU$41,$NN$41/$NT$41)),0)</f>
        <v/>
      </c>
      <c r="JM41" s="402">
        <f>IF(AND(269&gt;=$NR$41,269&lt;=$NS$41),IF($NP$41="Single_Point",IF(269=$NR$41,$NN$41,0),IF($NP$41="Bell_Curve",$NN$41*(269-$NR$41+1)*($NS$41-269+1)/$NU$41,$NN$41/$NT$41)),0)</f>
        <v/>
      </c>
      <c r="JN41" s="402">
        <f>IF(AND(270&gt;=$NR$41,270&lt;=$NS$41),IF($NP$41="Single_Point",IF(270=$NR$41,$NN$41,0),IF($NP$41="Bell_Curve",$NN$41*(270-$NR$41+1)*($NS$41-270+1)/$NU$41,$NN$41/$NT$41)),0)</f>
        <v/>
      </c>
      <c r="JO41" s="402">
        <f>IF(AND(271&gt;=$NR$41,271&lt;=$NS$41),IF($NP$41="Single_Point",IF(271=$NR$41,$NN$41,0),IF($NP$41="Bell_Curve",$NN$41*(271-$NR$41+1)*($NS$41-271+1)/$NU$41,$NN$41/$NT$41)),0)</f>
        <v/>
      </c>
      <c r="JP41" s="402">
        <f>IF(AND(272&gt;=$NR$41,272&lt;=$NS$41),IF($NP$41="Single_Point",IF(272=$NR$41,$NN$41,0),IF($NP$41="Bell_Curve",$NN$41*(272-$NR$41+1)*($NS$41-272+1)/$NU$41,$NN$41/$NT$41)),0)</f>
        <v/>
      </c>
      <c r="JQ41" s="402">
        <f>IF(AND(273&gt;=$NR$41,273&lt;=$NS$41),IF($NP$41="Single_Point",IF(273=$NR$41,$NN$41,0),IF($NP$41="Bell_Curve",$NN$41*(273-$NR$41+1)*($NS$41-273+1)/$NU$41,$NN$41/$NT$41)),0)</f>
        <v/>
      </c>
      <c r="JR41" s="402">
        <f>IF(AND(274&gt;=$NR$41,274&lt;=$NS$41),IF($NP$41="Single_Point",IF(274=$NR$41,$NN$41,0),IF($NP$41="Bell_Curve",$NN$41*(274-$NR$41+1)*($NS$41-274+1)/$NU$41,$NN$41/$NT$41)),0)</f>
        <v/>
      </c>
      <c r="JS41" s="402">
        <f>IF(AND(275&gt;=$NR$41,275&lt;=$NS$41),IF($NP$41="Single_Point",IF(275=$NR$41,$NN$41,0),IF($NP$41="Bell_Curve",$NN$41*(275-$NR$41+1)*($NS$41-275+1)/$NU$41,$NN$41/$NT$41)),0)</f>
        <v/>
      </c>
      <c r="JT41" s="402">
        <f>IF(AND(276&gt;=$NR$41,276&lt;=$NS$41),IF($NP$41="Single_Point",IF(276=$NR$41,$NN$41,0),IF($NP$41="Bell_Curve",$NN$41*(276-$NR$41+1)*($NS$41-276+1)/$NU$41,$NN$41/$NT$41)),0)</f>
        <v/>
      </c>
      <c r="JU41" s="402">
        <f>IF(AND(277&gt;=$NR$41,277&lt;=$NS$41),IF($NP$41="Single_Point",IF(277=$NR$41,$NN$41,0),IF($NP$41="Bell_Curve",$NN$41*(277-$NR$41+1)*($NS$41-277+1)/$NU$41,$NN$41/$NT$41)),0)</f>
        <v/>
      </c>
      <c r="JV41" s="402">
        <f>IF(AND(278&gt;=$NR$41,278&lt;=$NS$41),IF($NP$41="Single_Point",IF(278=$NR$41,$NN$41,0),IF($NP$41="Bell_Curve",$NN$41*(278-$NR$41+1)*($NS$41-278+1)/$NU$41,$NN$41/$NT$41)),0)</f>
        <v/>
      </c>
      <c r="JW41" s="402">
        <f>IF(AND(279&gt;=$NR$41,279&lt;=$NS$41),IF($NP$41="Single_Point",IF(279=$NR$41,$NN$41,0),IF($NP$41="Bell_Curve",$NN$41*(279-$NR$41+1)*($NS$41-279+1)/$NU$41,$NN$41/$NT$41)),0)</f>
        <v/>
      </c>
      <c r="JX41" s="402">
        <f>IF(AND(280&gt;=$NR$41,280&lt;=$NS$41),IF($NP$41="Single_Point",IF(280=$NR$41,$NN$41,0),IF($NP$41="Bell_Curve",$NN$41*(280-$NR$41+1)*($NS$41-280+1)/$NU$41,$NN$41/$NT$41)),0)</f>
        <v/>
      </c>
      <c r="JY41" s="402">
        <f>IF(AND(281&gt;=$NR$41,281&lt;=$NS$41),IF($NP$41="Single_Point",IF(281=$NR$41,$NN$41,0),IF($NP$41="Bell_Curve",$NN$41*(281-$NR$41+1)*($NS$41-281+1)/$NU$41,$NN$41/$NT$41)),0)</f>
        <v/>
      </c>
      <c r="JZ41" s="402">
        <f>IF(AND(282&gt;=$NR$41,282&lt;=$NS$41),IF($NP$41="Single_Point",IF(282=$NR$41,$NN$41,0),IF($NP$41="Bell_Curve",$NN$41*(282-$NR$41+1)*($NS$41-282+1)/$NU$41,$NN$41/$NT$41)),0)</f>
        <v/>
      </c>
      <c r="KA41" s="402">
        <f>IF(AND(283&gt;=$NR$41,283&lt;=$NS$41),IF($NP$41="Single_Point",IF(283=$NR$41,$NN$41,0),IF($NP$41="Bell_Curve",$NN$41*(283-$NR$41+1)*($NS$41-283+1)/$NU$41,$NN$41/$NT$41)),0)</f>
        <v/>
      </c>
      <c r="KB41" s="402">
        <f>IF(AND(284&gt;=$NR$41,284&lt;=$NS$41),IF($NP$41="Single_Point",IF(284=$NR$41,$NN$41,0),IF($NP$41="Bell_Curve",$NN$41*(284-$NR$41+1)*($NS$41-284+1)/$NU$41,$NN$41/$NT$41)),0)</f>
        <v/>
      </c>
      <c r="KC41" s="402">
        <f>IF(AND(285&gt;=$NR$41,285&lt;=$NS$41),IF($NP$41="Single_Point",IF(285=$NR$41,$NN$41,0),IF($NP$41="Bell_Curve",$NN$41*(285-$NR$41+1)*($NS$41-285+1)/$NU$41,$NN$41/$NT$41)),0)</f>
        <v/>
      </c>
      <c r="KD41" s="402">
        <f>IF(AND(286&gt;=$NR$41,286&lt;=$NS$41),IF($NP$41="Single_Point",IF(286=$NR$41,$NN$41,0),IF($NP$41="Bell_Curve",$NN$41*(286-$NR$41+1)*($NS$41-286+1)/$NU$41,$NN$41/$NT$41)),0)</f>
        <v/>
      </c>
      <c r="KE41" s="402">
        <f>IF(AND(287&gt;=$NR$41,287&lt;=$NS$41),IF($NP$41="Single_Point",IF(287=$NR$41,$NN$41,0),IF($NP$41="Bell_Curve",$NN$41*(287-$NR$41+1)*($NS$41-287+1)/$NU$41,$NN$41/$NT$41)),0)</f>
        <v/>
      </c>
      <c r="KF41" s="402">
        <f>IF(AND(288&gt;=$NR$41,288&lt;=$NS$41),IF($NP$41="Single_Point",IF(288=$NR$41,$NN$41,0),IF($NP$41="Bell_Curve",$NN$41*(288-$NR$41+1)*($NS$41-288+1)/$NU$41,$NN$41/$NT$41)),0)</f>
        <v/>
      </c>
      <c r="KG41" s="402">
        <f>IF(AND(289&gt;=$NR$41,289&lt;=$NS$41),IF($NP$41="Single_Point",IF(289=$NR$41,$NN$41,0),IF($NP$41="Bell_Curve",$NN$41*(289-$NR$41+1)*($NS$41-289+1)/$NU$41,$NN$41/$NT$41)),0)</f>
        <v/>
      </c>
      <c r="KH41" s="402">
        <f>IF(AND(290&gt;=$NR$41,290&lt;=$NS$41),IF($NP$41="Single_Point",IF(290=$NR$41,$NN$41,0),IF($NP$41="Bell_Curve",$NN$41*(290-$NR$41+1)*($NS$41-290+1)/$NU$41,$NN$41/$NT$41)),0)</f>
        <v/>
      </c>
      <c r="KI41" s="402">
        <f>IF(AND(291&gt;=$NR$41,291&lt;=$NS$41),IF($NP$41="Single_Point",IF(291=$NR$41,$NN$41,0),IF($NP$41="Bell_Curve",$NN$41*(291-$NR$41+1)*($NS$41-291+1)/$NU$41,$NN$41/$NT$41)),0)</f>
        <v/>
      </c>
      <c r="KJ41" s="402">
        <f>IF(AND(292&gt;=$NR$41,292&lt;=$NS$41),IF($NP$41="Single_Point",IF(292=$NR$41,$NN$41,0),IF($NP$41="Bell_Curve",$NN$41*(292-$NR$41+1)*($NS$41-292+1)/$NU$41,$NN$41/$NT$41)),0)</f>
        <v/>
      </c>
      <c r="KK41" s="402">
        <f>IF(AND(293&gt;=$NR$41,293&lt;=$NS$41),IF($NP$41="Single_Point",IF(293=$NR$41,$NN$41,0),IF($NP$41="Bell_Curve",$NN$41*(293-$NR$41+1)*($NS$41-293+1)/$NU$41,$NN$41/$NT$41)),0)</f>
        <v/>
      </c>
      <c r="KL41" s="402">
        <f>IF(AND(294&gt;=$NR$41,294&lt;=$NS$41),IF($NP$41="Single_Point",IF(294=$NR$41,$NN$41,0),IF($NP$41="Bell_Curve",$NN$41*(294-$NR$41+1)*($NS$41-294+1)/$NU$41,$NN$41/$NT$41)),0)</f>
        <v/>
      </c>
      <c r="KM41" s="402">
        <f>IF(AND(295&gt;=$NR$41,295&lt;=$NS$41),IF($NP$41="Single_Point",IF(295=$NR$41,$NN$41,0),IF($NP$41="Bell_Curve",$NN$41*(295-$NR$41+1)*($NS$41-295+1)/$NU$41,$NN$41/$NT$41)),0)</f>
        <v/>
      </c>
      <c r="KN41" s="402">
        <f>IF(AND(296&gt;=$NR$41,296&lt;=$NS$41),IF($NP$41="Single_Point",IF(296=$NR$41,$NN$41,0),IF($NP$41="Bell_Curve",$NN$41*(296-$NR$41+1)*($NS$41-296+1)/$NU$41,$NN$41/$NT$41)),0)</f>
        <v/>
      </c>
      <c r="KO41" s="402">
        <f>IF(AND(297&gt;=$NR$41,297&lt;=$NS$41),IF($NP$41="Single_Point",IF(297=$NR$41,$NN$41,0),IF($NP$41="Bell_Curve",$NN$41*(297-$NR$41+1)*($NS$41-297+1)/$NU$41,$NN$41/$NT$41)),0)</f>
        <v/>
      </c>
      <c r="KP41" s="402">
        <f>IF(AND(298&gt;=$NR$41,298&lt;=$NS$41),IF($NP$41="Single_Point",IF(298=$NR$41,$NN$41,0),IF($NP$41="Bell_Curve",$NN$41*(298-$NR$41+1)*($NS$41-298+1)/$NU$41,$NN$41/$NT$41)),0)</f>
        <v/>
      </c>
      <c r="KQ41" s="402">
        <f>IF(AND(299&gt;=$NR$41,299&lt;=$NS$41),IF($NP$41="Single_Point",IF(299=$NR$41,$NN$41,0),IF($NP$41="Bell_Curve",$NN$41*(299-$NR$41+1)*($NS$41-299+1)/$NU$41,$NN$41/$NT$41)),0)</f>
        <v/>
      </c>
      <c r="KR41" s="402">
        <f>IF(AND(300&gt;=$NR$41,300&lt;=$NS$41),IF($NP$41="Single_Point",IF(300=$NR$41,$NN$41,0),IF($NP$41="Bell_Curve",$NN$41*(300-$NR$41+1)*($NS$41-300+1)/$NU$41,$NN$41/$NT$41)),0)</f>
        <v/>
      </c>
      <c r="KS41" s="402">
        <f>IF(AND(301&gt;=$NR$41,301&lt;=$NS$41),IF($NP$41="Single_Point",IF(301=$NR$41,$NN$41,0),IF($NP$41="Bell_Curve",$NN$41*(301-$NR$41+1)*($NS$41-301+1)/$NU$41,$NN$41/$NT$41)),0)</f>
        <v/>
      </c>
      <c r="KT41" s="402">
        <f>IF(AND(302&gt;=$NR$41,302&lt;=$NS$41),IF($NP$41="Single_Point",IF(302=$NR$41,$NN$41,0),IF($NP$41="Bell_Curve",$NN$41*(302-$NR$41+1)*($NS$41-302+1)/$NU$41,$NN$41/$NT$41)),0)</f>
        <v/>
      </c>
      <c r="KU41" s="402">
        <f>IF(AND(303&gt;=$NR$41,303&lt;=$NS$41),IF($NP$41="Single_Point",IF(303=$NR$41,$NN$41,0),IF($NP$41="Bell_Curve",$NN$41*(303-$NR$41+1)*($NS$41-303+1)/$NU$41,$NN$41/$NT$41)),0)</f>
        <v/>
      </c>
      <c r="KV41" s="402">
        <f>IF(AND(304&gt;=$NR$41,304&lt;=$NS$41),IF($NP$41="Single_Point",IF(304=$NR$41,$NN$41,0),IF($NP$41="Bell_Curve",$NN$41*(304-$NR$41+1)*($NS$41-304+1)/$NU$41,$NN$41/$NT$41)),0)</f>
        <v/>
      </c>
      <c r="KW41" s="402">
        <f>IF(AND(305&gt;=$NR$41,305&lt;=$NS$41),IF($NP$41="Single_Point",IF(305=$NR$41,$NN$41,0),IF($NP$41="Bell_Curve",$NN$41*(305-$NR$41+1)*($NS$41-305+1)/$NU$41,$NN$41/$NT$41)),0)</f>
        <v/>
      </c>
      <c r="KX41" s="402">
        <f>IF(AND(306&gt;=$NR$41,306&lt;=$NS$41),IF($NP$41="Single_Point",IF(306=$NR$41,$NN$41,0),IF($NP$41="Bell_Curve",$NN$41*(306-$NR$41+1)*($NS$41-306+1)/$NU$41,$NN$41/$NT$41)),0)</f>
        <v/>
      </c>
      <c r="KY41" s="402">
        <f>IF(AND(307&gt;=$NR$41,307&lt;=$NS$41),IF($NP$41="Single_Point",IF(307=$NR$41,$NN$41,0),IF($NP$41="Bell_Curve",$NN$41*(307-$NR$41+1)*($NS$41-307+1)/$NU$41,$NN$41/$NT$41)),0)</f>
        <v/>
      </c>
      <c r="KZ41" s="402">
        <f>IF(AND(308&gt;=$NR$41,308&lt;=$NS$41),IF($NP$41="Single_Point",IF(308=$NR$41,$NN$41,0),IF($NP$41="Bell_Curve",$NN$41*(308-$NR$41+1)*($NS$41-308+1)/$NU$41,$NN$41/$NT$41)),0)</f>
        <v/>
      </c>
      <c r="LA41" s="402">
        <f>IF(AND(309&gt;=$NR$41,309&lt;=$NS$41),IF($NP$41="Single_Point",IF(309=$NR$41,$NN$41,0),IF($NP$41="Bell_Curve",$NN$41*(309-$NR$41+1)*($NS$41-309+1)/$NU$41,$NN$41/$NT$41)),0)</f>
        <v/>
      </c>
      <c r="LB41" s="402">
        <f>IF(AND(310&gt;=$NR$41,310&lt;=$NS$41),IF($NP$41="Single_Point",IF(310=$NR$41,$NN$41,0),IF($NP$41="Bell_Curve",$NN$41*(310-$NR$41+1)*($NS$41-310+1)/$NU$41,$NN$41/$NT$41)),0)</f>
        <v/>
      </c>
      <c r="LC41" s="402">
        <f>IF(AND(311&gt;=$NR$41,311&lt;=$NS$41),IF($NP$41="Single_Point",IF(311=$NR$41,$NN$41,0),IF($NP$41="Bell_Curve",$NN$41*(311-$NR$41+1)*($NS$41-311+1)/$NU$41,$NN$41/$NT$41)),0)</f>
        <v/>
      </c>
      <c r="LD41" s="402">
        <f>IF(AND(312&gt;=$NR$41,312&lt;=$NS$41),IF($NP$41="Single_Point",IF(312=$NR$41,$NN$41,0),IF($NP$41="Bell_Curve",$NN$41*(312-$NR$41+1)*($NS$41-312+1)/$NU$41,$NN$41/$NT$41)),0)</f>
        <v/>
      </c>
      <c r="LE41" s="402">
        <f>IF(AND(313&gt;=$NR$41,313&lt;=$NS$41),IF($NP$41="Single_Point",IF(313=$NR$41,$NN$41,0),IF($NP$41="Bell_Curve",$NN$41*(313-$NR$41+1)*($NS$41-313+1)/$NU$41,$NN$41/$NT$41)),0)</f>
        <v/>
      </c>
      <c r="LF41" s="402">
        <f>IF(AND(314&gt;=$NR$41,314&lt;=$NS$41),IF($NP$41="Single_Point",IF(314=$NR$41,$NN$41,0),IF($NP$41="Bell_Curve",$NN$41*(314-$NR$41+1)*($NS$41-314+1)/$NU$41,$NN$41/$NT$41)),0)</f>
        <v/>
      </c>
      <c r="LG41" s="402">
        <f>IF(AND(315&gt;=$NR$41,315&lt;=$NS$41),IF($NP$41="Single_Point",IF(315=$NR$41,$NN$41,0),IF($NP$41="Bell_Curve",$NN$41*(315-$NR$41+1)*($NS$41-315+1)/$NU$41,$NN$41/$NT$41)),0)</f>
        <v/>
      </c>
      <c r="LH41" s="402">
        <f>IF(AND(316&gt;=$NR$41,316&lt;=$NS$41),IF($NP$41="Single_Point",IF(316=$NR$41,$NN$41,0),IF($NP$41="Bell_Curve",$NN$41*(316-$NR$41+1)*($NS$41-316+1)/$NU$41,$NN$41/$NT$41)),0)</f>
        <v/>
      </c>
      <c r="LI41" s="402">
        <f>IF(AND(317&gt;=$NR$41,317&lt;=$NS$41),IF($NP$41="Single_Point",IF(317=$NR$41,$NN$41,0),IF($NP$41="Bell_Curve",$NN$41*(317-$NR$41+1)*($NS$41-317+1)/$NU$41,$NN$41/$NT$41)),0)</f>
        <v/>
      </c>
      <c r="LJ41" s="402">
        <f>IF(AND(318&gt;=$NR$41,318&lt;=$NS$41),IF($NP$41="Single_Point",IF(318=$NR$41,$NN$41,0),IF($NP$41="Bell_Curve",$NN$41*(318-$NR$41+1)*($NS$41-318+1)/$NU$41,$NN$41/$NT$41)),0)</f>
        <v/>
      </c>
      <c r="LK41" s="402">
        <f>IF(AND(319&gt;=$NR$41,319&lt;=$NS$41),IF($NP$41="Single_Point",IF(319=$NR$41,$NN$41,0),IF($NP$41="Bell_Curve",$NN$41*(319-$NR$41+1)*($NS$41-319+1)/$NU$41,$NN$41/$NT$41)),0)</f>
        <v/>
      </c>
      <c r="LL41" s="402">
        <f>IF(AND(320&gt;=$NR$41,320&lt;=$NS$41),IF($NP$41="Single_Point",IF(320=$NR$41,$NN$41,0),IF($NP$41="Bell_Curve",$NN$41*(320-$NR$41+1)*($NS$41-320+1)/$NU$41,$NN$41/$NT$41)),0)</f>
        <v/>
      </c>
      <c r="LM41" s="402">
        <f>IF(AND(321&gt;=$NR$41,321&lt;=$NS$41),IF($NP$41="Single_Point",IF(321=$NR$41,$NN$41,0),IF($NP$41="Bell_Curve",$NN$41*(321-$NR$41+1)*($NS$41-321+1)/$NU$41,$NN$41/$NT$41)),0)</f>
        <v/>
      </c>
      <c r="LN41" s="402">
        <f>IF(AND(322&gt;=$NR$41,322&lt;=$NS$41),IF($NP$41="Single_Point",IF(322=$NR$41,$NN$41,0),IF($NP$41="Bell_Curve",$NN$41*(322-$NR$41+1)*($NS$41-322+1)/$NU$41,$NN$41/$NT$41)),0)</f>
        <v/>
      </c>
      <c r="LO41" s="402">
        <f>IF(AND(323&gt;=$NR$41,323&lt;=$NS$41),IF($NP$41="Single_Point",IF(323=$NR$41,$NN$41,0),IF($NP$41="Bell_Curve",$NN$41*(323-$NR$41+1)*($NS$41-323+1)/$NU$41,$NN$41/$NT$41)),0)</f>
        <v/>
      </c>
      <c r="LP41" s="402">
        <f>IF(AND(324&gt;=$NR$41,324&lt;=$NS$41),IF($NP$41="Single_Point",IF(324=$NR$41,$NN$41,0),IF($NP$41="Bell_Curve",$NN$41*(324-$NR$41+1)*($NS$41-324+1)/$NU$41,$NN$41/$NT$41)),0)</f>
        <v/>
      </c>
      <c r="LQ41" s="402">
        <f>IF(AND(325&gt;=$NR$41,325&lt;=$NS$41),IF($NP$41="Single_Point",IF(325=$NR$41,$NN$41,0),IF($NP$41="Bell_Curve",$NN$41*(325-$NR$41+1)*($NS$41-325+1)/$NU$41,$NN$41/$NT$41)),0)</f>
        <v/>
      </c>
      <c r="LR41" s="402">
        <f>IF(AND(326&gt;=$NR$41,326&lt;=$NS$41),IF($NP$41="Single_Point",IF(326=$NR$41,$NN$41,0),IF($NP$41="Bell_Curve",$NN$41*(326-$NR$41+1)*($NS$41-326+1)/$NU$41,$NN$41/$NT$41)),0)</f>
        <v/>
      </c>
      <c r="LS41" s="402">
        <f>IF(AND(327&gt;=$NR$41,327&lt;=$NS$41),IF($NP$41="Single_Point",IF(327=$NR$41,$NN$41,0),IF($NP$41="Bell_Curve",$NN$41*(327-$NR$41+1)*($NS$41-327+1)/$NU$41,$NN$41/$NT$41)),0)</f>
        <v/>
      </c>
      <c r="LT41" s="402">
        <f>IF(AND(328&gt;=$NR$41,328&lt;=$NS$41),IF($NP$41="Single_Point",IF(328=$NR$41,$NN$41,0),IF($NP$41="Bell_Curve",$NN$41*(328-$NR$41+1)*($NS$41-328+1)/$NU$41,$NN$41/$NT$41)),0)</f>
        <v/>
      </c>
      <c r="LU41" s="402">
        <f>IF(AND(329&gt;=$NR$41,329&lt;=$NS$41),IF($NP$41="Single_Point",IF(329=$NR$41,$NN$41,0),IF($NP$41="Bell_Curve",$NN$41*(329-$NR$41+1)*($NS$41-329+1)/$NU$41,$NN$41/$NT$41)),0)</f>
        <v/>
      </c>
      <c r="LV41" s="402">
        <f>IF(AND(330&gt;=$NR$41,330&lt;=$NS$41),IF($NP$41="Single_Point",IF(330=$NR$41,$NN$41,0),IF($NP$41="Bell_Curve",$NN$41*(330-$NR$41+1)*($NS$41-330+1)/$NU$41,$NN$41/$NT$41)),0)</f>
        <v/>
      </c>
      <c r="LW41" s="402">
        <f>IF(AND(331&gt;=$NR$41,331&lt;=$NS$41),IF($NP$41="Single_Point",IF(331=$NR$41,$NN$41,0),IF($NP$41="Bell_Curve",$NN$41*(331-$NR$41+1)*($NS$41-331+1)/$NU$41,$NN$41/$NT$41)),0)</f>
        <v/>
      </c>
      <c r="LX41" s="402">
        <f>IF(AND(332&gt;=$NR$41,332&lt;=$NS$41),IF($NP$41="Single_Point",IF(332=$NR$41,$NN$41,0),IF($NP$41="Bell_Curve",$NN$41*(332-$NR$41+1)*($NS$41-332+1)/$NU$41,$NN$41/$NT$41)),0)</f>
        <v/>
      </c>
      <c r="LY41" s="402">
        <f>IF(AND(333&gt;=$NR$41,333&lt;=$NS$41),IF($NP$41="Single_Point",IF(333=$NR$41,$NN$41,0),IF($NP$41="Bell_Curve",$NN$41*(333-$NR$41+1)*($NS$41-333+1)/$NU$41,$NN$41/$NT$41)),0)</f>
        <v/>
      </c>
      <c r="LZ41" s="402">
        <f>IF(AND(334&gt;=$NR$41,334&lt;=$NS$41),IF($NP$41="Single_Point",IF(334=$NR$41,$NN$41,0),IF($NP$41="Bell_Curve",$NN$41*(334-$NR$41+1)*($NS$41-334+1)/$NU$41,$NN$41/$NT$41)),0)</f>
        <v/>
      </c>
      <c r="MA41" s="402">
        <f>IF(AND(335&gt;=$NR$41,335&lt;=$NS$41),IF($NP$41="Single_Point",IF(335=$NR$41,$NN$41,0),IF($NP$41="Bell_Curve",$NN$41*(335-$NR$41+1)*($NS$41-335+1)/$NU$41,$NN$41/$NT$41)),0)</f>
        <v/>
      </c>
      <c r="MB41" s="402">
        <f>IF(AND(336&gt;=$NR$41,336&lt;=$NS$41),IF($NP$41="Single_Point",IF(336=$NR$41,$NN$41,0),IF($NP$41="Bell_Curve",$NN$41*(336-$NR$41+1)*($NS$41-336+1)/$NU$41,$NN$41/$NT$41)),0)</f>
        <v/>
      </c>
      <c r="MC41" s="402">
        <f>IF(AND(337&gt;=$NR$41,337&lt;=$NS$41),IF($NP$41="Single_Point",IF(337=$NR$41,$NN$41,0),IF($NP$41="Bell_Curve",$NN$41*(337-$NR$41+1)*($NS$41-337+1)/$NU$41,$NN$41/$NT$41)),0)</f>
        <v/>
      </c>
      <c r="MD41" s="402">
        <f>IF(AND(338&gt;=$NR$41,338&lt;=$NS$41),IF($NP$41="Single_Point",IF(338=$NR$41,$NN$41,0),IF($NP$41="Bell_Curve",$NN$41*(338-$NR$41+1)*($NS$41-338+1)/$NU$41,$NN$41/$NT$41)),0)</f>
        <v/>
      </c>
      <c r="ME41" s="402">
        <f>IF(AND(339&gt;=$NR$41,339&lt;=$NS$41),IF($NP$41="Single_Point",IF(339=$NR$41,$NN$41,0),IF($NP$41="Bell_Curve",$NN$41*(339-$NR$41+1)*($NS$41-339+1)/$NU$41,$NN$41/$NT$41)),0)</f>
        <v/>
      </c>
      <c r="MF41" s="402">
        <f>IF(AND(340&gt;=$NR$41,340&lt;=$NS$41),IF($NP$41="Single_Point",IF(340=$NR$41,$NN$41,0),IF($NP$41="Bell_Curve",$NN$41*(340-$NR$41+1)*($NS$41-340+1)/$NU$41,$NN$41/$NT$41)),0)</f>
        <v/>
      </c>
      <c r="MG41" s="402">
        <f>IF(AND(341&gt;=$NR$41,341&lt;=$NS$41),IF($NP$41="Single_Point",IF(341=$NR$41,$NN$41,0),IF($NP$41="Bell_Curve",$NN$41*(341-$NR$41+1)*($NS$41-341+1)/$NU$41,$NN$41/$NT$41)),0)</f>
        <v/>
      </c>
      <c r="MH41" s="402">
        <f>IF(AND(342&gt;=$NR$41,342&lt;=$NS$41),IF($NP$41="Single_Point",IF(342=$NR$41,$NN$41,0),IF($NP$41="Bell_Curve",$NN$41*(342-$NR$41+1)*($NS$41-342+1)/$NU$41,$NN$41/$NT$41)),0)</f>
        <v/>
      </c>
      <c r="MI41" s="402">
        <f>IF(AND(343&gt;=$NR$41,343&lt;=$NS$41),IF($NP$41="Single_Point",IF(343=$NR$41,$NN$41,0),IF($NP$41="Bell_Curve",$NN$41*(343-$NR$41+1)*($NS$41-343+1)/$NU$41,$NN$41/$NT$41)),0)</f>
        <v/>
      </c>
      <c r="MJ41" s="402">
        <f>IF(AND(344&gt;=$NR$41,344&lt;=$NS$41),IF($NP$41="Single_Point",IF(344=$NR$41,$NN$41,0),IF($NP$41="Bell_Curve",$NN$41*(344-$NR$41+1)*($NS$41-344+1)/$NU$41,$NN$41/$NT$41)),0)</f>
        <v/>
      </c>
      <c r="MK41" s="402">
        <f>IF(AND(345&gt;=$NR$41,345&lt;=$NS$41),IF($NP$41="Single_Point",IF(345=$NR$41,$NN$41,0),IF($NP$41="Bell_Curve",$NN$41*(345-$NR$41+1)*($NS$41-345+1)/$NU$41,$NN$41/$NT$41)),0)</f>
        <v/>
      </c>
      <c r="ML41" s="402">
        <f>IF(AND(346&gt;=$NR$41,346&lt;=$NS$41),IF($NP$41="Single_Point",IF(346=$NR$41,$NN$41,0),IF($NP$41="Bell_Curve",$NN$41*(346-$NR$41+1)*($NS$41-346+1)/$NU$41,$NN$41/$NT$41)),0)</f>
        <v/>
      </c>
      <c r="MM41" s="402">
        <f>IF(AND(347&gt;=$NR$41,347&lt;=$NS$41),IF($NP$41="Single_Point",IF(347=$NR$41,$NN$41,0),IF($NP$41="Bell_Curve",$NN$41*(347-$NR$41+1)*($NS$41-347+1)/$NU$41,$NN$41/$NT$41)),0)</f>
        <v/>
      </c>
      <c r="MN41" s="402">
        <f>IF(AND(348&gt;=$NR$41,348&lt;=$NS$41),IF($NP$41="Single_Point",IF(348=$NR$41,$NN$41,0),IF($NP$41="Bell_Curve",$NN$41*(348-$NR$41+1)*($NS$41-348+1)/$NU$41,$NN$41/$NT$41)),0)</f>
        <v/>
      </c>
      <c r="MO41" s="402">
        <f>IF(AND(349&gt;=$NR$41,349&lt;=$NS$41),IF($NP$41="Single_Point",IF(349=$NR$41,$NN$41,0),IF($NP$41="Bell_Curve",$NN$41*(349-$NR$41+1)*($NS$41-349+1)/$NU$41,$NN$41/$NT$41)),0)</f>
        <v/>
      </c>
      <c r="MP41" s="402">
        <f>IF(AND(350&gt;=$NR$41,350&lt;=$NS$41),IF($NP$41="Single_Point",IF(350=$NR$41,$NN$41,0),IF($NP$41="Bell_Curve",$NN$41*(350-$NR$41+1)*($NS$41-350+1)/$NU$41,$NN$41/$NT$41)),0)</f>
        <v/>
      </c>
      <c r="MQ41" s="402">
        <f>IF(AND(351&gt;=$NR$41,351&lt;=$NS$41),IF($NP$41="Single_Point",IF(351=$NR$41,$NN$41,0),IF($NP$41="Bell_Curve",$NN$41*(351-$NR$41+1)*($NS$41-351+1)/$NU$41,$NN$41/$NT$41)),0)</f>
        <v/>
      </c>
      <c r="MR41" s="402">
        <f>IF(AND(352&gt;=$NR$41,352&lt;=$NS$41),IF($NP$41="Single_Point",IF(352=$NR$41,$NN$41,0),IF($NP$41="Bell_Curve",$NN$41*(352-$NR$41+1)*($NS$41-352+1)/$NU$41,$NN$41/$NT$41)),0)</f>
        <v/>
      </c>
      <c r="MS41" s="402">
        <f>IF(AND(353&gt;=$NR$41,353&lt;=$NS$41),IF($NP$41="Single_Point",IF(353=$NR$41,$NN$41,0),IF($NP$41="Bell_Curve",$NN$41*(353-$NR$41+1)*($NS$41-353+1)/$NU$41,$NN$41/$NT$41)),0)</f>
        <v/>
      </c>
      <c r="MT41" s="402">
        <f>IF(AND(354&gt;=$NR$41,354&lt;=$NS$41),IF($NP$41="Single_Point",IF(354=$NR$41,$NN$41,0),IF($NP$41="Bell_Curve",$NN$41*(354-$NR$41+1)*($NS$41-354+1)/$NU$41,$NN$41/$NT$41)),0)</f>
        <v/>
      </c>
      <c r="MU41" s="402">
        <f>IF(AND(355&gt;=$NR$41,355&lt;=$NS$41),IF($NP$41="Single_Point",IF(355=$NR$41,$NN$41,0),IF($NP$41="Bell_Curve",$NN$41*(355-$NR$41+1)*($NS$41-355+1)/$NU$41,$NN$41/$NT$41)),0)</f>
        <v/>
      </c>
      <c r="MV41" s="402">
        <f>IF(AND(356&gt;=$NR$41,356&lt;=$NS$41),IF($NP$41="Single_Point",IF(356=$NR$41,$NN$41,0),IF($NP$41="Bell_Curve",$NN$41*(356-$NR$41+1)*($NS$41-356+1)/$NU$41,$NN$41/$NT$41)),0)</f>
        <v/>
      </c>
      <c r="MW41" s="402">
        <f>IF(AND(357&gt;=$NR$41,357&lt;=$NS$41),IF($NP$41="Single_Point",IF(357=$NR$41,$NN$41,0),IF($NP$41="Bell_Curve",$NN$41*(357-$NR$41+1)*($NS$41-357+1)/$NU$41,$NN$41/$NT$41)),0)</f>
        <v/>
      </c>
      <c r="MX41" s="402">
        <f>IF(AND(358&gt;=$NR$41,358&lt;=$NS$41),IF($NP$41="Single_Point",IF(358=$NR$41,$NN$41,0),IF($NP$41="Bell_Curve",$NN$41*(358-$NR$41+1)*($NS$41-358+1)/$NU$41,$NN$41/$NT$41)),0)</f>
        <v/>
      </c>
      <c r="MY41" s="402">
        <f>IF(AND(359&gt;=$NR$41,359&lt;=$NS$41),IF($NP$41="Single_Point",IF(359=$NR$41,$NN$41,0),IF($NP$41="Bell_Curve",$NN$41*(359-$NR$41+1)*($NS$41-359+1)/$NU$41,$NN$41/$NT$41)),0)</f>
        <v/>
      </c>
      <c r="MZ41" s="402">
        <f>IF(AND(360&gt;=$NR$41,360&lt;=$NS$41),IF($NP$41="Single_Point",IF(360=$NR$41,$NN$41,0),IF($NP$41="Bell_Curve",$NN$41*(360-$NR$41+1)*($NS$41-360+1)/$NU$41,$NN$41/$NT$41)),0)</f>
        <v/>
      </c>
      <c r="NA41" s="402">
        <f>IF(AND(361&gt;=$NR$41,361&lt;=$NS$41),IF($NP$41="Single_Point",IF(361=$NR$41,$NN$41,0),IF($NP$41="Bell_Curve",$NN$41*(361-$NR$41+1)*($NS$41-361+1)/$NU$41,$NN$41/$NT$41)),0)</f>
        <v/>
      </c>
      <c r="NB41" s="402">
        <f>IF(AND(362&gt;=$NR$41,362&lt;=$NS$41),IF($NP$41="Single_Point",IF(362=$NR$41,$NN$41,0),IF($NP$41="Bell_Curve",$NN$41*(362-$NR$41+1)*($NS$41-362+1)/$NU$41,$NN$41/$NT$41)),0)</f>
        <v/>
      </c>
      <c r="NC41" s="402">
        <f>IF(AND(363&gt;=$NR$41,363&lt;=$NS$41),IF($NP$41="Single_Point",IF(363=$NR$41,$NN$41,0),IF($NP$41="Bell_Curve",$NN$41*(363-$NR$41+1)*($NS$41-363+1)/$NU$41,$NN$41/$NT$41)),0)</f>
        <v/>
      </c>
      <c r="ND41" s="402">
        <f>IF(AND(364&gt;=$NR$41,364&lt;=$NS$41),IF($NP$41="Single_Point",IF(364=$NR$41,$NN$41,0),IF($NP$41="Bell_Curve",$NN$41*(364-$NR$41+1)*($NS$41-364+1)/$NU$41,$NN$41/$NT$41)),0)</f>
        <v/>
      </c>
      <c r="NE41" s="402">
        <f>IF(AND(365&gt;=$NR$41,365&lt;=$NS$41),IF($NP$41="Single_Point",IF(365=$NR$41,$NN$41,0),IF($NP$41="Bell_Curve",$NN$41*(365-$NR$41+1)*($NS$41-365+1)/$NU$41,$NN$41/$NT$41)),0)</f>
        <v/>
      </c>
      <c r="NF41" s="402">
        <f>IF(AND(366&gt;=$NR$41,366&lt;=$NS$41),IF($NP$41="Single_Point",IF(366=$NR$41,$NN$41,0),IF($NP$41="Bell_Curve",$NN$41*(366-$NR$41+1)*($NS$41-366+1)/$NU$41,$NN$41/$NT$41)),0)</f>
        <v/>
      </c>
      <c r="NG41" s="402">
        <f>IF(AND(367&gt;=$NR$41,367&lt;=$NS$41),IF($NP$41="Single_Point",IF(367=$NR$41,$NN$41,0),IF($NP$41="Bell_Curve",$NN$41*(367-$NR$41+1)*($NS$41-367+1)/$NU$41,$NN$41/$NT$41)),0)</f>
        <v/>
      </c>
      <c r="NH41" s="402">
        <f>IF(AND(368&gt;=$NR$41,368&lt;=$NS$41),IF($NP$41="Single_Point",IF(368=$NR$41,$NN$41,0),IF($NP$41="Bell_Curve",$NN$41*(368-$NR$41+1)*($NS$41-368+1)/$NU$41,$NN$41/$NT$41)),0)</f>
        <v/>
      </c>
      <c r="NI41" s="402">
        <f>IF(AND(369&gt;=$NR$41,369&lt;=$NS$41),IF($NP$41="Single_Point",IF(369=$NR$41,$NN$41,0),IF($NP$41="Bell_Curve",$NN$41*(369-$NR$41+1)*($NS$41-369+1)/$NU$41,$NN$41/$NT$41)),0)</f>
        <v/>
      </c>
      <c r="NJ41" s="402">
        <f>IF(AND(370&gt;=$NR$41,370&lt;=$NS$41),IF($NP$41="Single_Point",IF(370=$NR$41,$NN$41,0),IF($NP$41="Bell_Curve",$NN$41*(370-$NR$41+1)*($NS$41-370+1)/$NU$41,$NN$41/$NT$41)),0)</f>
        <v/>
      </c>
      <c r="NK41" s="402">
        <f>IF(AND(371&gt;=$NR$41,371&lt;=$NS$41),IF($NP$41="Single_Point",IF(371=$NR$41,$NN$41,0),IF($NP$41="Bell_Curve",$NN$41*(371-$NR$41+1)*($NS$41-371+1)/$NU$41,$NN$41/$NT$41)),0)</f>
        <v/>
      </c>
      <c r="NL41" s="402">
        <f>IF(AND(372&gt;=$NR$41,372&lt;=$NS$41),IF($NP$41="Single_Point",IF(372=$NR$41,$NN$41,0),IF($NP$41="Bell_Curve",$NN$41*(372-$NR$41+1)*($NS$41-372+1)/$NU$41,$NN$41/$NT$41)),0)</f>
        <v/>
      </c>
      <c r="NM41">
        <f>Budget!C40</f>
        <v/>
      </c>
      <c r="NN41">
        <f>Budget!J40</f>
        <v/>
      </c>
      <c r="NO41">
        <f>Budget!G40</f>
        <v/>
      </c>
      <c r="NP41">
        <f>Budget!H40</f>
        <v/>
      </c>
      <c r="NQ41">
        <f>Budget!I40</f>
        <v/>
      </c>
      <c r="NR41">
        <f>MAX(1,MIN(372,INDEX(MilestoneStart,MATCH(NO41,MilestoneNames,0))+NQ41))</f>
        <v/>
      </c>
      <c r="NS41">
        <f>MAX(NR41,MIN(372,INDEX(MilestoneEnd,MATCH(NO41,MilestoneNames,0))+NQ41))</f>
        <v/>
      </c>
      <c r="NT41">
        <f>NS41-NR41+1</f>
        <v/>
      </c>
      <c r="NU41">
        <f>NT41*(NT41+1)*(NT41+2)/6</f>
        <v/>
      </c>
    </row>
    <row r="42">
      <c r="B42" s="296">
        <f>Budget!B41</f>
        <v/>
      </c>
      <c r="D42" s="426">
        <f>SUM(E42:NL42)</f>
        <v/>
      </c>
      <c r="E42" s="402">
        <f>IF(AND(1&gt;=$NR$42,1&lt;=$NS$42),IF($NP$42="Single_Point",IF(1=$NR$42,$NN$42,0),IF($NP$42="Bell_Curve",$NN$42*(1-$NR$42+1)*($NS$42-1+1)/$NU$42,$NN$42/$NT$42)),0)</f>
        <v/>
      </c>
      <c r="F42" s="402">
        <f>IF(AND(2&gt;=$NR$42,2&lt;=$NS$42),IF($NP$42="Single_Point",IF(2=$NR$42,$NN$42,0),IF($NP$42="Bell_Curve",$NN$42*(2-$NR$42+1)*($NS$42-2+1)/$NU$42,$NN$42/$NT$42)),0)</f>
        <v/>
      </c>
      <c r="G42" s="402">
        <f>IF(AND(3&gt;=$NR$42,3&lt;=$NS$42),IF($NP$42="Single_Point",IF(3=$NR$42,$NN$42,0),IF($NP$42="Bell_Curve",$NN$42*(3-$NR$42+1)*($NS$42-3+1)/$NU$42,$NN$42/$NT$42)),0)</f>
        <v/>
      </c>
      <c r="H42" s="402">
        <f>IF(AND(4&gt;=$NR$42,4&lt;=$NS$42),IF($NP$42="Single_Point",IF(4=$NR$42,$NN$42,0),IF($NP$42="Bell_Curve",$NN$42*(4-$NR$42+1)*($NS$42-4+1)/$NU$42,$NN$42/$NT$42)),0)</f>
        <v/>
      </c>
      <c r="I42" s="402">
        <f>IF(AND(5&gt;=$NR$42,5&lt;=$NS$42),IF($NP$42="Single_Point",IF(5=$NR$42,$NN$42,0),IF($NP$42="Bell_Curve",$NN$42*(5-$NR$42+1)*($NS$42-5+1)/$NU$42,$NN$42/$NT$42)),0)</f>
        <v/>
      </c>
      <c r="J42" s="402">
        <f>IF(AND(6&gt;=$NR$42,6&lt;=$NS$42),IF($NP$42="Single_Point",IF(6=$NR$42,$NN$42,0),IF($NP$42="Bell_Curve",$NN$42*(6-$NR$42+1)*($NS$42-6+1)/$NU$42,$NN$42/$NT$42)),0)</f>
        <v/>
      </c>
      <c r="K42" s="402">
        <f>IF(AND(7&gt;=$NR$42,7&lt;=$NS$42),IF($NP$42="Single_Point",IF(7=$NR$42,$NN$42,0),IF($NP$42="Bell_Curve",$NN$42*(7-$NR$42+1)*($NS$42-7+1)/$NU$42,$NN$42/$NT$42)),0)</f>
        <v/>
      </c>
      <c r="L42" s="402">
        <f>IF(AND(8&gt;=$NR$42,8&lt;=$NS$42),IF($NP$42="Single_Point",IF(8=$NR$42,$NN$42,0),IF($NP$42="Bell_Curve",$NN$42*(8-$NR$42+1)*($NS$42-8+1)/$NU$42,$NN$42/$NT$42)),0)</f>
        <v/>
      </c>
      <c r="M42" s="402">
        <f>IF(AND(9&gt;=$NR$42,9&lt;=$NS$42),IF($NP$42="Single_Point",IF(9=$NR$42,$NN$42,0),IF($NP$42="Bell_Curve",$NN$42*(9-$NR$42+1)*($NS$42-9+1)/$NU$42,$NN$42/$NT$42)),0)</f>
        <v/>
      </c>
      <c r="N42" s="402">
        <f>IF(AND(10&gt;=$NR$42,10&lt;=$NS$42),IF($NP$42="Single_Point",IF(10=$NR$42,$NN$42,0),IF($NP$42="Bell_Curve",$NN$42*(10-$NR$42+1)*($NS$42-10+1)/$NU$42,$NN$42/$NT$42)),0)</f>
        <v/>
      </c>
      <c r="O42" s="402">
        <f>IF(AND(11&gt;=$NR$42,11&lt;=$NS$42),IF($NP$42="Single_Point",IF(11=$NR$42,$NN$42,0),IF($NP$42="Bell_Curve",$NN$42*(11-$NR$42+1)*($NS$42-11+1)/$NU$42,$NN$42/$NT$42)),0)</f>
        <v/>
      </c>
      <c r="P42" s="402">
        <f>IF(AND(12&gt;=$NR$42,12&lt;=$NS$42),IF($NP$42="Single_Point",IF(12=$NR$42,$NN$42,0),IF($NP$42="Bell_Curve",$NN$42*(12-$NR$42+1)*($NS$42-12+1)/$NU$42,$NN$42/$NT$42)),0)</f>
        <v/>
      </c>
      <c r="Q42" s="402">
        <f>IF(AND(13&gt;=$NR$42,13&lt;=$NS$42),IF($NP$42="Single_Point",IF(13=$NR$42,$NN$42,0),IF($NP$42="Bell_Curve",$NN$42*(13-$NR$42+1)*($NS$42-13+1)/$NU$42,$NN$42/$NT$42)),0)</f>
        <v/>
      </c>
      <c r="R42" s="402">
        <f>IF(AND(14&gt;=$NR$42,14&lt;=$NS$42),IF($NP$42="Single_Point",IF(14=$NR$42,$NN$42,0),IF($NP$42="Bell_Curve",$NN$42*(14-$NR$42+1)*($NS$42-14+1)/$NU$42,$NN$42/$NT$42)),0)</f>
        <v/>
      </c>
      <c r="S42" s="402">
        <f>IF(AND(15&gt;=$NR$42,15&lt;=$NS$42),IF($NP$42="Single_Point",IF(15=$NR$42,$NN$42,0),IF($NP$42="Bell_Curve",$NN$42*(15-$NR$42+1)*($NS$42-15+1)/$NU$42,$NN$42/$NT$42)),0)</f>
        <v/>
      </c>
      <c r="T42" s="402">
        <f>IF(AND(16&gt;=$NR$42,16&lt;=$NS$42),IF($NP$42="Single_Point",IF(16=$NR$42,$NN$42,0),IF($NP$42="Bell_Curve",$NN$42*(16-$NR$42+1)*($NS$42-16+1)/$NU$42,$NN$42/$NT$42)),0)</f>
        <v/>
      </c>
      <c r="U42" s="402">
        <f>IF(AND(17&gt;=$NR$42,17&lt;=$NS$42),IF($NP$42="Single_Point",IF(17=$NR$42,$NN$42,0),IF($NP$42="Bell_Curve",$NN$42*(17-$NR$42+1)*($NS$42-17+1)/$NU$42,$NN$42/$NT$42)),0)</f>
        <v/>
      </c>
      <c r="V42" s="402">
        <f>IF(AND(18&gt;=$NR$42,18&lt;=$NS$42),IF($NP$42="Single_Point",IF(18=$NR$42,$NN$42,0),IF($NP$42="Bell_Curve",$NN$42*(18-$NR$42+1)*($NS$42-18+1)/$NU$42,$NN$42/$NT$42)),0)</f>
        <v/>
      </c>
      <c r="W42" s="402">
        <f>IF(AND(19&gt;=$NR$42,19&lt;=$NS$42),IF($NP$42="Single_Point",IF(19=$NR$42,$NN$42,0),IF($NP$42="Bell_Curve",$NN$42*(19-$NR$42+1)*($NS$42-19+1)/$NU$42,$NN$42/$NT$42)),0)</f>
        <v/>
      </c>
      <c r="X42" s="402">
        <f>IF(AND(20&gt;=$NR$42,20&lt;=$NS$42),IF($NP$42="Single_Point",IF(20=$NR$42,$NN$42,0),IF($NP$42="Bell_Curve",$NN$42*(20-$NR$42+1)*($NS$42-20+1)/$NU$42,$NN$42/$NT$42)),0)</f>
        <v/>
      </c>
      <c r="Y42" s="402">
        <f>IF(AND(21&gt;=$NR$42,21&lt;=$NS$42),IF($NP$42="Single_Point",IF(21=$NR$42,$NN$42,0),IF($NP$42="Bell_Curve",$NN$42*(21-$NR$42+1)*($NS$42-21+1)/$NU$42,$NN$42/$NT$42)),0)</f>
        <v/>
      </c>
      <c r="Z42" s="402">
        <f>IF(AND(22&gt;=$NR$42,22&lt;=$NS$42),IF($NP$42="Single_Point",IF(22=$NR$42,$NN$42,0),IF($NP$42="Bell_Curve",$NN$42*(22-$NR$42+1)*($NS$42-22+1)/$NU$42,$NN$42/$NT$42)),0)</f>
        <v/>
      </c>
      <c r="AA42" s="402">
        <f>IF(AND(23&gt;=$NR$42,23&lt;=$NS$42),IF($NP$42="Single_Point",IF(23=$NR$42,$NN$42,0),IF($NP$42="Bell_Curve",$NN$42*(23-$NR$42+1)*($NS$42-23+1)/$NU$42,$NN$42/$NT$42)),0)</f>
        <v/>
      </c>
      <c r="AB42" s="402">
        <f>IF(AND(24&gt;=$NR$42,24&lt;=$NS$42),IF($NP$42="Single_Point",IF(24=$NR$42,$NN$42,0),IF($NP$42="Bell_Curve",$NN$42*(24-$NR$42+1)*($NS$42-24+1)/$NU$42,$NN$42/$NT$42)),0)</f>
        <v/>
      </c>
      <c r="AC42" s="402">
        <f>IF(AND(25&gt;=$NR$42,25&lt;=$NS$42),IF($NP$42="Single_Point",IF(25=$NR$42,$NN$42,0),IF($NP$42="Bell_Curve",$NN$42*(25-$NR$42+1)*($NS$42-25+1)/$NU$42,$NN$42/$NT$42)),0)</f>
        <v/>
      </c>
      <c r="AD42" s="402">
        <f>IF(AND(26&gt;=$NR$42,26&lt;=$NS$42),IF($NP$42="Single_Point",IF(26=$NR$42,$NN$42,0),IF($NP$42="Bell_Curve",$NN$42*(26-$NR$42+1)*($NS$42-26+1)/$NU$42,$NN$42/$NT$42)),0)</f>
        <v/>
      </c>
      <c r="AE42" s="402">
        <f>IF(AND(27&gt;=$NR$42,27&lt;=$NS$42),IF($NP$42="Single_Point",IF(27=$NR$42,$NN$42,0),IF($NP$42="Bell_Curve",$NN$42*(27-$NR$42+1)*($NS$42-27+1)/$NU$42,$NN$42/$NT$42)),0)</f>
        <v/>
      </c>
      <c r="AF42" s="402">
        <f>IF(AND(28&gt;=$NR$42,28&lt;=$NS$42),IF($NP$42="Single_Point",IF(28=$NR$42,$NN$42,0),IF($NP$42="Bell_Curve",$NN$42*(28-$NR$42+1)*($NS$42-28+1)/$NU$42,$NN$42/$NT$42)),0)</f>
        <v/>
      </c>
      <c r="AG42" s="402">
        <f>IF(AND(29&gt;=$NR$42,29&lt;=$NS$42),IF($NP$42="Single_Point",IF(29=$NR$42,$NN$42,0),IF($NP$42="Bell_Curve",$NN$42*(29-$NR$42+1)*($NS$42-29+1)/$NU$42,$NN$42/$NT$42)),0)</f>
        <v/>
      </c>
      <c r="AH42" s="402">
        <f>IF(AND(30&gt;=$NR$42,30&lt;=$NS$42),IF($NP$42="Single_Point",IF(30=$NR$42,$NN$42,0),IF($NP$42="Bell_Curve",$NN$42*(30-$NR$42+1)*($NS$42-30+1)/$NU$42,$NN$42/$NT$42)),0)</f>
        <v/>
      </c>
      <c r="AI42" s="402">
        <f>IF(AND(31&gt;=$NR$42,31&lt;=$NS$42),IF($NP$42="Single_Point",IF(31=$NR$42,$NN$42,0),IF($NP$42="Bell_Curve",$NN$42*(31-$NR$42+1)*($NS$42-31+1)/$NU$42,$NN$42/$NT$42)),0)</f>
        <v/>
      </c>
      <c r="AJ42" s="402">
        <f>IF(AND(32&gt;=$NR$42,32&lt;=$NS$42),IF($NP$42="Single_Point",IF(32=$NR$42,$NN$42,0),IF($NP$42="Bell_Curve",$NN$42*(32-$NR$42+1)*($NS$42-32+1)/$NU$42,$NN$42/$NT$42)),0)</f>
        <v/>
      </c>
      <c r="AK42" s="402">
        <f>IF(AND(33&gt;=$NR$42,33&lt;=$NS$42),IF($NP$42="Single_Point",IF(33=$NR$42,$NN$42,0),IF($NP$42="Bell_Curve",$NN$42*(33-$NR$42+1)*($NS$42-33+1)/$NU$42,$NN$42/$NT$42)),0)</f>
        <v/>
      </c>
      <c r="AL42" s="402">
        <f>IF(AND(34&gt;=$NR$42,34&lt;=$NS$42),IF($NP$42="Single_Point",IF(34=$NR$42,$NN$42,0),IF($NP$42="Bell_Curve",$NN$42*(34-$NR$42+1)*($NS$42-34+1)/$NU$42,$NN$42/$NT$42)),0)</f>
        <v/>
      </c>
      <c r="AM42" s="402">
        <f>IF(AND(35&gt;=$NR$42,35&lt;=$NS$42),IF($NP$42="Single_Point",IF(35=$NR$42,$NN$42,0),IF($NP$42="Bell_Curve",$NN$42*(35-$NR$42+1)*($NS$42-35+1)/$NU$42,$NN$42/$NT$42)),0)</f>
        <v/>
      </c>
      <c r="AN42" s="402">
        <f>IF(AND(36&gt;=$NR$42,36&lt;=$NS$42),IF($NP$42="Single_Point",IF(36=$NR$42,$NN$42,0),IF($NP$42="Bell_Curve",$NN$42*(36-$NR$42+1)*($NS$42-36+1)/$NU$42,$NN$42/$NT$42)),0)</f>
        <v/>
      </c>
      <c r="AO42" s="402">
        <f>IF(AND(37&gt;=$NR$42,37&lt;=$NS$42),IF($NP$42="Single_Point",IF(37=$NR$42,$NN$42,0),IF($NP$42="Bell_Curve",$NN$42*(37-$NR$42+1)*($NS$42-37+1)/$NU$42,$NN$42/$NT$42)),0)</f>
        <v/>
      </c>
      <c r="AP42" s="402">
        <f>IF(AND(38&gt;=$NR$42,38&lt;=$NS$42),IF($NP$42="Single_Point",IF(38=$NR$42,$NN$42,0),IF($NP$42="Bell_Curve",$NN$42*(38-$NR$42+1)*($NS$42-38+1)/$NU$42,$NN$42/$NT$42)),0)</f>
        <v/>
      </c>
      <c r="AQ42" s="402">
        <f>IF(AND(39&gt;=$NR$42,39&lt;=$NS$42),IF($NP$42="Single_Point",IF(39=$NR$42,$NN$42,0),IF($NP$42="Bell_Curve",$NN$42*(39-$NR$42+1)*($NS$42-39+1)/$NU$42,$NN$42/$NT$42)),0)</f>
        <v/>
      </c>
      <c r="AR42" s="402">
        <f>IF(AND(40&gt;=$NR$42,40&lt;=$NS$42),IF($NP$42="Single_Point",IF(40=$NR$42,$NN$42,0),IF($NP$42="Bell_Curve",$NN$42*(40-$NR$42+1)*($NS$42-40+1)/$NU$42,$NN$42/$NT$42)),0)</f>
        <v/>
      </c>
      <c r="AS42" s="402">
        <f>IF(AND(41&gt;=$NR$42,41&lt;=$NS$42),IF($NP$42="Single_Point",IF(41=$NR$42,$NN$42,0),IF($NP$42="Bell_Curve",$NN$42*(41-$NR$42+1)*($NS$42-41+1)/$NU$42,$NN$42/$NT$42)),0)</f>
        <v/>
      </c>
      <c r="AT42" s="402">
        <f>IF(AND(42&gt;=$NR$42,42&lt;=$NS$42),IF($NP$42="Single_Point",IF(42=$NR$42,$NN$42,0),IF($NP$42="Bell_Curve",$NN$42*(42-$NR$42+1)*($NS$42-42+1)/$NU$42,$NN$42/$NT$42)),0)</f>
        <v/>
      </c>
      <c r="AU42" s="402">
        <f>IF(AND(43&gt;=$NR$42,43&lt;=$NS$42),IF($NP$42="Single_Point",IF(43=$NR$42,$NN$42,0),IF($NP$42="Bell_Curve",$NN$42*(43-$NR$42+1)*($NS$42-43+1)/$NU$42,$NN$42/$NT$42)),0)</f>
        <v/>
      </c>
      <c r="AV42" s="402">
        <f>IF(AND(44&gt;=$NR$42,44&lt;=$NS$42),IF($NP$42="Single_Point",IF(44=$NR$42,$NN$42,0),IF($NP$42="Bell_Curve",$NN$42*(44-$NR$42+1)*($NS$42-44+1)/$NU$42,$NN$42/$NT$42)),0)</f>
        <v/>
      </c>
      <c r="AW42" s="402">
        <f>IF(AND(45&gt;=$NR$42,45&lt;=$NS$42),IF($NP$42="Single_Point",IF(45=$NR$42,$NN$42,0),IF($NP$42="Bell_Curve",$NN$42*(45-$NR$42+1)*($NS$42-45+1)/$NU$42,$NN$42/$NT$42)),0)</f>
        <v/>
      </c>
      <c r="AX42" s="402">
        <f>IF(AND(46&gt;=$NR$42,46&lt;=$NS$42),IF($NP$42="Single_Point",IF(46=$NR$42,$NN$42,0),IF($NP$42="Bell_Curve",$NN$42*(46-$NR$42+1)*($NS$42-46+1)/$NU$42,$NN$42/$NT$42)),0)</f>
        <v/>
      </c>
      <c r="AY42" s="402">
        <f>IF(AND(47&gt;=$NR$42,47&lt;=$NS$42),IF($NP$42="Single_Point",IF(47=$NR$42,$NN$42,0),IF($NP$42="Bell_Curve",$NN$42*(47-$NR$42+1)*($NS$42-47+1)/$NU$42,$NN$42/$NT$42)),0)</f>
        <v/>
      </c>
      <c r="AZ42" s="402">
        <f>IF(AND(48&gt;=$NR$42,48&lt;=$NS$42),IF($NP$42="Single_Point",IF(48=$NR$42,$NN$42,0),IF($NP$42="Bell_Curve",$NN$42*(48-$NR$42+1)*($NS$42-48+1)/$NU$42,$NN$42/$NT$42)),0)</f>
        <v/>
      </c>
      <c r="BA42" s="402">
        <f>IF(AND(49&gt;=$NR$42,49&lt;=$NS$42),IF($NP$42="Single_Point",IF(49=$NR$42,$NN$42,0),IF($NP$42="Bell_Curve",$NN$42*(49-$NR$42+1)*($NS$42-49+1)/$NU$42,$NN$42/$NT$42)),0)</f>
        <v/>
      </c>
      <c r="BB42" s="402">
        <f>IF(AND(50&gt;=$NR$42,50&lt;=$NS$42),IF($NP$42="Single_Point",IF(50=$NR$42,$NN$42,0),IF($NP$42="Bell_Curve",$NN$42*(50-$NR$42+1)*($NS$42-50+1)/$NU$42,$NN$42/$NT$42)),0)</f>
        <v/>
      </c>
      <c r="BC42" s="402">
        <f>IF(AND(51&gt;=$NR$42,51&lt;=$NS$42),IF($NP$42="Single_Point",IF(51=$NR$42,$NN$42,0),IF($NP$42="Bell_Curve",$NN$42*(51-$NR$42+1)*($NS$42-51+1)/$NU$42,$NN$42/$NT$42)),0)</f>
        <v/>
      </c>
      <c r="BD42" s="402">
        <f>IF(AND(52&gt;=$NR$42,52&lt;=$NS$42),IF($NP$42="Single_Point",IF(52=$NR$42,$NN$42,0),IF($NP$42="Bell_Curve",$NN$42*(52-$NR$42+1)*($NS$42-52+1)/$NU$42,$NN$42/$NT$42)),0)</f>
        <v/>
      </c>
      <c r="BE42" s="402">
        <f>IF(AND(53&gt;=$NR$42,53&lt;=$NS$42),IF($NP$42="Single_Point",IF(53=$NR$42,$NN$42,0),IF($NP$42="Bell_Curve",$NN$42*(53-$NR$42+1)*($NS$42-53+1)/$NU$42,$NN$42/$NT$42)),0)</f>
        <v/>
      </c>
      <c r="BF42" s="402">
        <f>IF(AND(54&gt;=$NR$42,54&lt;=$NS$42),IF($NP$42="Single_Point",IF(54=$NR$42,$NN$42,0),IF($NP$42="Bell_Curve",$NN$42*(54-$NR$42+1)*($NS$42-54+1)/$NU$42,$NN$42/$NT$42)),0)</f>
        <v/>
      </c>
      <c r="BG42" s="402">
        <f>IF(AND(55&gt;=$NR$42,55&lt;=$NS$42),IF($NP$42="Single_Point",IF(55=$NR$42,$NN$42,0),IF($NP$42="Bell_Curve",$NN$42*(55-$NR$42+1)*($NS$42-55+1)/$NU$42,$NN$42/$NT$42)),0)</f>
        <v/>
      </c>
      <c r="BH42" s="402">
        <f>IF(AND(56&gt;=$NR$42,56&lt;=$NS$42),IF($NP$42="Single_Point",IF(56=$NR$42,$NN$42,0),IF($NP$42="Bell_Curve",$NN$42*(56-$NR$42+1)*($NS$42-56+1)/$NU$42,$NN$42/$NT$42)),0)</f>
        <v/>
      </c>
      <c r="BI42" s="402">
        <f>IF(AND(57&gt;=$NR$42,57&lt;=$NS$42),IF($NP$42="Single_Point",IF(57=$NR$42,$NN$42,0),IF($NP$42="Bell_Curve",$NN$42*(57-$NR$42+1)*($NS$42-57+1)/$NU$42,$NN$42/$NT$42)),0)</f>
        <v/>
      </c>
      <c r="BJ42" s="402">
        <f>IF(AND(58&gt;=$NR$42,58&lt;=$NS$42),IF($NP$42="Single_Point",IF(58=$NR$42,$NN$42,0),IF($NP$42="Bell_Curve",$NN$42*(58-$NR$42+1)*($NS$42-58+1)/$NU$42,$NN$42/$NT$42)),0)</f>
        <v/>
      </c>
      <c r="BK42" s="402">
        <f>IF(AND(59&gt;=$NR$42,59&lt;=$NS$42),IF($NP$42="Single_Point",IF(59=$NR$42,$NN$42,0),IF($NP$42="Bell_Curve",$NN$42*(59-$NR$42+1)*($NS$42-59+1)/$NU$42,$NN$42/$NT$42)),0)</f>
        <v/>
      </c>
      <c r="BL42" s="402">
        <f>IF(AND(60&gt;=$NR$42,60&lt;=$NS$42),IF($NP$42="Single_Point",IF(60=$NR$42,$NN$42,0),IF($NP$42="Bell_Curve",$NN$42*(60-$NR$42+1)*($NS$42-60+1)/$NU$42,$NN$42/$NT$42)),0)</f>
        <v/>
      </c>
      <c r="BM42" s="402">
        <f>IF(AND(61&gt;=$NR$42,61&lt;=$NS$42),IF($NP$42="Single_Point",IF(61=$NR$42,$NN$42,0),IF($NP$42="Bell_Curve",$NN$42*(61-$NR$42+1)*($NS$42-61+1)/$NU$42,$NN$42/$NT$42)),0)</f>
        <v/>
      </c>
      <c r="BN42" s="402">
        <f>IF(AND(62&gt;=$NR$42,62&lt;=$NS$42),IF($NP$42="Single_Point",IF(62=$NR$42,$NN$42,0),IF($NP$42="Bell_Curve",$NN$42*(62-$NR$42+1)*($NS$42-62+1)/$NU$42,$NN$42/$NT$42)),0)</f>
        <v/>
      </c>
      <c r="BO42" s="402">
        <f>IF(AND(63&gt;=$NR$42,63&lt;=$NS$42),IF($NP$42="Single_Point",IF(63=$NR$42,$NN$42,0),IF($NP$42="Bell_Curve",$NN$42*(63-$NR$42+1)*($NS$42-63+1)/$NU$42,$NN$42/$NT$42)),0)</f>
        <v/>
      </c>
      <c r="BP42" s="402">
        <f>IF(AND(64&gt;=$NR$42,64&lt;=$NS$42),IF($NP$42="Single_Point",IF(64=$NR$42,$NN$42,0),IF($NP$42="Bell_Curve",$NN$42*(64-$NR$42+1)*($NS$42-64+1)/$NU$42,$NN$42/$NT$42)),0)</f>
        <v/>
      </c>
      <c r="BQ42" s="402">
        <f>IF(AND(65&gt;=$NR$42,65&lt;=$NS$42),IF($NP$42="Single_Point",IF(65=$NR$42,$NN$42,0),IF($NP$42="Bell_Curve",$NN$42*(65-$NR$42+1)*($NS$42-65+1)/$NU$42,$NN$42/$NT$42)),0)</f>
        <v/>
      </c>
      <c r="BR42" s="402">
        <f>IF(AND(66&gt;=$NR$42,66&lt;=$NS$42),IF($NP$42="Single_Point",IF(66=$NR$42,$NN$42,0),IF($NP$42="Bell_Curve",$NN$42*(66-$NR$42+1)*($NS$42-66+1)/$NU$42,$NN$42/$NT$42)),0)</f>
        <v/>
      </c>
      <c r="BS42" s="402">
        <f>IF(AND(67&gt;=$NR$42,67&lt;=$NS$42),IF($NP$42="Single_Point",IF(67=$NR$42,$NN$42,0),IF($NP$42="Bell_Curve",$NN$42*(67-$NR$42+1)*($NS$42-67+1)/$NU$42,$NN$42/$NT$42)),0)</f>
        <v/>
      </c>
      <c r="BT42" s="402">
        <f>IF(AND(68&gt;=$NR$42,68&lt;=$NS$42),IF($NP$42="Single_Point",IF(68=$NR$42,$NN$42,0),IF($NP$42="Bell_Curve",$NN$42*(68-$NR$42+1)*($NS$42-68+1)/$NU$42,$NN$42/$NT$42)),0)</f>
        <v/>
      </c>
      <c r="BU42" s="402">
        <f>IF(AND(69&gt;=$NR$42,69&lt;=$NS$42),IF($NP$42="Single_Point",IF(69=$NR$42,$NN$42,0),IF($NP$42="Bell_Curve",$NN$42*(69-$NR$42+1)*($NS$42-69+1)/$NU$42,$NN$42/$NT$42)),0)</f>
        <v/>
      </c>
      <c r="BV42" s="402">
        <f>IF(AND(70&gt;=$NR$42,70&lt;=$NS$42),IF($NP$42="Single_Point",IF(70=$NR$42,$NN$42,0),IF($NP$42="Bell_Curve",$NN$42*(70-$NR$42+1)*($NS$42-70+1)/$NU$42,$NN$42/$NT$42)),0)</f>
        <v/>
      </c>
      <c r="BW42" s="402">
        <f>IF(AND(71&gt;=$NR$42,71&lt;=$NS$42),IF($NP$42="Single_Point",IF(71=$NR$42,$NN$42,0),IF($NP$42="Bell_Curve",$NN$42*(71-$NR$42+1)*($NS$42-71+1)/$NU$42,$NN$42/$NT$42)),0)</f>
        <v/>
      </c>
      <c r="BX42" s="402">
        <f>IF(AND(72&gt;=$NR$42,72&lt;=$NS$42),IF($NP$42="Single_Point",IF(72=$NR$42,$NN$42,0),IF($NP$42="Bell_Curve",$NN$42*(72-$NR$42+1)*($NS$42-72+1)/$NU$42,$NN$42/$NT$42)),0)</f>
        <v/>
      </c>
      <c r="BY42" s="402">
        <f>IF(AND(73&gt;=$NR$42,73&lt;=$NS$42),IF($NP$42="Single_Point",IF(73=$NR$42,$NN$42,0),IF($NP$42="Bell_Curve",$NN$42*(73-$NR$42+1)*($NS$42-73+1)/$NU$42,$NN$42/$NT$42)),0)</f>
        <v/>
      </c>
      <c r="BZ42" s="402">
        <f>IF(AND(74&gt;=$NR$42,74&lt;=$NS$42),IF($NP$42="Single_Point",IF(74=$NR$42,$NN$42,0),IF($NP$42="Bell_Curve",$NN$42*(74-$NR$42+1)*($NS$42-74+1)/$NU$42,$NN$42/$NT$42)),0)</f>
        <v/>
      </c>
      <c r="CA42" s="402">
        <f>IF(AND(75&gt;=$NR$42,75&lt;=$NS$42),IF($NP$42="Single_Point",IF(75=$NR$42,$NN$42,0),IF($NP$42="Bell_Curve",$NN$42*(75-$NR$42+1)*($NS$42-75+1)/$NU$42,$NN$42/$NT$42)),0)</f>
        <v/>
      </c>
      <c r="CB42" s="402">
        <f>IF(AND(76&gt;=$NR$42,76&lt;=$NS$42),IF($NP$42="Single_Point",IF(76=$NR$42,$NN$42,0),IF($NP$42="Bell_Curve",$NN$42*(76-$NR$42+1)*($NS$42-76+1)/$NU$42,$NN$42/$NT$42)),0)</f>
        <v/>
      </c>
      <c r="CC42" s="402">
        <f>IF(AND(77&gt;=$NR$42,77&lt;=$NS$42),IF($NP$42="Single_Point",IF(77=$NR$42,$NN$42,0),IF($NP$42="Bell_Curve",$NN$42*(77-$NR$42+1)*($NS$42-77+1)/$NU$42,$NN$42/$NT$42)),0)</f>
        <v/>
      </c>
      <c r="CD42" s="402">
        <f>IF(AND(78&gt;=$NR$42,78&lt;=$NS$42),IF($NP$42="Single_Point",IF(78=$NR$42,$NN$42,0),IF($NP$42="Bell_Curve",$NN$42*(78-$NR$42+1)*($NS$42-78+1)/$NU$42,$NN$42/$NT$42)),0)</f>
        <v/>
      </c>
      <c r="CE42" s="402">
        <f>IF(AND(79&gt;=$NR$42,79&lt;=$NS$42),IF($NP$42="Single_Point",IF(79=$NR$42,$NN$42,0),IF($NP$42="Bell_Curve",$NN$42*(79-$NR$42+1)*($NS$42-79+1)/$NU$42,$NN$42/$NT$42)),0)</f>
        <v/>
      </c>
      <c r="CF42" s="402">
        <f>IF(AND(80&gt;=$NR$42,80&lt;=$NS$42),IF($NP$42="Single_Point",IF(80=$NR$42,$NN$42,0),IF($NP$42="Bell_Curve",$NN$42*(80-$NR$42+1)*($NS$42-80+1)/$NU$42,$NN$42/$NT$42)),0)</f>
        <v/>
      </c>
      <c r="CG42" s="402">
        <f>IF(AND(81&gt;=$NR$42,81&lt;=$NS$42),IF($NP$42="Single_Point",IF(81=$NR$42,$NN$42,0),IF($NP$42="Bell_Curve",$NN$42*(81-$NR$42+1)*($NS$42-81+1)/$NU$42,$NN$42/$NT$42)),0)</f>
        <v/>
      </c>
      <c r="CH42" s="402">
        <f>IF(AND(82&gt;=$NR$42,82&lt;=$NS$42),IF($NP$42="Single_Point",IF(82=$NR$42,$NN$42,0),IF($NP$42="Bell_Curve",$NN$42*(82-$NR$42+1)*($NS$42-82+1)/$NU$42,$NN$42/$NT$42)),0)</f>
        <v/>
      </c>
      <c r="CI42" s="402">
        <f>IF(AND(83&gt;=$NR$42,83&lt;=$NS$42),IF($NP$42="Single_Point",IF(83=$NR$42,$NN$42,0),IF($NP$42="Bell_Curve",$NN$42*(83-$NR$42+1)*($NS$42-83+1)/$NU$42,$NN$42/$NT$42)),0)</f>
        <v/>
      </c>
      <c r="CJ42" s="402">
        <f>IF(AND(84&gt;=$NR$42,84&lt;=$NS$42),IF($NP$42="Single_Point",IF(84=$NR$42,$NN$42,0),IF($NP$42="Bell_Curve",$NN$42*(84-$NR$42+1)*($NS$42-84+1)/$NU$42,$NN$42/$NT$42)),0)</f>
        <v/>
      </c>
      <c r="CK42" s="402">
        <f>IF(AND(85&gt;=$NR$42,85&lt;=$NS$42),IF($NP$42="Single_Point",IF(85=$NR$42,$NN$42,0),IF($NP$42="Bell_Curve",$NN$42*(85-$NR$42+1)*($NS$42-85+1)/$NU$42,$NN$42/$NT$42)),0)</f>
        <v/>
      </c>
      <c r="CL42" s="402">
        <f>IF(AND(86&gt;=$NR$42,86&lt;=$NS$42),IF($NP$42="Single_Point",IF(86=$NR$42,$NN$42,0),IF($NP$42="Bell_Curve",$NN$42*(86-$NR$42+1)*($NS$42-86+1)/$NU$42,$NN$42/$NT$42)),0)</f>
        <v/>
      </c>
      <c r="CM42" s="402">
        <f>IF(AND(87&gt;=$NR$42,87&lt;=$NS$42),IF($NP$42="Single_Point",IF(87=$NR$42,$NN$42,0),IF($NP$42="Bell_Curve",$NN$42*(87-$NR$42+1)*($NS$42-87+1)/$NU$42,$NN$42/$NT$42)),0)</f>
        <v/>
      </c>
      <c r="CN42" s="402">
        <f>IF(AND(88&gt;=$NR$42,88&lt;=$NS$42),IF($NP$42="Single_Point",IF(88=$NR$42,$NN$42,0),IF($NP$42="Bell_Curve",$NN$42*(88-$NR$42+1)*($NS$42-88+1)/$NU$42,$NN$42/$NT$42)),0)</f>
        <v/>
      </c>
      <c r="CO42" s="402">
        <f>IF(AND(89&gt;=$NR$42,89&lt;=$NS$42),IF($NP$42="Single_Point",IF(89=$NR$42,$NN$42,0),IF($NP$42="Bell_Curve",$NN$42*(89-$NR$42+1)*($NS$42-89+1)/$NU$42,$NN$42/$NT$42)),0)</f>
        <v/>
      </c>
      <c r="CP42" s="402">
        <f>IF(AND(90&gt;=$NR$42,90&lt;=$NS$42),IF($NP$42="Single_Point",IF(90=$NR$42,$NN$42,0),IF($NP$42="Bell_Curve",$NN$42*(90-$NR$42+1)*($NS$42-90+1)/$NU$42,$NN$42/$NT$42)),0)</f>
        <v/>
      </c>
      <c r="CQ42" s="402">
        <f>IF(AND(91&gt;=$NR$42,91&lt;=$NS$42),IF($NP$42="Single_Point",IF(91=$NR$42,$NN$42,0),IF($NP$42="Bell_Curve",$NN$42*(91-$NR$42+1)*($NS$42-91+1)/$NU$42,$NN$42/$NT$42)),0)</f>
        <v/>
      </c>
      <c r="CR42" s="402">
        <f>IF(AND(92&gt;=$NR$42,92&lt;=$NS$42),IF($NP$42="Single_Point",IF(92=$NR$42,$NN$42,0),IF($NP$42="Bell_Curve",$NN$42*(92-$NR$42+1)*($NS$42-92+1)/$NU$42,$NN$42/$NT$42)),0)</f>
        <v/>
      </c>
      <c r="CS42" s="402">
        <f>IF(AND(93&gt;=$NR$42,93&lt;=$NS$42),IF($NP$42="Single_Point",IF(93=$NR$42,$NN$42,0),IF($NP$42="Bell_Curve",$NN$42*(93-$NR$42+1)*($NS$42-93+1)/$NU$42,$NN$42/$NT$42)),0)</f>
        <v/>
      </c>
      <c r="CT42" s="402">
        <f>IF(AND(94&gt;=$NR$42,94&lt;=$NS$42),IF($NP$42="Single_Point",IF(94=$NR$42,$NN$42,0),IF($NP$42="Bell_Curve",$NN$42*(94-$NR$42+1)*($NS$42-94+1)/$NU$42,$NN$42/$NT$42)),0)</f>
        <v/>
      </c>
      <c r="CU42" s="402">
        <f>IF(AND(95&gt;=$NR$42,95&lt;=$NS$42),IF($NP$42="Single_Point",IF(95=$NR$42,$NN$42,0),IF($NP$42="Bell_Curve",$NN$42*(95-$NR$42+1)*($NS$42-95+1)/$NU$42,$NN$42/$NT$42)),0)</f>
        <v/>
      </c>
      <c r="CV42" s="402">
        <f>IF(AND(96&gt;=$NR$42,96&lt;=$NS$42),IF($NP$42="Single_Point",IF(96=$NR$42,$NN$42,0),IF($NP$42="Bell_Curve",$NN$42*(96-$NR$42+1)*($NS$42-96+1)/$NU$42,$NN$42/$NT$42)),0)</f>
        <v/>
      </c>
      <c r="CW42" s="402">
        <f>IF(AND(97&gt;=$NR$42,97&lt;=$NS$42),IF($NP$42="Single_Point",IF(97=$NR$42,$NN$42,0),IF($NP$42="Bell_Curve",$NN$42*(97-$NR$42+1)*($NS$42-97+1)/$NU$42,$NN$42/$NT$42)),0)</f>
        <v/>
      </c>
      <c r="CX42" s="402">
        <f>IF(AND(98&gt;=$NR$42,98&lt;=$NS$42),IF($NP$42="Single_Point",IF(98=$NR$42,$NN$42,0),IF($NP$42="Bell_Curve",$NN$42*(98-$NR$42+1)*($NS$42-98+1)/$NU$42,$NN$42/$NT$42)),0)</f>
        <v/>
      </c>
      <c r="CY42" s="402">
        <f>IF(AND(99&gt;=$NR$42,99&lt;=$NS$42),IF($NP$42="Single_Point",IF(99=$NR$42,$NN$42,0),IF($NP$42="Bell_Curve",$NN$42*(99-$NR$42+1)*($NS$42-99+1)/$NU$42,$NN$42/$NT$42)),0)</f>
        <v/>
      </c>
      <c r="CZ42" s="402">
        <f>IF(AND(100&gt;=$NR$42,100&lt;=$NS$42),IF($NP$42="Single_Point",IF(100=$NR$42,$NN$42,0),IF($NP$42="Bell_Curve",$NN$42*(100-$NR$42+1)*($NS$42-100+1)/$NU$42,$NN$42/$NT$42)),0)</f>
        <v/>
      </c>
      <c r="DA42" s="402">
        <f>IF(AND(101&gt;=$NR$42,101&lt;=$NS$42),IF($NP$42="Single_Point",IF(101=$NR$42,$NN$42,0),IF($NP$42="Bell_Curve",$NN$42*(101-$NR$42+1)*($NS$42-101+1)/$NU$42,$NN$42/$NT$42)),0)</f>
        <v/>
      </c>
      <c r="DB42" s="402">
        <f>IF(AND(102&gt;=$NR$42,102&lt;=$NS$42),IF($NP$42="Single_Point",IF(102=$NR$42,$NN$42,0),IF($NP$42="Bell_Curve",$NN$42*(102-$NR$42+1)*($NS$42-102+1)/$NU$42,$NN$42/$NT$42)),0)</f>
        <v/>
      </c>
      <c r="DC42" s="402">
        <f>IF(AND(103&gt;=$NR$42,103&lt;=$NS$42),IF($NP$42="Single_Point",IF(103=$NR$42,$NN$42,0),IF($NP$42="Bell_Curve",$NN$42*(103-$NR$42+1)*($NS$42-103+1)/$NU$42,$NN$42/$NT$42)),0)</f>
        <v/>
      </c>
      <c r="DD42" s="402">
        <f>IF(AND(104&gt;=$NR$42,104&lt;=$NS$42),IF($NP$42="Single_Point",IF(104=$NR$42,$NN$42,0),IF($NP$42="Bell_Curve",$NN$42*(104-$NR$42+1)*($NS$42-104+1)/$NU$42,$NN$42/$NT$42)),0)</f>
        <v/>
      </c>
      <c r="DE42" s="402">
        <f>IF(AND(105&gt;=$NR$42,105&lt;=$NS$42),IF($NP$42="Single_Point",IF(105=$NR$42,$NN$42,0),IF($NP$42="Bell_Curve",$NN$42*(105-$NR$42+1)*($NS$42-105+1)/$NU$42,$NN$42/$NT$42)),0)</f>
        <v/>
      </c>
      <c r="DF42" s="402">
        <f>IF(AND(106&gt;=$NR$42,106&lt;=$NS$42),IF($NP$42="Single_Point",IF(106=$NR$42,$NN$42,0),IF($NP$42="Bell_Curve",$NN$42*(106-$NR$42+1)*($NS$42-106+1)/$NU$42,$NN$42/$NT$42)),0)</f>
        <v/>
      </c>
      <c r="DG42" s="402">
        <f>IF(AND(107&gt;=$NR$42,107&lt;=$NS$42),IF($NP$42="Single_Point",IF(107=$NR$42,$NN$42,0),IF($NP$42="Bell_Curve",$NN$42*(107-$NR$42+1)*($NS$42-107+1)/$NU$42,$NN$42/$NT$42)),0)</f>
        <v/>
      </c>
      <c r="DH42" s="402">
        <f>IF(AND(108&gt;=$NR$42,108&lt;=$NS$42),IF($NP$42="Single_Point",IF(108=$NR$42,$NN$42,0),IF($NP$42="Bell_Curve",$NN$42*(108-$NR$42+1)*($NS$42-108+1)/$NU$42,$NN$42/$NT$42)),0)</f>
        <v/>
      </c>
      <c r="DI42" s="402">
        <f>IF(AND(109&gt;=$NR$42,109&lt;=$NS$42),IF($NP$42="Single_Point",IF(109=$NR$42,$NN$42,0),IF($NP$42="Bell_Curve",$NN$42*(109-$NR$42+1)*($NS$42-109+1)/$NU$42,$NN$42/$NT$42)),0)</f>
        <v/>
      </c>
      <c r="DJ42" s="402">
        <f>IF(AND(110&gt;=$NR$42,110&lt;=$NS$42),IF($NP$42="Single_Point",IF(110=$NR$42,$NN$42,0),IF($NP$42="Bell_Curve",$NN$42*(110-$NR$42+1)*($NS$42-110+1)/$NU$42,$NN$42/$NT$42)),0)</f>
        <v/>
      </c>
      <c r="DK42" s="402">
        <f>IF(AND(111&gt;=$NR$42,111&lt;=$NS$42),IF($NP$42="Single_Point",IF(111=$NR$42,$NN$42,0),IF($NP$42="Bell_Curve",$NN$42*(111-$NR$42+1)*($NS$42-111+1)/$NU$42,$NN$42/$NT$42)),0)</f>
        <v/>
      </c>
      <c r="DL42" s="402">
        <f>IF(AND(112&gt;=$NR$42,112&lt;=$NS$42),IF($NP$42="Single_Point",IF(112=$NR$42,$NN$42,0),IF($NP$42="Bell_Curve",$NN$42*(112-$NR$42+1)*($NS$42-112+1)/$NU$42,$NN$42/$NT$42)),0)</f>
        <v/>
      </c>
      <c r="DM42" s="402">
        <f>IF(AND(113&gt;=$NR$42,113&lt;=$NS$42),IF($NP$42="Single_Point",IF(113=$NR$42,$NN$42,0),IF($NP$42="Bell_Curve",$NN$42*(113-$NR$42+1)*($NS$42-113+1)/$NU$42,$NN$42/$NT$42)),0)</f>
        <v/>
      </c>
      <c r="DN42" s="402">
        <f>IF(AND(114&gt;=$NR$42,114&lt;=$NS$42),IF($NP$42="Single_Point",IF(114=$NR$42,$NN$42,0),IF($NP$42="Bell_Curve",$NN$42*(114-$NR$42+1)*($NS$42-114+1)/$NU$42,$NN$42/$NT$42)),0)</f>
        <v/>
      </c>
      <c r="DO42" s="402">
        <f>IF(AND(115&gt;=$NR$42,115&lt;=$NS$42),IF($NP$42="Single_Point",IF(115=$NR$42,$NN$42,0),IF($NP$42="Bell_Curve",$NN$42*(115-$NR$42+1)*($NS$42-115+1)/$NU$42,$NN$42/$NT$42)),0)</f>
        <v/>
      </c>
      <c r="DP42" s="402">
        <f>IF(AND(116&gt;=$NR$42,116&lt;=$NS$42),IF($NP$42="Single_Point",IF(116=$NR$42,$NN$42,0),IF($NP$42="Bell_Curve",$NN$42*(116-$NR$42+1)*($NS$42-116+1)/$NU$42,$NN$42/$NT$42)),0)</f>
        <v/>
      </c>
      <c r="DQ42" s="402">
        <f>IF(AND(117&gt;=$NR$42,117&lt;=$NS$42),IF($NP$42="Single_Point",IF(117=$NR$42,$NN$42,0),IF($NP$42="Bell_Curve",$NN$42*(117-$NR$42+1)*($NS$42-117+1)/$NU$42,$NN$42/$NT$42)),0)</f>
        <v/>
      </c>
      <c r="DR42" s="402">
        <f>IF(AND(118&gt;=$NR$42,118&lt;=$NS$42),IF($NP$42="Single_Point",IF(118=$NR$42,$NN$42,0),IF($NP$42="Bell_Curve",$NN$42*(118-$NR$42+1)*($NS$42-118+1)/$NU$42,$NN$42/$NT$42)),0)</f>
        <v/>
      </c>
      <c r="DS42" s="402">
        <f>IF(AND(119&gt;=$NR$42,119&lt;=$NS$42),IF($NP$42="Single_Point",IF(119=$NR$42,$NN$42,0),IF($NP$42="Bell_Curve",$NN$42*(119-$NR$42+1)*($NS$42-119+1)/$NU$42,$NN$42/$NT$42)),0)</f>
        <v/>
      </c>
      <c r="DT42" s="402">
        <f>IF(AND(120&gt;=$NR$42,120&lt;=$NS$42),IF($NP$42="Single_Point",IF(120=$NR$42,$NN$42,0),IF($NP$42="Bell_Curve",$NN$42*(120-$NR$42+1)*($NS$42-120+1)/$NU$42,$NN$42/$NT$42)),0)</f>
        <v/>
      </c>
      <c r="DU42" s="402">
        <f>IF(AND(121&gt;=$NR$42,121&lt;=$NS$42),IF($NP$42="Single_Point",IF(121=$NR$42,$NN$42,0),IF($NP$42="Bell_Curve",$NN$42*(121-$NR$42+1)*($NS$42-121+1)/$NU$42,$NN$42/$NT$42)),0)</f>
        <v/>
      </c>
      <c r="DV42" s="402">
        <f>IF(AND(122&gt;=$NR$42,122&lt;=$NS$42),IF($NP$42="Single_Point",IF(122=$NR$42,$NN$42,0),IF($NP$42="Bell_Curve",$NN$42*(122-$NR$42+1)*($NS$42-122+1)/$NU$42,$NN$42/$NT$42)),0)</f>
        <v/>
      </c>
      <c r="DW42" s="402">
        <f>IF(AND(123&gt;=$NR$42,123&lt;=$NS$42),IF($NP$42="Single_Point",IF(123=$NR$42,$NN$42,0),IF($NP$42="Bell_Curve",$NN$42*(123-$NR$42+1)*($NS$42-123+1)/$NU$42,$NN$42/$NT$42)),0)</f>
        <v/>
      </c>
      <c r="DX42" s="402">
        <f>IF(AND(124&gt;=$NR$42,124&lt;=$NS$42),IF($NP$42="Single_Point",IF(124=$NR$42,$NN$42,0),IF($NP$42="Bell_Curve",$NN$42*(124-$NR$42+1)*($NS$42-124+1)/$NU$42,$NN$42/$NT$42)),0)</f>
        <v/>
      </c>
      <c r="DY42" s="402">
        <f>IF(AND(125&gt;=$NR$42,125&lt;=$NS$42),IF($NP$42="Single_Point",IF(125=$NR$42,$NN$42,0),IF($NP$42="Bell_Curve",$NN$42*(125-$NR$42+1)*($NS$42-125+1)/$NU$42,$NN$42/$NT$42)),0)</f>
        <v/>
      </c>
      <c r="DZ42" s="402">
        <f>IF(AND(126&gt;=$NR$42,126&lt;=$NS$42),IF($NP$42="Single_Point",IF(126=$NR$42,$NN$42,0),IF($NP$42="Bell_Curve",$NN$42*(126-$NR$42+1)*($NS$42-126+1)/$NU$42,$NN$42/$NT$42)),0)</f>
        <v/>
      </c>
      <c r="EA42" s="402">
        <f>IF(AND(127&gt;=$NR$42,127&lt;=$NS$42),IF($NP$42="Single_Point",IF(127=$NR$42,$NN$42,0),IF($NP$42="Bell_Curve",$NN$42*(127-$NR$42+1)*($NS$42-127+1)/$NU$42,$NN$42/$NT$42)),0)</f>
        <v/>
      </c>
      <c r="EB42" s="402">
        <f>IF(AND(128&gt;=$NR$42,128&lt;=$NS$42),IF($NP$42="Single_Point",IF(128=$NR$42,$NN$42,0),IF($NP$42="Bell_Curve",$NN$42*(128-$NR$42+1)*($NS$42-128+1)/$NU$42,$NN$42/$NT$42)),0)</f>
        <v/>
      </c>
      <c r="EC42" s="402">
        <f>IF(AND(129&gt;=$NR$42,129&lt;=$NS$42),IF($NP$42="Single_Point",IF(129=$NR$42,$NN$42,0),IF($NP$42="Bell_Curve",$NN$42*(129-$NR$42+1)*($NS$42-129+1)/$NU$42,$NN$42/$NT$42)),0)</f>
        <v/>
      </c>
      <c r="ED42" s="402">
        <f>IF(AND(130&gt;=$NR$42,130&lt;=$NS$42),IF($NP$42="Single_Point",IF(130=$NR$42,$NN$42,0),IF($NP$42="Bell_Curve",$NN$42*(130-$NR$42+1)*($NS$42-130+1)/$NU$42,$NN$42/$NT$42)),0)</f>
        <v/>
      </c>
      <c r="EE42" s="402">
        <f>IF(AND(131&gt;=$NR$42,131&lt;=$NS$42),IF($NP$42="Single_Point",IF(131=$NR$42,$NN$42,0),IF($NP$42="Bell_Curve",$NN$42*(131-$NR$42+1)*($NS$42-131+1)/$NU$42,$NN$42/$NT$42)),0)</f>
        <v/>
      </c>
      <c r="EF42" s="402">
        <f>IF(AND(132&gt;=$NR$42,132&lt;=$NS$42),IF($NP$42="Single_Point",IF(132=$NR$42,$NN$42,0),IF($NP$42="Bell_Curve",$NN$42*(132-$NR$42+1)*($NS$42-132+1)/$NU$42,$NN$42/$NT$42)),0)</f>
        <v/>
      </c>
      <c r="EG42" s="402">
        <f>IF(AND(133&gt;=$NR$42,133&lt;=$NS$42),IF($NP$42="Single_Point",IF(133=$NR$42,$NN$42,0),IF($NP$42="Bell_Curve",$NN$42*(133-$NR$42+1)*($NS$42-133+1)/$NU$42,$NN$42/$NT$42)),0)</f>
        <v/>
      </c>
      <c r="EH42" s="402">
        <f>IF(AND(134&gt;=$NR$42,134&lt;=$NS$42),IF($NP$42="Single_Point",IF(134=$NR$42,$NN$42,0),IF($NP$42="Bell_Curve",$NN$42*(134-$NR$42+1)*($NS$42-134+1)/$NU$42,$NN$42/$NT$42)),0)</f>
        <v/>
      </c>
      <c r="EI42" s="402">
        <f>IF(AND(135&gt;=$NR$42,135&lt;=$NS$42),IF($NP$42="Single_Point",IF(135=$NR$42,$NN$42,0),IF($NP$42="Bell_Curve",$NN$42*(135-$NR$42+1)*($NS$42-135+1)/$NU$42,$NN$42/$NT$42)),0)</f>
        <v/>
      </c>
      <c r="EJ42" s="402">
        <f>IF(AND(136&gt;=$NR$42,136&lt;=$NS$42),IF($NP$42="Single_Point",IF(136=$NR$42,$NN$42,0),IF($NP$42="Bell_Curve",$NN$42*(136-$NR$42+1)*($NS$42-136+1)/$NU$42,$NN$42/$NT$42)),0)</f>
        <v/>
      </c>
      <c r="EK42" s="402">
        <f>IF(AND(137&gt;=$NR$42,137&lt;=$NS$42),IF($NP$42="Single_Point",IF(137=$NR$42,$NN$42,0),IF($NP$42="Bell_Curve",$NN$42*(137-$NR$42+1)*($NS$42-137+1)/$NU$42,$NN$42/$NT$42)),0)</f>
        <v/>
      </c>
      <c r="EL42" s="402">
        <f>IF(AND(138&gt;=$NR$42,138&lt;=$NS$42),IF($NP$42="Single_Point",IF(138=$NR$42,$NN$42,0),IF($NP$42="Bell_Curve",$NN$42*(138-$NR$42+1)*($NS$42-138+1)/$NU$42,$NN$42/$NT$42)),0)</f>
        <v/>
      </c>
      <c r="EM42" s="402">
        <f>IF(AND(139&gt;=$NR$42,139&lt;=$NS$42),IF($NP$42="Single_Point",IF(139=$NR$42,$NN$42,0),IF($NP$42="Bell_Curve",$NN$42*(139-$NR$42+1)*($NS$42-139+1)/$NU$42,$NN$42/$NT$42)),0)</f>
        <v/>
      </c>
      <c r="EN42" s="402">
        <f>IF(AND(140&gt;=$NR$42,140&lt;=$NS$42),IF($NP$42="Single_Point",IF(140=$NR$42,$NN$42,0),IF($NP$42="Bell_Curve",$NN$42*(140-$NR$42+1)*($NS$42-140+1)/$NU$42,$NN$42/$NT$42)),0)</f>
        <v/>
      </c>
      <c r="EO42" s="402">
        <f>IF(AND(141&gt;=$NR$42,141&lt;=$NS$42),IF($NP$42="Single_Point",IF(141=$NR$42,$NN$42,0),IF($NP$42="Bell_Curve",$NN$42*(141-$NR$42+1)*($NS$42-141+1)/$NU$42,$NN$42/$NT$42)),0)</f>
        <v/>
      </c>
      <c r="EP42" s="402">
        <f>IF(AND(142&gt;=$NR$42,142&lt;=$NS$42),IF($NP$42="Single_Point",IF(142=$NR$42,$NN$42,0),IF($NP$42="Bell_Curve",$NN$42*(142-$NR$42+1)*($NS$42-142+1)/$NU$42,$NN$42/$NT$42)),0)</f>
        <v/>
      </c>
      <c r="EQ42" s="402">
        <f>IF(AND(143&gt;=$NR$42,143&lt;=$NS$42),IF($NP$42="Single_Point",IF(143=$NR$42,$NN$42,0),IF($NP$42="Bell_Curve",$NN$42*(143-$NR$42+1)*($NS$42-143+1)/$NU$42,$NN$42/$NT$42)),0)</f>
        <v/>
      </c>
      <c r="ER42" s="402">
        <f>IF(AND(144&gt;=$NR$42,144&lt;=$NS$42),IF($NP$42="Single_Point",IF(144=$NR$42,$NN$42,0),IF($NP$42="Bell_Curve",$NN$42*(144-$NR$42+1)*($NS$42-144+1)/$NU$42,$NN$42/$NT$42)),0)</f>
        <v/>
      </c>
      <c r="ES42" s="402">
        <f>IF(AND(145&gt;=$NR$42,145&lt;=$NS$42),IF($NP$42="Single_Point",IF(145=$NR$42,$NN$42,0),IF($NP$42="Bell_Curve",$NN$42*(145-$NR$42+1)*($NS$42-145+1)/$NU$42,$NN$42/$NT$42)),0)</f>
        <v/>
      </c>
      <c r="ET42" s="402">
        <f>IF(AND(146&gt;=$NR$42,146&lt;=$NS$42),IF($NP$42="Single_Point",IF(146=$NR$42,$NN$42,0),IF($NP$42="Bell_Curve",$NN$42*(146-$NR$42+1)*($NS$42-146+1)/$NU$42,$NN$42/$NT$42)),0)</f>
        <v/>
      </c>
      <c r="EU42" s="402">
        <f>IF(AND(147&gt;=$NR$42,147&lt;=$NS$42),IF($NP$42="Single_Point",IF(147=$NR$42,$NN$42,0),IF($NP$42="Bell_Curve",$NN$42*(147-$NR$42+1)*($NS$42-147+1)/$NU$42,$NN$42/$NT$42)),0)</f>
        <v/>
      </c>
      <c r="EV42" s="402">
        <f>IF(AND(148&gt;=$NR$42,148&lt;=$NS$42),IF($NP$42="Single_Point",IF(148=$NR$42,$NN$42,0),IF($NP$42="Bell_Curve",$NN$42*(148-$NR$42+1)*($NS$42-148+1)/$NU$42,$NN$42/$NT$42)),0)</f>
        <v/>
      </c>
      <c r="EW42" s="402">
        <f>IF(AND(149&gt;=$NR$42,149&lt;=$NS$42),IF($NP$42="Single_Point",IF(149=$NR$42,$NN$42,0),IF($NP$42="Bell_Curve",$NN$42*(149-$NR$42+1)*($NS$42-149+1)/$NU$42,$NN$42/$NT$42)),0)</f>
        <v/>
      </c>
      <c r="EX42" s="402">
        <f>IF(AND(150&gt;=$NR$42,150&lt;=$NS$42),IF($NP$42="Single_Point",IF(150=$NR$42,$NN$42,0),IF($NP$42="Bell_Curve",$NN$42*(150-$NR$42+1)*($NS$42-150+1)/$NU$42,$NN$42/$NT$42)),0)</f>
        <v/>
      </c>
      <c r="EY42" s="402">
        <f>IF(AND(151&gt;=$NR$42,151&lt;=$NS$42),IF($NP$42="Single_Point",IF(151=$NR$42,$NN$42,0),IF($NP$42="Bell_Curve",$NN$42*(151-$NR$42+1)*($NS$42-151+1)/$NU$42,$NN$42/$NT$42)),0)</f>
        <v/>
      </c>
      <c r="EZ42" s="402">
        <f>IF(AND(152&gt;=$NR$42,152&lt;=$NS$42),IF($NP$42="Single_Point",IF(152=$NR$42,$NN$42,0),IF($NP$42="Bell_Curve",$NN$42*(152-$NR$42+1)*($NS$42-152+1)/$NU$42,$NN$42/$NT$42)),0)</f>
        <v/>
      </c>
      <c r="FA42" s="402">
        <f>IF(AND(153&gt;=$NR$42,153&lt;=$NS$42),IF($NP$42="Single_Point",IF(153=$NR$42,$NN$42,0),IF($NP$42="Bell_Curve",$NN$42*(153-$NR$42+1)*($NS$42-153+1)/$NU$42,$NN$42/$NT$42)),0)</f>
        <v/>
      </c>
      <c r="FB42" s="402">
        <f>IF(AND(154&gt;=$NR$42,154&lt;=$NS$42),IF($NP$42="Single_Point",IF(154=$NR$42,$NN$42,0),IF($NP$42="Bell_Curve",$NN$42*(154-$NR$42+1)*($NS$42-154+1)/$NU$42,$NN$42/$NT$42)),0)</f>
        <v/>
      </c>
      <c r="FC42" s="402">
        <f>IF(AND(155&gt;=$NR$42,155&lt;=$NS$42),IF($NP$42="Single_Point",IF(155=$NR$42,$NN$42,0),IF($NP$42="Bell_Curve",$NN$42*(155-$NR$42+1)*($NS$42-155+1)/$NU$42,$NN$42/$NT$42)),0)</f>
        <v/>
      </c>
      <c r="FD42" s="402">
        <f>IF(AND(156&gt;=$NR$42,156&lt;=$NS$42),IF($NP$42="Single_Point",IF(156=$NR$42,$NN$42,0),IF($NP$42="Bell_Curve",$NN$42*(156-$NR$42+1)*($NS$42-156+1)/$NU$42,$NN$42/$NT$42)),0)</f>
        <v/>
      </c>
      <c r="FE42" s="402">
        <f>IF(AND(157&gt;=$NR$42,157&lt;=$NS$42),IF($NP$42="Single_Point",IF(157=$NR$42,$NN$42,0),IF($NP$42="Bell_Curve",$NN$42*(157-$NR$42+1)*($NS$42-157+1)/$NU$42,$NN$42/$NT$42)),0)</f>
        <v/>
      </c>
      <c r="FF42" s="402">
        <f>IF(AND(158&gt;=$NR$42,158&lt;=$NS$42),IF($NP$42="Single_Point",IF(158=$NR$42,$NN$42,0),IF($NP$42="Bell_Curve",$NN$42*(158-$NR$42+1)*($NS$42-158+1)/$NU$42,$NN$42/$NT$42)),0)</f>
        <v/>
      </c>
      <c r="FG42" s="402">
        <f>IF(AND(159&gt;=$NR$42,159&lt;=$NS$42),IF($NP$42="Single_Point",IF(159=$NR$42,$NN$42,0),IF($NP$42="Bell_Curve",$NN$42*(159-$NR$42+1)*($NS$42-159+1)/$NU$42,$NN$42/$NT$42)),0)</f>
        <v/>
      </c>
      <c r="FH42" s="402">
        <f>IF(AND(160&gt;=$NR$42,160&lt;=$NS$42),IF($NP$42="Single_Point",IF(160=$NR$42,$NN$42,0),IF($NP$42="Bell_Curve",$NN$42*(160-$NR$42+1)*($NS$42-160+1)/$NU$42,$NN$42/$NT$42)),0)</f>
        <v/>
      </c>
      <c r="FI42" s="402">
        <f>IF(AND(161&gt;=$NR$42,161&lt;=$NS$42),IF($NP$42="Single_Point",IF(161=$NR$42,$NN$42,0),IF($NP$42="Bell_Curve",$NN$42*(161-$NR$42+1)*($NS$42-161+1)/$NU$42,$NN$42/$NT$42)),0)</f>
        <v/>
      </c>
      <c r="FJ42" s="402">
        <f>IF(AND(162&gt;=$NR$42,162&lt;=$NS$42),IF($NP$42="Single_Point",IF(162=$NR$42,$NN$42,0),IF($NP$42="Bell_Curve",$NN$42*(162-$NR$42+1)*($NS$42-162+1)/$NU$42,$NN$42/$NT$42)),0)</f>
        <v/>
      </c>
      <c r="FK42" s="402">
        <f>IF(AND(163&gt;=$NR$42,163&lt;=$NS$42),IF($NP$42="Single_Point",IF(163=$NR$42,$NN$42,0),IF($NP$42="Bell_Curve",$NN$42*(163-$NR$42+1)*($NS$42-163+1)/$NU$42,$NN$42/$NT$42)),0)</f>
        <v/>
      </c>
      <c r="FL42" s="402">
        <f>IF(AND(164&gt;=$NR$42,164&lt;=$NS$42),IF($NP$42="Single_Point",IF(164=$NR$42,$NN$42,0),IF($NP$42="Bell_Curve",$NN$42*(164-$NR$42+1)*($NS$42-164+1)/$NU$42,$NN$42/$NT$42)),0)</f>
        <v/>
      </c>
      <c r="FM42" s="402">
        <f>IF(AND(165&gt;=$NR$42,165&lt;=$NS$42),IF($NP$42="Single_Point",IF(165=$NR$42,$NN$42,0),IF($NP$42="Bell_Curve",$NN$42*(165-$NR$42+1)*($NS$42-165+1)/$NU$42,$NN$42/$NT$42)),0)</f>
        <v/>
      </c>
      <c r="FN42" s="402">
        <f>IF(AND(166&gt;=$NR$42,166&lt;=$NS$42),IF($NP$42="Single_Point",IF(166=$NR$42,$NN$42,0),IF($NP$42="Bell_Curve",$NN$42*(166-$NR$42+1)*($NS$42-166+1)/$NU$42,$NN$42/$NT$42)),0)</f>
        <v/>
      </c>
      <c r="FO42" s="402">
        <f>IF(AND(167&gt;=$NR$42,167&lt;=$NS$42),IF($NP$42="Single_Point",IF(167=$NR$42,$NN$42,0),IF($NP$42="Bell_Curve",$NN$42*(167-$NR$42+1)*($NS$42-167+1)/$NU$42,$NN$42/$NT$42)),0)</f>
        <v/>
      </c>
      <c r="FP42" s="402">
        <f>IF(AND(168&gt;=$NR$42,168&lt;=$NS$42),IF($NP$42="Single_Point",IF(168=$NR$42,$NN$42,0),IF($NP$42="Bell_Curve",$NN$42*(168-$NR$42+1)*($NS$42-168+1)/$NU$42,$NN$42/$NT$42)),0)</f>
        <v/>
      </c>
      <c r="FQ42" s="402">
        <f>IF(AND(169&gt;=$NR$42,169&lt;=$NS$42),IF($NP$42="Single_Point",IF(169=$NR$42,$NN$42,0),IF($NP$42="Bell_Curve",$NN$42*(169-$NR$42+1)*($NS$42-169+1)/$NU$42,$NN$42/$NT$42)),0)</f>
        <v/>
      </c>
      <c r="FR42" s="402">
        <f>IF(AND(170&gt;=$NR$42,170&lt;=$NS$42),IF($NP$42="Single_Point",IF(170=$NR$42,$NN$42,0),IF($NP$42="Bell_Curve",$NN$42*(170-$NR$42+1)*($NS$42-170+1)/$NU$42,$NN$42/$NT$42)),0)</f>
        <v/>
      </c>
      <c r="FS42" s="402">
        <f>IF(AND(171&gt;=$NR$42,171&lt;=$NS$42),IF($NP$42="Single_Point",IF(171=$NR$42,$NN$42,0),IF($NP$42="Bell_Curve",$NN$42*(171-$NR$42+1)*($NS$42-171+1)/$NU$42,$NN$42/$NT$42)),0)</f>
        <v/>
      </c>
      <c r="FT42" s="402">
        <f>IF(AND(172&gt;=$NR$42,172&lt;=$NS$42),IF($NP$42="Single_Point",IF(172=$NR$42,$NN$42,0),IF($NP$42="Bell_Curve",$NN$42*(172-$NR$42+1)*($NS$42-172+1)/$NU$42,$NN$42/$NT$42)),0)</f>
        <v/>
      </c>
      <c r="FU42" s="402">
        <f>IF(AND(173&gt;=$NR$42,173&lt;=$NS$42),IF($NP$42="Single_Point",IF(173=$NR$42,$NN$42,0),IF($NP$42="Bell_Curve",$NN$42*(173-$NR$42+1)*($NS$42-173+1)/$NU$42,$NN$42/$NT$42)),0)</f>
        <v/>
      </c>
      <c r="FV42" s="402">
        <f>IF(AND(174&gt;=$NR$42,174&lt;=$NS$42),IF($NP$42="Single_Point",IF(174=$NR$42,$NN$42,0),IF($NP$42="Bell_Curve",$NN$42*(174-$NR$42+1)*($NS$42-174+1)/$NU$42,$NN$42/$NT$42)),0)</f>
        <v/>
      </c>
      <c r="FW42" s="402">
        <f>IF(AND(175&gt;=$NR$42,175&lt;=$NS$42),IF($NP$42="Single_Point",IF(175=$NR$42,$NN$42,0),IF($NP$42="Bell_Curve",$NN$42*(175-$NR$42+1)*($NS$42-175+1)/$NU$42,$NN$42/$NT$42)),0)</f>
        <v/>
      </c>
      <c r="FX42" s="402">
        <f>IF(AND(176&gt;=$NR$42,176&lt;=$NS$42),IF($NP$42="Single_Point",IF(176=$NR$42,$NN$42,0),IF($NP$42="Bell_Curve",$NN$42*(176-$NR$42+1)*($NS$42-176+1)/$NU$42,$NN$42/$NT$42)),0)</f>
        <v/>
      </c>
      <c r="FY42" s="402">
        <f>IF(AND(177&gt;=$NR$42,177&lt;=$NS$42),IF($NP$42="Single_Point",IF(177=$NR$42,$NN$42,0),IF($NP$42="Bell_Curve",$NN$42*(177-$NR$42+1)*($NS$42-177+1)/$NU$42,$NN$42/$NT$42)),0)</f>
        <v/>
      </c>
      <c r="FZ42" s="402">
        <f>IF(AND(178&gt;=$NR$42,178&lt;=$NS$42),IF($NP$42="Single_Point",IF(178=$NR$42,$NN$42,0),IF($NP$42="Bell_Curve",$NN$42*(178-$NR$42+1)*($NS$42-178+1)/$NU$42,$NN$42/$NT$42)),0)</f>
        <v/>
      </c>
      <c r="GA42" s="402">
        <f>IF(AND(179&gt;=$NR$42,179&lt;=$NS$42),IF($NP$42="Single_Point",IF(179=$NR$42,$NN$42,0),IF($NP$42="Bell_Curve",$NN$42*(179-$NR$42+1)*($NS$42-179+1)/$NU$42,$NN$42/$NT$42)),0)</f>
        <v/>
      </c>
      <c r="GB42" s="402">
        <f>IF(AND(180&gt;=$NR$42,180&lt;=$NS$42),IF($NP$42="Single_Point",IF(180=$NR$42,$NN$42,0),IF($NP$42="Bell_Curve",$NN$42*(180-$NR$42+1)*($NS$42-180+1)/$NU$42,$NN$42/$NT$42)),0)</f>
        <v/>
      </c>
      <c r="GC42" s="402">
        <f>IF(AND(181&gt;=$NR$42,181&lt;=$NS$42),IF($NP$42="Single_Point",IF(181=$NR$42,$NN$42,0),IF($NP$42="Bell_Curve",$NN$42*(181-$NR$42+1)*($NS$42-181+1)/$NU$42,$NN$42/$NT$42)),0)</f>
        <v/>
      </c>
      <c r="GD42" s="402">
        <f>IF(AND(182&gt;=$NR$42,182&lt;=$NS$42),IF($NP$42="Single_Point",IF(182=$NR$42,$NN$42,0),IF($NP$42="Bell_Curve",$NN$42*(182-$NR$42+1)*($NS$42-182+1)/$NU$42,$NN$42/$NT$42)),0)</f>
        <v/>
      </c>
      <c r="GE42" s="402">
        <f>IF(AND(183&gt;=$NR$42,183&lt;=$NS$42),IF($NP$42="Single_Point",IF(183=$NR$42,$NN$42,0),IF($NP$42="Bell_Curve",$NN$42*(183-$NR$42+1)*($NS$42-183+1)/$NU$42,$NN$42/$NT$42)),0)</f>
        <v/>
      </c>
      <c r="GF42" s="402">
        <f>IF(AND(184&gt;=$NR$42,184&lt;=$NS$42),IF($NP$42="Single_Point",IF(184=$NR$42,$NN$42,0),IF($NP$42="Bell_Curve",$NN$42*(184-$NR$42+1)*($NS$42-184+1)/$NU$42,$NN$42/$NT$42)),0)</f>
        <v/>
      </c>
      <c r="GG42" s="402">
        <f>IF(AND(185&gt;=$NR$42,185&lt;=$NS$42),IF($NP$42="Single_Point",IF(185=$NR$42,$NN$42,0),IF($NP$42="Bell_Curve",$NN$42*(185-$NR$42+1)*($NS$42-185+1)/$NU$42,$NN$42/$NT$42)),0)</f>
        <v/>
      </c>
      <c r="GH42" s="402">
        <f>IF(AND(186&gt;=$NR$42,186&lt;=$NS$42),IF($NP$42="Single_Point",IF(186=$NR$42,$NN$42,0),IF($NP$42="Bell_Curve",$NN$42*(186-$NR$42+1)*($NS$42-186+1)/$NU$42,$NN$42/$NT$42)),0)</f>
        <v/>
      </c>
      <c r="GI42" s="402">
        <f>IF(AND(187&gt;=$NR$42,187&lt;=$NS$42),IF($NP$42="Single_Point",IF(187=$NR$42,$NN$42,0),IF($NP$42="Bell_Curve",$NN$42*(187-$NR$42+1)*($NS$42-187+1)/$NU$42,$NN$42/$NT$42)),0)</f>
        <v/>
      </c>
      <c r="GJ42" s="402">
        <f>IF(AND(188&gt;=$NR$42,188&lt;=$NS$42),IF($NP$42="Single_Point",IF(188=$NR$42,$NN$42,0),IF($NP$42="Bell_Curve",$NN$42*(188-$NR$42+1)*($NS$42-188+1)/$NU$42,$NN$42/$NT$42)),0)</f>
        <v/>
      </c>
      <c r="GK42" s="402">
        <f>IF(AND(189&gt;=$NR$42,189&lt;=$NS$42),IF($NP$42="Single_Point",IF(189=$NR$42,$NN$42,0),IF($NP$42="Bell_Curve",$NN$42*(189-$NR$42+1)*($NS$42-189+1)/$NU$42,$NN$42/$NT$42)),0)</f>
        <v/>
      </c>
      <c r="GL42" s="402">
        <f>IF(AND(190&gt;=$NR$42,190&lt;=$NS$42),IF($NP$42="Single_Point",IF(190=$NR$42,$NN$42,0),IF($NP$42="Bell_Curve",$NN$42*(190-$NR$42+1)*($NS$42-190+1)/$NU$42,$NN$42/$NT$42)),0)</f>
        <v/>
      </c>
      <c r="GM42" s="402">
        <f>IF(AND(191&gt;=$NR$42,191&lt;=$NS$42),IF($NP$42="Single_Point",IF(191=$NR$42,$NN$42,0),IF($NP$42="Bell_Curve",$NN$42*(191-$NR$42+1)*($NS$42-191+1)/$NU$42,$NN$42/$NT$42)),0)</f>
        <v/>
      </c>
      <c r="GN42" s="402">
        <f>IF(AND(192&gt;=$NR$42,192&lt;=$NS$42),IF($NP$42="Single_Point",IF(192=$NR$42,$NN$42,0),IF($NP$42="Bell_Curve",$NN$42*(192-$NR$42+1)*($NS$42-192+1)/$NU$42,$NN$42/$NT$42)),0)</f>
        <v/>
      </c>
      <c r="GO42" s="402">
        <f>IF(AND(193&gt;=$NR$42,193&lt;=$NS$42),IF($NP$42="Single_Point",IF(193=$NR$42,$NN$42,0),IF($NP$42="Bell_Curve",$NN$42*(193-$NR$42+1)*($NS$42-193+1)/$NU$42,$NN$42/$NT$42)),0)</f>
        <v/>
      </c>
      <c r="GP42" s="402">
        <f>IF(AND(194&gt;=$NR$42,194&lt;=$NS$42),IF($NP$42="Single_Point",IF(194=$NR$42,$NN$42,0),IF($NP$42="Bell_Curve",$NN$42*(194-$NR$42+1)*($NS$42-194+1)/$NU$42,$NN$42/$NT$42)),0)</f>
        <v/>
      </c>
      <c r="GQ42" s="402">
        <f>IF(AND(195&gt;=$NR$42,195&lt;=$NS$42),IF($NP$42="Single_Point",IF(195=$NR$42,$NN$42,0),IF($NP$42="Bell_Curve",$NN$42*(195-$NR$42+1)*($NS$42-195+1)/$NU$42,$NN$42/$NT$42)),0)</f>
        <v/>
      </c>
      <c r="GR42" s="402">
        <f>IF(AND(196&gt;=$NR$42,196&lt;=$NS$42),IF($NP$42="Single_Point",IF(196=$NR$42,$NN$42,0),IF($NP$42="Bell_Curve",$NN$42*(196-$NR$42+1)*($NS$42-196+1)/$NU$42,$NN$42/$NT$42)),0)</f>
        <v/>
      </c>
      <c r="GS42" s="402">
        <f>IF(AND(197&gt;=$NR$42,197&lt;=$NS$42),IF($NP$42="Single_Point",IF(197=$NR$42,$NN$42,0),IF($NP$42="Bell_Curve",$NN$42*(197-$NR$42+1)*($NS$42-197+1)/$NU$42,$NN$42/$NT$42)),0)</f>
        <v/>
      </c>
      <c r="GT42" s="402">
        <f>IF(AND(198&gt;=$NR$42,198&lt;=$NS$42),IF($NP$42="Single_Point",IF(198=$NR$42,$NN$42,0),IF($NP$42="Bell_Curve",$NN$42*(198-$NR$42+1)*($NS$42-198+1)/$NU$42,$NN$42/$NT$42)),0)</f>
        <v/>
      </c>
      <c r="GU42" s="402">
        <f>IF(AND(199&gt;=$NR$42,199&lt;=$NS$42),IF($NP$42="Single_Point",IF(199=$NR$42,$NN$42,0),IF($NP$42="Bell_Curve",$NN$42*(199-$NR$42+1)*($NS$42-199+1)/$NU$42,$NN$42/$NT$42)),0)</f>
        <v/>
      </c>
      <c r="GV42" s="402">
        <f>IF(AND(200&gt;=$NR$42,200&lt;=$NS$42),IF($NP$42="Single_Point",IF(200=$NR$42,$NN$42,0),IF($NP$42="Bell_Curve",$NN$42*(200-$NR$42+1)*($NS$42-200+1)/$NU$42,$NN$42/$NT$42)),0)</f>
        <v/>
      </c>
      <c r="GW42" s="402">
        <f>IF(AND(201&gt;=$NR$42,201&lt;=$NS$42),IF($NP$42="Single_Point",IF(201=$NR$42,$NN$42,0),IF($NP$42="Bell_Curve",$NN$42*(201-$NR$42+1)*($NS$42-201+1)/$NU$42,$NN$42/$NT$42)),0)</f>
        <v/>
      </c>
      <c r="GX42" s="402">
        <f>IF(AND(202&gt;=$NR$42,202&lt;=$NS$42),IF($NP$42="Single_Point",IF(202=$NR$42,$NN$42,0),IF($NP$42="Bell_Curve",$NN$42*(202-$NR$42+1)*($NS$42-202+1)/$NU$42,$NN$42/$NT$42)),0)</f>
        <v/>
      </c>
      <c r="GY42" s="402">
        <f>IF(AND(203&gt;=$NR$42,203&lt;=$NS$42),IF($NP$42="Single_Point",IF(203=$NR$42,$NN$42,0),IF($NP$42="Bell_Curve",$NN$42*(203-$NR$42+1)*($NS$42-203+1)/$NU$42,$NN$42/$NT$42)),0)</f>
        <v/>
      </c>
      <c r="GZ42" s="402">
        <f>IF(AND(204&gt;=$NR$42,204&lt;=$NS$42),IF($NP$42="Single_Point",IF(204=$NR$42,$NN$42,0),IF($NP$42="Bell_Curve",$NN$42*(204-$NR$42+1)*($NS$42-204+1)/$NU$42,$NN$42/$NT$42)),0)</f>
        <v/>
      </c>
      <c r="HA42" s="402">
        <f>IF(AND(205&gt;=$NR$42,205&lt;=$NS$42),IF($NP$42="Single_Point",IF(205=$NR$42,$NN$42,0),IF($NP$42="Bell_Curve",$NN$42*(205-$NR$42+1)*($NS$42-205+1)/$NU$42,$NN$42/$NT$42)),0)</f>
        <v/>
      </c>
      <c r="HB42" s="402">
        <f>IF(AND(206&gt;=$NR$42,206&lt;=$NS$42),IF($NP$42="Single_Point",IF(206=$NR$42,$NN$42,0),IF($NP$42="Bell_Curve",$NN$42*(206-$NR$42+1)*($NS$42-206+1)/$NU$42,$NN$42/$NT$42)),0)</f>
        <v/>
      </c>
      <c r="HC42" s="402">
        <f>IF(AND(207&gt;=$NR$42,207&lt;=$NS$42),IF($NP$42="Single_Point",IF(207=$NR$42,$NN$42,0),IF($NP$42="Bell_Curve",$NN$42*(207-$NR$42+1)*($NS$42-207+1)/$NU$42,$NN$42/$NT$42)),0)</f>
        <v/>
      </c>
      <c r="HD42" s="402">
        <f>IF(AND(208&gt;=$NR$42,208&lt;=$NS$42),IF($NP$42="Single_Point",IF(208=$NR$42,$NN$42,0),IF($NP$42="Bell_Curve",$NN$42*(208-$NR$42+1)*($NS$42-208+1)/$NU$42,$NN$42/$NT$42)),0)</f>
        <v/>
      </c>
      <c r="HE42" s="402">
        <f>IF(AND(209&gt;=$NR$42,209&lt;=$NS$42),IF($NP$42="Single_Point",IF(209=$NR$42,$NN$42,0),IF($NP$42="Bell_Curve",$NN$42*(209-$NR$42+1)*($NS$42-209+1)/$NU$42,$NN$42/$NT$42)),0)</f>
        <v/>
      </c>
      <c r="HF42" s="402">
        <f>IF(AND(210&gt;=$NR$42,210&lt;=$NS$42),IF($NP$42="Single_Point",IF(210=$NR$42,$NN$42,0),IF($NP$42="Bell_Curve",$NN$42*(210-$NR$42+1)*($NS$42-210+1)/$NU$42,$NN$42/$NT$42)),0)</f>
        <v/>
      </c>
      <c r="HG42" s="402">
        <f>IF(AND(211&gt;=$NR$42,211&lt;=$NS$42),IF($NP$42="Single_Point",IF(211=$NR$42,$NN$42,0),IF($NP$42="Bell_Curve",$NN$42*(211-$NR$42+1)*($NS$42-211+1)/$NU$42,$NN$42/$NT$42)),0)</f>
        <v/>
      </c>
      <c r="HH42" s="402">
        <f>IF(AND(212&gt;=$NR$42,212&lt;=$NS$42),IF($NP$42="Single_Point",IF(212=$NR$42,$NN$42,0),IF($NP$42="Bell_Curve",$NN$42*(212-$NR$42+1)*($NS$42-212+1)/$NU$42,$NN$42/$NT$42)),0)</f>
        <v/>
      </c>
      <c r="HI42" s="402">
        <f>IF(AND(213&gt;=$NR$42,213&lt;=$NS$42),IF($NP$42="Single_Point",IF(213=$NR$42,$NN$42,0),IF($NP$42="Bell_Curve",$NN$42*(213-$NR$42+1)*($NS$42-213+1)/$NU$42,$NN$42/$NT$42)),0)</f>
        <v/>
      </c>
      <c r="HJ42" s="402">
        <f>IF(AND(214&gt;=$NR$42,214&lt;=$NS$42),IF($NP$42="Single_Point",IF(214=$NR$42,$NN$42,0),IF($NP$42="Bell_Curve",$NN$42*(214-$NR$42+1)*($NS$42-214+1)/$NU$42,$NN$42/$NT$42)),0)</f>
        <v/>
      </c>
      <c r="HK42" s="402">
        <f>IF(AND(215&gt;=$NR$42,215&lt;=$NS$42),IF($NP$42="Single_Point",IF(215=$NR$42,$NN$42,0),IF($NP$42="Bell_Curve",$NN$42*(215-$NR$42+1)*($NS$42-215+1)/$NU$42,$NN$42/$NT$42)),0)</f>
        <v/>
      </c>
      <c r="HL42" s="402">
        <f>IF(AND(216&gt;=$NR$42,216&lt;=$NS$42),IF($NP$42="Single_Point",IF(216=$NR$42,$NN$42,0),IF($NP$42="Bell_Curve",$NN$42*(216-$NR$42+1)*($NS$42-216+1)/$NU$42,$NN$42/$NT$42)),0)</f>
        <v/>
      </c>
      <c r="HM42" s="402">
        <f>IF(AND(217&gt;=$NR$42,217&lt;=$NS$42),IF($NP$42="Single_Point",IF(217=$NR$42,$NN$42,0),IF($NP$42="Bell_Curve",$NN$42*(217-$NR$42+1)*($NS$42-217+1)/$NU$42,$NN$42/$NT$42)),0)</f>
        <v/>
      </c>
      <c r="HN42" s="402">
        <f>IF(AND(218&gt;=$NR$42,218&lt;=$NS$42),IF($NP$42="Single_Point",IF(218=$NR$42,$NN$42,0),IF($NP$42="Bell_Curve",$NN$42*(218-$NR$42+1)*($NS$42-218+1)/$NU$42,$NN$42/$NT$42)),0)</f>
        <v/>
      </c>
      <c r="HO42" s="402">
        <f>IF(AND(219&gt;=$NR$42,219&lt;=$NS$42),IF($NP$42="Single_Point",IF(219=$NR$42,$NN$42,0),IF($NP$42="Bell_Curve",$NN$42*(219-$NR$42+1)*($NS$42-219+1)/$NU$42,$NN$42/$NT$42)),0)</f>
        <v/>
      </c>
      <c r="HP42" s="402">
        <f>IF(AND(220&gt;=$NR$42,220&lt;=$NS$42),IF($NP$42="Single_Point",IF(220=$NR$42,$NN$42,0),IF($NP$42="Bell_Curve",$NN$42*(220-$NR$42+1)*($NS$42-220+1)/$NU$42,$NN$42/$NT$42)),0)</f>
        <v/>
      </c>
      <c r="HQ42" s="402">
        <f>IF(AND(221&gt;=$NR$42,221&lt;=$NS$42),IF($NP$42="Single_Point",IF(221=$NR$42,$NN$42,0),IF($NP$42="Bell_Curve",$NN$42*(221-$NR$42+1)*($NS$42-221+1)/$NU$42,$NN$42/$NT$42)),0)</f>
        <v/>
      </c>
      <c r="HR42" s="402">
        <f>IF(AND(222&gt;=$NR$42,222&lt;=$NS$42),IF($NP$42="Single_Point",IF(222=$NR$42,$NN$42,0),IF($NP$42="Bell_Curve",$NN$42*(222-$NR$42+1)*($NS$42-222+1)/$NU$42,$NN$42/$NT$42)),0)</f>
        <v/>
      </c>
      <c r="HS42" s="402">
        <f>IF(AND(223&gt;=$NR$42,223&lt;=$NS$42),IF($NP$42="Single_Point",IF(223=$NR$42,$NN$42,0),IF($NP$42="Bell_Curve",$NN$42*(223-$NR$42+1)*($NS$42-223+1)/$NU$42,$NN$42/$NT$42)),0)</f>
        <v/>
      </c>
      <c r="HT42" s="402">
        <f>IF(AND(224&gt;=$NR$42,224&lt;=$NS$42),IF($NP$42="Single_Point",IF(224=$NR$42,$NN$42,0),IF($NP$42="Bell_Curve",$NN$42*(224-$NR$42+1)*($NS$42-224+1)/$NU$42,$NN$42/$NT$42)),0)</f>
        <v/>
      </c>
      <c r="HU42" s="402">
        <f>IF(AND(225&gt;=$NR$42,225&lt;=$NS$42),IF($NP$42="Single_Point",IF(225=$NR$42,$NN$42,0),IF($NP$42="Bell_Curve",$NN$42*(225-$NR$42+1)*($NS$42-225+1)/$NU$42,$NN$42/$NT$42)),0)</f>
        <v/>
      </c>
      <c r="HV42" s="402">
        <f>IF(AND(226&gt;=$NR$42,226&lt;=$NS$42),IF($NP$42="Single_Point",IF(226=$NR$42,$NN$42,0),IF($NP$42="Bell_Curve",$NN$42*(226-$NR$42+1)*($NS$42-226+1)/$NU$42,$NN$42/$NT$42)),0)</f>
        <v/>
      </c>
      <c r="HW42" s="402">
        <f>IF(AND(227&gt;=$NR$42,227&lt;=$NS$42),IF($NP$42="Single_Point",IF(227=$NR$42,$NN$42,0),IF($NP$42="Bell_Curve",$NN$42*(227-$NR$42+1)*($NS$42-227+1)/$NU$42,$NN$42/$NT$42)),0)</f>
        <v/>
      </c>
      <c r="HX42" s="402">
        <f>IF(AND(228&gt;=$NR$42,228&lt;=$NS$42),IF($NP$42="Single_Point",IF(228=$NR$42,$NN$42,0),IF($NP$42="Bell_Curve",$NN$42*(228-$NR$42+1)*($NS$42-228+1)/$NU$42,$NN$42/$NT$42)),0)</f>
        <v/>
      </c>
      <c r="HY42" s="402">
        <f>IF(AND(229&gt;=$NR$42,229&lt;=$NS$42),IF($NP$42="Single_Point",IF(229=$NR$42,$NN$42,0),IF($NP$42="Bell_Curve",$NN$42*(229-$NR$42+1)*($NS$42-229+1)/$NU$42,$NN$42/$NT$42)),0)</f>
        <v/>
      </c>
      <c r="HZ42" s="402">
        <f>IF(AND(230&gt;=$NR$42,230&lt;=$NS$42),IF($NP$42="Single_Point",IF(230=$NR$42,$NN$42,0),IF($NP$42="Bell_Curve",$NN$42*(230-$NR$42+1)*($NS$42-230+1)/$NU$42,$NN$42/$NT$42)),0)</f>
        <v/>
      </c>
      <c r="IA42" s="402">
        <f>IF(AND(231&gt;=$NR$42,231&lt;=$NS$42),IF($NP$42="Single_Point",IF(231=$NR$42,$NN$42,0),IF($NP$42="Bell_Curve",$NN$42*(231-$NR$42+1)*($NS$42-231+1)/$NU$42,$NN$42/$NT$42)),0)</f>
        <v/>
      </c>
      <c r="IB42" s="402">
        <f>IF(AND(232&gt;=$NR$42,232&lt;=$NS$42),IF($NP$42="Single_Point",IF(232=$NR$42,$NN$42,0),IF($NP$42="Bell_Curve",$NN$42*(232-$NR$42+1)*($NS$42-232+1)/$NU$42,$NN$42/$NT$42)),0)</f>
        <v/>
      </c>
      <c r="IC42" s="402">
        <f>IF(AND(233&gt;=$NR$42,233&lt;=$NS$42),IF($NP$42="Single_Point",IF(233=$NR$42,$NN$42,0),IF($NP$42="Bell_Curve",$NN$42*(233-$NR$42+1)*($NS$42-233+1)/$NU$42,$NN$42/$NT$42)),0)</f>
        <v/>
      </c>
      <c r="ID42" s="402">
        <f>IF(AND(234&gt;=$NR$42,234&lt;=$NS$42),IF($NP$42="Single_Point",IF(234=$NR$42,$NN$42,0),IF($NP$42="Bell_Curve",$NN$42*(234-$NR$42+1)*($NS$42-234+1)/$NU$42,$NN$42/$NT$42)),0)</f>
        <v/>
      </c>
      <c r="IE42" s="402">
        <f>IF(AND(235&gt;=$NR$42,235&lt;=$NS$42),IF($NP$42="Single_Point",IF(235=$NR$42,$NN$42,0),IF($NP$42="Bell_Curve",$NN$42*(235-$NR$42+1)*($NS$42-235+1)/$NU$42,$NN$42/$NT$42)),0)</f>
        <v/>
      </c>
      <c r="IF42" s="402">
        <f>IF(AND(236&gt;=$NR$42,236&lt;=$NS$42),IF($NP$42="Single_Point",IF(236=$NR$42,$NN$42,0),IF($NP$42="Bell_Curve",$NN$42*(236-$NR$42+1)*($NS$42-236+1)/$NU$42,$NN$42/$NT$42)),0)</f>
        <v/>
      </c>
      <c r="IG42" s="402">
        <f>IF(AND(237&gt;=$NR$42,237&lt;=$NS$42),IF($NP$42="Single_Point",IF(237=$NR$42,$NN$42,0),IF($NP$42="Bell_Curve",$NN$42*(237-$NR$42+1)*($NS$42-237+1)/$NU$42,$NN$42/$NT$42)),0)</f>
        <v/>
      </c>
      <c r="IH42" s="402">
        <f>IF(AND(238&gt;=$NR$42,238&lt;=$NS$42),IF($NP$42="Single_Point",IF(238=$NR$42,$NN$42,0),IF($NP$42="Bell_Curve",$NN$42*(238-$NR$42+1)*($NS$42-238+1)/$NU$42,$NN$42/$NT$42)),0)</f>
        <v/>
      </c>
      <c r="II42" s="402">
        <f>IF(AND(239&gt;=$NR$42,239&lt;=$NS$42),IF($NP$42="Single_Point",IF(239=$NR$42,$NN$42,0),IF($NP$42="Bell_Curve",$NN$42*(239-$NR$42+1)*($NS$42-239+1)/$NU$42,$NN$42/$NT$42)),0)</f>
        <v/>
      </c>
      <c r="IJ42" s="402">
        <f>IF(AND(240&gt;=$NR$42,240&lt;=$NS$42),IF($NP$42="Single_Point",IF(240=$NR$42,$NN$42,0),IF($NP$42="Bell_Curve",$NN$42*(240-$NR$42+1)*($NS$42-240+1)/$NU$42,$NN$42/$NT$42)),0)</f>
        <v/>
      </c>
      <c r="IK42" s="402">
        <f>IF(AND(241&gt;=$NR$42,241&lt;=$NS$42),IF($NP$42="Single_Point",IF(241=$NR$42,$NN$42,0),IF($NP$42="Bell_Curve",$NN$42*(241-$NR$42+1)*($NS$42-241+1)/$NU$42,$NN$42/$NT$42)),0)</f>
        <v/>
      </c>
      <c r="IL42" s="402">
        <f>IF(AND(242&gt;=$NR$42,242&lt;=$NS$42),IF($NP$42="Single_Point",IF(242=$NR$42,$NN$42,0),IF($NP$42="Bell_Curve",$NN$42*(242-$NR$42+1)*($NS$42-242+1)/$NU$42,$NN$42/$NT$42)),0)</f>
        <v/>
      </c>
      <c r="IM42" s="402">
        <f>IF(AND(243&gt;=$NR$42,243&lt;=$NS$42),IF($NP$42="Single_Point",IF(243=$NR$42,$NN$42,0),IF($NP$42="Bell_Curve",$NN$42*(243-$NR$42+1)*($NS$42-243+1)/$NU$42,$NN$42/$NT$42)),0)</f>
        <v/>
      </c>
      <c r="IN42" s="402">
        <f>IF(AND(244&gt;=$NR$42,244&lt;=$NS$42),IF($NP$42="Single_Point",IF(244=$NR$42,$NN$42,0),IF($NP$42="Bell_Curve",$NN$42*(244-$NR$42+1)*($NS$42-244+1)/$NU$42,$NN$42/$NT$42)),0)</f>
        <v/>
      </c>
      <c r="IO42" s="402">
        <f>IF(AND(245&gt;=$NR$42,245&lt;=$NS$42),IF($NP$42="Single_Point",IF(245=$NR$42,$NN$42,0),IF($NP$42="Bell_Curve",$NN$42*(245-$NR$42+1)*($NS$42-245+1)/$NU$42,$NN$42/$NT$42)),0)</f>
        <v/>
      </c>
      <c r="IP42" s="402">
        <f>IF(AND(246&gt;=$NR$42,246&lt;=$NS$42),IF($NP$42="Single_Point",IF(246=$NR$42,$NN$42,0),IF($NP$42="Bell_Curve",$NN$42*(246-$NR$42+1)*($NS$42-246+1)/$NU$42,$NN$42/$NT$42)),0)</f>
        <v/>
      </c>
      <c r="IQ42" s="402">
        <f>IF(AND(247&gt;=$NR$42,247&lt;=$NS$42),IF($NP$42="Single_Point",IF(247=$NR$42,$NN$42,0),IF($NP$42="Bell_Curve",$NN$42*(247-$NR$42+1)*($NS$42-247+1)/$NU$42,$NN$42/$NT$42)),0)</f>
        <v/>
      </c>
      <c r="IR42" s="402">
        <f>IF(AND(248&gt;=$NR$42,248&lt;=$NS$42),IF($NP$42="Single_Point",IF(248=$NR$42,$NN$42,0),IF($NP$42="Bell_Curve",$NN$42*(248-$NR$42+1)*($NS$42-248+1)/$NU$42,$NN$42/$NT$42)),0)</f>
        <v/>
      </c>
      <c r="IS42" s="402">
        <f>IF(AND(249&gt;=$NR$42,249&lt;=$NS$42),IF($NP$42="Single_Point",IF(249=$NR$42,$NN$42,0),IF($NP$42="Bell_Curve",$NN$42*(249-$NR$42+1)*($NS$42-249+1)/$NU$42,$NN$42/$NT$42)),0)</f>
        <v/>
      </c>
      <c r="IT42" s="402">
        <f>IF(AND(250&gt;=$NR$42,250&lt;=$NS$42),IF($NP$42="Single_Point",IF(250=$NR$42,$NN$42,0),IF($NP$42="Bell_Curve",$NN$42*(250-$NR$42+1)*($NS$42-250+1)/$NU$42,$NN$42/$NT$42)),0)</f>
        <v/>
      </c>
      <c r="IU42" s="402">
        <f>IF(AND(251&gt;=$NR$42,251&lt;=$NS$42),IF($NP$42="Single_Point",IF(251=$NR$42,$NN$42,0),IF($NP$42="Bell_Curve",$NN$42*(251-$NR$42+1)*($NS$42-251+1)/$NU$42,$NN$42/$NT$42)),0)</f>
        <v/>
      </c>
      <c r="IV42" s="402">
        <f>IF(AND(252&gt;=$NR$42,252&lt;=$NS$42),IF($NP$42="Single_Point",IF(252=$NR$42,$NN$42,0),IF($NP$42="Bell_Curve",$NN$42*(252-$NR$42+1)*($NS$42-252+1)/$NU$42,$NN$42/$NT$42)),0)</f>
        <v/>
      </c>
      <c r="IW42" s="402">
        <f>IF(AND(253&gt;=$NR$42,253&lt;=$NS$42),IF($NP$42="Single_Point",IF(253=$NR$42,$NN$42,0),IF($NP$42="Bell_Curve",$NN$42*(253-$NR$42+1)*($NS$42-253+1)/$NU$42,$NN$42/$NT$42)),0)</f>
        <v/>
      </c>
      <c r="IX42" s="402">
        <f>IF(AND(254&gt;=$NR$42,254&lt;=$NS$42),IF($NP$42="Single_Point",IF(254=$NR$42,$NN$42,0),IF($NP$42="Bell_Curve",$NN$42*(254-$NR$42+1)*($NS$42-254+1)/$NU$42,$NN$42/$NT$42)),0)</f>
        <v/>
      </c>
      <c r="IY42" s="402">
        <f>IF(AND(255&gt;=$NR$42,255&lt;=$NS$42),IF($NP$42="Single_Point",IF(255=$NR$42,$NN$42,0),IF($NP$42="Bell_Curve",$NN$42*(255-$NR$42+1)*($NS$42-255+1)/$NU$42,$NN$42/$NT$42)),0)</f>
        <v/>
      </c>
      <c r="IZ42" s="402">
        <f>IF(AND(256&gt;=$NR$42,256&lt;=$NS$42),IF($NP$42="Single_Point",IF(256=$NR$42,$NN$42,0),IF($NP$42="Bell_Curve",$NN$42*(256-$NR$42+1)*($NS$42-256+1)/$NU$42,$NN$42/$NT$42)),0)</f>
        <v/>
      </c>
      <c r="JA42" s="402">
        <f>IF(AND(257&gt;=$NR$42,257&lt;=$NS$42),IF($NP$42="Single_Point",IF(257=$NR$42,$NN$42,0),IF($NP$42="Bell_Curve",$NN$42*(257-$NR$42+1)*($NS$42-257+1)/$NU$42,$NN$42/$NT$42)),0)</f>
        <v/>
      </c>
      <c r="JB42" s="402">
        <f>IF(AND(258&gt;=$NR$42,258&lt;=$NS$42),IF($NP$42="Single_Point",IF(258=$NR$42,$NN$42,0),IF($NP$42="Bell_Curve",$NN$42*(258-$NR$42+1)*($NS$42-258+1)/$NU$42,$NN$42/$NT$42)),0)</f>
        <v/>
      </c>
      <c r="JC42" s="402">
        <f>IF(AND(259&gt;=$NR$42,259&lt;=$NS$42),IF($NP$42="Single_Point",IF(259=$NR$42,$NN$42,0),IF($NP$42="Bell_Curve",$NN$42*(259-$NR$42+1)*($NS$42-259+1)/$NU$42,$NN$42/$NT$42)),0)</f>
        <v/>
      </c>
      <c r="JD42" s="402">
        <f>IF(AND(260&gt;=$NR$42,260&lt;=$NS$42),IF($NP$42="Single_Point",IF(260=$NR$42,$NN$42,0),IF($NP$42="Bell_Curve",$NN$42*(260-$NR$42+1)*($NS$42-260+1)/$NU$42,$NN$42/$NT$42)),0)</f>
        <v/>
      </c>
      <c r="JE42" s="402">
        <f>IF(AND(261&gt;=$NR$42,261&lt;=$NS$42),IF($NP$42="Single_Point",IF(261=$NR$42,$NN$42,0),IF($NP$42="Bell_Curve",$NN$42*(261-$NR$42+1)*($NS$42-261+1)/$NU$42,$NN$42/$NT$42)),0)</f>
        <v/>
      </c>
      <c r="JF42" s="402">
        <f>IF(AND(262&gt;=$NR$42,262&lt;=$NS$42),IF($NP$42="Single_Point",IF(262=$NR$42,$NN$42,0),IF($NP$42="Bell_Curve",$NN$42*(262-$NR$42+1)*($NS$42-262+1)/$NU$42,$NN$42/$NT$42)),0)</f>
        <v/>
      </c>
      <c r="JG42" s="402">
        <f>IF(AND(263&gt;=$NR$42,263&lt;=$NS$42),IF($NP$42="Single_Point",IF(263=$NR$42,$NN$42,0),IF($NP$42="Bell_Curve",$NN$42*(263-$NR$42+1)*($NS$42-263+1)/$NU$42,$NN$42/$NT$42)),0)</f>
        <v/>
      </c>
      <c r="JH42" s="402">
        <f>IF(AND(264&gt;=$NR$42,264&lt;=$NS$42),IF($NP$42="Single_Point",IF(264=$NR$42,$NN$42,0),IF($NP$42="Bell_Curve",$NN$42*(264-$NR$42+1)*($NS$42-264+1)/$NU$42,$NN$42/$NT$42)),0)</f>
        <v/>
      </c>
      <c r="JI42" s="402">
        <f>IF(AND(265&gt;=$NR$42,265&lt;=$NS$42),IF($NP$42="Single_Point",IF(265=$NR$42,$NN$42,0),IF($NP$42="Bell_Curve",$NN$42*(265-$NR$42+1)*($NS$42-265+1)/$NU$42,$NN$42/$NT$42)),0)</f>
        <v/>
      </c>
      <c r="JJ42" s="402">
        <f>IF(AND(266&gt;=$NR$42,266&lt;=$NS$42),IF($NP$42="Single_Point",IF(266=$NR$42,$NN$42,0),IF($NP$42="Bell_Curve",$NN$42*(266-$NR$42+1)*($NS$42-266+1)/$NU$42,$NN$42/$NT$42)),0)</f>
        <v/>
      </c>
      <c r="JK42" s="402">
        <f>IF(AND(267&gt;=$NR$42,267&lt;=$NS$42),IF($NP$42="Single_Point",IF(267=$NR$42,$NN$42,0),IF($NP$42="Bell_Curve",$NN$42*(267-$NR$42+1)*($NS$42-267+1)/$NU$42,$NN$42/$NT$42)),0)</f>
        <v/>
      </c>
      <c r="JL42" s="402">
        <f>IF(AND(268&gt;=$NR$42,268&lt;=$NS$42),IF($NP$42="Single_Point",IF(268=$NR$42,$NN$42,0),IF($NP$42="Bell_Curve",$NN$42*(268-$NR$42+1)*($NS$42-268+1)/$NU$42,$NN$42/$NT$42)),0)</f>
        <v/>
      </c>
      <c r="JM42" s="402">
        <f>IF(AND(269&gt;=$NR$42,269&lt;=$NS$42),IF($NP$42="Single_Point",IF(269=$NR$42,$NN$42,0),IF($NP$42="Bell_Curve",$NN$42*(269-$NR$42+1)*($NS$42-269+1)/$NU$42,$NN$42/$NT$42)),0)</f>
        <v/>
      </c>
      <c r="JN42" s="402">
        <f>IF(AND(270&gt;=$NR$42,270&lt;=$NS$42),IF($NP$42="Single_Point",IF(270=$NR$42,$NN$42,0),IF($NP$42="Bell_Curve",$NN$42*(270-$NR$42+1)*($NS$42-270+1)/$NU$42,$NN$42/$NT$42)),0)</f>
        <v/>
      </c>
      <c r="JO42" s="402">
        <f>IF(AND(271&gt;=$NR$42,271&lt;=$NS$42),IF($NP$42="Single_Point",IF(271=$NR$42,$NN$42,0),IF($NP$42="Bell_Curve",$NN$42*(271-$NR$42+1)*($NS$42-271+1)/$NU$42,$NN$42/$NT$42)),0)</f>
        <v/>
      </c>
      <c r="JP42" s="402">
        <f>IF(AND(272&gt;=$NR$42,272&lt;=$NS$42),IF($NP$42="Single_Point",IF(272=$NR$42,$NN$42,0),IF($NP$42="Bell_Curve",$NN$42*(272-$NR$42+1)*($NS$42-272+1)/$NU$42,$NN$42/$NT$42)),0)</f>
        <v/>
      </c>
      <c r="JQ42" s="402">
        <f>IF(AND(273&gt;=$NR$42,273&lt;=$NS$42),IF($NP$42="Single_Point",IF(273=$NR$42,$NN$42,0),IF($NP$42="Bell_Curve",$NN$42*(273-$NR$42+1)*($NS$42-273+1)/$NU$42,$NN$42/$NT$42)),0)</f>
        <v/>
      </c>
      <c r="JR42" s="402">
        <f>IF(AND(274&gt;=$NR$42,274&lt;=$NS$42),IF($NP$42="Single_Point",IF(274=$NR$42,$NN$42,0),IF($NP$42="Bell_Curve",$NN$42*(274-$NR$42+1)*($NS$42-274+1)/$NU$42,$NN$42/$NT$42)),0)</f>
        <v/>
      </c>
      <c r="JS42" s="402">
        <f>IF(AND(275&gt;=$NR$42,275&lt;=$NS$42),IF($NP$42="Single_Point",IF(275=$NR$42,$NN$42,0),IF($NP$42="Bell_Curve",$NN$42*(275-$NR$42+1)*($NS$42-275+1)/$NU$42,$NN$42/$NT$42)),0)</f>
        <v/>
      </c>
      <c r="JT42" s="402">
        <f>IF(AND(276&gt;=$NR$42,276&lt;=$NS$42),IF($NP$42="Single_Point",IF(276=$NR$42,$NN$42,0),IF($NP$42="Bell_Curve",$NN$42*(276-$NR$42+1)*($NS$42-276+1)/$NU$42,$NN$42/$NT$42)),0)</f>
        <v/>
      </c>
      <c r="JU42" s="402">
        <f>IF(AND(277&gt;=$NR$42,277&lt;=$NS$42),IF($NP$42="Single_Point",IF(277=$NR$42,$NN$42,0),IF($NP$42="Bell_Curve",$NN$42*(277-$NR$42+1)*($NS$42-277+1)/$NU$42,$NN$42/$NT$42)),0)</f>
        <v/>
      </c>
      <c r="JV42" s="402">
        <f>IF(AND(278&gt;=$NR$42,278&lt;=$NS$42),IF($NP$42="Single_Point",IF(278=$NR$42,$NN$42,0),IF($NP$42="Bell_Curve",$NN$42*(278-$NR$42+1)*($NS$42-278+1)/$NU$42,$NN$42/$NT$42)),0)</f>
        <v/>
      </c>
      <c r="JW42" s="402">
        <f>IF(AND(279&gt;=$NR$42,279&lt;=$NS$42),IF($NP$42="Single_Point",IF(279=$NR$42,$NN$42,0),IF($NP$42="Bell_Curve",$NN$42*(279-$NR$42+1)*($NS$42-279+1)/$NU$42,$NN$42/$NT$42)),0)</f>
        <v/>
      </c>
      <c r="JX42" s="402">
        <f>IF(AND(280&gt;=$NR$42,280&lt;=$NS$42),IF($NP$42="Single_Point",IF(280=$NR$42,$NN$42,0),IF($NP$42="Bell_Curve",$NN$42*(280-$NR$42+1)*($NS$42-280+1)/$NU$42,$NN$42/$NT$42)),0)</f>
        <v/>
      </c>
      <c r="JY42" s="402">
        <f>IF(AND(281&gt;=$NR$42,281&lt;=$NS$42),IF($NP$42="Single_Point",IF(281=$NR$42,$NN$42,0),IF($NP$42="Bell_Curve",$NN$42*(281-$NR$42+1)*($NS$42-281+1)/$NU$42,$NN$42/$NT$42)),0)</f>
        <v/>
      </c>
      <c r="JZ42" s="402">
        <f>IF(AND(282&gt;=$NR$42,282&lt;=$NS$42),IF($NP$42="Single_Point",IF(282=$NR$42,$NN$42,0),IF($NP$42="Bell_Curve",$NN$42*(282-$NR$42+1)*($NS$42-282+1)/$NU$42,$NN$42/$NT$42)),0)</f>
        <v/>
      </c>
      <c r="KA42" s="402">
        <f>IF(AND(283&gt;=$NR$42,283&lt;=$NS$42),IF($NP$42="Single_Point",IF(283=$NR$42,$NN$42,0),IF($NP$42="Bell_Curve",$NN$42*(283-$NR$42+1)*($NS$42-283+1)/$NU$42,$NN$42/$NT$42)),0)</f>
        <v/>
      </c>
      <c r="KB42" s="402">
        <f>IF(AND(284&gt;=$NR$42,284&lt;=$NS$42),IF($NP$42="Single_Point",IF(284=$NR$42,$NN$42,0),IF($NP$42="Bell_Curve",$NN$42*(284-$NR$42+1)*($NS$42-284+1)/$NU$42,$NN$42/$NT$42)),0)</f>
        <v/>
      </c>
      <c r="KC42" s="402">
        <f>IF(AND(285&gt;=$NR$42,285&lt;=$NS$42),IF($NP$42="Single_Point",IF(285=$NR$42,$NN$42,0),IF($NP$42="Bell_Curve",$NN$42*(285-$NR$42+1)*($NS$42-285+1)/$NU$42,$NN$42/$NT$42)),0)</f>
        <v/>
      </c>
      <c r="KD42" s="402">
        <f>IF(AND(286&gt;=$NR$42,286&lt;=$NS$42),IF($NP$42="Single_Point",IF(286=$NR$42,$NN$42,0),IF($NP$42="Bell_Curve",$NN$42*(286-$NR$42+1)*($NS$42-286+1)/$NU$42,$NN$42/$NT$42)),0)</f>
        <v/>
      </c>
      <c r="KE42" s="402">
        <f>IF(AND(287&gt;=$NR$42,287&lt;=$NS$42),IF($NP$42="Single_Point",IF(287=$NR$42,$NN$42,0),IF($NP$42="Bell_Curve",$NN$42*(287-$NR$42+1)*($NS$42-287+1)/$NU$42,$NN$42/$NT$42)),0)</f>
        <v/>
      </c>
      <c r="KF42" s="402">
        <f>IF(AND(288&gt;=$NR$42,288&lt;=$NS$42),IF($NP$42="Single_Point",IF(288=$NR$42,$NN$42,0),IF($NP$42="Bell_Curve",$NN$42*(288-$NR$42+1)*($NS$42-288+1)/$NU$42,$NN$42/$NT$42)),0)</f>
        <v/>
      </c>
      <c r="KG42" s="402">
        <f>IF(AND(289&gt;=$NR$42,289&lt;=$NS$42),IF($NP$42="Single_Point",IF(289=$NR$42,$NN$42,0),IF($NP$42="Bell_Curve",$NN$42*(289-$NR$42+1)*($NS$42-289+1)/$NU$42,$NN$42/$NT$42)),0)</f>
        <v/>
      </c>
      <c r="KH42" s="402">
        <f>IF(AND(290&gt;=$NR$42,290&lt;=$NS$42),IF($NP$42="Single_Point",IF(290=$NR$42,$NN$42,0),IF($NP$42="Bell_Curve",$NN$42*(290-$NR$42+1)*($NS$42-290+1)/$NU$42,$NN$42/$NT$42)),0)</f>
        <v/>
      </c>
      <c r="KI42" s="402">
        <f>IF(AND(291&gt;=$NR$42,291&lt;=$NS$42),IF($NP$42="Single_Point",IF(291=$NR$42,$NN$42,0),IF($NP$42="Bell_Curve",$NN$42*(291-$NR$42+1)*($NS$42-291+1)/$NU$42,$NN$42/$NT$42)),0)</f>
        <v/>
      </c>
      <c r="KJ42" s="402">
        <f>IF(AND(292&gt;=$NR$42,292&lt;=$NS$42),IF($NP$42="Single_Point",IF(292=$NR$42,$NN$42,0),IF($NP$42="Bell_Curve",$NN$42*(292-$NR$42+1)*($NS$42-292+1)/$NU$42,$NN$42/$NT$42)),0)</f>
        <v/>
      </c>
      <c r="KK42" s="402">
        <f>IF(AND(293&gt;=$NR$42,293&lt;=$NS$42),IF($NP$42="Single_Point",IF(293=$NR$42,$NN$42,0),IF($NP$42="Bell_Curve",$NN$42*(293-$NR$42+1)*($NS$42-293+1)/$NU$42,$NN$42/$NT$42)),0)</f>
        <v/>
      </c>
      <c r="KL42" s="402">
        <f>IF(AND(294&gt;=$NR$42,294&lt;=$NS$42),IF($NP$42="Single_Point",IF(294=$NR$42,$NN$42,0),IF($NP$42="Bell_Curve",$NN$42*(294-$NR$42+1)*($NS$42-294+1)/$NU$42,$NN$42/$NT$42)),0)</f>
        <v/>
      </c>
      <c r="KM42" s="402">
        <f>IF(AND(295&gt;=$NR$42,295&lt;=$NS$42),IF($NP$42="Single_Point",IF(295=$NR$42,$NN$42,0),IF($NP$42="Bell_Curve",$NN$42*(295-$NR$42+1)*($NS$42-295+1)/$NU$42,$NN$42/$NT$42)),0)</f>
        <v/>
      </c>
      <c r="KN42" s="402">
        <f>IF(AND(296&gt;=$NR$42,296&lt;=$NS$42),IF($NP$42="Single_Point",IF(296=$NR$42,$NN$42,0),IF($NP$42="Bell_Curve",$NN$42*(296-$NR$42+1)*($NS$42-296+1)/$NU$42,$NN$42/$NT$42)),0)</f>
        <v/>
      </c>
      <c r="KO42" s="402">
        <f>IF(AND(297&gt;=$NR$42,297&lt;=$NS$42),IF($NP$42="Single_Point",IF(297=$NR$42,$NN$42,0),IF($NP$42="Bell_Curve",$NN$42*(297-$NR$42+1)*($NS$42-297+1)/$NU$42,$NN$42/$NT$42)),0)</f>
        <v/>
      </c>
      <c r="KP42" s="402">
        <f>IF(AND(298&gt;=$NR$42,298&lt;=$NS$42),IF($NP$42="Single_Point",IF(298=$NR$42,$NN$42,0),IF($NP$42="Bell_Curve",$NN$42*(298-$NR$42+1)*($NS$42-298+1)/$NU$42,$NN$42/$NT$42)),0)</f>
        <v/>
      </c>
      <c r="KQ42" s="402">
        <f>IF(AND(299&gt;=$NR$42,299&lt;=$NS$42),IF($NP$42="Single_Point",IF(299=$NR$42,$NN$42,0),IF($NP$42="Bell_Curve",$NN$42*(299-$NR$42+1)*($NS$42-299+1)/$NU$42,$NN$42/$NT$42)),0)</f>
        <v/>
      </c>
      <c r="KR42" s="402">
        <f>IF(AND(300&gt;=$NR$42,300&lt;=$NS$42),IF($NP$42="Single_Point",IF(300=$NR$42,$NN$42,0),IF($NP$42="Bell_Curve",$NN$42*(300-$NR$42+1)*($NS$42-300+1)/$NU$42,$NN$42/$NT$42)),0)</f>
        <v/>
      </c>
      <c r="KS42" s="402">
        <f>IF(AND(301&gt;=$NR$42,301&lt;=$NS$42),IF($NP$42="Single_Point",IF(301=$NR$42,$NN$42,0),IF($NP$42="Bell_Curve",$NN$42*(301-$NR$42+1)*($NS$42-301+1)/$NU$42,$NN$42/$NT$42)),0)</f>
        <v/>
      </c>
      <c r="KT42" s="402">
        <f>IF(AND(302&gt;=$NR$42,302&lt;=$NS$42),IF($NP$42="Single_Point",IF(302=$NR$42,$NN$42,0),IF($NP$42="Bell_Curve",$NN$42*(302-$NR$42+1)*($NS$42-302+1)/$NU$42,$NN$42/$NT$42)),0)</f>
        <v/>
      </c>
      <c r="KU42" s="402">
        <f>IF(AND(303&gt;=$NR$42,303&lt;=$NS$42),IF($NP$42="Single_Point",IF(303=$NR$42,$NN$42,0),IF($NP$42="Bell_Curve",$NN$42*(303-$NR$42+1)*($NS$42-303+1)/$NU$42,$NN$42/$NT$42)),0)</f>
        <v/>
      </c>
      <c r="KV42" s="402">
        <f>IF(AND(304&gt;=$NR$42,304&lt;=$NS$42),IF($NP$42="Single_Point",IF(304=$NR$42,$NN$42,0),IF($NP$42="Bell_Curve",$NN$42*(304-$NR$42+1)*($NS$42-304+1)/$NU$42,$NN$42/$NT$42)),0)</f>
        <v/>
      </c>
      <c r="KW42" s="402">
        <f>IF(AND(305&gt;=$NR$42,305&lt;=$NS$42),IF($NP$42="Single_Point",IF(305=$NR$42,$NN$42,0),IF($NP$42="Bell_Curve",$NN$42*(305-$NR$42+1)*($NS$42-305+1)/$NU$42,$NN$42/$NT$42)),0)</f>
        <v/>
      </c>
      <c r="KX42" s="402">
        <f>IF(AND(306&gt;=$NR$42,306&lt;=$NS$42),IF($NP$42="Single_Point",IF(306=$NR$42,$NN$42,0),IF($NP$42="Bell_Curve",$NN$42*(306-$NR$42+1)*($NS$42-306+1)/$NU$42,$NN$42/$NT$42)),0)</f>
        <v/>
      </c>
      <c r="KY42" s="402">
        <f>IF(AND(307&gt;=$NR$42,307&lt;=$NS$42),IF($NP$42="Single_Point",IF(307=$NR$42,$NN$42,0),IF($NP$42="Bell_Curve",$NN$42*(307-$NR$42+1)*($NS$42-307+1)/$NU$42,$NN$42/$NT$42)),0)</f>
        <v/>
      </c>
      <c r="KZ42" s="402">
        <f>IF(AND(308&gt;=$NR$42,308&lt;=$NS$42),IF($NP$42="Single_Point",IF(308=$NR$42,$NN$42,0),IF($NP$42="Bell_Curve",$NN$42*(308-$NR$42+1)*($NS$42-308+1)/$NU$42,$NN$42/$NT$42)),0)</f>
        <v/>
      </c>
      <c r="LA42" s="402">
        <f>IF(AND(309&gt;=$NR$42,309&lt;=$NS$42),IF($NP$42="Single_Point",IF(309=$NR$42,$NN$42,0),IF($NP$42="Bell_Curve",$NN$42*(309-$NR$42+1)*($NS$42-309+1)/$NU$42,$NN$42/$NT$42)),0)</f>
        <v/>
      </c>
      <c r="LB42" s="402">
        <f>IF(AND(310&gt;=$NR$42,310&lt;=$NS$42),IF($NP$42="Single_Point",IF(310=$NR$42,$NN$42,0),IF($NP$42="Bell_Curve",$NN$42*(310-$NR$42+1)*($NS$42-310+1)/$NU$42,$NN$42/$NT$42)),0)</f>
        <v/>
      </c>
      <c r="LC42" s="402">
        <f>IF(AND(311&gt;=$NR$42,311&lt;=$NS$42),IF($NP$42="Single_Point",IF(311=$NR$42,$NN$42,0),IF($NP$42="Bell_Curve",$NN$42*(311-$NR$42+1)*($NS$42-311+1)/$NU$42,$NN$42/$NT$42)),0)</f>
        <v/>
      </c>
      <c r="LD42" s="402">
        <f>IF(AND(312&gt;=$NR$42,312&lt;=$NS$42),IF($NP$42="Single_Point",IF(312=$NR$42,$NN$42,0),IF($NP$42="Bell_Curve",$NN$42*(312-$NR$42+1)*($NS$42-312+1)/$NU$42,$NN$42/$NT$42)),0)</f>
        <v/>
      </c>
      <c r="LE42" s="402">
        <f>IF(AND(313&gt;=$NR$42,313&lt;=$NS$42),IF($NP$42="Single_Point",IF(313=$NR$42,$NN$42,0),IF($NP$42="Bell_Curve",$NN$42*(313-$NR$42+1)*($NS$42-313+1)/$NU$42,$NN$42/$NT$42)),0)</f>
        <v/>
      </c>
      <c r="LF42" s="402">
        <f>IF(AND(314&gt;=$NR$42,314&lt;=$NS$42),IF($NP$42="Single_Point",IF(314=$NR$42,$NN$42,0),IF($NP$42="Bell_Curve",$NN$42*(314-$NR$42+1)*($NS$42-314+1)/$NU$42,$NN$42/$NT$42)),0)</f>
        <v/>
      </c>
      <c r="LG42" s="402">
        <f>IF(AND(315&gt;=$NR$42,315&lt;=$NS$42),IF($NP$42="Single_Point",IF(315=$NR$42,$NN$42,0),IF($NP$42="Bell_Curve",$NN$42*(315-$NR$42+1)*($NS$42-315+1)/$NU$42,$NN$42/$NT$42)),0)</f>
        <v/>
      </c>
      <c r="LH42" s="402">
        <f>IF(AND(316&gt;=$NR$42,316&lt;=$NS$42),IF($NP$42="Single_Point",IF(316=$NR$42,$NN$42,0),IF($NP$42="Bell_Curve",$NN$42*(316-$NR$42+1)*($NS$42-316+1)/$NU$42,$NN$42/$NT$42)),0)</f>
        <v/>
      </c>
      <c r="LI42" s="402">
        <f>IF(AND(317&gt;=$NR$42,317&lt;=$NS$42),IF($NP$42="Single_Point",IF(317=$NR$42,$NN$42,0),IF($NP$42="Bell_Curve",$NN$42*(317-$NR$42+1)*($NS$42-317+1)/$NU$42,$NN$42/$NT$42)),0)</f>
        <v/>
      </c>
      <c r="LJ42" s="402">
        <f>IF(AND(318&gt;=$NR$42,318&lt;=$NS$42),IF($NP$42="Single_Point",IF(318=$NR$42,$NN$42,0),IF($NP$42="Bell_Curve",$NN$42*(318-$NR$42+1)*($NS$42-318+1)/$NU$42,$NN$42/$NT$42)),0)</f>
        <v/>
      </c>
      <c r="LK42" s="402">
        <f>IF(AND(319&gt;=$NR$42,319&lt;=$NS$42),IF($NP$42="Single_Point",IF(319=$NR$42,$NN$42,0),IF($NP$42="Bell_Curve",$NN$42*(319-$NR$42+1)*($NS$42-319+1)/$NU$42,$NN$42/$NT$42)),0)</f>
        <v/>
      </c>
      <c r="LL42" s="402">
        <f>IF(AND(320&gt;=$NR$42,320&lt;=$NS$42),IF($NP$42="Single_Point",IF(320=$NR$42,$NN$42,0),IF($NP$42="Bell_Curve",$NN$42*(320-$NR$42+1)*($NS$42-320+1)/$NU$42,$NN$42/$NT$42)),0)</f>
        <v/>
      </c>
      <c r="LM42" s="402">
        <f>IF(AND(321&gt;=$NR$42,321&lt;=$NS$42),IF($NP$42="Single_Point",IF(321=$NR$42,$NN$42,0),IF($NP$42="Bell_Curve",$NN$42*(321-$NR$42+1)*($NS$42-321+1)/$NU$42,$NN$42/$NT$42)),0)</f>
        <v/>
      </c>
      <c r="LN42" s="402">
        <f>IF(AND(322&gt;=$NR$42,322&lt;=$NS$42),IF($NP$42="Single_Point",IF(322=$NR$42,$NN$42,0),IF($NP$42="Bell_Curve",$NN$42*(322-$NR$42+1)*($NS$42-322+1)/$NU$42,$NN$42/$NT$42)),0)</f>
        <v/>
      </c>
      <c r="LO42" s="402">
        <f>IF(AND(323&gt;=$NR$42,323&lt;=$NS$42),IF($NP$42="Single_Point",IF(323=$NR$42,$NN$42,0),IF($NP$42="Bell_Curve",$NN$42*(323-$NR$42+1)*($NS$42-323+1)/$NU$42,$NN$42/$NT$42)),0)</f>
        <v/>
      </c>
      <c r="LP42" s="402">
        <f>IF(AND(324&gt;=$NR$42,324&lt;=$NS$42),IF($NP$42="Single_Point",IF(324=$NR$42,$NN$42,0),IF($NP$42="Bell_Curve",$NN$42*(324-$NR$42+1)*($NS$42-324+1)/$NU$42,$NN$42/$NT$42)),0)</f>
        <v/>
      </c>
      <c r="LQ42" s="402">
        <f>IF(AND(325&gt;=$NR$42,325&lt;=$NS$42),IF($NP$42="Single_Point",IF(325=$NR$42,$NN$42,0),IF($NP$42="Bell_Curve",$NN$42*(325-$NR$42+1)*($NS$42-325+1)/$NU$42,$NN$42/$NT$42)),0)</f>
        <v/>
      </c>
      <c r="LR42" s="402">
        <f>IF(AND(326&gt;=$NR$42,326&lt;=$NS$42),IF($NP$42="Single_Point",IF(326=$NR$42,$NN$42,0),IF($NP$42="Bell_Curve",$NN$42*(326-$NR$42+1)*($NS$42-326+1)/$NU$42,$NN$42/$NT$42)),0)</f>
        <v/>
      </c>
      <c r="LS42" s="402">
        <f>IF(AND(327&gt;=$NR$42,327&lt;=$NS$42),IF($NP$42="Single_Point",IF(327=$NR$42,$NN$42,0),IF($NP$42="Bell_Curve",$NN$42*(327-$NR$42+1)*($NS$42-327+1)/$NU$42,$NN$42/$NT$42)),0)</f>
        <v/>
      </c>
      <c r="LT42" s="402">
        <f>IF(AND(328&gt;=$NR$42,328&lt;=$NS$42),IF($NP$42="Single_Point",IF(328=$NR$42,$NN$42,0),IF($NP$42="Bell_Curve",$NN$42*(328-$NR$42+1)*($NS$42-328+1)/$NU$42,$NN$42/$NT$42)),0)</f>
        <v/>
      </c>
      <c r="LU42" s="402">
        <f>IF(AND(329&gt;=$NR$42,329&lt;=$NS$42),IF($NP$42="Single_Point",IF(329=$NR$42,$NN$42,0),IF($NP$42="Bell_Curve",$NN$42*(329-$NR$42+1)*($NS$42-329+1)/$NU$42,$NN$42/$NT$42)),0)</f>
        <v/>
      </c>
      <c r="LV42" s="402">
        <f>IF(AND(330&gt;=$NR$42,330&lt;=$NS$42),IF($NP$42="Single_Point",IF(330=$NR$42,$NN$42,0),IF($NP$42="Bell_Curve",$NN$42*(330-$NR$42+1)*($NS$42-330+1)/$NU$42,$NN$42/$NT$42)),0)</f>
        <v/>
      </c>
      <c r="LW42" s="402">
        <f>IF(AND(331&gt;=$NR$42,331&lt;=$NS$42),IF($NP$42="Single_Point",IF(331=$NR$42,$NN$42,0),IF($NP$42="Bell_Curve",$NN$42*(331-$NR$42+1)*($NS$42-331+1)/$NU$42,$NN$42/$NT$42)),0)</f>
        <v/>
      </c>
      <c r="LX42" s="402">
        <f>IF(AND(332&gt;=$NR$42,332&lt;=$NS$42),IF($NP$42="Single_Point",IF(332=$NR$42,$NN$42,0),IF($NP$42="Bell_Curve",$NN$42*(332-$NR$42+1)*($NS$42-332+1)/$NU$42,$NN$42/$NT$42)),0)</f>
        <v/>
      </c>
      <c r="LY42" s="402">
        <f>IF(AND(333&gt;=$NR$42,333&lt;=$NS$42),IF($NP$42="Single_Point",IF(333=$NR$42,$NN$42,0),IF($NP$42="Bell_Curve",$NN$42*(333-$NR$42+1)*($NS$42-333+1)/$NU$42,$NN$42/$NT$42)),0)</f>
        <v/>
      </c>
      <c r="LZ42" s="402">
        <f>IF(AND(334&gt;=$NR$42,334&lt;=$NS$42),IF($NP$42="Single_Point",IF(334=$NR$42,$NN$42,0),IF($NP$42="Bell_Curve",$NN$42*(334-$NR$42+1)*($NS$42-334+1)/$NU$42,$NN$42/$NT$42)),0)</f>
        <v/>
      </c>
      <c r="MA42" s="402">
        <f>IF(AND(335&gt;=$NR$42,335&lt;=$NS$42),IF($NP$42="Single_Point",IF(335=$NR$42,$NN$42,0),IF($NP$42="Bell_Curve",$NN$42*(335-$NR$42+1)*($NS$42-335+1)/$NU$42,$NN$42/$NT$42)),0)</f>
        <v/>
      </c>
      <c r="MB42" s="402">
        <f>IF(AND(336&gt;=$NR$42,336&lt;=$NS$42),IF($NP$42="Single_Point",IF(336=$NR$42,$NN$42,0),IF($NP$42="Bell_Curve",$NN$42*(336-$NR$42+1)*($NS$42-336+1)/$NU$42,$NN$42/$NT$42)),0)</f>
        <v/>
      </c>
      <c r="MC42" s="402">
        <f>IF(AND(337&gt;=$NR$42,337&lt;=$NS$42),IF($NP$42="Single_Point",IF(337=$NR$42,$NN$42,0),IF($NP$42="Bell_Curve",$NN$42*(337-$NR$42+1)*($NS$42-337+1)/$NU$42,$NN$42/$NT$42)),0)</f>
        <v/>
      </c>
      <c r="MD42" s="402">
        <f>IF(AND(338&gt;=$NR$42,338&lt;=$NS$42),IF($NP$42="Single_Point",IF(338=$NR$42,$NN$42,0),IF($NP$42="Bell_Curve",$NN$42*(338-$NR$42+1)*($NS$42-338+1)/$NU$42,$NN$42/$NT$42)),0)</f>
        <v/>
      </c>
      <c r="ME42" s="402">
        <f>IF(AND(339&gt;=$NR$42,339&lt;=$NS$42),IF($NP$42="Single_Point",IF(339=$NR$42,$NN$42,0),IF($NP$42="Bell_Curve",$NN$42*(339-$NR$42+1)*($NS$42-339+1)/$NU$42,$NN$42/$NT$42)),0)</f>
        <v/>
      </c>
      <c r="MF42" s="402">
        <f>IF(AND(340&gt;=$NR$42,340&lt;=$NS$42),IF($NP$42="Single_Point",IF(340=$NR$42,$NN$42,0),IF($NP$42="Bell_Curve",$NN$42*(340-$NR$42+1)*($NS$42-340+1)/$NU$42,$NN$42/$NT$42)),0)</f>
        <v/>
      </c>
      <c r="MG42" s="402">
        <f>IF(AND(341&gt;=$NR$42,341&lt;=$NS$42),IF($NP$42="Single_Point",IF(341=$NR$42,$NN$42,0),IF($NP$42="Bell_Curve",$NN$42*(341-$NR$42+1)*($NS$42-341+1)/$NU$42,$NN$42/$NT$42)),0)</f>
        <v/>
      </c>
      <c r="MH42" s="402">
        <f>IF(AND(342&gt;=$NR$42,342&lt;=$NS$42),IF($NP$42="Single_Point",IF(342=$NR$42,$NN$42,0),IF($NP$42="Bell_Curve",$NN$42*(342-$NR$42+1)*($NS$42-342+1)/$NU$42,$NN$42/$NT$42)),0)</f>
        <v/>
      </c>
      <c r="MI42" s="402">
        <f>IF(AND(343&gt;=$NR$42,343&lt;=$NS$42),IF($NP$42="Single_Point",IF(343=$NR$42,$NN$42,0),IF($NP$42="Bell_Curve",$NN$42*(343-$NR$42+1)*($NS$42-343+1)/$NU$42,$NN$42/$NT$42)),0)</f>
        <v/>
      </c>
      <c r="MJ42" s="402">
        <f>IF(AND(344&gt;=$NR$42,344&lt;=$NS$42),IF($NP$42="Single_Point",IF(344=$NR$42,$NN$42,0),IF($NP$42="Bell_Curve",$NN$42*(344-$NR$42+1)*($NS$42-344+1)/$NU$42,$NN$42/$NT$42)),0)</f>
        <v/>
      </c>
      <c r="MK42" s="402">
        <f>IF(AND(345&gt;=$NR$42,345&lt;=$NS$42),IF($NP$42="Single_Point",IF(345=$NR$42,$NN$42,0),IF($NP$42="Bell_Curve",$NN$42*(345-$NR$42+1)*($NS$42-345+1)/$NU$42,$NN$42/$NT$42)),0)</f>
        <v/>
      </c>
      <c r="ML42" s="402">
        <f>IF(AND(346&gt;=$NR$42,346&lt;=$NS$42),IF($NP$42="Single_Point",IF(346=$NR$42,$NN$42,0),IF($NP$42="Bell_Curve",$NN$42*(346-$NR$42+1)*($NS$42-346+1)/$NU$42,$NN$42/$NT$42)),0)</f>
        <v/>
      </c>
      <c r="MM42" s="402">
        <f>IF(AND(347&gt;=$NR$42,347&lt;=$NS$42),IF($NP$42="Single_Point",IF(347=$NR$42,$NN$42,0),IF($NP$42="Bell_Curve",$NN$42*(347-$NR$42+1)*($NS$42-347+1)/$NU$42,$NN$42/$NT$42)),0)</f>
        <v/>
      </c>
      <c r="MN42" s="402">
        <f>IF(AND(348&gt;=$NR$42,348&lt;=$NS$42),IF($NP$42="Single_Point",IF(348=$NR$42,$NN$42,0),IF($NP$42="Bell_Curve",$NN$42*(348-$NR$42+1)*($NS$42-348+1)/$NU$42,$NN$42/$NT$42)),0)</f>
        <v/>
      </c>
      <c r="MO42" s="402">
        <f>IF(AND(349&gt;=$NR$42,349&lt;=$NS$42),IF($NP$42="Single_Point",IF(349=$NR$42,$NN$42,0),IF($NP$42="Bell_Curve",$NN$42*(349-$NR$42+1)*($NS$42-349+1)/$NU$42,$NN$42/$NT$42)),0)</f>
        <v/>
      </c>
      <c r="MP42" s="402">
        <f>IF(AND(350&gt;=$NR$42,350&lt;=$NS$42),IF($NP$42="Single_Point",IF(350=$NR$42,$NN$42,0),IF($NP$42="Bell_Curve",$NN$42*(350-$NR$42+1)*($NS$42-350+1)/$NU$42,$NN$42/$NT$42)),0)</f>
        <v/>
      </c>
      <c r="MQ42" s="402">
        <f>IF(AND(351&gt;=$NR$42,351&lt;=$NS$42),IF($NP$42="Single_Point",IF(351=$NR$42,$NN$42,0),IF($NP$42="Bell_Curve",$NN$42*(351-$NR$42+1)*($NS$42-351+1)/$NU$42,$NN$42/$NT$42)),0)</f>
        <v/>
      </c>
      <c r="MR42" s="402">
        <f>IF(AND(352&gt;=$NR$42,352&lt;=$NS$42),IF($NP$42="Single_Point",IF(352=$NR$42,$NN$42,0),IF($NP$42="Bell_Curve",$NN$42*(352-$NR$42+1)*($NS$42-352+1)/$NU$42,$NN$42/$NT$42)),0)</f>
        <v/>
      </c>
      <c r="MS42" s="402">
        <f>IF(AND(353&gt;=$NR$42,353&lt;=$NS$42),IF($NP$42="Single_Point",IF(353=$NR$42,$NN$42,0),IF($NP$42="Bell_Curve",$NN$42*(353-$NR$42+1)*($NS$42-353+1)/$NU$42,$NN$42/$NT$42)),0)</f>
        <v/>
      </c>
      <c r="MT42" s="402">
        <f>IF(AND(354&gt;=$NR$42,354&lt;=$NS$42),IF($NP$42="Single_Point",IF(354=$NR$42,$NN$42,0),IF($NP$42="Bell_Curve",$NN$42*(354-$NR$42+1)*($NS$42-354+1)/$NU$42,$NN$42/$NT$42)),0)</f>
        <v/>
      </c>
      <c r="MU42" s="402">
        <f>IF(AND(355&gt;=$NR$42,355&lt;=$NS$42),IF($NP$42="Single_Point",IF(355=$NR$42,$NN$42,0),IF($NP$42="Bell_Curve",$NN$42*(355-$NR$42+1)*($NS$42-355+1)/$NU$42,$NN$42/$NT$42)),0)</f>
        <v/>
      </c>
      <c r="MV42" s="402">
        <f>IF(AND(356&gt;=$NR$42,356&lt;=$NS$42),IF($NP$42="Single_Point",IF(356=$NR$42,$NN$42,0),IF($NP$42="Bell_Curve",$NN$42*(356-$NR$42+1)*($NS$42-356+1)/$NU$42,$NN$42/$NT$42)),0)</f>
        <v/>
      </c>
      <c r="MW42" s="402">
        <f>IF(AND(357&gt;=$NR$42,357&lt;=$NS$42),IF($NP$42="Single_Point",IF(357=$NR$42,$NN$42,0),IF($NP$42="Bell_Curve",$NN$42*(357-$NR$42+1)*($NS$42-357+1)/$NU$42,$NN$42/$NT$42)),0)</f>
        <v/>
      </c>
      <c r="MX42" s="402">
        <f>IF(AND(358&gt;=$NR$42,358&lt;=$NS$42),IF($NP$42="Single_Point",IF(358=$NR$42,$NN$42,0),IF($NP$42="Bell_Curve",$NN$42*(358-$NR$42+1)*($NS$42-358+1)/$NU$42,$NN$42/$NT$42)),0)</f>
        <v/>
      </c>
      <c r="MY42" s="402">
        <f>IF(AND(359&gt;=$NR$42,359&lt;=$NS$42),IF($NP$42="Single_Point",IF(359=$NR$42,$NN$42,0),IF($NP$42="Bell_Curve",$NN$42*(359-$NR$42+1)*($NS$42-359+1)/$NU$42,$NN$42/$NT$42)),0)</f>
        <v/>
      </c>
      <c r="MZ42" s="402">
        <f>IF(AND(360&gt;=$NR$42,360&lt;=$NS$42),IF($NP$42="Single_Point",IF(360=$NR$42,$NN$42,0),IF($NP$42="Bell_Curve",$NN$42*(360-$NR$42+1)*($NS$42-360+1)/$NU$42,$NN$42/$NT$42)),0)</f>
        <v/>
      </c>
      <c r="NA42" s="402">
        <f>IF(AND(361&gt;=$NR$42,361&lt;=$NS$42),IF($NP$42="Single_Point",IF(361=$NR$42,$NN$42,0),IF($NP$42="Bell_Curve",$NN$42*(361-$NR$42+1)*($NS$42-361+1)/$NU$42,$NN$42/$NT$42)),0)</f>
        <v/>
      </c>
      <c r="NB42" s="402">
        <f>IF(AND(362&gt;=$NR$42,362&lt;=$NS$42),IF($NP$42="Single_Point",IF(362=$NR$42,$NN$42,0),IF($NP$42="Bell_Curve",$NN$42*(362-$NR$42+1)*($NS$42-362+1)/$NU$42,$NN$42/$NT$42)),0)</f>
        <v/>
      </c>
      <c r="NC42" s="402">
        <f>IF(AND(363&gt;=$NR$42,363&lt;=$NS$42),IF($NP$42="Single_Point",IF(363=$NR$42,$NN$42,0),IF($NP$42="Bell_Curve",$NN$42*(363-$NR$42+1)*($NS$42-363+1)/$NU$42,$NN$42/$NT$42)),0)</f>
        <v/>
      </c>
      <c r="ND42" s="402">
        <f>IF(AND(364&gt;=$NR$42,364&lt;=$NS$42),IF($NP$42="Single_Point",IF(364=$NR$42,$NN$42,0),IF($NP$42="Bell_Curve",$NN$42*(364-$NR$42+1)*($NS$42-364+1)/$NU$42,$NN$42/$NT$42)),0)</f>
        <v/>
      </c>
      <c r="NE42" s="402">
        <f>IF(AND(365&gt;=$NR$42,365&lt;=$NS$42),IF($NP$42="Single_Point",IF(365=$NR$42,$NN$42,0),IF($NP$42="Bell_Curve",$NN$42*(365-$NR$42+1)*($NS$42-365+1)/$NU$42,$NN$42/$NT$42)),0)</f>
        <v/>
      </c>
      <c r="NF42" s="402">
        <f>IF(AND(366&gt;=$NR$42,366&lt;=$NS$42),IF($NP$42="Single_Point",IF(366=$NR$42,$NN$42,0),IF($NP$42="Bell_Curve",$NN$42*(366-$NR$42+1)*($NS$42-366+1)/$NU$42,$NN$42/$NT$42)),0)</f>
        <v/>
      </c>
      <c r="NG42" s="402">
        <f>IF(AND(367&gt;=$NR$42,367&lt;=$NS$42),IF($NP$42="Single_Point",IF(367=$NR$42,$NN$42,0),IF($NP$42="Bell_Curve",$NN$42*(367-$NR$42+1)*($NS$42-367+1)/$NU$42,$NN$42/$NT$42)),0)</f>
        <v/>
      </c>
      <c r="NH42" s="402">
        <f>IF(AND(368&gt;=$NR$42,368&lt;=$NS$42),IF($NP$42="Single_Point",IF(368=$NR$42,$NN$42,0),IF($NP$42="Bell_Curve",$NN$42*(368-$NR$42+1)*($NS$42-368+1)/$NU$42,$NN$42/$NT$42)),0)</f>
        <v/>
      </c>
      <c r="NI42" s="402">
        <f>IF(AND(369&gt;=$NR$42,369&lt;=$NS$42),IF($NP$42="Single_Point",IF(369=$NR$42,$NN$42,0),IF($NP$42="Bell_Curve",$NN$42*(369-$NR$42+1)*($NS$42-369+1)/$NU$42,$NN$42/$NT$42)),0)</f>
        <v/>
      </c>
      <c r="NJ42" s="402">
        <f>IF(AND(370&gt;=$NR$42,370&lt;=$NS$42),IF($NP$42="Single_Point",IF(370=$NR$42,$NN$42,0),IF($NP$42="Bell_Curve",$NN$42*(370-$NR$42+1)*($NS$42-370+1)/$NU$42,$NN$42/$NT$42)),0)</f>
        <v/>
      </c>
      <c r="NK42" s="402">
        <f>IF(AND(371&gt;=$NR$42,371&lt;=$NS$42),IF($NP$42="Single_Point",IF(371=$NR$42,$NN$42,0),IF($NP$42="Bell_Curve",$NN$42*(371-$NR$42+1)*($NS$42-371+1)/$NU$42,$NN$42/$NT$42)),0)</f>
        <v/>
      </c>
      <c r="NL42" s="402">
        <f>IF(AND(372&gt;=$NR$42,372&lt;=$NS$42),IF($NP$42="Single_Point",IF(372=$NR$42,$NN$42,0),IF($NP$42="Bell_Curve",$NN$42*(372-$NR$42+1)*($NS$42-372+1)/$NU$42,$NN$42/$NT$42)),0)</f>
        <v/>
      </c>
      <c r="NM42">
        <f>Budget!C41</f>
        <v/>
      </c>
      <c r="NN42">
        <f>Budget!J41</f>
        <v/>
      </c>
      <c r="NO42">
        <f>Budget!G41</f>
        <v/>
      </c>
      <c r="NP42">
        <f>Budget!H41</f>
        <v/>
      </c>
      <c r="NQ42">
        <f>Budget!I41</f>
        <v/>
      </c>
      <c r="NR42">
        <f>MAX(1,MIN(372,INDEX(MilestoneStart,MATCH(NO42,MilestoneNames,0))+NQ42))</f>
        <v/>
      </c>
      <c r="NS42">
        <f>MAX(NR42,MIN(372,INDEX(MilestoneEnd,MATCH(NO42,MilestoneNames,0))+NQ42))</f>
        <v/>
      </c>
      <c r="NT42">
        <f>NS42-NR42+1</f>
        <v/>
      </c>
      <c r="NU42">
        <f>NT42*(NT42+1)*(NT42+2)/6</f>
        <v/>
      </c>
    </row>
    <row r="43">
      <c r="B43" s="299">
        <f>Budget!B42</f>
        <v/>
      </c>
      <c r="C43" s="79" t="n"/>
      <c r="D43" s="428">
        <f>SUM(E43:NL43)</f>
        <v/>
      </c>
      <c r="E43" s="402">
        <f>IF(AND(1&gt;=$NR$43,1&lt;=$NS$43),IF($NP$43="Single_Point",IF(1=$NR$43,$NN$43,0),IF($NP$43="Bell_Curve",$NN$43*(1-$NR$43+1)*($NS$43-1+1)/$NU$43,$NN$43/$NT$43)),0)</f>
        <v/>
      </c>
      <c r="F43" s="402">
        <f>IF(AND(2&gt;=$NR$43,2&lt;=$NS$43),IF($NP$43="Single_Point",IF(2=$NR$43,$NN$43,0),IF($NP$43="Bell_Curve",$NN$43*(2-$NR$43+1)*($NS$43-2+1)/$NU$43,$NN$43/$NT$43)),0)</f>
        <v/>
      </c>
      <c r="G43" s="402">
        <f>IF(AND(3&gt;=$NR$43,3&lt;=$NS$43),IF($NP$43="Single_Point",IF(3=$NR$43,$NN$43,0),IF($NP$43="Bell_Curve",$NN$43*(3-$NR$43+1)*($NS$43-3+1)/$NU$43,$NN$43/$NT$43)),0)</f>
        <v/>
      </c>
      <c r="H43" s="402">
        <f>IF(AND(4&gt;=$NR$43,4&lt;=$NS$43),IF($NP$43="Single_Point",IF(4=$NR$43,$NN$43,0),IF($NP$43="Bell_Curve",$NN$43*(4-$NR$43+1)*($NS$43-4+1)/$NU$43,$NN$43/$NT$43)),0)</f>
        <v/>
      </c>
      <c r="I43" s="402">
        <f>IF(AND(5&gt;=$NR$43,5&lt;=$NS$43),IF($NP$43="Single_Point",IF(5=$NR$43,$NN$43,0),IF($NP$43="Bell_Curve",$NN$43*(5-$NR$43+1)*($NS$43-5+1)/$NU$43,$NN$43/$NT$43)),0)</f>
        <v/>
      </c>
      <c r="J43" s="402">
        <f>IF(AND(6&gt;=$NR$43,6&lt;=$NS$43),IF($NP$43="Single_Point",IF(6=$NR$43,$NN$43,0),IF($NP$43="Bell_Curve",$NN$43*(6-$NR$43+1)*($NS$43-6+1)/$NU$43,$NN$43/$NT$43)),0)</f>
        <v/>
      </c>
      <c r="K43" s="402">
        <f>IF(AND(7&gt;=$NR$43,7&lt;=$NS$43),IF($NP$43="Single_Point",IF(7=$NR$43,$NN$43,0),IF($NP$43="Bell_Curve",$NN$43*(7-$NR$43+1)*($NS$43-7+1)/$NU$43,$NN$43/$NT$43)),0)</f>
        <v/>
      </c>
      <c r="L43" s="402">
        <f>IF(AND(8&gt;=$NR$43,8&lt;=$NS$43),IF($NP$43="Single_Point",IF(8=$NR$43,$NN$43,0),IF($NP$43="Bell_Curve",$NN$43*(8-$NR$43+1)*($NS$43-8+1)/$NU$43,$NN$43/$NT$43)),0)</f>
        <v/>
      </c>
      <c r="M43" s="402">
        <f>IF(AND(9&gt;=$NR$43,9&lt;=$NS$43),IF($NP$43="Single_Point",IF(9=$NR$43,$NN$43,0),IF($NP$43="Bell_Curve",$NN$43*(9-$NR$43+1)*($NS$43-9+1)/$NU$43,$NN$43/$NT$43)),0)</f>
        <v/>
      </c>
      <c r="N43" s="402">
        <f>IF(AND(10&gt;=$NR$43,10&lt;=$NS$43),IF($NP$43="Single_Point",IF(10=$NR$43,$NN$43,0),IF($NP$43="Bell_Curve",$NN$43*(10-$NR$43+1)*($NS$43-10+1)/$NU$43,$NN$43/$NT$43)),0)</f>
        <v/>
      </c>
      <c r="O43" s="402">
        <f>IF(AND(11&gt;=$NR$43,11&lt;=$NS$43),IF($NP$43="Single_Point",IF(11=$NR$43,$NN$43,0),IF($NP$43="Bell_Curve",$NN$43*(11-$NR$43+1)*($NS$43-11+1)/$NU$43,$NN$43/$NT$43)),0)</f>
        <v/>
      </c>
      <c r="P43" s="402">
        <f>IF(AND(12&gt;=$NR$43,12&lt;=$NS$43),IF($NP$43="Single_Point",IF(12=$NR$43,$NN$43,0),IF($NP$43="Bell_Curve",$NN$43*(12-$NR$43+1)*($NS$43-12+1)/$NU$43,$NN$43/$NT$43)),0)</f>
        <v/>
      </c>
      <c r="Q43" s="402">
        <f>IF(AND(13&gt;=$NR$43,13&lt;=$NS$43),IF($NP$43="Single_Point",IF(13=$NR$43,$NN$43,0),IF($NP$43="Bell_Curve",$NN$43*(13-$NR$43+1)*($NS$43-13+1)/$NU$43,$NN$43/$NT$43)),0)</f>
        <v/>
      </c>
      <c r="R43" s="402">
        <f>IF(AND(14&gt;=$NR$43,14&lt;=$NS$43),IF($NP$43="Single_Point",IF(14=$NR$43,$NN$43,0),IF($NP$43="Bell_Curve",$NN$43*(14-$NR$43+1)*($NS$43-14+1)/$NU$43,$NN$43/$NT$43)),0)</f>
        <v/>
      </c>
      <c r="S43" s="402">
        <f>IF(AND(15&gt;=$NR$43,15&lt;=$NS$43),IF($NP$43="Single_Point",IF(15=$NR$43,$NN$43,0),IF($NP$43="Bell_Curve",$NN$43*(15-$NR$43+1)*($NS$43-15+1)/$NU$43,$NN$43/$NT$43)),0)</f>
        <v/>
      </c>
      <c r="T43" s="402">
        <f>IF(AND(16&gt;=$NR$43,16&lt;=$NS$43),IF($NP$43="Single_Point",IF(16=$NR$43,$NN$43,0),IF($NP$43="Bell_Curve",$NN$43*(16-$NR$43+1)*($NS$43-16+1)/$NU$43,$NN$43/$NT$43)),0)</f>
        <v/>
      </c>
      <c r="U43" s="402">
        <f>IF(AND(17&gt;=$NR$43,17&lt;=$NS$43),IF($NP$43="Single_Point",IF(17=$NR$43,$NN$43,0),IF($NP$43="Bell_Curve",$NN$43*(17-$NR$43+1)*($NS$43-17+1)/$NU$43,$NN$43/$NT$43)),0)</f>
        <v/>
      </c>
      <c r="V43" s="402">
        <f>IF(AND(18&gt;=$NR$43,18&lt;=$NS$43),IF($NP$43="Single_Point",IF(18=$NR$43,$NN$43,0),IF($NP$43="Bell_Curve",$NN$43*(18-$NR$43+1)*($NS$43-18+1)/$NU$43,$NN$43/$NT$43)),0)</f>
        <v/>
      </c>
      <c r="W43" s="402">
        <f>IF(AND(19&gt;=$NR$43,19&lt;=$NS$43),IF($NP$43="Single_Point",IF(19=$NR$43,$NN$43,0),IF($NP$43="Bell_Curve",$NN$43*(19-$NR$43+1)*($NS$43-19+1)/$NU$43,$NN$43/$NT$43)),0)</f>
        <v/>
      </c>
      <c r="X43" s="402">
        <f>IF(AND(20&gt;=$NR$43,20&lt;=$NS$43),IF($NP$43="Single_Point",IF(20=$NR$43,$NN$43,0),IF($NP$43="Bell_Curve",$NN$43*(20-$NR$43+1)*($NS$43-20+1)/$NU$43,$NN$43/$NT$43)),0)</f>
        <v/>
      </c>
      <c r="Y43" s="402">
        <f>IF(AND(21&gt;=$NR$43,21&lt;=$NS$43),IF($NP$43="Single_Point",IF(21=$NR$43,$NN$43,0),IF($NP$43="Bell_Curve",$NN$43*(21-$NR$43+1)*($NS$43-21+1)/$NU$43,$NN$43/$NT$43)),0)</f>
        <v/>
      </c>
      <c r="Z43" s="402">
        <f>IF(AND(22&gt;=$NR$43,22&lt;=$NS$43),IF($NP$43="Single_Point",IF(22=$NR$43,$NN$43,0),IF($NP$43="Bell_Curve",$NN$43*(22-$NR$43+1)*($NS$43-22+1)/$NU$43,$NN$43/$NT$43)),0)</f>
        <v/>
      </c>
      <c r="AA43" s="402">
        <f>IF(AND(23&gt;=$NR$43,23&lt;=$NS$43),IF($NP$43="Single_Point",IF(23=$NR$43,$NN$43,0),IF($NP$43="Bell_Curve",$NN$43*(23-$NR$43+1)*($NS$43-23+1)/$NU$43,$NN$43/$NT$43)),0)</f>
        <v/>
      </c>
      <c r="AB43" s="402">
        <f>IF(AND(24&gt;=$NR$43,24&lt;=$NS$43),IF($NP$43="Single_Point",IF(24=$NR$43,$NN$43,0),IF($NP$43="Bell_Curve",$NN$43*(24-$NR$43+1)*($NS$43-24+1)/$NU$43,$NN$43/$NT$43)),0)</f>
        <v/>
      </c>
      <c r="AC43" s="402">
        <f>IF(AND(25&gt;=$NR$43,25&lt;=$NS$43),IF($NP$43="Single_Point",IF(25=$NR$43,$NN$43,0),IF($NP$43="Bell_Curve",$NN$43*(25-$NR$43+1)*($NS$43-25+1)/$NU$43,$NN$43/$NT$43)),0)</f>
        <v/>
      </c>
      <c r="AD43" s="402">
        <f>IF(AND(26&gt;=$NR$43,26&lt;=$NS$43),IF($NP$43="Single_Point",IF(26=$NR$43,$NN$43,0),IF($NP$43="Bell_Curve",$NN$43*(26-$NR$43+1)*($NS$43-26+1)/$NU$43,$NN$43/$NT$43)),0)</f>
        <v/>
      </c>
      <c r="AE43" s="402">
        <f>IF(AND(27&gt;=$NR$43,27&lt;=$NS$43),IF($NP$43="Single_Point",IF(27=$NR$43,$NN$43,0),IF($NP$43="Bell_Curve",$NN$43*(27-$NR$43+1)*($NS$43-27+1)/$NU$43,$NN$43/$NT$43)),0)</f>
        <v/>
      </c>
      <c r="AF43" s="402">
        <f>IF(AND(28&gt;=$NR$43,28&lt;=$NS$43),IF($NP$43="Single_Point",IF(28=$NR$43,$NN$43,0),IF($NP$43="Bell_Curve",$NN$43*(28-$NR$43+1)*($NS$43-28+1)/$NU$43,$NN$43/$NT$43)),0)</f>
        <v/>
      </c>
      <c r="AG43" s="402">
        <f>IF(AND(29&gt;=$NR$43,29&lt;=$NS$43),IF($NP$43="Single_Point",IF(29=$NR$43,$NN$43,0),IF($NP$43="Bell_Curve",$NN$43*(29-$NR$43+1)*($NS$43-29+1)/$NU$43,$NN$43/$NT$43)),0)</f>
        <v/>
      </c>
      <c r="AH43" s="402">
        <f>IF(AND(30&gt;=$NR$43,30&lt;=$NS$43),IF($NP$43="Single_Point",IF(30=$NR$43,$NN$43,0),IF($NP$43="Bell_Curve",$NN$43*(30-$NR$43+1)*($NS$43-30+1)/$NU$43,$NN$43/$NT$43)),0)</f>
        <v/>
      </c>
      <c r="AI43" s="402">
        <f>IF(AND(31&gt;=$NR$43,31&lt;=$NS$43),IF($NP$43="Single_Point",IF(31=$NR$43,$NN$43,0),IF($NP$43="Bell_Curve",$NN$43*(31-$NR$43+1)*($NS$43-31+1)/$NU$43,$NN$43/$NT$43)),0)</f>
        <v/>
      </c>
      <c r="AJ43" s="402">
        <f>IF(AND(32&gt;=$NR$43,32&lt;=$NS$43),IF($NP$43="Single_Point",IF(32=$NR$43,$NN$43,0),IF($NP$43="Bell_Curve",$NN$43*(32-$NR$43+1)*($NS$43-32+1)/$NU$43,$NN$43/$NT$43)),0)</f>
        <v/>
      </c>
      <c r="AK43" s="402">
        <f>IF(AND(33&gt;=$NR$43,33&lt;=$NS$43),IF($NP$43="Single_Point",IF(33=$NR$43,$NN$43,0),IF($NP$43="Bell_Curve",$NN$43*(33-$NR$43+1)*($NS$43-33+1)/$NU$43,$NN$43/$NT$43)),0)</f>
        <v/>
      </c>
      <c r="AL43" s="402">
        <f>IF(AND(34&gt;=$NR$43,34&lt;=$NS$43),IF($NP$43="Single_Point",IF(34=$NR$43,$NN$43,0),IF($NP$43="Bell_Curve",$NN$43*(34-$NR$43+1)*($NS$43-34+1)/$NU$43,$NN$43/$NT$43)),0)</f>
        <v/>
      </c>
      <c r="AM43" s="402">
        <f>IF(AND(35&gt;=$NR$43,35&lt;=$NS$43),IF($NP$43="Single_Point",IF(35=$NR$43,$NN$43,0),IF($NP$43="Bell_Curve",$NN$43*(35-$NR$43+1)*($NS$43-35+1)/$NU$43,$NN$43/$NT$43)),0)</f>
        <v/>
      </c>
      <c r="AN43" s="402">
        <f>IF(AND(36&gt;=$NR$43,36&lt;=$NS$43),IF($NP$43="Single_Point",IF(36=$NR$43,$NN$43,0),IF($NP$43="Bell_Curve",$NN$43*(36-$NR$43+1)*($NS$43-36+1)/$NU$43,$NN$43/$NT$43)),0)</f>
        <v/>
      </c>
      <c r="AO43" s="402">
        <f>IF(AND(37&gt;=$NR$43,37&lt;=$NS$43),IF($NP$43="Single_Point",IF(37=$NR$43,$NN$43,0),IF($NP$43="Bell_Curve",$NN$43*(37-$NR$43+1)*($NS$43-37+1)/$NU$43,$NN$43/$NT$43)),0)</f>
        <v/>
      </c>
      <c r="AP43" s="402">
        <f>IF(AND(38&gt;=$NR$43,38&lt;=$NS$43),IF($NP$43="Single_Point",IF(38=$NR$43,$NN$43,0),IF($NP$43="Bell_Curve",$NN$43*(38-$NR$43+1)*($NS$43-38+1)/$NU$43,$NN$43/$NT$43)),0)</f>
        <v/>
      </c>
      <c r="AQ43" s="402">
        <f>IF(AND(39&gt;=$NR$43,39&lt;=$NS$43),IF($NP$43="Single_Point",IF(39=$NR$43,$NN$43,0),IF($NP$43="Bell_Curve",$NN$43*(39-$NR$43+1)*($NS$43-39+1)/$NU$43,$NN$43/$NT$43)),0)</f>
        <v/>
      </c>
      <c r="AR43" s="402">
        <f>IF(AND(40&gt;=$NR$43,40&lt;=$NS$43),IF($NP$43="Single_Point",IF(40=$NR$43,$NN$43,0),IF($NP$43="Bell_Curve",$NN$43*(40-$NR$43+1)*($NS$43-40+1)/$NU$43,$NN$43/$NT$43)),0)</f>
        <v/>
      </c>
      <c r="AS43" s="402">
        <f>IF(AND(41&gt;=$NR$43,41&lt;=$NS$43),IF($NP$43="Single_Point",IF(41=$NR$43,$NN$43,0),IF($NP$43="Bell_Curve",$NN$43*(41-$NR$43+1)*($NS$43-41+1)/$NU$43,$NN$43/$NT$43)),0)</f>
        <v/>
      </c>
      <c r="AT43" s="402">
        <f>IF(AND(42&gt;=$NR$43,42&lt;=$NS$43),IF($NP$43="Single_Point",IF(42=$NR$43,$NN$43,0),IF($NP$43="Bell_Curve",$NN$43*(42-$NR$43+1)*($NS$43-42+1)/$NU$43,$NN$43/$NT$43)),0)</f>
        <v/>
      </c>
      <c r="AU43" s="402">
        <f>IF(AND(43&gt;=$NR$43,43&lt;=$NS$43),IF($NP$43="Single_Point",IF(43=$NR$43,$NN$43,0),IF($NP$43="Bell_Curve",$NN$43*(43-$NR$43+1)*($NS$43-43+1)/$NU$43,$NN$43/$NT$43)),0)</f>
        <v/>
      </c>
      <c r="AV43" s="402">
        <f>IF(AND(44&gt;=$NR$43,44&lt;=$NS$43),IF($NP$43="Single_Point",IF(44=$NR$43,$NN$43,0),IF($NP$43="Bell_Curve",$NN$43*(44-$NR$43+1)*($NS$43-44+1)/$NU$43,$NN$43/$NT$43)),0)</f>
        <v/>
      </c>
      <c r="AW43" s="402">
        <f>IF(AND(45&gt;=$NR$43,45&lt;=$NS$43),IF($NP$43="Single_Point",IF(45=$NR$43,$NN$43,0),IF($NP$43="Bell_Curve",$NN$43*(45-$NR$43+1)*($NS$43-45+1)/$NU$43,$NN$43/$NT$43)),0)</f>
        <v/>
      </c>
      <c r="AX43" s="402">
        <f>IF(AND(46&gt;=$NR$43,46&lt;=$NS$43),IF($NP$43="Single_Point",IF(46=$NR$43,$NN$43,0),IF($NP$43="Bell_Curve",$NN$43*(46-$NR$43+1)*($NS$43-46+1)/$NU$43,$NN$43/$NT$43)),0)</f>
        <v/>
      </c>
      <c r="AY43" s="402">
        <f>IF(AND(47&gt;=$NR$43,47&lt;=$NS$43),IF($NP$43="Single_Point",IF(47=$NR$43,$NN$43,0),IF($NP$43="Bell_Curve",$NN$43*(47-$NR$43+1)*($NS$43-47+1)/$NU$43,$NN$43/$NT$43)),0)</f>
        <v/>
      </c>
      <c r="AZ43" s="402">
        <f>IF(AND(48&gt;=$NR$43,48&lt;=$NS$43),IF($NP$43="Single_Point",IF(48=$NR$43,$NN$43,0),IF($NP$43="Bell_Curve",$NN$43*(48-$NR$43+1)*($NS$43-48+1)/$NU$43,$NN$43/$NT$43)),0)</f>
        <v/>
      </c>
      <c r="BA43" s="402">
        <f>IF(AND(49&gt;=$NR$43,49&lt;=$NS$43),IF($NP$43="Single_Point",IF(49=$NR$43,$NN$43,0),IF($NP$43="Bell_Curve",$NN$43*(49-$NR$43+1)*($NS$43-49+1)/$NU$43,$NN$43/$NT$43)),0)</f>
        <v/>
      </c>
      <c r="BB43" s="402">
        <f>IF(AND(50&gt;=$NR$43,50&lt;=$NS$43),IF($NP$43="Single_Point",IF(50=$NR$43,$NN$43,0),IF($NP$43="Bell_Curve",$NN$43*(50-$NR$43+1)*($NS$43-50+1)/$NU$43,$NN$43/$NT$43)),0)</f>
        <v/>
      </c>
      <c r="BC43" s="402">
        <f>IF(AND(51&gt;=$NR$43,51&lt;=$NS$43),IF($NP$43="Single_Point",IF(51=$NR$43,$NN$43,0),IF($NP$43="Bell_Curve",$NN$43*(51-$NR$43+1)*($NS$43-51+1)/$NU$43,$NN$43/$NT$43)),0)</f>
        <v/>
      </c>
      <c r="BD43" s="402">
        <f>IF(AND(52&gt;=$NR$43,52&lt;=$NS$43),IF($NP$43="Single_Point",IF(52=$NR$43,$NN$43,0),IF($NP$43="Bell_Curve",$NN$43*(52-$NR$43+1)*($NS$43-52+1)/$NU$43,$NN$43/$NT$43)),0)</f>
        <v/>
      </c>
      <c r="BE43" s="402">
        <f>IF(AND(53&gt;=$NR$43,53&lt;=$NS$43),IF($NP$43="Single_Point",IF(53=$NR$43,$NN$43,0),IF($NP$43="Bell_Curve",$NN$43*(53-$NR$43+1)*($NS$43-53+1)/$NU$43,$NN$43/$NT$43)),0)</f>
        <v/>
      </c>
      <c r="BF43" s="402">
        <f>IF(AND(54&gt;=$NR$43,54&lt;=$NS$43),IF($NP$43="Single_Point",IF(54=$NR$43,$NN$43,0),IF($NP$43="Bell_Curve",$NN$43*(54-$NR$43+1)*($NS$43-54+1)/$NU$43,$NN$43/$NT$43)),0)</f>
        <v/>
      </c>
      <c r="BG43" s="402">
        <f>IF(AND(55&gt;=$NR$43,55&lt;=$NS$43),IF($NP$43="Single_Point",IF(55=$NR$43,$NN$43,0),IF($NP$43="Bell_Curve",$NN$43*(55-$NR$43+1)*($NS$43-55+1)/$NU$43,$NN$43/$NT$43)),0)</f>
        <v/>
      </c>
      <c r="BH43" s="402">
        <f>IF(AND(56&gt;=$NR$43,56&lt;=$NS$43),IF($NP$43="Single_Point",IF(56=$NR$43,$NN$43,0),IF($NP$43="Bell_Curve",$NN$43*(56-$NR$43+1)*($NS$43-56+1)/$NU$43,$NN$43/$NT$43)),0)</f>
        <v/>
      </c>
      <c r="BI43" s="402">
        <f>IF(AND(57&gt;=$NR$43,57&lt;=$NS$43),IF($NP$43="Single_Point",IF(57=$NR$43,$NN$43,0),IF($NP$43="Bell_Curve",$NN$43*(57-$NR$43+1)*($NS$43-57+1)/$NU$43,$NN$43/$NT$43)),0)</f>
        <v/>
      </c>
      <c r="BJ43" s="402">
        <f>IF(AND(58&gt;=$NR$43,58&lt;=$NS$43),IF($NP$43="Single_Point",IF(58=$NR$43,$NN$43,0),IF($NP$43="Bell_Curve",$NN$43*(58-$NR$43+1)*($NS$43-58+1)/$NU$43,$NN$43/$NT$43)),0)</f>
        <v/>
      </c>
      <c r="BK43" s="402">
        <f>IF(AND(59&gt;=$NR$43,59&lt;=$NS$43),IF($NP$43="Single_Point",IF(59=$NR$43,$NN$43,0),IF($NP$43="Bell_Curve",$NN$43*(59-$NR$43+1)*($NS$43-59+1)/$NU$43,$NN$43/$NT$43)),0)</f>
        <v/>
      </c>
      <c r="BL43" s="402">
        <f>IF(AND(60&gt;=$NR$43,60&lt;=$NS$43),IF($NP$43="Single_Point",IF(60=$NR$43,$NN$43,0),IF($NP$43="Bell_Curve",$NN$43*(60-$NR$43+1)*($NS$43-60+1)/$NU$43,$NN$43/$NT$43)),0)</f>
        <v/>
      </c>
      <c r="BM43" s="402">
        <f>IF(AND(61&gt;=$NR$43,61&lt;=$NS$43),IF($NP$43="Single_Point",IF(61=$NR$43,$NN$43,0),IF($NP$43="Bell_Curve",$NN$43*(61-$NR$43+1)*($NS$43-61+1)/$NU$43,$NN$43/$NT$43)),0)</f>
        <v/>
      </c>
      <c r="BN43" s="402">
        <f>IF(AND(62&gt;=$NR$43,62&lt;=$NS$43),IF($NP$43="Single_Point",IF(62=$NR$43,$NN$43,0),IF($NP$43="Bell_Curve",$NN$43*(62-$NR$43+1)*($NS$43-62+1)/$NU$43,$NN$43/$NT$43)),0)</f>
        <v/>
      </c>
      <c r="BO43" s="402">
        <f>IF(AND(63&gt;=$NR$43,63&lt;=$NS$43),IF($NP$43="Single_Point",IF(63=$NR$43,$NN$43,0),IF($NP$43="Bell_Curve",$NN$43*(63-$NR$43+1)*($NS$43-63+1)/$NU$43,$NN$43/$NT$43)),0)</f>
        <v/>
      </c>
      <c r="BP43" s="402">
        <f>IF(AND(64&gt;=$NR$43,64&lt;=$NS$43),IF($NP$43="Single_Point",IF(64=$NR$43,$NN$43,0),IF($NP$43="Bell_Curve",$NN$43*(64-$NR$43+1)*($NS$43-64+1)/$NU$43,$NN$43/$NT$43)),0)</f>
        <v/>
      </c>
      <c r="BQ43" s="402">
        <f>IF(AND(65&gt;=$NR$43,65&lt;=$NS$43),IF($NP$43="Single_Point",IF(65=$NR$43,$NN$43,0),IF($NP$43="Bell_Curve",$NN$43*(65-$NR$43+1)*($NS$43-65+1)/$NU$43,$NN$43/$NT$43)),0)</f>
        <v/>
      </c>
      <c r="BR43" s="402">
        <f>IF(AND(66&gt;=$NR$43,66&lt;=$NS$43),IF($NP$43="Single_Point",IF(66=$NR$43,$NN$43,0),IF($NP$43="Bell_Curve",$NN$43*(66-$NR$43+1)*($NS$43-66+1)/$NU$43,$NN$43/$NT$43)),0)</f>
        <v/>
      </c>
      <c r="BS43" s="402">
        <f>IF(AND(67&gt;=$NR$43,67&lt;=$NS$43),IF($NP$43="Single_Point",IF(67=$NR$43,$NN$43,0),IF($NP$43="Bell_Curve",$NN$43*(67-$NR$43+1)*($NS$43-67+1)/$NU$43,$NN$43/$NT$43)),0)</f>
        <v/>
      </c>
      <c r="BT43" s="402">
        <f>IF(AND(68&gt;=$NR$43,68&lt;=$NS$43),IF($NP$43="Single_Point",IF(68=$NR$43,$NN$43,0),IF($NP$43="Bell_Curve",$NN$43*(68-$NR$43+1)*($NS$43-68+1)/$NU$43,$NN$43/$NT$43)),0)</f>
        <v/>
      </c>
      <c r="BU43" s="402">
        <f>IF(AND(69&gt;=$NR$43,69&lt;=$NS$43),IF($NP$43="Single_Point",IF(69=$NR$43,$NN$43,0),IF($NP$43="Bell_Curve",$NN$43*(69-$NR$43+1)*($NS$43-69+1)/$NU$43,$NN$43/$NT$43)),0)</f>
        <v/>
      </c>
      <c r="BV43" s="402">
        <f>IF(AND(70&gt;=$NR$43,70&lt;=$NS$43),IF($NP$43="Single_Point",IF(70=$NR$43,$NN$43,0),IF($NP$43="Bell_Curve",$NN$43*(70-$NR$43+1)*($NS$43-70+1)/$NU$43,$NN$43/$NT$43)),0)</f>
        <v/>
      </c>
      <c r="BW43" s="402">
        <f>IF(AND(71&gt;=$NR$43,71&lt;=$NS$43),IF($NP$43="Single_Point",IF(71=$NR$43,$NN$43,0),IF($NP$43="Bell_Curve",$NN$43*(71-$NR$43+1)*($NS$43-71+1)/$NU$43,$NN$43/$NT$43)),0)</f>
        <v/>
      </c>
      <c r="BX43" s="402">
        <f>IF(AND(72&gt;=$NR$43,72&lt;=$NS$43),IF($NP$43="Single_Point",IF(72=$NR$43,$NN$43,0),IF($NP$43="Bell_Curve",$NN$43*(72-$NR$43+1)*($NS$43-72+1)/$NU$43,$NN$43/$NT$43)),0)</f>
        <v/>
      </c>
      <c r="BY43" s="402">
        <f>IF(AND(73&gt;=$NR$43,73&lt;=$NS$43),IF($NP$43="Single_Point",IF(73=$NR$43,$NN$43,0),IF($NP$43="Bell_Curve",$NN$43*(73-$NR$43+1)*($NS$43-73+1)/$NU$43,$NN$43/$NT$43)),0)</f>
        <v/>
      </c>
      <c r="BZ43" s="402">
        <f>IF(AND(74&gt;=$NR$43,74&lt;=$NS$43),IF($NP$43="Single_Point",IF(74=$NR$43,$NN$43,0),IF($NP$43="Bell_Curve",$NN$43*(74-$NR$43+1)*($NS$43-74+1)/$NU$43,$NN$43/$NT$43)),0)</f>
        <v/>
      </c>
      <c r="CA43" s="402">
        <f>IF(AND(75&gt;=$NR$43,75&lt;=$NS$43),IF($NP$43="Single_Point",IF(75=$NR$43,$NN$43,0),IF($NP$43="Bell_Curve",$NN$43*(75-$NR$43+1)*($NS$43-75+1)/$NU$43,$NN$43/$NT$43)),0)</f>
        <v/>
      </c>
      <c r="CB43" s="402">
        <f>IF(AND(76&gt;=$NR$43,76&lt;=$NS$43),IF($NP$43="Single_Point",IF(76=$NR$43,$NN$43,0),IF($NP$43="Bell_Curve",$NN$43*(76-$NR$43+1)*($NS$43-76+1)/$NU$43,$NN$43/$NT$43)),0)</f>
        <v/>
      </c>
      <c r="CC43" s="402">
        <f>IF(AND(77&gt;=$NR$43,77&lt;=$NS$43),IF($NP$43="Single_Point",IF(77=$NR$43,$NN$43,0),IF($NP$43="Bell_Curve",$NN$43*(77-$NR$43+1)*($NS$43-77+1)/$NU$43,$NN$43/$NT$43)),0)</f>
        <v/>
      </c>
      <c r="CD43" s="402">
        <f>IF(AND(78&gt;=$NR$43,78&lt;=$NS$43),IF($NP$43="Single_Point",IF(78=$NR$43,$NN$43,0),IF($NP$43="Bell_Curve",$NN$43*(78-$NR$43+1)*($NS$43-78+1)/$NU$43,$NN$43/$NT$43)),0)</f>
        <v/>
      </c>
      <c r="CE43" s="402">
        <f>IF(AND(79&gt;=$NR$43,79&lt;=$NS$43),IF($NP$43="Single_Point",IF(79=$NR$43,$NN$43,0),IF($NP$43="Bell_Curve",$NN$43*(79-$NR$43+1)*($NS$43-79+1)/$NU$43,$NN$43/$NT$43)),0)</f>
        <v/>
      </c>
      <c r="CF43" s="402">
        <f>IF(AND(80&gt;=$NR$43,80&lt;=$NS$43),IF($NP$43="Single_Point",IF(80=$NR$43,$NN$43,0),IF($NP$43="Bell_Curve",$NN$43*(80-$NR$43+1)*($NS$43-80+1)/$NU$43,$NN$43/$NT$43)),0)</f>
        <v/>
      </c>
      <c r="CG43" s="402">
        <f>IF(AND(81&gt;=$NR$43,81&lt;=$NS$43),IF($NP$43="Single_Point",IF(81=$NR$43,$NN$43,0),IF($NP$43="Bell_Curve",$NN$43*(81-$NR$43+1)*($NS$43-81+1)/$NU$43,$NN$43/$NT$43)),0)</f>
        <v/>
      </c>
      <c r="CH43" s="402">
        <f>IF(AND(82&gt;=$NR$43,82&lt;=$NS$43),IF($NP$43="Single_Point",IF(82=$NR$43,$NN$43,0),IF($NP$43="Bell_Curve",$NN$43*(82-$NR$43+1)*($NS$43-82+1)/$NU$43,$NN$43/$NT$43)),0)</f>
        <v/>
      </c>
      <c r="CI43" s="402">
        <f>IF(AND(83&gt;=$NR$43,83&lt;=$NS$43),IF($NP$43="Single_Point",IF(83=$NR$43,$NN$43,0),IF($NP$43="Bell_Curve",$NN$43*(83-$NR$43+1)*($NS$43-83+1)/$NU$43,$NN$43/$NT$43)),0)</f>
        <v/>
      </c>
      <c r="CJ43" s="402">
        <f>IF(AND(84&gt;=$NR$43,84&lt;=$NS$43),IF($NP$43="Single_Point",IF(84=$NR$43,$NN$43,0),IF($NP$43="Bell_Curve",$NN$43*(84-$NR$43+1)*($NS$43-84+1)/$NU$43,$NN$43/$NT$43)),0)</f>
        <v/>
      </c>
      <c r="CK43" s="402">
        <f>IF(AND(85&gt;=$NR$43,85&lt;=$NS$43),IF($NP$43="Single_Point",IF(85=$NR$43,$NN$43,0),IF($NP$43="Bell_Curve",$NN$43*(85-$NR$43+1)*($NS$43-85+1)/$NU$43,$NN$43/$NT$43)),0)</f>
        <v/>
      </c>
      <c r="CL43" s="402">
        <f>IF(AND(86&gt;=$NR$43,86&lt;=$NS$43),IF($NP$43="Single_Point",IF(86=$NR$43,$NN$43,0),IF($NP$43="Bell_Curve",$NN$43*(86-$NR$43+1)*($NS$43-86+1)/$NU$43,$NN$43/$NT$43)),0)</f>
        <v/>
      </c>
      <c r="CM43" s="402">
        <f>IF(AND(87&gt;=$NR$43,87&lt;=$NS$43),IF($NP$43="Single_Point",IF(87=$NR$43,$NN$43,0),IF($NP$43="Bell_Curve",$NN$43*(87-$NR$43+1)*($NS$43-87+1)/$NU$43,$NN$43/$NT$43)),0)</f>
        <v/>
      </c>
      <c r="CN43" s="402">
        <f>IF(AND(88&gt;=$NR$43,88&lt;=$NS$43),IF($NP$43="Single_Point",IF(88=$NR$43,$NN$43,0),IF($NP$43="Bell_Curve",$NN$43*(88-$NR$43+1)*($NS$43-88+1)/$NU$43,$NN$43/$NT$43)),0)</f>
        <v/>
      </c>
      <c r="CO43" s="402">
        <f>IF(AND(89&gt;=$NR$43,89&lt;=$NS$43),IF($NP$43="Single_Point",IF(89=$NR$43,$NN$43,0),IF($NP$43="Bell_Curve",$NN$43*(89-$NR$43+1)*($NS$43-89+1)/$NU$43,$NN$43/$NT$43)),0)</f>
        <v/>
      </c>
      <c r="CP43" s="402">
        <f>IF(AND(90&gt;=$NR$43,90&lt;=$NS$43),IF($NP$43="Single_Point",IF(90=$NR$43,$NN$43,0),IF($NP$43="Bell_Curve",$NN$43*(90-$NR$43+1)*($NS$43-90+1)/$NU$43,$NN$43/$NT$43)),0)</f>
        <v/>
      </c>
      <c r="CQ43" s="402">
        <f>IF(AND(91&gt;=$NR$43,91&lt;=$NS$43),IF($NP$43="Single_Point",IF(91=$NR$43,$NN$43,0),IF($NP$43="Bell_Curve",$NN$43*(91-$NR$43+1)*($NS$43-91+1)/$NU$43,$NN$43/$NT$43)),0)</f>
        <v/>
      </c>
      <c r="CR43" s="402">
        <f>IF(AND(92&gt;=$NR$43,92&lt;=$NS$43),IF($NP$43="Single_Point",IF(92=$NR$43,$NN$43,0),IF($NP$43="Bell_Curve",$NN$43*(92-$NR$43+1)*($NS$43-92+1)/$NU$43,$NN$43/$NT$43)),0)</f>
        <v/>
      </c>
      <c r="CS43" s="402">
        <f>IF(AND(93&gt;=$NR$43,93&lt;=$NS$43),IF($NP$43="Single_Point",IF(93=$NR$43,$NN$43,0),IF($NP$43="Bell_Curve",$NN$43*(93-$NR$43+1)*($NS$43-93+1)/$NU$43,$NN$43/$NT$43)),0)</f>
        <v/>
      </c>
      <c r="CT43" s="402">
        <f>IF(AND(94&gt;=$NR$43,94&lt;=$NS$43),IF($NP$43="Single_Point",IF(94=$NR$43,$NN$43,0),IF($NP$43="Bell_Curve",$NN$43*(94-$NR$43+1)*($NS$43-94+1)/$NU$43,$NN$43/$NT$43)),0)</f>
        <v/>
      </c>
      <c r="CU43" s="402">
        <f>IF(AND(95&gt;=$NR$43,95&lt;=$NS$43),IF($NP$43="Single_Point",IF(95=$NR$43,$NN$43,0),IF($NP$43="Bell_Curve",$NN$43*(95-$NR$43+1)*($NS$43-95+1)/$NU$43,$NN$43/$NT$43)),0)</f>
        <v/>
      </c>
      <c r="CV43" s="402">
        <f>IF(AND(96&gt;=$NR$43,96&lt;=$NS$43),IF($NP$43="Single_Point",IF(96=$NR$43,$NN$43,0),IF($NP$43="Bell_Curve",$NN$43*(96-$NR$43+1)*($NS$43-96+1)/$NU$43,$NN$43/$NT$43)),0)</f>
        <v/>
      </c>
      <c r="CW43" s="402">
        <f>IF(AND(97&gt;=$NR$43,97&lt;=$NS$43),IF($NP$43="Single_Point",IF(97=$NR$43,$NN$43,0),IF($NP$43="Bell_Curve",$NN$43*(97-$NR$43+1)*($NS$43-97+1)/$NU$43,$NN$43/$NT$43)),0)</f>
        <v/>
      </c>
      <c r="CX43" s="402">
        <f>IF(AND(98&gt;=$NR$43,98&lt;=$NS$43),IF($NP$43="Single_Point",IF(98=$NR$43,$NN$43,0),IF($NP$43="Bell_Curve",$NN$43*(98-$NR$43+1)*($NS$43-98+1)/$NU$43,$NN$43/$NT$43)),0)</f>
        <v/>
      </c>
      <c r="CY43" s="402">
        <f>IF(AND(99&gt;=$NR$43,99&lt;=$NS$43),IF($NP$43="Single_Point",IF(99=$NR$43,$NN$43,0),IF($NP$43="Bell_Curve",$NN$43*(99-$NR$43+1)*($NS$43-99+1)/$NU$43,$NN$43/$NT$43)),0)</f>
        <v/>
      </c>
      <c r="CZ43" s="402">
        <f>IF(AND(100&gt;=$NR$43,100&lt;=$NS$43),IF($NP$43="Single_Point",IF(100=$NR$43,$NN$43,0),IF($NP$43="Bell_Curve",$NN$43*(100-$NR$43+1)*($NS$43-100+1)/$NU$43,$NN$43/$NT$43)),0)</f>
        <v/>
      </c>
      <c r="DA43" s="402">
        <f>IF(AND(101&gt;=$NR$43,101&lt;=$NS$43),IF($NP$43="Single_Point",IF(101=$NR$43,$NN$43,0),IF($NP$43="Bell_Curve",$NN$43*(101-$NR$43+1)*($NS$43-101+1)/$NU$43,$NN$43/$NT$43)),0)</f>
        <v/>
      </c>
      <c r="DB43" s="402">
        <f>IF(AND(102&gt;=$NR$43,102&lt;=$NS$43),IF($NP$43="Single_Point",IF(102=$NR$43,$NN$43,0),IF($NP$43="Bell_Curve",$NN$43*(102-$NR$43+1)*($NS$43-102+1)/$NU$43,$NN$43/$NT$43)),0)</f>
        <v/>
      </c>
      <c r="DC43" s="402">
        <f>IF(AND(103&gt;=$NR$43,103&lt;=$NS$43),IF($NP$43="Single_Point",IF(103=$NR$43,$NN$43,0),IF($NP$43="Bell_Curve",$NN$43*(103-$NR$43+1)*($NS$43-103+1)/$NU$43,$NN$43/$NT$43)),0)</f>
        <v/>
      </c>
      <c r="DD43" s="402">
        <f>IF(AND(104&gt;=$NR$43,104&lt;=$NS$43),IF($NP$43="Single_Point",IF(104=$NR$43,$NN$43,0),IF($NP$43="Bell_Curve",$NN$43*(104-$NR$43+1)*($NS$43-104+1)/$NU$43,$NN$43/$NT$43)),0)</f>
        <v/>
      </c>
      <c r="DE43" s="402">
        <f>IF(AND(105&gt;=$NR$43,105&lt;=$NS$43),IF($NP$43="Single_Point",IF(105=$NR$43,$NN$43,0),IF($NP$43="Bell_Curve",$NN$43*(105-$NR$43+1)*($NS$43-105+1)/$NU$43,$NN$43/$NT$43)),0)</f>
        <v/>
      </c>
      <c r="DF43" s="402">
        <f>IF(AND(106&gt;=$NR$43,106&lt;=$NS$43),IF($NP$43="Single_Point",IF(106=$NR$43,$NN$43,0),IF($NP$43="Bell_Curve",$NN$43*(106-$NR$43+1)*($NS$43-106+1)/$NU$43,$NN$43/$NT$43)),0)</f>
        <v/>
      </c>
      <c r="DG43" s="402">
        <f>IF(AND(107&gt;=$NR$43,107&lt;=$NS$43),IF($NP$43="Single_Point",IF(107=$NR$43,$NN$43,0),IF($NP$43="Bell_Curve",$NN$43*(107-$NR$43+1)*($NS$43-107+1)/$NU$43,$NN$43/$NT$43)),0)</f>
        <v/>
      </c>
      <c r="DH43" s="402">
        <f>IF(AND(108&gt;=$NR$43,108&lt;=$NS$43),IF($NP$43="Single_Point",IF(108=$NR$43,$NN$43,0),IF($NP$43="Bell_Curve",$NN$43*(108-$NR$43+1)*($NS$43-108+1)/$NU$43,$NN$43/$NT$43)),0)</f>
        <v/>
      </c>
      <c r="DI43" s="402">
        <f>IF(AND(109&gt;=$NR$43,109&lt;=$NS$43),IF($NP$43="Single_Point",IF(109=$NR$43,$NN$43,0),IF($NP$43="Bell_Curve",$NN$43*(109-$NR$43+1)*($NS$43-109+1)/$NU$43,$NN$43/$NT$43)),0)</f>
        <v/>
      </c>
      <c r="DJ43" s="402">
        <f>IF(AND(110&gt;=$NR$43,110&lt;=$NS$43),IF($NP$43="Single_Point",IF(110=$NR$43,$NN$43,0),IF($NP$43="Bell_Curve",$NN$43*(110-$NR$43+1)*($NS$43-110+1)/$NU$43,$NN$43/$NT$43)),0)</f>
        <v/>
      </c>
      <c r="DK43" s="402">
        <f>IF(AND(111&gt;=$NR$43,111&lt;=$NS$43),IF($NP$43="Single_Point",IF(111=$NR$43,$NN$43,0),IF($NP$43="Bell_Curve",$NN$43*(111-$NR$43+1)*($NS$43-111+1)/$NU$43,$NN$43/$NT$43)),0)</f>
        <v/>
      </c>
      <c r="DL43" s="402">
        <f>IF(AND(112&gt;=$NR$43,112&lt;=$NS$43),IF($NP$43="Single_Point",IF(112=$NR$43,$NN$43,0),IF($NP$43="Bell_Curve",$NN$43*(112-$NR$43+1)*($NS$43-112+1)/$NU$43,$NN$43/$NT$43)),0)</f>
        <v/>
      </c>
      <c r="DM43" s="402">
        <f>IF(AND(113&gt;=$NR$43,113&lt;=$NS$43),IF($NP$43="Single_Point",IF(113=$NR$43,$NN$43,0),IF($NP$43="Bell_Curve",$NN$43*(113-$NR$43+1)*($NS$43-113+1)/$NU$43,$NN$43/$NT$43)),0)</f>
        <v/>
      </c>
      <c r="DN43" s="402">
        <f>IF(AND(114&gt;=$NR$43,114&lt;=$NS$43),IF($NP$43="Single_Point",IF(114=$NR$43,$NN$43,0),IF($NP$43="Bell_Curve",$NN$43*(114-$NR$43+1)*($NS$43-114+1)/$NU$43,$NN$43/$NT$43)),0)</f>
        <v/>
      </c>
      <c r="DO43" s="402">
        <f>IF(AND(115&gt;=$NR$43,115&lt;=$NS$43),IF($NP$43="Single_Point",IF(115=$NR$43,$NN$43,0),IF($NP$43="Bell_Curve",$NN$43*(115-$NR$43+1)*($NS$43-115+1)/$NU$43,$NN$43/$NT$43)),0)</f>
        <v/>
      </c>
      <c r="DP43" s="402">
        <f>IF(AND(116&gt;=$NR$43,116&lt;=$NS$43),IF($NP$43="Single_Point",IF(116=$NR$43,$NN$43,0),IF($NP$43="Bell_Curve",$NN$43*(116-$NR$43+1)*($NS$43-116+1)/$NU$43,$NN$43/$NT$43)),0)</f>
        <v/>
      </c>
      <c r="DQ43" s="402">
        <f>IF(AND(117&gt;=$NR$43,117&lt;=$NS$43),IF($NP$43="Single_Point",IF(117=$NR$43,$NN$43,0),IF($NP$43="Bell_Curve",$NN$43*(117-$NR$43+1)*($NS$43-117+1)/$NU$43,$NN$43/$NT$43)),0)</f>
        <v/>
      </c>
      <c r="DR43" s="402">
        <f>IF(AND(118&gt;=$NR$43,118&lt;=$NS$43),IF($NP$43="Single_Point",IF(118=$NR$43,$NN$43,0),IF($NP$43="Bell_Curve",$NN$43*(118-$NR$43+1)*($NS$43-118+1)/$NU$43,$NN$43/$NT$43)),0)</f>
        <v/>
      </c>
      <c r="DS43" s="402">
        <f>IF(AND(119&gt;=$NR$43,119&lt;=$NS$43),IF($NP$43="Single_Point",IF(119=$NR$43,$NN$43,0),IF($NP$43="Bell_Curve",$NN$43*(119-$NR$43+1)*($NS$43-119+1)/$NU$43,$NN$43/$NT$43)),0)</f>
        <v/>
      </c>
      <c r="DT43" s="402">
        <f>IF(AND(120&gt;=$NR$43,120&lt;=$NS$43),IF($NP$43="Single_Point",IF(120=$NR$43,$NN$43,0),IF($NP$43="Bell_Curve",$NN$43*(120-$NR$43+1)*($NS$43-120+1)/$NU$43,$NN$43/$NT$43)),0)</f>
        <v/>
      </c>
      <c r="DU43" s="402">
        <f>IF(AND(121&gt;=$NR$43,121&lt;=$NS$43),IF($NP$43="Single_Point",IF(121=$NR$43,$NN$43,0),IF($NP$43="Bell_Curve",$NN$43*(121-$NR$43+1)*($NS$43-121+1)/$NU$43,$NN$43/$NT$43)),0)</f>
        <v/>
      </c>
      <c r="DV43" s="402">
        <f>IF(AND(122&gt;=$NR$43,122&lt;=$NS$43),IF($NP$43="Single_Point",IF(122=$NR$43,$NN$43,0),IF($NP$43="Bell_Curve",$NN$43*(122-$NR$43+1)*($NS$43-122+1)/$NU$43,$NN$43/$NT$43)),0)</f>
        <v/>
      </c>
      <c r="DW43" s="402">
        <f>IF(AND(123&gt;=$NR$43,123&lt;=$NS$43),IF($NP$43="Single_Point",IF(123=$NR$43,$NN$43,0),IF($NP$43="Bell_Curve",$NN$43*(123-$NR$43+1)*($NS$43-123+1)/$NU$43,$NN$43/$NT$43)),0)</f>
        <v/>
      </c>
      <c r="DX43" s="402">
        <f>IF(AND(124&gt;=$NR$43,124&lt;=$NS$43),IF($NP$43="Single_Point",IF(124=$NR$43,$NN$43,0),IF($NP$43="Bell_Curve",$NN$43*(124-$NR$43+1)*($NS$43-124+1)/$NU$43,$NN$43/$NT$43)),0)</f>
        <v/>
      </c>
      <c r="DY43" s="402">
        <f>IF(AND(125&gt;=$NR$43,125&lt;=$NS$43),IF($NP$43="Single_Point",IF(125=$NR$43,$NN$43,0),IF($NP$43="Bell_Curve",$NN$43*(125-$NR$43+1)*($NS$43-125+1)/$NU$43,$NN$43/$NT$43)),0)</f>
        <v/>
      </c>
      <c r="DZ43" s="402">
        <f>IF(AND(126&gt;=$NR$43,126&lt;=$NS$43),IF($NP$43="Single_Point",IF(126=$NR$43,$NN$43,0),IF($NP$43="Bell_Curve",$NN$43*(126-$NR$43+1)*($NS$43-126+1)/$NU$43,$NN$43/$NT$43)),0)</f>
        <v/>
      </c>
      <c r="EA43" s="402">
        <f>IF(AND(127&gt;=$NR$43,127&lt;=$NS$43),IF($NP$43="Single_Point",IF(127=$NR$43,$NN$43,0),IF($NP$43="Bell_Curve",$NN$43*(127-$NR$43+1)*($NS$43-127+1)/$NU$43,$NN$43/$NT$43)),0)</f>
        <v/>
      </c>
      <c r="EB43" s="402">
        <f>IF(AND(128&gt;=$NR$43,128&lt;=$NS$43),IF($NP$43="Single_Point",IF(128=$NR$43,$NN$43,0),IF($NP$43="Bell_Curve",$NN$43*(128-$NR$43+1)*($NS$43-128+1)/$NU$43,$NN$43/$NT$43)),0)</f>
        <v/>
      </c>
      <c r="EC43" s="402">
        <f>IF(AND(129&gt;=$NR$43,129&lt;=$NS$43),IF($NP$43="Single_Point",IF(129=$NR$43,$NN$43,0),IF($NP$43="Bell_Curve",$NN$43*(129-$NR$43+1)*($NS$43-129+1)/$NU$43,$NN$43/$NT$43)),0)</f>
        <v/>
      </c>
      <c r="ED43" s="402">
        <f>IF(AND(130&gt;=$NR$43,130&lt;=$NS$43),IF($NP$43="Single_Point",IF(130=$NR$43,$NN$43,0),IF($NP$43="Bell_Curve",$NN$43*(130-$NR$43+1)*($NS$43-130+1)/$NU$43,$NN$43/$NT$43)),0)</f>
        <v/>
      </c>
      <c r="EE43" s="402">
        <f>IF(AND(131&gt;=$NR$43,131&lt;=$NS$43),IF($NP$43="Single_Point",IF(131=$NR$43,$NN$43,0),IF($NP$43="Bell_Curve",$NN$43*(131-$NR$43+1)*($NS$43-131+1)/$NU$43,$NN$43/$NT$43)),0)</f>
        <v/>
      </c>
      <c r="EF43" s="402">
        <f>IF(AND(132&gt;=$NR$43,132&lt;=$NS$43),IF($NP$43="Single_Point",IF(132=$NR$43,$NN$43,0),IF($NP$43="Bell_Curve",$NN$43*(132-$NR$43+1)*($NS$43-132+1)/$NU$43,$NN$43/$NT$43)),0)</f>
        <v/>
      </c>
      <c r="EG43" s="402">
        <f>IF(AND(133&gt;=$NR$43,133&lt;=$NS$43),IF($NP$43="Single_Point",IF(133=$NR$43,$NN$43,0),IF($NP$43="Bell_Curve",$NN$43*(133-$NR$43+1)*($NS$43-133+1)/$NU$43,$NN$43/$NT$43)),0)</f>
        <v/>
      </c>
      <c r="EH43" s="402">
        <f>IF(AND(134&gt;=$NR$43,134&lt;=$NS$43),IF($NP$43="Single_Point",IF(134=$NR$43,$NN$43,0),IF($NP$43="Bell_Curve",$NN$43*(134-$NR$43+1)*($NS$43-134+1)/$NU$43,$NN$43/$NT$43)),0)</f>
        <v/>
      </c>
      <c r="EI43" s="402">
        <f>IF(AND(135&gt;=$NR$43,135&lt;=$NS$43),IF($NP$43="Single_Point",IF(135=$NR$43,$NN$43,0),IF($NP$43="Bell_Curve",$NN$43*(135-$NR$43+1)*($NS$43-135+1)/$NU$43,$NN$43/$NT$43)),0)</f>
        <v/>
      </c>
      <c r="EJ43" s="402">
        <f>IF(AND(136&gt;=$NR$43,136&lt;=$NS$43),IF($NP$43="Single_Point",IF(136=$NR$43,$NN$43,0),IF($NP$43="Bell_Curve",$NN$43*(136-$NR$43+1)*($NS$43-136+1)/$NU$43,$NN$43/$NT$43)),0)</f>
        <v/>
      </c>
      <c r="EK43" s="402">
        <f>IF(AND(137&gt;=$NR$43,137&lt;=$NS$43),IF($NP$43="Single_Point",IF(137=$NR$43,$NN$43,0),IF($NP$43="Bell_Curve",$NN$43*(137-$NR$43+1)*($NS$43-137+1)/$NU$43,$NN$43/$NT$43)),0)</f>
        <v/>
      </c>
      <c r="EL43" s="402">
        <f>IF(AND(138&gt;=$NR$43,138&lt;=$NS$43),IF($NP$43="Single_Point",IF(138=$NR$43,$NN$43,0),IF($NP$43="Bell_Curve",$NN$43*(138-$NR$43+1)*($NS$43-138+1)/$NU$43,$NN$43/$NT$43)),0)</f>
        <v/>
      </c>
      <c r="EM43" s="402">
        <f>IF(AND(139&gt;=$NR$43,139&lt;=$NS$43),IF($NP$43="Single_Point",IF(139=$NR$43,$NN$43,0),IF($NP$43="Bell_Curve",$NN$43*(139-$NR$43+1)*($NS$43-139+1)/$NU$43,$NN$43/$NT$43)),0)</f>
        <v/>
      </c>
      <c r="EN43" s="402">
        <f>IF(AND(140&gt;=$NR$43,140&lt;=$NS$43),IF($NP$43="Single_Point",IF(140=$NR$43,$NN$43,0),IF($NP$43="Bell_Curve",$NN$43*(140-$NR$43+1)*($NS$43-140+1)/$NU$43,$NN$43/$NT$43)),0)</f>
        <v/>
      </c>
      <c r="EO43" s="402">
        <f>IF(AND(141&gt;=$NR$43,141&lt;=$NS$43),IF($NP$43="Single_Point",IF(141=$NR$43,$NN$43,0),IF($NP$43="Bell_Curve",$NN$43*(141-$NR$43+1)*($NS$43-141+1)/$NU$43,$NN$43/$NT$43)),0)</f>
        <v/>
      </c>
      <c r="EP43" s="402">
        <f>IF(AND(142&gt;=$NR$43,142&lt;=$NS$43),IF($NP$43="Single_Point",IF(142=$NR$43,$NN$43,0),IF($NP$43="Bell_Curve",$NN$43*(142-$NR$43+1)*($NS$43-142+1)/$NU$43,$NN$43/$NT$43)),0)</f>
        <v/>
      </c>
      <c r="EQ43" s="402">
        <f>IF(AND(143&gt;=$NR$43,143&lt;=$NS$43),IF($NP$43="Single_Point",IF(143=$NR$43,$NN$43,0),IF($NP$43="Bell_Curve",$NN$43*(143-$NR$43+1)*($NS$43-143+1)/$NU$43,$NN$43/$NT$43)),0)</f>
        <v/>
      </c>
      <c r="ER43" s="402">
        <f>IF(AND(144&gt;=$NR$43,144&lt;=$NS$43),IF($NP$43="Single_Point",IF(144=$NR$43,$NN$43,0),IF($NP$43="Bell_Curve",$NN$43*(144-$NR$43+1)*($NS$43-144+1)/$NU$43,$NN$43/$NT$43)),0)</f>
        <v/>
      </c>
      <c r="ES43" s="402">
        <f>IF(AND(145&gt;=$NR$43,145&lt;=$NS$43),IF($NP$43="Single_Point",IF(145=$NR$43,$NN$43,0),IF($NP$43="Bell_Curve",$NN$43*(145-$NR$43+1)*($NS$43-145+1)/$NU$43,$NN$43/$NT$43)),0)</f>
        <v/>
      </c>
      <c r="ET43" s="402">
        <f>IF(AND(146&gt;=$NR$43,146&lt;=$NS$43),IF($NP$43="Single_Point",IF(146=$NR$43,$NN$43,0),IF($NP$43="Bell_Curve",$NN$43*(146-$NR$43+1)*($NS$43-146+1)/$NU$43,$NN$43/$NT$43)),0)</f>
        <v/>
      </c>
      <c r="EU43" s="402">
        <f>IF(AND(147&gt;=$NR$43,147&lt;=$NS$43),IF($NP$43="Single_Point",IF(147=$NR$43,$NN$43,0),IF($NP$43="Bell_Curve",$NN$43*(147-$NR$43+1)*($NS$43-147+1)/$NU$43,$NN$43/$NT$43)),0)</f>
        <v/>
      </c>
      <c r="EV43" s="402">
        <f>IF(AND(148&gt;=$NR$43,148&lt;=$NS$43),IF($NP$43="Single_Point",IF(148=$NR$43,$NN$43,0),IF($NP$43="Bell_Curve",$NN$43*(148-$NR$43+1)*($NS$43-148+1)/$NU$43,$NN$43/$NT$43)),0)</f>
        <v/>
      </c>
      <c r="EW43" s="402">
        <f>IF(AND(149&gt;=$NR$43,149&lt;=$NS$43),IF($NP$43="Single_Point",IF(149=$NR$43,$NN$43,0),IF($NP$43="Bell_Curve",$NN$43*(149-$NR$43+1)*($NS$43-149+1)/$NU$43,$NN$43/$NT$43)),0)</f>
        <v/>
      </c>
      <c r="EX43" s="402">
        <f>IF(AND(150&gt;=$NR$43,150&lt;=$NS$43),IF($NP$43="Single_Point",IF(150=$NR$43,$NN$43,0),IF($NP$43="Bell_Curve",$NN$43*(150-$NR$43+1)*($NS$43-150+1)/$NU$43,$NN$43/$NT$43)),0)</f>
        <v/>
      </c>
      <c r="EY43" s="402">
        <f>IF(AND(151&gt;=$NR$43,151&lt;=$NS$43),IF($NP$43="Single_Point",IF(151=$NR$43,$NN$43,0),IF($NP$43="Bell_Curve",$NN$43*(151-$NR$43+1)*($NS$43-151+1)/$NU$43,$NN$43/$NT$43)),0)</f>
        <v/>
      </c>
      <c r="EZ43" s="402">
        <f>IF(AND(152&gt;=$NR$43,152&lt;=$NS$43),IF($NP$43="Single_Point",IF(152=$NR$43,$NN$43,0),IF($NP$43="Bell_Curve",$NN$43*(152-$NR$43+1)*($NS$43-152+1)/$NU$43,$NN$43/$NT$43)),0)</f>
        <v/>
      </c>
      <c r="FA43" s="402">
        <f>IF(AND(153&gt;=$NR$43,153&lt;=$NS$43),IF($NP$43="Single_Point",IF(153=$NR$43,$NN$43,0),IF($NP$43="Bell_Curve",$NN$43*(153-$NR$43+1)*($NS$43-153+1)/$NU$43,$NN$43/$NT$43)),0)</f>
        <v/>
      </c>
      <c r="FB43" s="402">
        <f>IF(AND(154&gt;=$NR$43,154&lt;=$NS$43),IF($NP$43="Single_Point",IF(154=$NR$43,$NN$43,0),IF($NP$43="Bell_Curve",$NN$43*(154-$NR$43+1)*($NS$43-154+1)/$NU$43,$NN$43/$NT$43)),0)</f>
        <v/>
      </c>
      <c r="FC43" s="402">
        <f>IF(AND(155&gt;=$NR$43,155&lt;=$NS$43),IF($NP$43="Single_Point",IF(155=$NR$43,$NN$43,0),IF($NP$43="Bell_Curve",$NN$43*(155-$NR$43+1)*($NS$43-155+1)/$NU$43,$NN$43/$NT$43)),0)</f>
        <v/>
      </c>
      <c r="FD43" s="402">
        <f>IF(AND(156&gt;=$NR$43,156&lt;=$NS$43),IF($NP$43="Single_Point",IF(156=$NR$43,$NN$43,0),IF($NP$43="Bell_Curve",$NN$43*(156-$NR$43+1)*($NS$43-156+1)/$NU$43,$NN$43/$NT$43)),0)</f>
        <v/>
      </c>
      <c r="FE43" s="402">
        <f>IF(AND(157&gt;=$NR$43,157&lt;=$NS$43),IF($NP$43="Single_Point",IF(157=$NR$43,$NN$43,0),IF($NP$43="Bell_Curve",$NN$43*(157-$NR$43+1)*($NS$43-157+1)/$NU$43,$NN$43/$NT$43)),0)</f>
        <v/>
      </c>
      <c r="FF43" s="402">
        <f>IF(AND(158&gt;=$NR$43,158&lt;=$NS$43),IF($NP$43="Single_Point",IF(158=$NR$43,$NN$43,0),IF($NP$43="Bell_Curve",$NN$43*(158-$NR$43+1)*($NS$43-158+1)/$NU$43,$NN$43/$NT$43)),0)</f>
        <v/>
      </c>
      <c r="FG43" s="402">
        <f>IF(AND(159&gt;=$NR$43,159&lt;=$NS$43),IF($NP$43="Single_Point",IF(159=$NR$43,$NN$43,0),IF($NP$43="Bell_Curve",$NN$43*(159-$NR$43+1)*($NS$43-159+1)/$NU$43,$NN$43/$NT$43)),0)</f>
        <v/>
      </c>
      <c r="FH43" s="402">
        <f>IF(AND(160&gt;=$NR$43,160&lt;=$NS$43),IF($NP$43="Single_Point",IF(160=$NR$43,$NN$43,0),IF($NP$43="Bell_Curve",$NN$43*(160-$NR$43+1)*($NS$43-160+1)/$NU$43,$NN$43/$NT$43)),0)</f>
        <v/>
      </c>
      <c r="FI43" s="402">
        <f>IF(AND(161&gt;=$NR$43,161&lt;=$NS$43),IF($NP$43="Single_Point",IF(161=$NR$43,$NN$43,0),IF($NP$43="Bell_Curve",$NN$43*(161-$NR$43+1)*($NS$43-161+1)/$NU$43,$NN$43/$NT$43)),0)</f>
        <v/>
      </c>
      <c r="FJ43" s="402">
        <f>IF(AND(162&gt;=$NR$43,162&lt;=$NS$43),IF($NP$43="Single_Point",IF(162=$NR$43,$NN$43,0),IF($NP$43="Bell_Curve",$NN$43*(162-$NR$43+1)*($NS$43-162+1)/$NU$43,$NN$43/$NT$43)),0)</f>
        <v/>
      </c>
      <c r="FK43" s="402">
        <f>IF(AND(163&gt;=$NR$43,163&lt;=$NS$43),IF($NP$43="Single_Point",IF(163=$NR$43,$NN$43,0),IF($NP$43="Bell_Curve",$NN$43*(163-$NR$43+1)*($NS$43-163+1)/$NU$43,$NN$43/$NT$43)),0)</f>
        <v/>
      </c>
      <c r="FL43" s="402">
        <f>IF(AND(164&gt;=$NR$43,164&lt;=$NS$43),IF($NP$43="Single_Point",IF(164=$NR$43,$NN$43,0),IF($NP$43="Bell_Curve",$NN$43*(164-$NR$43+1)*($NS$43-164+1)/$NU$43,$NN$43/$NT$43)),0)</f>
        <v/>
      </c>
      <c r="FM43" s="402">
        <f>IF(AND(165&gt;=$NR$43,165&lt;=$NS$43),IF($NP$43="Single_Point",IF(165=$NR$43,$NN$43,0),IF($NP$43="Bell_Curve",$NN$43*(165-$NR$43+1)*($NS$43-165+1)/$NU$43,$NN$43/$NT$43)),0)</f>
        <v/>
      </c>
      <c r="FN43" s="402">
        <f>IF(AND(166&gt;=$NR$43,166&lt;=$NS$43),IF($NP$43="Single_Point",IF(166=$NR$43,$NN$43,0),IF($NP$43="Bell_Curve",$NN$43*(166-$NR$43+1)*($NS$43-166+1)/$NU$43,$NN$43/$NT$43)),0)</f>
        <v/>
      </c>
      <c r="FO43" s="402">
        <f>IF(AND(167&gt;=$NR$43,167&lt;=$NS$43),IF($NP$43="Single_Point",IF(167=$NR$43,$NN$43,0),IF($NP$43="Bell_Curve",$NN$43*(167-$NR$43+1)*($NS$43-167+1)/$NU$43,$NN$43/$NT$43)),0)</f>
        <v/>
      </c>
      <c r="FP43" s="402">
        <f>IF(AND(168&gt;=$NR$43,168&lt;=$NS$43),IF($NP$43="Single_Point",IF(168=$NR$43,$NN$43,0),IF($NP$43="Bell_Curve",$NN$43*(168-$NR$43+1)*($NS$43-168+1)/$NU$43,$NN$43/$NT$43)),0)</f>
        <v/>
      </c>
      <c r="FQ43" s="402">
        <f>IF(AND(169&gt;=$NR$43,169&lt;=$NS$43),IF($NP$43="Single_Point",IF(169=$NR$43,$NN$43,0),IF($NP$43="Bell_Curve",$NN$43*(169-$NR$43+1)*($NS$43-169+1)/$NU$43,$NN$43/$NT$43)),0)</f>
        <v/>
      </c>
      <c r="FR43" s="402">
        <f>IF(AND(170&gt;=$NR$43,170&lt;=$NS$43),IF($NP$43="Single_Point",IF(170=$NR$43,$NN$43,0),IF($NP$43="Bell_Curve",$NN$43*(170-$NR$43+1)*($NS$43-170+1)/$NU$43,$NN$43/$NT$43)),0)</f>
        <v/>
      </c>
      <c r="FS43" s="402">
        <f>IF(AND(171&gt;=$NR$43,171&lt;=$NS$43),IF($NP$43="Single_Point",IF(171=$NR$43,$NN$43,0),IF($NP$43="Bell_Curve",$NN$43*(171-$NR$43+1)*($NS$43-171+1)/$NU$43,$NN$43/$NT$43)),0)</f>
        <v/>
      </c>
      <c r="FT43" s="402">
        <f>IF(AND(172&gt;=$NR$43,172&lt;=$NS$43),IF($NP$43="Single_Point",IF(172=$NR$43,$NN$43,0),IF($NP$43="Bell_Curve",$NN$43*(172-$NR$43+1)*($NS$43-172+1)/$NU$43,$NN$43/$NT$43)),0)</f>
        <v/>
      </c>
      <c r="FU43" s="402">
        <f>IF(AND(173&gt;=$NR$43,173&lt;=$NS$43),IF($NP$43="Single_Point",IF(173=$NR$43,$NN$43,0),IF($NP$43="Bell_Curve",$NN$43*(173-$NR$43+1)*($NS$43-173+1)/$NU$43,$NN$43/$NT$43)),0)</f>
        <v/>
      </c>
      <c r="FV43" s="402">
        <f>IF(AND(174&gt;=$NR$43,174&lt;=$NS$43),IF($NP$43="Single_Point",IF(174=$NR$43,$NN$43,0),IF($NP$43="Bell_Curve",$NN$43*(174-$NR$43+1)*($NS$43-174+1)/$NU$43,$NN$43/$NT$43)),0)</f>
        <v/>
      </c>
      <c r="FW43" s="402">
        <f>IF(AND(175&gt;=$NR$43,175&lt;=$NS$43),IF($NP$43="Single_Point",IF(175=$NR$43,$NN$43,0),IF($NP$43="Bell_Curve",$NN$43*(175-$NR$43+1)*($NS$43-175+1)/$NU$43,$NN$43/$NT$43)),0)</f>
        <v/>
      </c>
      <c r="FX43" s="402">
        <f>IF(AND(176&gt;=$NR$43,176&lt;=$NS$43),IF($NP$43="Single_Point",IF(176=$NR$43,$NN$43,0),IF($NP$43="Bell_Curve",$NN$43*(176-$NR$43+1)*($NS$43-176+1)/$NU$43,$NN$43/$NT$43)),0)</f>
        <v/>
      </c>
      <c r="FY43" s="402">
        <f>IF(AND(177&gt;=$NR$43,177&lt;=$NS$43),IF($NP$43="Single_Point",IF(177=$NR$43,$NN$43,0),IF($NP$43="Bell_Curve",$NN$43*(177-$NR$43+1)*($NS$43-177+1)/$NU$43,$NN$43/$NT$43)),0)</f>
        <v/>
      </c>
      <c r="FZ43" s="402">
        <f>IF(AND(178&gt;=$NR$43,178&lt;=$NS$43),IF($NP$43="Single_Point",IF(178=$NR$43,$NN$43,0),IF($NP$43="Bell_Curve",$NN$43*(178-$NR$43+1)*($NS$43-178+1)/$NU$43,$NN$43/$NT$43)),0)</f>
        <v/>
      </c>
      <c r="GA43" s="402">
        <f>IF(AND(179&gt;=$NR$43,179&lt;=$NS$43),IF($NP$43="Single_Point",IF(179=$NR$43,$NN$43,0),IF($NP$43="Bell_Curve",$NN$43*(179-$NR$43+1)*($NS$43-179+1)/$NU$43,$NN$43/$NT$43)),0)</f>
        <v/>
      </c>
      <c r="GB43" s="402">
        <f>IF(AND(180&gt;=$NR$43,180&lt;=$NS$43),IF($NP$43="Single_Point",IF(180=$NR$43,$NN$43,0),IF($NP$43="Bell_Curve",$NN$43*(180-$NR$43+1)*($NS$43-180+1)/$NU$43,$NN$43/$NT$43)),0)</f>
        <v/>
      </c>
      <c r="GC43" s="402">
        <f>IF(AND(181&gt;=$NR$43,181&lt;=$NS$43),IF($NP$43="Single_Point",IF(181=$NR$43,$NN$43,0),IF($NP$43="Bell_Curve",$NN$43*(181-$NR$43+1)*($NS$43-181+1)/$NU$43,$NN$43/$NT$43)),0)</f>
        <v/>
      </c>
      <c r="GD43" s="402">
        <f>IF(AND(182&gt;=$NR$43,182&lt;=$NS$43),IF($NP$43="Single_Point",IF(182=$NR$43,$NN$43,0),IF($NP$43="Bell_Curve",$NN$43*(182-$NR$43+1)*($NS$43-182+1)/$NU$43,$NN$43/$NT$43)),0)</f>
        <v/>
      </c>
      <c r="GE43" s="402">
        <f>IF(AND(183&gt;=$NR$43,183&lt;=$NS$43),IF($NP$43="Single_Point",IF(183=$NR$43,$NN$43,0),IF($NP$43="Bell_Curve",$NN$43*(183-$NR$43+1)*($NS$43-183+1)/$NU$43,$NN$43/$NT$43)),0)</f>
        <v/>
      </c>
      <c r="GF43" s="402">
        <f>IF(AND(184&gt;=$NR$43,184&lt;=$NS$43),IF($NP$43="Single_Point",IF(184=$NR$43,$NN$43,0),IF($NP$43="Bell_Curve",$NN$43*(184-$NR$43+1)*($NS$43-184+1)/$NU$43,$NN$43/$NT$43)),0)</f>
        <v/>
      </c>
      <c r="GG43" s="402">
        <f>IF(AND(185&gt;=$NR$43,185&lt;=$NS$43),IF($NP$43="Single_Point",IF(185=$NR$43,$NN$43,0),IF($NP$43="Bell_Curve",$NN$43*(185-$NR$43+1)*($NS$43-185+1)/$NU$43,$NN$43/$NT$43)),0)</f>
        <v/>
      </c>
      <c r="GH43" s="402">
        <f>IF(AND(186&gt;=$NR$43,186&lt;=$NS$43),IF($NP$43="Single_Point",IF(186=$NR$43,$NN$43,0),IF($NP$43="Bell_Curve",$NN$43*(186-$NR$43+1)*($NS$43-186+1)/$NU$43,$NN$43/$NT$43)),0)</f>
        <v/>
      </c>
      <c r="GI43" s="402">
        <f>IF(AND(187&gt;=$NR$43,187&lt;=$NS$43),IF($NP$43="Single_Point",IF(187=$NR$43,$NN$43,0),IF($NP$43="Bell_Curve",$NN$43*(187-$NR$43+1)*($NS$43-187+1)/$NU$43,$NN$43/$NT$43)),0)</f>
        <v/>
      </c>
      <c r="GJ43" s="402">
        <f>IF(AND(188&gt;=$NR$43,188&lt;=$NS$43),IF($NP$43="Single_Point",IF(188=$NR$43,$NN$43,0),IF($NP$43="Bell_Curve",$NN$43*(188-$NR$43+1)*($NS$43-188+1)/$NU$43,$NN$43/$NT$43)),0)</f>
        <v/>
      </c>
      <c r="GK43" s="402">
        <f>IF(AND(189&gt;=$NR$43,189&lt;=$NS$43),IF($NP$43="Single_Point",IF(189=$NR$43,$NN$43,0),IF($NP$43="Bell_Curve",$NN$43*(189-$NR$43+1)*($NS$43-189+1)/$NU$43,$NN$43/$NT$43)),0)</f>
        <v/>
      </c>
      <c r="GL43" s="402">
        <f>IF(AND(190&gt;=$NR$43,190&lt;=$NS$43),IF($NP$43="Single_Point",IF(190=$NR$43,$NN$43,0),IF($NP$43="Bell_Curve",$NN$43*(190-$NR$43+1)*($NS$43-190+1)/$NU$43,$NN$43/$NT$43)),0)</f>
        <v/>
      </c>
      <c r="GM43" s="402">
        <f>IF(AND(191&gt;=$NR$43,191&lt;=$NS$43),IF($NP$43="Single_Point",IF(191=$NR$43,$NN$43,0),IF($NP$43="Bell_Curve",$NN$43*(191-$NR$43+1)*($NS$43-191+1)/$NU$43,$NN$43/$NT$43)),0)</f>
        <v/>
      </c>
      <c r="GN43" s="402">
        <f>IF(AND(192&gt;=$NR$43,192&lt;=$NS$43),IF($NP$43="Single_Point",IF(192=$NR$43,$NN$43,0),IF($NP$43="Bell_Curve",$NN$43*(192-$NR$43+1)*($NS$43-192+1)/$NU$43,$NN$43/$NT$43)),0)</f>
        <v/>
      </c>
      <c r="GO43" s="402">
        <f>IF(AND(193&gt;=$NR$43,193&lt;=$NS$43),IF($NP$43="Single_Point",IF(193=$NR$43,$NN$43,0),IF($NP$43="Bell_Curve",$NN$43*(193-$NR$43+1)*($NS$43-193+1)/$NU$43,$NN$43/$NT$43)),0)</f>
        <v/>
      </c>
      <c r="GP43" s="402">
        <f>IF(AND(194&gt;=$NR$43,194&lt;=$NS$43),IF($NP$43="Single_Point",IF(194=$NR$43,$NN$43,0),IF($NP$43="Bell_Curve",$NN$43*(194-$NR$43+1)*($NS$43-194+1)/$NU$43,$NN$43/$NT$43)),0)</f>
        <v/>
      </c>
      <c r="GQ43" s="402">
        <f>IF(AND(195&gt;=$NR$43,195&lt;=$NS$43),IF($NP$43="Single_Point",IF(195=$NR$43,$NN$43,0),IF($NP$43="Bell_Curve",$NN$43*(195-$NR$43+1)*($NS$43-195+1)/$NU$43,$NN$43/$NT$43)),0)</f>
        <v/>
      </c>
      <c r="GR43" s="402">
        <f>IF(AND(196&gt;=$NR$43,196&lt;=$NS$43),IF($NP$43="Single_Point",IF(196=$NR$43,$NN$43,0),IF($NP$43="Bell_Curve",$NN$43*(196-$NR$43+1)*($NS$43-196+1)/$NU$43,$NN$43/$NT$43)),0)</f>
        <v/>
      </c>
      <c r="GS43" s="402">
        <f>IF(AND(197&gt;=$NR$43,197&lt;=$NS$43),IF($NP$43="Single_Point",IF(197=$NR$43,$NN$43,0),IF($NP$43="Bell_Curve",$NN$43*(197-$NR$43+1)*($NS$43-197+1)/$NU$43,$NN$43/$NT$43)),0)</f>
        <v/>
      </c>
      <c r="GT43" s="402">
        <f>IF(AND(198&gt;=$NR$43,198&lt;=$NS$43),IF($NP$43="Single_Point",IF(198=$NR$43,$NN$43,0),IF($NP$43="Bell_Curve",$NN$43*(198-$NR$43+1)*($NS$43-198+1)/$NU$43,$NN$43/$NT$43)),0)</f>
        <v/>
      </c>
      <c r="GU43" s="402">
        <f>IF(AND(199&gt;=$NR$43,199&lt;=$NS$43),IF($NP$43="Single_Point",IF(199=$NR$43,$NN$43,0),IF($NP$43="Bell_Curve",$NN$43*(199-$NR$43+1)*($NS$43-199+1)/$NU$43,$NN$43/$NT$43)),0)</f>
        <v/>
      </c>
      <c r="GV43" s="402">
        <f>IF(AND(200&gt;=$NR$43,200&lt;=$NS$43),IF($NP$43="Single_Point",IF(200=$NR$43,$NN$43,0),IF($NP$43="Bell_Curve",$NN$43*(200-$NR$43+1)*($NS$43-200+1)/$NU$43,$NN$43/$NT$43)),0)</f>
        <v/>
      </c>
      <c r="GW43" s="402">
        <f>IF(AND(201&gt;=$NR$43,201&lt;=$NS$43),IF($NP$43="Single_Point",IF(201=$NR$43,$NN$43,0),IF($NP$43="Bell_Curve",$NN$43*(201-$NR$43+1)*($NS$43-201+1)/$NU$43,$NN$43/$NT$43)),0)</f>
        <v/>
      </c>
      <c r="GX43" s="402">
        <f>IF(AND(202&gt;=$NR$43,202&lt;=$NS$43),IF($NP$43="Single_Point",IF(202=$NR$43,$NN$43,0),IF($NP$43="Bell_Curve",$NN$43*(202-$NR$43+1)*($NS$43-202+1)/$NU$43,$NN$43/$NT$43)),0)</f>
        <v/>
      </c>
      <c r="GY43" s="402">
        <f>IF(AND(203&gt;=$NR$43,203&lt;=$NS$43),IF($NP$43="Single_Point",IF(203=$NR$43,$NN$43,0),IF($NP$43="Bell_Curve",$NN$43*(203-$NR$43+1)*($NS$43-203+1)/$NU$43,$NN$43/$NT$43)),0)</f>
        <v/>
      </c>
      <c r="GZ43" s="402">
        <f>IF(AND(204&gt;=$NR$43,204&lt;=$NS$43),IF($NP$43="Single_Point",IF(204=$NR$43,$NN$43,0),IF($NP$43="Bell_Curve",$NN$43*(204-$NR$43+1)*($NS$43-204+1)/$NU$43,$NN$43/$NT$43)),0)</f>
        <v/>
      </c>
      <c r="HA43" s="402">
        <f>IF(AND(205&gt;=$NR$43,205&lt;=$NS$43),IF($NP$43="Single_Point",IF(205=$NR$43,$NN$43,0),IF($NP$43="Bell_Curve",$NN$43*(205-$NR$43+1)*($NS$43-205+1)/$NU$43,$NN$43/$NT$43)),0)</f>
        <v/>
      </c>
      <c r="HB43" s="402">
        <f>IF(AND(206&gt;=$NR$43,206&lt;=$NS$43),IF($NP$43="Single_Point",IF(206=$NR$43,$NN$43,0),IF($NP$43="Bell_Curve",$NN$43*(206-$NR$43+1)*($NS$43-206+1)/$NU$43,$NN$43/$NT$43)),0)</f>
        <v/>
      </c>
      <c r="HC43" s="402">
        <f>IF(AND(207&gt;=$NR$43,207&lt;=$NS$43),IF($NP$43="Single_Point",IF(207=$NR$43,$NN$43,0),IF($NP$43="Bell_Curve",$NN$43*(207-$NR$43+1)*($NS$43-207+1)/$NU$43,$NN$43/$NT$43)),0)</f>
        <v/>
      </c>
      <c r="HD43" s="402">
        <f>IF(AND(208&gt;=$NR$43,208&lt;=$NS$43),IF($NP$43="Single_Point",IF(208=$NR$43,$NN$43,0),IF($NP$43="Bell_Curve",$NN$43*(208-$NR$43+1)*($NS$43-208+1)/$NU$43,$NN$43/$NT$43)),0)</f>
        <v/>
      </c>
      <c r="HE43" s="402">
        <f>IF(AND(209&gt;=$NR$43,209&lt;=$NS$43),IF($NP$43="Single_Point",IF(209=$NR$43,$NN$43,0),IF($NP$43="Bell_Curve",$NN$43*(209-$NR$43+1)*($NS$43-209+1)/$NU$43,$NN$43/$NT$43)),0)</f>
        <v/>
      </c>
      <c r="HF43" s="402">
        <f>IF(AND(210&gt;=$NR$43,210&lt;=$NS$43),IF($NP$43="Single_Point",IF(210=$NR$43,$NN$43,0),IF($NP$43="Bell_Curve",$NN$43*(210-$NR$43+1)*($NS$43-210+1)/$NU$43,$NN$43/$NT$43)),0)</f>
        <v/>
      </c>
      <c r="HG43" s="402">
        <f>IF(AND(211&gt;=$NR$43,211&lt;=$NS$43),IF($NP$43="Single_Point",IF(211=$NR$43,$NN$43,0),IF($NP$43="Bell_Curve",$NN$43*(211-$NR$43+1)*($NS$43-211+1)/$NU$43,$NN$43/$NT$43)),0)</f>
        <v/>
      </c>
      <c r="HH43" s="402">
        <f>IF(AND(212&gt;=$NR$43,212&lt;=$NS$43),IF($NP$43="Single_Point",IF(212=$NR$43,$NN$43,0),IF($NP$43="Bell_Curve",$NN$43*(212-$NR$43+1)*($NS$43-212+1)/$NU$43,$NN$43/$NT$43)),0)</f>
        <v/>
      </c>
      <c r="HI43" s="402">
        <f>IF(AND(213&gt;=$NR$43,213&lt;=$NS$43),IF($NP$43="Single_Point",IF(213=$NR$43,$NN$43,0),IF($NP$43="Bell_Curve",$NN$43*(213-$NR$43+1)*($NS$43-213+1)/$NU$43,$NN$43/$NT$43)),0)</f>
        <v/>
      </c>
      <c r="HJ43" s="402">
        <f>IF(AND(214&gt;=$NR$43,214&lt;=$NS$43),IF($NP$43="Single_Point",IF(214=$NR$43,$NN$43,0),IF($NP$43="Bell_Curve",$NN$43*(214-$NR$43+1)*($NS$43-214+1)/$NU$43,$NN$43/$NT$43)),0)</f>
        <v/>
      </c>
      <c r="HK43" s="402">
        <f>IF(AND(215&gt;=$NR$43,215&lt;=$NS$43),IF($NP$43="Single_Point",IF(215=$NR$43,$NN$43,0),IF($NP$43="Bell_Curve",$NN$43*(215-$NR$43+1)*($NS$43-215+1)/$NU$43,$NN$43/$NT$43)),0)</f>
        <v/>
      </c>
      <c r="HL43" s="402">
        <f>IF(AND(216&gt;=$NR$43,216&lt;=$NS$43),IF($NP$43="Single_Point",IF(216=$NR$43,$NN$43,0),IF($NP$43="Bell_Curve",$NN$43*(216-$NR$43+1)*($NS$43-216+1)/$NU$43,$NN$43/$NT$43)),0)</f>
        <v/>
      </c>
      <c r="HM43" s="402">
        <f>IF(AND(217&gt;=$NR$43,217&lt;=$NS$43),IF($NP$43="Single_Point",IF(217=$NR$43,$NN$43,0),IF($NP$43="Bell_Curve",$NN$43*(217-$NR$43+1)*($NS$43-217+1)/$NU$43,$NN$43/$NT$43)),0)</f>
        <v/>
      </c>
      <c r="HN43" s="402">
        <f>IF(AND(218&gt;=$NR$43,218&lt;=$NS$43),IF($NP$43="Single_Point",IF(218=$NR$43,$NN$43,0),IF($NP$43="Bell_Curve",$NN$43*(218-$NR$43+1)*($NS$43-218+1)/$NU$43,$NN$43/$NT$43)),0)</f>
        <v/>
      </c>
      <c r="HO43" s="402">
        <f>IF(AND(219&gt;=$NR$43,219&lt;=$NS$43),IF($NP$43="Single_Point",IF(219=$NR$43,$NN$43,0),IF($NP$43="Bell_Curve",$NN$43*(219-$NR$43+1)*($NS$43-219+1)/$NU$43,$NN$43/$NT$43)),0)</f>
        <v/>
      </c>
      <c r="HP43" s="402">
        <f>IF(AND(220&gt;=$NR$43,220&lt;=$NS$43),IF($NP$43="Single_Point",IF(220=$NR$43,$NN$43,0),IF($NP$43="Bell_Curve",$NN$43*(220-$NR$43+1)*($NS$43-220+1)/$NU$43,$NN$43/$NT$43)),0)</f>
        <v/>
      </c>
      <c r="HQ43" s="402">
        <f>IF(AND(221&gt;=$NR$43,221&lt;=$NS$43),IF($NP$43="Single_Point",IF(221=$NR$43,$NN$43,0),IF($NP$43="Bell_Curve",$NN$43*(221-$NR$43+1)*($NS$43-221+1)/$NU$43,$NN$43/$NT$43)),0)</f>
        <v/>
      </c>
      <c r="HR43" s="402">
        <f>IF(AND(222&gt;=$NR$43,222&lt;=$NS$43),IF($NP$43="Single_Point",IF(222=$NR$43,$NN$43,0),IF($NP$43="Bell_Curve",$NN$43*(222-$NR$43+1)*($NS$43-222+1)/$NU$43,$NN$43/$NT$43)),0)</f>
        <v/>
      </c>
      <c r="HS43" s="402">
        <f>IF(AND(223&gt;=$NR$43,223&lt;=$NS$43),IF($NP$43="Single_Point",IF(223=$NR$43,$NN$43,0),IF($NP$43="Bell_Curve",$NN$43*(223-$NR$43+1)*($NS$43-223+1)/$NU$43,$NN$43/$NT$43)),0)</f>
        <v/>
      </c>
      <c r="HT43" s="402">
        <f>IF(AND(224&gt;=$NR$43,224&lt;=$NS$43),IF($NP$43="Single_Point",IF(224=$NR$43,$NN$43,0),IF($NP$43="Bell_Curve",$NN$43*(224-$NR$43+1)*($NS$43-224+1)/$NU$43,$NN$43/$NT$43)),0)</f>
        <v/>
      </c>
      <c r="HU43" s="402">
        <f>IF(AND(225&gt;=$NR$43,225&lt;=$NS$43),IF($NP$43="Single_Point",IF(225=$NR$43,$NN$43,0),IF($NP$43="Bell_Curve",$NN$43*(225-$NR$43+1)*($NS$43-225+1)/$NU$43,$NN$43/$NT$43)),0)</f>
        <v/>
      </c>
      <c r="HV43" s="402">
        <f>IF(AND(226&gt;=$NR$43,226&lt;=$NS$43),IF($NP$43="Single_Point",IF(226=$NR$43,$NN$43,0),IF($NP$43="Bell_Curve",$NN$43*(226-$NR$43+1)*($NS$43-226+1)/$NU$43,$NN$43/$NT$43)),0)</f>
        <v/>
      </c>
      <c r="HW43" s="402">
        <f>IF(AND(227&gt;=$NR$43,227&lt;=$NS$43),IF($NP$43="Single_Point",IF(227=$NR$43,$NN$43,0),IF($NP$43="Bell_Curve",$NN$43*(227-$NR$43+1)*($NS$43-227+1)/$NU$43,$NN$43/$NT$43)),0)</f>
        <v/>
      </c>
      <c r="HX43" s="402">
        <f>IF(AND(228&gt;=$NR$43,228&lt;=$NS$43),IF($NP$43="Single_Point",IF(228=$NR$43,$NN$43,0),IF($NP$43="Bell_Curve",$NN$43*(228-$NR$43+1)*($NS$43-228+1)/$NU$43,$NN$43/$NT$43)),0)</f>
        <v/>
      </c>
      <c r="HY43" s="402">
        <f>IF(AND(229&gt;=$NR$43,229&lt;=$NS$43),IF($NP$43="Single_Point",IF(229=$NR$43,$NN$43,0),IF($NP$43="Bell_Curve",$NN$43*(229-$NR$43+1)*($NS$43-229+1)/$NU$43,$NN$43/$NT$43)),0)</f>
        <v/>
      </c>
      <c r="HZ43" s="402">
        <f>IF(AND(230&gt;=$NR$43,230&lt;=$NS$43),IF($NP$43="Single_Point",IF(230=$NR$43,$NN$43,0),IF($NP$43="Bell_Curve",$NN$43*(230-$NR$43+1)*($NS$43-230+1)/$NU$43,$NN$43/$NT$43)),0)</f>
        <v/>
      </c>
      <c r="IA43" s="402">
        <f>IF(AND(231&gt;=$NR$43,231&lt;=$NS$43),IF($NP$43="Single_Point",IF(231=$NR$43,$NN$43,0),IF($NP$43="Bell_Curve",$NN$43*(231-$NR$43+1)*($NS$43-231+1)/$NU$43,$NN$43/$NT$43)),0)</f>
        <v/>
      </c>
      <c r="IB43" s="402">
        <f>IF(AND(232&gt;=$NR$43,232&lt;=$NS$43),IF($NP$43="Single_Point",IF(232=$NR$43,$NN$43,0),IF($NP$43="Bell_Curve",$NN$43*(232-$NR$43+1)*($NS$43-232+1)/$NU$43,$NN$43/$NT$43)),0)</f>
        <v/>
      </c>
      <c r="IC43" s="402">
        <f>IF(AND(233&gt;=$NR$43,233&lt;=$NS$43),IF($NP$43="Single_Point",IF(233=$NR$43,$NN$43,0),IF($NP$43="Bell_Curve",$NN$43*(233-$NR$43+1)*($NS$43-233+1)/$NU$43,$NN$43/$NT$43)),0)</f>
        <v/>
      </c>
      <c r="ID43" s="402">
        <f>IF(AND(234&gt;=$NR$43,234&lt;=$NS$43),IF($NP$43="Single_Point",IF(234=$NR$43,$NN$43,0),IF($NP$43="Bell_Curve",$NN$43*(234-$NR$43+1)*($NS$43-234+1)/$NU$43,$NN$43/$NT$43)),0)</f>
        <v/>
      </c>
      <c r="IE43" s="402">
        <f>IF(AND(235&gt;=$NR$43,235&lt;=$NS$43),IF($NP$43="Single_Point",IF(235=$NR$43,$NN$43,0),IF($NP$43="Bell_Curve",$NN$43*(235-$NR$43+1)*($NS$43-235+1)/$NU$43,$NN$43/$NT$43)),0)</f>
        <v/>
      </c>
      <c r="IF43" s="402">
        <f>IF(AND(236&gt;=$NR$43,236&lt;=$NS$43),IF($NP$43="Single_Point",IF(236=$NR$43,$NN$43,0),IF($NP$43="Bell_Curve",$NN$43*(236-$NR$43+1)*($NS$43-236+1)/$NU$43,$NN$43/$NT$43)),0)</f>
        <v/>
      </c>
      <c r="IG43" s="402">
        <f>IF(AND(237&gt;=$NR$43,237&lt;=$NS$43),IF($NP$43="Single_Point",IF(237=$NR$43,$NN$43,0),IF($NP$43="Bell_Curve",$NN$43*(237-$NR$43+1)*($NS$43-237+1)/$NU$43,$NN$43/$NT$43)),0)</f>
        <v/>
      </c>
      <c r="IH43" s="402">
        <f>IF(AND(238&gt;=$NR$43,238&lt;=$NS$43),IF($NP$43="Single_Point",IF(238=$NR$43,$NN$43,0),IF($NP$43="Bell_Curve",$NN$43*(238-$NR$43+1)*($NS$43-238+1)/$NU$43,$NN$43/$NT$43)),0)</f>
        <v/>
      </c>
      <c r="II43" s="402">
        <f>IF(AND(239&gt;=$NR$43,239&lt;=$NS$43),IF($NP$43="Single_Point",IF(239=$NR$43,$NN$43,0),IF($NP$43="Bell_Curve",$NN$43*(239-$NR$43+1)*($NS$43-239+1)/$NU$43,$NN$43/$NT$43)),0)</f>
        <v/>
      </c>
      <c r="IJ43" s="402">
        <f>IF(AND(240&gt;=$NR$43,240&lt;=$NS$43),IF($NP$43="Single_Point",IF(240=$NR$43,$NN$43,0),IF($NP$43="Bell_Curve",$NN$43*(240-$NR$43+1)*($NS$43-240+1)/$NU$43,$NN$43/$NT$43)),0)</f>
        <v/>
      </c>
      <c r="IK43" s="402">
        <f>IF(AND(241&gt;=$NR$43,241&lt;=$NS$43),IF($NP$43="Single_Point",IF(241=$NR$43,$NN$43,0),IF($NP$43="Bell_Curve",$NN$43*(241-$NR$43+1)*($NS$43-241+1)/$NU$43,$NN$43/$NT$43)),0)</f>
        <v/>
      </c>
      <c r="IL43" s="402">
        <f>IF(AND(242&gt;=$NR$43,242&lt;=$NS$43),IF($NP$43="Single_Point",IF(242=$NR$43,$NN$43,0),IF($NP$43="Bell_Curve",$NN$43*(242-$NR$43+1)*($NS$43-242+1)/$NU$43,$NN$43/$NT$43)),0)</f>
        <v/>
      </c>
      <c r="IM43" s="402">
        <f>IF(AND(243&gt;=$NR$43,243&lt;=$NS$43),IF($NP$43="Single_Point",IF(243=$NR$43,$NN$43,0),IF($NP$43="Bell_Curve",$NN$43*(243-$NR$43+1)*($NS$43-243+1)/$NU$43,$NN$43/$NT$43)),0)</f>
        <v/>
      </c>
      <c r="IN43" s="402">
        <f>IF(AND(244&gt;=$NR$43,244&lt;=$NS$43),IF($NP$43="Single_Point",IF(244=$NR$43,$NN$43,0),IF($NP$43="Bell_Curve",$NN$43*(244-$NR$43+1)*($NS$43-244+1)/$NU$43,$NN$43/$NT$43)),0)</f>
        <v/>
      </c>
      <c r="IO43" s="402">
        <f>IF(AND(245&gt;=$NR$43,245&lt;=$NS$43),IF($NP$43="Single_Point",IF(245=$NR$43,$NN$43,0),IF($NP$43="Bell_Curve",$NN$43*(245-$NR$43+1)*($NS$43-245+1)/$NU$43,$NN$43/$NT$43)),0)</f>
        <v/>
      </c>
      <c r="IP43" s="402">
        <f>IF(AND(246&gt;=$NR$43,246&lt;=$NS$43),IF($NP$43="Single_Point",IF(246=$NR$43,$NN$43,0),IF($NP$43="Bell_Curve",$NN$43*(246-$NR$43+1)*($NS$43-246+1)/$NU$43,$NN$43/$NT$43)),0)</f>
        <v/>
      </c>
      <c r="IQ43" s="402">
        <f>IF(AND(247&gt;=$NR$43,247&lt;=$NS$43),IF($NP$43="Single_Point",IF(247=$NR$43,$NN$43,0),IF($NP$43="Bell_Curve",$NN$43*(247-$NR$43+1)*($NS$43-247+1)/$NU$43,$NN$43/$NT$43)),0)</f>
        <v/>
      </c>
      <c r="IR43" s="402">
        <f>IF(AND(248&gt;=$NR$43,248&lt;=$NS$43),IF($NP$43="Single_Point",IF(248=$NR$43,$NN$43,0),IF($NP$43="Bell_Curve",$NN$43*(248-$NR$43+1)*($NS$43-248+1)/$NU$43,$NN$43/$NT$43)),0)</f>
        <v/>
      </c>
      <c r="IS43" s="402">
        <f>IF(AND(249&gt;=$NR$43,249&lt;=$NS$43),IF($NP$43="Single_Point",IF(249=$NR$43,$NN$43,0),IF($NP$43="Bell_Curve",$NN$43*(249-$NR$43+1)*($NS$43-249+1)/$NU$43,$NN$43/$NT$43)),0)</f>
        <v/>
      </c>
      <c r="IT43" s="402">
        <f>IF(AND(250&gt;=$NR$43,250&lt;=$NS$43),IF($NP$43="Single_Point",IF(250=$NR$43,$NN$43,0),IF($NP$43="Bell_Curve",$NN$43*(250-$NR$43+1)*($NS$43-250+1)/$NU$43,$NN$43/$NT$43)),0)</f>
        <v/>
      </c>
      <c r="IU43" s="402">
        <f>IF(AND(251&gt;=$NR$43,251&lt;=$NS$43),IF($NP$43="Single_Point",IF(251=$NR$43,$NN$43,0),IF($NP$43="Bell_Curve",$NN$43*(251-$NR$43+1)*($NS$43-251+1)/$NU$43,$NN$43/$NT$43)),0)</f>
        <v/>
      </c>
      <c r="IV43" s="402">
        <f>IF(AND(252&gt;=$NR$43,252&lt;=$NS$43),IF($NP$43="Single_Point",IF(252=$NR$43,$NN$43,0),IF($NP$43="Bell_Curve",$NN$43*(252-$NR$43+1)*($NS$43-252+1)/$NU$43,$NN$43/$NT$43)),0)</f>
        <v/>
      </c>
      <c r="IW43" s="402">
        <f>IF(AND(253&gt;=$NR$43,253&lt;=$NS$43),IF($NP$43="Single_Point",IF(253=$NR$43,$NN$43,0),IF($NP$43="Bell_Curve",$NN$43*(253-$NR$43+1)*($NS$43-253+1)/$NU$43,$NN$43/$NT$43)),0)</f>
        <v/>
      </c>
      <c r="IX43" s="402">
        <f>IF(AND(254&gt;=$NR$43,254&lt;=$NS$43),IF($NP$43="Single_Point",IF(254=$NR$43,$NN$43,0),IF($NP$43="Bell_Curve",$NN$43*(254-$NR$43+1)*($NS$43-254+1)/$NU$43,$NN$43/$NT$43)),0)</f>
        <v/>
      </c>
      <c r="IY43" s="402">
        <f>IF(AND(255&gt;=$NR$43,255&lt;=$NS$43),IF($NP$43="Single_Point",IF(255=$NR$43,$NN$43,0),IF($NP$43="Bell_Curve",$NN$43*(255-$NR$43+1)*($NS$43-255+1)/$NU$43,$NN$43/$NT$43)),0)</f>
        <v/>
      </c>
      <c r="IZ43" s="402">
        <f>IF(AND(256&gt;=$NR$43,256&lt;=$NS$43),IF($NP$43="Single_Point",IF(256=$NR$43,$NN$43,0),IF($NP$43="Bell_Curve",$NN$43*(256-$NR$43+1)*($NS$43-256+1)/$NU$43,$NN$43/$NT$43)),0)</f>
        <v/>
      </c>
      <c r="JA43" s="402">
        <f>IF(AND(257&gt;=$NR$43,257&lt;=$NS$43),IF($NP$43="Single_Point",IF(257=$NR$43,$NN$43,0),IF($NP$43="Bell_Curve",$NN$43*(257-$NR$43+1)*($NS$43-257+1)/$NU$43,$NN$43/$NT$43)),0)</f>
        <v/>
      </c>
      <c r="JB43" s="402">
        <f>IF(AND(258&gt;=$NR$43,258&lt;=$NS$43),IF($NP$43="Single_Point",IF(258=$NR$43,$NN$43,0),IF($NP$43="Bell_Curve",$NN$43*(258-$NR$43+1)*($NS$43-258+1)/$NU$43,$NN$43/$NT$43)),0)</f>
        <v/>
      </c>
      <c r="JC43" s="402">
        <f>IF(AND(259&gt;=$NR$43,259&lt;=$NS$43),IF($NP$43="Single_Point",IF(259=$NR$43,$NN$43,0),IF($NP$43="Bell_Curve",$NN$43*(259-$NR$43+1)*($NS$43-259+1)/$NU$43,$NN$43/$NT$43)),0)</f>
        <v/>
      </c>
      <c r="JD43" s="402">
        <f>IF(AND(260&gt;=$NR$43,260&lt;=$NS$43),IF($NP$43="Single_Point",IF(260=$NR$43,$NN$43,0),IF($NP$43="Bell_Curve",$NN$43*(260-$NR$43+1)*($NS$43-260+1)/$NU$43,$NN$43/$NT$43)),0)</f>
        <v/>
      </c>
      <c r="JE43" s="402">
        <f>IF(AND(261&gt;=$NR$43,261&lt;=$NS$43),IF($NP$43="Single_Point",IF(261=$NR$43,$NN$43,0),IF($NP$43="Bell_Curve",$NN$43*(261-$NR$43+1)*($NS$43-261+1)/$NU$43,$NN$43/$NT$43)),0)</f>
        <v/>
      </c>
      <c r="JF43" s="402">
        <f>IF(AND(262&gt;=$NR$43,262&lt;=$NS$43),IF($NP$43="Single_Point",IF(262=$NR$43,$NN$43,0),IF($NP$43="Bell_Curve",$NN$43*(262-$NR$43+1)*($NS$43-262+1)/$NU$43,$NN$43/$NT$43)),0)</f>
        <v/>
      </c>
      <c r="JG43" s="402">
        <f>IF(AND(263&gt;=$NR$43,263&lt;=$NS$43),IF($NP$43="Single_Point",IF(263=$NR$43,$NN$43,0),IF($NP$43="Bell_Curve",$NN$43*(263-$NR$43+1)*($NS$43-263+1)/$NU$43,$NN$43/$NT$43)),0)</f>
        <v/>
      </c>
      <c r="JH43" s="402">
        <f>IF(AND(264&gt;=$NR$43,264&lt;=$NS$43),IF($NP$43="Single_Point",IF(264=$NR$43,$NN$43,0),IF($NP$43="Bell_Curve",$NN$43*(264-$NR$43+1)*($NS$43-264+1)/$NU$43,$NN$43/$NT$43)),0)</f>
        <v/>
      </c>
      <c r="JI43" s="402">
        <f>IF(AND(265&gt;=$NR$43,265&lt;=$NS$43),IF($NP$43="Single_Point",IF(265=$NR$43,$NN$43,0),IF($NP$43="Bell_Curve",$NN$43*(265-$NR$43+1)*($NS$43-265+1)/$NU$43,$NN$43/$NT$43)),0)</f>
        <v/>
      </c>
      <c r="JJ43" s="402">
        <f>IF(AND(266&gt;=$NR$43,266&lt;=$NS$43),IF($NP$43="Single_Point",IF(266=$NR$43,$NN$43,0),IF($NP$43="Bell_Curve",$NN$43*(266-$NR$43+1)*($NS$43-266+1)/$NU$43,$NN$43/$NT$43)),0)</f>
        <v/>
      </c>
      <c r="JK43" s="402">
        <f>IF(AND(267&gt;=$NR$43,267&lt;=$NS$43),IF($NP$43="Single_Point",IF(267=$NR$43,$NN$43,0),IF($NP$43="Bell_Curve",$NN$43*(267-$NR$43+1)*($NS$43-267+1)/$NU$43,$NN$43/$NT$43)),0)</f>
        <v/>
      </c>
      <c r="JL43" s="402">
        <f>IF(AND(268&gt;=$NR$43,268&lt;=$NS$43),IF($NP$43="Single_Point",IF(268=$NR$43,$NN$43,0),IF($NP$43="Bell_Curve",$NN$43*(268-$NR$43+1)*($NS$43-268+1)/$NU$43,$NN$43/$NT$43)),0)</f>
        <v/>
      </c>
      <c r="JM43" s="402">
        <f>IF(AND(269&gt;=$NR$43,269&lt;=$NS$43),IF($NP$43="Single_Point",IF(269=$NR$43,$NN$43,0),IF($NP$43="Bell_Curve",$NN$43*(269-$NR$43+1)*($NS$43-269+1)/$NU$43,$NN$43/$NT$43)),0)</f>
        <v/>
      </c>
      <c r="JN43" s="402">
        <f>IF(AND(270&gt;=$NR$43,270&lt;=$NS$43),IF($NP$43="Single_Point",IF(270=$NR$43,$NN$43,0),IF($NP$43="Bell_Curve",$NN$43*(270-$NR$43+1)*($NS$43-270+1)/$NU$43,$NN$43/$NT$43)),0)</f>
        <v/>
      </c>
      <c r="JO43" s="402">
        <f>IF(AND(271&gt;=$NR$43,271&lt;=$NS$43),IF($NP$43="Single_Point",IF(271=$NR$43,$NN$43,0),IF($NP$43="Bell_Curve",$NN$43*(271-$NR$43+1)*($NS$43-271+1)/$NU$43,$NN$43/$NT$43)),0)</f>
        <v/>
      </c>
      <c r="JP43" s="402">
        <f>IF(AND(272&gt;=$NR$43,272&lt;=$NS$43),IF($NP$43="Single_Point",IF(272=$NR$43,$NN$43,0),IF($NP$43="Bell_Curve",$NN$43*(272-$NR$43+1)*($NS$43-272+1)/$NU$43,$NN$43/$NT$43)),0)</f>
        <v/>
      </c>
      <c r="JQ43" s="402">
        <f>IF(AND(273&gt;=$NR$43,273&lt;=$NS$43),IF($NP$43="Single_Point",IF(273=$NR$43,$NN$43,0),IF($NP$43="Bell_Curve",$NN$43*(273-$NR$43+1)*($NS$43-273+1)/$NU$43,$NN$43/$NT$43)),0)</f>
        <v/>
      </c>
      <c r="JR43" s="402">
        <f>IF(AND(274&gt;=$NR$43,274&lt;=$NS$43),IF($NP$43="Single_Point",IF(274=$NR$43,$NN$43,0),IF($NP$43="Bell_Curve",$NN$43*(274-$NR$43+1)*($NS$43-274+1)/$NU$43,$NN$43/$NT$43)),0)</f>
        <v/>
      </c>
      <c r="JS43" s="402">
        <f>IF(AND(275&gt;=$NR$43,275&lt;=$NS$43),IF($NP$43="Single_Point",IF(275=$NR$43,$NN$43,0),IF($NP$43="Bell_Curve",$NN$43*(275-$NR$43+1)*($NS$43-275+1)/$NU$43,$NN$43/$NT$43)),0)</f>
        <v/>
      </c>
      <c r="JT43" s="402">
        <f>IF(AND(276&gt;=$NR$43,276&lt;=$NS$43),IF($NP$43="Single_Point",IF(276=$NR$43,$NN$43,0),IF($NP$43="Bell_Curve",$NN$43*(276-$NR$43+1)*($NS$43-276+1)/$NU$43,$NN$43/$NT$43)),0)</f>
        <v/>
      </c>
      <c r="JU43" s="402">
        <f>IF(AND(277&gt;=$NR$43,277&lt;=$NS$43),IF($NP$43="Single_Point",IF(277=$NR$43,$NN$43,0),IF($NP$43="Bell_Curve",$NN$43*(277-$NR$43+1)*($NS$43-277+1)/$NU$43,$NN$43/$NT$43)),0)</f>
        <v/>
      </c>
      <c r="JV43" s="402">
        <f>IF(AND(278&gt;=$NR$43,278&lt;=$NS$43),IF($NP$43="Single_Point",IF(278=$NR$43,$NN$43,0),IF($NP$43="Bell_Curve",$NN$43*(278-$NR$43+1)*($NS$43-278+1)/$NU$43,$NN$43/$NT$43)),0)</f>
        <v/>
      </c>
      <c r="JW43" s="402">
        <f>IF(AND(279&gt;=$NR$43,279&lt;=$NS$43),IF($NP$43="Single_Point",IF(279=$NR$43,$NN$43,0),IF($NP$43="Bell_Curve",$NN$43*(279-$NR$43+1)*($NS$43-279+1)/$NU$43,$NN$43/$NT$43)),0)</f>
        <v/>
      </c>
      <c r="JX43" s="402">
        <f>IF(AND(280&gt;=$NR$43,280&lt;=$NS$43),IF($NP$43="Single_Point",IF(280=$NR$43,$NN$43,0),IF($NP$43="Bell_Curve",$NN$43*(280-$NR$43+1)*($NS$43-280+1)/$NU$43,$NN$43/$NT$43)),0)</f>
        <v/>
      </c>
      <c r="JY43" s="402">
        <f>IF(AND(281&gt;=$NR$43,281&lt;=$NS$43),IF($NP$43="Single_Point",IF(281=$NR$43,$NN$43,0),IF($NP$43="Bell_Curve",$NN$43*(281-$NR$43+1)*($NS$43-281+1)/$NU$43,$NN$43/$NT$43)),0)</f>
        <v/>
      </c>
      <c r="JZ43" s="402">
        <f>IF(AND(282&gt;=$NR$43,282&lt;=$NS$43),IF($NP$43="Single_Point",IF(282=$NR$43,$NN$43,0),IF($NP$43="Bell_Curve",$NN$43*(282-$NR$43+1)*($NS$43-282+1)/$NU$43,$NN$43/$NT$43)),0)</f>
        <v/>
      </c>
      <c r="KA43" s="402">
        <f>IF(AND(283&gt;=$NR$43,283&lt;=$NS$43),IF($NP$43="Single_Point",IF(283=$NR$43,$NN$43,0),IF($NP$43="Bell_Curve",$NN$43*(283-$NR$43+1)*($NS$43-283+1)/$NU$43,$NN$43/$NT$43)),0)</f>
        <v/>
      </c>
      <c r="KB43" s="402">
        <f>IF(AND(284&gt;=$NR$43,284&lt;=$NS$43),IF($NP$43="Single_Point",IF(284=$NR$43,$NN$43,0),IF($NP$43="Bell_Curve",$NN$43*(284-$NR$43+1)*($NS$43-284+1)/$NU$43,$NN$43/$NT$43)),0)</f>
        <v/>
      </c>
      <c r="KC43" s="402">
        <f>IF(AND(285&gt;=$NR$43,285&lt;=$NS$43),IF($NP$43="Single_Point",IF(285=$NR$43,$NN$43,0),IF($NP$43="Bell_Curve",$NN$43*(285-$NR$43+1)*($NS$43-285+1)/$NU$43,$NN$43/$NT$43)),0)</f>
        <v/>
      </c>
      <c r="KD43" s="402">
        <f>IF(AND(286&gt;=$NR$43,286&lt;=$NS$43),IF($NP$43="Single_Point",IF(286=$NR$43,$NN$43,0),IF($NP$43="Bell_Curve",$NN$43*(286-$NR$43+1)*($NS$43-286+1)/$NU$43,$NN$43/$NT$43)),0)</f>
        <v/>
      </c>
      <c r="KE43" s="402">
        <f>IF(AND(287&gt;=$NR$43,287&lt;=$NS$43),IF($NP$43="Single_Point",IF(287=$NR$43,$NN$43,0),IF($NP$43="Bell_Curve",$NN$43*(287-$NR$43+1)*($NS$43-287+1)/$NU$43,$NN$43/$NT$43)),0)</f>
        <v/>
      </c>
      <c r="KF43" s="402">
        <f>IF(AND(288&gt;=$NR$43,288&lt;=$NS$43),IF($NP$43="Single_Point",IF(288=$NR$43,$NN$43,0),IF($NP$43="Bell_Curve",$NN$43*(288-$NR$43+1)*($NS$43-288+1)/$NU$43,$NN$43/$NT$43)),0)</f>
        <v/>
      </c>
      <c r="KG43" s="402">
        <f>IF(AND(289&gt;=$NR$43,289&lt;=$NS$43),IF($NP$43="Single_Point",IF(289=$NR$43,$NN$43,0),IF($NP$43="Bell_Curve",$NN$43*(289-$NR$43+1)*($NS$43-289+1)/$NU$43,$NN$43/$NT$43)),0)</f>
        <v/>
      </c>
      <c r="KH43" s="402">
        <f>IF(AND(290&gt;=$NR$43,290&lt;=$NS$43),IF($NP$43="Single_Point",IF(290=$NR$43,$NN$43,0),IF($NP$43="Bell_Curve",$NN$43*(290-$NR$43+1)*($NS$43-290+1)/$NU$43,$NN$43/$NT$43)),0)</f>
        <v/>
      </c>
      <c r="KI43" s="402">
        <f>IF(AND(291&gt;=$NR$43,291&lt;=$NS$43),IF($NP$43="Single_Point",IF(291=$NR$43,$NN$43,0),IF($NP$43="Bell_Curve",$NN$43*(291-$NR$43+1)*($NS$43-291+1)/$NU$43,$NN$43/$NT$43)),0)</f>
        <v/>
      </c>
      <c r="KJ43" s="402">
        <f>IF(AND(292&gt;=$NR$43,292&lt;=$NS$43),IF($NP$43="Single_Point",IF(292=$NR$43,$NN$43,0),IF($NP$43="Bell_Curve",$NN$43*(292-$NR$43+1)*($NS$43-292+1)/$NU$43,$NN$43/$NT$43)),0)</f>
        <v/>
      </c>
      <c r="KK43" s="402">
        <f>IF(AND(293&gt;=$NR$43,293&lt;=$NS$43),IF($NP$43="Single_Point",IF(293=$NR$43,$NN$43,0),IF($NP$43="Bell_Curve",$NN$43*(293-$NR$43+1)*($NS$43-293+1)/$NU$43,$NN$43/$NT$43)),0)</f>
        <v/>
      </c>
      <c r="KL43" s="402">
        <f>IF(AND(294&gt;=$NR$43,294&lt;=$NS$43),IF($NP$43="Single_Point",IF(294=$NR$43,$NN$43,0),IF($NP$43="Bell_Curve",$NN$43*(294-$NR$43+1)*($NS$43-294+1)/$NU$43,$NN$43/$NT$43)),0)</f>
        <v/>
      </c>
      <c r="KM43" s="402">
        <f>IF(AND(295&gt;=$NR$43,295&lt;=$NS$43),IF($NP$43="Single_Point",IF(295=$NR$43,$NN$43,0),IF($NP$43="Bell_Curve",$NN$43*(295-$NR$43+1)*($NS$43-295+1)/$NU$43,$NN$43/$NT$43)),0)</f>
        <v/>
      </c>
      <c r="KN43" s="402">
        <f>IF(AND(296&gt;=$NR$43,296&lt;=$NS$43),IF($NP$43="Single_Point",IF(296=$NR$43,$NN$43,0),IF($NP$43="Bell_Curve",$NN$43*(296-$NR$43+1)*($NS$43-296+1)/$NU$43,$NN$43/$NT$43)),0)</f>
        <v/>
      </c>
      <c r="KO43" s="402">
        <f>IF(AND(297&gt;=$NR$43,297&lt;=$NS$43),IF($NP$43="Single_Point",IF(297=$NR$43,$NN$43,0),IF($NP$43="Bell_Curve",$NN$43*(297-$NR$43+1)*($NS$43-297+1)/$NU$43,$NN$43/$NT$43)),0)</f>
        <v/>
      </c>
      <c r="KP43" s="402">
        <f>IF(AND(298&gt;=$NR$43,298&lt;=$NS$43),IF($NP$43="Single_Point",IF(298=$NR$43,$NN$43,0),IF($NP$43="Bell_Curve",$NN$43*(298-$NR$43+1)*($NS$43-298+1)/$NU$43,$NN$43/$NT$43)),0)</f>
        <v/>
      </c>
      <c r="KQ43" s="402">
        <f>IF(AND(299&gt;=$NR$43,299&lt;=$NS$43),IF($NP$43="Single_Point",IF(299=$NR$43,$NN$43,0),IF($NP$43="Bell_Curve",$NN$43*(299-$NR$43+1)*($NS$43-299+1)/$NU$43,$NN$43/$NT$43)),0)</f>
        <v/>
      </c>
      <c r="KR43" s="402">
        <f>IF(AND(300&gt;=$NR$43,300&lt;=$NS$43),IF($NP$43="Single_Point",IF(300=$NR$43,$NN$43,0),IF($NP$43="Bell_Curve",$NN$43*(300-$NR$43+1)*($NS$43-300+1)/$NU$43,$NN$43/$NT$43)),0)</f>
        <v/>
      </c>
      <c r="KS43" s="402">
        <f>IF(AND(301&gt;=$NR$43,301&lt;=$NS$43),IF($NP$43="Single_Point",IF(301=$NR$43,$NN$43,0),IF($NP$43="Bell_Curve",$NN$43*(301-$NR$43+1)*($NS$43-301+1)/$NU$43,$NN$43/$NT$43)),0)</f>
        <v/>
      </c>
      <c r="KT43" s="402">
        <f>IF(AND(302&gt;=$NR$43,302&lt;=$NS$43),IF($NP$43="Single_Point",IF(302=$NR$43,$NN$43,0),IF($NP$43="Bell_Curve",$NN$43*(302-$NR$43+1)*($NS$43-302+1)/$NU$43,$NN$43/$NT$43)),0)</f>
        <v/>
      </c>
      <c r="KU43" s="402">
        <f>IF(AND(303&gt;=$NR$43,303&lt;=$NS$43),IF($NP$43="Single_Point",IF(303=$NR$43,$NN$43,0),IF($NP$43="Bell_Curve",$NN$43*(303-$NR$43+1)*($NS$43-303+1)/$NU$43,$NN$43/$NT$43)),0)</f>
        <v/>
      </c>
      <c r="KV43" s="402">
        <f>IF(AND(304&gt;=$NR$43,304&lt;=$NS$43),IF($NP$43="Single_Point",IF(304=$NR$43,$NN$43,0),IF($NP$43="Bell_Curve",$NN$43*(304-$NR$43+1)*($NS$43-304+1)/$NU$43,$NN$43/$NT$43)),0)</f>
        <v/>
      </c>
      <c r="KW43" s="402">
        <f>IF(AND(305&gt;=$NR$43,305&lt;=$NS$43),IF($NP$43="Single_Point",IF(305=$NR$43,$NN$43,0),IF($NP$43="Bell_Curve",$NN$43*(305-$NR$43+1)*($NS$43-305+1)/$NU$43,$NN$43/$NT$43)),0)</f>
        <v/>
      </c>
      <c r="KX43" s="402">
        <f>IF(AND(306&gt;=$NR$43,306&lt;=$NS$43),IF($NP$43="Single_Point",IF(306=$NR$43,$NN$43,0),IF($NP$43="Bell_Curve",$NN$43*(306-$NR$43+1)*($NS$43-306+1)/$NU$43,$NN$43/$NT$43)),0)</f>
        <v/>
      </c>
      <c r="KY43" s="402">
        <f>IF(AND(307&gt;=$NR$43,307&lt;=$NS$43),IF($NP$43="Single_Point",IF(307=$NR$43,$NN$43,0),IF($NP$43="Bell_Curve",$NN$43*(307-$NR$43+1)*($NS$43-307+1)/$NU$43,$NN$43/$NT$43)),0)</f>
        <v/>
      </c>
      <c r="KZ43" s="402">
        <f>IF(AND(308&gt;=$NR$43,308&lt;=$NS$43),IF($NP$43="Single_Point",IF(308=$NR$43,$NN$43,0),IF($NP$43="Bell_Curve",$NN$43*(308-$NR$43+1)*($NS$43-308+1)/$NU$43,$NN$43/$NT$43)),0)</f>
        <v/>
      </c>
      <c r="LA43" s="402">
        <f>IF(AND(309&gt;=$NR$43,309&lt;=$NS$43),IF($NP$43="Single_Point",IF(309=$NR$43,$NN$43,0),IF($NP$43="Bell_Curve",$NN$43*(309-$NR$43+1)*($NS$43-309+1)/$NU$43,$NN$43/$NT$43)),0)</f>
        <v/>
      </c>
      <c r="LB43" s="402">
        <f>IF(AND(310&gt;=$NR$43,310&lt;=$NS$43),IF($NP$43="Single_Point",IF(310=$NR$43,$NN$43,0),IF($NP$43="Bell_Curve",$NN$43*(310-$NR$43+1)*($NS$43-310+1)/$NU$43,$NN$43/$NT$43)),0)</f>
        <v/>
      </c>
      <c r="LC43" s="402">
        <f>IF(AND(311&gt;=$NR$43,311&lt;=$NS$43),IF($NP$43="Single_Point",IF(311=$NR$43,$NN$43,0),IF($NP$43="Bell_Curve",$NN$43*(311-$NR$43+1)*($NS$43-311+1)/$NU$43,$NN$43/$NT$43)),0)</f>
        <v/>
      </c>
      <c r="LD43" s="402">
        <f>IF(AND(312&gt;=$NR$43,312&lt;=$NS$43),IF($NP$43="Single_Point",IF(312=$NR$43,$NN$43,0),IF($NP$43="Bell_Curve",$NN$43*(312-$NR$43+1)*($NS$43-312+1)/$NU$43,$NN$43/$NT$43)),0)</f>
        <v/>
      </c>
      <c r="LE43" s="402">
        <f>IF(AND(313&gt;=$NR$43,313&lt;=$NS$43),IF($NP$43="Single_Point",IF(313=$NR$43,$NN$43,0),IF($NP$43="Bell_Curve",$NN$43*(313-$NR$43+1)*($NS$43-313+1)/$NU$43,$NN$43/$NT$43)),0)</f>
        <v/>
      </c>
      <c r="LF43" s="402">
        <f>IF(AND(314&gt;=$NR$43,314&lt;=$NS$43),IF($NP$43="Single_Point",IF(314=$NR$43,$NN$43,0),IF($NP$43="Bell_Curve",$NN$43*(314-$NR$43+1)*($NS$43-314+1)/$NU$43,$NN$43/$NT$43)),0)</f>
        <v/>
      </c>
      <c r="LG43" s="402">
        <f>IF(AND(315&gt;=$NR$43,315&lt;=$NS$43),IF($NP$43="Single_Point",IF(315=$NR$43,$NN$43,0),IF($NP$43="Bell_Curve",$NN$43*(315-$NR$43+1)*($NS$43-315+1)/$NU$43,$NN$43/$NT$43)),0)</f>
        <v/>
      </c>
      <c r="LH43" s="402">
        <f>IF(AND(316&gt;=$NR$43,316&lt;=$NS$43),IF($NP$43="Single_Point",IF(316=$NR$43,$NN$43,0),IF($NP$43="Bell_Curve",$NN$43*(316-$NR$43+1)*($NS$43-316+1)/$NU$43,$NN$43/$NT$43)),0)</f>
        <v/>
      </c>
      <c r="LI43" s="402">
        <f>IF(AND(317&gt;=$NR$43,317&lt;=$NS$43),IF($NP$43="Single_Point",IF(317=$NR$43,$NN$43,0),IF($NP$43="Bell_Curve",$NN$43*(317-$NR$43+1)*($NS$43-317+1)/$NU$43,$NN$43/$NT$43)),0)</f>
        <v/>
      </c>
      <c r="LJ43" s="402">
        <f>IF(AND(318&gt;=$NR$43,318&lt;=$NS$43),IF($NP$43="Single_Point",IF(318=$NR$43,$NN$43,0),IF($NP$43="Bell_Curve",$NN$43*(318-$NR$43+1)*($NS$43-318+1)/$NU$43,$NN$43/$NT$43)),0)</f>
        <v/>
      </c>
      <c r="LK43" s="402">
        <f>IF(AND(319&gt;=$NR$43,319&lt;=$NS$43),IF($NP$43="Single_Point",IF(319=$NR$43,$NN$43,0),IF($NP$43="Bell_Curve",$NN$43*(319-$NR$43+1)*($NS$43-319+1)/$NU$43,$NN$43/$NT$43)),0)</f>
        <v/>
      </c>
      <c r="LL43" s="402">
        <f>IF(AND(320&gt;=$NR$43,320&lt;=$NS$43),IF($NP$43="Single_Point",IF(320=$NR$43,$NN$43,0),IF($NP$43="Bell_Curve",$NN$43*(320-$NR$43+1)*($NS$43-320+1)/$NU$43,$NN$43/$NT$43)),0)</f>
        <v/>
      </c>
      <c r="LM43" s="402">
        <f>IF(AND(321&gt;=$NR$43,321&lt;=$NS$43),IF($NP$43="Single_Point",IF(321=$NR$43,$NN$43,0),IF($NP$43="Bell_Curve",$NN$43*(321-$NR$43+1)*($NS$43-321+1)/$NU$43,$NN$43/$NT$43)),0)</f>
        <v/>
      </c>
      <c r="LN43" s="402">
        <f>IF(AND(322&gt;=$NR$43,322&lt;=$NS$43),IF($NP$43="Single_Point",IF(322=$NR$43,$NN$43,0),IF($NP$43="Bell_Curve",$NN$43*(322-$NR$43+1)*($NS$43-322+1)/$NU$43,$NN$43/$NT$43)),0)</f>
        <v/>
      </c>
      <c r="LO43" s="402">
        <f>IF(AND(323&gt;=$NR$43,323&lt;=$NS$43),IF($NP$43="Single_Point",IF(323=$NR$43,$NN$43,0),IF($NP$43="Bell_Curve",$NN$43*(323-$NR$43+1)*($NS$43-323+1)/$NU$43,$NN$43/$NT$43)),0)</f>
        <v/>
      </c>
      <c r="LP43" s="402">
        <f>IF(AND(324&gt;=$NR$43,324&lt;=$NS$43),IF($NP$43="Single_Point",IF(324=$NR$43,$NN$43,0),IF($NP$43="Bell_Curve",$NN$43*(324-$NR$43+1)*($NS$43-324+1)/$NU$43,$NN$43/$NT$43)),0)</f>
        <v/>
      </c>
      <c r="LQ43" s="402">
        <f>IF(AND(325&gt;=$NR$43,325&lt;=$NS$43),IF($NP$43="Single_Point",IF(325=$NR$43,$NN$43,0),IF($NP$43="Bell_Curve",$NN$43*(325-$NR$43+1)*($NS$43-325+1)/$NU$43,$NN$43/$NT$43)),0)</f>
        <v/>
      </c>
      <c r="LR43" s="402">
        <f>IF(AND(326&gt;=$NR$43,326&lt;=$NS$43),IF($NP$43="Single_Point",IF(326=$NR$43,$NN$43,0),IF($NP$43="Bell_Curve",$NN$43*(326-$NR$43+1)*($NS$43-326+1)/$NU$43,$NN$43/$NT$43)),0)</f>
        <v/>
      </c>
      <c r="LS43" s="402">
        <f>IF(AND(327&gt;=$NR$43,327&lt;=$NS$43),IF($NP$43="Single_Point",IF(327=$NR$43,$NN$43,0),IF($NP$43="Bell_Curve",$NN$43*(327-$NR$43+1)*($NS$43-327+1)/$NU$43,$NN$43/$NT$43)),0)</f>
        <v/>
      </c>
      <c r="LT43" s="402">
        <f>IF(AND(328&gt;=$NR$43,328&lt;=$NS$43),IF($NP$43="Single_Point",IF(328=$NR$43,$NN$43,0),IF($NP$43="Bell_Curve",$NN$43*(328-$NR$43+1)*($NS$43-328+1)/$NU$43,$NN$43/$NT$43)),0)</f>
        <v/>
      </c>
      <c r="LU43" s="402">
        <f>IF(AND(329&gt;=$NR$43,329&lt;=$NS$43),IF($NP$43="Single_Point",IF(329=$NR$43,$NN$43,0),IF($NP$43="Bell_Curve",$NN$43*(329-$NR$43+1)*($NS$43-329+1)/$NU$43,$NN$43/$NT$43)),0)</f>
        <v/>
      </c>
      <c r="LV43" s="402">
        <f>IF(AND(330&gt;=$NR$43,330&lt;=$NS$43),IF($NP$43="Single_Point",IF(330=$NR$43,$NN$43,0),IF($NP$43="Bell_Curve",$NN$43*(330-$NR$43+1)*($NS$43-330+1)/$NU$43,$NN$43/$NT$43)),0)</f>
        <v/>
      </c>
      <c r="LW43" s="402">
        <f>IF(AND(331&gt;=$NR$43,331&lt;=$NS$43),IF($NP$43="Single_Point",IF(331=$NR$43,$NN$43,0),IF($NP$43="Bell_Curve",$NN$43*(331-$NR$43+1)*($NS$43-331+1)/$NU$43,$NN$43/$NT$43)),0)</f>
        <v/>
      </c>
      <c r="LX43" s="402">
        <f>IF(AND(332&gt;=$NR$43,332&lt;=$NS$43),IF($NP$43="Single_Point",IF(332=$NR$43,$NN$43,0),IF($NP$43="Bell_Curve",$NN$43*(332-$NR$43+1)*($NS$43-332+1)/$NU$43,$NN$43/$NT$43)),0)</f>
        <v/>
      </c>
      <c r="LY43" s="402">
        <f>IF(AND(333&gt;=$NR$43,333&lt;=$NS$43),IF($NP$43="Single_Point",IF(333=$NR$43,$NN$43,0),IF($NP$43="Bell_Curve",$NN$43*(333-$NR$43+1)*($NS$43-333+1)/$NU$43,$NN$43/$NT$43)),0)</f>
        <v/>
      </c>
      <c r="LZ43" s="402">
        <f>IF(AND(334&gt;=$NR$43,334&lt;=$NS$43),IF($NP$43="Single_Point",IF(334=$NR$43,$NN$43,0),IF($NP$43="Bell_Curve",$NN$43*(334-$NR$43+1)*($NS$43-334+1)/$NU$43,$NN$43/$NT$43)),0)</f>
        <v/>
      </c>
      <c r="MA43" s="402">
        <f>IF(AND(335&gt;=$NR$43,335&lt;=$NS$43),IF($NP$43="Single_Point",IF(335=$NR$43,$NN$43,0),IF($NP$43="Bell_Curve",$NN$43*(335-$NR$43+1)*($NS$43-335+1)/$NU$43,$NN$43/$NT$43)),0)</f>
        <v/>
      </c>
      <c r="MB43" s="402">
        <f>IF(AND(336&gt;=$NR$43,336&lt;=$NS$43),IF($NP$43="Single_Point",IF(336=$NR$43,$NN$43,0),IF($NP$43="Bell_Curve",$NN$43*(336-$NR$43+1)*($NS$43-336+1)/$NU$43,$NN$43/$NT$43)),0)</f>
        <v/>
      </c>
      <c r="MC43" s="402">
        <f>IF(AND(337&gt;=$NR$43,337&lt;=$NS$43),IF($NP$43="Single_Point",IF(337=$NR$43,$NN$43,0),IF($NP$43="Bell_Curve",$NN$43*(337-$NR$43+1)*($NS$43-337+1)/$NU$43,$NN$43/$NT$43)),0)</f>
        <v/>
      </c>
      <c r="MD43" s="402">
        <f>IF(AND(338&gt;=$NR$43,338&lt;=$NS$43),IF($NP$43="Single_Point",IF(338=$NR$43,$NN$43,0),IF($NP$43="Bell_Curve",$NN$43*(338-$NR$43+1)*($NS$43-338+1)/$NU$43,$NN$43/$NT$43)),0)</f>
        <v/>
      </c>
      <c r="ME43" s="402">
        <f>IF(AND(339&gt;=$NR$43,339&lt;=$NS$43),IF($NP$43="Single_Point",IF(339=$NR$43,$NN$43,0),IF($NP$43="Bell_Curve",$NN$43*(339-$NR$43+1)*($NS$43-339+1)/$NU$43,$NN$43/$NT$43)),0)</f>
        <v/>
      </c>
      <c r="MF43" s="402">
        <f>IF(AND(340&gt;=$NR$43,340&lt;=$NS$43),IF($NP$43="Single_Point",IF(340=$NR$43,$NN$43,0),IF($NP$43="Bell_Curve",$NN$43*(340-$NR$43+1)*($NS$43-340+1)/$NU$43,$NN$43/$NT$43)),0)</f>
        <v/>
      </c>
      <c r="MG43" s="402">
        <f>IF(AND(341&gt;=$NR$43,341&lt;=$NS$43),IF($NP$43="Single_Point",IF(341=$NR$43,$NN$43,0),IF($NP$43="Bell_Curve",$NN$43*(341-$NR$43+1)*($NS$43-341+1)/$NU$43,$NN$43/$NT$43)),0)</f>
        <v/>
      </c>
      <c r="MH43" s="402">
        <f>IF(AND(342&gt;=$NR$43,342&lt;=$NS$43),IF($NP$43="Single_Point",IF(342=$NR$43,$NN$43,0),IF($NP$43="Bell_Curve",$NN$43*(342-$NR$43+1)*($NS$43-342+1)/$NU$43,$NN$43/$NT$43)),0)</f>
        <v/>
      </c>
      <c r="MI43" s="402">
        <f>IF(AND(343&gt;=$NR$43,343&lt;=$NS$43),IF($NP$43="Single_Point",IF(343=$NR$43,$NN$43,0),IF($NP$43="Bell_Curve",$NN$43*(343-$NR$43+1)*($NS$43-343+1)/$NU$43,$NN$43/$NT$43)),0)</f>
        <v/>
      </c>
      <c r="MJ43" s="402">
        <f>IF(AND(344&gt;=$NR$43,344&lt;=$NS$43),IF($NP$43="Single_Point",IF(344=$NR$43,$NN$43,0),IF($NP$43="Bell_Curve",$NN$43*(344-$NR$43+1)*($NS$43-344+1)/$NU$43,$NN$43/$NT$43)),0)</f>
        <v/>
      </c>
      <c r="MK43" s="402">
        <f>IF(AND(345&gt;=$NR$43,345&lt;=$NS$43),IF($NP$43="Single_Point",IF(345=$NR$43,$NN$43,0),IF($NP$43="Bell_Curve",$NN$43*(345-$NR$43+1)*($NS$43-345+1)/$NU$43,$NN$43/$NT$43)),0)</f>
        <v/>
      </c>
      <c r="ML43" s="402">
        <f>IF(AND(346&gt;=$NR$43,346&lt;=$NS$43),IF($NP$43="Single_Point",IF(346=$NR$43,$NN$43,0),IF($NP$43="Bell_Curve",$NN$43*(346-$NR$43+1)*($NS$43-346+1)/$NU$43,$NN$43/$NT$43)),0)</f>
        <v/>
      </c>
      <c r="MM43" s="402">
        <f>IF(AND(347&gt;=$NR$43,347&lt;=$NS$43),IF($NP$43="Single_Point",IF(347=$NR$43,$NN$43,0),IF($NP$43="Bell_Curve",$NN$43*(347-$NR$43+1)*($NS$43-347+1)/$NU$43,$NN$43/$NT$43)),0)</f>
        <v/>
      </c>
      <c r="MN43" s="402">
        <f>IF(AND(348&gt;=$NR$43,348&lt;=$NS$43),IF($NP$43="Single_Point",IF(348=$NR$43,$NN$43,0),IF($NP$43="Bell_Curve",$NN$43*(348-$NR$43+1)*($NS$43-348+1)/$NU$43,$NN$43/$NT$43)),0)</f>
        <v/>
      </c>
      <c r="MO43" s="402">
        <f>IF(AND(349&gt;=$NR$43,349&lt;=$NS$43),IF($NP$43="Single_Point",IF(349=$NR$43,$NN$43,0),IF($NP$43="Bell_Curve",$NN$43*(349-$NR$43+1)*($NS$43-349+1)/$NU$43,$NN$43/$NT$43)),0)</f>
        <v/>
      </c>
      <c r="MP43" s="402">
        <f>IF(AND(350&gt;=$NR$43,350&lt;=$NS$43),IF($NP$43="Single_Point",IF(350=$NR$43,$NN$43,0),IF($NP$43="Bell_Curve",$NN$43*(350-$NR$43+1)*($NS$43-350+1)/$NU$43,$NN$43/$NT$43)),0)</f>
        <v/>
      </c>
      <c r="MQ43" s="402">
        <f>IF(AND(351&gt;=$NR$43,351&lt;=$NS$43),IF($NP$43="Single_Point",IF(351=$NR$43,$NN$43,0),IF($NP$43="Bell_Curve",$NN$43*(351-$NR$43+1)*($NS$43-351+1)/$NU$43,$NN$43/$NT$43)),0)</f>
        <v/>
      </c>
      <c r="MR43" s="402">
        <f>IF(AND(352&gt;=$NR$43,352&lt;=$NS$43),IF($NP$43="Single_Point",IF(352=$NR$43,$NN$43,0),IF($NP$43="Bell_Curve",$NN$43*(352-$NR$43+1)*($NS$43-352+1)/$NU$43,$NN$43/$NT$43)),0)</f>
        <v/>
      </c>
      <c r="MS43" s="402">
        <f>IF(AND(353&gt;=$NR$43,353&lt;=$NS$43),IF($NP$43="Single_Point",IF(353=$NR$43,$NN$43,0),IF($NP$43="Bell_Curve",$NN$43*(353-$NR$43+1)*($NS$43-353+1)/$NU$43,$NN$43/$NT$43)),0)</f>
        <v/>
      </c>
      <c r="MT43" s="402">
        <f>IF(AND(354&gt;=$NR$43,354&lt;=$NS$43),IF($NP$43="Single_Point",IF(354=$NR$43,$NN$43,0),IF($NP$43="Bell_Curve",$NN$43*(354-$NR$43+1)*($NS$43-354+1)/$NU$43,$NN$43/$NT$43)),0)</f>
        <v/>
      </c>
      <c r="MU43" s="402">
        <f>IF(AND(355&gt;=$NR$43,355&lt;=$NS$43),IF($NP$43="Single_Point",IF(355=$NR$43,$NN$43,0),IF($NP$43="Bell_Curve",$NN$43*(355-$NR$43+1)*($NS$43-355+1)/$NU$43,$NN$43/$NT$43)),0)</f>
        <v/>
      </c>
      <c r="MV43" s="402">
        <f>IF(AND(356&gt;=$NR$43,356&lt;=$NS$43),IF($NP$43="Single_Point",IF(356=$NR$43,$NN$43,0),IF($NP$43="Bell_Curve",$NN$43*(356-$NR$43+1)*($NS$43-356+1)/$NU$43,$NN$43/$NT$43)),0)</f>
        <v/>
      </c>
      <c r="MW43" s="402">
        <f>IF(AND(357&gt;=$NR$43,357&lt;=$NS$43),IF($NP$43="Single_Point",IF(357=$NR$43,$NN$43,0),IF($NP$43="Bell_Curve",$NN$43*(357-$NR$43+1)*($NS$43-357+1)/$NU$43,$NN$43/$NT$43)),0)</f>
        <v/>
      </c>
      <c r="MX43" s="402">
        <f>IF(AND(358&gt;=$NR$43,358&lt;=$NS$43),IF($NP$43="Single_Point",IF(358=$NR$43,$NN$43,0),IF($NP$43="Bell_Curve",$NN$43*(358-$NR$43+1)*($NS$43-358+1)/$NU$43,$NN$43/$NT$43)),0)</f>
        <v/>
      </c>
      <c r="MY43" s="402">
        <f>IF(AND(359&gt;=$NR$43,359&lt;=$NS$43),IF($NP$43="Single_Point",IF(359=$NR$43,$NN$43,0),IF($NP$43="Bell_Curve",$NN$43*(359-$NR$43+1)*($NS$43-359+1)/$NU$43,$NN$43/$NT$43)),0)</f>
        <v/>
      </c>
      <c r="MZ43" s="402">
        <f>IF(AND(360&gt;=$NR$43,360&lt;=$NS$43),IF($NP$43="Single_Point",IF(360=$NR$43,$NN$43,0),IF($NP$43="Bell_Curve",$NN$43*(360-$NR$43+1)*($NS$43-360+1)/$NU$43,$NN$43/$NT$43)),0)</f>
        <v/>
      </c>
      <c r="NA43" s="402">
        <f>IF(AND(361&gt;=$NR$43,361&lt;=$NS$43),IF($NP$43="Single_Point",IF(361=$NR$43,$NN$43,0),IF($NP$43="Bell_Curve",$NN$43*(361-$NR$43+1)*($NS$43-361+1)/$NU$43,$NN$43/$NT$43)),0)</f>
        <v/>
      </c>
      <c r="NB43" s="402">
        <f>IF(AND(362&gt;=$NR$43,362&lt;=$NS$43),IF($NP$43="Single_Point",IF(362=$NR$43,$NN$43,0),IF($NP$43="Bell_Curve",$NN$43*(362-$NR$43+1)*($NS$43-362+1)/$NU$43,$NN$43/$NT$43)),0)</f>
        <v/>
      </c>
      <c r="NC43" s="402">
        <f>IF(AND(363&gt;=$NR$43,363&lt;=$NS$43),IF($NP$43="Single_Point",IF(363=$NR$43,$NN$43,0),IF($NP$43="Bell_Curve",$NN$43*(363-$NR$43+1)*($NS$43-363+1)/$NU$43,$NN$43/$NT$43)),0)</f>
        <v/>
      </c>
      <c r="ND43" s="402">
        <f>IF(AND(364&gt;=$NR$43,364&lt;=$NS$43),IF($NP$43="Single_Point",IF(364=$NR$43,$NN$43,0),IF($NP$43="Bell_Curve",$NN$43*(364-$NR$43+1)*($NS$43-364+1)/$NU$43,$NN$43/$NT$43)),0)</f>
        <v/>
      </c>
      <c r="NE43" s="402">
        <f>IF(AND(365&gt;=$NR$43,365&lt;=$NS$43),IF($NP$43="Single_Point",IF(365=$NR$43,$NN$43,0),IF($NP$43="Bell_Curve",$NN$43*(365-$NR$43+1)*($NS$43-365+1)/$NU$43,$NN$43/$NT$43)),0)</f>
        <v/>
      </c>
      <c r="NF43" s="402">
        <f>IF(AND(366&gt;=$NR$43,366&lt;=$NS$43),IF($NP$43="Single_Point",IF(366=$NR$43,$NN$43,0),IF($NP$43="Bell_Curve",$NN$43*(366-$NR$43+1)*($NS$43-366+1)/$NU$43,$NN$43/$NT$43)),0)</f>
        <v/>
      </c>
      <c r="NG43" s="402">
        <f>IF(AND(367&gt;=$NR$43,367&lt;=$NS$43),IF($NP$43="Single_Point",IF(367=$NR$43,$NN$43,0),IF($NP$43="Bell_Curve",$NN$43*(367-$NR$43+1)*($NS$43-367+1)/$NU$43,$NN$43/$NT$43)),0)</f>
        <v/>
      </c>
      <c r="NH43" s="402">
        <f>IF(AND(368&gt;=$NR$43,368&lt;=$NS$43),IF($NP$43="Single_Point",IF(368=$NR$43,$NN$43,0),IF($NP$43="Bell_Curve",$NN$43*(368-$NR$43+1)*($NS$43-368+1)/$NU$43,$NN$43/$NT$43)),0)</f>
        <v/>
      </c>
      <c r="NI43" s="402">
        <f>IF(AND(369&gt;=$NR$43,369&lt;=$NS$43),IF($NP$43="Single_Point",IF(369=$NR$43,$NN$43,0),IF($NP$43="Bell_Curve",$NN$43*(369-$NR$43+1)*($NS$43-369+1)/$NU$43,$NN$43/$NT$43)),0)</f>
        <v/>
      </c>
      <c r="NJ43" s="402">
        <f>IF(AND(370&gt;=$NR$43,370&lt;=$NS$43),IF($NP$43="Single_Point",IF(370=$NR$43,$NN$43,0),IF($NP$43="Bell_Curve",$NN$43*(370-$NR$43+1)*($NS$43-370+1)/$NU$43,$NN$43/$NT$43)),0)</f>
        <v/>
      </c>
      <c r="NK43" s="402">
        <f>IF(AND(371&gt;=$NR$43,371&lt;=$NS$43),IF($NP$43="Single_Point",IF(371=$NR$43,$NN$43,0),IF($NP$43="Bell_Curve",$NN$43*(371-$NR$43+1)*($NS$43-371+1)/$NU$43,$NN$43/$NT$43)),0)</f>
        <v/>
      </c>
      <c r="NL43" s="402">
        <f>IF(AND(372&gt;=$NR$43,372&lt;=$NS$43),IF($NP$43="Single_Point",IF(372=$NR$43,$NN$43,0),IF($NP$43="Bell_Curve",$NN$43*(372-$NR$43+1)*($NS$43-372+1)/$NU$43,$NN$43/$NT$43)),0)</f>
        <v/>
      </c>
      <c r="NM43">
        <f>Budget!C42</f>
        <v/>
      </c>
      <c r="NN43">
        <f>Budget!J42</f>
        <v/>
      </c>
      <c r="NO43">
        <f>Budget!G42</f>
        <v/>
      </c>
      <c r="NP43">
        <f>Budget!H42</f>
        <v/>
      </c>
      <c r="NQ43">
        <f>Budget!I42</f>
        <v/>
      </c>
      <c r="NR43">
        <f>MAX(1,MIN(372,INDEX(MilestoneStart,MATCH(NO43,MilestoneNames,0))+NQ43))</f>
        <v/>
      </c>
      <c r="NS43">
        <f>MAX(NR43,MIN(372,INDEX(MilestoneEnd,MATCH(NO43,MilestoneNames,0))+NQ43))</f>
        <v/>
      </c>
      <c r="NT43">
        <f>NS43-NR43+1</f>
        <v/>
      </c>
      <c r="NU43">
        <f>NT43*(NT43+1)*(NT43+2)/6</f>
        <v/>
      </c>
    </row>
    <row r="44">
      <c r="B44" s="316">
        <f>Budget!B43</f>
        <v/>
      </c>
      <c r="D44" s="402">
        <f>SUM(E44:NL44)</f>
        <v/>
      </c>
      <c r="E44" s="402">
        <f>IF(AND(1&gt;=$NR$44,1&lt;=$NS$44),IF($NP$44="Single_Point",IF(1=$NR$44,$NN$44,0),IF($NP$44="Bell_Curve",$NN$44*(1-$NR$44+1)*($NS$44-1+1)/$NU$44,$NN$44/$NT$44)),0)</f>
        <v/>
      </c>
      <c r="F44" s="402">
        <f>IF(AND(2&gt;=$NR$44,2&lt;=$NS$44),IF($NP$44="Single_Point",IF(2=$NR$44,$NN$44,0),IF($NP$44="Bell_Curve",$NN$44*(2-$NR$44+1)*($NS$44-2+1)/$NU$44,$NN$44/$NT$44)),0)</f>
        <v/>
      </c>
      <c r="G44" s="402">
        <f>IF(AND(3&gt;=$NR$44,3&lt;=$NS$44),IF($NP$44="Single_Point",IF(3=$NR$44,$NN$44,0),IF($NP$44="Bell_Curve",$NN$44*(3-$NR$44+1)*($NS$44-3+1)/$NU$44,$NN$44/$NT$44)),0)</f>
        <v/>
      </c>
      <c r="H44" s="402">
        <f>IF(AND(4&gt;=$NR$44,4&lt;=$NS$44),IF($NP$44="Single_Point",IF(4=$NR$44,$NN$44,0),IF($NP$44="Bell_Curve",$NN$44*(4-$NR$44+1)*($NS$44-4+1)/$NU$44,$NN$44/$NT$44)),0)</f>
        <v/>
      </c>
      <c r="I44" s="402">
        <f>IF(AND(5&gt;=$NR$44,5&lt;=$NS$44),IF($NP$44="Single_Point",IF(5=$NR$44,$NN$44,0),IF($NP$44="Bell_Curve",$NN$44*(5-$NR$44+1)*($NS$44-5+1)/$NU$44,$NN$44/$NT$44)),0)</f>
        <v/>
      </c>
      <c r="J44" s="402">
        <f>IF(AND(6&gt;=$NR$44,6&lt;=$NS$44),IF($NP$44="Single_Point",IF(6=$NR$44,$NN$44,0),IF($NP$44="Bell_Curve",$NN$44*(6-$NR$44+1)*($NS$44-6+1)/$NU$44,$NN$44/$NT$44)),0)</f>
        <v/>
      </c>
      <c r="K44" s="402">
        <f>IF(AND(7&gt;=$NR$44,7&lt;=$NS$44),IF($NP$44="Single_Point",IF(7=$NR$44,$NN$44,0),IF($NP$44="Bell_Curve",$NN$44*(7-$NR$44+1)*($NS$44-7+1)/$NU$44,$NN$44/$NT$44)),0)</f>
        <v/>
      </c>
      <c r="L44" s="402">
        <f>IF(AND(8&gt;=$NR$44,8&lt;=$NS$44),IF($NP$44="Single_Point",IF(8=$NR$44,$NN$44,0),IF($NP$44="Bell_Curve",$NN$44*(8-$NR$44+1)*($NS$44-8+1)/$NU$44,$NN$44/$NT$44)),0)</f>
        <v/>
      </c>
      <c r="M44" s="402">
        <f>IF(AND(9&gt;=$NR$44,9&lt;=$NS$44),IF($NP$44="Single_Point",IF(9=$NR$44,$NN$44,0),IF($NP$44="Bell_Curve",$NN$44*(9-$NR$44+1)*($NS$44-9+1)/$NU$44,$NN$44/$NT$44)),0)</f>
        <v/>
      </c>
      <c r="N44" s="402">
        <f>IF(AND(10&gt;=$NR$44,10&lt;=$NS$44),IF($NP$44="Single_Point",IF(10=$NR$44,$NN$44,0),IF($NP$44="Bell_Curve",$NN$44*(10-$NR$44+1)*($NS$44-10+1)/$NU$44,$NN$44/$NT$44)),0)</f>
        <v/>
      </c>
      <c r="O44" s="402">
        <f>IF(AND(11&gt;=$NR$44,11&lt;=$NS$44),IF($NP$44="Single_Point",IF(11=$NR$44,$NN$44,0),IF($NP$44="Bell_Curve",$NN$44*(11-$NR$44+1)*($NS$44-11+1)/$NU$44,$NN$44/$NT$44)),0)</f>
        <v/>
      </c>
      <c r="P44" s="402">
        <f>IF(AND(12&gt;=$NR$44,12&lt;=$NS$44),IF($NP$44="Single_Point",IF(12=$NR$44,$NN$44,0),IF($NP$44="Bell_Curve",$NN$44*(12-$NR$44+1)*($NS$44-12+1)/$NU$44,$NN$44/$NT$44)),0)</f>
        <v/>
      </c>
      <c r="Q44" s="402">
        <f>IF(AND(13&gt;=$NR$44,13&lt;=$NS$44),IF($NP$44="Single_Point",IF(13=$NR$44,$NN$44,0),IF($NP$44="Bell_Curve",$NN$44*(13-$NR$44+1)*($NS$44-13+1)/$NU$44,$NN$44/$NT$44)),0)</f>
        <v/>
      </c>
      <c r="R44" s="402">
        <f>IF(AND(14&gt;=$NR$44,14&lt;=$NS$44),IF($NP$44="Single_Point",IF(14=$NR$44,$NN$44,0),IF($NP$44="Bell_Curve",$NN$44*(14-$NR$44+1)*($NS$44-14+1)/$NU$44,$NN$44/$NT$44)),0)</f>
        <v/>
      </c>
      <c r="S44" s="402">
        <f>IF(AND(15&gt;=$NR$44,15&lt;=$NS$44),IF($NP$44="Single_Point",IF(15=$NR$44,$NN$44,0),IF($NP$44="Bell_Curve",$NN$44*(15-$NR$44+1)*($NS$44-15+1)/$NU$44,$NN$44/$NT$44)),0)</f>
        <v/>
      </c>
      <c r="T44" s="402">
        <f>IF(AND(16&gt;=$NR$44,16&lt;=$NS$44),IF($NP$44="Single_Point",IF(16=$NR$44,$NN$44,0),IF($NP$44="Bell_Curve",$NN$44*(16-$NR$44+1)*($NS$44-16+1)/$NU$44,$NN$44/$NT$44)),0)</f>
        <v/>
      </c>
      <c r="U44" s="402">
        <f>IF(AND(17&gt;=$NR$44,17&lt;=$NS$44),IF($NP$44="Single_Point",IF(17=$NR$44,$NN$44,0),IF($NP$44="Bell_Curve",$NN$44*(17-$NR$44+1)*($NS$44-17+1)/$NU$44,$NN$44/$NT$44)),0)</f>
        <v/>
      </c>
      <c r="V44" s="402">
        <f>IF(AND(18&gt;=$NR$44,18&lt;=$NS$44),IF($NP$44="Single_Point",IF(18=$NR$44,$NN$44,0),IF($NP$44="Bell_Curve",$NN$44*(18-$NR$44+1)*($NS$44-18+1)/$NU$44,$NN$44/$NT$44)),0)</f>
        <v/>
      </c>
      <c r="W44" s="402">
        <f>IF(AND(19&gt;=$NR$44,19&lt;=$NS$44),IF($NP$44="Single_Point",IF(19=$NR$44,$NN$44,0),IF($NP$44="Bell_Curve",$NN$44*(19-$NR$44+1)*($NS$44-19+1)/$NU$44,$NN$44/$NT$44)),0)</f>
        <v/>
      </c>
      <c r="X44" s="402">
        <f>IF(AND(20&gt;=$NR$44,20&lt;=$NS$44),IF($NP$44="Single_Point",IF(20=$NR$44,$NN$44,0),IF($NP$44="Bell_Curve",$NN$44*(20-$NR$44+1)*($NS$44-20+1)/$NU$44,$NN$44/$NT$44)),0)</f>
        <v/>
      </c>
      <c r="Y44" s="402">
        <f>IF(AND(21&gt;=$NR$44,21&lt;=$NS$44),IF($NP$44="Single_Point",IF(21=$NR$44,$NN$44,0),IF($NP$44="Bell_Curve",$NN$44*(21-$NR$44+1)*($NS$44-21+1)/$NU$44,$NN$44/$NT$44)),0)</f>
        <v/>
      </c>
      <c r="Z44" s="402">
        <f>IF(AND(22&gt;=$NR$44,22&lt;=$NS$44),IF($NP$44="Single_Point",IF(22=$NR$44,$NN$44,0),IF($NP$44="Bell_Curve",$NN$44*(22-$NR$44+1)*($NS$44-22+1)/$NU$44,$NN$44/$NT$44)),0)</f>
        <v/>
      </c>
      <c r="AA44" s="402">
        <f>IF(AND(23&gt;=$NR$44,23&lt;=$NS$44),IF($NP$44="Single_Point",IF(23=$NR$44,$NN$44,0),IF($NP$44="Bell_Curve",$NN$44*(23-$NR$44+1)*($NS$44-23+1)/$NU$44,$NN$44/$NT$44)),0)</f>
        <v/>
      </c>
      <c r="AB44" s="402">
        <f>IF(AND(24&gt;=$NR$44,24&lt;=$NS$44),IF($NP$44="Single_Point",IF(24=$NR$44,$NN$44,0),IF($NP$44="Bell_Curve",$NN$44*(24-$NR$44+1)*($NS$44-24+1)/$NU$44,$NN$44/$NT$44)),0)</f>
        <v/>
      </c>
      <c r="AC44" s="402">
        <f>IF(AND(25&gt;=$NR$44,25&lt;=$NS$44),IF($NP$44="Single_Point",IF(25=$NR$44,$NN$44,0),IF($NP$44="Bell_Curve",$NN$44*(25-$NR$44+1)*($NS$44-25+1)/$NU$44,$NN$44/$NT$44)),0)</f>
        <v/>
      </c>
      <c r="AD44" s="402">
        <f>IF(AND(26&gt;=$NR$44,26&lt;=$NS$44),IF($NP$44="Single_Point",IF(26=$NR$44,$NN$44,0),IF($NP$44="Bell_Curve",$NN$44*(26-$NR$44+1)*($NS$44-26+1)/$NU$44,$NN$44/$NT$44)),0)</f>
        <v/>
      </c>
      <c r="AE44" s="402">
        <f>IF(AND(27&gt;=$NR$44,27&lt;=$NS$44),IF($NP$44="Single_Point",IF(27=$NR$44,$NN$44,0),IF($NP$44="Bell_Curve",$NN$44*(27-$NR$44+1)*($NS$44-27+1)/$NU$44,$NN$44/$NT$44)),0)</f>
        <v/>
      </c>
      <c r="AF44" s="402">
        <f>IF(AND(28&gt;=$NR$44,28&lt;=$NS$44),IF($NP$44="Single_Point",IF(28=$NR$44,$NN$44,0),IF($NP$44="Bell_Curve",$NN$44*(28-$NR$44+1)*($NS$44-28+1)/$NU$44,$NN$44/$NT$44)),0)</f>
        <v/>
      </c>
      <c r="AG44" s="402">
        <f>IF(AND(29&gt;=$NR$44,29&lt;=$NS$44),IF($NP$44="Single_Point",IF(29=$NR$44,$NN$44,0),IF($NP$44="Bell_Curve",$NN$44*(29-$NR$44+1)*($NS$44-29+1)/$NU$44,$NN$44/$NT$44)),0)</f>
        <v/>
      </c>
      <c r="AH44" s="402">
        <f>IF(AND(30&gt;=$NR$44,30&lt;=$NS$44),IF($NP$44="Single_Point",IF(30=$NR$44,$NN$44,0),IF($NP$44="Bell_Curve",$NN$44*(30-$NR$44+1)*($NS$44-30+1)/$NU$44,$NN$44/$NT$44)),0)</f>
        <v/>
      </c>
      <c r="AI44" s="402">
        <f>IF(AND(31&gt;=$NR$44,31&lt;=$NS$44),IF($NP$44="Single_Point",IF(31=$NR$44,$NN$44,0),IF($NP$44="Bell_Curve",$NN$44*(31-$NR$44+1)*($NS$44-31+1)/$NU$44,$NN$44/$NT$44)),0)</f>
        <v/>
      </c>
      <c r="AJ44" s="402">
        <f>IF(AND(32&gt;=$NR$44,32&lt;=$NS$44),IF($NP$44="Single_Point",IF(32=$NR$44,$NN$44,0),IF($NP$44="Bell_Curve",$NN$44*(32-$NR$44+1)*($NS$44-32+1)/$NU$44,$NN$44/$NT$44)),0)</f>
        <v/>
      </c>
      <c r="AK44" s="402">
        <f>IF(AND(33&gt;=$NR$44,33&lt;=$NS$44),IF($NP$44="Single_Point",IF(33=$NR$44,$NN$44,0),IF($NP$44="Bell_Curve",$NN$44*(33-$NR$44+1)*($NS$44-33+1)/$NU$44,$NN$44/$NT$44)),0)</f>
        <v/>
      </c>
      <c r="AL44" s="402">
        <f>IF(AND(34&gt;=$NR$44,34&lt;=$NS$44),IF($NP$44="Single_Point",IF(34=$NR$44,$NN$44,0),IF($NP$44="Bell_Curve",$NN$44*(34-$NR$44+1)*($NS$44-34+1)/$NU$44,$NN$44/$NT$44)),0)</f>
        <v/>
      </c>
      <c r="AM44" s="402">
        <f>IF(AND(35&gt;=$NR$44,35&lt;=$NS$44),IF($NP$44="Single_Point",IF(35=$NR$44,$NN$44,0),IF($NP$44="Bell_Curve",$NN$44*(35-$NR$44+1)*($NS$44-35+1)/$NU$44,$NN$44/$NT$44)),0)</f>
        <v/>
      </c>
      <c r="AN44" s="402">
        <f>IF(AND(36&gt;=$NR$44,36&lt;=$NS$44),IF($NP$44="Single_Point",IF(36=$NR$44,$NN$44,0),IF($NP$44="Bell_Curve",$NN$44*(36-$NR$44+1)*($NS$44-36+1)/$NU$44,$NN$44/$NT$44)),0)</f>
        <v/>
      </c>
      <c r="AO44" s="402">
        <f>IF(AND(37&gt;=$NR$44,37&lt;=$NS$44),IF($NP$44="Single_Point",IF(37=$NR$44,$NN$44,0),IF($NP$44="Bell_Curve",$NN$44*(37-$NR$44+1)*($NS$44-37+1)/$NU$44,$NN$44/$NT$44)),0)</f>
        <v/>
      </c>
      <c r="AP44" s="402">
        <f>IF(AND(38&gt;=$NR$44,38&lt;=$NS$44),IF($NP$44="Single_Point",IF(38=$NR$44,$NN$44,0),IF($NP$44="Bell_Curve",$NN$44*(38-$NR$44+1)*($NS$44-38+1)/$NU$44,$NN$44/$NT$44)),0)</f>
        <v/>
      </c>
      <c r="AQ44" s="402">
        <f>IF(AND(39&gt;=$NR$44,39&lt;=$NS$44),IF($NP$44="Single_Point",IF(39=$NR$44,$NN$44,0),IF($NP$44="Bell_Curve",$NN$44*(39-$NR$44+1)*($NS$44-39+1)/$NU$44,$NN$44/$NT$44)),0)</f>
        <v/>
      </c>
      <c r="AR44" s="402">
        <f>IF(AND(40&gt;=$NR$44,40&lt;=$NS$44),IF($NP$44="Single_Point",IF(40=$NR$44,$NN$44,0),IF($NP$44="Bell_Curve",$NN$44*(40-$NR$44+1)*($NS$44-40+1)/$NU$44,$NN$44/$NT$44)),0)</f>
        <v/>
      </c>
      <c r="AS44" s="402">
        <f>IF(AND(41&gt;=$NR$44,41&lt;=$NS$44),IF($NP$44="Single_Point",IF(41=$NR$44,$NN$44,0),IF($NP$44="Bell_Curve",$NN$44*(41-$NR$44+1)*($NS$44-41+1)/$NU$44,$NN$44/$NT$44)),0)</f>
        <v/>
      </c>
      <c r="AT44" s="402">
        <f>IF(AND(42&gt;=$NR$44,42&lt;=$NS$44),IF($NP$44="Single_Point",IF(42=$NR$44,$NN$44,0),IF($NP$44="Bell_Curve",$NN$44*(42-$NR$44+1)*($NS$44-42+1)/$NU$44,$NN$44/$NT$44)),0)</f>
        <v/>
      </c>
      <c r="AU44" s="402">
        <f>IF(AND(43&gt;=$NR$44,43&lt;=$NS$44),IF($NP$44="Single_Point",IF(43=$NR$44,$NN$44,0),IF($NP$44="Bell_Curve",$NN$44*(43-$NR$44+1)*($NS$44-43+1)/$NU$44,$NN$44/$NT$44)),0)</f>
        <v/>
      </c>
      <c r="AV44" s="402">
        <f>IF(AND(44&gt;=$NR$44,44&lt;=$NS$44),IF($NP$44="Single_Point",IF(44=$NR$44,$NN$44,0),IF($NP$44="Bell_Curve",$NN$44*(44-$NR$44+1)*($NS$44-44+1)/$NU$44,$NN$44/$NT$44)),0)</f>
        <v/>
      </c>
      <c r="AW44" s="402">
        <f>IF(AND(45&gt;=$NR$44,45&lt;=$NS$44),IF($NP$44="Single_Point",IF(45=$NR$44,$NN$44,0),IF($NP$44="Bell_Curve",$NN$44*(45-$NR$44+1)*($NS$44-45+1)/$NU$44,$NN$44/$NT$44)),0)</f>
        <v/>
      </c>
      <c r="AX44" s="402">
        <f>IF(AND(46&gt;=$NR$44,46&lt;=$NS$44),IF($NP$44="Single_Point",IF(46=$NR$44,$NN$44,0),IF($NP$44="Bell_Curve",$NN$44*(46-$NR$44+1)*($NS$44-46+1)/$NU$44,$NN$44/$NT$44)),0)</f>
        <v/>
      </c>
      <c r="AY44" s="402">
        <f>IF(AND(47&gt;=$NR$44,47&lt;=$NS$44),IF($NP$44="Single_Point",IF(47=$NR$44,$NN$44,0),IF($NP$44="Bell_Curve",$NN$44*(47-$NR$44+1)*($NS$44-47+1)/$NU$44,$NN$44/$NT$44)),0)</f>
        <v/>
      </c>
      <c r="AZ44" s="402">
        <f>IF(AND(48&gt;=$NR$44,48&lt;=$NS$44),IF($NP$44="Single_Point",IF(48=$NR$44,$NN$44,0),IF($NP$44="Bell_Curve",$NN$44*(48-$NR$44+1)*($NS$44-48+1)/$NU$44,$NN$44/$NT$44)),0)</f>
        <v/>
      </c>
      <c r="BA44" s="402">
        <f>IF(AND(49&gt;=$NR$44,49&lt;=$NS$44),IF($NP$44="Single_Point",IF(49=$NR$44,$NN$44,0),IF($NP$44="Bell_Curve",$NN$44*(49-$NR$44+1)*($NS$44-49+1)/$NU$44,$NN$44/$NT$44)),0)</f>
        <v/>
      </c>
      <c r="BB44" s="402">
        <f>IF(AND(50&gt;=$NR$44,50&lt;=$NS$44),IF($NP$44="Single_Point",IF(50=$NR$44,$NN$44,0),IF($NP$44="Bell_Curve",$NN$44*(50-$NR$44+1)*($NS$44-50+1)/$NU$44,$NN$44/$NT$44)),0)</f>
        <v/>
      </c>
      <c r="BC44" s="402">
        <f>IF(AND(51&gt;=$NR$44,51&lt;=$NS$44),IF($NP$44="Single_Point",IF(51=$NR$44,$NN$44,0),IF($NP$44="Bell_Curve",$NN$44*(51-$NR$44+1)*($NS$44-51+1)/$NU$44,$NN$44/$NT$44)),0)</f>
        <v/>
      </c>
      <c r="BD44" s="402">
        <f>IF(AND(52&gt;=$NR$44,52&lt;=$NS$44),IF($NP$44="Single_Point",IF(52=$NR$44,$NN$44,0),IF($NP$44="Bell_Curve",$NN$44*(52-$NR$44+1)*($NS$44-52+1)/$NU$44,$NN$44/$NT$44)),0)</f>
        <v/>
      </c>
      <c r="BE44" s="402">
        <f>IF(AND(53&gt;=$NR$44,53&lt;=$NS$44),IF($NP$44="Single_Point",IF(53=$NR$44,$NN$44,0),IF($NP$44="Bell_Curve",$NN$44*(53-$NR$44+1)*($NS$44-53+1)/$NU$44,$NN$44/$NT$44)),0)</f>
        <v/>
      </c>
      <c r="BF44" s="402">
        <f>IF(AND(54&gt;=$NR$44,54&lt;=$NS$44),IF($NP$44="Single_Point",IF(54=$NR$44,$NN$44,0),IF($NP$44="Bell_Curve",$NN$44*(54-$NR$44+1)*($NS$44-54+1)/$NU$44,$NN$44/$NT$44)),0)</f>
        <v/>
      </c>
      <c r="BG44" s="402">
        <f>IF(AND(55&gt;=$NR$44,55&lt;=$NS$44),IF($NP$44="Single_Point",IF(55=$NR$44,$NN$44,0),IF($NP$44="Bell_Curve",$NN$44*(55-$NR$44+1)*($NS$44-55+1)/$NU$44,$NN$44/$NT$44)),0)</f>
        <v/>
      </c>
      <c r="BH44" s="402">
        <f>IF(AND(56&gt;=$NR$44,56&lt;=$NS$44),IF($NP$44="Single_Point",IF(56=$NR$44,$NN$44,0),IF($NP$44="Bell_Curve",$NN$44*(56-$NR$44+1)*($NS$44-56+1)/$NU$44,$NN$44/$NT$44)),0)</f>
        <v/>
      </c>
      <c r="BI44" s="402">
        <f>IF(AND(57&gt;=$NR$44,57&lt;=$NS$44),IF($NP$44="Single_Point",IF(57=$NR$44,$NN$44,0),IF($NP$44="Bell_Curve",$NN$44*(57-$NR$44+1)*($NS$44-57+1)/$NU$44,$NN$44/$NT$44)),0)</f>
        <v/>
      </c>
      <c r="BJ44" s="402">
        <f>IF(AND(58&gt;=$NR$44,58&lt;=$NS$44),IF($NP$44="Single_Point",IF(58=$NR$44,$NN$44,0),IF($NP$44="Bell_Curve",$NN$44*(58-$NR$44+1)*($NS$44-58+1)/$NU$44,$NN$44/$NT$44)),0)</f>
        <v/>
      </c>
      <c r="BK44" s="402">
        <f>IF(AND(59&gt;=$NR$44,59&lt;=$NS$44),IF($NP$44="Single_Point",IF(59=$NR$44,$NN$44,0),IF($NP$44="Bell_Curve",$NN$44*(59-$NR$44+1)*($NS$44-59+1)/$NU$44,$NN$44/$NT$44)),0)</f>
        <v/>
      </c>
      <c r="BL44" s="402">
        <f>IF(AND(60&gt;=$NR$44,60&lt;=$NS$44),IF($NP$44="Single_Point",IF(60=$NR$44,$NN$44,0),IF($NP$44="Bell_Curve",$NN$44*(60-$NR$44+1)*($NS$44-60+1)/$NU$44,$NN$44/$NT$44)),0)</f>
        <v/>
      </c>
      <c r="BM44" s="402">
        <f>IF(AND(61&gt;=$NR$44,61&lt;=$NS$44),IF($NP$44="Single_Point",IF(61=$NR$44,$NN$44,0),IF($NP$44="Bell_Curve",$NN$44*(61-$NR$44+1)*($NS$44-61+1)/$NU$44,$NN$44/$NT$44)),0)</f>
        <v/>
      </c>
      <c r="BN44" s="402">
        <f>IF(AND(62&gt;=$NR$44,62&lt;=$NS$44),IF($NP$44="Single_Point",IF(62=$NR$44,$NN$44,0),IF($NP$44="Bell_Curve",$NN$44*(62-$NR$44+1)*($NS$44-62+1)/$NU$44,$NN$44/$NT$44)),0)</f>
        <v/>
      </c>
      <c r="BO44" s="402">
        <f>IF(AND(63&gt;=$NR$44,63&lt;=$NS$44),IF($NP$44="Single_Point",IF(63=$NR$44,$NN$44,0),IF($NP$44="Bell_Curve",$NN$44*(63-$NR$44+1)*($NS$44-63+1)/$NU$44,$NN$44/$NT$44)),0)</f>
        <v/>
      </c>
      <c r="BP44" s="402">
        <f>IF(AND(64&gt;=$NR$44,64&lt;=$NS$44),IF($NP$44="Single_Point",IF(64=$NR$44,$NN$44,0),IF($NP$44="Bell_Curve",$NN$44*(64-$NR$44+1)*($NS$44-64+1)/$NU$44,$NN$44/$NT$44)),0)</f>
        <v/>
      </c>
      <c r="BQ44" s="402">
        <f>IF(AND(65&gt;=$NR$44,65&lt;=$NS$44),IF($NP$44="Single_Point",IF(65=$NR$44,$NN$44,0),IF($NP$44="Bell_Curve",$NN$44*(65-$NR$44+1)*($NS$44-65+1)/$NU$44,$NN$44/$NT$44)),0)</f>
        <v/>
      </c>
      <c r="BR44" s="402">
        <f>IF(AND(66&gt;=$NR$44,66&lt;=$NS$44),IF($NP$44="Single_Point",IF(66=$NR$44,$NN$44,0),IF($NP$44="Bell_Curve",$NN$44*(66-$NR$44+1)*($NS$44-66+1)/$NU$44,$NN$44/$NT$44)),0)</f>
        <v/>
      </c>
      <c r="BS44" s="402">
        <f>IF(AND(67&gt;=$NR$44,67&lt;=$NS$44),IF($NP$44="Single_Point",IF(67=$NR$44,$NN$44,0),IF($NP$44="Bell_Curve",$NN$44*(67-$NR$44+1)*($NS$44-67+1)/$NU$44,$NN$44/$NT$44)),0)</f>
        <v/>
      </c>
      <c r="BT44" s="402">
        <f>IF(AND(68&gt;=$NR$44,68&lt;=$NS$44),IF($NP$44="Single_Point",IF(68=$NR$44,$NN$44,0),IF($NP$44="Bell_Curve",$NN$44*(68-$NR$44+1)*($NS$44-68+1)/$NU$44,$NN$44/$NT$44)),0)</f>
        <v/>
      </c>
      <c r="BU44" s="402">
        <f>IF(AND(69&gt;=$NR$44,69&lt;=$NS$44),IF($NP$44="Single_Point",IF(69=$NR$44,$NN$44,0),IF($NP$44="Bell_Curve",$NN$44*(69-$NR$44+1)*($NS$44-69+1)/$NU$44,$NN$44/$NT$44)),0)</f>
        <v/>
      </c>
      <c r="BV44" s="402">
        <f>IF(AND(70&gt;=$NR$44,70&lt;=$NS$44),IF($NP$44="Single_Point",IF(70=$NR$44,$NN$44,0),IF($NP$44="Bell_Curve",$NN$44*(70-$NR$44+1)*($NS$44-70+1)/$NU$44,$NN$44/$NT$44)),0)</f>
        <v/>
      </c>
      <c r="BW44" s="402">
        <f>IF(AND(71&gt;=$NR$44,71&lt;=$NS$44),IF($NP$44="Single_Point",IF(71=$NR$44,$NN$44,0),IF($NP$44="Bell_Curve",$NN$44*(71-$NR$44+1)*($NS$44-71+1)/$NU$44,$NN$44/$NT$44)),0)</f>
        <v/>
      </c>
      <c r="BX44" s="402">
        <f>IF(AND(72&gt;=$NR$44,72&lt;=$NS$44),IF($NP$44="Single_Point",IF(72=$NR$44,$NN$44,0),IF($NP$44="Bell_Curve",$NN$44*(72-$NR$44+1)*($NS$44-72+1)/$NU$44,$NN$44/$NT$44)),0)</f>
        <v/>
      </c>
      <c r="BY44" s="402">
        <f>IF(AND(73&gt;=$NR$44,73&lt;=$NS$44),IF($NP$44="Single_Point",IF(73=$NR$44,$NN$44,0),IF($NP$44="Bell_Curve",$NN$44*(73-$NR$44+1)*($NS$44-73+1)/$NU$44,$NN$44/$NT$44)),0)</f>
        <v/>
      </c>
      <c r="BZ44" s="402">
        <f>IF(AND(74&gt;=$NR$44,74&lt;=$NS$44),IF($NP$44="Single_Point",IF(74=$NR$44,$NN$44,0),IF($NP$44="Bell_Curve",$NN$44*(74-$NR$44+1)*($NS$44-74+1)/$NU$44,$NN$44/$NT$44)),0)</f>
        <v/>
      </c>
      <c r="CA44" s="402">
        <f>IF(AND(75&gt;=$NR$44,75&lt;=$NS$44),IF($NP$44="Single_Point",IF(75=$NR$44,$NN$44,0),IF($NP$44="Bell_Curve",$NN$44*(75-$NR$44+1)*($NS$44-75+1)/$NU$44,$NN$44/$NT$44)),0)</f>
        <v/>
      </c>
      <c r="CB44" s="402">
        <f>IF(AND(76&gt;=$NR$44,76&lt;=$NS$44),IF($NP$44="Single_Point",IF(76=$NR$44,$NN$44,0),IF($NP$44="Bell_Curve",$NN$44*(76-$NR$44+1)*($NS$44-76+1)/$NU$44,$NN$44/$NT$44)),0)</f>
        <v/>
      </c>
      <c r="CC44" s="402">
        <f>IF(AND(77&gt;=$NR$44,77&lt;=$NS$44),IF($NP$44="Single_Point",IF(77=$NR$44,$NN$44,0),IF($NP$44="Bell_Curve",$NN$44*(77-$NR$44+1)*($NS$44-77+1)/$NU$44,$NN$44/$NT$44)),0)</f>
        <v/>
      </c>
      <c r="CD44" s="402">
        <f>IF(AND(78&gt;=$NR$44,78&lt;=$NS$44),IF($NP$44="Single_Point",IF(78=$NR$44,$NN$44,0),IF($NP$44="Bell_Curve",$NN$44*(78-$NR$44+1)*($NS$44-78+1)/$NU$44,$NN$44/$NT$44)),0)</f>
        <v/>
      </c>
      <c r="CE44" s="402">
        <f>IF(AND(79&gt;=$NR$44,79&lt;=$NS$44),IF($NP$44="Single_Point",IF(79=$NR$44,$NN$44,0),IF($NP$44="Bell_Curve",$NN$44*(79-$NR$44+1)*($NS$44-79+1)/$NU$44,$NN$44/$NT$44)),0)</f>
        <v/>
      </c>
      <c r="CF44" s="402">
        <f>IF(AND(80&gt;=$NR$44,80&lt;=$NS$44),IF($NP$44="Single_Point",IF(80=$NR$44,$NN$44,0),IF($NP$44="Bell_Curve",$NN$44*(80-$NR$44+1)*($NS$44-80+1)/$NU$44,$NN$44/$NT$44)),0)</f>
        <v/>
      </c>
      <c r="CG44" s="402">
        <f>IF(AND(81&gt;=$NR$44,81&lt;=$NS$44),IF($NP$44="Single_Point",IF(81=$NR$44,$NN$44,0),IF($NP$44="Bell_Curve",$NN$44*(81-$NR$44+1)*($NS$44-81+1)/$NU$44,$NN$44/$NT$44)),0)</f>
        <v/>
      </c>
      <c r="CH44" s="402">
        <f>IF(AND(82&gt;=$NR$44,82&lt;=$NS$44),IF($NP$44="Single_Point",IF(82=$NR$44,$NN$44,0),IF($NP$44="Bell_Curve",$NN$44*(82-$NR$44+1)*($NS$44-82+1)/$NU$44,$NN$44/$NT$44)),0)</f>
        <v/>
      </c>
      <c r="CI44" s="402">
        <f>IF(AND(83&gt;=$NR$44,83&lt;=$NS$44),IF($NP$44="Single_Point",IF(83=$NR$44,$NN$44,0),IF($NP$44="Bell_Curve",$NN$44*(83-$NR$44+1)*($NS$44-83+1)/$NU$44,$NN$44/$NT$44)),0)</f>
        <v/>
      </c>
      <c r="CJ44" s="402">
        <f>IF(AND(84&gt;=$NR$44,84&lt;=$NS$44),IF($NP$44="Single_Point",IF(84=$NR$44,$NN$44,0),IF($NP$44="Bell_Curve",$NN$44*(84-$NR$44+1)*($NS$44-84+1)/$NU$44,$NN$44/$NT$44)),0)</f>
        <v/>
      </c>
      <c r="CK44" s="402">
        <f>IF(AND(85&gt;=$NR$44,85&lt;=$NS$44),IF($NP$44="Single_Point",IF(85=$NR$44,$NN$44,0),IF($NP$44="Bell_Curve",$NN$44*(85-$NR$44+1)*($NS$44-85+1)/$NU$44,$NN$44/$NT$44)),0)</f>
        <v/>
      </c>
      <c r="CL44" s="402">
        <f>IF(AND(86&gt;=$NR$44,86&lt;=$NS$44),IF($NP$44="Single_Point",IF(86=$NR$44,$NN$44,0),IF($NP$44="Bell_Curve",$NN$44*(86-$NR$44+1)*($NS$44-86+1)/$NU$44,$NN$44/$NT$44)),0)</f>
        <v/>
      </c>
      <c r="CM44" s="402">
        <f>IF(AND(87&gt;=$NR$44,87&lt;=$NS$44),IF($NP$44="Single_Point",IF(87=$NR$44,$NN$44,0),IF($NP$44="Bell_Curve",$NN$44*(87-$NR$44+1)*($NS$44-87+1)/$NU$44,$NN$44/$NT$44)),0)</f>
        <v/>
      </c>
      <c r="CN44" s="402">
        <f>IF(AND(88&gt;=$NR$44,88&lt;=$NS$44),IF($NP$44="Single_Point",IF(88=$NR$44,$NN$44,0),IF($NP$44="Bell_Curve",$NN$44*(88-$NR$44+1)*($NS$44-88+1)/$NU$44,$NN$44/$NT$44)),0)</f>
        <v/>
      </c>
      <c r="CO44" s="402">
        <f>IF(AND(89&gt;=$NR$44,89&lt;=$NS$44),IF($NP$44="Single_Point",IF(89=$NR$44,$NN$44,0),IF($NP$44="Bell_Curve",$NN$44*(89-$NR$44+1)*($NS$44-89+1)/$NU$44,$NN$44/$NT$44)),0)</f>
        <v/>
      </c>
      <c r="CP44" s="402">
        <f>IF(AND(90&gt;=$NR$44,90&lt;=$NS$44),IF($NP$44="Single_Point",IF(90=$NR$44,$NN$44,0),IF($NP$44="Bell_Curve",$NN$44*(90-$NR$44+1)*($NS$44-90+1)/$NU$44,$NN$44/$NT$44)),0)</f>
        <v/>
      </c>
      <c r="CQ44" s="402">
        <f>IF(AND(91&gt;=$NR$44,91&lt;=$NS$44),IF($NP$44="Single_Point",IF(91=$NR$44,$NN$44,0),IF($NP$44="Bell_Curve",$NN$44*(91-$NR$44+1)*($NS$44-91+1)/$NU$44,$NN$44/$NT$44)),0)</f>
        <v/>
      </c>
      <c r="CR44" s="402">
        <f>IF(AND(92&gt;=$NR$44,92&lt;=$NS$44),IF($NP$44="Single_Point",IF(92=$NR$44,$NN$44,0),IF($NP$44="Bell_Curve",$NN$44*(92-$NR$44+1)*($NS$44-92+1)/$NU$44,$NN$44/$NT$44)),0)</f>
        <v/>
      </c>
      <c r="CS44" s="402">
        <f>IF(AND(93&gt;=$NR$44,93&lt;=$NS$44),IF($NP$44="Single_Point",IF(93=$NR$44,$NN$44,0),IF($NP$44="Bell_Curve",$NN$44*(93-$NR$44+1)*($NS$44-93+1)/$NU$44,$NN$44/$NT$44)),0)</f>
        <v/>
      </c>
      <c r="CT44" s="402">
        <f>IF(AND(94&gt;=$NR$44,94&lt;=$NS$44),IF($NP$44="Single_Point",IF(94=$NR$44,$NN$44,0),IF($NP$44="Bell_Curve",$NN$44*(94-$NR$44+1)*($NS$44-94+1)/$NU$44,$NN$44/$NT$44)),0)</f>
        <v/>
      </c>
      <c r="CU44" s="402">
        <f>IF(AND(95&gt;=$NR$44,95&lt;=$NS$44),IF($NP$44="Single_Point",IF(95=$NR$44,$NN$44,0),IF($NP$44="Bell_Curve",$NN$44*(95-$NR$44+1)*($NS$44-95+1)/$NU$44,$NN$44/$NT$44)),0)</f>
        <v/>
      </c>
      <c r="CV44" s="402">
        <f>IF(AND(96&gt;=$NR$44,96&lt;=$NS$44),IF($NP$44="Single_Point",IF(96=$NR$44,$NN$44,0),IF($NP$44="Bell_Curve",$NN$44*(96-$NR$44+1)*($NS$44-96+1)/$NU$44,$NN$44/$NT$44)),0)</f>
        <v/>
      </c>
      <c r="CW44" s="402">
        <f>IF(AND(97&gt;=$NR$44,97&lt;=$NS$44),IF($NP$44="Single_Point",IF(97=$NR$44,$NN$44,0),IF($NP$44="Bell_Curve",$NN$44*(97-$NR$44+1)*($NS$44-97+1)/$NU$44,$NN$44/$NT$44)),0)</f>
        <v/>
      </c>
      <c r="CX44" s="402">
        <f>IF(AND(98&gt;=$NR$44,98&lt;=$NS$44),IF($NP$44="Single_Point",IF(98=$NR$44,$NN$44,0),IF($NP$44="Bell_Curve",$NN$44*(98-$NR$44+1)*($NS$44-98+1)/$NU$44,$NN$44/$NT$44)),0)</f>
        <v/>
      </c>
      <c r="CY44" s="402">
        <f>IF(AND(99&gt;=$NR$44,99&lt;=$NS$44),IF($NP$44="Single_Point",IF(99=$NR$44,$NN$44,0),IF($NP$44="Bell_Curve",$NN$44*(99-$NR$44+1)*($NS$44-99+1)/$NU$44,$NN$44/$NT$44)),0)</f>
        <v/>
      </c>
      <c r="CZ44" s="402">
        <f>IF(AND(100&gt;=$NR$44,100&lt;=$NS$44),IF($NP$44="Single_Point",IF(100=$NR$44,$NN$44,0),IF($NP$44="Bell_Curve",$NN$44*(100-$NR$44+1)*($NS$44-100+1)/$NU$44,$NN$44/$NT$44)),0)</f>
        <v/>
      </c>
      <c r="DA44" s="402">
        <f>IF(AND(101&gt;=$NR$44,101&lt;=$NS$44),IF($NP$44="Single_Point",IF(101=$NR$44,$NN$44,0),IF($NP$44="Bell_Curve",$NN$44*(101-$NR$44+1)*($NS$44-101+1)/$NU$44,$NN$44/$NT$44)),0)</f>
        <v/>
      </c>
      <c r="DB44" s="402">
        <f>IF(AND(102&gt;=$NR$44,102&lt;=$NS$44),IF($NP$44="Single_Point",IF(102=$NR$44,$NN$44,0),IF($NP$44="Bell_Curve",$NN$44*(102-$NR$44+1)*($NS$44-102+1)/$NU$44,$NN$44/$NT$44)),0)</f>
        <v/>
      </c>
      <c r="DC44" s="402">
        <f>IF(AND(103&gt;=$NR$44,103&lt;=$NS$44),IF($NP$44="Single_Point",IF(103=$NR$44,$NN$44,0),IF($NP$44="Bell_Curve",$NN$44*(103-$NR$44+1)*($NS$44-103+1)/$NU$44,$NN$44/$NT$44)),0)</f>
        <v/>
      </c>
      <c r="DD44" s="402">
        <f>IF(AND(104&gt;=$NR$44,104&lt;=$NS$44),IF($NP$44="Single_Point",IF(104=$NR$44,$NN$44,0),IF($NP$44="Bell_Curve",$NN$44*(104-$NR$44+1)*($NS$44-104+1)/$NU$44,$NN$44/$NT$44)),0)</f>
        <v/>
      </c>
      <c r="DE44" s="402">
        <f>IF(AND(105&gt;=$NR$44,105&lt;=$NS$44),IF($NP$44="Single_Point",IF(105=$NR$44,$NN$44,0),IF($NP$44="Bell_Curve",$NN$44*(105-$NR$44+1)*($NS$44-105+1)/$NU$44,$NN$44/$NT$44)),0)</f>
        <v/>
      </c>
      <c r="DF44" s="402">
        <f>IF(AND(106&gt;=$NR$44,106&lt;=$NS$44),IF($NP$44="Single_Point",IF(106=$NR$44,$NN$44,0),IF($NP$44="Bell_Curve",$NN$44*(106-$NR$44+1)*($NS$44-106+1)/$NU$44,$NN$44/$NT$44)),0)</f>
        <v/>
      </c>
      <c r="DG44" s="402">
        <f>IF(AND(107&gt;=$NR$44,107&lt;=$NS$44),IF($NP$44="Single_Point",IF(107=$NR$44,$NN$44,0),IF($NP$44="Bell_Curve",$NN$44*(107-$NR$44+1)*($NS$44-107+1)/$NU$44,$NN$44/$NT$44)),0)</f>
        <v/>
      </c>
      <c r="DH44" s="402">
        <f>IF(AND(108&gt;=$NR$44,108&lt;=$NS$44),IF($NP$44="Single_Point",IF(108=$NR$44,$NN$44,0),IF($NP$44="Bell_Curve",$NN$44*(108-$NR$44+1)*($NS$44-108+1)/$NU$44,$NN$44/$NT$44)),0)</f>
        <v/>
      </c>
      <c r="DI44" s="402">
        <f>IF(AND(109&gt;=$NR$44,109&lt;=$NS$44),IF($NP$44="Single_Point",IF(109=$NR$44,$NN$44,0),IF($NP$44="Bell_Curve",$NN$44*(109-$NR$44+1)*($NS$44-109+1)/$NU$44,$NN$44/$NT$44)),0)</f>
        <v/>
      </c>
      <c r="DJ44" s="402">
        <f>IF(AND(110&gt;=$NR$44,110&lt;=$NS$44),IF($NP$44="Single_Point",IF(110=$NR$44,$NN$44,0),IF($NP$44="Bell_Curve",$NN$44*(110-$NR$44+1)*($NS$44-110+1)/$NU$44,$NN$44/$NT$44)),0)</f>
        <v/>
      </c>
      <c r="DK44" s="402">
        <f>IF(AND(111&gt;=$NR$44,111&lt;=$NS$44),IF($NP$44="Single_Point",IF(111=$NR$44,$NN$44,0),IF($NP$44="Bell_Curve",$NN$44*(111-$NR$44+1)*($NS$44-111+1)/$NU$44,$NN$44/$NT$44)),0)</f>
        <v/>
      </c>
      <c r="DL44" s="402">
        <f>IF(AND(112&gt;=$NR$44,112&lt;=$NS$44),IF($NP$44="Single_Point",IF(112=$NR$44,$NN$44,0),IF($NP$44="Bell_Curve",$NN$44*(112-$NR$44+1)*($NS$44-112+1)/$NU$44,$NN$44/$NT$44)),0)</f>
        <v/>
      </c>
      <c r="DM44" s="402">
        <f>IF(AND(113&gt;=$NR$44,113&lt;=$NS$44),IF($NP$44="Single_Point",IF(113=$NR$44,$NN$44,0),IF($NP$44="Bell_Curve",$NN$44*(113-$NR$44+1)*($NS$44-113+1)/$NU$44,$NN$44/$NT$44)),0)</f>
        <v/>
      </c>
      <c r="DN44" s="402">
        <f>IF(AND(114&gt;=$NR$44,114&lt;=$NS$44),IF($NP$44="Single_Point",IF(114=$NR$44,$NN$44,0),IF($NP$44="Bell_Curve",$NN$44*(114-$NR$44+1)*($NS$44-114+1)/$NU$44,$NN$44/$NT$44)),0)</f>
        <v/>
      </c>
      <c r="DO44" s="402">
        <f>IF(AND(115&gt;=$NR$44,115&lt;=$NS$44),IF($NP$44="Single_Point",IF(115=$NR$44,$NN$44,0),IF($NP$44="Bell_Curve",$NN$44*(115-$NR$44+1)*($NS$44-115+1)/$NU$44,$NN$44/$NT$44)),0)</f>
        <v/>
      </c>
      <c r="DP44" s="402">
        <f>IF(AND(116&gt;=$NR$44,116&lt;=$NS$44),IF($NP$44="Single_Point",IF(116=$NR$44,$NN$44,0),IF($NP$44="Bell_Curve",$NN$44*(116-$NR$44+1)*($NS$44-116+1)/$NU$44,$NN$44/$NT$44)),0)</f>
        <v/>
      </c>
      <c r="DQ44" s="402">
        <f>IF(AND(117&gt;=$NR$44,117&lt;=$NS$44),IF($NP$44="Single_Point",IF(117=$NR$44,$NN$44,0),IF($NP$44="Bell_Curve",$NN$44*(117-$NR$44+1)*($NS$44-117+1)/$NU$44,$NN$44/$NT$44)),0)</f>
        <v/>
      </c>
      <c r="DR44" s="402">
        <f>IF(AND(118&gt;=$NR$44,118&lt;=$NS$44),IF($NP$44="Single_Point",IF(118=$NR$44,$NN$44,0),IF($NP$44="Bell_Curve",$NN$44*(118-$NR$44+1)*($NS$44-118+1)/$NU$44,$NN$44/$NT$44)),0)</f>
        <v/>
      </c>
      <c r="DS44" s="402">
        <f>IF(AND(119&gt;=$NR$44,119&lt;=$NS$44),IF($NP$44="Single_Point",IF(119=$NR$44,$NN$44,0),IF($NP$44="Bell_Curve",$NN$44*(119-$NR$44+1)*($NS$44-119+1)/$NU$44,$NN$44/$NT$44)),0)</f>
        <v/>
      </c>
      <c r="DT44" s="402">
        <f>IF(AND(120&gt;=$NR$44,120&lt;=$NS$44),IF($NP$44="Single_Point",IF(120=$NR$44,$NN$44,0),IF($NP$44="Bell_Curve",$NN$44*(120-$NR$44+1)*($NS$44-120+1)/$NU$44,$NN$44/$NT$44)),0)</f>
        <v/>
      </c>
      <c r="DU44" s="402">
        <f>IF(AND(121&gt;=$NR$44,121&lt;=$NS$44),IF($NP$44="Single_Point",IF(121=$NR$44,$NN$44,0),IF($NP$44="Bell_Curve",$NN$44*(121-$NR$44+1)*($NS$44-121+1)/$NU$44,$NN$44/$NT$44)),0)</f>
        <v/>
      </c>
      <c r="DV44" s="402">
        <f>IF(AND(122&gt;=$NR$44,122&lt;=$NS$44),IF($NP$44="Single_Point",IF(122=$NR$44,$NN$44,0),IF($NP$44="Bell_Curve",$NN$44*(122-$NR$44+1)*($NS$44-122+1)/$NU$44,$NN$44/$NT$44)),0)</f>
        <v/>
      </c>
      <c r="DW44" s="402">
        <f>IF(AND(123&gt;=$NR$44,123&lt;=$NS$44),IF($NP$44="Single_Point",IF(123=$NR$44,$NN$44,0),IF($NP$44="Bell_Curve",$NN$44*(123-$NR$44+1)*($NS$44-123+1)/$NU$44,$NN$44/$NT$44)),0)</f>
        <v/>
      </c>
      <c r="DX44" s="402">
        <f>IF(AND(124&gt;=$NR$44,124&lt;=$NS$44),IF($NP$44="Single_Point",IF(124=$NR$44,$NN$44,0),IF($NP$44="Bell_Curve",$NN$44*(124-$NR$44+1)*($NS$44-124+1)/$NU$44,$NN$44/$NT$44)),0)</f>
        <v/>
      </c>
      <c r="DY44" s="402">
        <f>IF(AND(125&gt;=$NR$44,125&lt;=$NS$44),IF($NP$44="Single_Point",IF(125=$NR$44,$NN$44,0),IF($NP$44="Bell_Curve",$NN$44*(125-$NR$44+1)*($NS$44-125+1)/$NU$44,$NN$44/$NT$44)),0)</f>
        <v/>
      </c>
      <c r="DZ44" s="402">
        <f>IF(AND(126&gt;=$NR$44,126&lt;=$NS$44),IF($NP$44="Single_Point",IF(126=$NR$44,$NN$44,0),IF($NP$44="Bell_Curve",$NN$44*(126-$NR$44+1)*($NS$44-126+1)/$NU$44,$NN$44/$NT$44)),0)</f>
        <v/>
      </c>
      <c r="EA44" s="402">
        <f>IF(AND(127&gt;=$NR$44,127&lt;=$NS$44),IF($NP$44="Single_Point",IF(127=$NR$44,$NN$44,0),IF($NP$44="Bell_Curve",$NN$44*(127-$NR$44+1)*($NS$44-127+1)/$NU$44,$NN$44/$NT$44)),0)</f>
        <v/>
      </c>
      <c r="EB44" s="402">
        <f>IF(AND(128&gt;=$NR$44,128&lt;=$NS$44),IF($NP$44="Single_Point",IF(128=$NR$44,$NN$44,0),IF($NP$44="Bell_Curve",$NN$44*(128-$NR$44+1)*($NS$44-128+1)/$NU$44,$NN$44/$NT$44)),0)</f>
        <v/>
      </c>
      <c r="EC44" s="402">
        <f>IF(AND(129&gt;=$NR$44,129&lt;=$NS$44),IF($NP$44="Single_Point",IF(129=$NR$44,$NN$44,0),IF($NP$44="Bell_Curve",$NN$44*(129-$NR$44+1)*($NS$44-129+1)/$NU$44,$NN$44/$NT$44)),0)</f>
        <v/>
      </c>
      <c r="ED44" s="402">
        <f>IF(AND(130&gt;=$NR$44,130&lt;=$NS$44),IF($NP$44="Single_Point",IF(130=$NR$44,$NN$44,0),IF($NP$44="Bell_Curve",$NN$44*(130-$NR$44+1)*($NS$44-130+1)/$NU$44,$NN$44/$NT$44)),0)</f>
        <v/>
      </c>
      <c r="EE44" s="402">
        <f>IF(AND(131&gt;=$NR$44,131&lt;=$NS$44),IF($NP$44="Single_Point",IF(131=$NR$44,$NN$44,0),IF($NP$44="Bell_Curve",$NN$44*(131-$NR$44+1)*($NS$44-131+1)/$NU$44,$NN$44/$NT$44)),0)</f>
        <v/>
      </c>
      <c r="EF44" s="402">
        <f>IF(AND(132&gt;=$NR$44,132&lt;=$NS$44),IF($NP$44="Single_Point",IF(132=$NR$44,$NN$44,0),IF($NP$44="Bell_Curve",$NN$44*(132-$NR$44+1)*($NS$44-132+1)/$NU$44,$NN$44/$NT$44)),0)</f>
        <v/>
      </c>
      <c r="EG44" s="402">
        <f>IF(AND(133&gt;=$NR$44,133&lt;=$NS$44),IF($NP$44="Single_Point",IF(133=$NR$44,$NN$44,0),IF($NP$44="Bell_Curve",$NN$44*(133-$NR$44+1)*($NS$44-133+1)/$NU$44,$NN$44/$NT$44)),0)</f>
        <v/>
      </c>
      <c r="EH44" s="402">
        <f>IF(AND(134&gt;=$NR$44,134&lt;=$NS$44),IF($NP$44="Single_Point",IF(134=$NR$44,$NN$44,0),IF($NP$44="Bell_Curve",$NN$44*(134-$NR$44+1)*($NS$44-134+1)/$NU$44,$NN$44/$NT$44)),0)</f>
        <v/>
      </c>
      <c r="EI44" s="402">
        <f>IF(AND(135&gt;=$NR$44,135&lt;=$NS$44),IF($NP$44="Single_Point",IF(135=$NR$44,$NN$44,0),IF($NP$44="Bell_Curve",$NN$44*(135-$NR$44+1)*($NS$44-135+1)/$NU$44,$NN$44/$NT$44)),0)</f>
        <v/>
      </c>
      <c r="EJ44" s="402">
        <f>IF(AND(136&gt;=$NR$44,136&lt;=$NS$44),IF($NP$44="Single_Point",IF(136=$NR$44,$NN$44,0),IF($NP$44="Bell_Curve",$NN$44*(136-$NR$44+1)*($NS$44-136+1)/$NU$44,$NN$44/$NT$44)),0)</f>
        <v/>
      </c>
      <c r="EK44" s="402">
        <f>IF(AND(137&gt;=$NR$44,137&lt;=$NS$44),IF($NP$44="Single_Point",IF(137=$NR$44,$NN$44,0),IF($NP$44="Bell_Curve",$NN$44*(137-$NR$44+1)*($NS$44-137+1)/$NU$44,$NN$44/$NT$44)),0)</f>
        <v/>
      </c>
      <c r="EL44" s="402">
        <f>IF(AND(138&gt;=$NR$44,138&lt;=$NS$44),IF($NP$44="Single_Point",IF(138=$NR$44,$NN$44,0),IF($NP$44="Bell_Curve",$NN$44*(138-$NR$44+1)*($NS$44-138+1)/$NU$44,$NN$44/$NT$44)),0)</f>
        <v/>
      </c>
      <c r="EM44" s="402">
        <f>IF(AND(139&gt;=$NR$44,139&lt;=$NS$44),IF($NP$44="Single_Point",IF(139=$NR$44,$NN$44,0),IF($NP$44="Bell_Curve",$NN$44*(139-$NR$44+1)*($NS$44-139+1)/$NU$44,$NN$44/$NT$44)),0)</f>
        <v/>
      </c>
      <c r="EN44" s="402">
        <f>IF(AND(140&gt;=$NR$44,140&lt;=$NS$44),IF($NP$44="Single_Point",IF(140=$NR$44,$NN$44,0),IF($NP$44="Bell_Curve",$NN$44*(140-$NR$44+1)*($NS$44-140+1)/$NU$44,$NN$44/$NT$44)),0)</f>
        <v/>
      </c>
      <c r="EO44" s="402">
        <f>IF(AND(141&gt;=$NR$44,141&lt;=$NS$44),IF($NP$44="Single_Point",IF(141=$NR$44,$NN$44,0),IF($NP$44="Bell_Curve",$NN$44*(141-$NR$44+1)*($NS$44-141+1)/$NU$44,$NN$44/$NT$44)),0)</f>
        <v/>
      </c>
      <c r="EP44" s="402">
        <f>IF(AND(142&gt;=$NR$44,142&lt;=$NS$44),IF($NP$44="Single_Point",IF(142=$NR$44,$NN$44,0),IF($NP$44="Bell_Curve",$NN$44*(142-$NR$44+1)*($NS$44-142+1)/$NU$44,$NN$44/$NT$44)),0)</f>
        <v/>
      </c>
      <c r="EQ44" s="402">
        <f>IF(AND(143&gt;=$NR$44,143&lt;=$NS$44),IF($NP$44="Single_Point",IF(143=$NR$44,$NN$44,0),IF($NP$44="Bell_Curve",$NN$44*(143-$NR$44+1)*($NS$44-143+1)/$NU$44,$NN$44/$NT$44)),0)</f>
        <v/>
      </c>
      <c r="ER44" s="402">
        <f>IF(AND(144&gt;=$NR$44,144&lt;=$NS$44),IF($NP$44="Single_Point",IF(144=$NR$44,$NN$44,0),IF($NP$44="Bell_Curve",$NN$44*(144-$NR$44+1)*($NS$44-144+1)/$NU$44,$NN$44/$NT$44)),0)</f>
        <v/>
      </c>
      <c r="ES44" s="402">
        <f>IF(AND(145&gt;=$NR$44,145&lt;=$NS$44),IF($NP$44="Single_Point",IF(145=$NR$44,$NN$44,0),IF($NP$44="Bell_Curve",$NN$44*(145-$NR$44+1)*($NS$44-145+1)/$NU$44,$NN$44/$NT$44)),0)</f>
        <v/>
      </c>
      <c r="ET44" s="402">
        <f>IF(AND(146&gt;=$NR$44,146&lt;=$NS$44),IF($NP$44="Single_Point",IF(146=$NR$44,$NN$44,0),IF($NP$44="Bell_Curve",$NN$44*(146-$NR$44+1)*($NS$44-146+1)/$NU$44,$NN$44/$NT$44)),0)</f>
        <v/>
      </c>
      <c r="EU44" s="402">
        <f>IF(AND(147&gt;=$NR$44,147&lt;=$NS$44),IF($NP$44="Single_Point",IF(147=$NR$44,$NN$44,0),IF($NP$44="Bell_Curve",$NN$44*(147-$NR$44+1)*($NS$44-147+1)/$NU$44,$NN$44/$NT$44)),0)</f>
        <v/>
      </c>
      <c r="EV44" s="402">
        <f>IF(AND(148&gt;=$NR$44,148&lt;=$NS$44),IF($NP$44="Single_Point",IF(148=$NR$44,$NN$44,0),IF($NP$44="Bell_Curve",$NN$44*(148-$NR$44+1)*($NS$44-148+1)/$NU$44,$NN$44/$NT$44)),0)</f>
        <v/>
      </c>
      <c r="EW44" s="402">
        <f>IF(AND(149&gt;=$NR$44,149&lt;=$NS$44),IF($NP$44="Single_Point",IF(149=$NR$44,$NN$44,0),IF($NP$44="Bell_Curve",$NN$44*(149-$NR$44+1)*($NS$44-149+1)/$NU$44,$NN$44/$NT$44)),0)</f>
        <v/>
      </c>
      <c r="EX44" s="402">
        <f>IF(AND(150&gt;=$NR$44,150&lt;=$NS$44),IF($NP$44="Single_Point",IF(150=$NR$44,$NN$44,0),IF($NP$44="Bell_Curve",$NN$44*(150-$NR$44+1)*($NS$44-150+1)/$NU$44,$NN$44/$NT$44)),0)</f>
        <v/>
      </c>
      <c r="EY44" s="402">
        <f>IF(AND(151&gt;=$NR$44,151&lt;=$NS$44),IF($NP$44="Single_Point",IF(151=$NR$44,$NN$44,0),IF($NP$44="Bell_Curve",$NN$44*(151-$NR$44+1)*($NS$44-151+1)/$NU$44,$NN$44/$NT$44)),0)</f>
        <v/>
      </c>
      <c r="EZ44" s="402">
        <f>IF(AND(152&gt;=$NR$44,152&lt;=$NS$44),IF($NP$44="Single_Point",IF(152=$NR$44,$NN$44,0),IF($NP$44="Bell_Curve",$NN$44*(152-$NR$44+1)*($NS$44-152+1)/$NU$44,$NN$44/$NT$44)),0)</f>
        <v/>
      </c>
      <c r="FA44" s="402">
        <f>IF(AND(153&gt;=$NR$44,153&lt;=$NS$44),IF($NP$44="Single_Point",IF(153=$NR$44,$NN$44,0),IF($NP$44="Bell_Curve",$NN$44*(153-$NR$44+1)*($NS$44-153+1)/$NU$44,$NN$44/$NT$44)),0)</f>
        <v/>
      </c>
      <c r="FB44" s="402">
        <f>IF(AND(154&gt;=$NR$44,154&lt;=$NS$44),IF($NP$44="Single_Point",IF(154=$NR$44,$NN$44,0),IF($NP$44="Bell_Curve",$NN$44*(154-$NR$44+1)*($NS$44-154+1)/$NU$44,$NN$44/$NT$44)),0)</f>
        <v/>
      </c>
      <c r="FC44" s="402">
        <f>IF(AND(155&gt;=$NR$44,155&lt;=$NS$44),IF($NP$44="Single_Point",IF(155=$NR$44,$NN$44,0),IF($NP$44="Bell_Curve",$NN$44*(155-$NR$44+1)*($NS$44-155+1)/$NU$44,$NN$44/$NT$44)),0)</f>
        <v/>
      </c>
      <c r="FD44" s="402">
        <f>IF(AND(156&gt;=$NR$44,156&lt;=$NS$44),IF($NP$44="Single_Point",IF(156=$NR$44,$NN$44,0),IF($NP$44="Bell_Curve",$NN$44*(156-$NR$44+1)*($NS$44-156+1)/$NU$44,$NN$44/$NT$44)),0)</f>
        <v/>
      </c>
      <c r="FE44" s="402">
        <f>IF(AND(157&gt;=$NR$44,157&lt;=$NS$44),IF($NP$44="Single_Point",IF(157=$NR$44,$NN$44,0),IF($NP$44="Bell_Curve",$NN$44*(157-$NR$44+1)*($NS$44-157+1)/$NU$44,$NN$44/$NT$44)),0)</f>
        <v/>
      </c>
      <c r="FF44" s="402">
        <f>IF(AND(158&gt;=$NR$44,158&lt;=$NS$44),IF($NP$44="Single_Point",IF(158=$NR$44,$NN$44,0),IF($NP$44="Bell_Curve",$NN$44*(158-$NR$44+1)*($NS$44-158+1)/$NU$44,$NN$44/$NT$44)),0)</f>
        <v/>
      </c>
      <c r="FG44" s="402">
        <f>IF(AND(159&gt;=$NR$44,159&lt;=$NS$44),IF($NP$44="Single_Point",IF(159=$NR$44,$NN$44,0),IF($NP$44="Bell_Curve",$NN$44*(159-$NR$44+1)*($NS$44-159+1)/$NU$44,$NN$44/$NT$44)),0)</f>
        <v/>
      </c>
      <c r="FH44" s="402">
        <f>IF(AND(160&gt;=$NR$44,160&lt;=$NS$44),IF($NP$44="Single_Point",IF(160=$NR$44,$NN$44,0),IF($NP$44="Bell_Curve",$NN$44*(160-$NR$44+1)*($NS$44-160+1)/$NU$44,$NN$44/$NT$44)),0)</f>
        <v/>
      </c>
      <c r="FI44" s="402">
        <f>IF(AND(161&gt;=$NR$44,161&lt;=$NS$44),IF($NP$44="Single_Point",IF(161=$NR$44,$NN$44,0),IF($NP$44="Bell_Curve",$NN$44*(161-$NR$44+1)*($NS$44-161+1)/$NU$44,$NN$44/$NT$44)),0)</f>
        <v/>
      </c>
      <c r="FJ44" s="402">
        <f>IF(AND(162&gt;=$NR$44,162&lt;=$NS$44),IF($NP$44="Single_Point",IF(162=$NR$44,$NN$44,0),IF($NP$44="Bell_Curve",$NN$44*(162-$NR$44+1)*($NS$44-162+1)/$NU$44,$NN$44/$NT$44)),0)</f>
        <v/>
      </c>
      <c r="FK44" s="402">
        <f>IF(AND(163&gt;=$NR$44,163&lt;=$NS$44),IF($NP$44="Single_Point",IF(163=$NR$44,$NN$44,0),IF($NP$44="Bell_Curve",$NN$44*(163-$NR$44+1)*($NS$44-163+1)/$NU$44,$NN$44/$NT$44)),0)</f>
        <v/>
      </c>
      <c r="FL44" s="402">
        <f>IF(AND(164&gt;=$NR$44,164&lt;=$NS$44),IF($NP$44="Single_Point",IF(164=$NR$44,$NN$44,0),IF($NP$44="Bell_Curve",$NN$44*(164-$NR$44+1)*($NS$44-164+1)/$NU$44,$NN$44/$NT$44)),0)</f>
        <v/>
      </c>
      <c r="FM44" s="402">
        <f>IF(AND(165&gt;=$NR$44,165&lt;=$NS$44),IF($NP$44="Single_Point",IF(165=$NR$44,$NN$44,0),IF($NP$44="Bell_Curve",$NN$44*(165-$NR$44+1)*($NS$44-165+1)/$NU$44,$NN$44/$NT$44)),0)</f>
        <v/>
      </c>
      <c r="FN44" s="402">
        <f>IF(AND(166&gt;=$NR$44,166&lt;=$NS$44),IF($NP$44="Single_Point",IF(166=$NR$44,$NN$44,0),IF($NP$44="Bell_Curve",$NN$44*(166-$NR$44+1)*($NS$44-166+1)/$NU$44,$NN$44/$NT$44)),0)</f>
        <v/>
      </c>
      <c r="FO44" s="402">
        <f>IF(AND(167&gt;=$NR$44,167&lt;=$NS$44),IF($NP$44="Single_Point",IF(167=$NR$44,$NN$44,0),IF($NP$44="Bell_Curve",$NN$44*(167-$NR$44+1)*($NS$44-167+1)/$NU$44,$NN$44/$NT$44)),0)</f>
        <v/>
      </c>
      <c r="FP44" s="402">
        <f>IF(AND(168&gt;=$NR$44,168&lt;=$NS$44),IF($NP$44="Single_Point",IF(168=$NR$44,$NN$44,0),IF($NP$44="Bell_Curve",$NN$44*(168-$NR$44+1)*($NS$44-168+1)/$NU$44,$NN$44/$NT$44)),0)</f>
        <v/>
      </c>
      <c r="FQ44" s="402">
        <f>IF(AND(169&gt;=$NR$44,169&lt;=$NS$44),IF($NP$44="Single_Point",IF(169=$NR$44,$NN$44,0),IF($NP$44="Bell_Curve",$NN$44*(169-$NR$44+1)*($NS$44-169+1)/$NU$44,$NN$44/$NT$44)),0)</f>
        <v/>
      </c>
      <c r="FR44" s="402">
        <f>IF(AND(170&gt;=$NR$44,170&lt;=$NS$44),IF($NP$44="Single_Point",IF(170=$NR$44,$NN$44,0),IF($NP$44="Bell_Curve",$NN$44*(170-$NR$44+1)*($NS$44-170+1)/$NU$44,$NN$44/$NT$44)),0)</f>
        <v/>
      </c>
      <c r="FS44" s="402">
        <f>IF(AND(171&gt;=$NR$44,171&lt;=$NS$44),IF($NP$44="Single_Point",IF(171=$NR$44,$NN$44,0),IF($NP$44="Bell_Curve",$NN$44*(171-$NR$44+1)*($NS$44-171+1)/$NU$44,$NN$44/$NT$44)),0)</f>
        <v/>
      </c>
      <c r="FT44" s="402">
        <f>IF(AND(172&gt;=$NR$44,172&lt;=$NS$44),IF($NP$44="Single_Point",IF(172=$NR$44,$NN$44,0),IF($NP$44="Bell_Curve",$NN$44*(172-$NR$44+1)*($NS$44-172+1)/$NU$44,$NN$44/$NT$44)),0)</f>
        <v/>
      </c>
      <c r="FU44" s="402">
        <f>IF(AND(173&gt;=$NR$44,173&lt;=$NS$44),IF($NP$44="Single_Point",IF(173=$NR$44,$NN$44,0),IF($NP$44="Bell_Curve",$NN$44*(173-$NR$44+1)*($NS$44-173+1)/$NU$44,$NN$44/$NT$44)),0)</f>
        <v/>
      </c>
      <c r="FV44" s="402">
        <f>IF(AND(174&gt;=$NR$44,174&lt;=$NS$44),IF($NP$44="Single_Point",IF(174=$NR$44,$NN$44,0),IF($NP$44="Bell_Curve",$NN$44*(174-$NR$44+1)*($NS$44-174+1)/$NU$44,$NN$44/$NT$44)),0)</f>
        <v/>
      </c>
      <c r="FW44" s="402">
        <f>IF(AND(175&gt;=$NR$44,175&lt;=$NS$44),IF($NP$44="Single_Point",IF(175=$NR$44,$NN$44,0),IF($NP$44="Bell_Curve",$NN$44*(175-$NR$44+1)*($NS$44-175+1)/$NU$44,$NN$44/$NT$44)),0)</f>
        <v/>
      </c>
      <c r="FX44" s="402">
        <f>IF(AND(176&gt;=$NR$44,176&lt;=$NS$44),IF($NP$44="Single_Point",IF(176=$NR$44,$NN$44,0),IF($NP$44="Bell_Curve",$NN$44*(176-$NR$44+1)*($NS$44-176+1)/$NU$44,$NN$44/$NT$44)),0)</f>
        <v/>
      </c>
      <c r="FY44" s="402">
        <f>IF(AND(177&gt;=$NR$44,177&lt;=$NS$44),IF($NP$44="Single_Point",IF(177=$NR$44,$NN$44,0),IF($NP$44="Bell_Curve",$NN$44*(177-$NR$44+1)*($NS$44-177+1)/$NU$44,$NN$44/$NT$44)),0)</f>
        <v/>
      </c>
      <c r="FZ44" s="402">
        <f>IF(AND(178&gt;=$NR$44,178&lt;=$NS$44),IF($NP$44="Single_Point",IF(178=$NR$44,$NN$44,0),IF($NP$44="Bell_Curve",$NN$44*(178-$NR$44+1)*($NS$44-178+1)/$NU$44,$NN$44/$NT$44)),0)</f>
        <v/>
      </c>
      <c r="GA44" s="402">
        <f>IF(AND(179&gt;=$NR$44,179&lt;=$NS$44),IF($NP$44="Single_Point",IF(179=$NR$44,$NN$44,0),IF($NP$44="Bell_Curve",$NN$44*(179-$NR$44+1)*($NS$44-179+1)/$NU$44,$NN$44/$NT$44)),0)</f>
        <v/>
      </c>
      <c r="GB44" s="402">
        <f>IF(AND(180&gt;=$NR$44,180&lt;=$NS$44),IF($NP$44="Single_Point",IF(180=$NR$44,$NN$44,0),IF($NP$44="Bell_Curve",$NN$44*(180-$NR$44+1)*($NS$44-180+1)/$NU$44,$NN$44/$NT$44)),0)</f>
        <v/>
      </c>
      <c r="GC44" s="402">
        <f>IF(AND(181&gt;=$NR$44,181&lt;=$NS$44),IF($NP$44="Single_Point",IF(181=$NR$44,$NN$44,0),IF($NP$44="Bell_Curve",$NN$44*(181-$NR$44+1)*($NS$44-181+1)/$NU$44,$NN$44/$NT$44)),0)</f>
        <v/>
      </c>
      <c r="GD44" s="402">
        <f>IF(AND(182&gt;=$NR$44,182&lt;=$NS$44),IF($NP$44="Single_Point",IF(182=$NR$44,$NN$44,0),IF($NP$44="Bell_Curve",$NN$44*(182-$NR$44+1)*($NS$44-182+1)/$NU$44,$NN$44/$NT$44)),0)</f>
        <v/>
      </c>
      <c r="GE44" s="402">
        <f>IF(AND(183&gt;=$NR$44,183&lt;=$NS$44),IF($NP$44="Single_Point",IF(183=$NR$44,$NN$44,0),IF($NP$44="Bell_Curve",$NN$44*(183-$NR$44+1)*($NS$44-183+1)/$NU$44,$NN$44/$NT$44)),0)</f>
        <v/>
      </c>
      <c r="GF44" s="402">
        <f>IF(AND(184&gt;=$NR$44,184&lt;=$NS$44),IF($NP$44="Single_Point",IF(184=$NR$44,$NN$44,0),IF($NP$44="Bell_Curve",$NN$44*(184-$NR$44+1)*($NS$44-184+1)/$NU$44,$NN$44/$NT$44)),0)</f>
        <v/>
      </c>
      <c r="GG44" s="402">
        <f>IF(AND(185&gt;=$NR$44,185&lt;=$NS$44),IF($NP$44="Single_Point",IF(185=$NR$44,$NN$44,0),IF($NP$44="Bell_Curve",$NN$44*(185-$NR$44+1)*($NS$44-185+1)/$NU$44,$NN$44/$NT$44)),0)</f>
        <v/>
      </c>
      <c r="GH44" s="402">
        <f>IF(AND(186&gt;=$NR$44,186&lt;=$NS$44),IF($NP$44="Single_Point",IF(186=$NR$44,$NN$44,0),IF($NP$44="Bell_Curve",$NN$44*(186-$NR$44+1)*($NS$44-186+1)/$NU$44,$NN$44/$NT$44)),0)</f>
        <v/>
      </c>
      <c r="GI44" s="402">
        <f>IF(AND(187&gt;=$NR$44,187&lt;=$NS$44),IF($NP$44="Single_Point",IF(187=$NR$44,$NN$44,0),IF($NP$44="Bell_Curve",$NN$44*(187-$NR$44+1)*($NS$44-187+1)/$NU$44,$NN$44/$NT$44)),0)</f>
        <v/>
      </c>
      <c r="GJ44" s="402">
        <f>IF(AND(188&gt;=$NR$44,188&lt;=$NS$44),IF($NP$44="Single_Point",IF(188=$NR$44,$NN$44,0),IF($NP$44="Bell_Curve",$NN$44*(188-$NR$44+1)*($NS$44-188+1)/$NU$44,$NN$44/$NT$44)),0)</f>
        <v/>
      </c>
      <c r="GK44" s="402">
        <f>IF(AND(189&gt;=$NR$44,189&lt;=$NS$44),IF($NP$44="Single_Point",IF(189=$NR$44,$NN$44,0),IF($NP$44="Bell_Curve",$NN$44*(189-$NR$44+1)*($NS$44-189+1)/$NU$44,$NN$44/$NT$44)),0)</f>
        <v/>
      </c>
      <c r="GL44" s="402">
        <f>IF(AND(190&gt;=$NR$44,190&lt;=$NS$44),IF($NP$44="Single_Point",IF(190=$NR$44,$NN$44,0),IF($NP$44="Bell_Curve",$NN$44*(190-$NR$44+1)*($NS$44-190+1)/$NU$44,$NN$44/$NT$44)),0)</f>
        <v/>
      </c>
      <c r="GM44" s="402">
        <f>IF(AND(191&gt;=$NR$44,191&lt;=$NS$44),IF($NP$44="Single_Point",IF(191=$NR$44,$NN$44,0),IF($NP$44="Bell_Curve",$NN$44*(191-$NR$44+1)*($NS$44-191+1)/$NU$44,$NN$44/$NT$44)),0)</f>
        <v/>
      </c>
      <c r="GN44" s="402">
        <f>IF(AND(192&gt;=$NR$44,192&lt;=$NS$44),IF($NP$44="Single_Point",IF(192=$NR$44,$NN$44,0),IF($NP$44="Bell_Curve",$NN$44*(192-$NR$44+1)*($NS$44-192+1)/$NU$44,$NN$44/$NT$44)),0)</f>
        <v/>
      </c>
      <c r="GO44" s="402">
        <f>IF(AND(193&gt;=$NR$44,193&lt;=$NS$44),IF($NP$44="Single_Point",IF(193=$NR$44,$NN$44,0),IF($NP$44="Bell_Curve",$NN$44*(193-$NR$44+1)*($NS$44-193+1)/$NU$44,$NN$44/$NT$44)),0)</f>
        <v/>
      </c>
      <c r="GP44" s="402">
        <f>IF(AND(194&gt;=$NR$44,194&lt;=$NS$44),IF($NP$44="Single_Point",IF(194=$NR$44,$NN$44,0),IF($NP$44="Bell_Curve",$NN$44*(194-$NR$44+1)*($NS$44-194+1)/$NU$44,$NN$44/$NT$44)),0)</f>
        <v/>
      </c>
      <c r="GQ44" s="402">
        <f>IF(AND(195&gt;=$NR$44,195&lt;=$NS$44),IF($NP$44="Single_Point",IF(195=$NR$44,$NN$44,0),IF($NP$44="Bell_Curve",$NN$44*(195-$NR$44+1)*($NS$44-195+1)/$NU$44,$NN$44/$NT$44)),0)</f>
        <v/>
      </c>
      <c r="GR44" s="402">
        <f>IF(AND(196&gt;=$NR$44,196&lt;=$NS$44),IF($NP$44="Single_Point",IF(196=$NR$44,$NN$44,0),IF($NP$44="Bell_Curve",$NN$44*(196-$NR$44+1)*($NS$44-196+1)/$NU$44,$NN$44/$NT$44)),0)</f>
        <v/>
      </c>
      <c r="GS44" s="402">
        <f>IF(AND(197&gt;=$NR$44,197&lt;=$NS$44),IF($NP$44="Single_Point",IF(197=$NR$44,$NN$44,0),IF($NP$44="Bell_Curve",$NN$44*(197-$NR$44+1)*($NS$44-197+1)/$NU$44,$NN$44/$NT$44)),0)</f>
        <v/>
      </c>
      <c r="GT44" s="402">
        <f>IF(AND(198&gt;=$NR$44,198&lt;=$NS$44),IF($NP$44="Single_Point",IF(198=$NR$44,$NN$44,0),IF($NP$44="Bell_Curve",$NN$44*(198-$NR$44+1)*($NS$44-198+1)/$NU$44,$NN$44/$NT$44)),0)</f>
        <v/>
      </c>
      <c r="GU44" s="402">
        <f>IF(AND(199&gt;=$NR$44,199&lt;=$NS$44),IF($NP$44="Single_Point",IF(199=$NR$44,$NN$44,0),IF($NP$44="Bell_Curve",$NN$44*(199-$NR$44+1)*($NS$44-199+1)/$NU$44,$NN$44/$NT$44)),0)</f>
        <v/>
      </c>
      <c r="GV44" s="402">
        <f>IF(AND(200&gt;=$NR$44,200&lt;=$NS$44),IF($NP$44="Single_Point",IF(200=$NR$44,$NN$44,0),IF($NP$44="Bell_Curve",$NN$44*(200-$NR$44+1)*($NS$44-200+1)/$NU$44,$NN$44/$NT$44)),0)</f>
        <v/>
      </c>
      <c r="GW44" s="402">
        <f>IF(AND(201&gt;=$NR$44,201&lt;=$NS$44),IF($NP$44="Single_Point",IF(201=$NR$44,$NN$44,0),IF($NP$44="Bell_Curve",$NN$44*(201-$NR$44+1)*($NS$44-201+1)/$NU$44,$NN$44/$NT$44)),0)</f>
        <v/>
      </c>
      <c r="GX44" s="402">
        <f>IF(AND(202&gt;=$NR$44,202&lt;=$NS$44),IF($NP$44="Single_Point",IF(202=$NR$44,$NN$44,0),IF($NP$44="Bell_Curve",$NN$44*(202-$NR$44+1)*($NS$44-202+1)/$NU$44,$NN$44/$NT$44)),0)</f>
        <v/>
      </c>
      <c r="GY44" s="402">
        <f>IF(AND(203&gt;=$NR$44,203&lt;=$NS$44),IF($NP$44="Single_Point",IF(203=$NR$44,$NN$44,0),IF($NP$44="Bell_Curve",$NN$44*(203-$NR$44+1)*($NS$44-203+1)/$NU$44,$NN$44/$NT$44)),0)</f>
        <v/>
      </c>
      <c r="GZ44" s="402">
        <f>IF(AND(204&gt;=$NR$44,204&lt;=$NS$44),IF($NP$44="Single_Point",IF(204=$NR$44,$NN$44,0),IF($NP$44="Bell_Curve",$NN$44*(204-$NR$44+1)*($NS$44-204+1)/$NU$44,$NN$44/$NT$44)),0)</f>
        <v/>
      </c>
      <c r="HA44" s="402">
        <f>IF(AND(205&gt;=$NR$44,205&lt;=$NS$44),IF($NP$44="Single_Point",IF(205=$NR$44,$NN$44,0),IF($NP$44="Bell_Curve",$NN$44*(205-$NR$44+1)*($NS$44-205+1)/$NU$44,$NN$44/$NT$44)),0)</f>
        <v/>
      </c>
      <c r="HB44" s="402">
        <f>IF(AND(206&gt;=$NR$44,206&lt;=$NS$44),IF($NP$44="Single_Point",IF(206=$NR$44,$NN$44,0),IF($NP$44="Bell_Curve",$NN$44*(206-$NR$44+1)*($NS$44-206+1)/$NU$44,$NN$44/$NT$44)),0)</f>
        <v/>
      </c>
      <c r="HC44" s="402">
        <f>IF(AND(207&gt;=$NR$44,207&lt;=$NS$44),IF($NP$44="Single_Point",IF(207=$NR$44,$NN$44,0),IF($NP$44="Bell_Curve",$NN$44*(207-$NR$44+1)*($NS$44-207+1)/$NU$44,$NN$44/$NT$44)),0)</f>
        <v/>
      </c>
      <c r="HD44" s="402">
        <f>IF(AND(208&gt;=$NR$44,208&lt;=$NS$44),IF($NP$44="Single_Point",IF(208=$NR$44,$NN$44,0),IF($NP$44="Bell_Curve",$NN$44*(208-$NR$44+1)*($NS$44-208+1)/$NU$44,$NN$44/$NT$44)),0)</f>
        <v/>
      </c>
      <c r="HE44" s="402">
        <f>IF(AND(209&gt;=$NR$44,209&lt;=$NS$44),IF($NP$44="Single_Point",IF(209=$NR$44,$NN$44,0),IF($NP$44="Bell_Curve",$NN$44*(209-$NR$44+1)*($NS$44-209+1)/$NU$44,$NN$44/$NT$44)),0)</f>
        <v/>
      </c>
      <c r="HF44" s="402">
        <f>IF(AND(210&gt;=$NR$44,210&lt;=$NS$44),IF($NP$44="Single_Point",IF(210=$NR$44,$NN$44,0),IF($NP$44="Bell_Curve",$NN$44*(210-$NR$44+1)*($NS$44-210+1)/$NU$44,$NN$44/$NT$44)),0)</f>
        <v/>
      </c>
      <c r="HG44" s="402">
        <f>IF(AND(211&gt;=$NR$44,211&lt;=$NS$44),IF($NP$44="Single_Point",IF(211=$NR$44,$NN$44,0),IF($NP$44="Bell_Curve",$NN$44*(211-$NR$44+1)*($NS$44-211+1)/$NU$44,$NN$44/$NT$44)),0)</f>
        <v/>
      </c>
      <c r="HH44" s="402">
        <f>IF(AND(212&gt;=$NR$44,212&lt;=$NS$44),IF($NP$44="Single_Point",IF(212=$NR$44,$NN$44,0),IF($NP$44="Bell_Curve",$NN$44*(212-$NR$44+1)*($NS$44-212+1)/$NU$44,$NN$44/$NT$44)),0)</f>
        <v/>
      </c>
      <c r="HI44" s="402">
        <f>IF(AND(213&gt;=$NR$44,213&lt;=$NS$44),IF($NP$44="Single_Point",IF(213=$NR$44,$NN$44,0),IF($NP$44="Bell_Curve",$NN$44*(213-$NR$44+1)*($NS$44-213+1)/$NU$44,$NN$44/$NT$44)),0)</f>
        <v/>
      </c>
      <c r="HJ44" s="402">
        <f>IF(AND(214&gt;=$NR$44,214&lt;=$NS$44),IF($NP$44="Single_Point",IF(214=$NR$44,$NN$44,0),IF($NP$44="Bell_Curve",$NN$44*(214-$NR$44+1)*($NS$44-214+1)/$NU$44,$NN$44/$NT$44)),0)</f>
        <v/>
      </c>
      <c r="HK44" s="402">
        <f>IF(AND(215&gt;=$NR$44,215&lt;=$NS$44),IF($NP$44="Single_Point",IF(215=$NR$44,$NN$44,0),IF($NP$44="Bell_Curve",$NN$44*(215-$NR$44+1)*($NS$44-215+1)/$NU$44,$NN$44/$NT$44)),0)</f>
        <v/>
      </c>
      <c r="HL44" s="402">
        <f>IF(AND(216&gt;=$NR$44,216&lt;=$NS$44),IF($NP$44="Single_Point",IF(216=$NR$44,$NN$44,0),IF($NP$44="Bell_Curve",$NN$44*(216-$NR$44+1)*($NS$44-216+1)/$NU$44,$NN$44/$NT$44)),0)</f>
        <v/>
      </c>
      <c r="HM44" s="402">
        <f>IF(AND(217&gt;=$NR$44,217&lt;=$NS$44),IF($NP$44="Single_Point",IF(217=$NR$44,$NN$44,0),IF($NP$44="Bell_Curve",$NN$44*(217-$NR$44+1)*($NS$44-217+1)/$NU$44,$NN$44/$NT$44)),0)</f>
        <v/>
      </c>
      <c r="HN44" s="402">
        <f>IF(AND(218&gt;=$NR$44,218&lt;=$NS$44),IF($NP$44="Single_Point",IF(218=$NR$44,$NN$44,0),IF($NP$44="Bell_Curve",$NN$44*(218-$NR$44+1)*($NS$44-218+1)/$NU$44,$NN$44/$NT$44)),0)</f>
        <v/>
      </c>
      <c r="HO44" s="402">
        <f>IF(AND(219&gt;=$NR$44,219&lt;=$NS$44),IF($NP$44="Single_Point",IF(219=$NR$44,$NN$44,0),IF($NP$44="Bell_Curve",$NN$44*(219-$NR$44+1)*($NS$44-219+1)/$NU$44,$NN$44/$NT$44)),0)</f>
        <v/>
      </c>
      <c r="HP44" s="402">
        <f>IF(AND(220&gt;=$NR$44,220&lt;=$NS$44),IF($NP$44="Single_Point",IF(220=$NR$44,$NN$44,0),IF($NP$44="Bell_Curve",$NN$44*(220-$NR$44+1)*($NS$44-220+1)/$NU$44,$NN$44/$NT$44)),0)</f>
        <v/>
      </c>
      <c r="HQ44" s="402">
        <f>IF(AND(221&gt;=$NR$44,221&lt;=$NS$44),IF($NP$44="Single_Point",IF(221=$NR$44,$NN$44,0),IF($NP$44="Bell_Curve",$NN$44*(221-$NR$44+1)*($NS$44-221+1)/$NU$44,$NN$44/$NT$44)),0)</f>
        <v/>
      </c>
      <c r="HR44" s="402">
        <f>IF(AND(222&gt;=$NR$44,222&lt;=$NS$44),IF($NP$44="Single_Point",IF(222=$NR$44,$NN$44,0),IF($NP$44="Bell_Curve",$NN$44*(222-$NR$44+1)*($NS$44-222+1)/$NU$44,$NN$44/$NT$44)),0)</f>
        <v/>
      </c>
      <c r="HS44" s="402">
        <f>IF(AND(223&gt;=$NR$44,223&lt;=$NS$44),IF($NP$44="Single_Point",IF(223=$NR$44,$NN$44,0),IF($NP$44="Bell_Curve",$NN$44*(223-$NR$44+1)*($NS$44-223+1)/$NU$44,$NN$44/$NT$44)),0)</f>
        <v/>
      </c>
      <c r="HT44" s="402">
        <f>IF(AND(224&gt;=$NR$44,224&lt;=$NS$44),IF($NP$44="Single_Point",IF(224=$NR$44,$NN$44,0),IF($NP$44="Bell_Curve",$NN$44*(224-$NR$44+1)*($NS$44-224+1)/$NU$44,$NN$44/$NT$44)),0)</f>
        <v/>
      </c>
      <c r="HU44" s="402">
        <f>IF(AND(225&gt;=$NR$44,225&lt;=$NS$44),IF($NP$44="Single_Point",IF(225=$NR$44,$NN$44,0),IF($NP$44="Bell_Curve",$NN$44*(225-$NR$44+1)*($NS$44-225+1)/$NU$44,$NN$44/$NT$44)),0)</f>
        <v/>
      </c>
      <c r="HV44" s="402">
        <f>IF(AND(226&gt;=$NR$44,226&lt;=$NS$44),IF($NP$44="Single_Point",IF(226=$NR$44,$NN$44,0),IF($NP$44="Bell_Curve",$NN$44*(226-$NR$44+1)*($NS$44-226+1)/$NU$44,$NN$44/$NT$44)),0)</f>
        <v/>
      </c>
      <c r="HW44" s="402">
        <f>IF(AND(227&gt;=$NR$44,227&lt;=$NS$44),IF($NP$44="Single_Point",IF(227=$NR$44,$NN$44,0),IF($NP$44="Bell_Curve",$NN$44*(227-$NR$44+1)*($NS$44-227+1)/$NU$44,$NN$44/$NT$44)),0)</f>
        <v/>
      </c>
      <c r="HX44" s="402">
        <f>IF(AND(228&gt;=$NR$44,228&lt;=$NS$44),IF($NP$44="Single_Point",IF(228=$NR$44,$NN$44,0),IF($NP$44="Bell_Curve",$NN$44*(228-$NR$44+1)*($NS$44-228+1)/$NU$44,$NN$44/$NT$44)),0)</f>
        <v/>
      </c>
      <c r="HY44" s="402">
        <f>IF(AND(229&gt;=$NR$44,229&lt;=$NS$44),IF($NP$44="Single_Point",IF(229=$NR$44,$NN$44,0),IF($NP$44="Bell_Curve",$NN$44*(229-$NR$44+1)*($NS$44-229+1)/$NU$44,$NN$44/$NT$44)),0)</f>
        <v/>
      </c>
      <c r="HZ44" s="402">
        <f>IF(AND(230&gt;=$NR$44,230&lt;=$NS$44),IF($NP$44="Single_Point",IF(230=$NR$44,$NN$44,0),IF($NP$44="Bell_Curve",$NN$44*(230-$NR$44+1)*($NS$44-230+1)/$NU$44,$NN$44/$NT$44)),0)</f>
        <v/>
      </c>
      <c r="IA44" s="402">
        <f>IF(AND(231&gt;=$NR$44,231&lt;=$NS$44),IF($NP$44="Single_Point",IF(231=$NR$44,$NN$44,0),IF($NP$44="Bell_Curve",$NN$44*(231-$NR$44+1)*($NS$44-231+1)/$NU$44,$NN$44/$NT$44)),0)</f>
        <v/>
      </c>
      <c r="IB44" s="402">
        <f>IF(AND(232&gt;=$NR$44,232&lt;=$NS$44),IF($NP$44="Single_Point",IF(232=$NR$44,$NN$44,0),IF($NP$44="Bell_Curve",$NN$44*(232-$NR$44+1)*($NS$44-232+1)/$NU$44,$NN$44/$NT$44)),0)</f>
        <v/>
      </c>
      <c r="IC44" s="402">
        <f>IF(AND(233&gt;=$NR$44,233&lt;=$NS$44),IF($NP$44="Single_Point",IF(233=$NR$44,$NN$44,0),IF($NP$44="Bell_Curve",$NN$44*(233-$NR$44+1)*($NS$44-233+1)/$NU$44,$NN$44/$NT$44)),0)</f>
        <v/>
      </c>
      <c r="ID44" s="402">
        <f>IF(AND(234&gt;=$NR$44,234&lt;=$NS$44),IF($NP$44="Single_Point",IF(234=$NR$44,$NN$44,0),IF($NP$44="Bell_Curve",$NN$44*(234-$NR$44+1)*($NS$44-234+1)/$NU$44,$NN$44/$NT$44)),0)</f>
        <v/>
      </c>
      <c r="IE44" s="402">
        <f>IF(AND(235&gt;=$NR$44,235&lt;=$NS$44),IF($NP$44="Single_Point",IF(235=$NR$44,$NN$44,0),IF($NP$44="Bell_Curve",$NN$44*(235-$NR$44+1)*($NS$44-235+1)/$NU$44,$NN$44/$NT$44)),0)</f>
        <v/>
      </c>
      <c r="IF44" s="402">
        <f>IF(AND(236&gt;=$NR$44,236&lt;=$NS$44),IF($NP$44="Single_Point",IF(236=$NR$44,$NN$44,0),IF($NP$44="Bell_Curve",$NN$44*(236-$NR$44+1)*($NS$44-236+1)/$NU$44,$NN$44/$NT$44)),0)</f>
        <v/>
      </c>
      <c r="IG44" s="402">
        <f>IF(AND(237&gt;=$NR$44,237&lt;=$NS$44),IF($NP$44="Single_Point",IF(237=$NR$44,$NN$44,0),IF($NP$44="Bell_Curve",$NN$44*(237-$NR$44+1)*($NS$44-237+1)/$NU$44,$NN$44/$NT$44)),0)</f>
        <v/>
      </c>
      <c r="IH44" s="402">
        <f>IF(AND(238&gt;=$NR$44,238&lt;=$NS$44),IF($NP$44="Single_Point",IF(238=$NR$44,$NN$44,0),IF($NP$44="Bell_Curve",$NN$44*(238-$NR$44+1)*($NS$44-238+1)/$NU$44,$NN$44/$NT$44)),0)</f>
        <v/>
      </c>
      <c r="II44" s="402">
        <f>IF(AND(239&gt;=$NR$44,239&lt;=$NS$44),IF($NP$44="Single_Point",IF(239=$NR$44,$NN$44,0),IF($NP$44="Bell_Curve",$NN$44*(239-$NR$44+1)*($NS$44-239+1)/$NU$44,$NN$44/$NT$44)),0)</f>
        <v/>
      </c>
      <c r="IJ44" s="402">
        <f>IF(AND(240&gt;=$NR$44,240&lt;=$NS$44),IF($NP$44="Single_Point",IF(240=$NR$44,$NN$44,0),IF($NP$44="Bell_Curve",$NN$44*(240-$NR$44+1)*($NS$44-240+1)/$NU$44,$NN$44/$NT$44)),0)</f>
        <v/>
      </c>
      <c r="IK44" s="402">
        <f>IF(AND(241&gt;=$NR$44,241&lt;=$NS$44),IF($NP$44="Single_Point",IF(241=$NR$44,$NN$44,0),IF($NP$44="Bell_Curve",$NN$44*(241-$NR$44+1)*($NS$44-241+1)/$NU$44,$NN$44/$NT$44)),0)</f>
        <v/>
      </c>
      <c r="IL44" s="402">
        <f>IF(AND(242&gt;=$NR$44,242&lt;=$NS$44),IF($NP$44="Single_Point",IF(242=$NR$44,$NN$44,0),IF($NP$44="Bell_Curve",$NN$44*(242-$NR$44+1)*($NS$44-242+1)/$NU$44,$NN$44/$NT$44)),0)</f>
        <v/>
      </c>
      <c r="IM44" s="402">
        <f>IF(AND(243&gt;=$NR$44,243&lt;=$NS$44),IF($NP$44="Single_Point",IF(243=$NR$44,$NN$44,0),IF($NP$44="Bell_Curve",$NN$44*(243-$NR$44+1)*($NS$44-243+1)/$NU$44,$NN$44/$NT$44)),0)</f>
        <v/>
      </c>
      <c r="IN44" s="402">
        <f>IF(AND(244&gt;=$NR$44,244&lt;=$NS$44),IF($NP$44="Single_Point",IF(244=$NR$44,$NN$44,0),IF($NP$44="Bell_Curve",$NN$44*(244-$NR$44+1)*($NS$44-244+1)/$NU$44,$NN$44/$NT$44)),0)</f>
        <v/>
      </c>
      <c r="IO44" s="402">
        <f>IF(AND(245&gt;=$NR$44,245&lt;=$NS$44),IF($NP$44="Single_Point",IF(245=$NR$44,$NN$44,0),IF($NP$44="Bell_Curve",$NN$44*(245-$NR$44+1)*($NS$44-245+1)/$NU$44,$NN$44/$NT$44)),0)</f>
        <v/>
      </c>
      <c r="IP44" s="402">
        <f>IF(AND(246&gt;=$NR$44,246&lt;=$NS$44),IF($NP$44="Single_Point",IF(246=$NR$44,$NN$44,0),IF($NP$44="Bell_Curve",$NN$44*(246-$NR$44+1)*($NS$44-246+1)/$NU$44,$NN$44/$NT$44)),0)</f>
        <v/>
      </c>
      <c r="IQ44" s="402">
        <f>IF(AND(247&gt;=$NR$44,247&lt;=$NS$44),IF($NP$44="Single_Point",IF(247=$NR$44,$NN$44,0),IF($NP$44="Bell_Curve",$NN$44*(247-$NR$44+1)*($NS$44-247+1)/$NU$44,$NN$44/$NT$44)),0)</f>
        <v/>
      </c>
      <c r="IR44" s="402">
        <f>IF(AND(248&gt;=$NR$44,248&lt;=$NS$44),IF($NP$44="Single_Point",IF(248=$NR$44,$NN$44,0),IF($NP$44="Bell_Curve",$NN$44*(248-$NR$44+1)*($NS$44-248+1)/$NU$44,$NN$44/$NT$44)),0)</f>
        <v/>
      </c>
      <c r="IS44" s="402">
        <f>IF(AND(249&gt;=$NR$44,249&lt;=$NS$44),IF($NP$44="Single_Point",IF(249=$NR$44,$NN$44,0),IF($NP$44="Bell_Curve",$NN$44*(249-$NR$44+1)*($NS$44-249+1)/$NU$44,$NN$44/$NT$44)),0)</f>
        <v/>
      </c>
      <c r="IT44" s="402">
        <f>IF(AND(250&gt;=$NR$44,250&lt;=$NS$44),IF($NP$44="Single_Point",IF(250=$NR$44,$NN$44,0),IF($NP$44="Bell_Curve",$NN$44*(250-$NR$44+1)*($NS$44-250+1)/$NU$44,$NN$44/$NT$44)),0)</f>
        <v/>
      </c>
      <c r="IU44" s="402">
        <f>IF(AND(251&gt;=$NR$44,251&lt;=$NS$44),IF($NP$44="Single_Point",IF(251=$NR$44,$NN$44,0),IF($NP$44="Bell_Curve",$NN$44*(251-$NR$44+1)*($NS$44-251+1)/$NU$44,$NN$44/$NT$44)),0)</f>
        <v/>
      </c>
      <c r="IV44" s="402">
        <f>IF(AND(252&gt;=$NR$44,252&lt;=$NS$44),IF($NP$44="Single_Point",IF(252=$NR$44,$NN$44,0),IF($NP$44="Bell_Curve",$NN$44*(252-$NR$44+1)*($NS$44-252+1)/$NU$44,$NN$44/$NT$44)),0)</f>
        <v/>
      </c>
      <c r="IW44" s="402">
        <f>IF(AND(253&gt;=$NR$44,253&lt;=$NS$44),IF($NP$44="Single_Point",IF(253=$NR$44,$NN$44,0),IF($NP$44="Bell_Curve",$NN$44*(253-$NR$44+1)*($NS$44-253+1)/$NU$44,$NN$44/$NT$44)),0)</f>
        <v/>
      </c>
      <c r="IX44" s="402">
        <f>IF(AND(254&gt;=$NR$44,254&lt;=$NS$44),IF($NP$44="Single_Point",IF(254=$NR$44,$NN$44,0),IF($NP$44="Bell_Curve",$NN$44*(254-$NR$44+1)*($NS$44-254+1)/$NU$44,$NN$44/$NT$44)),0)</f>
        <v/>
      </c>
      <c r="IY44" s="402">
        <f>IF(AND(255&gt;=$NR$44,255&lt;=$NS$44),IF($NP$44="Single_Point",IF(255=$NR$44,$NN$44,0),IF($NP$44="Bell_Curve",$NN$44*(255-$NR$44+1)*($NS$44-255+1)/$NU$44,$NN$44/$NT$44)),0)</f>
        <v/>
      </c>
      <c r="IZ44" s="402">
        <f>IF(AND(256&gt;=$NR$44,256&lt;=$NS$44),IF($NP$44="Single_Point",IF(256=$NR$44,$NN$44,0),IF($NP$44="Bell_Curve",$NN$44*(256-$NR$44+1)*($NS$44-256+1)/$NU$44,$NN$44/$NT$44)),0)</f>
        <v/>
      </c>
      <c r="JA44" s="402">
        <f>IF(AND(257&gt;=$NR$44,257&lt;=$NS$44),IF($NP$44="Single_Point",IF(257=$NR$44,$NN$44,0),IF($NP$44="Bell_Curve",$NN$44*(257-$NR$44+1)*($NS$44-257+1)/$NU$44,$NN$44/$NT$44)),0)</f>
        <v/>
      </c>
      <c r="JB44" s="402">
        <f>IF(AND(258&gt;=$NR$44,258&lt;=$NS$44),IF($NP$44="Single_Point",IF(258=$NR$44,$NN$44,0),IF($NP$44="Bell_Curve",$NN$44*(258-$NR$44+1)*($NS$44-258+1)/$NU$44,$NN$44/$NT$44)),0)</f>
        <v/>
      </c>
      <c r="JC44" s="402">
        <f>IF(AND(259&gt;=$NR$44,259&lt;=$NS$44),IF($NP$44="Single_Point",IF(259=$NR$44,$NN$44,0),IF($NP$44="Bell_Curve",$NN$44*(259-$NR$44+1)*($NS$44-259+1)/$NU$44,$NN$44/$NT$44)),0)</f>
        <v/>
      </c>
      <c r="JD44" s="402">
        <f>IF(AND(260&gt;=$NR$44,260&lt;=$NS$44),IF($NP$44="Single_Point",IF(260=$NR$44,$NN$44,0),IF($NP$44="Bell_Curve",$NN$44*(260-$NR$44+1)*($NS$44-260+1)/$NU$44,$NN$44/$NT$44)),0)</f>
        <v/>
      </c>
      <c r="JE44" s="402">
        <f>IF(AND(261&gt;=$NR$44,261&lt;=$NS$44),IF($NP$44="Single_Point",IF(261=$NR$44,$NN$44,0),IF($NP$44="Bell_Curve",$NN$44*(261-$NR$44+1)*($NS$44-261+1)/$NU$44,$NN$44/$NT$44)),0)</f>
        <v/>
      </c>
      <c r="JF44" s="402">
        <f>IF(AND(262&gt;=$NR$44,262&lt;=$NS$44),IF($NP$44="Single_Point",IF(262=$NR$44,$NN$44,0),IF($NP$44="Bell_Curve",$NN$44*(262-$NR$44+1)*($NS$44-262+1)/$NU$44,$NN$44/$NT$44)),0)</f>
        <v/>
      </c>
      <c r="JG44" s="402">
        <f>IF(AND(263&gt;=$NR$44,263&lt;=$NS$44),IF($NP$44="Single_Point",IF(263=$NR$44,$NN$44,0),IF($NP$44="Bell_Curve",$NN$44*(263-$NR$44+1)*($NS$44-263+1)/$NU$44,$NN$44/$NT$44)),0)</f>
        <v/>
      </c>
      <c r="JH44" s="402">
        <f>IF(AND(264&gt;=$NR$44,264&lt;=$NS$44),IF($NP$44="Single_Point",IF(264=$NR$44,$NN$44,0),IF($NP$44="Bell_Curve",$NN$44*(264-$NR$44+1)*($NS$44-264+1)/$NU$44,$NN$44/$NT$44)),0)</f>
        <v/>
      </c>
      <c r="JI44" s="402">
        <f>IF(AND(265&gt;=$NR$44,265&lt;=$NS$44),IF($NP$44="Single_Point",IF(265=$NR$44,$NN$44,0),IF($NP$44="Bell_Curve",$NN$44*(265-$NR$44+1)*($NS$44-265+1)/$NU$44,$NN$44/$NT$44)),0)</f>
        <v/>
      </c>
      <c r="JJ44" s="402">
        <f>IF(AND(266&gt;=$NR$44,266&lt;=$NS$44),IF($NP$44="Single_Point",IF(266=$NR$44,$NN$44,0),IF($NP$44="Bell_Curve",$NN$44*(266-$NR$44+1)*($NS$44-266+1)/$NU$44,$NN$44/$NT$44)),0)</f>
        <v/>
      </c>
      <c r="JK44" s="402">
        <f>IF(AND(267&gt;=$NR$44,267&lt;=$NS$44),IF($NP$44="Single_Point",IF(267=$NR$44,$NN$44,0),IF($NP$44="Bell_Curve",$NN$44*(267-$NR$44+1)*($NS$44-267+1)/$NU$44,$NN$44/$NT$44)),0)</f>
        <v/>
      </c>
      <c r="JL44" s="402">
        <f>IF(AND(268&gt;=$NR$44,268&lt;=$NS$44),IF($NP$44="Single_Point",IF(268=$NR$44,$NN$44,0),IF($NP$44="Bell_Curve",$NN$44*(268-$NR$44+1)*($NS$44-268+1)/$NU$44,$NN$44/$NT$44)),0)</f>
        <v/>
      </c>
      <c r="JM44" s="402">
        <f>IF(AND(269&gt;=$NR$44,269&lt;=$NS$44),IF($NP$44="Single_Point",IF(269=$NR$44,$NN$44,0),IF($NP$44="Bell_Curve",$NN$44*(269-$NR$44+1)*($NS$44-269+1)/$NU$44,$NN$44/$NT$44)),0)</f>
        <v/>
      </c>
      <c r="JN44" s="402">
        <f>IF(AND(270&gt;=$NR$44,270&lt;=$NS$44),IF($NP$44="Single_Point",IF(270=$NR$44,$NN$44,0),IF($NP$44="Bell_Curve",$NN$44*(270-$NR$44+1)*($NS$44-270+1)/$NU$44,$NN$44/$NT$44)),0)</f>
        <v/>
      </c>
      <c r="JO44" s="402">
        <f>IF(AND(271&gt;=$NR$44,271&lt;=$NS$44),IF($NP$44="Single_Point",IF(271=$NR$44,$NN$44,0),IF($NP$44="Bell_Curve",$NN$44*(271-$NR$44+1)*($NS$44-271+1)/$NU$44,$NN$44/$NT$44)),0)</f>
        <v/>
      </c>
      <c r="JP44" s="402">
        <f>IF(AND(272&gt;=$NR$44,272&lt;=$NS$44),IF($NP$44="Single_Point",IF(272=$NR$44,$NN$44,0),IF($NP$44="Bell_Curve",$NN$44*(272-$NR$44+1)*($NS$44-272+1)/$NU$44,$NN$44/$NT$44)),0)</f>
        <v/>
      </c>
      <c r="JQ44" s="402">
        <f>IF(AND(273&gt;=$NR$44,273&lt;=$NS$44),IF($NP$44="Single_Point",IF(273=$NR$44,$NN$44,0),IF($NP$44="Bell_Curve",$NN$44*(273-$NR$44+1)*($NS$44-273+1)/$NU$44,$NN$44/$NT$44)),0)</f>
        <v/>
      </c>
      <c r="JR44" s="402">
        <f>IF(AND(274&gt;=$NR$44,274&lt;=$NS$44),IF($NP$44="Single_Point",IF(274=$NR$44,$NN$44,0),IF($NP$44="Bell_Curve",$NN$44*(274-$NR$44+1)*($NS$44-274+1)/$NU$44,$NN$44/$NT$44)),0)</f>
        <v/>
      </c>
      <c r="JS44" s="402">
        <f>IF(AND(275&gt;=$NR$44,275&lt;=$NS$44),IF($NP$44="Single_Point",IF(275=$NR$44,$NN$44,0),IF($NP$44="Bell_Curve",$NN$44*(275-$NR$44+1)*($NS$44-275+1)/$NU$44,$NN$44/$NT$44)),0)</f>
        <v/>
      </c>
      <c r="JT44" s="402">
        <f>IF(AND(276&gt;=$NR$44,276&lt;=$NS$44),IF($NP$44="Single_Point",IF(276=$NR$44,$NN$44,0),IF($NP$44="Bell_Curve",$NN$44*(276-$NR$44+1)*($NS$44-276+1)/$NU$44,$NN$44/$NT$44)),0)</f>
        <v/>
      </c>
      <c r="JU44" s="402">
        <f>IF(AND(277&gt;=$NR$44,277&lt;=$NS$44),IF($NP$44="Single_Point",IF(277=$NR$44,$NN$44,0),IF($NP$44="Bell_Curve",$NN$44*(277-$NR$44+1)*($NS$44-277+1)/$NU$44,$NN$44/$NT$44)),0)</f>
        <v/>
      </c>
      <c r="JV44" s="402">
        <f>IF(AND(278&gt;=$NR$44,278&lt;=$NS$44),IF($NP$44="Single_Point",IF(278=$NR$44,$NN$44,0),IF($NP$44="Bell_Curve",$NN$44*(278-$NR$44+1)*($NS$44-278+1)/$NU$44,$NN$44/$NT$44)),0)</f>
        <v/>
      </c>
      <c r="JW44" s="402">
        <f>IF(AND(279&gt;=$NR$44,279&lt;=$NS$44),IF($NP$44="Single_Point",IF(279=$NR$44,$NN$44,0),IF($NP$44="Bell_Curve",$NN$44*(279-$NR$44+1)*($NS$44-279+1)/$NU$44,$NN$44/$NT$44)),0)</f>
        <v/>
      </c>
      <c r="JX44" s="402">
        <f>IF(AND(280&gt;=$NR$44,280&lt;=$NS$44),IF($NP$44="Single_Point",IF(280=$NR$44,$NN$44,0),IF($NP$44="Bell_Curve",$NN$44*(280-$NR$44+1)*($NS$44-280+1)/$NU$44,$NN$44/$NT$44)),0)</f>
        <v/>
      </c>
      <c r="JY44" s="402">
        <f>IF(AND(281&gt;=$NR$44,281&lt;=$NS$44),IF($NP$44="Single_Point",IF(281=$NR$44,$NN$44,0),IF($NP$44="Bell_Curve",$NN$44*(281-$NR$44+1)*($NS$44-281+1)/$NU$44,$NN$44/$NT$44)),0)</f>
        <v/>
      </c>
      <c r="JZ44" s="402">
        <f>IF(AND(282&gt;=$NR$44,282&lt;=$NS$44),IF($NP$44="Single_Point",IF(282=$NR$44,$NN$44,0),IF($NP$44="Bell_Curve",$NN$44*(282-$NR$44+1)*($NS$44-282+1)/$NU$44,$NN$44/$NT$44)),0)</f>
        <v/>
      </c>
      <c r="KA44" s="402">
        <f>IF(AND(283&gt;=$NR$44,283&lt;=$NS$44),IF($NP$44="Single_Point",IF(283=$NR$44,$NN$44,0),IF($NP$44="Bell_Curve",$NN$44*(283-$NR$44+1)*($NS$44-283+1)/$NU$44,$NN$44/$NT$44)),0)</f>
        <v/>
      </c>
      <c r="KB44" s="402">
        <f>IF(AND(284&gt;=$NR$44,284&lt;=$NS$44),IF($NP$44="Single_Point",IF(284=$NR$44,$NN$44,0),IF($NP$44="Bell_Curve",$NN$44*(284-$NR$44+1)*($NS$44-284+1)/$NU$44,$NN$44/$NT$44)),0)</f>
        <v/>
      </c>
      <c r="KC44" s="402">
        <f>IF(AND(285&gt;=$NR$44,285&lt;=$NS$44),IF($NP$44="Single_Point",IF(285=$NR$44,$NN$44,0),IF($NP$44="Bell_Curve",$NN$44*(285-$NR$44+1)*($NS$44-285+1)/$NU$44,$NN$44/$NT$44)),0)</f>
        <v/>
      </c>
      <c r="KD44" s="402">
        <f>IF(AND(286&gt;=$NR$44,286&lt;=$NS$44),IF($NP$44="Single_Point",IF(286=$NR$44,$NN$44,0),IF($NP$44="Bell_Curve",$NN$44*(286-$NR$44+1)*($NS$44-286+1)/$NU$44,$NN$44/$NT$44)),0)</f>
        <v/>
      </c>
      <c r="KE44" s="402">
        <f>IF(AND(287&gt;=$NR$44,287&lt;=$NS$44),IF($NP$44="Single_Point",IF(287=$NR$44,$NN$44,0),IF($NP$44="Bell_Curve",$NN$44*(287-$NR$44+1)*($NS$44-287+1)/$NU$44,$NN$44/$NT$44)),0)</f>
        <v/>
      </c>
      <c r="KF44" s="402">
        <f>IF(AND(288&gt;=$NR$44,288&lt;=$NS$44),IF($NP$44="Single_Point",IF(288=$NR$44,$NN$44,0),IF($NP$44="Bell_Curve",$NN$44*(288-$NR$44+1)*($NS$44-288+1)/$NU$44,$NN$44/$NT$44)),0)</f>
        <v/>
      </c>
      <c r="KG44" s="402">
        <f>IF(AND(289&gt;=$NR$44,289&lt;=$NS$44),IF($NP$44="Single_Point",IF(289=$NR$44,$NN$44,0),IF($NP$44="Bell_Curve",$NN$44*(289-$NR$44+1)*($NS$44-289+1)/$NU$44,$NN$44/$NT$44)),0)</f>
        <v/>
      </c>
      <c r="KH44" s="402">
        <f>IF(AND(290&gt;=$NR$44,290&lt;=$NS$44),IF($NP$44="Single_Point",IF(290=$NR$44,$NN$44,0),IF($NP$44="Bell_Curve",$NN$44*(290-$NR$44+1)*($NS$44-290+1)/$NU$44,$NN$44/$NT$44)),0)</f>
        <v/>
      </c>
      <c r="KI44" s="402">
        <f>IF(AND(291&gt;=$NR$44,291&lt;=$NS$44),IF($NP$44="Single_Point",IF(291=$NR$44,$NN$44,0),IF($NP$44="Bell_Curve",$NN$44*(291-$NR$44+1)*($NS$44-291+1)/$NU$44,$NN$44/$NT$44)),0)</f>
        <v/>
      </c>
      <c r="KJ44" s="402">
        <f>IF(AND(292&gt;=$NR$44,292&lt;=$NS$44),IF($NP$44="Single_Point",IF(292=$NR$44,$NN$44,0),IF($NP$44="Bell_Curve",$NN$44*(292-$NR$44+1)*($NS$44-292+1)/$NU$44,$NN$44/$NT$44)),0)</f>
        <v/>
      </c>
      <c r="KK44" s="402">
        <f>IF(AND(293&gt;=$NR$44,293&lt;=$NS$44),IF($NP$44="Single_Point",IF(293=$NR$44,$NN$44,0),IF($NP$44="Bell_Curve",$NN$44*(293-$NR$44+1)*($NS$44-293+1)/$NU$44,$NN$44/$NT$44)),0)</f>
        <v/>
      </c>
      <c r="KL44" s="402">
        <f>IF(AND(294&gt;=$NR$44,294&lt;=$NS$44),IF($NP$44="Single_Point",IF(294=$NR$44,$NN$44,0),IF($NP$44="Bell_Curve",$NN$44*(294-$NR$44+1)*($NS$44-294+1)/$NU$44,$NN$44/$NT$44)),0)</f>
        <v/>
      </c>
      <c r="KM44" s="402">
        <f>IF(AND(295&gt;=$NR$44,295&lt;=$NS$44),IF($NP$44="Single_Point",IF(295=$NR$44,$NN$44,0),IF($NP$44="Bell_Curve",$NN$44*(295-$NR$44+1)*($NS$44-295+1)/$NU$44,$NN$44/$NT$44)),0)</f>
        <v/>
      </c>
      <c r="KN44" s="402">
        <f>IF(AND(296&gt;=$NR$44,296&lt;=$NS$44),IF($NP$44="Single_Point",IF(296=$NR$44,$NN$44,0),IF($NP$44="Bell_Curve",$NN$44*(296-$NR$44+1)*($NS$44-296+1)/$NU$44,$NN$44/$NT$44)),0)</f>
        <v/>
      </c>
      <c r="KO44" s="402">
        <f>IF(AND(297&gt;=$NR$44,297&lt;=$NS$44),IF($NP$44="Single_Point",IF(297=$NR$44,$NN$44,0),IF($NP$44="Bell_Curve",$NN$44*(297-$NR$44+1)*($NS$44-297+1)/$NU$44,$NN$44/$NT$44)),0)</f>
        <v/>
      </c>
      <c r="KP44" s="402">
        <f>IF(AND(298&gt;=$NR$44,298&lt;=$NS$44),IF($NP$44="Single_Point",IF(298=$NR$44,$NN$44,0),IF($NP$44="Bell_Curve",$NN$44*(298-$NR$44+1)*($NS$44-298+1)/$NU$44,$NN$44/$NT$44)),0)</f>
        <v/>
      </c>
      <c r="KQ44" s="402">
        <f>IF(AND(299&gt;=$NR$44,299&lt;=$NS$44),IF($NP$44="Single_Point",IF(299=$NR$44,$NN$44,0),IF($NP$44="Bell_Curve",$NN$44*(299-$NR$44+1)*($NS$44-299+1)/$NU$44,$NN$44/$NT$44)),0)</f>
        <v/>
      </c>
      <c r="KR44" s="402">
        <f>IF(AND(300&gt;=$NR$44,300&lt;=$NS$44),IF($NP$44="Single_Point",IF(300=$NR$44,$NN$44,0),IF($NP$44="Bell_Curve",$NN$44*(300-$NR$44+1)*($NS$44-300+1)/$NU$44,$NN$44/$NT$44)),0)</f>
        <v/>
      </c>
      <c r="KS44" s="402">
        <f>IF(AND(301&gt;=$NR$44,301&lt;=$NS$44),IF($NP$44="Single_Point",IF(301=$NR$44,$NN$44,0),IF($NP$44="Bell_Curve",$NN$44*(301-$NR$44+1)*($NS$44-301+1)/$NU$44,$NN$44/$NT$44)),0)</f>
        <v/>
      </c>
      <c r="KT44" s="402">
        <f>IF(AND(302&gt;=$NR$44,302&lt;=$NS$44),IF($NP$44="Single_Point",IF(302=$NR$44,$NN$44,0),IF($NP$44="Bell_Curve",$NN$44*(302-$NR$44+1)*($NS$44-302+1)/$NU$44,$NN$44/$NT$44)),0)</f>
        <v/>
      </c>
      <c r="KU44" s="402">
        <f>IF(AND(303&gt;=$NR$44,303&lt;=$NS$44),IF($NP$44="Single_Point",IF(303=$NR$44,$NN$44,0),IF($NP$44="Bell_Curve",$NN$44*(303-$NR$44+1)*($NS$44-303+1)/$NU$44,$NN$44/$NT$44)),0)</f>
        <v/>
      </c>
      <c r="KV44" s="402">
        <f>IF(AND(304&gt;=$NR$44,304&lt;=$NS$44),IF($NP$44="Single_Point",IF(304=$NR$44,$NN$44,0),IF($NP$44="Bell_Curve",$NN$44*(304-$NR$44+1)*($NS$44-304+1)/$NU$44,$NN$44/$NT$44)),0)</f>
        <v/>
      </c>
      <c r="KW44" s="402">
        <f>IF(AND(305&gt;=$NR$44,305&lt;=$NS$44),IF($NP$44="Single_Point",IF(305=$NR$44,$NN$44,0),IF($NP$44="Bell_Curve",$NN$44*(305-$NR$44+1)*($NS$44-305+1)/$NU$44,$NN$44/$NT$44)),0)</f>
        <v/>
      </c>
      <c r="KX44" s="402">
        <f>IF(AND(306&gt;=$NR$44,306&lt;=$NS$44),IF($NP$44="Single_Point",IF(306=$NR$44,$NN$44,0),IF($NP$44="Bell_Curve",$NN$44*(306-$NR$44+1)*($NS$44-306+1)/$NU$44,$NN$44/$NT$44)),0)</f>
        <v/>
      </c>
      <c r="KY44" s="402">
        <f>IF(AND(307&gt;=$NR$44,307&lt;=$NS$44),IF($NP$44="Single_Point",IF(307=$NR$44,$NN$44,0),IF($NP$44="Bell_Curve",$NN$44*(307-$NR$44+1)*($NS$44-307+1)/$NU$44,$NN$44/$NT$44)),0)</f>
        <v/>
      </c>
      <c r="KZ44" s="402">
        <f>IF(AND(308&gt;=$NR$44,308&lt;=$NS$44),IF($NP$44="Single_Point",IF(308=$NR$44,$NN$44,0),IF($NP$44="Bell_Curve",$NN$44*(308-$NR$44+1)*($NS$44-308+1)/$NU$44,$NN$44/$NT$44)),0)</f>
        <v/>
      </c>
      <c r="LA44" s="402">
        <f>IF(AND(309&gt;=$NR$44,309&lt;=$NS$44),IF($NP$44="Single_Point",IF(309=$NR$44,$NN$44,0),IF($NP$44="Bell_Curve",$NN$44*(309-$NR$44+1)*($NS$44-309+1)/$NU$44,$NN$44/$NT$44)),0)</f>
        <v/>
      </c>
      <c r="LB44" s="402">
        <f>IF(AND(310&gt;=$NR$44,310&lt;=$NS$44),IF($NP$44="Single_Point",IF(310=$NR$44,$NN$44,0),IF($NP$44="Bell_Curve",$NN$44*(310-$NR$44+1)*($NS$44-310+1)/$NU$44,$NN$44/$NT$44)),0)</f>
        <v/>
      </c>
      <c r="LC44" s="402">
        <f>IF(AND(311&gt;=$NR$44,311&lt;=$NS$44),IF($NP$44="Single_Point",IF(311=$NR$44,$NN$44,0),IF($NP$44="Bell_Curve",$NN$44*(311-$NR$44+1)*($NS$44-311+1)/$NU$44,$NN$44/$NT$44)),0)</f>
        <v/>
      </c>
      <c r="LD44" s="402">
        <f>IF(AND(312&gt;=$NR$44,312&lt;=$NS$44),IF($NP$44="Single_Point",IF(312=$NR$44,$NN$44,0),IF($NP$44="Bell_Curve",$NN$44*(312-$NR$44+1)*($NS$44-312+1)/$NU$44,$NN$44/$NT$44)),0)</f>
        <v/>
      </c>
      <c r="LE44" s="402">
        <f>IF(AND(313&gt;=$NR$44,313&lt;=$NS$44),IF($NP$44="Single_Point",IF(313=$NR$44,$NN$44,0),IF($NP$44="Bell_Curve",$NN$44*(313-$NR$44+1)*($NS$44-313+1)/$NU$44,$NN$44/$NT$44)),0)</f>
        <v/>
      </c>
      <c r="LF44" s="402">
        <f>IF(AND(314&gt;=$NR$44,314&lt;=$NS$44),IF($NP$44="Single_Point",IF(314=$NR$44,$NN$44,0),IF($NP$44="Bell_Curve",$NN$44*(314-$NR$44+1)*($NS$44-314+1)/$NU$44,$NN$44/$NT$44)),0)</f>
        <v/>
      </c>
      <c r="LG44" s="402">
        <f>IF(AND(315&gt;=$NR$44,315&lt;=$NS$44),IF($NP$44="Single_Point",IF(315=$NR$44,$NN$44,0),IF($NP$44="Bell_Curve",$NN$44*(315-$NR$44+1)*($NS$44-315+1)/$NU$44,$NN$44/$NT$44)),0)</f>
        <v/>
      </c>
      <c r="LH44" s="402">
        <f>IF(AND(316&gt;=$NR$44,316&lt;=$NS$44),IF($NP$44="Single_Point",IF(316=$NR$44,$NN$44,0),IF($NP$44="Bell_Curve",$NN$44*(316-$NR$44+1)*($NS$44-316+1)/$NU$44,$NN$44/$NT$44)),0)</f>
        <v/>
      </c>
      <c r="LI44" s="402">
        <f>IF(AND(317&gt;=$NR$44,317&lt;=$NS$44),IF($NP$44="Single_Point",IF(317=$NR$44,$NN$44,0),IF($NP$44="Bell_Curve",$NN$44*(317-$NR$44+1)*($NS$44-317+1)/$NU$44,$NN$44/$NT$44)),0)</f>
        <v/>
      </c>
      <c r="LJ44" s="402">
        <f>IF(AND(318&gt;=$NR$44,318&lt;=$NS$44),IF($NP$44="Single_Point",IF(318=$NR$44,$NN$44,0),IF($NP$44="Bell_Curve",$NN$44*(318-$NR$44+1)*($NS$44-318+1)/$NU$44,$NN$44/$NT$44)),0)</f>
        <v/>
      </c>
      <c r="LK44" s="402">
        <f>IF(AND(319&gt;=$NR$44,319&lt;=$NS$44),IF($NP$44="Single_Point",IF(319=$NR$44,$NN$44,0),IF($NP$44="Bell_Curve",$NN$44*(319-$NR$44+1)*($NS$44-319+1)/$NU$44,$NN$44/$NT$44)),0)</f>
        <v/>
      </c>
      <c r="LL44" s="402">
        <f>IF(AND(320&gt;=$NR$44,320&lt;=$NS$44),IF($NP$44="Single_Point",IF(320=$NR$44,$NN$44,0),IF($NP$44="Bell_Curve",$NN$44*(320-$NR$44+1)*($NS$44-320+1)/$NU$44,$NN$44/$NT$44)),0)</f>
        <v/>
      </c>
      <c r="LM44" s="402">
        <f>IF(AND(321&gt;=$NR$44,321&lt;=$NS$44),IF($NP$44="Single_Point",IF(321=$NR$44,$NN$44,0),IF($NP$44="Bell_Curve",$NN$44*(321-$NR$44+1)*($NS$44-321+1)/$NU$44,$NN$44/$NT$44)),0)</f>
        <v/>
      </c>
      <c r="LN44" s="402">
        <f>IF(AND(322&gt;=$NR$44,322&lt;=$NS$44),IF($NP$44="Single_Point",IF(322=$NR$44,$NN$44,0),IF($NP$44="Bell_Curve",$NN$44*(322-$NR$44+1)*($NS$44-322+1)/$NU$44,$NN$44/$NT$44)),0)</f>
        <v/>
      </c>
      <c r="LO44" s="402">
        <f>IF(AND(323&gt;=$NR$44,323&lt;=$NS$44),IF($NP$44="Single_Point",IF(323=$NR$44,$NN$44,0),IF($NP$44="Bell_Curve",$NN$44*(323-$NR$44+1)*($NS$44-323+1)/$NU$44,$NN$44/$NT$44)),0)</f>
        <v/>
      </c>
      <c r="LP44" s="402">
        <f>IF(AND(324&gt;=$NR$44,324&lt;=$NS$44),IF($NP$44="Single_Point",IF(324=$NR$44,$NN$44,0),IF($NP$44="Bell_Curve",$NN$44*(324-$NR$44+1)*($NS$44-324+1)/$NU$44,$NN$44/$NT$44)),0)</f>
        <v/>
      </c>
      <c r="LQ44" s="402">
        <f>IF(AND(325&gt;=$NR$44,325&lt;=$NS$44),IF($NP$44="Single_Point",IF(325=$NR$44,$NN$44,0),IF($NP$44="Bell_Curve",$NN$44*(325-$NR$44+1)*($NS$44-325+1)/$NU$44,$NN$44/$NT$44)),0)</f>
        <v/>
      </c>
      <c r="LR44" s="402">
        <f>IF(AND(326&gt;=$NR$44,326&lt;=$NS$44),IF($NP$44="Single_Point",IF(326=$NR$44,$NN$44,0),IF($NP$44="Bell_Curve",$NN$44*(326-$NR$44+1)*($NS$44-326+1)/$NU$44,$NN$44/$NT$44)),0)</f>
        <v/>
      </c>
      <c r="LS44" s="402">
        <f>IF(AND(327&gt;=$NR$44,327&lt;=$NS$44),IF($NP$44="Single_Point",IF(327=$NR$44,$NN$44,0),IF($NP$44="Bell_Curve",$NN$44*(327-$NR$44+1)*($NS$44-327+1)/$NU$44,$NN$44/$NT$44)),0)</f>
        <v/>
      </c>
      <c r="LT44" s="402">
        <f>IF(AND(328&gt;=$NR$44,328&lt;=$NS$44),IF($NP$44="Single_Point",IF(328=$NR$44,$NN$44,0),IF($NP$44="Bell_Curve",$NN$44*(328-$NR$44+1)*($NS$44-328+1)/$NU$44,$NN$44/$NT$44)),0)</f>
        <v/>
      </c>
      <c r="LU44" s="402">
        <f>IF(AND(329&gt;=$NR$44,329&lt;=$NS$44),IF($NP$44="Single_Point",IF(329=$NR$44,$NN$44,0),IF($NP$44="Bell_Curve",$NN$44*(329-$NR$44+1)*($NS$44-329+1)/$NU$44,$NN$44/$NT$44)),0)</f>
        <v/>
      </c>
      <c r="LV44" s="402">
        <f>IF(AND(330&gt;=$NR$44,330&lt;=$NS$44),IF($NP$44="Single_Point",IF(330=$NR$44,$NN$44,0),IF($NP$44="Bell_Curve",$NN$44*(330-$NR$44+1)*($NS$44-330+1)/$NU$44,$NN$44/$NT$44)),0)</f>
        <v/>
      </c>
      <c r="LW44" s="402">
        <f>IF(AND(331&gt;=$NR$44,331&lt;=$NS$44),IF($NP$44="Single_Point",IF(331=$NR$44,$NN$44,0),IF($NP$44="Bell_Curve",$NN$44*(331-$NR$44+1)*($NS$44-331+1)/$NU$44,$NN$44/$NT$44)),0)</f>
        <v/>
      </c>
      <c r="LX44" s="402">
        <f>IF(AND(332&gt;=$NR$44,332&lt;=$NS$44),IF($NP$44="Single_Point",IF(332=$NR$44,$NN$44,0),IF($NP$44="Bell_Curve",$NN$44*(332-$NR$44+1)*($NS$44-332+1)/$NU$44,$NN$44/$NT$44)),0)</f>
        <v/>
      </c>
      <c r="LY44" s="402">
        <f>IF(AND(333&gt;=$NR$44,333&lt;=$NS$44),IF($NP$44="Single_Point",IF(333=$NR$44,$NN$44,0),IF($NP$44="Bell_Curve",$NN$44*(333-$NR$44+1)*($NS$44-333+1)/$NU$44,$NN$44/$NT$44)),0)</f>
        <v/>
      </c>
      <c r="LZ44" s="402">
        <f>IF(AND(334&gt;=$NR$44,334&lt;=$NS$44),IF($NP$44="Single_Point",IF(334=$NR$44,$NN$44,0),IF($NP$44="Bell_Curve",$NN$44*(334-$NR$44+1)*($NS$44-334+1)/$NU$44,$NN$44/$NT$44)),0)</f>
        <v/>
      </c>
      <c r="MA44" s="402">
        <f>IF(AND(335&gt;=$NR$44,335&lt;=$NS$44),IF($NP$44="Single_Point",IF(335=$NR$44,$NN$44,0),IF($NP$44="Bell_Curve",$NN$44*(335-$NR$44+1)*($NS$44-335+1)/$NU$44,$NN$44/$NT$44)),0)</f>
        <v/>
      </c>
      <c r="MB44" s="402">
        <f>IF(AND(336&gt;=$NR$44,336&lt;=$NS$44),IF($NP$44="Single_Point",IF(336=$NR$44,$NN$44,0),IF($NP$44="Bell_Curve",$NN$44*(336-$NR$44+1)*($NS$44-336+1)/$NU$44,$NN$44/$NT$44)),0)</f>
        <v/>
      </c>
      <c r="MC44" s="402">
        <f>IF(AND(337&gt;=$NR$44,337&lt;=$NS$44),IF($NP$44="Single_Point",IF(337=$NR$44,$NN$44,0),IF($NP$44="Bell_Curve",$NN$44*(337-$NR$44+1)*($NS$44-337+1)/$NU$44,$NN$44/$NT$44)),0)</f>
        <v/>
      </c>
      <c r="MD44" s="402">
        <f>IF(AND(338&gt;=$NR$44,338&lt;=$NS$44),IF($NP$44="Single_Point",IF(338=$NR$44,$NN$44,0),IF($NP$44="Bell_Curve",$NN$44*(338-$NR$44+1)*($NS$44-338+1)/$NU$44,$NN$44/$NT$44)),0)</f>
        <v/>
      </c>
      <c r="ME44" s="402">
        <f>IF(AND(339&gt;=$NR$44,339&lt;=$NS$44),IF($NP$44="Single_Point",IF(339=$NR$44,$NN$44,0),IF($NP$44="Bell_Curve",$NN$44*(339-$NR$44+1)*($NS$44-339+1)/$NU$44,$NN$44/$NT$44)),0)</f>
        <v/>
      </c>
      <c r="MF44" s="402">
        <f>IF(AND(340&gt;=$NR$44,340&lt;=$NS$44),IF($NP$44="Single_Point",IF(340=$NR$44,$NN$44,0),IF($NP$44="Bell_Curve",$NN$44*(340-$NR$44+1)*($NS$44-340+1)/$NU$44,$NN$44/$NT$44)),0)</f>
        <v/>
      </c>
      <c r="MG44" s="402">
        <f>IF(AND(341&gt;=$NR$44,341&lt;=$NS$44),IF($NP$44="Single_Point",IF(341=$NR$44,$NN$44,0),IF($NP$44="Bell_Curve",$NN$44*(341-$NR$44+1)*($NS$44-341+1)/$NU$44,$NN$44/$NT$44)),0)</f>
        <v/>
      </c>
      <c r="MH44" s="402">
        <f>IF(AND(342&gt;=$NR$44,342&lt;=$NS$44),IF($NP$44="Single_Point",IF(342=$NR$44,$NN$44,0),IF($NP$44="Bell_Curve",$NN$44*(342-$NR$44+1)*($NS$44-342+1)/$NU$44,$NN$44/$NT$44)),0)</f>
        <v/>
      </c>
      <c r="MI44" s="402">
        <f>IF(AND(343&gt;=$NR$44,343&lt;=$NS$44),IF($NP$44="Single_Point",IF(343=$NR$44,$NN$44,0),IF($NP$44="Bell_Curve",$NN$44*(343-$NR$44+1)*($NS$44-343+1)/$NU$44,$NN$44/$NT$44)),0)</f>
        <v/>
      </c>
      <c r="MJ44" s="402">
        <f>IF(AND(344&gt;=$NR$44,344&lt;=$NS$44),IF($NP$44="Single_Point",IF(344=$NR$44,$NN$44,0),IF($NP$44="Bell_Curve",$NN$44*(344-$NR$44+1)*($NS$44-344+1)/$NU$44,$NN$44/$NT$44)),0)</f>
        <v/>
      </c>
      <c r="MK44" s="402">
        <f>IF(AND(345&gt;=$NR$44,345&lt;=$NS$44),IF($NP$44="Single_Point",IF(345=$NR$44,$NN$44,0),IF($NP$44="Bell_Curve",$NN$44*(345-$NR$44+1)*($NS$44-345+1)/$NU$44,$NN$44/$NT$44)),0)</f>
        <v/>
      </c>
      <c r="ML44" s="402">
        <f>IF(AND(346&gt;=$NR$44,346&lt;=$NS$44),IF($NP$44="Single_Point",IF(346=$NR$44,$NN$44,0),IF($NP$44="Bell_Curve",$NN$44*(346-$NR$44+1)*($NS$44-346+1)/$NU$44,$NN$44/$NT$44)),0)</f>
        <v/>
      </c>
      <c r="MM44" s="402">
        <f>IF(AND(347&gt;=$NR$44,347&lt;=$NS$44),IF($NP$44="Single_Point",IF(347=$NR$44,$NN$44,0),IF($NP$44="Bell_Curve",$NN$44*(347-$NR$44+1)*($NS$44-347+1)/$NU$44,$NN$44/$NT$44)),0)</f>
        <v/>
      </c>
      <c r="MN44" s="402">
        <f>IF(AND(348&gt;=$NR$44,348&lt;=$NS$44),IF($NP$44="Single_Point",IF(348=$NR$44,$NN$44,0),IF($NP$44="Bell_Curve",$NN$44*(348-$NR$44+1)*($NS$44-348+1)/$NU$44,$NN$44/$NT$44)),0)</f>
        <v/>
      </c>
      <c r="MO44" s="402">
        <f>IF(AND(349&gt;=$NR$44,349&lt;=$NS$44),IF($NP$44="Single_Point",IF(349=$NR$44,$NN$44,0),IF($NP$44="Bell_Curve",$NN$44*(349-$NR$44+1)*($NS$44-349+1)/$NU$44,$NN$44/$NT$44)),0)</f>
        <v/>
      </c>
      <c r="MP44" s="402">
        <f>IF(AND(350&gt;=$NR$44,350&lt;=$NS$44),IF($NP$44="Single_Point",IF(350=$NR$44,$NN$44,0),IF($NP$44="Bell_Curve",$NN$44*(350-$NR$44+1)*($NS$44-350+1)/$NU$44,$NN$44/$NT$44)),0)</f>
        <v/>
      </c>
      <c r="MQ44" s="402">
        <f>IF(AND(351&gt;=$NR$44,351&lt;=$NS$44),IF($NP$44="Single_Point",IF(351=$NR$44,$NN$44,0),IF($NP$44="Bell_Curve",$NN$44*(351-$NR$44+1)*($NS$44-351+1)/$NU$44,$NN$44/$NT$44)),0)</f>
        <v/>
      </c>
      <c r="MR44" s="402">
        <f>IF(AND(352&gt;=$NR$44,352&lt;=$NS$44),IF($NP$44="Single_Point",IF(352=$NR$44,$NN$44,0),IF($NP$44="Bell_Curve",$NN$44*(352-$NR$44+1)*($NS$44-352+1)/$NU$44,$NN$44/$NT$44)),0)</f>
        <v/>
      </c>
      <c r="MS44" s="402">
        <f>IF(AND(353&gt;=$NR$44,353&lt;=$NS$44),IF($NP$44="Single_Point",IF(353=$NR$44,$NN$44,0),IF($NP$44="Bell_Curve",$NN$44*(353-$NR$44+1)*($NS$44-353+1)/$NU$44,$NN$44/$NT$44)),0)</f>
        <v/>
      </c>
      <c r="MT44" s="402">
        <f>IF(AND(354&gt;=$NR$44,354&lt;=$NS$44),IF($NP$44="Single_Point",IF(354=$NR$44,$NN$44,0),IF($NP$44="Bell_Curve",$NN$44*(354-$NR$44+1)*($NS$44-354+1)/$NU$44,$NN$44/$NT$44)),0)</f>
        <v/>
      </c>
      <c r="MU44" s="402">
        <f>IF(AND(355&gt;=$NR$44,355&lt;=$NS$44),IF($NP$44="Single_Point",IF(355=$NR$44,$NN$44,0),IF($NP$44="Bell_Curve",$NN$44*(355-$NR$44+1)*($NS$44-355+1)/$NU$44,$NN$44/$NT$44)),0)</f>
        <v/>
      </c>
      <c r="MV44" s="402">
        <f>IF(AND(356&gt;=$NR$44,356&lt;=$NS$44),IF($NP$44="Single_Point",IF(356=$NR$44,$NN$44,0),IF($NP$44="Bell_Curve",$NN$44*(356-$NR$44+1)*($NS$44-356+1)/$NU$44,$NN$44/$NT$44)),0)</f>
        <v/>
      </c>
      <c r="MW44" s="402">
        <f>IF(AND(357&gt;=$NR$44,357&lt;=$NS$44),IF($NP$44="Single_Point",IF(357=$NR$44,$NN$44,0),IF($NP$44="Bell_Curve",$NN$44*(357-$NR$44+1)*($NS$44-357+1)/$NU$44,$NN$44/$NT$44)),0)</f>
        <v/>
      </c>
      <c r="MX44" s="402">
        <f>IF(AND(358&gt;=$NR$44,358&lt;=$NS$44),IF($NP$44="Single_Point",IF(358=$NR$44,$NN$44,0),IF($NP$44="Bell_Curve",$NN$44*(358-$NR$44+1)*($NS$44-358+1)/$NU$44,$NN$44/$NT$44)),0)</f>
        <v/>
      </c>
      <c r="MY44" s="402">
        <f>IF(AND(359&gt;=$NR$44,359&lt;=$NS$44),IF($NP$44="Single_Point",IF(359=$NR$44,$NN$44,0),IF($NP$44="Bell_Curve",$NN$44*(359-$NR$44+1)*($NS$44-359+1)/$NU$44,$NN$44/$NT$44)),0)</f>
        <v/>
      </c>
      <c r="MZ44" s="402">
        <f>IF(AND(360&gt;=$NR$44,360&lt;=$NS$44),IF($NP$44="Single_Point",IF(360=$NR$44,$NN$44,0),IF($NP$44="Bell_Curve",$NN$44*(360-$NR$44+1)*($NS$44-360+1)/$NU$44,$NN$44/$NT$44)),0)</f>
        <v/>
      </c>
      <c r="NA44" s="402">
        <f>IF(AND(361&gt;=$NR$44,361&lt;=$NS$44),IF($NP$44="Single_Point",IF(361=$NR$44,$NN$44,0),IF($NP$44="Bell_Curve",$NN$44*(361-$NR$44+1)*($NS$44-361+1)/$NU$44,$NN$44/$NT$44)),0)</f>
        <v/>
      </c>
      <c r="NB44" s="402">
        <f>IF(AND(362&gt;=$NR$44,362&lt;=$NS$44),IF($NP$44="Single_Point",IF(362=$NR$44,$NN$44,0),IF($NP$44="Bell_Curve",$NN$44*(362-$NR$44+1)*($NS$44-362+1)/$NU$44,$NN$44/$NT$44)),0)</f>
        <v/>
      </c>
      <c r="NC44" s="402">
        <f>IF(AND(363&gt;=$NR$44,363&lt;=$NS$44),IF($NP$44="Single_Point",IF(363=$NR$44,$NN$44,0),IF($NP$44="Bell_Curve",$NN$44*(363-$NR$44+1)*($NS$44-363+1)/$NU$44,$NN$44/$NT$44)),0)</f>
        <v/>
      </c>
      <c r="ND44" s="402">
        <f>IF(AND(364&gt;=$NR$44,364&lt;=$NS$44),IF($NP$44="Single_Point",IF(364=$NR$44,$NN$44,0),IF($NP$44="Bell_Curve",$NN$44*(364-$NR$44+1)*($NS$44-364+1)/$NU$44,$NN$44/$NT$44)),0)</f>
        <v/>
      </c>
      <c r="NE44" s="402">
        <f>IF(AND(365&gt;=$NR$44,365&lt;=$NS$44),IF($NP$44="Single_Point",IF(365=$NR$44,$NN$44,0),IF($NP$44="Bell_Curve",$NN$44*(365-$NR$44+1)*($NS$44-365+1)/$NU$44,$NN$44/$NT$44)),0)</f>
        <v/>
      </c>
      <c r="NF44" s="402">
        <f>IF(AND(366&gt;=$NR$44,366&lt;=$NS$44),IF($NP$44="Single_Point",IF(366=$NR$44,$NN$44,0),IF($NP$44="Bell_Curve",$NN$44*(366-$NR$44+1)*($NS$44-366+1)/$NU$44,$NN$44/$NT$44)),0)</f>
        <v/>
      </c>
      <c r="NG44" s="402">
        <f>IF(AND(367&gt;=$NR$44,367&lt;=$NS$44),IF($NP$44="Single_Point",IF(367=$NR$44,$NN$44,0),IF($NP$44="Bell_Curve",$NN$44*(367-$NR$44+1)*($NS$44-367+1)/$NU$44,$NN$44/$NT$44)),0)</f>
        <v/>
      </c>
      <c r="NH44" s="402">
        <f>IF(AND(368&gt;=$NR$44,368&lt;=$NS$44),IF($NP$44="Single_Point",IF(368=$NR$44,$NN$44,0),IF($NP$44="Bell_Curve",$NN$44*(368-$NR$44+1)*($NS$44-368+1)/$NU$44,$NN$44/$NT$44)),0)</f>
        <v/>
      </c>
      <c r="NI44" s="402">
        <f>IF(AND(369&gt;=$NR$44,369&lt;=$NS$44),IF($NP$44="Single_Point",IF(369=$NR$44,$NN$44,0),IF($NP$44="Bell_Curve",$NN$44*(369-$NR$44+1)*($NS$44-369+1)/$NU$44,$NN$44/$NT$44)),0)</f>
        <v/>
      </c>
      <c r="NJ44" s="402">
        <f>IF(AND(370&gt;=$NR$44,370&lt;=$NS$44),IF($NP$44="Single_Point",IF(370=$NR$44,$NN$44,0),IF($NP$44="Bell_Curve",$NN$44*(370-$NR$44+1)*($NS$44-370+1)/$NU$44,$NN$44/$NT$44)),0)</f>
        <v/>
      </c>
      <c r="NK44" s="402">
        <f>IF(AND(371&gt;=$NR$44,371&lt;=$NS$44),IF($NP$44="Single_Point",IF(371=$NR$44,$NN$44,0),IF($NP$44="Bell_Curve",$NN$44*(371-$NR$44+1)*($NS$44-371+1)/$NU$44,$NN$44/$NT$44)),0)</f>
        <v/>
      </c>
      <c r="NL44" s="402">
        <f>IF(AND(372&gt;=$NR$44,372&lt;=$NS$44),IF($NP$44="Single_Point",IF(372=$NR$44,$NN$44,0),IF($NP$44="Bell_Curve",$NN$44*(372-$NR$44+1)*($NS$44-372+1)/$NU$44,$NN$44/$NT$44)),0)</f>
        <v/>
      </c>
      <c r="NM44">
        <f>Budget!C43</f>
        <v/>
      </c>
      <c r="NN44">
        <f>Budget!J43</f>
        <v/>
      </c>
      <c r="NO44">
        <f>Budget!G43</f>
        <v/>
      </c>
      <c r="NP44">
        <f>Budget!H43</f>
        <v/>
      </c>
      <c r="NQ44">
        <f>Budget!I43</f>
        <v/>
      </c>
      <c r="NR44">
        <f>MAX(1,MIN(372,INDEX(MilestoneStart,MATCH(NO44,MilestoneNames,0))+NQ44))</f>
        <v/>
      </c>
      <c r="NS44">
        <f>MAX(NR44,MIN(372,INDEX(MilestoneEnd,MATCH(NO44,MilestoneNames,0))+NQ44))</f>
        <v/>
      </c>
      <c r="NT44">
        <f>NS44-NR44+1</f>
        <v/>
      </c>
      <c r="NU44">
        <f>NT44*(NT44+1)*(NT44+2)/6</f>
        <v/>
      </c>
    </row>
    <row r="45">
      <c r="B45" s="316">
        <f>Budget!B44</f>
        <v/>
      </c>
      <c r="D45" s="402">
        <f>SUM(E45:NL45)</f>
        <v/>
      </c>
      <c r="E45" s="402">
        <f>IF(AND(1&gt;=$NR$45,1&lt;=$NS$45),IF($NP$45="Single_Point",IF(1=$NR$45,$NN$45,0),IF($NP$45="Bell_Curve",$NN$45*(1-$NR$45+1)*($NS$45-1+1)/$NU$45,$NN$45/$NT$45)),0)</f>
        <v/>
      </c>
      <c r="F45" s="402">
        <f>IF(AND(2&gt;=$NR$45,2&lt;=$NS$45),IF($NP$45="Single_Point",IF(2=$NR$45,$NN$45,0),IF($NP$45="Bell_Curve",$NN$45*(2-$NR$45+1)*($NS$45-2+1)/$NU$45,$NN$45/$NT$45)),0)</f>
        <v/>
      </c>
      <c r="G45" s="402">
        <f>IF(AND(3&gt;=$NR$45,3&lt;=$NS$45),IF($NP$45="Single_Point",IF(3=$NR$45,$NN$45,0),IF($NP$45="Bell_Curve",$NN$45*(3-$NR$45+1)*($NS$45-3+1)/$NU$45,$NN$45/$NT$45)),0)</f>
        <v/>
      </c>
      <c r="H45" s="402">
        <f>IF(AND(4&gt;=$NR$45,4&lt;=$NS$45),IF($NP$45="Single_Point",IF(4=$NR$45,$NN$45,0),IF($NP$45="Bell_Curve",$NN$45*(4-$NR$45+1)*($NS$45-4+1)/$NU$45,$NN$45/$NT$45)),0)</f>
        <v/>
      </c>
      <c r="I45" s="402">
        <f>IF(AND(5&gt;=$NR$45,5&lt;=$NS$45),IF($NP$45="Single_Point",IF(5=$NR$45,$NN$45,0),IF($NP$45="Bell_Curve",$NN$45*(5-$NR$45+1)*($NS$45-5+1)/$NU$45,$NN$45/$NT$45)),0)</f>
        <v/>
      </c>
      <c r="J45" s="402">
        <f>IF(AND(6&gt;=$NR$45,6&lt;=$NS$45),IF($NP$45="Single_Point",IF(6=$NR$45,$NN$45,0),IF($NP$45="Bell_Curve",$NN$45*(6-$NR$45+1)*($NS$45-6+1)/$NU$45,$NN$45/$NT$45)),0)</f>
        <v/>
      </c>
      <c r="K45" s="402">
        <f>IF(AND(7&gt;=$NR$45,7&lt;=$NS$45),IF($NP$45="Single_Point",IF(7=$NR$45,$NN$45,0),IF($NP$45="Bell_Curve",$NN$45*(7-$NR$45+1)*($NS$45-7+1)/$NU$45,$NN$45/$NT$45)),0)</f>
        <v/>
      </c>
      <c r="L45" s="402">
        <f>IF(AND(8&gt;=$NR$45,8&lt;=$NS$45),IF($NP$45="Single_Point",IF(8=$NR$45,$NN$45,0),IF($NP$45="Bell_Curve",$NN$45*(8-$NR$45+1)*($NS$45-8+1)/$NU$45,$NN$45/$NT$45)),0)</f>
        <v/>
      </c>
      <c r="M45" s="402">
        <f>IF(AND(9&gt;=$NR$45,9&lt;=$NS$45),IF($NP$45="Single_Point",IF(9=$NR$45,$NN$45,0),IF($NP$45="Bell_Curve",$NN$45*(9-$NR$45+1)*($NS$45-9+1)/$NU$45,$NN$45/$NT$45)),0)</f>
        <v/>
      </c>
      <c r="N45" s="402">
        <f>IF(AND(10&gt;=$NR$45,10&lt;=$NS$45),IF($NP$45="Single_Point",IF(10=$NR$45,$NN$45,0),IF($NP$45="Bell_Curve",$NN$45*(10-$NR$45+1)*($NS$45-10+1)/$NU$45,$NN$45/$NT$45)),0)</f>
        <v/>
      </c>
      <c r="O45" s="402">
        <f>IF(AND(11&gt;=$NR$45,11&lt;=$NS$45),IF($NP$45="Single_Point",IF(11=$NR$45,$NN$45,0),IF($NP$45="Bell_Curve",$NN$45*(11-$NR$45+1)*($NS$45-11+1)/$NU$45,$NN$45/$NT$45)),0)</f>
        <v/>
      </c>
      <c r="P45" s="402">
        <f>IF(AND(12&gt;=$NR$45,12&lt;=$NS$45),IF($NP$45="Single_Point",IF(12=$NR$45,$NN$45,0),IF($NP$45="Bell_Curve",$NN$45*(12-$NR$45+1)*($NS$45-12+1)/$NU$45,$NN$45/$NT$45)),0)</f>
        <v/>
      </c>
      <c r="Q45" s="402">
        <f>IF(AND(13&gt;=$NR$45,13&lt;=$NS$45),IF($NP$45="Single_Point",IF(13=$NR$45,$NN$45,0),IF($NP$45="Bell_Curve",$NN$45*(13-$NR$45+1)*($NS$45-13+1)/$NU$45,$NN$45/$NT$45)),0)</f>
        <v/>
      </c>
      <c r="R45" s="402">
        <f>IF(AND(14&gt;=$NR$45,14&lt;=$NS$45),IF($NP$45="Single_Point",IF(14=$NR$45,$NN$45,0),IF($NP$45="Bell_Curve",$NN$45*(14-$NR$45+1)*($NS$45-14+1)/$NU$45,$NN$45/$NT$45)),0)</f>
        <v/>
      </c>
      <c r="S45" s="402">
        <f>IF(AND(15&gt;=$NR$45,15&lt;=$NS$45),IF($NP$45="Single_Point",IF(15=$NR$45,$NN$45,0),IF($NP$45="Bell_Curve",$NN$45*(15-$NR$45+1)*($NS$45-15+1)/$NU$45,$NN$45/$NT$45)),0)</f>
        <v/>
      </c>
      <c r="T45" s="402">
        <f>IF(AND(16&gt;=$NR$45,16&lt;=$NS$45),IF($NP$45="Single_Point",IF(16=$NR$45,$NN$45,0),IF($NP$45="Bell_Curve",$NN$45*(16-$NR$45+1)*($NS$45-16+1)/$NU$45,$NN$45/$NT$45)),0)</f>
        <v/>
      </c>
      <c r="U45" s="402">
        <f>IF(AND(17&gt;=$NR$45,17&lt;=$NS$45),IF($NP$45="Single_Point",IF(17=$NR$45,$NN$45,0),IF($NP$45="Bell_Curve",$NN$45*(17-$NR$45+1)*($NS$45-17+1)/$NU$45,$NN$45/$NT$45)),0)</f>
        <v/>
      </c>
      <c r="V45" s="402">
        <f>IF(AND(18&gt;=$NR$45,18&lt;=$NS$45),IF($NP$45="Single_Point",IF(18=$NR$45,$NN$45,0),IF($NP$45="Bell_Curve",$NN$45*(18-$NR$45+1)*($NS$45-18+1)/$NU$45,$NN$45/$NT$45)),0)</f>
        <v/>
      </c>
      <c r="W45" s="402">
        <f>IF(AND(19&gt;=$NR$45,19&lt;=$NS$45),IF($NP$45="Single_Point",IF(19=$NR$45,$NN$45,0),IF($NP$45="Bell_Curve",$NN$45*(19-$NR$45+1)*($NS$45-19+1)/$NU$45,$NN$45/$NT$45)),0)</f>
        <v/>
      </c>
      <c r="X45" s="402">
        <f>IF(AND(20&gt;=$NR$45,20&lt;=$NS$45),IF($NP$45="Single_Point",IF(20=$NR$45,$NN$45,0),IF($NP$45="Bell_Curve",$NN$45*(20-$NR$45+1)*($NS$45-20+1)/$NU$45,$NN$45/$NT$45)),0)</f>
        <v/>
      </c>
      <c r="Y45" s="402">
        <f>IF(AND(21&gt;=$NR$45,21&lt;=$NS$45),IF($NP$45="Single_Point",IF(21=$NR$45,$NN$45,0),IF($NP$45="Bell_Curve",$NN$45*(21-$NR$45+1)*($NS$45-21+1)/$NU$45,$NN$45/$NT$45)),0)</f>
        <v/>
      </c>
      <c r="Z45" s="402">
        <f>IF(AND(22&gt;=$NR$45,22&lt;=$NS$45),IF($NP$45="Single_Point",IF(22=$NR$45,$NN$45,0),IF($NP$45="Bell_Curve",$NN$45*(22-$NR$45+1)*($NS$45-22+1)/$NU$45,$NN$45/$NT$45)),0)</f>
        <v/>
      </c>
      <c r="AA45" s="402">
        <f>IF(AND(23&gt;=$NR$45,23&lt;=$NS$45),IF($NP$45="Single_Point",IF(23=$NR$45,$NN$45,0),IF($NP$45="Bell_Curve",$NN$45*(23-$NR$45+1)*($NS$45-23+1)/$NU$45,$NN$45/$NT$45)),0)</f>
        <v/>
      </c>
      <c r="AB45" s="402">
        <f>IF(AND(24&gt;=$NR$45,24&lt;=$NS$45),IF($NP$45="Single_Point",IF(24=$NR$45,$NN$45,0),IF($NP$45="Bell_Curve",$NN$45*(24-$NR$45+1)*($NS$45-24+1)/$NU$45,$NN$45/$NT$45)),0)</f>
        <v/>
      </c>
      <c r="AC45" s="402">
        <f>IF(AND(25&gt;=$NR$45,25&lt;=$NS$45),IF($NP$45="Single_Point",IF(25=$NR$45,$NN$45,0),IF($NP$45="Bell_Curve",$NN$45*(25-$NR$45+1)*($NS$45-25+1)/$NU$45,$NN$45/$NT$45)),0)</f>
        <v/>
      </c>
      <c r="AD45" s="402">
        <f>IF(AND(26&gt;=$NR$45,26&lt;=$NS$45),IF($NP$45="Single_Point",IF(26=$NR$45,$NN$45,0),IF($NP$45="Bell_Curve",$NN$45*(26-$NR$45+1)*($NS$45-26+1)/$NU$45,$NN$45/$NT$45)),0)</f>
        <v/>
      </c>
      <c r="AE45" s="402">
        <f>IF(AND(27&gt;=$NR$45,27&lt;=$NS$45),IF($NP$45="Single_Point",IF(27=$NR$45,$NN$45,0),IF($NP$45="Bell_Curve",$NN$45*(27-$NR$45+1)*($NS$45-27+1)/$NU$45,$NN$45/$NT$45)),0)</f>
        <v/>
      </c>
      <c r="AF45" s="402">
        <f>IF(AND(28&gt;=$NR$45,28&lt;=$NS$45),IF($NP$45="Single_Point",IF(28=$NR$45,$NN$45,0),IF($NP$45="Bell_Curve",$NN$45*(28-$NR$45+1)*($NS$45-28+1)/$NU$45,$NN$45/$NT$45)),0)</f>
        <v/>
      </c>
      <c r="AG45" s="402">
        <f>IF(AND(29&gt;=$NR$45,29&lt;=$NS$45),IF($NP$45="Single_Point",IF(29=$NR$45,$NN$45,0),IF($NP$45="Bell_Curve",$NN$45*(29-$NR$45+1)*($NS$45-29+1)/$NU$45,$NN$45/$NT$45)),0)</f>
        <v/>
      </c>
      <c r="AH45" s="402">
        <f>IF(AND(30&gt;=$NR$45,30&lt;=$NS$45),IF($NP$45="Single_Point",IF(30=$NR$45,$NN$45,0),IF($NP$45="Bell_Curve",$NN$45*(30-$NR$45+1)*($NS$45-30+1)/$NU$45,$NN$45/$NT$45)),0)</f>
        <v/>
      </c>
      <c r="AI45" s="402">
        <f>IF(AND(31&gt;=$NR$45,31&lt;=$NS$45),IF($NP$45="Single_Point",IF(31=$NR$45,$NN$45,0),IF($NP$45="Bell_Curve",$NN$45*(31-$NR$45+1)*($NS$45-31+1)/$NU$45,$NN$45/$NT$45)),0)</f>
        <v/>
      </c>
      <c r="AJ45" s="402">
        <f>IF(AND(32&gt;=$NR$45,32&lt;=$NS$45),IF($NP$45="Single_Point",IF(32=$NR$45,$NN$45,0),IF($NP$45="Bell_Curve",$NN$45*(32-$NR$45+1)*($NS$45-32+1)/$NU$45,$NN$45/$NT$45)),0)</f>
        <v/>
      </c>
      <c r="AK45" s="402">
        <f>IF(AND(33&gt;=$NR$45,33&lt;=$NS$45),IF($NP$45="Single_Point",IF(33=$NR$45,$NN$45,0),IF($NP$45="Bell_Curve",$NN$45*(33-$NR$45+1)*($NS$45-33+1)/$NU$45,$NN$45/$NT$45)),0)</f>
        <v/>
      </c>
      <c r="AL45" s="402">
        <f>IF(AND(34&gt;=$NR$45,34&lt;=$NS$45),IF($NP$45="Single_Point",IF(34=$NR$45,$NN$45,0),IF($NP$45="Bell_Curve",$NN$45*(34-$NR$45+1)*($NS$45-34+1)/$NU$45,$NN$45/$NT$45)),0)</f>
        <v/>
      </c>
      <c r="AM45" s="402">
        <f>IF(AND(35&gt;=$NR$45,35&lt;=$NS$45),IF($NP$45="Single_Point",IF(35=$NR$45,$NN$45,0),IF($NP$45="Bell_Curve",$NN$45*(35-$NR$45+1)*($NS$45-35+1)/$NU$45,$NN$45/$NT$45)),0)</f>
        <v/>
      </c>
      <c r="AN45" s="402">
        <f>IF(AND(36&gt;=$NR$45,36&lt;=$NS$45),IF($NP$45="Single_Point",IF(36=$NR$45,$NN$45,0),IF($NP$45="Bell_Curve",$NN$45*(36-$NR$45+1)*($NS$45-36+1)/$NU$45,$NN$45/$NT$45)),0)</f>
        <v/>
      </c>
      <c r="AO45" s="402">
        <f>IF(AND(37&gt;=$NR$45,37&lt;=$NS$45),IF($NP$45="Single_Point",IF(37=$NR$45,$NN$45,0),IF($NP$45="Bell_Curve",$NN$45*(37-$NR$45+1)*($NS$45-37+1)/$NU$45,$NN$45/$NT$45)),0)</f>
        <v/>
      </c>
      <c r="AP45" s="402">
        <f>IF(AND(38&gt;=$NR$45,38&lt;=$NS$45),IF($NP$45="Single_Point",IF(38=$NR$45,$NN$45,0),IF($NP$45="Bell_Curve",$NN$45*(38-$NR$45+1)*($NS$45-38+1)/$NU$45,$NN$45/$NT$45)),0)</f>
        <v/>
      </c>
      <c r="AQ45" s="402">
        <f>IF(AND(39&gt;=$NR$45,39&lt;=$NS$45),IF($NP$45="Single_Point",IF(39=$NR$45,$NN$45,0),IF($NP$45="Bell_Curve",$NN$45*(39-$NR$45+1)*($NS$45-39+1)/$NU$45,$NN$45/$NT$45)),0)</f>
        <v/>
      </c>
      <c r="AR45" s="402">
        <f>IF(AND(40&gt;=$NR$45,40&lt;=$NS$45),IF($NP$45="Single_Point",IF(40=$NR$45,$NN$45,0),IF($NP$45="Bell_Curve",$NN$45*(40-$NR$45+1)*($NS$45-40+1)/$NU$45,$NN$45/$NT$45)),0)</f>
        <v/>
      </c>
      <c r="AS45" s="402">
        <f>IF(AND(41&gt;=$NR$45,41&lt;=$NS$45),IF($NP$45="Single_Point",IF(41=$NR$45,$NN$45,0),IF($NP$45="Bell_Curve",$NN$45*(41-$NR$45+1)*($NS$45-41+1)/$NU$45,$NN$45/$NT$45)),0)</f>
        <v/>
      </c>
      <c r="AT45" s="402">
        <f>IF(AND(42&gt;=$NR$45,42&lt;=$NS$45),IF($NP$45="Single_Point",IF(42=$NR$45,$NN$45,0),IF($NP$45="Bell_Curve",$NN$45*(42-$NR$45+1)*($NS$45-42+1)/$NU$45,$NN$45/$NT$45)),0)</f>
        <v/>
      </c>
      <c r="AU45" s="402">
        <f>IF(AND(43&gt;=$NR$45,43&lt;=$NS$45),IF($NP$45="Single_Point",IF(43=$NR$45,$NN$45,0),IF($NP$45="Bell_Curve",$NN$45*(43-$NR$45+1)*($NS$45-43+1)/$NU$45,$NN$45/$NT$45)),0)</f>
        <v/>
      </c>
      <c r="AV45" s="402">
        <f>IF(AND(44&gt;=$NR$45,44&lt;=$NS$45),IF($NP$45="Single_Point",IF(44=$NR$45,$NN$45,0),IF($NP$45="Bell_Curve",$NN$45*(44-$NR$45+1)*($NS$45-44+1)/$NU$45,$NN$45/$NT$45)),0)</f>
        <v/>
      </c>
      <c r="AW45" s="402">
        <f>IF(AND(45&gt;=$NR$45,45&lt;=$NS$45),IF($NP$45="Single_Point",IF(45=$NR$45,$NN$45,0),IF($NP$45="Bell_Curve",$NN$45*(45-$NR$45+1)*($NS$45-45+1)/$NU$45,$NN$45/$NT$45)),0)</f>
        <v/>
      </c>
      <c r="AX45" s="402">
        <f>IF(AND(46&gt;=$NR$45,46&lt;=$NS$45),IF($NP$45="Single_Point",IF(46=$NR$45,$NN$45,0),IF($NP$45="Bell_Curve",$NN$45*(46-$NR$45+1)*($NS$45-46+1)/$NU$45,$NN$45/$NT$45)),0)</f>
        <v/>
      </c>
      <c r="AY45" s="402">
        <f>IF(AND(47&gt;=$NR$45,47&lt;=$NS$45),IF($NP$45="Single_Point",IF(47=$NR$45,$NN$45,0),IF($NP$45="Bell_Curve",$NN$45*(47-$NR$45+1)*($NS$45-47+1)/$NU$45,$NN$45/$NT$45)),0)</f>
        <v/>
      </c>
      <c r="AZ45" s="402">
        <f>IF(AND(48&gt;=$NR$45,48&lt;=$NS$45),IF($NP$45="Single_Point",IF(48=$NR$45,$NN$45,0),IF($NP$45="Bell_Curve",$NN$45*(48-$NR$45+1)*($NS$45-48+1)/$NU$45,$NN$45/$NT$45)),0)</f>
        <v/>
      </c>
      <c r="BA45" s="402">
        <f>IF(AND(49&gt;=$NR$45,49&lt;=$NS$45),IF($NP$45="Single_Point",IF(49=$NR$45,$NN$45,0),IF($NP$45="Bell_Curve",$NN$45*(49-$NR$45+1)*($NS$45-49+1)/$NU$45,$NN$45/$NT$45)),0)</f>
        <v/>
      </c>
      <c r="BB45" s="402">
        <f>IF(AND(50&gt;=$NR$45,50&lt;=$NS$45),IF($NP$45="Single_Point",IF(50=$NR$45,$NN$45,0),IF($NP$45="Bell_Curve",$NN$45*(50-$NR$45+1)*($NS$45-50+1)/$NU$45,$NN$45/$NT$45)),0)</f>
        <v/>
      </c>
      <c r="BC45" s="402">
        <f>IF(AND(51&gt;=$NR$45,51&lt;=$NS$45),IF($NP$45="Single_Point",IF(51=$NR$45,$NN$45,0),IF($NP$45="Bell_Curve",$NN$45*(51-$NR$45+1)*($NS$45-51+1)/$NU$45,$NN$45/$NT$45)),0)</f>
        <v/>
      </c>
      <c r="BD45" s="402">
        <f>IF(AND(52&gt;=$NR$45,52&lt;=$NS$45),IF($NP$45="Single_Point",IF(52=$NR$45,$NN$45,0),IF($NP$45="Bell_Curve",$NN$45*(52-$NR$45+1)*($NS$45-52+1)/$NU$45,$NN$45/$NT$45)),0)</f>
        <v/>
      </c>
      <c r="BE45" s="402">
        <f>IF(AND(53&gt;=$NR$45,53&lt;=$NS$45),IF($NP$45="Single_Point",IF(53=$NR$45,$NN$45,0),IF($NP$45="Bell_Curve",$NN$45*(53-$NR$45+1)*($NS$45-53+1)/$NU$45,$NN$45/$NT$45)),0)</f>
        <v/>
      </c>
      <c r="BF45" s="402">
        <f>IF(AND(54&gt;=$NR$45,54&lt;=$NS$45),IF($NP$45="Single_Point",IF(54=$NR$45,$NN$45,0),IF($NP$45="Bell_Curve",$NN$45*(54-$NR$45+1)*($NS$45-54+1)/$NU$45,$NN$45/$NT$45)),0)</f>
        <v/>
      </c>
      <c r="BG45" s="402">
        <f>IF(AND(55&gt;=$NR$45,55&lt;=$NS$45),IF($NP$45="Single_Point",IF(55=$NR$45,$NN$45,0),IF($NP$45="Bell_Curve",$NN$45*(55-$NR$45+1)*($NS$45-55+1)/$NU$45,$NN$45/$NT$45)),0)</f>
        <v/>
      </c>
      <c r="BH45" s="402">
        <f>IF(AND(56&gt;=$NR$45,56&lt;=$NS$45),IF($NP$45="Single_Point",IF(56=$NR$45,$NN$45,0),IF($NP$45="Bell_Curve",$NN$45*(56-$NR$45+1)*($NS$45-56+1)/$NU$45,$NN$45/$NT$45)),0)</f>
        <v/>
      </c>
      <c r="BI45" s="402">
        <f>IF(AND(57&gt;=$NR$45,57&lt;=$NS$45),IF($NP$45="Single_Point",IF(57=$NR$45,$NN$45,0),IF($NP$45="Bell_Curve",$NN$45*(57-$NR$45+1)*($NS$45-57+1)/$NU$45,$NN$45/$NT$45)),0)</f>
        <v/>
      </c>
      <c r="BJ45" s="402">
        <f>IF(AND(58&gt;=$NR$45,58&lt;=$NS$45),IF($NP$45="Single_Point",IF(58=$NR$45,$NN$45,0),IF($NP$45="Bell_Curve",$NN$45*(58-$NR$45+1)*($NS$45-58+1)/$NU$45,$NN$45/$NT$45)),0)</f>
        <v/>
      </c>
      <c r="BK45" s="402">
        <f>IF(AND(59&gt;=$NR$45,59&lt;=$NS$45),IF($NP$45="Single_Point",IF(59=$NR$45,$NN$45,0),IF($NP$45="Bell_Curve",$NN$45*(59-$NR$45+1)*($NS$45-59+1)/$NU$45,$NN$45/$NT$45)),0)</f>
        <v/>
      </c>
      <c r="BL45" s="402">
        <f>IF(AND(60&gt;=$NR$45,60&lt;=$NS$45),IF($NP$45="Single_Point",IF(60=$NR$45,$NN$45,0),IF($NP$45="Bell_Curve",$NN$45*(60-$NR$45+1)*($NS$45-60+1)/$NU$45,$NN$45/$NT$45)),0)</f>
        <v/>
      </c>
      <c r="BM45" s="402">
        <f>IF(AND(61&gt;=$NR$45,61&lt;=$NS$45),IF($NP$45="Single_Point",IF(61=$NR$45,$NN$45,0),IF($NP$45="Bell_Curve",$NN$45*(61-$NR$45+1)*($NS$45-61+1)/$NU$45,$NN$45/$NT$45)),0)</f>
        <v/>
      </c>
      <c r="BN45" s="402">
        <f>IF(AND(62&gt;=$NR$45,62&lt;=$NS$45),IF($NP$45="Single_Point",IF(62=$NR$45,$NN$45,0),IF($NP$45="Bell_Curve",$NN$45*(62-$NR$45+1)*($NS$45-62+1)/$NU$45,$NN$45/$NT$45)),0)</f>
        <v/>
      </c>
      <c r="BO45" s="402">
        <f>IF(AND(63&gt;=$NR$45,63&lt;=$NS$45),IF($NP$45="Single_Point",IF(63=$NR$45,$NN$45,0),IF($NP$45="Bell_Curve",$NN$45*(63-$NR$45+1)*($NS$45-63+1)/$NU$45,$NN$45/$NT$45)),0)</f>
        <v/>
      </c>
      <c r="BP45" s="402">
        <f>IF(AND(64&gt;=$NR$45,64&lt;=$NS$45),IF($NP$45="Single_Point",IF(64=$NR$45,$NN$45,0),IF($NP$45="Bell_Curve",$NN$45*(64-$NR$45+1)*($NS$45-64+1)/$NU$45,$NN$45/$NT$45)),0)</f>
        <v/>
      </c>
      <c r="BQ45" s="402">
        <f>IF(AND(65&gt;=$NR$45,65&lt;=$NS$45),IF($NP$45="Single_Point",IF(65=$NR$45,$NN$45,0),IF($NP$45="Bell_Curve",$NN$45*(65-$NR$45+1)*($NS$45-65+1)/$NU$45,$NN$45/$NT$45)),0)</f>
        <v/>
      </c>
      <c r="BR45" s="402">
        <f>IF(AND(66&gt;=$NR$45,66&lt;=$NS$45),IF($NP$45="Single_Point",IF(66=$NR$45,$NN$45,0),IF($NP$45="Bell_Curve",$NN$45*(66-$NR$45+1)*($NS$45-66+1)/$NU$45,$NN$45/$NT$45)),0)</f>
        <v/>
      </c>
      <c r="BS45" s="402">
        <f>IF(AND(67&gt;=$NR$45,67&lt;=$NS$45),IF($NP$45="Single_Point",IF(67=$NR$45,$NN$45,0),IF($NP$45="Bell_Curve",$NN$45*(67-$NR$45+1)*($NS$45-67+1)/$NU$45,$NN$45/$NT$45)),0)</f>
        <v/>
      </c>
      <c r="BT45" s="402">
        <f>IF(AND(68&gt;=$NR$45,68&lt;=$NS$45),IF($NP$45="Single_Point",IF(68=$NR$45,$NN$45,0),IF($NP$45="Bell_Curve",$NN$45*(68-$NR$45+1)*($NS$45-68+1)/$NU$45,$NN$45/$NT$45)),0)</f>
        <v/>
      </c>
      <c r="BU45" s="402">
        <f>IF(AND(69&gt;=$NR$45,69&lt;=$NS$45),IF($NP$45="Single_Point",IF(69=$NR$45,$NN$45,0),IF($NP$45="Bell_Curve",$NN$45*(69-$NR$45+1)*($NS$45-69+1)/$NU$45,$NN$45/$NT$45)),0)</f>
        <v/>
      </c>
      <c r="BV45" s="402">
        <f>IF(AND(70&gt;=$NR$45,70&lt;=$NS$45),IF($NP$45="Single_Point",IF(70=$NR$45,$NN$45,0),IF($NP$45="Bell_Curve",$NN$45*(70-$NR$45+1)*($NS$45-70+1)/$NU$45,$NN$45/$NT$45)),0)</f>
        <v/>
      </c>
      <c r="BW45" s="402">
        <f>IF(AND(71&gt;=$NR$45,71&lt;=$NS$45),IF($NP$45="Single_Point",IF(71=$NR$45,$NN$45,0),IF($NP$45="Bell_Curve",$NN$45*(71-$NR$45+1)*($NS$45-71+1)/$NU$45,$NN$45/$NT$45)),0)</f>
        <v/>
      </c>
      <c r="BX45" s="402">
        <f>IF(AND(72&gt;=$NR$45,72&lt;=$NS$45),IF($NP$45="Single_Point",IF(72=$NR$45,$NN$45,0),IF($NP$45="Bell_Curve",$NN$45*(72-$NR$45+1)*($NS$45-72+1)/$NU$45,$NN$45/$NT$45)),0)</f>
        <v/>
      </c>
      <c r="BY45" s="402">
        <f>IF(AND(73&gt;=$NR$45,73&lt;=$NS$45),IF($NP$45="Single_Point",IF(73=$NR$45,$NN$45,0),IF($NP$45="Bell_Curve",$NN$45*(73-$NR$45+1)*($NS$45-73+1)/$NU$45,$NN$45/$NT$45)),0)</f>
        <v/>
      </c>
      <c r="BZ45" s="402">
        <f>IF(AND(74&gt;=$NR$45,74&lt;=$NS$45),IF($NP$45="Single_Point",IF(74=$NR$45,$NN$45,0),IF($NP$45="Bell_Curve",$NN$45*(74-$NR$45+1)*($NS$45-74+1)/$NU$45,$NN$45/$NT$45)),0)</f>
        <v/>
      </c>
      <c r="CA45" s="402">
        <f>IF(AND(75&gt;=$NR$45,75&lt;=$NS$45),IF($NP$45="Single_Point",IF(75=$NR$45,$NN$45,0),IF($NP$45="Bell_Curve",$NN$45*(75-$NR$45+1)*($NS$45-75+1)/$NU$45,$NN$45/$NT$45)),0)</f>
        <v/>
      </c>
      <c r="CB45" s="402">
        <f>IF(AND(76&gt;=$NR$45,76&lt;=$NS$45),IF($NP$45="Single_Point",IF(76=$NR$45,$NN$45,0),IF($NP$45="Bell_Curve",$NN$45*(76-$NR$45+1)*($NS$45-76+1)/$NU$45,$NN$45/$NT$45)),0)</f>
        <v/>
      </c>
      <c r="CC45" s="402">
        <f>IF(AND(77&gt;=$NR$45,77&lt;=$NS$45),IF($NP$45="Single_Point",IF(77=$NR$45,$NN$45,0),IF($NP$45="Bell_Curve",$NN$45*(77-$NR$45+1)*($NS$45-77+1)/$NU$45,$NN$45/$NT$45)),0)</f>
        <v/>
      </c>
      <c r="CD45" s="402">
        <f>IF(AND(78&gt;=$NR$45,78&lt;=$NS$45),IF($NP$45="Single_Point",IF(78=$NR$45,$NN$45,0),IF($NP$45="Bell_Curve",$NN$45*(78-$NR$45+1)*($NS$45-78+1)/$NU$45,$NN$45/$NT$45)),0)</f>
        <v/>
      </c>
      <c r="CE45" s="402">
        <f>IF(AND(79&gt;=$NR$45,79&lt;=$NS$45),IF($NP$45="Single_Point",IF(79=$NR$45,$NN$45,0),IF($NP$45="Bell_Curve",$NN$45*(79-$NR$45+1)*($NS$45-79+1)/$NU$45,$NN$45/$NT$45)),0)</f>
        <v/>
      </c>
      <c r="CF45" s="402">
        <f>IF(AND(80&gt;=$NR$45,80&lt;=$NS$45),IF($NP$45="Single_Point",IF(80=$NR$45,$NN$45,0),IF($NP$45="Bell_Curve",$NN$45*(80-$NR$45+1)*($NS$45-80+1)/$NU$45,$NN$45/$NT$45)),0)</f>
        <v/>
      </c>
      <c r="CG45" s="402">
        <f>IF(AND(81&gt;=$NR$45,81&lt;=$NS$45),IF($NP$45="Single_Point",IF(81=$NR$45,$NN$45,0),IF($NP$45="Bell_Curve",$NN$45*(81-$NR$45+1)*($NS$45-81+1)/$NU$45,$NN$45/$NT$45)),0)</f>
        <v/>
      </c>
      <c r="CH45" s="402">
        <f>IF(AND(82&gt;=$NR$45,82&lt;=$NS$45),IF($NP$45="Single_Point",IF(82=$NR$45,$NN$45,0),IF($NP$45="Bell_Curve",$NN$45*(82-$NR$45+1)*($NS$45-82+1)/$NU$45,$NN$45/$NT$45)),0)</f>
        <v/>
      </c>
      <c r="CI45" s="402">
        <f>IF(AND(83&gt;=$NR$45,83&lt;=$NS$45),IF($NP$45="Single_Point",IF(83=$NR$45,$NN$45,0),IF($NP$45="Bell_Curve",$NN$45*(83-$NR$45+1)*($NS$45-83+1)/$NU$45,$NN$45/$NT$45)),0)</f>
        <v/>
      </c>
      <c r="CJ45" s="402">
        <f>IF(AND(84&gt;=$NR$45,84&lt;=$NS$45),IF($NP$45="Single_Point",IF(84=$NR$45,$NN$45,0),IF($NP$45="Bell_Curve",$NN$45*(84-$NR$45+1)*($NS$45-84+1)/$NU$45,$NN$45/$NT$45)),0)</f>
        <v/>
      </c>
      <c r="CK45" s="402">
        <f>IF(AND(85&gt;=$NR$45,85&lt;=$NS$45),IF($NP$45="Single_Point",IF(85=$NR$45,$NN$45,0),IF($NP$45="Bell_Curve",$NN$45*(85-$NR$45+1)*($NS$45-85+1)/$NU$45,$NN$45/$NT$45)),0)</f>
        <v/>
      </c>
      <c r="CL45" s="402">
        <f>IF(AND(86&gt;=$NR$45,86&lt;=$NS$45),IF($NP$45="Single_Point",IF(86=$NR$45,$NN$45,0),IF($NP$45="Bell_Curve",$NN$45*(86-$NR$45+1)*($NS$45-86+1)/$NU$45,$NN$45/$NT$45)),0)</f>
        <v/>
      </c>
      <c r="CM45" s="402">
        <f>IF(AND(87&gt;=$NR$45,87&lt;=$NS$45),IF($NP$45="Single_Point",IF(87=$NR$45,$NN$45,0),IF($NP$45="Bell_Curve",$NN$45*(87-$NR$45+1)*($NS$45-87+1)/$NU$45,$NN$45/$NT$45)),0)</f>
        <v/>
      </c>
      <c r="CN45" s="402">
        <f>IF(AND(88&gt;=$NR$45,88&lt;=$NS$45),IF($NP$45="Single_Point",IF(88=$NR$45,$NN$45,0),IF($NP$45="Bell_Curve",$NN$45*(88-$NR$45+1)*($NS$45-88+1)/$NU$45,$NN$45/$NT$45)),0)</f>
        <v/>
      </c>
      <c r="CO45" s="402">
        <f>IF(AND(89&gt;=$NR$45,89&lt;=$NS$45),IF($NP$45="Single_Point",IF(89=$NR$45,$NN$45,0),IF($NP$45="Bell_Curve",$NN$45*(89-$NR$45+1)*($NS$45-89+1)/$NU$45,$NN$45/$NT$45)),0)</f>
        <v/>
      </c>
      <c r="CP45" s="402">
        <f>IF(AND(90&gt;=$NR$45,90&lt;=$NS$45),IF($NP$45="Single_Point",IF(90=$NR$45,$NN$45,0),IF($NP$45="Bell_Curve",$NN$45*(90-$NR$45+1)*($NS$45-90+1)/$NU$45,$NN$45/$NT$45)),0)</f>
        <v/>
      </c>
      <c r="CQ45" s="402">
        <f>IF(AND(91&gt;=$NR$45,91&lt;=$NS$45),IF($NP$45="Single_Point",IF(91=$NR$45,$NN$45,0),IF($NP$45="Bell_Curve",$NN$45*(91-$NR$45+1)*($NS$45-91+1)/$NU$45,$NN$45/$NT$45)),0)</f>
        <v/>
      </c>
      <c r="CR45" s="402">
        <f>IF(AND(92&gt;=$NR$45,92&lt;=$NS$45),IF($NP$45="Single_Point",IF(92=$NR$45,$NN$45,0),IF($NP$45="Bell_Curve",$NN$45*(92-$NR$45+1)*($NS$45-92+1)/$NU$45,$NN$45/$NT$45)),0)</f>
        <v/>
      </c>
      <c r="CS45" s="402">
        <f>IF(AND(93&gt;=$NR$45,93&lt;=$NS$45),IF($NP$45="Single_Point",IF(93=$NR$45,$NN$45,0),IF($NP$45="Bell_Curve",$NN$45*(93-$NR$45+1)*($NS$45-93+1)/$NU$45,$NN$45/$NT$45)),0)</f>
        <v/>
      </c>
      <c r="CT45" s="402">
        <f>IF(AND(94&gt;=$NR$45,94&lt;=$NS$45),IF($NP$45="Single_Point",IF(94=$NR$45,$NN$45,0),IF($NP$45="Bell_Curve",$NN$45*(94-$NR$45+1)*($NS$45-94+1)/$NU$45,$NN$45/$NT$45)),0)</f>
        <v/>
      </c>
      <c r="CU45" s="402">
        <f>IF(AND(95&gt;=$NR$45,95&lt;=$NS$45),IF($NP$45="Single_Point",IF(95=$NR$45,$NN$45,0),IF($NP$45="Bell_Curve",$NN$45*(95-$NR$45+1)*($NS$45-95+1)/$NU$45,$NN$45/$NT$45)),0)</f>
        <v/>
      </c>
      <c r="CV45" s="402">
        <f>IF(AND(96&gt;=$NR$45,96&lt;=$NS$45),IF($NP$45="Single_Point",IF(96=$NR$45,$NN$45,0),IF($NP$45="Bell_Curve",$NN$45*(96-$NR$45+1)*($NS$45-96+1)/$NU$45,$NN$45/$NT$45)),0)</f>
        <v/>
      </c>
      <c r="CW45" s="402">
        <f>IF(AND(97&gt;=$NR$45,97&lt;=$NS$45),IF($NP$45="Single_Point",IF(97=$NR$45,$NN$45,0),IF($NP$45="Bell_Curve",$NN$45*(97-$NR$45+1)*($NS$45-97+1)/$NU$45,$NN$45/$NT$45)),0)</f>
        <v/>
      </c>
      <c r="CX45" s="402">
        <f>IF(AND(98&gt;=$NR$45,98&lt;=$NS$45),IF($NP$45="Single_Point",IF(98=$NR$45,$NN$45,0),IF($NP$45="Bell_Curve",$NN$45*(98-$NR$45+1)*($NS$45-98+1)/$NU$45,$NN$45/$NT$45)),0)</f>
        <v/>
      </c>
      <c r="CY45" s="402">
        <f>IF(AND(99&gt;=$NR$45,99&lt;=$NS$45),IF($NP$45="Single_Point",IF(99=$NR$45,$NN$45,0),IF($NP$45="Bell_Curve",$NN$45*(99-$NR$45+1)*($NS$45-99+1)/$NU$45,$NN$45/$NT$45)),0)</f>
        <v/>
      </c>
      <c r="CZ45" s="402">
        <f>IF(AND(100&gt;=$NR$45,100&lt;=$NS$45),IF($NP$45="Single_Point",IF(100=$NR$45,$NN$45,0),IF($NP$45="Bell_Curve",$NN$45*(100-$NR$45+1)*($NS$45-100+1)/$NU$45,$NN$45/$NT$45)),0)</f>
        <v/>
      </c>
      <c r="DA45" s="402">
        <f>IF(AND(101&gt;=$NR$45,101&lt;=$NS$45),IF($NP$45="Single_Point",IF(101=$NR$45,$NN$45,0),IF($NP$45="Bell_Curve",$NN$45*(101-$NR$45+1)*($NS$45-101+1)/$NU$45,$NN$45/$NT$45)),0)</f>
        <v/>
      </c>
      <c r="DB45" s="402">
        <f>IF(AND(102&gt;=$NR$45,102&lt;=$NS$45),IF($NP$45="Single_Point",IF(102=$NR$45,$NN$45,0),IF($NP$45="Bell_Curve",$NN$45*(102-$NR$45+1)*($NS$45-102+1)/$NU$45,$NN$45/$NT$45)),0)</f>
        <v/>
      </c>
      <c r="DC45" s="402">
        <f>IF(AND(103&gt;=$NR$45,103&lt;=$NS$45),IF($NP$45="Single_Point",IF(103=$NR$45,$NN$45,0),IF($NP$45="Bell_Curve",$NN$45*(103-$NR$45+1)*($NS$45-103+1)/$NU$45,$NN$45/$NT$45)),0)</f>
        <v/>
      </c>
      <c r="DD45" s="402">
        <f>IF(AND(104&gt;=$NR$45,104&lt;=$NS$45),IF($NP$45="Single_Point",IF(104=$NR$45,$NN$45,0),IF($NP$45="Bell_Curve",$NN$45*(104-$NR$45+1)*($NS$45-104+1)/$NU$45,$NN$45/$NT$45)),0)</f>
        <v/>
      </c>
      <c r="DE45" s="402">
        <f>IF(AND(105&gt;=$NR$45,105&lt;=$NS$45),IF($NP$45="Single_Point",IF(105=$NR$45,$NN$45,0),IF($NP$45="Bell_Curve",$NN$45*(105-$NR$45+1)*($NS$45-105+1)/$NU$45,$NN$45/$NT$45)),0)</f>
        <v/>
      </c>
      <c r="DF45" s="402">
        <f>IF(AND(106&gt;=$NR$45,106&lt;=$NS$45),IF($NP$45="Single_Point",IF(106=$NR$45,$NN$45,0),IF($NP$45="Bell_Curve",$NN$45*(106-$NR$45+1)*($NS$45-106+1)/$NU$45,$NN$45/$NT$45)),0)</f>
        <v/>
      </c>
      <c r="DG45" s="402">
        <f>IF(AND(107&gt;=$NR$45,107&lt;=$NS$45),IF($NP$45="Single_Point",IF(107=$NR$45,$NN$45,0),IF($NP$45="Bell_Curve",$NN$45*(107-$NR$45+1)*($NS$45-107+1)/$NU$45,$NN$45/$NT$45)),0)</f>
        <v/>
      </c>
      <c r="DH45" s="402">
        <f>IF(AND(108&gt;=$NR$45,108&lt;=$NS$45),IF($NP$45="Single_Point",IF(108=$NR$45,$NN$45,0),IF($NP$45="Bell_Curve",$NN$45*(108-$NR$45+1)*($NS$45-108+1)/$NU$45,$NN$45/$NT$45)),0)</f>
        <v/>
      </c>
      <c r="DI45" s="402">
        <f>IF(AND(109&gt;=$NR$45,109&lt;=$NS$45),IF($NP$45="Single_Point",IF(109=$NR$45,$NN$45,0),IF($NP$45="Bell_Curve",$NN$45*(109-$NR$45+1)*($NS$45-109+1)/$NU$45,$NN$45/$NT$45)),0)</f>
        <v/>
      </c>
      <c r="DJ45" s="402">
        <f>IF(AND(110&gt;=$NR$45,110&lt;=$NS$45),IF($NP$45="Single_Point",IF(110=$NR$45,$NN$45,0),IF($NP$45="Bell_Curve",$NN$45*(110-$NR$45+1)*($NS$45-110+1)/$NU$45,$NN$45/$NT$45)),0)</f>
        <v/>
      </c>
      <c r="DK45" s="402">
        <f>IF(AND(111&gt;=$NR$45,111&lt;=$NS$45),IF($NP$45="Single_Point",IF(111=$NR$45,$NN$45,0),IF($NP$45="Bell_Curve",$NN$45*(111-$NR$45+1)*($NS$45-111+1)/$NU$45,$NN$45/$NT$45)),0)</f>
        <v/>
      </c>
      <c r="DL45" s="402">
        <f>IF(AND(112&gt;=$NR$45,112&lt;=$NS$45),IF($NP$45="Single_Point",IF(112=$NR$45,$NN$45,0),IF($NP$45="Bell_Curve",$NN$45*(112-$NR$45+1)*($NS$45-112+1)/$NU$45,$NN$45/$NT$45)),0)</f>
        <v/>
      </c>
      <c r="DM45" s="402">
        <f>IF(AND(113&gt;=$NR$45,113&lt;=$NS$45),IF($NP$45="Single_Point",IF(113=$NR$45,$NN$45,0),IF($NP$45="Bell_Curve",$NN$45*(113-$NR$45+1)*($NS$45-113+1)/$NU$45,$NN$45/$NT$45)),0)</f>
        <v/>
      </c>
      <c r="DN45" s="402">
        <f>IF(AND(114&gt;=$NR$45,114&lt;=$NS$45),IF($NP$45="Single_Point",IF(114=$NR$45,$NN$45,0),IF($NP$45="Bell_Curve",$NN$45*(114-$NR$45+1)*($NS$45-114+1)/$NU$45,$NN$45/$NT$45)),0)</f>
        <v/>
      </c>
      <c r="DO45" s="402">
        <f>IF(AND(115&gt;=$NR$45,115&lt;=$NS$45),IF($NP$45="Single_Point",IF(115=$NR$45,$NN$45,0),IF($NP$45="Bell_Curve",$NN$45*(115-$NR$45+1)*($NS$45-115+1)/$NU$45,$NN$45/$NT$45)),0)</f>
        <v/>
      </c>
      <c r="DP45" s="402">
        <f>IF(AND(116&gt;=$NR$45,116&lt;=$NS$45),IF($NP$45="Single_Point",IF(116=$NR$45,$NN$45,0),IF($NP$45="Bell_Curve",$NN$45*(116-$NR$45+1)*($NS$45-116+1)/$NU$45,$NN$45/$NT$45)),0)</f>
        <v/>
      </c>
      <c r="DQ45" s="402">
        <f>IF(AND(117&gt;=$NR$45,117&lt;=$NS$45),IF($NP$45="Single_Point",IF(117=$NR$45,$NN$45,0),IF($NP$45="Bell_Curve",$NN$45*(117-$NR$45+1)*($NS$45-117+1)/$NU$45,$NN$45/$NT$45)),0)</f>
        <v/>
      </c>
      <c r="DR45" s="402">
        <f>IF(AND(118&gt;=$NR$45,118&lt;=$NS$45),IF($NP$45="Single_Point",IF(118=$NR$45,$NN$45,0),IF($NP$45="Bell_Curve",$NN$45*(118-$NR$45+1)*($NS$45-118+1)/$NU$45,$NN$45/$NT$45)),0)</f>
        <v/>
      </c>
      <c r="DS45" s="402">
        <f>IF(AND(119&gt;=$NR$45,119&lt;=$NS$45),IF($NP$45="Single_Point",IF(119=$NR$45,$NN$45,0),IF($NP$45="Bell_Curve",$NN$45*(119-$NR$45+1)*($NS$45-119+1)/$NU$45,$NN$45/$NT$45)),0)</f>
        <v/>
      </c>
      <c r="DT45" s="402">
        <f>IF(AND(120&gt;=$NR$45,120&lt;=$NS$45),IF($NP$45="Single_Point",IF(120=$NR$45,$NN$45,0),IF($NP$45="Bell_Curve",$NN$45*(120-$NR$45+1)*($NS$45-120+1)/$NU$45,$NN$45/$NT$45)),0)</f>
        <v/>
      </c>
      <c r="DU45" s="402">
        <f>IF(AND(121&gt;=$NR$45,121&lt;=$NS$45),IF($NP$45="Single_Point",IF(121=$NR$45,$NN$45,0),IF($NP$45="Bell_Curve",$NN$45*(121-$NR$45+1)*($NS$45-121+1)/$NU$45,$NN$45/$NT$45)),0)</f>
        <v/>
      </c>
      <c r="DV45" s="402">
        <f>IF(AND(122&gt;=$NR$45,122&lt;=$NS$45),IF($NP$45="Single_Point",IF(122=$NR$45,$NN$45,0),IF($NP$45="Bell_Curve",$NN$45*(122-$NR$45+1)*($NS$45-122+1)/$NU$45,$NN$45/$NT$45)),0)</f>
        <v/>
      </c>
      <c r="DW45" s="402">
        <f>IF(AND(123&gt;=$NR$45,123&lt;=$NS$45),IF($NP$45="Single_Point",IF(123=$NR$45,$NN$45,0),IF($NP$45="Bell_Curve",$NN$45*(123-$NR$45+1)*($NS$45-123+1)/$NU$45,$NN$45/$NT$45)),0)</f>
        <v/>
      </c>
      <c r="DX45" s="402">
        <f>IF(AND(124&gt;=$NR$45,124&lt;=$NS$45),IF($NP$45="Single_Point",IF(124=$NR$45,$NN$45,0),IF($NP$45="Bell_Curve",$NN$45*(124-$NR$45+1)*($NS$45-124+1)/$NU$45,$NN$45/$NT$45)),0)</f>
        <v/>
      </c>
      <c r="DY45" s="402">
        <f>IF(AND(125&gt;=$NR$45,125&lt;=$NS$45),IF($NP$45="Single_Point",IF(125=$NR$45,$NN$45,0),IF($NP$45="Bell_Curve",$NN$45*(125-$NR$45+1)*($NS$45-125+1)/$NU$45,$NN$45/$NT$45)),0)</f>
        <v/>
      </c>
      <c r="DZ45" s="402">
        <f>IF(AND(126&gt;=$NR$45,126&lt;=$NS$45),IF($NP$45="Single_Point",IF(126=$NR$45,$NN$45,0),IF($NP$45="Bell_Curve",$NN$45*(126-$NR$45+1)*($NS$45-126+1)/$NU$45,$NN$45/$NT$45)),0)</f>
        <v/>
      </c>
      <c r="EA45" s="402">
        <f>IF(AND(127&gt;=$NR$45,127&lt;=$NS$45),IF($NP$45="Single_Point",IF(127=$NR$45,$NN$45,0),IF($NP$45="Bell_Curve",$NN$45*(127-$NR$45+1)*($NS$45-127+1)/$NU$45,$NN$45/$NT$45)),0)</f>
        <v/>
      </c>
      <c r="EB45" s="402">
        <f>IF(AND(128&gt;=$NR$45,128&lt;=$NS$45),IF($NP$45="Single_Point",IF(128=$NR$45,$NN$45,0),IF($NP$45="Bell_Curve",$NN$45*(128-$NR$45+1)*($NS$45-128+1)/$NU$45,$NN$45/$NT$45)),0)</f>
        <v/>
      </c>
      <c r="EC45" s="402">
        <f>IF(AND(129&gt;=$NR$45,129&lt;=$NS$45),IF($NP$45="Single_Point",IF(129=$NR$45,$NN$45,0),IF($NP$45="Bell_Curve",$NN$45*(129-$NR$45+1)*($NS$45-129+1)/$NU$45,$NN$45/$NT$45)),0)</f>
        <v/>
      </c>
      <c r="ED45" s="402">
        <f>IF(AND(130&gt;=$NR$45,130&lt;=$NS$45),IF($NP$45="Single_Point",IF(130=$NR$45,$NN$45,0),IF($NP$45="Bell_Curve",$NN$45*(130-$NR$45+1)*($NS$45-130+1)/$NU$45,$NN$45/$NT$45)),0)</f>
        <v/>
      </c>
      <c r="EE45" s="402">
        <f>IF(AND(131&gt;=$NR$45,131&lt;=$NS$45),IF($NP$45="Single_Point",IF(131=$NR$45,$NN$45,0),IF($NP$45="Bell_Curve",$NN$45*(131-$NR$45+1)*($NS$45-131+1)/$NU$45,$NN$45/$NT$45)),0)</f>
        <v/>
      </c>
      <c r="EF45" s="402">
        <f>IF(AND(132&gt;=$NR$45,132&lt;=$NS$45),IF($NP$45="Single_Point",IF(132=$NR$45,$NN$45,0),IF($NP$45="Bell_Curve",$NN$45*(132-$NR$45+1)*($NS$45-132+1)/$NU$45,$NN$45/$NT$45)),0)</f>
        <v/>
      </c>
      <c r="EG45" s="402">
        <f>IF(AND(133&gt;=$NR$45,133&lt;=$NS$45),IF($NP$45="Single_Point",IF(133=$NR$45,$NN$45,0),IF($NP$45="Bell_Curve",$NN$45*(133-$NR$45+1)*($NS$45-133+1)/$NU$45,$NN$45/$NT$45)),0)</f>
        <v/>
      </c>
      <c r="EH45" s="402">
        <f>IF(AND(134&gt;=$NR$45,134&lt;=$NS$45),IF($NP$45="Single_Point",IF(134=$NR$45,$NN$45,0),IF($NP$45="Bell_Curve",$NN$45*(134-$NR$45+1)*($NS$45-134+1)/$NU$45,$NN$45/$NT$45)),0)</f>
        <v/>
      </c>
      <c r="EI45" s="402">
        <f>IF(AND(135&gt;=$NR$45,135&lt;=$NS$45),IF($NP$45="Single_Point",IF(135=$NR$45,$NN$45,0),IF($NP$45="Bell_Curve",$NN$45*(135-$NR$45+1)*($NS$45-135+1)/$NU$45,$NN$45/$NT$45)),0)</f>
        <v/>
      </c>
      <c r="EJ45" s="402">
        <f>IF(AND(136&gt;=$NR$45,136&lt;=$NS$45),IF($NP$45="Single_Point",IF(136=$NR$45,$NN$45,0),IF($NP$45="Bell_Curve",$NN$45*(136-$NR$45+1)*($NS$45-136+1)/$NU$45,$NN$45/$NT$45)),0)</f>
        <v/>
      </c>
      <c r="EK45" s="402">
        <f>IF(AND(137&gt;=$NR$45,137&lt;=$NS$45),IF($NP$45="Single_Point",IF(137=$NR$45,$NN$45,0),IF($NP$45="Bell_Curve",$NN$45*(137-$NR$45+1)*($NS$45-137+1)/$NU$45,$NN$45/$NT$45)),0)</f>
        <v/>
      </c>
      <c r="EL45" s="402">
        <f>IF(AND(138&gt;=$NR$45,138&lt;=$NS$45),IF($NP$45="Single_Point",IF(138=$NR$45,$NN$45,0),IF($NP$45="Bell_Curve",$NN$45*(138-$NR$45+1)*($NS$45-138+1)/$NU$45,$NN$45/$NT$45)),0)</f>
        <v/>
      </c>
      <c r="EM45" s="402">
        <f>IF(AND(139&gt;=$NR$45,139&lt;=$NS$45),IF($NP$45="Single_Point",IF(139=$NR$45,$NN$45,0),IF($NP$45="Bell_Curve",$NN$45*(139-$NR$45+1)*($NS$45-139+1)/$NU$45,$NN$45/$NT$45)),0)</f>
        <v/>
      </c>
      <c r="EN45" s="402">
        <f>IF(AND(140&gt;=$NR$45,140&lt;=$NS$45),IF($NP$45="Single_Point",IF(140=$NR$45,$NN$45,0),IF($NP$45="Bell_Curve",$NN$45*(140-$NR$45+1)*($NS$45-140+1)/$NU$45,$NN$45/$NT$45)),0)</f>
        <v/>
      </c>
      <c r="EO45" s="402">
        <f>IF(AND(141&gt;=$NR$45,141&lt;=$NS$45),IF($NP$45="Single_Point",IF(141=$NR$45,$NN$45,0),IF($NP$45="Bell_Curve",$NN$45*(141-$NR$45+1)*($NS$45-141+1)/$NU$45,$NN$45/$NT$45)),0)</f>
        <v/>
      </c>
      <c r="EP45" s="402">
        <f>IF(AND(142&gt;=$NR$45,142&lt;=$NS$45),IF($NP$45="Single_Point",IF(142=$NR$45,$NN$45,0),IF($NP$45="Bell_Curve",$NN$45*(142-$NR$45+1)*($NS$45-142+1)/$NU$45,$NN$45/$NT$45)),0)</f>
        <v/>
      </c>
      <c r="EQ45" s="402">
        <f>IF(AND(143&gt;=$NR$45,143&lt;=$NS$45),IF($NP$45="Single_Point",IF(143=$NR$45,$NN$45,0),IF($NP$45="Bell_Curve",$NN$45*(143-$NR$45+1)*($NS$45-143+1)/$NU$45,$NN$45/$NT$45)),0)</f>
        <v/>
      </c>
      <c r="ER45" s="402">
        <f>IF(AND(144&gt;=$NR$45,144&lt;=$NS$45),IF($NP$45="Single_Point",IF(144=$NR$45,$NN$45,0),IF($NP$45="Bell_Curve",$NN$45*(144-$NR$45+1)*($NS$45-144+1)/$NU$45,$NN$45/$NT$45)),0)</f>
        <v/>
      </c>
      <c r="ES45" s="402">
        <f>IF(AND(145&gt;=$NR$45,145&lt;=$NS$45),IF($NP$45="Single_Point",IF(145=$NR$45,$NN$45,0),IF($NP$45="Bell_Curve",$NN$45*(145-$NR$45+1)*($NS$45-145+1)/$NU$45,$NN$45/$NT$45)),0)</f>
        <v/>
      </c>
      <c r="ET45" s="402">
        <f>IF(AND(146&gt;=$NR$45,146&lt;=$NS$45),IF($NP$45="Single_Point",IF(146=$NR$45,$NN$45,0),IF($NP$45="Bell_Curve",$NN$45*(146-$NR$45+1)*($NS$45-146+1)/$NU$45,$NN$45/$NT$45)),0)</f>
        <v/>
      </c>
      <c r="EU45" s="402">
        <f>IF(AND(147&gt;=$NR$45,147&lt;=$NS$45),IF($NP$45="Single_Point",IF(147=$NR$45,$NN$45,0),IF($NP$45="Bell_Curve",$NN$45*(147-$NR$45+1)*($NS$45-147+1)/$NU$45,$NN$45/$NT$45)),0)</f>
        <v/>
      </c>
      <c r="EV45" s="402">
        <f>IF(AND(148&gt;=$NR$45,148&lt;=$NS$45),IF($NP$45="Single_Point",IF(148=$NR$45,$NN$45,0),IF($NP$45="Bell_Curve",$NN$45*(148-$NR$45+1)*($NS$45-148+1)/$NU$45,$NN$45/$NT$45)),0)</f>
        <v/>
      </c>
      <c r="EW45" s="402">
        <f>IF(AND(149&gt;=$NR$45,149&lt;=$NS$45),IF($NP$45="Single_Point",IF(149=$NR$45,$NN$45,0),IF($NP$45="Bell_Curve",$NN$45*(149-$NR$45+1)*($NS$45-149+1)/$NU$45,$NN$45/$NT$45)),0)</f>
        <v/>
      </c>
      <c r="EX45" s="402">
        <f>IF(AND(150&gt;=$NR$45,150&lt;=$NS$45),IF($NP$45="Single_Point",IF(150=$NR$45,$NN$45,0),IF($NP$45="Bell_Curve",$NN$45*(150-$NR$45+1)*($NS$45-150+1)/$NU$45,$NN$45/$NT$45)),0)</f>
        <v/>
      </c>
      <c r="EY45" s="402">
        <f>IF(AND(151&gt;=$NR$45,151&lt;=$NS$45),IF($NP$45="Single_Point",IF(151=$NR$45,$NN$45,0),IF($NP$45="Bell_Curve",$NN$45*(151-$NR$45+1)*($NS$45-151+1)/$NU$45,$NN$45/$NT$45)),0)</f>
        <v/>
      </c>
      <c r="EZ45" s="402">
        <f>IF(AND(152&gt;=$NR$45,152&lt;=$NS$45),IF($NP$45="Single_Point",IF(152=$NR$45,$NN$45,0),IF($NP$45="Bell_Curve",$NN$45*(152-$NR$45+1)*($NS$45-152+1)/$NU$45,$NN$45/$NT$45)),0)</f>
        <v/>
      </c>
      <c r="FA45" s="402">
        <f>IF(AND(153&gt;=$NR$45,153&lt;=$NS$45),IF($NP$45="Single_Point",IF(153=$NR$45,$NN$45,0),IF($NP$45="Bell_Curve",$NN$45*(153-$NR$45+1)*($NS$45-153+1)/$NU$45,$NN$45/$NT$45)),0)</f>
        <v/>
      </c>
      <c r="FB45" s="402">
        <f>IF(AND(154&gt;=$NR$45,154&lt;=$NS$45),IF($NP$45="Single_Point",IF(154=$NR$45,$NN$45,0),IF($NP$45="Bell_Curve",$NN$45*(154-$NR$45+1)*($NS$45-154+1)/$NU$45,$NN$45/$NT$45)),0)</f>
        <v/>
      </c>
      <c r="FC45" s="402">
        <f>IF(AND(155&gt;=$NR$45,155&lt;=$NS$45),IF($NP$45="Single_Point",IF(155=$NR$45,$NN$45,0),IF($NP$45="Bell_Curve",$NN$45*(155-$NR$45+1)*($NS$45-155+1)/$NU$45,$NN$45/$NT$45)),0)</f>
        <v/>
      </c>
      <c r="FD45" s="402">
        <f>IF(AND(156&gt;=$NR$45,156&lt;=$NS$45),IF($NP$45="Single_Point",IF(156=$NR$45,$NN$45,0),IF($NP$45="Bell_Curve",$NN$45*(156-$NR$45+1)*($NS$45-156+1)/$NU$45,$NN$45/$NT$45)),0)</f>
        <v/>
      </c>
      <c r="FE45" s="402">
        <f>IF(AND(157&gt;=$NR$45,157&lt;=$NS$45),IF($NP$45="Single_Point",IF(157=$NR$45,$NN$45,0),IF($NP$45="Bell_Curve",$NN$45*(157-$NR$45+1)*($NS$45-157+1)/$NU$45,$NN$45/$NT$45)),0)</f>
        <v/>
      </c>
      <c r="FF45" s="402">
        <f>IF(AND(158&gt;=$NR$45,158&lt;=$NS$45),IF($NP$45="Single_Point",IF(158=$NR$45,$NN$45,0),IF($NP$45="Bell_Curve",$NN$45*(158-$NR$45+1)*($NS$45-158+1)/$NU$45,$NN$45/$NT$45)),0)</f>
        <v/>
      </c>
      <c r="FG45" s="402">
        <f>IF(AND(159&gt;=$NR$45,159&lt;=$NS$45),IF($NP$45="Single_Point",IF(159=$NR$45,$NN$45,0),IF($NP$45="Bell_Curve",$NN$45*(159-$NR$45+1)*($NS$45-159+1)/$NU$45,$NN$45/$NT$45)),0)</f>
        <v/>
      </c>
      <c r="FH45" s="402">
        <f>IF(AND(160&gt;=$NR$45,160&lt;=$NS$45),IF($NP$45="Single_Point",IF(160=$NR$45,$NN$45,0),IF($NP$45="Bell_Curve",$NN$45*(160-$NR$45+1)*($NS$45-160+1)/$NU$45,$NN$45/$NT$45)),0)</f>
        <v/>
      </c>
      <c r="FI45" s="402">
        <f>IF(AND(161&gt;=$NR$45,161&lt;=$NS$45),IF($NP$45="Single_Point",IF(161=$NR$45,$NN$45,0),IF($NP$45="Bell_Curve",$NN$45*(161-$NR$45+1)*($NS$45-161+1)/$NU$45,$NN$45/$NT$45)),0)</f>
        <v/>
      </c>
      <c r="FJ45" s="402">
        <f>IF(AND(162&gt;=$NR$45,162&lt;=$NS$45),IF($NP$45="Single_Point",IF(162=$NR$45,$NN$45,0),IF($NP$45="Bell_Curve",$NN$45*(162-$NR$45+1)*($NS$45-162+1)/$NU$45,$NN$45/$NT$45)),0)</f>
        <v/>
      </c>
      <c r="FK45" s="402">
        <f>IF(AND(163&gt;=$NR$45,163&lt;=$NS$45),IF($NP$45="Single_Point",IF(163=$NR$45,$NN$45,0),IF($NP$45="Bell_Curve",$NN$45*(163-$NR$45+1)*($NS$45-163+1)/$NU$45,$NN$45/$NT$45)),0)</f>
        <v/>
      </c>
      <c r="FL45" s="402">
        <f>IF(AND(164&gt;=$NR$45,164&lt;=$NS$45),IF($NP$45="Single_Point",IF(164=$NR$45,$NN$45,0),IF($NP$45="Bell_Curve",$NN$45*(164-$NR$45+1)*($NS$45-164+1)/$NU$45,$NN$45/$NT$45)),0)</f>
        <v/>
      </c>
      <c r="FM45" s="402">
        <f>IF(AND(165&gt;=$NR$45,165&lt;=$NS$45),IF($NP$45="Single_Point",IF(165=$NR$45,$NN$45,0),IF($NP$45="Bell_Curve",$NN$45*(165-$NR$45+1)*($NS$45-165+1)/$NU$45,$NN$45/$NT$45)),0)</f>
        <v/>
      </c>
      <c r="FN45" s="402">
        <f>IF(AND(166&gt;=$NR$45,166&lt;=$NS$45),IF($NP$45="Single_Point",IF(166=$NR$45,$NN$45,0),IF($NP$45="Bell_Curve",$NN$45*(166-$NR$45+1)*($NS$45-166+1)/$NU$45,$NN$45/$NT$45)),0)</f>
        <v/>
      </c>
      <c r="FO45" s="402">
        <f>IF(AND(167&gt;=$NR$45,167&lt;=$NS$45),IF($NP$45="Single_Point",IF(167=$NR$45,$NN$45,0),IF($NP$45="Bell_Curve",$NN$45*(167-$NR$45+1)*($NS$45-167+1)/$NU$45,$NN$45/$NT$45)),0)</f>
        <v/>
      </c>
      <c r="FP45" s="402">
        <f>IF(AND(168&gt;=$NR$45,168&lt;=$NS$45),IF($NP$45="Single_Point",IF(168=$NR$45,$NN$45,0),IF($NP$45="Bell_Curve",$NN$45*(168-$NR$45+1)*($NS$45-168+1)/$NU$45,$NN$45/$NT$45)),0)</f>
        <v/>
      </c>
      <c r="FQ45" s="402">
        <f>IF(AND(169&gt;=$NR$45,169&lt;=$NS$45),IF($NP$45="Single_Point",IF(169=$NR$45,$NN$45,0),IF($NP$45="Bell_Curve",$NN$45*(169-$NR$45+1)*($NS$45-169+1)/$NU$45,$NN$45/$NT$45)),0)</f>
        <v/>
      </c>
      <c r="FR45" s="402">
        <f>IF(AND(170&gt;=$NR$45,170&lt;=$NS$45),IF($NP$45="Single_Point",IF(170=$NR$45,$NN$45,0),IF($NP$45="Bell_Curve",$NN$45*(170-$NR$45+1)*($NS$45-170+1)/$NU$45,$NN$45/$NT$45)),0)</f>
        <v/>
      </c>
      <c r="FS45" s="402">
        <f>IF(AND(171&gt;=$NR$45,171&lt;=$NS$45),IF($NP$45="Single_Point",IF(171=$NR$45,$NN$45,0),IF($NP$45="Bell_Curve",$NN$45*(171-$NR$45+1)*($NS$45-171+1)/$NU$45,$NN$45/$NT$45)),0)</f>
        <v/>
      </c>
      <c r="FT45" s="402">
        <f>IF(AND(172&gt;=$NR$45,172&lt;=$NS$45),IF($NP$45="Single_Point",IF(172=$NR$45,$NN$45,0),IF($NP$45="Bell_Curve",$NN$45*(172-$NR$45+1)*($NS$45-172+1)/$NU$45,$NN$45/$NT$45)),0)</f>
        <v/>
      </c>
      <c r="FU45" s="402">
        <f>IF(AND(173&gt;=$NR$45,173&lt;=$NS$45),IF($NP$45="Single_Point",IF(173=$NR$45,$NN$45,0),IF($NP$45="Bell_Curve",$NN$45*(173-$NR$45+1)*($NS$45-173+1)/$NU$45,$NN$45/$NT$45)),0)</f>
        <v/>
      </c>
      <c r="FV45" s="402">
        <f>IF(AND(174&gt;=$NR$45,174&lt;=$NS$45),IF($NP$45="Single_Point",IF(174=$NR$45,$NN$45,0),IF($NP$45="Bell_Curve",$NN$45*(174-$NR$45+1)*($NS$45-174+1)/$NU$45,$NN$45/$NT$45)),0)</f>
        <v/>
      </c>
      <c r="FW45" s="402">
        <f>IF(AND(175&gt;=$NR$45,175&lt;=$NS$45),IF($NP$45="Single_Point",IF(175=$NR$45,$NN$45,0),IF($NP$45="Bell_Curve",$NN$45*(175-$NR$45+1)*($NS$45-175+1)/$NU$45,$NN$45/$NT$45)),0)</f>
        <v/>
      </c>
      <c r="FX45" s="402">
        <f>IF(AND(176&gt;=$NR$45,176&lt;=$NS$45),IF($NP$45="Single_Point",IF(176=$NR$45,$NN$45,0),IF($NP$45="Bell_Curve",$NN$45*(176-$NR$45+1)*($NS$45-176+1)/$NU$45,$NN$45/$NT$45)),0)</f>
        <v/>
      </c>
      <c r="FY45" s="402">
        <f>IF(AND(177&gt;=$NR$45,177&lt;=$NS$45),IF($NP$45="Single_Point",IF(177=$NR$45,$NN$45,0),IF($NP$45="Bell_Curve",$NN$45*(177-$NR$45+1)*($NS$45-177+1)/$NU$45,$NN$45/$NT$45)),0)</f>
        <v/>
      </c>
      <c r="FZ45" s="402">
        <f>IF(AND(178&gt;=$NR$45,178&lt;=$NS$45),IF($NP$45="Single_Point",IF(178=$NR$45,$NN$45,0),IF($NP$45="Bell_Curve",$NN$45*(178-$NR$45+1)*($NS$45-178+1)/$NU$45,$NN$45/$NT$45)),0)</f>
        <v/>
      </c>
      <c r="GA45" s="402">
        <f>IF(AND(179&gt;=$NR$45,179&lt;=$NS$45),IF($NP$45="Single_Point",IF(179=$NR$45,$NN$45,0),IF($NP$45="Bell_Curve",$NN$45*(179-$NR$45+1)*($NS$45-179+1)/$NU$45,$NN$45/$NT$45)),0)</f>
        <v/>
      </c>
      <c r="GB45" s="402">
        <f>IF(AND(180&gt;=$NR$45,180&lt;=$NS$45),IF($NP$45="Single_Point",IF(180=$NR$45,$NN$45,0),IF($NP$45="Bell_Curve",$NN$45*(180-$NR$45+1)*($NS$45-180+1)/$NU$45,$NN$45/$NT$45)),0)</f>
        <v/>
      </c>
      <c r="GC45" s="402">
        <f>IF(AND(181&gt;=$NR$45,181&lt;=$NS$45),IF($NP$45="Single_Point",IF(181=$NR$45,$NN$45,0),IF($NP$45="Bell_Curve",$NN$45*(181-$NR$45+1)*($NS$45-181+1)/$NU$45,$NN$45/$NT$45)),0)</f>
        <v/>
      </c>
      <c r="GD45" s="402">
        <f>IF(AND(182&gt;=$NR$45,182&lt;=$NS$45),IF($NP$45="Single_Point",IF(182=$NR$45,$NN$45,0),IF($NP$45="Bell_Curve",$NN$45*(182-$NR$45+1)*($NS$45-182+1)/$NU$45,$NN$45/$NT$45)),0)</f>
        <v/>
      </c>
      <c r="GE45" s="402">
        <f>IF(AND(183&gt;=$NR$45,183&lt;=$NS$45),IF($NP$45="Single_Point",IF(183=$NR$45,$NN$45,0),IF($NP$45="Bell_Curve",$NN$45*(183-$NR$45+1)*($NS$45-183+1)/$NU$45,$NN$45/$NT$45)),0)</f>
        <v/>
      </c>
      <c r="GF45" s="402">
        <f>IF(AND(184&gt;=$NR$45,184&lt;=$NS$45),IF($NP$45="Single_Point",IF(184=$NR$45,$NN$45,0),IF($NP$45="Bell_Curve",$NN$45*(184-$NR$45+1)*($NS$45-184+1)/$NU$45,$NN$45/$NT$45)),0)</f>
        <v/>
      </c>
      <c r="GG45" s="402">
        <f>IF(AND(185&gt;=$NR$45,185&lt;=$NS$45),IF($NP$45="Single_Point",IF(185=$NR$45,$NN$45,0),IF($NP$45="Bell_Curve",$NN$45*(185-$NR$45+1)*($NS$45-185+1)/$NU$45,$NN$45/$NT$45)),0)</f>
        <v/>
      </c>
      <c r="GH45" s="402">
        <f>IF(AND(186&gt;=$NR$45,186&lt;=$NS$45),IF($NP$45="Single_Point",IF(186=$NR$45,$NN$45,0),IF($NP$45="Bell_Curve",$NN$45*(186-$NR$45+1)*($NS$45-186+1)/$NU$45,$NN$45/$NT$45)),0)</f>
        <v/>
      </c>
      <c r="GI45" s="402">
        <f>IF(AND(187&gt;=$NR$45,187&lt;=$NS$45),IF($NP$45="Single_Point",IF(187=$NR$45,$NN$45,0),IF($NP$45="Bell_Curve",$NN$45*(187-$NR$45+1)*($NS$45-187+1)/$NU$45,$NN$45/$NT$45)),0)</f>
        <v/>
      </c>
      <c r="GJ45" s="402">
        <f>IF(AND(188&gt;=$NR$45,188&lt;=$NS$45),IF($NP$45="Single_Point",IF(188=$NR$45,$NN$45,0),IF($NP$45="Bell_Curve",$NN$45*(188-$NR$45+1)*($NS$45-188+1)/$NU$45,$NN$45/$NT$45)),0)</f>
        <v/>
      </c>
      <c r="GK45" s="402">
        <f>IF(AND(189&gt;=$NR$45,189&lt;=$NS$45),IF($NP$45="Single_Point",IF(189=$NR$45,$NN$45,0),IF($NP$45="Bell_Curve",$NN$45*(189-$NR$45+1)*($NS$45-189+1)/$NU$45,$NN$45/$NT$45)),0)</f>
        <v/>
      </c>
      <c r="GL45" s="402">
        <f>IF(AND(190&gt;=$NR$45,190&lt;=$NS$45),IF($NP$45="Single_Point",IF(190=$NR$45,$NN$45,0),IF($NP$45="Bell_Curve",$NN$45*(190-$NR$45+1)*($NS$45-190+1)/$NU$45,$NN$45/$NT$45)),0)</f>
        <v/>
      </c>
      <c r="GM45" s="402">
        <f>IF(AND(191&gt;=$NR$45,191&lt;=$NS$45),IF($NP$45="Single_Point",IF(191=$NR$45,$NN$45,0),IF($NP$45="Bell_Curve",$NN$45*(191-$NR$45+1)*($NS$45-191+1)/$NU$45,$NN$45/$NT$45)),0)</f>
        <v/>
      </c>
      <c r="GN45" s="402">
        <f>IF(AND(192&gt;=$NR$45,192&lt;=$NS$45),IF($NP$45="Single_Point",IF(192=$NR$45,$NN$45,0),IF($NP$45="Bell_Curve",$NN$45*(192-$NR$45+1)*($NS$45-192+1)/$NU$45,$NN$45/$NT$45)),0)</f>
        <v/>
      </c>
      <c r="GO45" s="402">
        <f>IF(AND(193&gt;=$NR$45,193&lt;=$NS$45),IF($NP$45="Single_Point",IF(193=$NR$45,$NN$45,0),IF($NP$45="Bell_Curve",$NN$45*(193-$NR$45+1)*($NS$45-193+1)/$NU$45,$NN$45/$NT$45)),0)</f>
        <v/>
      </c>
      <c r="GP45" s="402">
        <f>IF(AND(194&gt;=$NR$45,194&lt;=$NS$45),IF($NP$45="Single_Point",IF(194=$NR$45,$NN$45,0),IF($NP$45="Bell_Curve",$NN$45*(194-$NR$45+1)*($NS$45-194+1)/$NU$45,$NN$45/$NT$45)),0)</f>
        <v/>
      </c>
      <c r="GQ45" s="402">
        <f>IF(AND(195&gt;=$NR$45,195&lt;=$NS$45),IF($NP$45="Single_Point",IF(195=$NR$45,$NN$45,0),IF($NP$45="Bell_Curve",$NN$45*(195-$NR$45+1)*($NS$45-195+1)/$NU$45,$NN$45/$NT$45)),0)</f>
        <v/>
      </c>
      <c r="GR45" s="402">
        <f>IF(AND(196&gt;=$NR$45,196&lt;=$NS$45),IF($NP$45="Single_Point",IF(196=$NR$45,$NN$45,0),IF($NP$45="Bell_Curve",$NN$45*(196-$NR$45+1)*($NS$45-196+1)/$NU$45,$NN$45/$NT$45)),0)</f>
        <v/>
      </c>
      <c r="GS45" s="402">
        <f>IF(AND(197&gt;=$NR$45,197&lt;=$NS$45),IF($NP$45="Single_Point",IF(197=$NR$45,$NN$45,0),IF($NP$45="Bell_Curve",$NN$45*(197-$NR$45+1)*($NS$45-197+1)/$NU$45,$NN$45/$NT$45)),0)</f>
        <v/>
      </c>
      <c r="GT45" s="402">
        <f>IF(AND(198&gt;=$NR$45,198&lt;=$NS$45),IF($NP$45="Single_Point",IF(198=$NR$45,$NN$45,0),IF($NP$45="Bell_Curve",$NN$45*(198-$NR$45+1)*($NS$45-198+1)/$NU$45,$NN$45/$NT$45)),0)</f>
        <v/>
      </c>
      <c r="GU45" s="402">
        <f>IF(AND(199&gt;=$NR$45,199&lt;=$NS$45),IF($NP$45="Single_Point",IF(199=$NR$45,$NN$45,0),IF($NP$45="Bell_Curve",$NN$45*(199-$NR$45+1)*($NS$45-199+1)/$NU$45,$NN$45/$NT$45)),0)</f>
        <v/>
      </c>
      <c r="GV45" s="402">
        <f>IF(AND(200&gt;=$NR$45,200&lt;=$NS$45),IF($NP$45="Single_Point",IF(200=$NR$45,$NN$45,0),IF($NP$45="Bell_Curve",$NN$45*(200-$NR$45+1)*($NS$45-200+1)/$NU$45,$NN$45/$NT$45)),0)</f>
        <v/>
      </c>
      <c r="GW45" s="402">
        <f>IF(AND(201&gt;=$NR$45,201&lt;=$NS$45),IF($NP$45="Single_Point",IF(201=$NR$45,$NN$45,0),IF($NP$45="Bell_Curve",$NN$45*(201-$NR$45+1)*($NS$45-201+1)/$NU$45,$NN$45/$NT$45)),0)</f>
        <v/>
      </c>
      <c r="GX45" s="402">
        <f>IF(AND(202&gt;=$NR$45,202&lt;=$NS$45),IF($NP$45="Single_Point",IF(202=$NR$45,$NN$45,0),IF($NP$45="Bell_Curve",$NN$45*(202-$NR$45+1)*($NS$45-202+1)/$NU$45,$NN$45/$NT$45)),0)</f>
        <v/>
      </c>
      <c r="GY45" s="402">
        <f>IF(AND(203&gt;=$NR$45,203&lt;=$NS$45),IF($NP$45="Single_Point",IF(203=$NR$45,$NN$45,0),IF($NP$45="Bell_Curve",$NN$45*(203-$NR$45+1)*($NS$45-203+1)/$NU$45,$NN$45/$NT$45)),0)</f>
        <v/>
      </c>
      <c r="GZ45" s="402">
        <f>IF(AND(204&gt;=$NR$45,204&lt;=$NS$45),IF($NP$45="Single_Point",IF(204=$NR$45,$NN$45,0),IF($NP$45="Bell_Curve",$NN$45*(204-$NR$45+1)*($NS$45-204+1)/$NU$45,$NN$45/$NT$45)),0)</f>
        <v/>
      </c>
      <c r="HA45" s="402">
        <f>IF(AND(205&gt;=$NR$45,205&lt;=$NS$45),IF($NP$45="Single_Point",IF(205=$NR$45,$NN$45,0),IF($NP$45="Bell_Curve",$NN$45*(205-$NR$45+1)*($NS$45-205+1)/$NU$45,$NN$45/$NT$45)),0)</f>
        <v/>
      </c>
      <c r="HB45" s="402">
        <f>IF(AND(206&gt;=$NR$45,206&lt;=$NS$45),IF($NP$45="Single_Point",IF(206=$NR$45,$NN$45,0),IF($NP$45="Bell_Curve",$NN$45*(206-$NR$45+1)*($NS$45-206+1)/$NU$45,$NN$45/$NT$45)),0)</f>
        <v/>
      </c>
      <c r="HC45" s="402">
        <f>IF(AND(207&gt;=$NR$45,207&lt;=$NS$45),IF($NP$45="Single_Point",IF(207=$NR$45,$NN$45,0),IF($NP$45="Bell_Curve",$NN$45*(207-$NR$45+1)*($NS$45-207+1)/$NU$45,$NN$45/$NT$45)),0)</f>
        <v/>
      </c>
      <c r="HD45" s="402">
        <f>IF(AND(208&gt;=$NR$45,208&lt;=$NS$45),IF($NP$45="Single_Point",IF(208=$NR$45,$NN$45,0),IF($NP$45="Bell_Curve",$NN$45*(208-$NR$45+1)*($NS$45-208+1)/$NU$45,$NN$45/$NT$45)),0)</f>
        <v/>
      </c>
      <c r="HE45" s="402">
        <f>IF(AND(209&gt;=$NR$45,209&lt;=$NS$45),IF($NP$45="Single_Point",IF(209=$NR$45,$NN$45,0),IF($NP$45="Bell_Curve",$NN$45*(209-$NR$45+1)*($NS$45-209+1)/$NU$45,$NN$45/$NT$45)),0)</f>
        <v/>
      </c>
      <c r="HF45" s="402">
        <f>IF(AND(210&gt;=$NR$45,210&lt;=$NS$45),IF($NP$45="Single_Point",IF(210=$NR$45,$NN$45,0),IF($NP$45="Bell_Curve",$NN$45*(210-$NR$45+1)*($NS$45-210+1)/$NU$45,$NN$45/$NT$45)),0)</f>
        <v/>
      </c>
      <c r="HG45" s="402">
        <f>IF(AND(211&gt;=$NR$45,211&lt;=$NS$45),IF($NP$45="Single_Point",IF(211=$NR$45,$NN$45,0),IF($NP$45="Bell_Curve",$NN$45*(211-$NR$45+1)*($NS$45-211+1)/$NU$45,$NN$45/$NT$45)),0)</f>
        <v/>
      </c>
      <c r="HH45" s="402">
        <f>IF(AND(212&gt;=$NR$45,212&lt;=$NS$45),IF($NP$45="Single_Point",IF(212=$NR$45,$NN$45,0),IF($NP$45="Bell_Curve",$NN$45*(212-$NR$45+1)*($NS$45-212+1)/$NU$45,$NN$45/$NT$45)),0)</f>
        <v/>
      </c>
      <c r="HI45" s="402">
        <f>IF(AND(213&gt;=$NR$45,213&lt;=$NS$45),IF($NP$45="Single_Point",IF(213=$NR$45,$NN$45,0),IF($NP$45="Bell_Curve",$NN$45*(213-$NR$45+1)*($NS$45-213+1)/$NU$45,$NN$45/$NT$45)),0)</f>
        <v/>
      </c>
      <c r="HJ45" s="402">
        <f>IF(AND(214&gt;=$NR$45,214&lt;=$NS$45),IF($NP$45="Single_Point",IF(214=$NR$45,$NN$45,0),IF($NP$45="Bell_Curve",$NN$45*(214-$NR$45+1)*($NS$45-214+1)/$NU$45,$NN$45/$NT$45)),0)</f>
        <v/>
      </c>
      <c r="HK45" s="402">
        <f>IF(AND(215&gt;=$NR$45,215&lt;=$NS$45),IF($NP$45="Single_Point",IF(215=$NR$45,$NN$45,0),IF($NP$45="Bell_Curve",$NN$45*(215-$NR$45+1)*($NS$45-215+1)/$NU$45,$NN$45/$NT$45)),0)</f>
        <v/>
      </c>
      <c r="HL45" s="402">
        <f>IF(AND(216&gt;=$NR$45,216&lt;=$NS$45),IF($NP$45="Single_Point",IF(216=$NR$45,$NN$45,0),IF($NP$45="Bell_Curve",$NN$45*(216-$NR$45+1)*($NS$45-216+1)/$NU$45,$NN$45/$NT$45)),0)</f>
        <v/>
      </c>
      <c r="HM45" s="402">
        <f>IF(AND(217&gt;=$NR$45,217&lt;=$NS$45),IF($NP$45="Single_Point",IF(217=$NR$45,$NN$45,0),IF($NP$45="Bell_Curve",$NN$45*(217-$NR$45+1)*($NS$45-217+1)/$NU$45,$NN$45/$NT$45)),0)</f>
        <v/>
      </c>
      <c r="HN45" s="402">
        <f>IF(AND(218&gt;=$NR$45,218&lt;=$NS$45),IF($NP$45="Single_Point",IF(218=$NR$45,$NN$45,0),IF($NP$45="Bell_Curve",$NN$45*(218-$NR$45+1)*($NS$45-218+1)/$NU$45,$NN$45/$NT$45)),0)</f>
        <v/>
      </c>
      <c r="HO45" s="402">
        <f>IF(AND(219&gt;=$NR$45,219&lt;=$NS$45),IF($NP$45="Single_Point",IF(219=$NR$45,$NN$45,0),IF($NP$45="Bell_Curve",$NN$45*(219-$NR$45+1)*($NS$45-219+1)/$NU$45,$NN$45/$NT$45)),0)</f>
        <v/>
      </c>
      <c r="HP45" s="402">
        <f>IF(AND(220&gt;=$NR$45,220&lt;=$NS$45),IF($NP$45="Single_Point",IF(220=$NR$45,$NN$45,0),IF($NP$45="Bell_Curve",$NN$45*(220-$NR$45+1)*($NS$45-220+1)/$NU$45,$NN$45/$NT$45)),0)</f>
        <v/>
      </c>
      <c r="HQ45" s="402">
        <f>IF(AND(221&gt;=$NR$45,221&lt;=$NS$45),IF($NP$45="Single_Point",IF(221=$NR$45,$NN$45,0),IF($NP$45="Bell_Curve",$NN$45*(221-$NR$45+1)*($NS$45-221+1)/$NU$45,$NN$45/$NT$45)),0)</f>
        <v/>
      </c>
      <c r="HR45" s="402">
        <f>IF(AND(222&gt;=$NR$45,222&lt;=$NS$45),IF($NP$45="Single_Point",IF(222=$NR$45,$NN$45,0),IF($NP$45="Bell_Curve",$NN$45*(222-$NR$45+1)*($NS$45-222+1)/$NU$45,$NN$45/$NT$45)),0)</f>
        <v/>
      </c>
      <c r="HS45" s="402">
        <f>IF(AND(223&gt;=$NR$45,223&lt;=$NS$45),IF($NP$45="Single_Point",IF(223=$NR$45,$NN$45,0),IF($NP$45="Bell_Curve",$NN$45*(223-$NR$45+1)*($NS$45-223+1)/$NU$45,$NN$45/$NT$45)),0)</f>
        <v/>
      </c>
      <c r="HT45" s="402">
        <f>IF(AND(224&gt;=$NR$45,224&lt;=$NS$45),IF($NP$45="Single_Point",IF(224=$NR$45,$NN$45,0),IF($NP$45="Bell_Curve",$NN$45*(224-$NR$45+1)*($NS$45-224+1)/$NU$45,$NN$45/$NT$45)),0)</f>
        <v/>
      </c>
      <c r="HU45" s="402">
        <f>IF(AND(225&gt;=$NR$45,225&lt;=$NS$45),IF($NP$45="Single_Point",IF(225=$NR$45,$NN$45,0),IF($NP$45="Bell_Curve",$NN$45*(225-$NR$45+1)*($NS$45-225+1)/$NU$45,$NN$45/$NT$45)),0)</f>
        <v/>
      </c>
      <c r="HV45" s="402">
        <f>IF(AND(226&gt;=$NR$45,226&lt;=$NS$45),IF($NP$45="Single_Point",IF(226=$NR$45,$NN$45,0),IF($NP$45="Bell_Curve",$NN$45*(226-$NR$45+1)*($NS$45-226+1)/$NU$45,$NN$45/$NT$45)),0)</f>
        <v/>
      </c>
      <c r="HW45" s="402">
        <f>IF(AND(227&gt;=$NR$45,227&lt;=$NS$45),IF($NP$45="Single_Point",IF(227=$NR$45,$NN$45,0),IF($NP$45="Bell_Curve",$NN$45*(227-$NR$45+1)*($NS$45-227+1)/$NU$45,$NN$45/$NT$45)),0)</f>
        <v/>
      </c>
      <c r="HX45" s="402">
        <f>IF(AND(228&gt;=$NR$45,228&lt;=$NS$45),IF($NP$45="Single_Point",IF(228=$NR$45,$NN$45,0),IF($NP$45="Bell_Curve",$NN$45*(228-$NR$45+1)*($NS$45-228+1)/$NU$45,$NN$45/$NT$45)),0)</f>
        <v/>
      </c>
      <c r="HY45" s="402">
        <f>IF(AND(229&gt;=$NR$45,229&lt;=$NS$45),IF($NP$45="Single_Point",IF(229=$NR$45,$NN$45,0),IF($NP$45="Bell_Curve",$NN$45*(229-$NR$45+1)*($NS$45-229+1)/$NU$45,$NN$45/$NT$45)),0)</f>
        <v/>
      </c>
      <c r="HZ45" s="402">
        <f>IF(AND(230&gt;=$NR$45,230&lt;=$NS$45),IF($NP$45="Single_Point",IF(230=$NR$45,$NN$45,0),IF($NP$45="Bell_Curve",$NN$45*(230-$NR$45+1)*($NS$45-230+1)/$NU$45,$NN$45/$NT$45)),0)</f>
        <v/>
      </c>
      <c r="IA45" s="402">
        <f>IF(AND(231&gt;=$NR$45,231&lt;=$NS$45),IF($NP$45="Single_Point",IF(231=$NR$45,$NN$45,0),IF($NP$45="Bell_Curve",$NN$45*(231-$NR$45+1)*($NS$45-231+1)/$NU$45,$NN$45/$NT$45)),0)</f>
        <v/>
      </c>
      <c r="IB45" s="402">
        <f>IF(AND(232&gt;=$NR$45,232&lt;=$NS$45),IF($NP$45="Single_Point",IF(232=$NR$45,$NN$45,0),IF($NP$45="Bell_Curve",$NN$45*(232-$NR$45+1)*($NS$45-232+1)/$NU$45,$NN$45/$NT$45)),0)</f>
        <v/>
      </c>
      <c r="IC45" s="402">
        <f>IF(AND(233&gt;=$NR$45,233&lt;=$NS$45),IF($NP$45="Single_Point",IF(233=$NR$45,$NN$45,0),IF($NP$45="Bell_Curve",$NN$45*(233-$NR$45+1)*($NS$45-233+1)/$NU$45,$NN$45/$NT$45)),0)</f>
        <v/>
      </c>
      <c r="ID45" s="402">
        <f>IF(AND(234&gt;=$NR$45,234&lt;=$NS$45),IF($NP$45="Single_Point",IF(234=$NR$45,$NN$45,0),IF($NP$45="Bell_Curve",$NN$45*(234-$NR$45+1)*($NS$45-234+1)/$NU$45,$NN$45/$NT$45)),0)</f>
        <v/>
      </c>
      <c r="IE45" s="402">
        <f>IF(AND(235&gt;=$NR$45,235&lt;=$NS$45),IF($NP$45="Single_Point",IF(235=$NR$45,$NN$45,0),IF($NP$45="Bell_Curve",$NN$45*(235-$NR$45+1)*($NS$45-235+1)/$NU$45,$NN$45/$NT$45)),0)</f>
        <v/>
      </c>
      <c r="IF45" s="402">
        <f>IF(AND(236&gt;=$NR$45,236&lt;=$NS$45),IF($NP$45="Single_Point",IF(236=$NR$45,$NN$45,0),IF($NP$45="Bell_Curve",$NN$45*(236-$NR$45+1)*($NS$45-236+1)/$NU$45,$NN$45/$NT$45)),0)</f>
        <v/>
      </c>
      <c r="IG45" s="402">
        <f>IF(AND(237&gt;=$NR$45,237&lt;=$NS$45),IF($NP$45="Single_Point",IF(237=$NR$45,$NN$45,0),IF($NP$45="Bell_Curve",$NN$45*(237-$NR$45+1)*($NS$45-237+1)/$NU$45,$NN$45/$NT$45)),0)</f>
        <v/>
      </c>
      <c r="IH45" s="402">
        <f>IF(AND(238&gt;=$NR$45,238&lt;=$NS$45),IF($NP$45="Single_Point",IF(238=$NR$45,$NN$45,0),IF($NP$45="Bell_Curve",$NN$45*(238-$NR$45+1)*($NS$45-238+1)/$NU$45,$NN$45/$NT$45)),0)</f>
        <v/>
      </c>
      <c r="II45" s="402">
        <f>IF(AND(239&gt;=$NR$45,239&lt;=$NS$45),IF($NP$45="Single_Point",IF(239=$NR$45,$NN$45,0),IF($NP$45="Bell_Curve",$NN$45*(239-$NR$45+1)*($NS$45-239+1)/$NU$45,$NN$45/$NT$45)),0)</f>
        <v/>
      </c>
      <c r="IJ45" s="402">
        <f>IF(AND(240&gt;=$NR$45,240&lt;=$NS$45),IF($NP$45="Single_Point",IF(240=$NR$45,$NN$45,0),IF($NP$45="Bell_Curve",$NN$45*(240-$NR$45+1)*($NS$45-240+1)/$NU$45,$NN$45/$NT$45)),0)</f>
        <v/>
      </c>
      <c r="IK45" s="402">
        <f>IF(AND(241&gt;=$NR$45,241&lt;=$NS$45),IF($NP$45="Single_Point",IF(241=$NR$45,$NN$45,0),IF($NP$45="Bell_Curve",$NN$45*(241-$NR$45+1)*($NS$45-241+1)/$NU$45,$NN$45/$NT$45)),0)</f>
        <v/>
      </c>
      <c r="IL45" s="402">
        <f>IF(AND(242&gt;=$NR$45,242&lt;=$NS$45),IF($NP$45="Single_Point",IF(242=$NR$45,$NN$45,0),IF($NP$45="Bell_Curve",$NN$45*(242-$NR$45+1)*($NS$45-242+1)/$NU$45,$NN$45/$NT$45)),0)</f>
        <v/>
      </c>
      <c r="IM45" s="402">
        <f>IF(AND(243&gt;=$NR$45,243&lt;=$NS$45),IF($NP$45="Single_Point",IF(243=$NR$45,$NN$45,0),IF($NP$45="Bell_Curve",$NN$45*(243-$NR$45+1)*($NS$45-243+1)/$NU$45,$NN$45/$NT$45)),0)</f>
        <v/>
      </c>
      <c r="IN45" s="402">
        <f>IF(AND(244&gt;=$NR$45,244&lt;=$NS$45),IF($NP$45="Single_Point",IF(244=$NR$45,$NN$45,0),IF($NP$45="Bell_Curve",$NN$45*(244-$NR$45+1)*($NS$45-244+1)/$NU$45,$NN$45/$NT$45)),0)</f>
        <v/>
      </c>
      <c r="IO45" s="402">
        <f>IF(AND(245&gt;=$NR$45,245&lt;=$NS$45),IF($NP$45="Single_Point",IF(245=$NR$45,$NN$45,0),IF($NP$45="Bell_Curve",$NN$45*(245-$NR$45+1)*($NS$45-245+1)/$NU$45,$NN$45/$NT$45)),0)</f>
        <v/>
      </c>
      <c r="IP45" s="402">
        <f>IF(AND(246&gt;=$NR$45,246&lt;=$NS$45),IF($NP$45="Single_Point",IF(246=$NR$45,$NN$45,0),IF($NP$45="Bell_Curve",$NN$45*(246-$NR$45+1)*($NS$45-246+1)/$NU$45,$NN$45/$NT$45)),0)</f>
        <v/>
      </c>
      <c r="IQ45" s="402">
        <f>IF(AND(247&gt;=$NR$45,247&lt;=$NS$45),IF($NP$45="Single_Point",IF(247=$NR$45,$NN$45,0),IF($NP$45="Bell_Curve",$NN$45*(247-$NR$45+1)*($NS$45-247+1)/$NU$45,$NN$45/$NT$45)),0)</f>
        <v/>
      </c>
      <c r="IR45" s="402">
        <f>IF(AND(248&gt;=$NR$45,248&lt;=$NS$45),IF($NP$45="Single_Point",IF(248=$NR$45,$NN$45,0),IF($NP$45="Bell_Curve",$NN$45*(248-$NR$45+1)*($NS$45-248+1)/$NU$45,$NN$45/$NT$45)),0)</f>
        <v/>
      </c>
      <c r="IS45" s="402">
        <f>IF(AND(249&gt;=$NR$45,249&lt;=$NS$45),IF($NP$45="Single_Point",IF(249=$NR$45,$NN$45,0),IF($NP$45="Bell_Curve",$NN$45*(249-$NR$45+1)*($NS$45-249+1)/$NU$45,$NN$45/$NT$45)),0)</f>
        <v/>
      </c>
      <c r="IT45" s="402">
        <f>IF(AND(250&gt;=$NR$45,250&lt;=$NS$45),IF($NP$45="Single_Point",IF(250=$NR$45,$NN$45,0),IF($NP$45="Bell_Curve",$NN$45*(250-$NR$45+1)*($NS$45-250+1)/$NU$45,$NN$45/$NT$45)),0)</f>
        <v/>
      </c>
      <c r="IU45" s="402">
        <f>IF(AND(251&gt;=$NR$45,251&lt;=$NS$45),IF($NP$45="Single_Point",IF(251=$NR$45,$NN$45,0),IF($NP$45="Bell_Curve",$NN$45*(251-$NR$45+1)*($NS$45-251+1)/$NU$45,$NN$45/$NT$45)),0)</f>
        <v/>
      </c>
      <c r="IV45" s="402">
        <f>IF(AND(252&gt;=$NR$45,252&lt;=$NS$45),IF($NP$45="Single_Point",IF(252=$NR$45,$NN$45,0),IF($NP$45="Bell_Curve",$NN$45*(252-$NR$45+1)*($NS$45-252+1)/$NU$45,$NN$45/$NT$45)),0)</f>
        <v/>
      </c>
      <c r="IW45" s="402">
        <f>IF(AND(253&gt;=$NR$45,253&lt;=$NS$45),IF($NP$45="Single_Point",IF(253=$NR$45,$NN$45,0),IF($NP$45="Bell_Curve",$NN$45*(253-$NR$45+1)*($NS$45-253+1)/$NU$45,$NN$45/$NT$45)),0)</f>
        <v/>
      </c>
      <c r="IX45" s="402">
        <f>IF(AND(254&gt;=$NR$45,254&lt;=$NS$45),IF($NP$45="Single_Point",IF(254=$NR$45,$NN$45,0),IF($NP$45="Bell_Curve",$NN$45*(254-$NR$45+1)*($NS$45-254+1)/$NU$45,$NN$45/$NT$45)),0)</f>
        <v/>
      </c>
      <c r="IY45" s="402">
        <f>IF(AND(255&gt;=$NR$45,255&lt;=$NS$45),IF($NP$45="Single_Point",IF(255=$NR$45,$NN$45,0),IF($NP$45="Bell_Curve",$NN$45*(255-$NR$45+1)*($NS$45-255+1)/$NU$45,$NN$45/$NT$45)),0)</f>
        <v/>
      </c>
      <c r="IZ45" s="402">
        <f>IF(AND(256&gt;=$NR$45,256&lt;=$NS$45),IF($NP$45="Single_Point",IF(256=$NR$45,$NN$45,0),IF($NP$45="Bell_Curve",$NN$45*(256-$NR$45+1)*($NS$45-256+1)/$NU$45,$NN$45/$NT$45)),0)</f>
        <v/>
      </c>
      <c r="JA45" s="402">
        <f>IF(AND(257&gt;=$NR$45,257&lt;=$NS$45),IF($NP$45="Single_Point",IF(257=$NR$45,$NN$45,0),IF($NP$45="Bell_Curve",$NN$45*(257-$NR$45+1)*($NS$45-257+1)/$NU$45,$NN$45/$NT$45)),0)</f>
        <v/>
      </c>
      <c r="JB45" s="402">
        <f>IF(AND(258&gt;=$NR$45,258&lt;=$NS$45),IF($NP$45="Single_Point",IF(258=$NR$45,$NN$45,0),IF($NP$45="Bell_Curve",$NN$45*(258-$NR$45+1)*($NS$45-258+1)/$NU$45,$NN$45/$NT$45)),0)</f>
        <v/>
      </c>
      <c r="JC45" s="402">
        <f>IF(AND(259&gt;=$NR$45,259&lt;=$NS$45),IF($NP$45="Single_Point",IF(259=$NR$45,$NN$45,0),IF($NP$45="Bell_Curve",$NN$45*(259-$NR$45+1)*($NS$45-259+1)/$NU$45,$NN$45/$NT$45)),0)</f>
        <v/>
      </c>
      <c r="JD45" s="402">
        <f>IF(AND(260&gt;=$NR$45,260&lt;=$NS$45),IF($NP$45="Single_Point",IF(260=$NR$45,$NN$45,0),IF($NP$45="Bell_Curve",$NN$45*(260-$NR$45+1)*($NS$45-260+1)/$NU$45,$NN$45/$NT$45)),0)</f>
        <v/>
      </c>
      <c r="JE45" s="402">
        <f>IF(AND(261&gt;=$NR$45,261&lt;=$NS$45),IF($NP$45="Single_Point",IF(261=$NR$45,$NN$45,0),IF($NP$45="Bell_Curve",$NN$45*(261-$NR$45+1)*($NS$45-261+1)/$NU$45,$NN$45/$NT$45)),0)</f>
        <v/>
      </c>
      <c r="JF45" s="402">
        <f>IF(AND(262&gt;=$NR$45,262&lt;=$NS$45),IF($NP$45="Single_Point",IF(262=$NR$45,$NN$45,0),IF($NP$45="Bell_Curve",$NN$45*(262-$NR$45+1)*($NS$45-262+1)/$NU$45,$NN$45/$NT$45)),0)</f>
        <v/>
      </c>
      <c r="JG45" s="402">
        <f>IF(AND(263&gt;=$NR$45,263&lt;=$NS$45),IF($NP$45="Single_Point",IF(263=$NR$45,$NN$45,0),IF($NP$45="Bell_Curve",$NN$45*(263-$NR$45+1)*($NS$45-263+1)/$NU$45,$NN$45/$NT$45)),0)</f>
        <v/>
      </c>
      <c r="JH45" s="402">
        <f>IF(AND(264&gt;=$NR$45,264&lt;=$NS$45),IF($NP$45="Single_Point",IF(264=$NR$45,$NN$45,0),IF($NP$45="Bell_Curve",$NN$45*(264-$NR$45+1)*($NS$45-264+1)/$NU$45,$NN$45/$NT$45)),0)</f>
        <v/>
      </c>
      <c r="JI45" s="402">
        <f>IF(AND(265&gt;=$NR$45,265&lt;=$NS$45),IF($NP$45="Single_Point",IF(265=$NR$45,$NN$45,0),IF($NP$45="Bell_Curve",$NN$45*(265-$NR$45+1)*($NS$45-265+1)/$NU$45,$NN$45/$NT$45)),0)</f>
        <v/>
      </c>
      <c r="JJ45" s="402">
        <f>IF(AND(266&gt;=$NR$45,266&lt;=$NS$45),IF($NP$45="Single_Point",IF(266=$NR$45,$NN$45,0),IF($NP$45="Bell_Curve",$NN$45*(266-$NR$45+1)*($NS$45-266+1)/$NU$45,$NN$45/$NT$45)),0)</f>
        <v/>
      </c>
      <c r="JK45" s="402">
        <f>IF(AND(267&gt;=$NR$45,267&lt;=$NS$45),IF($NP$45="Single_Point",IF(267=$NR$45,$NN$45,0),IF($NP$45="Bell_Curve",$NN$45*(267-$NR$45+1)*($NS$45-267+1)/$NU$45,$NN$45/$NT$45)),0)</f>
        <v/>
      </c>
      <c r="JL45" s="402">
        <f>IF(AND(268&gt;=$NR$45,268&lt;=$NS$45),IF($NP$45="Single_Point",IF(268=$NR$45,$NN$45,0),IF($NP$45="Bell_Curve",$NN$45*(268-$NR$45+1)*($NS$45-268+1)/$NU$45,$NN$45/$NT$45)),0)</f>
        <v/>
      </c>
      <c r="JM45" s="402">
        <f>IF(AND(269&gt;=$NR$45,269&lt;=$NS$45),IF($NP$45="Single_Point",IF(269=$NR$45,$NN$45,0),IF($NP$45="Bell_Curve",$NN$45*(269-$NR$45+1)*($NS$45-269+1)/$NU$45,$NN$45/$NT$45)),0)</f>
        <v/>
      </c>
      <c r="JN45" s="402">
        <f>IF(AND(270&gt;=$NR$45,270&lt;=$NS$45),IF($NP$45="Single_Point",IF(270=$NR$45,$NN$45,0),IF($NP$45="Bell_Curve",$NN$45*(270-$NR$45+1)*($NS$45-270+1)/$NU$45,$NN$45/$NT$45)),0)</f>
        <v/>
      </c>
      <c r="JO45" s="402">
        <f>IF(AND(271&gt;=$NR$45,271&lt;=$NS$45),IF($NP$45="Single_Point",IF(271=$NR$45,$NN$45,0),IF($NP$45="Bell_Curve",$NN$45*(271-$NR$45+1)*($NS$45-271+1)/$NU$45,$NN$45/$NT$45)),0)</f>
        <v/>
      </c>
      <c r="JP45" s="402">
        <f>IF(AND(272&gt;=$NR$45,272&lt;=$NS$45),IF($NP$45="Single_Point",IF(272=$NR$45,$NN$45,0),IF($NP$45="Bell_Curve",$NN$45*(272-$NR$45+1)*($NS$45-272+1)/$NU$45,$NN$45/$NT$45)),0)</f>
        <v/>
      </c>
      <c r="JQ45" s="402">
        <f>IF(AND(273&gt;=$NR$45,273&lt;=$NS$45),IF($NP$45="Single_Point",IF(273=$NR$45,$NN$45,0),IF($NP$45="Bell_Curve",$NN$45*(273-$NR$45+1)*($NS$45-273+1)/$NU$45,$NN$45/$NT$45)),0)</f>
        <v/>
      </c>
      <c r="JR45" s="402">
        <f>IF(AND(274&gt;=$NR$45,274&lt;=$NS$45),IF($NP$45="Single_Point",IF(274=$NR$45,$NN$45,0),IF($NP$45="Bell_Curve",$NN$45*(274-$NR$45+1)*($NS$45-274+1)/$NU$45,$NN$45/$NT$45)),0)</f>
        <v/>
      </c>
      <c r="JS45" s="402">
        <f>IF(AND(275&gt;=$NR$45,275&lt;=$NS$45),IF($NP$45="Single_Point",IF(275=$NR$45,$NN$45,0),IF($NP$45="Bell_Curve",$NN$45*(275-$NR$45+1)*($NS$45-275+1)/$NU$45,$NN$45/$NT$45)),0)</f>
        <v/>
      </c>
      <c r="JT45" s="402">
        <f>IF(AND(276&gt;=$NR$45,276&lt;=$NS$45),IF($NP$45="Single_Point",IF(276=$NR$45,$NN$45,0),IF($NP$45="Bell_Curve",$NN$45*(276-$NR$45+1)*($NS$45-276+1)/$NU$45,$NN$45/$NT$45)),0)</f>
        <v/>
      </c>
      <c r="JU45" s="402">
        <f>IF(AND(277&gt;=$NR$45,277&lt;=$NS$45),IF($NP$45="Single_Point",IF(277=$NR$45,$NN$45,0),IF($NP$45="Bell_Curve",$NN$45*(277-$NR$45+1)*($NS$45-277+1)/$NU$45,$NN$45/$NT$45)),0)</f>
        <v/>
      </c>
      <c r="JV45" s="402">
        <f>IF(AND(278&gt;=$NR$45,278&lt;=$NS$45),IF($NP$45="Single_Point",IF(278=$NR$45,$NN$45,0),IF($NP$45="Bell_Curve",$NN$45*(278-$NR$45+1)*($NS$45-278+1)/$NU$45,$NN$45/$NT$45)),0)</f>
        <v/>
      </c>
      <c r="JW45" s="402">
        <f>IF(AND(279&gt;=$NR$45,279&lt;=$NS$45),IF($NP$45="Single_Point",IF(279=$NR$45,$NN$45,0),IF($NP$45="Bell_Curve",$NN$45*(279-$NR$45+1)*($NS$45-279+1)/$NU$45,$NN$45/$NT$45)),0)</f>
        <v/>
      </c>
      <c r="JX45" s="402">
        <f>IF(AND(280&gt;=$NR$45,280&lt;=$NS$45),IF($NP$45="Single_Point",IF(280=$NR$45,$NN$45,0),IF($NP$45="Bell_Curve",$NN$45*(280-$NR$45+1)*($NS$45-280+1)/$NU$45,$NN$45/$NT$45)),0)</f>
        <v/>
      </c>
      <c r="JY45" s="402">
        <f>IF(AND(281&gt;=$NR$45,281&lt;=$NS$45),IF($NP$45="Single_Point",IF(281=$NR$45,$NN$45,0),IF($NP$45="Bell_Curve",$NN$45*(281-$NR$45+1)*($NS$45-281+1)/$NU$45,$NN$45/$NT$45)),0)</f>
        <v/>
      </c>
      <c r="JZ45" s="402">
        <f>IF(AND(282&gt;=$NR$45,282&lt;=$NS$45),IF($NP$45="Single_Point",IF(282=$NR$45,$NN$45,0),IF($NP$45="Bell_Curve",$NN$45*(282-$NR$45+1)*($NS$45-282+1)/$NU$45,$NN$45/$NT$45)),0)</f>
        <v/>
      </c>
      <c r="KA45" s="402">
        <f>IF(AND(283&gt;=$NR$45,283&lt;=$NS$45),IF($NP$45="Single_Point",IF(283=$NR$45,$NN$45,0),IF($NP$45="Bell_Curve",$NN$45*(283-$NR$45+1)*($NS$45-283+1)/$NU$45,$NN$45/$NT$45)),0)</f>
        <v/>
      </c>
      <c r="KB45" s="402">
        <f>IF(AND(284&gt;=$NR$45,284&lt;=$NS$45),IF($NP$45="Single_Point",IF(284=$NR$45,$NN$45,0),IF($NP$45="Bell_Curve",$NN$45*(284-$NR$45+1)*($NS$45-284+1)/$NU$45,$NN$45/$NT$45)),0)</f>
        <v/>
      </c>
      <c r="KC45" s="402">
        <f>IF(AND(285&gt;=$NR$45,285&lt;=$NS$45),IF($NP$45="Single_Point",IF(285=$NR$45,$NN$45,0),IF($NP$45="Bell_Curve",$NN$45*(285-$NR$45+1)*($NS$45-285+1)/$NU$45,$NN$45/$NT$45)),0)</f>
        <v/>
      </c>
      <c r="KD45" s="402">
        <f>IF(AND(286&gt;=$NR$45,286&lt;=$NS$45),IF($NP$45="Single_Point",IF(286=$NR$45,$NN$45,0),IF($NP$45="Bell_Curve",$NN$45*(286-$NR$45+1)*($NS$45-286+1)/$NU$45,$NN$45/$NT$45)),0)</f>
        <v/>
      </c>
      <c r="KE45" s="402">
        <f>IF(AND(287&gt;=$NR$45,287&lt;=$NS$45),IF($NP$45="Single_Point",IF(287=$NR$45,$NN$45,0),IF($NP$45="Bell_Curve",$NN$45*(287-$NR$45+1)*($NS$45-287+1)/$NU$45,$NN$45/$NT$45)),0)</f>
        <v/>
      </c>
      <c r="KF45" s="402">
        <f>IF(AND(288&gt;=$NR$45,288&lt;=$NS$45),IF($NP$45="Single_Point",IF(288=$NR$45,$NN$45,0),IF($NP$45="Bell_Curve",$NN$45*(288-$NR$45+1)*($NS$45-288+1)/$NU$45,$NN$45/$NT$45)),0)</f>
        <v/>
      </c>
      <c r="KG45" s="402">
        <f>IF(AND(289&gt;=$NR$45,289&lt;=$NS$45),IF($NP$45="Single_Point",IF(289=$NR$45,$NN$45,0),IF($NP$45="Bell_Curve",$NN$45*(289-$NR$45+1)*($NS$45-289+1)/$NU$45,$NN$45/$NT$45)),0)</f>
        <v/>
      </c>
      <c r="KH45" s="402">
        <f>IF(AND(290&gt;=$NR$45,290&lt;=$NS$45),IF($NP$45="Single_Point",IF(290=$NR$45,$NN$45,0),IF($NP$45="Bell_Curve",$NN$45*(290-$NR$45+1)*($NS$45-290+1)/$NU$45,$NN$45/$NT$45)),0)</f>
        <v/>
      </c>
      <c r="KI45" s="402">
        <f>IF(AND(291&gt;=$NR$45,291&lt;=$NS$45),IF($NP$45="Single_Point",IF(291=$NR$45,$NN$45,0),IF($NP$45="Bell_Curve",$NN$45*(291-$NR$45+1)*($NS$45-291+1)/$NU$45,$NN$45/$NT$45)),0)</f>
        <v/>
      </c>
      <c r="KJ45" s="402">
        <f>IF(AND(292&gt;=$NR$45,292&lt;=$NS$45),IF($NP$45="Single_Point",IF(292=$NR$45,$NN$45,0),IF($NP$45="Bell_Curve",$NN$45*(292-$NR$45+1)*($NS$45-292+1)/$NU$45,$NN$45/$NT$45)),0)</f>
        <v/>
      </c>
      <c r="KK45" s="402">
        <f>IF(AND(293&gt;=$NR$45,293&lt;=$NS$45),IF($NP$45="Single_Point",IF(293=$NR$45,$NN$45,0),IF($NP$45="Bell_Curve",$NN$45*(293-$NR$45+1)*($NS$45-293+1)/$NU$45,$NN$45/$NT$45)),0)</f>
        <v/>
      </c>
      <c r="KL45" s="402">
        <f>IF(AND(294&gt;=$NR$45,294&lt;=$NS$45),IF($NP$45="Single_Point",IF(294=$NR$45,$NN$45,0),IF($NP$45="Bell_Curve",$NN$45*(294-$NR$45+1)*($NS$45-294+1)/$NU$45,$NN$45/$NT$45)),0)</f>
        <v/>
      </c>
      <c r="KM45" s="402">
        <f>IF(AND(295&gt;=$NR$45,295&lt;=$NS$45),IF($NP$45="Single_Point",IF(295=$NR$45,$NN$45,0),IF($NP$45="Bell_Curve",$NN$45*(295-$NR$45+1)*($NS$45-295+1)/$NU$45,$NN$45/$NT$45)),0)</f>
        <v/>
      </c>
      <c r="KN45" s="402">
        <f>IF(AND(296&gt;=$NR$45,296&lt;=$NS$45),IF($NP$45="Single_Point",IF(296=$NR$45,$NN$45,0),IF($NP$45="Bell_Curve",$NN$45*(296-$NR$45+1)*($NS$45-296+1)/$NU$45,$NN$45/$NT$45)),0)</f>
        <v/>
      </c>
      <c r="KO45" s="402">
        <f>IF(AND(297&gt;=$NR$45,297&lt;=$NS$45),IF($NP$45="Single_Point",IF(297=$NR$45,$NN$45,0),IF($NP$45="Bell_Curve",$NN$45*(297-$NR$45+1)*($NS$45-297+1)/$NU$45,$NN$45/$NT$45)),0)</f>
        <v/>
      </c>
      <c r="KP45" s="402">
        <f>IF(AND(298&gt;=$NR$45,298&lt;=$NS$45),IF($NP$45="Single_Point",IF(298=$NR$45,$NN$45,0),IF($NP$45="Bell_Curve",$NN$45*(298-$NR$45+1)*($NS$45-298+1)/$NU$45,$NN$45/$NT$45)),0)</f>
        <v/>
      </c>
      <c r="KQ45" s="402">
        <f>IF(AND(299&gt;=$NR$45,299&lt;=$NS$45),IF($NP$45="Single_Point",IF(299=$NR$45,$NN$45,0),IF($NP$45="Bell_Curve",$NN$45*(299-$NR$45+1)*($NS$45-299+1)/$NU$45,$NN$45/$NT$45)),0)</f>
        <v/>
      </c>
      <c r="KR45" s="402">
        <f>IF(AND(300&gt;=$NR$45,300&lt;=$NS$45),IF($NP$45="Single_Point",IF(300=$NR$45,$NN$45,0),IF($NP$45="Bell_Curve",$NN$45*(300-$NR$45+1)*($NS$45-300+1)/$NU$45,$NN$45/$NT$45)),0)</f>
        <v/>
      </c>
      <c r="KS45" s="402">
        <f>IF(AND(301&gt;=$NR$45,301&lt;=$NS$45),IF($NP$45="Single_Point",IF(301=$NR$45,$NN$45,0),IF($NP$45="Bell_Curve",$NN$45*(301-$NR$45+1)*($NS$45-301+1)/$NU$45,$NN$45/$NT$45)),0)</f>
        <v/>
      </c>
      <c r="KT45" s="402">
        <f>IF(AND(302&gt;=$NR$45,302&lt;=$NS$45),IF($NP$45="Single_Point",IF(302=$NR$45,$NN$45,0),IF($NP$45="Bell_Curve",$NN$45*(302-$NR$45+1)*($NS$45-302+1)/$NU$45,$NN$45/$NT$45)),0)</f>
        <v/>
      </c>
      <c r="KU45" s="402">
        <f>IF(AND(303&gt;=$NR$45,303&lt;=$NS$45),IF($NP$45="Single_Point",IF(303=$NR$45,$NN$45,0),IF($NP$45="Bell_Curve",$NN$45*(303-$NR$45+1)*($NS$45-303+1)/$NU$45,$NN$45/$NT$45)),0)</f>
        <v/>
      </c>
      <c r="KV45" s="402">
        <f>IF(AND(304&gt;=$NR$45,304&lt;=$NS$45),IF($NP$45="Single_Point",IF(304=$NR$45,$NN$45,0),IF($NP$45="Bell_Curve",$NN$45*(304-$NR$45+1)*($NS$45-304+1)/$NU$45,$NN$45/$NT$45)),0)</f>
        <v/>
      </c>
      <c r="KW45" s="402">
        <f>IF(AND(305&gt;=$NR$45,305&lt;=$NS$45),IF($NP$45="Single_Point",IF(305=$NR$45,$NN$45,0),IF($NP$45="Bell_Curve",$NN$45*(305-$NR$45+1)*($NS$45-305+1)/$NU$45,$NN$45/$NT$45)),0)</f>
        <v/>
      </c>
      <c r="KX45" s="402">
        <f>IF(AND(306&gt;=$NR$45,306&lt;=$NS$45),IF($NP$45="Single_Point",IF(306=$NR$45,$NN$45,0),IF($NP$45="Bell_Curve",$NN$45*(306-$NR$45+1)*($NS$45-306+1)/$NU$45,$NN$45/$NT$45)),0)</f>
        <v/>
      </c>
      <c r="KY45" s="402">
        <f>IF(AND(307&gt;=$NR$45,307&lt;=$NS$45),IF($NP$45="Single_Point",IF(307=$NR$45,$NN$45,0),IF($NP$45="Bell_Curve",$NN$45*(307-$NR$45+1)*($NS$45-307+1)/$NU$45,$NN$45/$NT$45)),0)</f>
        <v/>
      </c>
      <c r="KZ45" s="402">
        <f>IF(AND(308&gt;=$NR$45,308&lt;=$NS$45),IF($NP$45="Single_Point",IF(308=$NR$45,$NN$45,0),IF($NP$45="Bell_Curve",$NN$45*(308-$NR$45+1)*($NS$45-308+1)/$NU$45,$NN$45/$NT$45)),0)</f>
        <v/>
      </c>
      <c r="LA45" s="402">
        <f>IF(AND(309&gt;=$NR$45,309&lt;=$NS$45),IF($NP$45="Single_Point",IF(309=$NR$45,$NN$45,0),IF($NP$45="Bell_Curve",$NN$45*(309-$NR$45+1)*($NS$45-309+1)/$NU$45,$NN$45/$NT$45)),0)</f>
        <v/>
      </c>
      <c r="LB45" s="402">
        <f>IF(AND(310&gt;=$NR$45,310&lt;=$NS$45),IF($NP$45="Single_Point",IF(310=$NR$45,$NN$45,0),IF($NP$45="Bell_Curve",$NN$45*(310-$NR$45+1)*($NS$45-310+1)/$NU$45,$NN$45/$NT$45)),0)</f>
        <v/>
      </c>
      <c r="LC45" s="402">
        <f>IF(AND(311&gt;=$NR$45,311&lt;=$NS$45),IF($NP$45="Single_Point",IF(311=$NR$45,$NN$45,0),IF($NP$45="Bell_Curve",$NN$45*(311-$NR$45+1)*($NS$45-311+1)/$NU$45,$NN$45/$NT$45)),0)</f>
        <v/>
      </c>
      <c r="LD45" s="402">
        <f>IF(AND(312&gt;=$NR$45,312&lt;=$NS$45),IF($NP$45="Single_Point",IF(312=$NR$45,$NN$45,0),IF($NP$45="Bell_Curve",$NN$45*(312-$NR$45+1)*($NS$45-312+1)/$NU$45,$NN$45/$NT$45)),0)</f>
        <v/>
      </c>
      <c r="LE45" s="402">
        <f>IF(AND(313&gt;=$NR$45,313&lt;=$NS$45),IF($NP$45="Single_Point",IF(313=$NR$45,$NN$45,0),IF($NP$45="Bell_Curve",$NN$45*(313-$NR$45+1)*($NS$45-313+1)/$NU$45,$NN$45/$NT$45)),0)</f>
        <v/>
      </c>
      <c r="LF45" s="402">
        <f>IF(AND(314&gt;=$NR$45,314&lt;=$NS$45),IF($NP$45="Single_Point",IF(314=$NR$45,$NN$45,0),IF($NP$45="Bell_Curve",$NN$45*(314-$NR$45+1)*($NS$45-314+1)/$NU$45,$NN$45/$NT$45)),0)</f>
        <v/>
      </c>
      <c r="LG45" s="402">
        <f>IF(AND(315&gt;=$NR$45,315&lt;=$NS$45),IF($NP$45="Single_Point",IF(315=$NR$45,$NN$45,0),IF($NP$45="Bell_Curve",$NN$45*(315-$NR$45+1)*($NS$45-315+1)/$NU$45,$NN$45/$NT$45)),0)</f>
        <v/>
      </c>
      <c r="LH45" s="402">
        <f>IF(AND(316&gt;=$NR$45,316&lt;=$NS$45),IF($NP$45="Single_Point",IF(316=$NR$45,$NN$45,0),IF($NP$45="Bell_Curve",$NN$45*(316-$NR$45+1)*($NS$45-316+1)/$NU$45,$NN$45/$NT$45)),0)</f>
        <v/>
      </c>
      <c r="LI45" s="402">
        <f>IF(AND(317&gt;=$NR$45,317&lt;=$NS$45),IF($NP$45="Single_Point",IF(317=$NR$45,$NN$45,0),IF($NP$45="Bell_Curve",$NN$45*(317-$NR$45+1)*($NS$45-317+1)/$NU$45,$NN$45/$NT$45)),0)</f>
        <v/>
      </c>
      <c r="LJ45" s="402">
        <f>IF(AND(318&gt;=$NR$45,318&lt;=$NS$45),IF($NP$45="Single_Point",IF(318=$NR$45,$NN$45,0),IF($NP$45="Bell_Curve",$NN$45*(318-$NR$45+1)*($NS$45-318+1)/$NU$45,$NN$45/$NT$45)),0)</f>
        <v/>
      </c>
      <c r="LK45" s="402">
        <f>IF(AND(319&gt;=$NR$45,319&lt;=$NS$45),IF($NP$45="Single_Point",IF(319=$NR$45,$NN$45,0),IF($NP$45="Bell_Curve",$NN$45*(319-$NR$45+1)*($NS$45-319+1)/$NU$45,$NN$45/$NT$45)),0)</f>
        <v/>
      </c>
      <c r="LL45" s="402">
        <f>IF(AND(320&gt;=$NR$45,320&lt;=$NS$45),IF($NP$45="Single_Point",IF(320=$NR$45,$NN$45,0),IF($NP$45="Bell_Curve",$NN$45*(320-$NR$45+1)*($NS$45-320+1)/$NU$45,$NN$45/$NT$45)),0)</f>
        <v/>
      </c>
      <c r="LM45" s="402">
        <f>IF(AND(321&gt;=$NR$45,321&lt;=$NS$45),IF($NP$45="Single_Point",IF(321=$NR$45,$NN$45,0),IF($NP$45="Bell_Curve",$NN$45*(321-$NR$45+1)*($NS$45-321+1)/$NU$45,$NN$45/$NT$45)),0)</f>
        <v/>
      </c>
      <c r="LN45" s="402">
        <f>IF(AND(322&gt;=$NR$45,322&lt;=$NS$45),IF($NP$45="Single_Point",IF(322=$NR$45,$NN$45,0),IF($NP$45="Bell_Curve",$NN$45*(322-$NR$45+1)*($NS$45-322+1)/$NU$45,$NN$45/$NT$45)),0)</f>
        <v/>
      </c>
      <c r="LO45" s="402">
        <f>IF(AND(323&gt;=$NR$45,323&lt;=$NS$45),IF($NP$45="Single_Point",IF(323=$NR$45,$NN$45,0),IF($NP$45="Bell_Curve",$NN$45*(323-$NR$45+1)*($NS$45-323+1)/$NU$45,$NN$45/$NT$45)),0)</f>
        <v/>
      </c>
      <c r="LP45" s="402">
        <f>IF(AND(324&gt;=$NR$45,324&lt;=$NS$45),IF($NP$45="Single_Point",IF(324=$NR$45,$NN$45,0),IF($NP$45="Bell_Curve",$NN$45*(324-$NR$45+1)*($NS$45-324+1)/$NU$45,$NN$45/$NT$45)),0)</f>
        <v/>
      </c>
      <c r="LQ45" s="402">
        <f>IF(AND(325&gt;=$NR$45,325&lt;=$NS$45),IF($NP$45="Single_Point",IF(325=$NR$45,$NN$45,0),IF($NP$45="Bell_Curve",$NN$45*(325-$NR$45+1)*($NS$45-325+1)/$NU$45,$NN$45/$NT$45)),0)</f>
        <v/>
      </c>
      <c r="LR45" s="402">
        <f>IF(AND(326&gt;=$NR$45,326&lt;=$NS$45),IF($NP$45="Single_Point",IF(326=$NR$45,$NN$45,0),IF($NP$45="Bell_Curve",$NN$45*(326-$NR$45+1)*($NS$45-326+1)/$NU$45,$NN$45/$NT$45)),0)</f>
        <v/>
      </c>
      <c r="LS45" s="402">
        <f>IF(AND(327&gt;=$NR$45,327&lt;=$NS$45),IF($NP$45="Single_Point",IF(327=$NR$45,$NN$45,0),IF($NP$45="Bell_Curve",$NN$45*(327-$NR$45+1)*($NS$45-327+1)/$NU$45,$NN$45/$NT$45)),0)</f>
        <v/>
      </c>
      <c r="LT45" s="402">
        <f>IF(AND(328&gt;=$NR$45,328&lt;=$NS$45),IF($NP$45="Single_Point",IF(328=$NR$45,$NN$45,0),IF($NP$45="Bell_Curve",$NN$45*(328-$NR$45+1)*($NS$45-328+1)/$NU$45,$NN$45/$NT$45)),0)</f>
        <v/>
      </c>
      <c r="LU45" s="402">
        <f>IF(AND(329&gt;=$NR$45,329&lt;=$NS$45),IF($NP$45="Single_Point",IF(329=$NR$45,$NN$45,0),IF($NP$45="Bell_Curve",$NN$45*(329-$NR$45+1)*($NS$45-329+1)/$NU$45,$NN$45/$NT$45)),0)</f>
        <v/>
      </c>
      <c r="LV45" s="402">
        <f>IF(AND(330&gt;=$NR$45,330&lt;=$NS$45),IF($NP$45="Single_Point",IF(330=$NR$45,$NN$45,0),IF($NP$45="Bell_Curve",$NN$45*(330-$NR$45+1)*($NS$45-330+1)/$NU$45,$NN$45/$NT$45)),0)</f>
        <v/>
      </c>
      <c r="LW45" s="402">
        <f>IF(AND(331&gt;=$NR$45,331&lt;=$NS$45),IF($NP$45="Single_Point",IF(331=$NR$45,$NN$45,0),IF($NP$45="Bell_Curve",$NN$45*(331-$NR$45+1)*($NS$45-331+1)/$NU$45,$NN$45/$NT$45)),0)</f>
        <v/>
      </c>
      <c r="LX45" s="402">
        <f>IF(AND(332&gt;=$NR$45,332&lt;=$NS$45),IF($NP$45="Single_Point",IF(332=$NR$45,$NN$45,0),IF($NP$45="Bell_Curve",$NN$45*(332-$NR$45+1)*($NS$45-332+1)/$NU$45,$NN$45/$NT$45)),0)</f>
        <v/>
      </c>
      <c r="LY45" s="402">
        <f>IF(AND(333&gt;=$NR$45,333&lt;=$NS$45),IF($NP$45="Single_Point",IF(333=$NR$45,$NN$45,0),IF($NP$45="Bell_Curve",$NN$45*(333-$NR$45+1)*($NS$45-333+1)/$NU$45,$NN$45/$NT$45)),0)</f>
        <v/>
      </c>
      <c r="LZ45" s="402">
        <f>IF(AND(334&gt;=$NR$45,334&lt;=$NS$45),IF($NP$45="Single_Point",IF(334=$NR$45,$NN$45,0),IF($NP$45="Bell_Curve",$NN$45*(334-$NR$45+1)*($NS$45-334+1)/$NU$45,$NN$45/$NT$45)),0)</f>
        <v/>
      </c>
      <c r="MA45" s="402">
        <f>IF(AND(335&gt;=$NR$45,335&lt;=$NS$45),IF($NP$45="Single_Point",IF(335=$NR$45,$NN$45,0),IF($NP$45="Bell_Curve",$NN$45*(335-$NR$45+1)*($NS$45-335+1)/$NU$45,$NN$45/$NT$45)),0)</f>
        <v/>
      </c>
      <c r="MB45" s="402">
        <f>IF(AND(336&gt;=$NR$45,336&lt;=$NS$45),IF($NP$45="Single_Point",IF(336=$NR$45,$NN$45,0),IF($NP$45="Bell_Curve",$NN$45*(336-$NR$45+1)*($NS$45-336+1)/$NU$45,$NN$45/$NT$45)),0)</f>
        <v/>
      </c>
      <c r="MC45" s="402">
        <f>IF(AND(337&gt;=$NR$45,337&lt;=$NS$45),IF($NP$45="Single_Point",IF(337=$NR$45,$NN$45,0),IF($NP$45="Bell_Curve",$NN$45*(337-$NR$45+1)*($NS$45-337+1)/$NU$45,$NN$45/$NT$45)),0)</f>
        <v/>
      </c>
      <c r="MD45" s="402">
        <f>IF(AND(338&gt;=$NR$45,338&lt;=$NS$45),IF($NP$45="Single_Point",IF(338=$NR$45,$NN$45,0),IF($NP$45="Bell_Curve",$NN$45*(338-$NR$45+1)*($NS$45-338+1)/$NU$45,$NN$45/$NT$45)),0)</f>
        <v/>
      </c>
      <c r="ME45" s="402">
        <f>IF(AND(339&gt;=$NR$45,339&lt;=$NS$45),IF($NP$45="Single_Point",IF(339=$NR$45,$NN$45,0),IF($NP$45="Bell_Curve",$NN$45*(339-$NR$45+1)*($NS$45-339+1)/$NU$45,$NN$45/$NT$45)),0)</f>
        <v/>
      </c>
      <c r="MF45" s="402">
        <f>IF(AND(340&gt;=$NR$45,340&lt;=$NS$45),IF($NP$45="Single_Point",IF(340=$NR$45,$NN$45,0),IF($NP$45="Bell_Curve",$NN$45*(340-$NR$45+1)*($NS$45-340+1)/$NU$45,$NN$45/$NT$45)),0)</f>
        <v/>
      </c>
      <c r="MG45" s="402">
        <f>IF(AND(341&gt;=$NR$45,341&lt;=$NS$45),IF($NP$45="Single_Point",IF(341=$NR$45,$NN$45,0),IF($NP$45="Bell_Curve",$NN$45*(341-$NR$45+1)*($NS$45-341+1)/$NU$45,$NN$45/$NT$45)),0)</f>
        <v/>
      </c>
      <c r="MH45" s="402">
        <f>IF(AND(342&gt;=$NR$45,342&lt;=$NS$45),IF($NP$45="Single_Point",IF(342=$NR$45,$NN$45,0),IF($NP$45="Bell_Curve",$NN$45*(342-$NR$45+1)*($NS$45-342+1)/$NU$45,$NN$45/$NT$45)),0)</f>
        <v/>
      </c>
      <c r="MI45" s="402">
        <f>IF(AND(343&gt;=$NR$45,343&lt;=$NS$45),IF($NP$45="Single_Point",IF(343=$NR$45,$NN$45,0),IF($NP$45="Bell_Curve",$NN$45*(343-$NR$45+1)*($NS$45-343+1)/$NU$45,$NN$45/$NT$45)),0)</f>
        <v/>
      </c>
      <c r="MJ45" s="402">
        <f>IF(AND(344&gt;=$NR$45,344&lt;=$NS$45),IF($NP$45="Single_Point",IF(344=$NR$45,$NN$45,0),IF($NP$45="Bell_Curve",$NN$45*(344-$NR$45+1)*($NS$45-344+1)/$NU$45,$NN$45/$NT$45)),0)</f>
        <v/>
      </c>
      <c r="MK45" s="402">
        <f>IF(AND(345&gt;=$NR$45,345&lt;=$NS$45),IF($NP$45="Single_Point",IF(345=$NR$45,$NN$45,0),IF($NP$45="Bell_Curve",$NN$45*(345-$NR$45+1)*($NS$45-345+1)/$NU$45,$NN$45/$NT$45)),0)</f>
        <v/>
      </c>
      <c r="ML45" s="402">
        <f>IF(AND(346&gt;=$NR$45,346&lt;=$NS$45),IF($NP$45="Single_Point",IF(346=$NR$45,$NN$45,0),IF($NP$45="Bell_Curve",$NN$45*(346-$NR$45+1)*($NS$45-346+1)/$NU$45,$NN$45/$NT$45)),0)</f>
        <v/>
      </c>
      <c r="MM45" s="402">
        <f>IF(AND(347&gt;=$NR$45,347&lt;=$NS$45),IF($NP$45="Single_Point",IF(347=$NR$45,$NN$45,0),IF($NP$45="Bell_Curve",$NN$45*(347-$NR$45+1)*($NS$45-347+1)/$NU$45,$NN$45/$NT$45)),0)</f>
        <v/>
      </c>
      <c r="MN45" s="402">
        <f>IF(AND(348&gt;=$NR$45,348&lt;=$NS$45),IF($NP$45="Single_Point",IF(348=$NR$45,$NN$45,0),IF($NP$45="Bell_Curve",$NN$45*(348-$NR$45+1)*($NS$45-348+1)/$NU$45,$NN$45/$NT$45)),0)</f>
        <v/>
      </c>
      <c r="MO45" s="402">
        <f>IF(AND(349&gt;=$NR$45,349&lt;=$NS$45),IF($NP$45="Single_Point",IF(349=$NR$45,$NN$45,0),IF($NP$45="Bell_Curve",$NN$45*(349-$NR$45+1)*($NS$45-349+1)/$NU$45,$NN$45/$NT$45)),0)</f>
        <v/>
      </c>
      <c r="MP45" s="402">
        <f>IF(AND(350&gt;=$NR$45,350&lt;=$NS$45),IF($NP$45="Single_Point",IF(350=$NR$45,$NN$45,0),IF($NP$45="Bell_Curve",$NN$45*(350-$NR$45+1)*($NS$45-350+1)/$NU$45,$NN$45/$NT$45)),0)</f>
        <v/>
      </c>
      <c r="MQ45" s="402">
        <f>IF(AND(351&gt;=$NR$45,351&lt;=$NS$45),IF($NP$45="Single_Point",IF(351=$NR$45,$NN$45,0),IF($NP$45="Bell_Curve",$NN$45*(351-$NR$45+1)*($NS$45-351+1)/$NU$45,$NN$45/$NT$45)),0)</f>
        <v/>
      </c>
      <c r="MR45" s="402">
        <f>IF(AND(352&gt;=$NR$45,352&lt;=$NS$45),IF($NP$45="Single_Point",IF(352=$NR$45,$NN$45,0),IF($NP$45="Bell_Curve",$NN$45*(352-$NR$45+1)*($NS$45-352+1)/$NU$45,$NN$45/$NT$45)),0)</f>
        <v/>
      </c>
      <c r="MS45" s="402">
        <f>IF(AND(353&gt;=$NR$45,353&lt;=$NS$45),IF($NP$45="Single_Point",IF(353=$NR$45,$NN$45,0),IF($NP$45="Bell_Curve",$NN$45*(353-$NR$45+1)*($NS$45-353+1)/$NU$45,$NN$45/$NT$45)),0)</f>
        <v/>
      </c>
      <c r="MT45" s="402">
        <f>IF(AND(354&gt;=$NR$45,354&lt;=$NS$45),IF($NP$45="Single_Point",IF(354=$NR$45,$NN$45,0),IF($NP$45="Bell_Curve",$NN$45*(354-$NR$45+1)*($NS$45-354+1)/$NU$45,$NN$45/$NT$45)),0)</f>
        <v/>
      </c>
      <c r="MU45" s="402">
        <f>IF(AND(355&gt;=$NR$45,355&lt;=$NS$45),IF($NP$45="Single_Point",IF(355=$NR$45,$NN$45,0),IF($NP$45="Bell_Curve",$NN$45*(355-$NR$45+1)*($NS$45-355+1)/$NU$45,$NN$45/$NT$45)),0)</f>
        <v/>
      </c>
      <c r="MV45" s="402">
        <f>IF(AND(356&gt;=$NR$45,356&lt;=$NS$45),IF($NP$45="Single_Point",IF(356=$NR$45,$NN$45,0),IF($NP$45="Bell_Curve",$NN$45*(356-$NR$45+1)*($NS$45-356+1)/$NU$45,$NN$45/$NT$45)),0)</f>
        <v/>
      </c>
      <c r="MW45" s="402">
        <f>IF(AND(357&gt;=$NR$45,357&lt;=$NS$45),IF($NP$45="Single_Point",IF(357=$NR$45,$NN$45,0),IF($NP$45="Bell_Curve",$NN$45*(357-$NR$45+1)*($NS$45-357+1)/$NU$45,$NN$45/$NT$45)),0)</f>
        <v/>
      </c>
      <c r="MX45" s="402">
        <f>IF(AND(358&gt;=$NR$45,358&lt;=$NS$45),IF($NP$45="Single_Point",IF(358=$NR$45,$NN$45,0),IF($NP$45="Bell_Curve",$NN$45*(358-$NR$45+1)*($NS$45-358+1)/$NU$45,$NN$45/$NT$45)),0)</f>
        <v/>
      </c>
      <c r="MY45" s="402">
        <f>IF(AND(359&gt;=$NR$45,359&lt;=$NS$45),IF($NP$45="Single_Point",IF(359=$NR$45,$NN$45,0),IF($NP$45="Bell_Curve",$NN$45*(359-$NR$45+1)*($NS$45-359+1)/$NU$45,$NN$45/$NT$45)),0)</f>
        <v/>
      </c>
      <c r="MZ45" s="402">
        <f>IF(AND(360&gt;=$NR$45,360&lt;=$NS$45),IF($NP$45="Single_Point",IF(360=$NR$45,$NN$45,0),IF($NP$45="Bell_Curve",$NN$45*(360-$NR$45+1)*($NS$45-360+1)/$NU$45,$NN$45/$NT$45)),0)</f>
        <v/>
      </c>
      <c r="NA45" s="402">
        <f>IF(AND(361&gt;=$NR$45,361&lt;=$NS$45),IF($NP$45="Single_Point",IF(361=$NR$45,$NN$45,0),IF($NP$45="Bell_Curve",$NN$45*(361-$NR$45+1)*($NS$45-361+1)/$NU$45,$NN$45/$NT$45)),0)</f>
        <v/>
      </c>
      <c r="NB45" s="402">
        <f>IF(AND(362&gt;=$NR$45,362&lt;=$NS$45),IF($NP$45="Single_Point",IF(362=$NR$45,$NN$45,0),IF($NP$45="Bell_Curve",$NN$45*(362-$NR$45+1)*($NS$45-362+1)/$NU$45,$NN$45/$NT$45)),0)</f>
        <v/>
      </c>
      <c r="NC45" s="402">
        <f>IF(AND(363&gt;=$NR$45,363&lt;=$NS$45),IF($NP$45="Single_Point",IF(363=$NR$45,$NN$45,0),IF($NP$45="Bell_Curve",$NN$45*(363-$NR$45+1)*($NS$45-363+1)/$NU$45,$NN$45/$NT$45)),0)</f>
        <v/>
      </c>
      <c r="ND45" s="402">
        <f>IF(AND(364&gt;=$NR$45,364&lt;=$NS$45),IF($NP$45="Single_Point",IF(364=$NR$45,$NN$45,0),IF($NP$45="Bell_Curve",$NN$45*(364-$NR$45+1)*($NS$45-364+1)/$NU$45,$NN$45/$NT$45)),0)</f>
        <v/>
      </c>
      <c r="NE45" s="402">
        <f>IF(AND(365&gt;=$NR$45,365&lt;=$NS$45),IF($NP$45="Single_Point",IF(365=$NR$45,$NN$45,0),IF($NP$45="Bell_Curve",$NN$45*(365-$NR$45+1)*($NS$45-365+1)/$NU$45,$NN$45/$NT$45)),0)</f>
        <v/>
      </c>
      <c r="NF45" s="402">
        <f>IF(AND(366&gt;=$NR$45,366&lt;=$NS$45),IF($NP$45="Single_Point",IF(366=$NR$45,$NN$45,0),IF($NP$45="Bell_Curve",$NN$45*(366-$NR$45+1)*($NS$45-366+1)/$NU$45,$NN$45/$NT$45)),0)</f>
        <v/>
      </c>
      <c r="NG45" s="402">
        <f>IF(AND(367&gt;=$NR$45,367&lt;=$NS$45),IF($NP$45="Single_Point",IF(367=$NR$45,$NN$45,0),IF($NP$45="Bell_Curve",$NN$45*(367-$NR$45+1)*($NS$45-367+1)/$NU$45,$NN$45/$NT$45)),0)</f>
        <v/>
      </c>
      <c r="NH45" s="402">
        <f>IF(AND(368&gt;=$NR$45,368&lt;=$NS$45),IF($NP$45="Single_Point",IF(368=$NR$45,$NN$45,0),IF($NP$45="Bell_Curve",$NN$45*(368-$NR$45+1)*($NS$45-368+1)/$NU$45,$NN$45/$NT$45)),0)</f>
        <v/>
      </c>
      <c r="NI45" s="402">
        <f>IF(AND(369&gt;=$NR$45,369&lt;=$NS$45),IF($NP$45="Single_Point",IF(369=$NR$45,$NN$45,0),IF($NP$45="Bell_Curve",$NN$45*(369-$NR$45+1)*($NS$45-369+1)/$NU$45,$NN$45/$NT$45)),0)</f>
        <v/>
      </c>
      <c r="NJ45" s="402">
        <f>IF(AND(370&gt;=$NR$45,370&lt;=$NS$45),IF($NP$45="Single_Point",IF(370=$NR$45,$NN$45,0),IF($NP$45="Bell_Curve",$NN$45*(370-$NR$45+1)*($NS$45-370+1)/$NU$45,$NN$45/$NT$45)),0)</f>
        <v/>
      </c>
      <c r="NK45" s="402">
        <f>IF(AND(371&gt;=$NR$45,371&lt;=$NS$45),IF($NP$45="Single_Point",IF(371=$NR$45,$NN$45,0),IF($NP$45="Bell_Curve",$NN$45*(371-$NR$45+1)*($NS$45-371+1)/$NU$45,$NN$45/$NT$45)),0)</f>
        <v/>
      </c>
      <c r="NL45" s="402">
        <f>IF(AND(372&gt;=$NR$45,372&lt;=$NS$45),IF($NP$45="Single_Point",IF(372=$NR$45,$NN$45,0),IF($NP$45="Bell_Curve",$NN$45*(372-$NR$45+1)*($NS$45-372+1)/$NU$45,$NN$45/$NT$45)),0)</f>
        <v/>
      </c>
      <c r="NM45">
        <f>Budget!C44</f>
        <v/>
      </c>
      <c r="NN45">
        <f>Budget!J44</f>
        <v/>
      </c>
      <c r="NO45">
        <f>Budget!G44</f>
        <v/>
      </c>
      <c r="NP45">
        <f>Budget!H44</f>
        <v/>
      </c>
      <c r="NQ45">
        <f>Budget!I44</f>
        <v/>
      </c>
      <c r="NR45">
        <f>MAX(1,MIN(372,INDEX(MilestoneStart,MATCH(NO45,MilestoneNames,0))+NQ45))</f>
        <v/>
      </c>
      <c r="NS45">
        <f>MAX(NR45,MIN(372,INDEX(MilestoneEnd,MATCH(NO45,MilestoneNames,0))+NQ45))</f>
        <v/>
      </c>
      <c r="NT45">
        <f>NS45-NR45+1</f>
        <v/>
      </c>
      <c r="NU45">
        <f>NT45*(NT45+1)*(NT45+2)/6</f>
        <v/>
      </c>
    </row>
    <row r="46">
      <c r="B46" s="316">
        <f>Budget!B45</f>
        <v/>
      </c>
      <c r="D46" s="402">
        <f>SUM(E46:NL46)</f>
        <v/>
      </c>
      <c r="E46" s="402">
        <f>IF(AND(1&gt;=$NR$46,1&lt;=$NS$46),IF($NP$46="Single_Point",IF(1=$NR$46,$NN$46,0),IF($NP$46="Bell_Curve",$NN$46*(1-$NR$46+1)*($NS$46-1+1)/$NU$46,$NN$46/$NT$46)),0)</f>
        <v/>
      </c>
      <c r="F46" s="402">
        <f>IF(AND(2&gt;=$NR$46,2&lt;=$NS$46),IF($NP$46="Single_Point",IF(2=$NR$46,$NN$46,0),IF($NP$46="Bell_Curve",$NN$46*(2-$NR$46+1)*($NS$46-2+1)/$NU$46,$NN$46/$NT$46)),0)</f>
        <v/>
      </c>
      <c r="G46" s="402">
        <f>IF(AND(3&gt;=$NR$46,3&lt;=$NS$46),IF($NP$46="Single_Point",IF(3=$NR$46,$NN$46,0),IF($NP$46="Bell_Curve",$NN$46*(3-$NR$46+1)*($NS$46-3+1)/$NU$46,$NN$46/$NT$46)),0)</f>
        <v/>
      </c>
      <c r="H46" s="402">
        <f>IF(AND(4&gt;=$NR$46,4&lt;=$NS$46),IF($NP$46="Single_Point",IF(4=$NR$46,$NN$46,0),IF($NP$46="Bell_Curve",$NN$46*(4-$NR$46+1)*($NS$46-4+1)/$NU$46,$NN$46/$NT$46)),0)</f>
        <v/>
      </c>
      <c r="I46" s="402">
        <f>IF(AND(5&gt;=$NR$46,5&lt;=$NS$46),IF($NP$46="Single_Point",IF(5=$NR$46,$NN$46,0),IF($NP$46="Bell_Curve",$NN$46*(5-$NR$46+1)*($NS$46-5+1)/$NU$46,$NN$46/$NT$46)),0)</f>
        <v/>
      </c>
      <c r="J46" s="402">
        <f>IF(AND(6&gt;=$NR$46,6&lt;=$NS$46),IF($NP$46="Single_Point",IF(6=$NR$46,$NN$46,0),IF($NP$46="Bell_Curve",$NN$46*(6-$NR$46+1)*($NS$46-6+1)/$NU$46,$NN$46/$NT$46)),0)</f>
        <v/>
      </c>
      <c r="K46" s="402">
        <f>IF(AND(7&gt;=$NR$46,7&lt;=$NS$46),IF($NP$46="Single_Point",IF(7=$NR$46,$NN$46,0),IF($NP$46="Bell_Curve",$NN$46*(7-$NR$46+1)*($NS$46-7+1)/$NU$46,$NN$46/$NT$46)),0)</f>
        <v/>
      </c>
      <c r="L46" s="402">
        <f>IF(AND(8&gt;=$NR$46,8&lt;=$NS$46),IF($NP$46="Single_Point",IF(8=$NR$46,$NN$46,0),IF($NP$46="Bell_Curve",$NN$46*(8-$NR$46+1)*($NS$46-8+1)/$NU$46,$NN$46/$NT$46)),0)</f>
        <v/>
      </c>
      <c r="M46" s="402">
        <f>IF(AND(9&gt;=$NR$46,9&lt;=$NS$46),IF($NP$46="Single_Point",IF(9=$NR$46,$NN$46,0),IF($NP$46="Bell_Curve",$NN$46*(9-$NR$46+1)*($NS$46-9+1)/$NU$46,$NN$46/$NT$46)),0)</f>
        <v/>
      </c>
      <c r="N46" s="402">
        <f>IF(AND(10&gt;=$NR$46,10&lt;=$NS$46),IF($NP$46="Single_Point",IF(10=$NR$46,$NN$46,0),IF($NP$46="Bell_Curve",$NN$46*(10-$NR$46+1)*($NS$46-10+1)/$NU$46,$NN$46/$NT$46)),0)</f>
        <v/>
      </c>
      <c r="O46" s="402">
        <f>IF(AND(11&gt;=$NR$46,11&lt;=$NS$46),IF($NP$46="Single_Point",IF(11=$NR$46,$NN$46,0),IF($NP$46="Bell_Curve",$NN$46*(11-$NR$46+1)*($NS$46-11+1)/$NU$46,$NN$46/$NT$46)),0)</f>
        <v/>
      </c>
      <c r="P46" s="402">
        <f>IF(AND(12&gt;=$NR$46,12&lt;=$NS$46),IF($NP$46="Single_Point",IF(12=$NR$46,$NN$46,0),IF($NP$46="Bell_Curve",$NN$46*(12-$NR$46+1)*($NS$46-12+1)/$NU$46,$NN$46/$NT$46)),0)</f>
        <v/>
      </c>
      <c r="Q46" s="402">
        <f>IF(AND(13&gt;=$NR$46,13&lt;=$NS$46),IF($NP$46="Single_Point",IF(13=$NR$46,$NN$46,0),IF($NP$46="Bell_Curve",$NN$46*(13-$NR$46+1)*($NS$46-13+1)/$NU$46,$NN$46/$NT$46)),0)</f>
        <v/>
      </c>
      <c r="R46" s="402">
        <f>IF(AND(14&gt;=$NR$46,14&lt;=$NS$46),IF($NP$46="Single_Point",IF(14=$NR$46,$NN$46,0),IF($NP$46="Bell_Curve",$NN$46*(14-$NR$46+1)*($NS$46-14+1)/$NU$46,$NN$46/$NT$46)),0)</f>
        <v/>
      </c>
      <c r="S46" s="402">
        <f>IF(AND(15&gt;=$NR$46,15&lt;=$NS$46),IF($NP$46="Single_Point",IF(15=$NR$46,$NN$46,0),IF($NP$46="Bell_Curve",$NN$46*(15-$NR$46+1)*($NS$46-15+1)/$NU$46,$NN$46/$NT$46)),0)</f>
        <v/>
      </c>
      <c r="T46" s="402">
        <f>IF(AND(16&gt;=$NR$46,16&lt;=$NS$46),IF($NP$46="Single_Point",IF(16=$NR$46,$NN$46,0),IF($NP$46="Bell_Curve",$NN$46*(16-$NR$46+1)*($NS$46-16+1)/$NU$46,$NN$46/$NT$46)),0)</f>
        <v/>
      </c>
      <c r="U46" s="402">
        <f>IF(AND(17&gt;=$NR$46,17&lt;=$NS$46),IF($NP$46="Single_Point",IF(17=$NR$46,$NN$46,0),IF($NP$46="Bell_Curve",$NN$46*(17-$NR$46+1)*($NS$46-17+1)/$NU$46,$NN$46/$NT$46)),0)</f>
        <v/>
      </c>
      <c r="V46" s="402">
        <f>IF(AND(18&gt;=$NR$46,18&lt;=$NS$46),IF($NP$46="Single_Point",IF(18=$NR$46,$NN$46,0),IF($NP$46="Bell_Curve",$NN$46*(18-$NR$46+1)*($NS$46-18+1)/$NU$46,$NN$46/$NT$46)),0)</f>
        <v/>
      </c>
      <c r="W46" s="402">
        <f>IF(AND(19&gt;=$NR$46,19&lt;=$NS$46),IF($NP$46="Single_Point",IF(19=$NR$46,$NN$46,0),IF($NP$46="Bell_Curve",$NN$46*(19-$NR$46+1)*($NS$46-19+1)/$NU$46,$NN$46/$NT$46)),0)</f>
        <v/>
      </c>
      <c r="X46" s="402">
        <f>IF(AND(20&gt;=$NR$46,20&lt;=$NS$46),IF($NP$46="Single_Point",IF(20=$NR$46,$NN$46,0),IF($NP$46="Bell_Curve",$NN$46*(20-$NR$46+1)*($NS$46-20+1)/$NU$46,$NN$46/$NT$46)),0)</f>
        <v/>
      </c>
      <c r="Y46" s="402">
        <f>IF(AND(21&gt;=$NR$46,21&lt;=$NS$46),IF($NP$46="Single_Point",IF(21=$NR$46,$NN$46,0),IF($NP$46="Bell_Curve",$NN$46*(21-$NR$46+1)*($NS$46-21+1)/$NU$46,$NN$46/$NT$46)),0)</f>
        <v/>
      </c>
      <c r="Z46" s="402">
        <f>IF(AND(22&gt;=$NR$46,22&lt;=$NS$46),IF($NP$46="Single_Point",IF(22=$NR$46,$NN$46,0),IF($NP$46="Bell_Curve",$NN$46*(22-$NR$46+1)*($NS$46-22+1)/$NU$46,$NN$46/$NT$46)),0)</f>
        <v/>
      </c>
      <c r="AA46" s="402">
        <f>IF(AND(23&gt;=$NR$46,23&lt;=$NS$46),IF($NP$46="Single_Point",IF(23=$NR$46,$NN$46,0),IF($NP$46="Bell_Curve",$NN$46*(23-$NR$46+1)*($NS$46-23+1)/$NU$46,$NN$46/$NT$46)),0)</f>
        <v/>
      </c>
      <c r="AB46" s="402">
        <f>IF(AND(24&gt;=$NR$46,24&lt;=$NS$46),IF($NP$46="Single_Point",IF(24=$NR$46,$NN$46,0),IF($NP$46="Bell_Curve",$NN$46*(24-$NR$46+1)*($NS$46-24+1)/$NU$46,$NN$46/$NT$46)),0)</f>
        <v/>
      </c>
      <c r="AC46" s="402">
        <f>IF(AND(25&gt;=$NR$46,25&lt;=$NS$46),IF($NP$46="Single_Point",IF(25=$NR$46,$NN$46,0),IF($NP$46="Bell_Curve",$NN$46*(25-$NR$46+1)*($NS$46-25+1)/$NU$46,$NN$46/$NT$46)),0)</f>
        <v/>
      </c>
      <c r="AD46" s="402">
        <f>IF(AND(26&gt;=$NR$46,26&lt;=$NS$46),IF($NP$46="Single_Point",IF(26=$NR$46,$NN$46,0),IF($NP$46="Bell_Curve",$NN$46*(26-$NR$46+1)*($NS$46-26+1)/$NU$46,$NN$46/$NT$46)),0)</f>
        <v/>
      </c>
      <c r="AE46" s="402">
        <f>IF(AND(27&gt;=$NR$46,27&lt;=$NS$46),IF($NP$46="Single_Point",IF(27=$NR$46,$NN$46,0),IF($NP$46="Bell_Curve",$NN$46*(27-$NR$46+1)*($NS$46-27+1)/$NU$46,$NN$46/$NT$46)),0)</f>
        <v/>
      </c>
      <c r="AF46" s="402">
        <f>IF(AND(28&gt;=$NR$46,28&lt;=$NS$46),IF($NP$46="Single_Point",IF(28=$NR$46,$NN$46,0),IF($NP$46="Bell_Curve",$NN$46*(28-$NR$46+1)*($NS$46-28+1)/$NU$46,$NN$46/$NT$46)),0)</f>
        <v/>
      </c>
      <c r="AG46" s="402">
        <f>IF(AND(29&gt;=$NR$46,29&lt;=$NS$46),IF($NP$46="Single_Point",IF(29=$NR$46,$NN$46,0),IF($NP$46="Bell_Curve",$NN$46*(29-$NR$46+1)*($NS$46-29+1)/$NU$46,$NN$46/$NT$46)),0)</f>
        <v/>
      </c>
      <c r="AH46" s="402">
        <f>IF(AND(30&gt;=$NR$46,30&lt;=$NS$46),IF($NP$46="Single_Point",IF(30=$NR$46,$NN$46,0),IF($NP$46="Bell_Curve",$NN$46*(30-$NR$46+1)*($NS$46-30+1)/$NU$46,$NN$46/$NT$46)),0)</f>
        <v/>
      </c>
      <c r="AI46" s="402">
        <f>IF(AND(31&gt;=$NR$46,31&lt;=$NS$46),IF($NP$46="Single_Point",IF(31=$NR$46,$NN$46,0),IF($NP$46="Bell_Curve",$NN$46*(31-$NR$46+1)*($NS$46-31+1)/$NU$46,$NN$46/$NT$46)),0)</f>
        <v/>
      </c>
      <c r="AJ46" s="402">
        <f>IF(AND(32&gt;=$NR$46,32&lt;=$NS$46),IF($NP$46="Single_Point",IF(32=$NR$46,$NN$46,0),IF($NP$46="Bell_Curve",$NN$46*(32-$NR$46+1)*($NS$46-32+1)/$NU$46,$NN$46/$NT$46)),0)</f>
        <v/>
      </c>
      <c r="AK46" s="402">
        <f>IF(AND(33&gt;=$NR$46,33&lt;=$NS$46),IF($NP$46="Single_Point",IF(33=$NR$46,$NN$46,0),IF($NP$46="Bell_Curve",$NN$46*(33-$NR$46+1)*($NS$46-33+1)/$NU$46,$NN$46/$NT$46)),0)</f>
        <v/>
      </c>
      <c r="AL46" s="402">
        <f>IF(AND(34&gt;=$NR$46,34&lt;=$NS$46),IF($NP$46="Single_Point",IF(34=$NR$46,$NN$46,0),IF($NP$46="Bell_Curve",$NN$46*(34-$NR$46+1)*($NS$46-34+1)/$NU$46,$NN$46/$NT$46)),0)</f>
        <v/>
      </c>
      <c r="AM46" s="402">
        <f>IF(AND(35&gt;=$NR$46,35&lt;=$NS$46),IF($NP$46="Single_Point",IF(35=$NR$46,$NN$46,0),IF($NP$46="Bell_Curve",$NN$46*(35-$NR$46+1)*($NS$46-35+1)/$NU$46,$NN$46/$NT$46)),0)</f>
        <v/>
      </c>
      <c r="AN46" s="402">
        <f>IF(AND(36&gt;=$NR$46,36&lt;=$NS$46),IF($NP$46="Single_Point",IF(36=$NR$46,$NN$46,0),IF($NP$46="Bell_Curve",$NN$46*(36-$NR$46+1)*($NS$46-36+1)/$NU$46,$NN$46/$NT$46)),0)</f>
        <v/>
      </c>
      <c r="AO46" s="402">
        <f>IF(AND(37&gt;=$NR$46,37&lt;=$NS$46),IF($NP$46="Single_Point",IF(37=$NR$46,$NN$46,0),IF($NP$46="Bell_Curve",$NN$46*(37-$NR$46+1)*($NS$46-37+1)/$NU$46,$NN$46/$NT$46)),0)</f>
        <v/>
      </c>
      <c r="AP46" s="402">
        <f>IF(AND(38&gt;=$NR$46,38&lt;=$NS$46),IF($NP$46="Single_Point",IF(38=$NR$46,$NN$46,0),IF($NP$46="Bell_Curve",$NN$46*(38-$NR$46+1)*($NS$46-38+1)/$NU$46,$NN$46/$NT$46)),0)</f>
        <v/>
      </c>
      <c r="AQ46" s="402">
        <f>IF(AND(39&gt;=$NR$46,39&lt;=$NS$46),IF($NP$46="Single_Point",IF(39=$NR$46,$NN$46,0),IF($NP$46="Bell_Curve",$NN$46*(39-$NR$46+1)*($NS$46-39+1)/$NU$46,$NN$46/$NT$46)),0)</f>
        <v/>
      </c>
      <c r="AR46" s="402">
        <f>IF(AND(40&gt;=$NR$46,40&lt;=$NS$46),IF($NP$46="Single_Point",IF(40=$NR$46,$NN$46,0),IF($NP$46="Bell_Curve",$NN$46*(40-$NR$46+1)*($NS$46-40+1)/$NU$46,$NN$46/$NT$46)),0)</f>
        <v/>
      </c>
      <c r="AS46" s="402">
        <f>IF(AND(41&gt;=$NR$46,41&lt;=$NS$46),IF($NP$46="Single_Point",IF(41=$NR$46,$NN$46,0),IF($NP$46="Bell_Curve",$NN$46*(41-$NR$46+1)*($NS$46-41+1)/$NU$46,$NN$46/$NT$46)),0)</f>
        <v/>
      </c>
      <c r="AT46" s="402">
        <f>IF(AND(42&gt;=$NR$46,42&lt;=$NS$46),IF($NP$46="Single_Point",IF(42=$NR$46,$NN$46,0),IF($NP$46="Bell_Curve",$NN$46*(42-$NR$46+1)*($NS$46-42+1)/$NU$46,$NN$46/$NT$46)),0)</f>
        <v/>
      </c>
      <c r="AU46" s="402">
        <f>IF(AND(43&gt;=$NR$46,43&lt;=$NS$46),IF($NP$46="Single_Point",IF(43=$NR$46,$NN$46,0),IF($NP$46="Bell_Curve",$NN$46*(43-$NR$46+1)*($NS$46-43+1)/$NU$46,$NN$46/$NT$46)),0)</f>
        <v/>
      </c>
      <c r="AV46" s="402">
        <f>IF(AND(44&gt;=$NR$46,44&lt;=$NS$46),IF($NP$46="Single_Point",IF(44=$NR$46,$NN$46,0),IF($NP$46="Bell_Curve",$NN$46*(44-$NR$46+1)*($NS$46-44+1)/$NU$46,$NN$46/$NT$46)),0)</f>
        <v/>
      </c>
      <c r="AW46" s="402">
        <f>IF(AND(45&gt;=$NR$46,45&lt;=$NS$46),IF($NP$46="Single_Point",IF(45=$NR$46,$NN$46,0),IF($NP$46="Bell_Curve",$NN$46*(45-$NR$46+1)*($NS$46-45+1)/$NU$46,$NN$46/$NT$46)),0)</f>
        <v/>
      </c>
      <c r="AX46" s="402">
        <f>IF(AND(46&gt;=$NR$46,46&lt;=$NS$46),IF($NP$46="Single_Point",IF(46=$NR$46,$NN$46,0),IF($NP$46="Bell_Curve",$NN$46*(46-$NR$46+1)*($NS$46-46+1)/$NU$46,$NN$46/$NT$46)),0)</f>
        <v/>
      </c>
      <c r="AY46" s="402">
        <f>IF(AND(47&gt;=$NR$46,47&lt;=$NS$46),IF($NP$46="Single_Point",IF(47=$NR$46,$NN$46,0),IF($NP$46="Bell_Curve",$NN$46*(47-$NR$46+1)*($NS$46-47+1)/$NU$46,$NN$46/$NT$46)),0)</f>
        <v/>
      </c>
      <c r="AZ46" s="402">
        <f>IF(AND(48&gt;=$NR$46,48&lt;=$NS$46),IF($NP$46="Single_Point",IF(48=$NR$46,$NN$46,0),IF($NP$46="Bell_Curve",$NN$46*(48-$NR$46+1)*($NS$46-48+1)/$NU$46,$NN$46/$NT$46)),0)</f>
        <v/>
      </c>
      <c r="BA46" s="402">
        <f>IF(AND(49&gt;=$NR$46,49&lt;=$NS$46),IF($NP$46="Single_Point",IF(49=$NR$46,$NN$46,0),IF($NP$46="Bell_Curve",$NN$46*(49-$NR$46+1)*($NS$46-49+1)/$NU$46,$NN$46/$NT$46)),0)</f>
        <v/>
      </c>
      <c r="BB46" s="402">
        <f>IF(AND(50&gt;=$NR$46,50&lt;=$NS$46),IF($NP$46="Single_Point",IF(50=$NR$46,$NN$46,0),IF($NP$46="Bell_Curve",$NN$46*(50-$NR$46+1)*($NS$46-50+1)/$NU$46,$NN$46/$NT$46)),0)</f>
        <v/>
      </c>
      <c r="BC46" s="402">
        <f>IF(AND(51&gt;=$NR$46,51&lt;=$NS$46),IF($NP$46="Single_Point",IF(51=$NR$46,$NN$46,0),IF($NP$46="Bell_Curve",$NN$46*(51-$NR$46+1)*($NS$46-51+1)/$NU$46,$NN$46/$NT$46)),0)</f>
        <v/>
      </c>
      <c r="BD46" s="402">
        <f>IF(AND(52&gt;=$NR$46,52&lt;=$NS$46),IF($NP$46="Single_Point",IF(52=$NR$46,$NN$46,0),IF($NP$46="Bell_Curve",$NN$46*(52-$NR$46+1)*($NS$46-52+1)/$NU$46,$NN$46/$NT$46)),0)</f>
        <v/>
      </c>
      <c r="BE46" s="402">
        <f>IF(AND(53&gt;=$NR$46,53&lt;=$NS$46),IF($NP$46="Single_Point",IF(53=$NR$46,$NN$46,0),IF($NP$46="Bell_Curve",$NN$46*(53-$NR$46+1)*($NS$46-53+1)/$NU$46,$NN$46/$NT$46)),0)</f>
        <v/>
      </c>
      <c r="BF46" s="402">
        <f>IF(AND(54&gt;=$NR$46,54&lt;=$NS$46),IF($NP$46="Single_Point",IF(54=$NR$46,$NN$46,0),IF($NP$46="Bell_Curve",$NN$46*(54-$NR$46+1)*($NS$46-54+1)/$NU$46,$NN$46/$NT$46)),0)</f>
        <v/>
      </c>
      <c r="BG46" s="402">
        <f>IF(AND(55&gt;=$NR$46,55&lt;=$NS$46),IF($NP$46="Single_Point",IF(55=$NR$46,$NN$46,0),IF($NP$46="Bell_Curve",$NN$46*(55-$NR$46+1)*($NS$46-55+1)/$NU$46,$NN$46/$NT$46)),0)</f>
        <v/>
      </c>
      <c r="BH46" s="402">
        <f>IF(AND(56&gt;=$NR$46,56&lt;=$NS$46),IF($NP$46="Single_Point",IF(56=$NR$46,$NN$46,0),IF($NP$46="Bell_Curve",$NN$46*(56-$NR$46+1)*($NS$46-56+1)/$NU$46,$NN$46/$NT$46)),0)</f>
        <v/>
      </c>
      <c r="BI46" s="402">
        <f>IF(AND(57&gt;=$NR$46,57&lt;=$NS$46),IF($NP$46="Single_Point",IF(57=$NR$46,$NN$46,0),IF($NP$46="Bell_Curve",$NN$46*(57-$NR$46+1)*($NS$46-57+1)/$NU$46,$NN$46/$NT$46)),0)</f>
        <v/>
      </c>
      <c r="BJ46" s="402">
        <f>IF(AND(58&gt;=$NR$46,58&lt;=$NS$46),IF($NP$46="Single_Point",IF(58=$NR$46,$NN$46,0),IF($NP$46="Bell_Curve",$NN$46*(58-$NR$46+1)*($NS$46-58+1)/$NU$46,$NN$46/$NT$46)),0)</f>
        <v/>
      </c>
      <c r="BK46" s="402">
        <f>IF(AND(59&gt;=$NR$46,59&lt;=$NS$46),IF($NP$46="Single_Point",IF(59=$NR$46,$NN$46,0),IF($NP$46="Bell_Curve",$NN$46*(59-$NR$46+1)*($NS$46-59+1)/$NU$46,$NN$46/$NT$46)),0)</f>
        <v/>
      </c>
      <c r="BL46" s="402">
        <f>IF(AND(60&gt;=$NR$46,60&lt;=$NS$46),IF($NP$46="Single_Point",IF(60=$NR$46,$NN$46,0),IF($NP$46="Bell_Curve",$NN$46*(60-$NR$46+1)*($NS$46-60+1)/$NU$46,$NN$46/$NT$46)),0)</f>
        <v/>
      </c>
      <c r="BM46" s="402">
        <f>IF(AND(61&gt;=$NR$46,61&lt;=$NS$46),IF($NP$46="Single_Point",IF(61=$NR$46,$NN$46,0),IF($NP$46="Bell_Curve",$NN$46*(61-$NR$46+1)*($NS$46-61+1)/$NU$46,$NN$46/$NT$46)),0)</f>
        <v/>
      </c>
      <c r="BN46" s="402">
        <f>IF(AND(62&gt;=$NR$46,62&lt;=$NS$46),IF($NP$46="Single_Point",IF(62=$NR$46,$NN$46,0),IF($NP$46="Bell_Curve",$NN$46*(62-$NR$46+1)*($NS$46-62+1)/$NU$46,$NN$46/$NT$46)),0)</f>
        <v/>
      </c>
      <c r="BO46" s="402">
        <f>IF(AND(63&gt;=$NR$46,63&lt;=$NS$46),IF($NP$46="Single_Point",IF(63=$NR$46,$NN$46,0),IF($NP$46="Bell_Curve",$NN$46*(63-$NR$46+1)*($NS$46-63+1)/$NU$46,$NN$46/$NT$46)),0)</f>
        <v/>
      </c>
      <c r="BP46" s="402">
        <f>IF(AND(64&gt;=$NR$46,64&lt;=$NS$46),IF($NP$46="Single_Point",IF(64=$NR$46,$NN$46,0),IF($NP$46="Bell_Curve",$NN$46*(64-$NR$46+1)*($NS$46-64+1)/$NU$46,$NN$46/$NT$46)),0)</f>
        <v/>
      </c>
      <c r="BQ46" s="402">
        <f>IF(AND(65&gt;=$NR$46,65&lt;=$NS$46),IF($NP$46="Single_Point",IF(65=$NR$46,$NN$46,0),IF($NP$46="Bell_Curve",$NN$46*(65-$NR$46+1)*($NS$46-65+1)/$NU$46,$NN$46/$NT$46)),0)</f>
        <v/>
      </c>
      <c r="BR46" s="402">
        <f>IF(AND(66&gt;=$NR$46,66&lt;=$NS$46),IF($NP$46="Single_Point",IF(66=$NR$46,$NN$46,0),IF($NP$46="Bell_Curve",$NN$46*(66-$NR$46+1)*($NS$46-66+1)/$NU$46,$NN$46/$NT$46)),0)</f>
        <v/>
      </c>
      <c r="BS46" s="402">
        <f>IF(AND(67&gt;=$NR$46,67&lt;=$NS$46),IF($NP$46="Single_Point",IF(67=$NR$46,$NN$46,0),IF($NP$46="Bell_Curve",$NN$46*(67-$NR$46+1)*($NS$46-67+1)/$NU$46,$NN$46/$NT$46)),0)</f>
        <v/>
      </c>
      <c r="BT46" s="402">
        <f>IF(AND(68&gt;=$NR$46,68&lt;=$NS$46),IF($NP$46="Single_Point",IF(68=$NR$46,$NN$46,0),IF($NP$46="Bell_Curve",$NN$46*(68-$NR$46+1)*($NS$46-68+1)/$NU$46,$NN$46/$NT$46)),0)</f>
        <v/>
      </c>
      <c r="BU46" s="402">
        <f>IF(AND(69&gt;=$NR$46,69&lt;=$NS$46),IF($NP$46="Single_Point",IF(69=$NR$46,$NN$46,0),IF($NP$46="Bell_Curve",$NN$46*(69-$NR$46+1)*($NS$46-69+1)/$NU$46,$NN$46/$NT$46)),0)</f>
        <v/>
      </c>
      <c r="BV46" s="402">
        <f>IF(AND(70&gt;=$NR$46,70&lt;=$NS$46),IF($NP$46="Single_Point",IF(70=$NR$46,$NN$46,0),IF($NP$46="Bell_Curve",$NN$46*(70-$NR$46+1)*($NS$46-70+1)/$NU$46,$NN$46/$NT$46)),0)</f>
        <v/>
      </c>
      <c r="BW46" s="402">
        <f>IF(AND(71&gt;=$NR$46,71&lt;=$NS$46),IF($NP$46="Single_Point",IF(71=$NR$46,$NN$46,0),IF($NP$46="Bell_Curve",$NN$46*(71-$NR$46+1)*($NS$46-71+1)/$NU$46,$NN$46/$NT$46)),0)</f>
        <v/>
      </c>
      <c r="BX46" s="402">
        <f>IF(AND(72&gt;=$NR$46,72&lt;=$NS$46),IF($NP$46="Single_Point",IF(72=$NR$46,$NN$46,0),IF($NP$46="Bell_Curve",$NN$46*(72-$NR$46+1)*($NS$46-72+1)/$NU$46,$NN$46/$NT$46)),0)</f>
        <v/>
      </c>
      <c r="BY46" s="402">
        <f>IF(AND(73&gt;=$NR$46,73&lt;=$NS$46),IF($NP$46="Single_Point",IF(73=$NR$46,$NN$46,0),IF($NP$46="Bell_Curve",$NN$46*(73-$NR$46+1)*($NS$46-73+1)/$NU$46,$NN$46/$NT$46)),0)</f>
        <v/>
      </c>
      <c r="BZ46" s="402">
        <f>IF(AND(74&gt;=$NR$46,74&lt;=$NS$46),IF($NP$46="Single_Point",IF(74=$NR$46,$NN$46,0),IF($NP$46="Bell_Curve",$NN$46*(74-$NR$46+1)*($NS$46-74+1)/$NU$46,$NN$46/$NT$46)),0)</f>
        <v/>
      </c>
      <c r="CA46" s="402">
        <f>IF(AND(75&gt;=$NR$46,75&lt;=$NS$46),IF($NP$46="Single_Point",IF(75=$NR$46,$NN$46,0),IF($NP$46="Bell_Curve",$NN$46*(75-$NR$46+1)*($NS$46-75+1)/$NU$46,$NN$46/$NT$46)),0)</f>
        <v/>
      </c>
      <c r="CB46" s="402">
        <f>IF(AND(76&gt;=$NR$46,76&lt;=$NS$46),IF($NP$46="Single_Point",IF(76=$NR$46,$NN$46,0),IF($NP$46="Bell_Curve",$NN$46*(76-$NR$46+1)*($NS$46-76+1)/$NU$46,$NN$46/$NT$46)),0)</f>
        <v/>
      </c>
      <c r="CC46" s="402">
        <f>IF(AND(77&gt;=$NR$46,77&lt;=$NS$46),IF($NP$46="Single_Point",IF(77=$NR$46,$NN$46,0),IF($NP$46="Bell_Curve",$NN$46*(77-$NR$46+1)*($NS$46-77+1)/$NU$46,$NN$46/$NT$46)),0)</f>
        <v/>
      </c>
      <c r="CD46" s="402">
        <f>IF(AND(78&gt;=$NR$46,78&lt;=$NS$46),IF($NP$46="Single_Point",IF(78=$NR$46,$NN$46,0),IF($NP$46="Bell_Curve",$NN$46*(78-$NR$46+1)*($NS$46-78+1)/$NU$46,$NN$46/$NT$46)),0)</f>
        <v/>
      </c>
      <c r="CE46" s="402">
        <f>IF(AND(79&gt;=$NR$46,79&lt;=$NS$46),IF($NP$46="Single_Point",IF(79=$NR$46,$NN$46,0),IF($NP$46="Bell_Curve",$NN$46*(79-$NR$46+1)*($NS$46-79+1)/$NU$46,$NN$46/$NT$46)),0)</f>
        <v/>
      </c>
      <c r="CF46" s="402">
        <f>IF(AND(80&gt;=$NR$46,80&lt;=$NS$46),IF($NP$46="Single_Point",IF(80=$NR$46,$NN$46,0),IF($NP$46="Bell_Curve",$NN$46*(80-$NR$46+1)*($NS$46-80+1)/$NU$46,$NN$46/$NT$46)),0)</f>
        <v/>
      </c>
      <c r="CG46" s="402">
        <f>IF(AND(81&gt;=$NR$46,81&lt;=$NS$46),IF($NP$46="Single_Point",IF(81=$NR$46,$NN$46,0),IF($NP$46="Bell_Curve",$NN$46*(81-$NR$46+1)*($NS$46-81+1)/$NU$46,$NN$46/$NT$46)),0)</f>
        <v/>
      </c>
      <c r="CH46" s="402">
        <f>IF(AND(82&gt;=$NR$46,82&lt;=$NS$46),IF($NP$46="Single_Point",IF(82=$NR$46,$NN$46,0),IF($NP$46="Bell_Curve",$NN$46*(82-$NR$46+1)*($NS$46-82+1)/$NU$46,$NN$46/$NT$46)),0)</f>
        <v/>
      </c>
      <c r="CI46" s="402">
        <f>IF(AND(83&gt;=$NR$46,83&lt;=$NS$46),IF($NP$46="Single_Point",IF(83=$NR$46,$NN$46,0),IF($NP$46="Bell_Curve",$NN$46*(83-$NR$46+1)*($NS$46-83+1)/$NU$46,$NN$46/$NT$46)),0)</f>
        <v/>
      </c>
      <c r="CJ46" s="402">
        <f>IF(AND(84&gt;=$NR$46,84&lt;=$NS$46),IF($NP$46="Single_Point",IF(84=$NR$46,$NN$46,0),IF($NP$46="Bell_Curve",$NN$46*(84-$NR$46+1)*($NS$46-84+1)/$NU$46,$NN$46/$NT$46)),0)</f>
        <v/>
      </c>
      <c r="CK46" s="402">
        <f>IF(AND(85&gt;=$NR$46,85&lt;=$NS$46),IF($NP$46="Single_Point",IF(85=$NR$46,$NN$46,0),IF($NP$46="Bell_Curve",$NN$46*(85-$NR$46+1)*($NS$46-85+1)/$NU$46,$NN$46/$NT$46)),0)</f>
        <v/>
      </c>
      <c r="CL46" s="402">
        <f>IF(AND(86&gt;=$NR$46,86&lt;=$NS$46),IF($NP$46="Single_Point",IF(86=$NR$46,$NN$46,0),IF($NP$46="Bell_Curve",$NN$46*(86-$NR$46+1)*($NS$46-86+1)/$NU$46,$NN$46/$NT$46)),0)</f>
        <v/>
      </c>
      <c r="CM46" s="402">
        <f>IF(AND(87&gt;=$NR$46,87&lt;=$NS$46),IF($NP$46="Single_Point",IF(87=$NR$46,$NN$46,0),IF($NP$46="Bell_Curve",$NN$46*(87-$NR$46+1)*($NS$46-87+1)/$NU$46,$NN$46/$NT$46)),0)</f>
        <v/>
      </c>
      <c r="CN46" s="402">
        <f>IF(AND(88&gt;=$NR$46,88&lt;=$NS$46),IF($NP$46="Single_Point",IF(88=$NR$46,$NN$46,0),IF($NP$46="Bell_Curve",$NN$46*(88-$NR$46+1)*($NS$46-88+1)/$NU$46,$NN$46/$NT$46)),0)</f>
        <v/>
      </c>
      <c r="CO46" s="402">
        <f>IF(AND(89&gt;=$NR$46,89&lt;=$NS$46),IF($NP$46="Single_Point",IF(89=$NR$46,$NN$46,0),IF($NP$46="Bell_Curve",$NN$46*(89-$NR$46+1)*($NS$46-89+1)/$NU$46,$NN$46/$NT$46)),0)</f>
        <v/>
      </c>
      <c r="CP46" s="402">
        <f>IF(AND(90&gt;=$NR$46,90&lt;=$NS$46),IF($NP$46="Single_Point",IF(90=$NR$46,$NN$46,0),IF($NP$46="Bell_Curve",$NN$46*(90-$NR$46+1)*($NS$46-90+1)/$NU$46,$NN$46/$NT$46)),0)</f>
        <v/>
      </c>
      <c r="CQ46" s="402">
        <f>IF(AND(91&gt;=$NR$46,91&lt;=$NS$46),IF($NP$46="Single_Point",IF(91=$NR$46,$NN$46,0),IF($NP$46="Bell_Curve",$NN$46*(91-$NR$46+1)*($NS$46-91+1)/$NU$46,$NN$46/$NT$46)),0)</f>
        <v/>
      </c>
      <c r="CR46" s="402">
        <f>IF(AND(92&gt;=$NR$46,92&lt;=$NS$46),IF($NP$46="Single_Point",IF(92=$NR$46,$NN$46,0),IF($NP$46="Bell_Curve",$NN$46*(92-$NR$46+1)*($NS$46-92+1)/$NU$46,$NN$46/$NT$46)),0)</f>
        <v/>
      </c>
      <c r="CS46" s="402">
        <f>IF(AND(93&gt;=$NR$46,93&lt;=$NS$46),IF($NP$46="Single_Point",IF(93=$NR$46,$NN$46,0),IF($NP$46="Bell_Curve",$NN$46*(93-$NR$46+1)*($NS$46-93+1)/$NU$46,$NN$46/$NT$46)),0)</f>
        <v/>
      </c>
      <c r="CT46" s="402">
        <f>IF(AND(94&gt;=$NR$46,94&lt;=$NS$46),IF($NP$46="Single_Point",IF(94=$NR$46,$NN$46,0),IF($NP$46="Bell_Curve",$NN$46*(94-$NR$46+1)*($NS$46-94+1)/$NU$46,$NN$46/$NT$46)),0)</f>
        <v/>
      </c>
      <c r="CU46" s="402">
        <f>IF(AND(95&gt;=$NR$46,95&lt;=$NS$46),IF($NP$46="Single_Point",IF(95=$NR$46,$NN$46,0),IF($NP$46="Bell_Curve",$NN$46*(95-$NR$46+1)*($NS$46-95+1)/$NU$46,$NN$46/$NT$46)),0)</f>
        <v/>
      </c>
      <c r="CV46" s="402">
        <f>IF(AND(96&gt;=$NR$46,96&lt;=$NS$46),IF($NP$46="Single_Point",IF(96=$NR$46,$NN$46,0),IF($NP$46="Bell_Curve",$NN$46*(96-$NR$46+1)*($NS$46-96+1)/$NU$46,$NN$46/$NT$46)),0)</f>
        <v/>
      </c>
      <c r="CW46" s="402">
        <f>IF(AND(97&gt;=$NR$46,97&lt;=$NS$46),IF($NP$46="Single_Point",IF(97=$NR$46,$NN$46,0),IF($NP$46="Bell_Curve",$NN$46*(97-$NR$46+1)*($NS$46-97+1)/$NU$46,$NN$46/$NT$46)),0)</f>
        <v/>
      </c>
      <c r="CX46" s="402">
        <f>IF(AND(98&gt;=$NR$46,98&lt;=$NS$46),IF($NP$46="Single_Point",IF(98=$NR$46,$NN$46,0),IF($NP$46="Bell_Curve",$NN$46*(98-$NR$46+1)*($NS$46-98+1)/$NU$46,$NN$46/$NT$46)),0)</f>
        <v/>
      </c>
      <c r="CY46" s="402">
        <f>IF(AND(99&gt;=$NR$46,99&lt;=$NS$46),IF($NP$46="Single_Point",IF(99=$NR$46,$NN$46,0),IF($NP$46="Bell_Curve",$NN$46*(99-$NR$46+1)*($NS$46-99+1)/$NU$46,$NN$46/$NT$46)),0)</f>
        <v/>
      </c>
      <c r="CZ46" s="402">
        <f>IF(AND(100&gt;=$NR$46,100&lt;=$NS$46),IF($NP$46="Single_Point",IF(100=$NR$46,$NN$46,0),IF($NP$46="Bell_Curve",$NN$46*(100-$NR$46+1)*($NS$46-100+1)/$NU$46,$NN$46/$NT$46)),0)</f>
        <v/>
      </c>
      <c r="DA46" s="402">
        <f>IF(AND(101&gt;=$NR$46,101&lt;=$NS$46),IF($NP$46="Single_Point",IF(101=$NR$46,$NN$46,0),IF($NP$46="Bell_Curve",$NN$46*(101-$NR$46+1)*($NS$46-101+1)/$NU$46,$NN$46/$NT$46)),0)</f>
        <v/>
      </c>
      <c r="DB46" s="402">
        <f>IF(AND(102&gt;=$NR$46,102&lt;=$NS$46),IF($NP$46="Single_Point",IF(102=$NR$46,$NN$46,0),IF($NP$46="Bell_Curve",$NN$46*(102-$NR$46+1)*($NS$46-102+1)/$NU$46,$NN$46/$NT$46)),0)</f>
        <v/>
      </c>
      <c r="DC46" s="402">
        <f>IF(AND(103&gt;=$NR$46,103&lt;=$NS$46),IF($NP$46="Single_Point",IF(103=$NR$46,$NN$46,0),IF($NP$46="Bell_Curve",$NN$46*(103-$NR$46+1)*($NS$46-103+1)/$NU$46,$NN$46/$NT$46)),0)</f>
        <v/>
      </c>
      <c r="DD46" s="402">
        <f>IF(AND(104&gt;=$NR$46,104&lt;=$NS$46),IF($NP$46="Single_Point",IF(104=$NR$46,$NN$46,0),IF($NP$46="Bell_Curve",$NN$46*(104-$NR$46+1)*($NS$46-104+1)/$NU$46,$NN$46/$NT$46)),0)</f>
        <v/>
      </c>
      <c r="DE46" s="402">
        <f>IF(AND(105&gt;=$NR$46,105&lt;=$NS$46),IF($NP$46="Single_Point",IF(105=$NR$46,$NN$46,0),IF($NP$46="Bell_Curve",$NN$46*(105-$NR$46+1)*($NS$46-105+1)/$NU$46,$NN$46/$NT$46)),0)</f>
        <v/>
      </c>
      <c r="DF46" s="402">
        <f>IF(AND(106&gt;=$NR$46,106&lt;=$NS$46),IF($NP$46="Single_Point",IF(106=$NR$46,$NN$46,0),IF($NP$46="Bell_Curve",$NN$46*(106-$NR$46+1)*($NS$46-106+1)/$NU$46,$NN$46/$NT$46)),0)</f>
        <v/>
      </c>
      <c r="DG46" s="402">
        <f>IF(AND(107&gt;=$NR$46,107&lt;=$NS$46),IF($NP$46="Single_Point",IF(107=$NR$46,$NN$46,0),IF($NP$46="Bell_Curve",$NN$46*(107-$NR$46+1)*($NS$46-107+1)/$NU$46,$NN$46/$NT$46)),0)</f>
        <v/>
      </c>
      <c r="DH46" s="402">
        <f>IF(AND(108&gt;=$NR$46,108&lt;=$NS$46),IF($NP$46="Single_Point",IF(108=$NR$46,$NN$46,0),IF($NP$46="Bell_Curve",$NN$46*(108-$NR$46+1)*($NS$46-108+1)/$NU$46,$NN$46/$NT$46)),0)</f>
        <v/>
      </c>
      <c r="DI46" s="402">
        <f>IF(AND(109&gt;=$NR$46,109&lt;=$NS$46),IF($NP$46="Single_Point",IF(109=$NR$46,$NN$46,0),IF($NP$46="Bell_Curve",$NN$46*(109-$NR$46+1)*($NS$46-109+1)/$NU$46,$NN$46/$NT$46)),0)</f>
        <v/>
      </c>
      <c r="DJ46" s="402">
        <f>IF(AND(110&gt;=$NR$46,110&lt;=$NS$46),IF($NP$46="Single_Point",IF(110=$NR$46,$NN$46,0),IF($NP$46="Bell_Curve",$NN$46*(110-$NR$46+1)*($NS$46-110+1)/$NU$46,$NN$46/$NT$46)),0)</f>
        <v/>
      </c>
      <c r="DK46" s="402">
        <f>IF(AND(111&gt;=$NR$46,111&lt;=$NS$46),IF($NP$46="Single_Point",IF(111=$NR$46,$NN$46,0),IF($NP$46="Bell_Curve",$NN$46*(111-$NR$46+1)*($NS$46-111+1)/$NU$46,$NN$46/$NT$46)),0)</f>
        <v/>
      </c>
      <c r="DL46" s="402">
        <f>IF(AND(112&gt;=$NR$46,112&lt;=$NS$46),IF($NP$46="Single_Point",IF(112=$NR$46,$NN$46,0),IF($NP$46="Bell_Curve",$NN$46*(112-$NR$46+1)*($NS$46-112+1)/$NU$46,$NN$46/$NT$46)),0)</f>
        <v/>
      </c>
      <c r="DM46" s="402">
        <f>IF(AND(113&gt;=$NR$46,113&lt;=$NS$46),IF($NP$46="Single_Point",IF(113=$NR$46,$NN$46,0),IF($NP$46="Bell_Curve",$NN$46*(113-$NR$46+1)*($NS$46-113+1)/$NU$46,$NN$46/$NT$46)),0)</f>
        <v/>
      </c>
      <c r="DN46" s="402">
        <f>IF(AND(114&gt;=$NR$46,114&lt;=$NS$46),IF($NP$46="Single_Point",IF(114=$NR$46,$NN$46,0),IF($NP$46="Bell_Curve",$NN$46*(114-$NR$46+1)*($NS$46-114+1)/$NU$46,$NN$46/$NT$46)),0)</f>
        <v/>
      </c>
      <c r="DO46" s="402">
        <f>IF(AND(115&gt;=$NR$46,115&lt;=$NS$46),IF($NP$46="Single_Point",IF(115=$NR$46,$NN$46,0),IF($NP$46="Bell_Curve",$NN$46*(115-$NR$46+1)*($NS$46-115+1)/$NU$46,$NN$46/$NT$46)),0)</f>
        <v/>
      </c>
      <c r="DP46" s="402">
        <f>IF(AND(116&gt;=$NR$46,116&lt;=$NS$46),IF($NP$46="Single_Point",IF(116=$NR$46,$NN$46,0),IF($NP$46="Bell_Curve",$NN$46*(116-$NR$46+1)*($NS$46-116+1)/$NU$46,$NN$46/$NT$46)),0)</f>
        <v/>
      </c>
      <c r="DQ46" s="402">
        <f>IF(AND(117&gt;=$NR$46,117&lt;=$NS$46),IF($NP$46="Single_Point",IF(117=$NR$46,$NN$46,0),IF($NP$46="Bell_Curve",$NN$46*(117-$NR$46+1)*($NS$46-117+1)/$NU$46,$NN$46/$NT$46)),0)</f>
        <v/>
      </c>
      <c r="DR46" s="402">
        <f>IF(AND(118&gt;=$NR$46,118&lt;=$NS$46),IF($NP$46="Single_Point",IF(118=$NR$46,$NN$46,0),IF($NP$46="Bell_Curve",$NN$46*(118-$NR$46+1)*($NS$46-118+1)/$NU$46,$NN$46/$NT$46)),0)</f>
        <v/>
      </c>
      <c r="DS46" s="402">
        <f>IF(AND(119&gt;=$NR$46,119&lt;=$NS$46),IF($NP$46="Single_Point",IF(119=$NR$46,$NN$46,0),IF($NP$46="Bell_Curve",$NN$46*(119-$NR$46+1)*($NS$46-119+1)/$NU$46,$NN$46/$NT$46)),0)</f>
        <v/>
      </c>
      <c r="DT46" s="402">
        <f>IF(AND(120&gt;=$NR$46,120&lt;=$NS$46),IF($NP$46="Single_Point",IF(120=$NR$46,$NN$46,0),IF($NP$46="Bell_Curve",$NN$46*(120-$NR$46+1)*($NS$46-120+1)/$NU$46,$NN$46/$NT$46)),0)</f>
        <v/>
      </c>
      <c r="DU46" s="402">
        <f>IF(AND(121&gt;=$NR$46,121&lt;=$NS$46),IF($NP$46="Single_Point",IF(121=$NR$46,$NN$46,0),IF($NP$46="Bell_Curve",$NN$46*(121-$NR$46+1)*($NS$46-121+1)/$NU$46,$NN$46/$NT$46)),0)</f>
        <v/>
      </c>
      <c r="DV46" s="402">
        <f>IF(AND(122&gt;=$NR$46,122&lt;=$NS$46),IF($NP$46="Single_Point",IF(122=$NR$46,$NN$46,0),IF($NP$46="Bell_Curve",$NN$46*(122-$NR$46+1)*($NS$46-122+1)/$NU$46,$NN$46/$NT$46)),0)</f>
        <v/>
      </c>
      <c r="DW46" s="402">
        <f>IF(AND(123&gt;=$NR$46,123&lt;=$NS$46),IF($NP$46="Single_Point",IF(123=$NR$46,$NN$46,0),IF($NP$46="Bell_Curve",$NN$46*(123-$NR$46+1)*($NS$46-123+1)/$NU$46,$NN$46/$NT$46)),0)</f>
        <v/>
      </c>
      <c r="DX46" s="402">
        <f>IF(AND(124&gt;=$NR$46,124&lt;=$NS$46),IF($NP$46="Single_Point",IF(124=$NR$46,$NN$46,0),IF($NP$46="Bell_Curve",$NN$46*(124-$NR$46+1)*($NS$46-124+1)/$NU$46,$NN$46/$NT$46)),0)</f>
        <v/>
      </c>
      <c r="DY46" s="402">
        <f>IF(AND(125&gt;=$NR$46,125&lt;=$NS$46),IF($NP$46="Single_Point",IF(125=$NR$46,$NN$46,0),IF($NP$46="Bell_Curve",$NN$46*(125-$NR$46+1)*($NS$46-125+1)/$NU$46,$NN$46/$NT$46)),0)</f>
        <v/>
      </c>
      <c r="DZ46" s="402">
        <f>IF(AND(126&gt;=$NR$46,126&lt;=$NS$46),IF($NP$46="Single_Point",IF(126=$NR$46,$NN$46,0),IF($NP$46="Bell_Curve",$NN$46*(126-$NR$46+1)*($NS$46-126+1)/$NU$46,$NN$46/$NT$46)),0)</f>
        <v/>
      </c>
      <c r="EA46" s="402">
        <f>IF(AND(127&gt;=$NR$46,127&lt;=$NS$46),IF($NP$46="Single_Point",IF(127=$NR$46,$NN$46,0),IF($NP$46="Bell_Curve",$NN$46*(127-$NR$46+1)*($NS$46-127+1)/$NU$46,$NN$46/$NT$46)),0)</f>
        <v/>
      </c>
      <c r="EB46" s="402">
        <f>IF(AND(128&gt;=$NR$46,128&lt;=$NS$46),IF($NP$46="Single_Point",IF(128=$NR$46,$NN$46,0),IF($NP$46="Bell_Curve",$NN$46*(128-$NR$46+1)*($NS$46-128+1)/$NU$46,$NN$46/$NT$46)),0)</f>
        <v/>
      </c>
      <c r="EC46" s="402">
        <f>IF(AND(129&gt;=$NR$46,129&lt;=$NS$46),IF($NP$46="Single_Point",IF(129=$NR$46,$NN$46,0),IF($NP$46="Bell_Curve",$NN$46*(129-$NR$46+1)*($NS$46-129+1)/$NU$46,$NN$46/$NT$46)),0)</f>
        <v/>
      </c>
      <c r="ED46" s="402">
        <f>IF(AND(130&gt;=$NR$46,130&lt;=$NS$46),IF($NP$46="Single_Point",IF(130=$NR$46,$NN$46,0),IF($NP$46="Bell_Curve",$NN$46*(130-$NR$46+1)*($NS$46-130+1)/$NU$46,$NN$46/$NT$46)),0)</f>
        <v/>
      </c>
      <c r="EE46" s="402">
        <f>IF(AND(131&gt;=$NR$46,131&lt;=$NS$46),IF($NP$46="Single_Point",IF(131=$NR$46,$NN$46,0),IF($NP$46="Bell_Curve",$NN$46*(131-$NR$46+1)*($NS$46-131+1)/$NU$46,$NN$46/$NT$46)),0)</f>
        <v/>
      </c>
      <c r="EF46" s="402">
        <f>IF(AND(132&gt;=$NR$46,132&lt;=$NS$46),IF($NP$46="Single_Point",IF(132=$NR$46,$NN$46,0),IF($NP$46="Bell_Curve",$NN$46*(132-$NR$46+1)*($NS$46-132+1)/$NU$46,$NN$46/$NT$46)),0)</f>
        <v/>
      </c>
      <c r="EG46" s="402">
        <f>IF(AND(133&gt;=$NR$46,133&lt;=$NS$46),IF($NP$46="Single_Point",IF(133=$NR$46,$NN$46,0),IF($NP$46="Bell_Curve",$NN$46*(133-$NR$46+1)*($NS$46-133+1)/$NU$46,$NN$46/$NT$46)),0)</f>
        <v/>
      </c>
      <c r="EH46" s="402">
        <f>IF(AND(134&gt;=$NR$46,134&lt;=$NS$46),IF($NP$46="Single_Point",IF(134=$NR$46,$NN$46,0),IF($NP$46="Bell_Curve",$NN$46*(134-$NR$46+1)*($NS$46-134+1)/$NU$46,$NN$46/$NT$46)),0)</f>
        <v/>
      </c>
      <c r="EI46" s="402">
        <f>IF(AND(135&gt;=$NR$46,135&lt;=$NS$46),IF($NP$46="Single_Point",IF(135=$NR$46,$NN$46,0),IF($NP$46="Bell_Curve",$NN$46*(135-$NR$46+1)*($NS$46-135+1)/$NU$46,$NN$46/$NT$46)),0)</f>
        <v/>
      </c>
      <c r="EJ46" s="402">
        <f>IF(AND(136&gt;=$NR$46,136&lt;=$NS$46),IF($NP$46="Single_Point",IF(136=$NR$46,$NN$46,0),IF($NP$46="Bell_Curve",$NN$46*(136-$NR$46+1)*($NS$46-136+1)/$NU$46,$NN$46/$NT$46)),0)</f>
        <v/>
      </c>
      <c r="EK46" s="402">
        <f>IF(AND(137&gt;=$NR$46,137&lt;=$NS$46),IF($NP$46="Single_Point",IF(137=$NR$46,$NN$46,0),IF($NP$46="Bell_Curve",$NN$46*(137-$NR$46+1)*($NS$46-137+1)/$NU$46,$NN$46/$NT$46)),0)</f>
        <v/>
      </c>
      <c r="EL46" s="402">
        <f>IF(AND(138&gt;=$NR$46,138&lt;=$NS$46),IF($NP$46="Single_Point",IF(138=$NR$46,$NN$46,0),IF($NP$46="Bell_Curve",$NN$46*(138-$NR$46+1)*($NS$46-138+1)/$NU$46,$NN$46/$NT$46)),0)</f>
        <v/>
      </c>
      <c r="EM46" s="402">
        <f>IF(AND(139&gt;=$NR$46,139&lt;=$NS$46),IF($NP$46="Single_Point",IF(139=$NR$46,$NN$46,0),IF($NP$46="Bell_Curve",$NN$46*(139-$NR$46+1)*($NS$46-139+1)/$NU$46,$NN$46/$NT$46)),0)</f>
        <v/>
      </c>
      <c r="EN46" s="402">
        <f>IF(AND(140&gt;=$NR$46,140&lt;=$NS$46),IF($NP$46="Single_Point",IF(140=$NR$46,$NN$46,0),IF($NP$46="Bell_Curve",$NN$46*(140-$NR$46+1)*($NS$46-140+1)/$NU$46,$NN$46/$NT$46)),0)</f>
        <v/>
      </c>
      <c r="EO46" s="402">
        <f>IF(AND(141&gt;=$NR$46,141&lt;=$NS$46),IF($NP$46="Single_Point",IF(141=$NR$46,$NN$46,0),IF($NP$46="Bell_Curve",$NN$46*(141-$NR$46+1)*($NS$46-141+1)/$NU$46,$NN$46/$NT$46)),0)</f>
        <v/>
      </c>
      <c r="EP46" s="402">
        <f>IF(AND(142&gt;=$NR$46,142&lt;=$NS$46),IF($NP$46="Single_Point",IF(142=$NR$46,$NN$46,0),IF($NP$46="Bell_Curve",$NN$46*(142-$NR$46+1)*($NS$46-142+1)/$NU$46,$NN$46/$NT$46)),0)</f>
        <v/>
      </c>
      <c r="EQ46" s="402">
        <f>IF(AND(143&gt;=$NR$46,143&lt;=$NS$46),IF($NP$46="Single_Point",IF(143=$NR$46,$NN$46,0),IF($NP$46="Bell_Curve",$NN$46*(143-$NR$46+1)*($NS$46-143+1)/$NU$46,$NN$46/$NT$46)),0)</f>
        <v/>
      </c>
      <c r="ER46" s="402">
        <f>IF(AND(144&gt;=$NR$46,144&lt;=$NS$46),IF($NP$46="Single_Point",IF(144=$NR$46,$NN$46,0),IF($NP$46="Bell_Curve",$NN$46*(144-$NR$46+1)*($NS$46-144+1)/$NU$46,$NN$46/$NT$46)),0)</f>
        <v/>
      </c>
      <c r="ES46" s="402">
        <f>IF(AND(145&gt;=$NR$46,145&lt;=$NS$46),IF($NP$46="Single_Point",IF(145=$NR$46,$NN$46,0),IF($NP$46="Bell_Curve",$NN$46*(145-$NR$46+1)*($NS$46-145+1)/$NU$46,$NN$46/$NT$46)),0)</f>
        <v/>
      </c>
      <c r="ET46" s="402">
        <f>IF(AND(146&gt;=$NR$46,146&lt;=$NS$46),IF($NP$46="Single_Point",IF(146=$NR$46,$NN$46,0),IF($NP$46="Bell_Curve",$NN$46*(146-$NR$46+1)*($NS$46-146+1)/$NU$46,$NN$46/$NT$46)),0)</f>
        <v/>
      </c>
      <c r="EU46" s="402">
        <f>IF(AND(147&gt;=$NR$46,147&lt;=$NS$46),IF($NP$46="Single_Point",IF(147=$NR$46,$NN$46,0),IF($NP$46="Bell_Curve",$NN$46*(147-$NR$46+1)*($NS$46-147+1)/$NU$46,$NN$46/$NT$46)),0)</f>
        <v/>
      </c>
      <c r="EV46" s="402">
        <f>IF(AND(148&gt;=$NR$46,148&lt;=$NS$46),IF($NP$46="Single_Point",IF(148=$NR$46,$NN$46,0),IF($NP$46="Bell_Curve",$NN$46*(148-$NR$46+1)*($NS$46-148+1)/$NU$46,$NN$46/$NT$46)),0)</f>
        <v/>
      </c>
      <c r="EW46" s="402">
        <f>IF(AND(149&gt;=$NR$46,149&lt;=$NS$46),IF($NP$46="Single_Point",IF(149=$NR$46,$NN$46,0),IF($NP$46="Bell_Curve",$NN$46*(149-$NR$46+1)*($NS$46-149+1)/$NU$46,$NN$46/$NT$46)),0)</f>
        <v/>
      </c>
      <c r="EX46" s="402">
        <f>IF(AND(150&gt;=$NR$46,150&lt;=$NS$46),IF($NP$46="Single_Point",IF(150=$NR$46,$NN$46,0),IF($NP$46="Bell_Curve",$NN$46*(150-$NR$46+1)*($NS$46-150+1)/$NU$46,$NN$46/$NT$46)),0)</f>
        <v/>
      </c>
      <c r="EY46" s="402">
        <f>IF(AND(151&gt;=$NR$46,151&lt;=$NS$46),IF($NP$46="Single_Point",IF(151=$NR$46,$NN$46,0),IF($NP$46="Bell_Curve",$NN$46*(151-$NR$46+1)*($NS$46-151+1)/$NU$46,$NN$46/$NT$46)),0)</f>
        <v/>
      </c>
      <c r="EZ46" s="402">
        <f>IF(AND(152&gt;=$NR$46,152&lt;=$NS$46),IF($NP$46="Single_Point",IF(152=$NR$46,$NN$46,0),IF($NP$46="Bell_Curve",$NN$46*(152-$NR$46+1)*($NS$46-152+1)/$NU$46,$NN$46/$NT$46)),0)</f>
        <v/>
      </c>
      <c r="FA46" s="402">
        <f>IF(AND(153&gt;=$NR$46,153&lt;=$NS$46),IF($NP$46="Single_Point",IF(153=$NR$46,$NN$46,0),IF($NP$46="Bell_Curve",$NN$46*(153-$NR$46+1)*($NS$46-153+1)/$NU$46,$NN$46/$NT$46)),0)</f>
        <v/>
      </c>
      <c r="FB46" s="402">
        <f>IF(AND(154&gt;=$NR$46,154&lt;=$NS$46),IF($NP$46="Single_Point",IF(154=$NR$46,$NN$46,0),IF($NP$46="Bell_Curve",$NN$46*(154-$NR$46+1)*($NS$46-154+1)/$NU$46,$NN$46/$NT$46)),0)</f>
        <v/>
      </c>
      <c r="FC46" s="402">
        <f>IF(AND(155&gt;=$NR$46,155&lt;=$NS$46),IF($NP$46="Single_Point",IF(155=$NR$46,$NN$46,0),IF($NP$46="Bell_Curve",$NN$46*(155-$NR$46+1)*($NS$46-155+1)/$NU$46,$NN$46/$NT$46)),0)</f>
        <v/>
      </c>
      <c r="FD46" s="402">
        <f>IF(AND(156&gt;=$NR$46,156&lt;=$NS$46),IF($NP$46="Single_Point",IF(156=$NR$46,$NN$46,0),IF($NP$46="Bell_Curve",$NN$46*(156-$NR$46+1)*($NS$46-156+1)/$NU$46,$NN$46/$NT$46)),0)</f>
        <v/>
      </c>
      <c r="FE46" s="402">
        <f>IF(AND(157&gt;=$NR$46,157&lt;=$NS$46),IF($NP$46="Single_Point",IF(157=$NR$46,$NN$46,0),IF($NP$46="Bell_Curve",$NN$46*(157-$NR$46+1)*($NS$46-157+1)/$NU$46,$NN$46/$NT$46)),0)</f>
        <v/>
      </c>
      <c r="FF46" s="402">
        <f>IF(AND(158&gt;=$NR$46,158&lt;=$NS$46),IF($NP$46="Single_Point",IF(158=$NR$46,$NN$46,0),IF($NP$46="Bell_Curve",$NN$46*(158-$NR$46+1)*($NS$46-158+1)/$NU$46,$NN$46/$NT$46)),0)</f>
        <v/>
      </c>
      <c r="FG46" s="402">
        <f>IF(AND(159&gt;=$NR$46,159&lt;=$NS$46),IF($NP$46="Single_Point",IF(159=$NR$46,$NN$46,0),IF($NP$46="Bell_Curve",$NN$46*(159-$NR$46+1)*($NS$46-159+1)/$NU$46,$NN$46/$NT$46)),0)</f>
        <v/>
      </c>
      <c r="FH46" s="402">
        <f>IF(AND(160&gt;=$NR$46,160&lt;=$NS$46),IF($NP$46="Single_Point",IF(160=$NR$46,$NN$46,0),IF($NP$46="Bell_Curve",$NN$46*(160-$NR$46+1)*($NS$46-160+1)/$NU$46,$NN$46/$NT$46)),0)</f>
        <v/>
      </c>
      <c r="FI46" s="402">
        <f>IF(AND(161&gt;=$NR$46,161&lt;=$NS$46),IF($NP$46="Single_Point",IF(161=$NR$46,$NN$46,0),IF($NP$46="Bell_Curve",$NN$46*(161-$NR$46+1)*($NS$46-161+1)/$NU$46,$NN$46/$NT$46)),0)</f>
        <v/>
      </c>
      <c r="FJ46" s="402">
        <f>IF(AND(162&gt;=$NR$46,162&lt;=$NS$46),IF($NP$46="Single_Point",IF(162=$NR$46,$NN$46,0),IF($NP$46="Bell_Curve",$NN$46*(162-$NR$46+1)*($NS$46-162+1)/$NU$46,$NN$46/$NT$46)),0)</f>
        <v/>
      </c>
      <c r="FK46" s="402">
        <f>IF(AND(163&gt;=$NR$46,163&lt;=$NS$46),IF($NP$46="Single_Point",IF(163=$NR$46,$NN$46,0),IF($NP$46="Bell_Curve",$NN$46*(163-$NR$46+1)*($NS$46-163+1)/$NU$46,$NN$46/$NT$46)),0)</f>
        <v/>
      </c>
      <c r="FL46" s="402">
        <f>IF(AND(164&gt;=$NR$46,164&lt;=$NS$46),IF($NP$46="Single_Point",IF(164=$NR$46,$NN$46,0),IF($NP$46="Bell_Curve",$NN$46*(164-$NR$46+1)*($NS$46-164+1)/$NU$46,$NN$46/$NT$46)),0)</f>
        <v/>
      </c>
      <c r="FM46" s="402">
        <f>IF(AND(165&gt;=$NR$46,165&lt;=$NS$46),IF($NP$46="Single_Point",IF(165=$NR$46,$NN$46,0),IF($NP$46="Bell_Curve",$NN$46*(165-$NR$46+1)*($NS$46-165+1)/$NU$46,$NN$46/$NT$46)),0)</f>
        <v/>
      </c>
      <c r="FN46" s="402">
        <f>IF(AND(166&gt;=$NR$46,166&lt;=$NS$46),IF($NP$46="Single_Point",IF(166=$NR$46,$NN$46,0),IF($NP$46="Bell_Curve",$NN$46*(166-$NR$46+1)*($NS$46-166+1)/$NU$46,$NN$46/$NT$46)),0)</f>
        <v/>
      </c>
      <c r="FO46" s="402">
        <f>IF(AND(167&gt;=$NR$46,167&lt;=$NS$46),IF($NP$46="Single_Point",IF(167=$NR$46,$NN$46,0),IF($NP$46="Bell_Curve",$NN$46*(167-$NR$46+1)*($NS$46-167+1)/$NU$46,$NN$46/$NT$46)),0)</f>
        <v/>
      </c>
      <c r="FP46" s="402">
        <f>IF(AND(168&gt;=$NR$46,168&lt;=$NS$46),IF($NP$46="Single_Point",IF(168=$NR$46,$NN$46,0),IF($NP$46="Bell_Curve",$NN$46*(168-$NR$46+1)*($NS$46-168+1)/$NU$46,$NN$46/$NT$46)),0)</f>
        <v/>
      </c>
      <c r="FQ46" s="402">
        <f>IF(AND(169&gt;=$NR$46,169&lt;=$NS$46),IF($NP$46="Single_Point",IF(169=$NR$46,$NN$46,0),IF($NP$46="Bell_Curve",$NN$46*(169-$NR$46+1)*($NS$46-169+1)/$NU$46,$NN$46/$NT$46)),0)</f>
        <v/>
      </c>
      <c r="FR46" s="402">
        <f>IF(AND(170&gt;=$NR$46,170&lt;=$NS$46),IF($NP$46="Single_Point",IF(170=$NR$46,$NN$46,0),IF($NP$46="Bell_Curve",$NN$46*(170-$NR$46+1)*($NS$46-170+1)/$NU$46,$NN$46/$NT$46)),0)</f>
        <v/>
      </c>
      <c r="FS46" s="402">
        <f>IF(AND(171&gt;=$NR$46,171&lt;=$NS$46),IF($NP$46="Single_Point",IF(171=$NR$46,$NN$46,0),IF($NP$46="Bell_Curve",$NN$46*(171-$NR$46+1)*($NS$46-171+1)/$NU$46,$NN$46/$NT$46)),0)</f>
        <v/>
      </c>
      <c r="FT46" s="402">
        <f>IF(AND(172&gt;=$NR$46,172&lt;=$NS$46),IF($NP$46="Single_Point",IF(172=$NR$46,$NN$46,0),IF($NP$46="Bell_Curve",$NN$46*(172-$NR$46+1)*($NS$46-172+1)/$NU$46,$NN$46/$NT$46)),0)</f>
        <v/>
      </c>
      <c r="FU46" s="402">
        <f>IF(AND(173&gt;=$NR$46,173&lt;=$NS$46),IF($NP$46="Single_Point",IF(173=$NR$46,$NN$46,0),IF($NP$46="Bell_Curve",$NN$46*(173-$NR$46+1)*($NS$46-173+1)/$NU$46,$NN$46/$NT$46)),0)</f>
        <v/>
      </c>
      <c r="FV46" s="402">
        <f>IF(AND(174&gt;=$NR$46,174&lt;=$NS$46),IF($NP$46="Single_Point",IF(174=$NR$46,$NN$46,0),IF($NP$46="Bell_Curve",$NN$46*(174-$NR$46+1)*($NS$46-174+1)/$NU$46,$NN$46/$NT$46)),0)</f>
        <v/>
      </c>
      <c r="FW46" s="402">
        <f>IF(AND(175&gt;=$NR$46,175&lt;=$NS$46),IF($NP$46="Single_Point",IF(175=$NR$46,$NN$46,0),IF($NP$46="Bell_Curve",$NN$46*(175-$NR$46+1)*($NS$46-175+1)/$NU$46,$NN$46/$NT$46)),0)</f>
        <v/>
      </c>
      <c r="FX46" s="402">
        <f>IF(AND(176&gt;=$NR$46,176&lt;=$NS$46),IF($NP$46="Single_Point",IF(176=$NR$46,$NN$46,0),IF($NP$46="Bell_Curve",$NN$46*(176-$NR$46+1)*($NS$46-176+1)/$NU$46,$NN$46/$NT$46)),0)</f>
        <v/>
      </c>
      <c r="FY46" s="402">
        <f>IF(AND(177&gt;=$NR$46,177&lt;=$NS$46),IF($NP$46="Single_Point",IF(177=$NR$46,$NN$46,0),IF($NP$46="Bell_Curve",$NN$46*(177-$NR$46+1)*($NS$46-177+1)/$NU$46,$NN$46/$NT$46)),0)</f>
        <v/>
      </c>
      <c r="FZ46" s="402">
        <f>IF(AND(178&gt;=$NR$46,178&lt;=$NS$46),IF($NP$46="Single_Point",IF(178=$NR$46,$NN$46,0),IF($NP$46="Bell_Curve",$NN$46*(178-$NR$46+1)*($NS$46-178+1)/$NU$46,$NN$46/$NT$46)),0)</f>
        <v/>
      </c>
      <c r="GA46" s="402">
        <f>IF(AND(179&gt;=$NR$46,179&lt;=$NS$46),IF($NP$46="Single_Point",IF(179=$NR$46,$NN$46,0),IF($NP$46="Bell_Curve",$NN$46*(179-$NR$46+1)*($NS$46-179+1)/$NU$46,$NN$46/$NT$46)),0)</f>
        <v/>
      </c>
      <c r="GB46" s="402">
        <f>IF(AND(180&gt;=$NR$46,180&lt;=$NS$46),IF($NP$46="Single_Point",IF(180=$NR$46,$NN$46,0),IF($NP$46="Bell_Curve",$NN$46*(180-$NR$46+1)*($NS$46-180+1)/$NU$46,$NN$46/$NT$46)),0)</f>
        <v/>
      </c>
      <c r="GC46" s="402">
        <f>IF(AND(181&gt;=$NR$46,181&lt;=$NS$46),IF($NP$46="Single_Point",IF(181=$NR$46,$NN$46,0),IF($NP$46="Bell_Curve",$NN$46*(181-$NR$46+1)*($NS$46-181+1)/$NU$46,$NN$46/$NT$46)),0)</f>
        <v/>
      </c>
      <c r="GD46" s="402">
        <f>IF(AND(182&gt;=$NR$46,182&lt;=$NS$46),IF($NP$46="Single_Point",IF(182=$NR$46,$NN$46,0),IF($NP$46="Bell_Curve",$NN$46*(182-$NR$46+1)*($NS$46-182+1)/$NU$46,$NN$46/$NT$46)),0)</f>
        <v/>
      </c>
      <c r="GE46" s="402">
        <f>IF(AND(183&gt;=$NR$46,183&lt;=$NS$46),IF($NP$46="Single_Point",IF(183=$NR$46,$NN$46,0),IF($NP$46="Bell_Curve",$NN$46*(183-$NR$46+1)*($NS$46-183+1)/$NU$46,$NN$46/$NT$46)),0)</f>
        <v/>
      </c>
      <c r="GF46" s="402">
        <f>IF(AND(184&gt;=$NR$46,184&lt;=$NS$46),IF($NP$46="Single_Point",IF(184=$NR$46,$NN$46,0),IF($NP$46="Bell_Curve",$NN$46*(184-$NR$46+1)*($NS$46-184+1)/$NU$46,$NN$46/$NT$46)),0)</f>
        <v/>
      </c>
      <c r="GG46" s="402">
        <f>IF(AND(185&gt;=$NR$46,185&lt;=$NS$46),IF($NP$46="Single_Point",IF(185=$NR$46,$NN$46,0),IF($NP$46="Bell_Curve",$NN$46*(185-$NR$46+1)*($NS$46-185+1)/$NU$46,$NN$46/$NT$46)),0)</f>
        <v/>
      </c>
      <c r="GH46" s="402">
        <f>IF(AND(186&gt;=$NR$46,186&lt;=$NS$46),IF($NP$46="Single_Point",IF(186=$NR$46,$NN$46,0),IF($NP$46="Bell_Curve",$NN$46*(186-$NR$46+1)*($NS$46-186+1)/$NU$46,$NN$46/$NT$46)),0)</f>
        <v/>
      </c>
      <c r="GI46" s="402">
        <f>IF(AND(187&gt;=$NR$46,187&lt;=$NS$46),IF($NP$46="Single_Point",IF(187=$NR$46,$NN$46,0),IF($NP$46="Bell_Curve",$NN$46*(187-$NR$46+1)*($NS$46-187+1)/$NU$46,$NN$46/$NT$46)),0)</f>
        <v/>
      </c>
      <c r="GJ46" s="402">
        <f>IF(AND(188&gt;=$NR$46,188&lt;=$NS$46),IF($NP$46="Single_Point",IF(188=$NR$46,$NN$46,0),IF($NP$46="Bell_Curve",$NN$46*(188-$NR$46+1)*($NS$46-188+1)/$NU$46,$NN$46/$NT$46)),0)</f>
        <v/>
      </c>
      <c r="GK46" s="402">
        <f>IF(AND(189&gt;=$NR$46,189&lt;=$NS$46),IF($NP$46="Single_Point",IF(189=$NR$46,$NN$46,0),IF($NP$46="Bell_Curve",$NN$46*(189-$NR$46+1)*($NS$46-189+1)/$NU$46,$NN$46/$NT$46)),0)</f>
        <v/>
      </c>
      <c r="GL46" s="402">
        <f>IF(AND(190&gt;=$NR$46,190&lt;=$NS$46),IF($NP$46="Single_Point",IF(190=$NR$46,$NN$46,0),IF($NP$46="Bell_Curve",$NN$46*(190-$NR$46+1)*($NS$46-190+1)/$NU$46,$NN$46/$NT$46)),0)</f>
        <v/>
      </c>
      <c r="GM46" s="402">
        <f>IF(AND(191&gt;=$NR$46,191&lt;=$NS$46),IF($NP$46="Single_Point",IF(191=$NR$46,$NN$46,0),IF($NP$46="Bell_Curve",$NN$46*(191-$NR$46+1)*($NS$46-191+1)/$NU$46,$NN$46/$NT$46)),0)</f>
        <v/>
      </c>
      <c r="GN46" s="402">
        <f>IF(AND(192&gt;=$NR$46,192&lt;=$NS$46),IF($NP$46="Single_Point",IF(192=$NR$46,$NN$46,0),IF($NP$46="Bell_Curve",$NN$46*(192-$NR$46+1)*($NS$46-192+1)/$NU$46,$NN$46/$NT$46)),0)</f>
        <v/>
      </c>
      <c r="GO46" s="402">
        <f>IF(AND(193&gt;=$NR$46,193&lt;=$NS$46),IF($NP$46="Single_Point",IF(193=$NR$46,$NN$46,0),IF($NP$46="Bell_Curve",$NN$46*(193-$NR$46+1)*($NS$46-193+1)/$NU$46,$NN$46/$NT$46)),0)</f>
        <v/>
      </c>
      <c r="GP46" s="402">
        <f>IF(AND(194&gt;=$NR$46,194&lt;=$NS$46),IF($NP$46="Single_Point",IF(194=$NR$46,$NN$46,0),IF($NP$46="Bell_Curve",$NN$46*(194-$NR$46+1)*($NS$46-194+1)/$NU$46,$NN$46/$NT$46)),0)</f>
        <v/>
      </c>
      <c r="GQ46" s="402">
        <f>IF(AND(195&gt;=$NR$46,195&lt;=$NS$46),IF($NP$46="Single_Point",IF(195=$NR$46,$NN$46,0),IF($NP$46="Bell_Curve",$NN$46*(195-$NR$46+1)*($NS$46-195+1)/$NU$46,$NN$46/$NT$46)),0)</f>
        <v/>
      </c>
      <c r="GR46" s="402">
        <f>IF(AND(196&gt;=$NR$46,196&lt;=$NS$46),IF($NP$46="Single_Point",IF(196=$NR$46,$NN$46,0),IF($NP$46="Bell_Curve",$NN$46*(196-$NR$46+1)*($NS$46-196+1)/$NU$46,$NN$46/$NT$46)),0)</f>
        <v/>
      </c>
      <c r="GS46" s="402">
        <f>IF(AND(197&gt;=$NR$46,197&lt;=$NS$46),IF($NP$46="Single_Point",IF(197=$NR$46,$NN$46,0),IF($NP$46="Bell_Curve",$NN$46*(197-$NR$46+1)*($NS$46-197+1)/$NU$46,$NN$46/$NT$46)),0)</f>
        <v/>
      </c>
      <c r="GT46" s="402">
        <f>IF(AND(198&gt;=$NR$46,198&lt;=$NS$46),IF($NP$46="Single_Point",IF(198=$NR$46,$NN$46,0),IF($NP$46="Bell_Curve",$NN$46*(198-$NR$46+1)*($NS$46-198+1)/$NU$46,$NN$46/$NT$46)),0)</f>
        <v/>
      </c>
      <c r="GU46" s="402">
        <f>IF(AND(199&gt;=$NR$46,199&lt;=$NS$46),IF($NP$46="Single_Point",IF(199=$NR$46,$NN$46,0),IF($NP$46="Bell_Curve",$NN$46*(199-$NR$46+1)*($NS$46-199+1)/$NU$46,$NN$46/$NT$46)),0)</f>
        <v/>
      </c>
      <c r="GV46" s="402">
        <f>IF(AND(200&gt;=$NR$46,200&lt;=$NS$46),IF($NP$46="Single_Point",IF(200=$NR$46,$NN$46,0),IF($NP$46="Bell_Curve",$NN$46*(200-$NR$46+1)*($NS$46-200+1)/$NU$46,$NN$46/$NT$46)),0)</f>
        <v/>
      </c>
      <c r="GW46" s="402">
        <f>IF(AND(201&gt;=$NR$46,201&lt;=$NS$46),IF($NP$46="Single_Point",IF(201=$NR$46,$NN$46,0),IF($NP$46="Bell_Curve",$NN$46*(201-$NR$46+1)*($NS$46-201+1)/$NU$46,$NN$46/$NT$46)),0)</f>
        <v/>
      </c>
      <c r="GX46" s="402">
        <f>IF(AND(202&gt;=$NR$46,202&lt;=$NS$46),IF($NP$46="Single_Point",IF(202=$NR$46,$NN$46,0),IF($NP$46="Bell_Curve",$NN$46*(202-$NR$46+1)*($NS$46-202+1)/$NU$46,$NN$46/$NT$46)),0)</f>
        <v/>
      </c>
      <c r="GY46" s="402">
        <f>IF(AND(203&gt;=$NR$46,203&lt;=$NS$46),IF($NP$46="Single_Point",IF(203=$NR$46,$NN$46,0),IF($NP$46="Bell_Curve",$NN$46*(203-$NR$46+1)*($NS$46-203+1)/$NU$46,$NN$46/$NT$46)),0)</f>
        <v/>
      </c>
      <c r="GZ46" s="402">
        <f>IF(AND(204&gt;=$NR$46,204&lt;=$NS$46),IF($NP$46="Single_Point",IF(204=$NR$46,$NN$46,0),IF($NP$46="Bell_Curve",$NN$46*(204-$NR$46+1)*($NS$46-204+1)/$NU$46,$NN$46/$NT$46)),0)</f>
        <v/>
      </c>
      <c r="HA46" s="402">
        <f>IF(AND(205&gt;=$NR$46,205&lt;=$NS$46),IF($NP$46="Single_Point",IF(205=$NR$46,$NN$46,0),IF($NP$46="Bell_Curve",$NN$46*(205-$NR$46+1)*($NS$46-205+1)/$NU$46,$NN$46/$NT$46)),0)</f>
        <v/>
      </c>
      <c r="HB46" s="402">
        <f>IF(AND(206&gt;=$NR$46,206&lt;=$NS$46),IF($NP$46="Single_Point",IF(206=$NR$46,$NN$46,0),IF($NP$46="Bell_Curve",$NN$46*(206-$NR$46+1)*($NS$46-206+1)/$NU$46,$NN$46/$NT$46)),0)</f>
        <v/>
      </c>
      <c r="HC46" s="402">
        <f>IF(AND(207&gt;=$NR$46,207&lt;=$NS$46),IF($NP$46="Single_Point",IF(207=$NR$46,$NN$46,0),IF($NP$46="Bell_Curve",$NN$46*(207-$NR$46+1)*($NS$46-207+1)/$NU$46,$NN$46/$NT$46)),0)</f>
        <v/>
      </c>
      <c r="HD46" s="402">
        <f>IF(AND(208&gt;=$NR$46,208&lt;=$NS$46),IF($NP$46="Single_Point",IF(208=$NR$46,$NN$46,0),IF($NP$46="Bell_Curve",$NN$46*(208-$NR$46+1)*($NS$46-208+1)/$NU$46,$NN$46/$NT$46)),0)</f>
        <v/>
      </c>
      <c r="HE46" s="402">
        <f>IF(AND(209&gt;=$NR$46,209&lt;=$NS$46),IF($NP$46="Single_Point",IF(209=$NR$46,$NN$46,0),IF($NP$46="Bell_Curve",$NN$46*(209-$NR$46+1)*($NS$46-209+1)/$NU$46,$NN$46/$NT$46)),0)</f>
        <v/>
      </c>
      <c r="HF46" s="402">
        <f>IF(AND(210&gt;=$NR$46,210&lt;=$NS$46),IF($NP$46="Single_Point",IF(210=$NR$46,$NN$46,0),IF($NP$46="Bell_Curve",$NN$46*(210-$NR$46+1)*($NS$46-210+1)/$NU$46,$NN$46/$NT$46)),0)</f>
        <v/>
      </c>
      <c r="HG46" s="402">
        <f>IF(AND(211&gt;=$NR$46,211&lt;=$NS$46),IF($NP$46="Single_Point",IF(211=$NR$46,$NN$46,0),IF($NP$46="Bell_Curve",$NN$46*(211-$NR$46+1)*($NS$46-211+1)/$NU$46,$NN$46/$NT$46)),0)</f>
        <v/>
      </c>
      <c r="HH46" s="402">
        <f>IF(AND(212&gt;=$NR$46,212&lt;=$NS$46),IF($NP$46="Single_Point",IF(212=$NR$46,$NN$46,0),IF($NP$46="Bell_Curve",$NN$46*(212-$NR$46+1)*($NS$46-212+1)/$NU$46,$NN$46/$NT$46)),0)</f>
        <v/>
      </c>
      <c r="HI46" s="402">
        <f>IF(AND(213&gt;=$NR$46,213&lt;=$NS$46),IF($NP$46="Single_Point",IF(213=$NR$46,$NN$46,0),IF($NP$46="Bell_Curve",$NN$46*(213-$NR$46+1)*($NS$46-213+1)/$NU$46,$NN$46/$NT$46)),0)</f>
        <v/>
      </c>
      <c r="HJ46" s="402">
        <f>IF(AND(214&gt;=$NR$46,214&lt;=$NS$46),IF($NP$46="Single_Point",IF(214=$NR$46,$NN$46,0),IF($NP$46="Bell_Curve",$NN$46*(214-$NR$46+1)*($NS$46-214+1)/$NU$46,$NN$46/$NT$46)),0)</f>
        <v/>
      </c>
      <c r="HK46" s="402">
        <f>IF(AND(215&gt;=$NR$46,215&lt;=$NS$46),IF($NP$46="Single_Point",IF(215=$NR$46,$NN$46,0),IF($NP$46="Bell_Curve",$NN$46*(215-$NR$46+1)*($NS$46-215+1)/$NU$46,$NN$46/$NT$46)),0)</f>
        <v/>
      </c>
      <c r="HL46" s="402">
        <f>IF(AND(216&gt;=$NR$46,216&lt;=$NS$46),IF($NP$46="Single_Point",IF(216=$NR$46,$NN$46,0),IF($NP$46="Bell_Curve",$NN$46*(216-$NR$46+1)*($NS$46-216+1)/$NU$46,$NN$46/$NT$46)),0)</f>
        <v/>
      </c>
      <c r="HM46" s="402">
        <f>IF(AND(217&gt;=$NR$46,217&lt;=$NS$46),IF($NP$46="Single_Point",IF(217=$NR$46,$NN$46,0),IF($NP$46="Bell_Curve",$NN$46*(217-$NR$46+1)*($NS$46-217+1)/$NU$46,$NN$46/$NT$46)),0)</f>
        <v/>
      </c>
      <c r="HN46" s="402">
        <f>IF(AND(218&gt;=$NR$46,218&lt;=$NS$46),IF($NP$46="Single_Point",IF(218=$NR$46,$NN$46,0),IF($NP$46="Bell_Curve",$NN$46*(218-$NR$46+1)*($NS$46-218+1)/$NU$46,$NN$46/$NT$46)),0)</f>
        <v/>
      </c>
      <c r="HO46" s="402">
        <f>IF(AND(219&gt;=$NR$46,219&lt;=$NS$46),IF($NP$46="Single_Point",IF(219=$NR$46,$NN$46,0),IF($NP$46="Bell_Curve",$NN$46*(219-$NR$46+1)*($NS$46-219+1)/$NU$46,$NN$46/$NT$46)),0)</f>
        <v/>
      </c>
      <c r="HP46" s="402">
        <f>IF(AND(220&gt;=$NR$46,220&lt;=$NS$46),IF($NP$46="Single_Point",IF(220=$NR$46,$NN$46,0),IF($NP$46="Bell_Curve",$NN$46*(220-$NR$46+1)*($NS$46-220+1)/$NU$46,$NN$46/$NT$46)),0)</f>
        <v/>
      </c>
      <c r="HQ46" s="402">
        <f>IF(AND(221&gt;=$NR$46,221&lt;=$NS$46),IF($NP$46="Single_Point",IF(221=$NR$46,$NN$46,0),IF($NP$46="Bell_Curve",$NN$46*(221-$NR$46+1)*($NS$46-221+1)/$NU$46,$NN$46/$NT$46)),0)</f>
        <v/>
      </c>
      <c r="HR46" s="402">
        <f>IF(AND(222&gt;=$NR$46,222&lt;=$NS$46),IF($NP$46="Single_Point",IF(222=$NR$46,$NN$46,0),IF($NP$46="Bell_Curve",$NN$46*(222-$NR$46+1)*($NS$46-222+1)/$NU$46,$NN$46/$NT$46)),0)</f>
        <v/>
      </c>
      <c r="HS46" s="402">
        <f>IF(AND(223&gt;=$NR$46,223&lt;=$NS$46),IF($NP$46="Single_Point",IF(223=$NR$46,$NN$46,0),IF($NP$46="Bell_Curve",$NN$46*(223-$NR$46+1)*($NS$46-223+1)/$NU$46,$NN$46/$NT$46)),0)</f>
        <v/>
      </c>
      <c r="HT46" s="402">
        <f>IF(AND(224&gt;=$NR$46,224&lt;=$NS$46),IF($NP$46="Single_Point",IF(224=$NR$46,$NN$46,0),IF($NP$46="Bell_Curve",$NN$46*(224-$NR$46+1)*($NS$46-224+1)/$NU$46,$NN$46/$NT$46)),0)</f>
        <v/>
      </c>
      <c r="HU46" s="402">
        <f>IF(AND(225&gt;=$NR$46,225&lt;=$NS$46),IF($NP$46="Single_Point",IF(225=$NR$46,$NN$46,0),IF($NP$46="Bell_Curve",$NN$46*(225-$NR$46+1)*($NS$46-225+1)/$NU$46,$NN$46/$NT$46)),0)</f>
        <v/>
      </c>
      <c r="HV46" s="402">
        <f>IF(AND(226&gt;=$NR$46,226&lt;=$NS$46),IF($NP$46="Single_Point",IF(226=$NR$46,$NN$46,0),IF($NP$46="Bell_Curve",$NN$46*(226-$NR$46+1)*($NS$46-226+1)/$NU$46,$NN$46/$NT$46)),0)</f>
        <v/>
      </c>
      <c r="HW46" s="402">
        <f>IF(AND(227&gt;=$NR$46,227&lt;=$NS$46),IF($NP$46="Single_Point",IF(227=$NR$46,$NN$46,0),IF($NP$46="Bell_Curve",$NN$46*(227-$NR$46+1)*($NS$46-227+1)/$NU$46,$NN$46/$NT$46)),0)</f>
        <v/>
      </c>
      <c r="HX46" s="402">
        <f>IF(AND(228&gt;=$NR$46,228&lt;=$NS$46),IF($NP$46="Single_Point",IF(228=$NR$46,$NN$46,0),IF($NP$46="Bell_Curve",$NN$46*(228-$NR$46+1)*($NS$46-228+1)/$NU$46,$NN$46/$NT$46)),0)</f>
        <v/>
      </c>
      <c r="HY46" s="402">
        <f>IF(AND(229&gt;=$NR$46,229&lt;=$NS$46),IF($NP$46="Single_Point",IF(229=$NR$46,$NN$46,0),IF($NP$46="Bell_Curve",$NN$46*(229-$NR$46+1)*($NS$46-229+1)/$NU$46,$NN$46/$NT$46)),0)</f>
        <v/>
      </c>
      <c r="HZ46" s="402">
        <f>IF(AND(230&gt;=$NR$46,230&lt;=$NS$46),IF($NP$46="Single_Point",IF(230=$NR$46,$NN$46,0),IF($NP$46="Bell_Curve",$NN$46*(230-$NR$46+1)*($NS$46-230+1)/$NU$46,$NN$46/$NT$46)),0)</f>
        <v/>
      </c>
      <c r="IA46" s="402">
        <f>IF(AND(231&gt;=$NR$46,231&lt;=$NS$46),IF($NP$46="Single_Point",IF(231=$NR$46,$NN$46,0),IF($NP$46="Bell_Curve",$NN$46*(231-$NR$46+1)*($NS$46-231+1)/$NU$46,$NN$46/$NT$46)),0)</f>
        <v/>
      </c>
      <c r="IB46" s="402">
        <f>IF(AND(232&gt;=$NR$46,232&lt;=$NS$46),IF($NP$46="Single_Point",IF(232=$NR$46,$NN$46,0),IF($NP$46="Bell_Curve",$NN$46*(232-$NR$46+1)*($NS$46-232+1)/$NU$46,$NN$46/$NT$46)),0)</f>
        <v/>
      </c>
      <c r="IC46" s="402">
        <f>IF(AND(233&gt;=$NR$46,233&lt;=$NS$46),IF($NP$46="Single_Point",IF(233=$NR$46,$NN$46,0),IF($NP$46="Bell_Curve",$NN$46*(233-$NR$46+1)*($NS$46-233+1)/$NU$46,$NN$46/$NT$46)),0)</f>
        <v/>
      </c>
      <c r="ID46" s="402">
        <f>IF(AND(234&gt;=$NR$46,234&lt;=$NS$46),IF($NP$46="Single_Point",IF(234=$NR$46,$NN$46,0),IF($NP$46="Bell_Curve",$NN$46*(234-$NR$46+1)*($NS$46-234+1)/$NU$46,$NN$46/$NT$46)),0)</f>
        <v/>
      </c>
      <c r="IE46" s="402">
        <f>IF(AND(235&gt;=$NR$46,235&lt;=$NS$46),IF($NP$46="Single_Point",IF(235=$NR$46,$NN$46,0),IF($NP$46="Bell_Curve",$NN$46*(235-$NR$46+1)*($NS$46-235+1)/$NU$46,$NN$46/$NT$46)),0)</f>
        <v/>
      </c>
      <c r="IF46" s="402">
        <f>IF(AND(236&gt;=$NR$46,236&lt;=$NS$46),IF($NP$46="Single_Point",IF(236=$NR$46,$NN$46,0),IF($NP$46="Bell_Curve",$NN$46*(236-$NR$46+1)*($NS$46-236+1)/$NU$46,$NN$46/$NT$46)),0)</f>
        <v/>
      </c>
      <c r="IG46" s="402">
        <f>IF(AND(237&gt;=$NR$46,237&lt;=$NS$46),IF($NP$46="Single_Point",IF(237=$NR$46,$NN$46,0),IF($NP$46="Bell_Curve",$NN$46*(237-$NR$46+1)*($NS$46-237+1)/$NU$46,$NN$46/$NT$46)),0)</f>
        <v/>
      </c>
      <c r="IH46" s="402">
        <f>IF(AND(238&gt;=$NR$46,238&lt;=$NS$46),IF($NP$46="Single_Point",IF(238=$NR$46,$NN$46,0),IF($NP$46="Bell_Curve",$NN$46*(238-$NR$46+1)*($NS$46-238+1)/$NU$46,$NN$46/$NT$46)),0)</f>
        <v/>
      </c>
      <c r="II46" s="402">
        <f>IF(AND(239&gt;=$NR$46,239&lt;=$NS$46),IF($NP$46="Single_Point",IF(239=$NR$46,$NN$46,0),IF($NP$46="Bell_Curve",$NN$46*(239-$NR$46+1)*($NS$46-239+1)/$NU$46,$NN$46/$NT$46)),0)</f>
        <v/>
      </c>
      <c r="IJ46" s="402">
        <f>IF(AND(240&gt;=$NR$46,240&lt;=$NS$46),IF($NP$46="Single_Point",IF(240=$NR$46,$NN$46,0),IF($NP$46="Bell_Curve",$NN$46*(240-$NR$46+1)*($NS$46-240+1)/$NU$46,$NN$46/$NT$46)),0)</f>
        <v/>
      </c>
      <c r="IK46" s="402">
        <f>IF(AND(241&gt;=$NR$46,241&lt;=$NS$46),IF($NP$46="Single_Point",IF(241=$NR$46,$NN$46,0),IF($NP$46="Bell_Curve",$NN$46*(241-$NR$46+1)*($NS$46-241+1)/$NU$46,$NN$46/$NT$46)),0)</f>
        <v/>
      </c>
      <c r="IL46" s="402">
        <f>IF(AND(242&gt;=$NR$46,242&lt;=$NS$46),IF($NP$46="Single_Point",IF(242=$NR$46,$NN$46,0),IF($NP$46="Bell_Curve",$NN$46*(242-$NR$46+1)*($NS$46-242+1)/$NU$46,$NN$46/$NT$46)),0)</f>
        <v/>
      </c>
      <c r="IM46" s="402">
        <f>IF(AND(243&gt;=$NR$46,243&lt;=$NS$46),IF($NP$46="Single_Point",IF(243=$NR$46,$NN$46,0),IF($NP$46="Bell_Curve",$NN$46*(243-$NR$46+1)*($NS$46-243+1)/$NU$46,$NN$46/$NT$46)),0)</f>
        <v/>
      </c>
      <c r="IN46" s="402">
        <f>IF(AND(244&gt;=$NR$46,244&lt;=$NS$46),IF($NP$46="Single_Point",IF(244=$NR$46,$NN$46,0),IF($NP$46="Bell_Curve",$NN$46*(244-$NR$46+1)*($NS$46-244+1)/$NU$46,$NN$46/$NT$46)),0)</f>
        <v/>
      </c>
      <c r="IO46" s="402">
        <f>IF(AND(245&gt;=$NR$46,245&lt;=$NS$46),IF($NP$46="Single_Point",IF(245=$NR$46,$NN$46,0),IF($NP$46="Bell_Curve",$NN$46*(245-$NR$46+1)*($NS$46-245+1)/$NU$46,$NN$46/$NT$46)),0)</f>
        <v/>
      </c>
      <c r="IP46" s="402">
        <f>IF(AND(246&gt;=$NR$46,246&lt;=$NS$46),IF($NP$46="Single_Point",IF(246=$NR$46,$NN$46,0),IF($NP$46="Bell_Curve",$NN$46*(246-$NR$46+1)*($NS$46-246+1)/$NU$46,$NN$46/$NT$46)),0)</f>
        <v/>
      </c>
      <c r="IQ46" s="402">
        <f>IF(AND(247&gt;=$NR$46,247&lt;=$NS$46),IF($NP$46="Single_Point",IF(247=$NR$46,$NN$46,0),IF($NP$46="Bell_Curve",$NN$46*(247-$NR$46+1)*($NS$46-247+1)/$NU$46,$NN$46/$NT$46)),0)</f>
        <v/>
      </c>
      <c r="IR46" s="402">
        <f>IF(AND(248&gt;=$NR$46,248&lt;=$NS$46),IF($NP$46="Single_Point",IF(248=$NR$46,$NN$46,0),IF($NP$46="Bell_Curve",$NN$46*(248-$NR$46+1)*($NS$46-248+1)/$NU$46,$NN$46/$NT$46)),0)</f>
        <v/>
      </c>
      <c r="IS46" s="402">
        <f>IF(AND(249&gt;=$NR$46,249&lt;=$NS$46),IF($NP$46="Single_Point",IF(249=$NR$46,$NN$46,0),IF($NP$46="Bell_Curve",$NN$46*(249-$NR$46+1)*($NS$46-249+1)/$NU$46,$NN$46/$NT$46)),0)</f>
        <v/>
      </c>
      <c r="IT46" s="402">
        <f>IF(AND(250&gt;=$NR$46,250&lt;=$NS$46),IF($NP$46="Single_Point",IF(250=$NR$46,$NN$46,0),IF($NP$46="Bell_Curve",$NN$46*(250-$NR$46+1)*($NS$46-250+1)/$NU$46,$NN$46/$NT$46)),0)</f>
        <v/>
      </c>
      <c r="IU46" s="402">
        <f>IF(AND(251&gt;=$NR$46,251&lt;=$NS$46),IF($NP$46="Single_Point",IF(251=$NR$46,$NN$46,0),IF($NP$46="Bell_Curve",$NN$46*(251-$NR$46+1)*($NS$46-251+1)/$NU$46,$NN$46/$NT$46)),0)</f>
        <v/>
      </c>
      <c r="IV46" s="402">
        <f>IF(AND(252&gt;=$NR$46,252&lt;=$NS$46),IF($NP$46="Single_Point",IF(252=$NR$46,$NN$46,0),IF($NP$46="Bell_Curve",$NN$46*(252-$NR$46+1)*($NS$46-252+1)/$NU$46,$NN$46/$NT$46)),0)</f>
        <v/>
      </c>
      <c r="IW46" s="402">
        <f>IF(AND(253&gt;=$NR$46,253&lt;=$NS$46),IF($NP$46="Single_Point",IF(253=$NR$46,$NN$46,0),IF($NP$46="Bell_Curve",$NN$46*(253-$NR$46+1)*($NS$46-253+1)/$NU$46,$NN$46/$NT$46)),0)</f>
        <v/>
      </c>
      <c r="IX46" s="402">
        <f>IF(AND(254&gt;=$NR$46,254&lt;=$NS$46),IF($NP$46="Single_Point",IF(254=$NR$46,$NN$46,0),IF($NP$46="Bell_Curve",$NN$46*(254-$NR$46+1)*($NS$46-254+1)/$NU$46,$NN$46/$NT$46)),0)</f>
        <v/>
      </c>
      <c r="IY46" s="402">
        <f>IF(AND(255&gt;=$NR$46,255&lt;=$NS$46),IF($NP$46="Single_Point",IF(255=$NR$46,$NN$46,0),IF($NP$46="Bell_Curve",$NN$46*(255-$NR$46+1)*($NS$46-255+1)/$NU$46,$NN$46/$NT$46)),0)</f>
        <v/>
      </c>
      <c r="IZ46" s="402">
        <f>IF(AND(256&gt;=$NR$46,256&lt;=$NS$46),IF($NP$46="Single_Point",IF(256=$NR$46,$NN$46,0),IF($NP$46="Bell_Curve",$NN$46*(256-$NR$46+1)*($NS$46-256+1)/$NU$46,$NN$46/$NT$46)),0)</f>
        <v/>
      </c>
      <c r="JA46" s="402">
        <f>IF(AND(257&gt;=$NR$46,257&lt;=$NS$46),IF($NP$46="Single_Point",IF(257=$NR$46,$NN$46,0),IF($NP$46="Bell_Curve",$NN$46*(257-$NR$46+1)*($NS$46-257+1)/$NU$46,$NN$46/$NT$46)),0)</f>
        <v/>
      </c>
      <c r="JB46" s="402">
        <f>IF(AND(258&gt;=$NR$46,258&lt;=$NS$46),IF($NP$46="Single_Point",IF(258=$NR$46,$NN$46,0),IF($NP$46="Bell_Curve",$NN$46*(258-$NR$46+1)*($NS$46-258+1)/$NU$46,$NN$46/$NT$46)),0)</f>
        <v/>
      </c>
      <c r="JC46" s="402">
        <f>IF(AND(259&gt;=$NR$46,259&lt;=$NS$46),IF($NP$46="Single_Point",IF(259=$NR$46,$NN$46,0),IF($NP$46="Bell_Curve",$NN$46*(259-$NR$46+1)*($NS$46-259+1)/$NU$46,$NN$46/$NT$46)),0)</f>
        <v/>
      </c>
      <c r="JD46" s="402">
        <f>IF(AND(260&gt;=$NR$46,260&lt;=$NS$46),IF($NP$46="Single_Point",IF(260=$NR$46,$NN$46,0),IF($NP$46="Bell_Curve",$NN$46*(260-$NR$46+1)*($NS$46-260+1)/$NU$46,$NN$46/$NT$46)),0)</f>
        <v/>
      </c>
      <c r="JE46" s="402">
        <f>IF(AND(261&gt;=$NR$46,261&lt;=$NS$46),IF($NP$46="Single_Point",IF(261=$NR$46,$NN$46,0),IF($NP$46="Bell_Curve",$NN$46*(261-$NR$46+1)*($NS$46-261+1)/$NU$46,$NN$46/$NT$46)),0)</f>
        <v/>
      </c>
      <c r="JF46" s="402">
        <f>IF(AND(262&gt;=$NR$46,262&lt;=$NS$46),IF($NP$46="Single_Point",IF(262=$NR$46,$NN$46,0),IF($NP$46="Bell_Curve",$NN$46*(262-$NR$46+1)*($NS$46-262+1)/$NU$46,$NN$46/$NT$46)),0)</f>
        <v/>
      </c>
      <c r="JG46" s="402">
        <f>IF(AND(263&gt;=$NR$46,263&lt;=$NS$46),IF($NP$46="Single_Point",IF(263=$NR$46,$NN$46,0),IF($NP$46="Bell_Curve",$NN$46*(263-$NR$46+1)*($NS$46-263+1)/$NU$46,$NN$46/$NT$46)),0)</f>
        <v/>
      </c>
      <c r="JH46" s="402">
        <f>IF(AND(264&gt;=$NR$46,264&lt;=$NS$46),IF($NP$46="Single_Point",IF(264=$NR$46,$NN$46,0),IF($NP$46="Bell_Curve",$NN$46*(264-$NR$46+1)*($NS$46-264+1)/$NU$46,$NN$46/$NT$46)),0)</f>
        <v/>
      </c>
      <c r="JI46" s="402">
        <f>IF(AND(265&gt;=$NR$46,265&lt;=$NS$46),IF($NP$46="Single_Point",IF(265=$NR$46,$NN$46,0),IF($NP$46="Bell_Curve",$NN$46*(265-$NR$46+1)*($NS$46-265+1)/$NU$46,$NN$46/$NT$46)),0)</f>
        <v/>
      </c>
      <c r="JJ46" s="402">
        <f>IF(AND(266&gt;=$NR$46,266&lt;=$NS$46),IF($NP$46="Single_Point",IF(266=$NR$46,$NN$46,0),IF($NP$46="Bell_Curve",$NN$46*(266-$NR$46+1)*($NS$46-266+1)/$NU$46,$NN$46/$NT$46)),0)</f>
        <v/>
      </c>
      <c r="JK46" s="402">
        <f>IF(AND(267&gt;=$NR$46,267&lt;=$NS$46),IF($NP$46="Single_Point",IF(267=$NR$46,$NN$46,0),IF($NP$46="Bell_Curve",$NN$46*(267-$NR$46+1)*($NS$46-267+1)/$NU$46,$NN$46/$NT$46)),0)</f>
        <v/>
      </c>
      <c r="JL46" s="402">
        <f>IF(AND(268&gt;=$NR$46,268&lt;=$NS$46),IF($NP$46="Single_Point",IF(268=$NR$46,$NN$46,0),IF($NP$46="Bell_Curve",$NN$46*(268-$NR$46+1)*($NS$46-268+1)/$NU$46,$NN$46/$NT$46)),0)</f>
        <v/>
      </c>
      <c r="JM46" s="402">
        <f>IF(AND(269&gt;=$NR$46,269&lt;=$NS$46),IF($NP$46="Single_Point",IF(269=$NR$46,$NN$46,0),IF($NP$46="Bell_Curve",$NN$46*(269-$NR$46+1)*($NS$46-269+1)/$NU$46,$NN$46/$NT$46)),0)</f>
        <v/>
      </c>
      <c r="JN46" s="402">
        <f>IF(AND(270&gt;=$NR$46,270&lt;=$NS$46),IF($NP$46="Single_Point",IF(270=$NR$46,$NN$46,0),IF($NP$46="Bell_Curve",$NN$46*(270-$NR$46+1)*($NS$46-270+1)/$NU$46,$NN$46/$NT$46)),0)</f>
        <v/>
      </c>
      <c r="JO46" s="402">
        <f>IF(AND(271&gt;=$NR$46,271&lt;=$NS$46),IF($NP$46="Single_Point",IF(271=$NR$46,$NN$46,0),IF($NP$46="Bell_Curve",$NN$46*(271-$NR$46+1)*($NS$46-271+1)/$NU$46,$NN$46/$NT$46)),0)</f>
        <v/>
      </c>
      <c r="JP46" s="402">
        <f>IF(AND(272&gt;=$NR$46,272&lt;=$NS$46),IF($NP$46="Single_Point",IF(272=$NR$46,$NN$46,0),IF($NP$46="Bell_Curve",$NN$46*(272-$NR$46+1)*($NS$46-272+1)/$NU$46,$NN$46/$NT$46)),0)</f>
        <v/>
      </c>
      <c r="JQ46" s="402">
        <f>IF(AND(273&gt;=$NR$46,273&lt;=$NS$46),IF($NP$46="Single_Point",IF(273=$NR$46,$NN$46,0),IF($NP$46="Bell_Curve",$NN$46*(273-$NR$46+1)*($NS$46-273+1)/$NU$46,$NN$46/$NT$46)),0)</f>
        <v/>
      </c>
      <c r="JR46" s="402">
        <f>IF(AND(274&gt;=$NR$46,274&lt;=$NS$46),IF($NP$46="Single_Point",IF(274=$NR$46,$NN$46,0),IF($NP$46="Bell_Curve",$NN$46*(274-$NR$46+1)*($NS$46-274+1)/$NU$46,$NN$46/$NT$46)),0)</f>
        <v/>
      </c>
      <c r="JS46" s="402">
        <f>IF(AND(275&gt;=$NR$46,275&lt;=$NS$46),IF($NP$46="Single_Point",IF(275=$NR$46,$NN$46,0),IF($NP$46="Bell_Curve",$NN$46*(275-$NR$46+1)*($NS$46-275+1)/$NU$46,$NN$46/$NT$46)),0)</f>
        <v/>
      </c>
      <c r="JT46" s="402">
        <f>IF(AND(276&gt;=$NR$46,276&lt;=$NS$46),IF($NP$46="Single_Point",IF(276=$NR$46,$NN$46,0),IF($NP$46="Bell_Curve",$NN$46*(276-$NR$46+1)*($NS$46-276+1)/$NU$46,$NN$46/$NT$46)),0)</f>
        <v/>
      </c>
      <c r="JU46" s="402">
        <f>IF(AND(277&gt;=$NR$46,277&lt;=$NS$46),IF($NP$46="Single_Point",IF(277=$NR$46,$NN$46,0),IF($NP$46="Bell_Curve",$NN$46*(277-$NR$46+1)*($NS$46-277+1)/$NU$46,$NN$46/$NT$46)),0)</f>
        <v/>
      </c>
      <c r="JV46" s="402">
        <f>IF(AND(278&gt;=$NR$46,278&lt;=$NS$46),IF($NP$46="Single_Point",IF(278=$NR$46,$NN$46,0),IF($NP$46="Bell_Curve",$NN$46*(278-$NR$46+1)*($NS$46-278+1)/$NU$46,$NN$46/$NT$46)),0)</f>
        <v/>
      </c>
      <c r="JW46" s="402">
        <f>IF(AND(279&gt;=$NR$46,279&lt;=$NS$46),IF($NP$46="Single_Point",IF(279=$NR$46,$NN$46,0),IF($NP$46="Bell_Curve",$NN$46*(279-$NR$46+1)*($NS$46-279+1)/$NU$46,$NN$46/$NT$46)),0)</f>
        <v/>
      </c>
      <c r="JX46" s="402">
        <f>IF(AND(280&gt;=$NR$46,280&lt;=$NS$46),IF($NP$46="Single_Point",IF(280=$NR$46,$NN$46,0),IF($NP$46="Bell_Curve",$NN$46*(280-$NR$46+1)*($NS$46-280+1)/$NU$46,$NN$46/$NT$46)),0)</f>
        <v/>
      </c>
      <c r="JY46" s="402">
        <f>IF(AND(281&gt;=$NR$46,281&lt;=$NS$46),IF($NP$46="Single_Point",IF(281=$NR$46,$NN$46,0),IF($NP$46="Bell_Curve",$NN$46*(281-$NR$46+1)*($NS$46-281+1)/$NU$46,$NN$46/$NT$46)),0)</f>
        <v/>
      </c>
      <c r="JZ46" s="402">
        <f>IF(AND(282&gt;=$NR$46,282&lt;=$NS$46),IF($NP$46="Single_Point",IF(282=$NR$46,$NN$46,0),IF($NP$46="Bell_Curve",$NN$46*(282-$NR$46+1)*($NS$46-282+1)/$NU$46,$NN$46/$NT$46)),0)</f>
        <v/>
      </c>
      <c r="KA46" s="402">
        <f>IF(AND(283&gt;=$NR$46,283&lt;=$NS$46),IF($NP$46="Single_Point",IF(283=$NR$46,$NN$46,0),IF($NP$46="Bell_Curve",$NN$46*(283-$NR$46+1)*($NS$46-283+1)/$NU$46,$NN$46/$NT$46)),0)</f>
        <v/>
      </c>
      <c r="KB46" s="402">
        <f>IF(AND(284&gt;=$NR$46,284&lt;=$NS$46),IF($NP$46="Single_Point",IF(284=$NR$46,$NN$46,0),IF($NP$46="Bell_Curve",$NN$46*(284-$NR$46+1)*($NS$46-284+1)/$NU$46,$NN$46/$NT$46)),0)</f>
        <v/>
      </c>
      <c r="KC46" s="402">
        <f>IF(AND(285&gt;=$NR$46,285&lt;=$NS$46),IF($NP$46="Single_Point",IF(285=$NR$46,$NN$46,0),IF($NP$46="Bell_Curve",$NN$46*(285-$NR$46+1)*($NS$46-285+1)/$NU$46,$NN$46/$NT$46)),0)</f>
        <v/>
      </c>
      <c r="KD46" s="402">
        <f>IF(AND(286&gt;=$NR$46,286&lt;=$NS$46),IF($NP$46="Single_Point",IF(286=$NR$46,$NN$46,0),IF($NP$46="Bell_Curve",$NN$46*(286-$NR$46+1)*($NS$46-286+1)/$NU$46,$NN$46/$NT$46)),0)</f>
        <v/>
      </c>
      <c r="KE46" s="402">
        <f>IF(AND(287&gt;=$NR$46,287&lt;=$NS$46),IF($NP$46="Single_Point",IF(287=$NR$46,$NN$46,0),IF($NP$46="Bell_Curve",$NN$46*(287-$NR$46+1)*($NS$46-287+1)/$NU$46,$NN$46/$NT$46)),0)</f>
        <v/>
      </c>
      <c r="KF46" s="402">
        <f>IF(AND(288&gt;=$NR$46,288&lt;=$NS$46),IF($NP$46="Single_Point",IF(288=$NR$46,$NN$46,0),IF($NP$46="Bell_Curve",$NN$46*(288-$NR$46+1)*($NS$46-288+1)/$NU$46,$NN$46/$NT$46)),0)</f>
        <v/>
      </c>
      <c r="KG46" s="402">
        <f>IF(AND(289&gt;=$NR$46,289&lt;=$NS$46),IF($NP$46="Single_Point",IF(289=$NR$46,$NN$46,0),IF($NP$46="Bell_Curve",$NN$46*(289-$NR$46+1)*($NS$46-289+1)/$NU$46,$NN$46/$NT$46)),0)</f>
        <v/>
      </c>
      <c r="KH46" s="402">
        <f>IF(AND(290&gt;=$NR$46,290&lt;=$NS$46),IF($NP$46="Single_Point",IF(290=$NR$46,$NN$46,0),IF($NP$46="Bell_Curve",$NN$46*(290-$NR$46+1)*($NS$46-290+1)/$NU$46,$NN$46/$NT$46)),0)</f>
        <v/>
      </c>
      <c r="KI46" s="402">
        <f>IF(AND(291&gt;=$NR$46,291&lt;=$NS$46),IF($NP$46="Single_Point",IF(291=$NR$46,$NN$46,0),IF($NP$46="Bell_Curve",$NN$46*(291-$NR$46+1)*($NS$46-291+1)/$NU$46,$NN$46/$NT$46)),0)</f>
        <v/>
      </c>
      <c r="KJ46" s="402">
        <f>IF(AND(292&gt;=$NR$46,292&lt;=$NS$46),IF($NP$46="Single_Point",IF(292=$NR$46,$NN$46,0),IF($NP$46="Bell_Curve",$NN$46*(292-$NR$46+1)*($NS$46-292+1)/$NU$46,$NN$46/$NT$46)),0)</f>
        <v/>
      </c>
      <c r="KK46" s="402">
        <f>IF(AND(293&gt;=$NR$46,293&lt;=$NS$46),IF($NP$46="Single_Point",IF(293=$NR$46,$NN$46,0),IF($NP$46="Bell_Curve",$NN$46*(293-$NR$46+1)*($NS$46-293+1)/$NU$46,$NN$46/$NT$46)),0)</f>
        <v/>
      </c>
      <c r="KL46" s="402">
        <f>IF(AND(294&gt;=$NR$46,294&lt;=$NS$46),IF($NP$46="Single_Point",IF(294=$NR$46,$NN$46,0),IF($NP$46="Bell_Curve",$NN$46*(294-$NR$46+1)*($NS$46-294+1)/$NU$46,$NN$46/$NT$46)),0)</f>
        <v/>
      </c>
      <c r="KM46" s="402">
        <f>IF(AND(295&gt;=$NR$46,295&lt;=$NS$46),IF($NP$46="Single_Point",IF(295=$NR$46,$NN$46,0),IF($NP$46="Bell_Curve",$NN$46*(295-$NR$46+1)*($NS$46-295+1)/$NU$46,$NN$46/$NT$46)),0)</f>
        <v/>
      </c>
      <c r="KN46" s="402">
        <f>IF(AND(296&gt;=$NR$46,296&lt;=$NS$46),IF($NP$46="Single_Point",IF(296=$NR$46,$NN$46,0),IF($NP$46="Bell_Curve",$NN$46*(296-$NR$46+1)*($NS$46-296+1)/$NU$46,$NN$46/$NT$46)),0)</f>
        <v/>
      </c>
      <c r="KO46" s="402">
        <f>IF(AND(297&gt;=$NR$46,297&lt;=$NS$46),IF($NP$46="Single_Point",IF(297=$NR$46,$NN$46,0),IF($NP$46="Bell_Curve",$NN$46*(297-$NR$46+1)*($NS$46-297+1)/$NU$46,$NN$46/$NT$46)),0)</f>
        <v/>
      </c>
      <c r="KP46" s="402">
        <f>IF(AND(298&gt;=$NR$46,298&lt;=$NS$46),IF($NP$46="Single_Point",IF(298=$NR$46,$NN$46,0),IF($NP$46="Bell_Curve",$NN$46*(298-$NR$46+1)*($NS$46-298+1)/$NU$46,$NN$46/$NT$46)),0)</f>
        <v/>
      </c>
      <c r="KQ46" s="402">
        <f>IF(AND(299&gt;=$NR$46,299&lt;=$NS$46),IF($NP$46="Single_Point",IF(299=$NR$46,$NN$46,0),IF($NP$46="Bell_Curve",$NN$46*(299-$NR$46+1)*($NS$46-299+1)/$NU$46,$NN$46/$NT$46)),0)</f>
        <v/>
      </c>
      <c r="KR46" s="402">
        <f>IF(AND(300&gt;=$NR$46,300&lt;=$NS$46),IF($NP$46="Single_Point",IF(300=$NR$46,$NN$46,0),IF($NP$46="Bell_Curve",$NN$46*(300-$NR$46+1)*($NS$46-300+1)/$NU$46,$NN$46/$NT$46)),0)</f>
        <v/>
      </c>
      <c r="KS46" s="402">
        <f>IF(AND(301&gt;=$NR$46,301&lt;=$NS$46),IF($NP$46="Single_Point",IF(301=$NR$46,$NN$46,0),IF($NP$46="Bell_Curve",$NN$46*(301-$NR$46+1)*($NS$46-301+1)/$NU$46,$NN$46/$NT$46)),0)</f>
        <v/>
      </c>
      <c r="KT46" s="402">
        <f>IF(AND(302&gt;=$NR$46,302&lt;=$NS$46),IF($NP$46="Single_Point",IF(302=$NR$46,$NN$46,0),IF($NP$46="Bell_Curve",$NN$46*(302-$NR$46+1)*($NS$46-302+1)/$NU$46,$NN$46/$NT$46)),0)</f>
        <v/>
      </c>
      <c r="KU46" s="402">
        <f>IF(AND(303&gt;=$NR$46,303&lt;=$NS$46),IF($NP$46="Single_Point",IF(303=$NR$46,$NN$46,0),IF($NP$46="Bell_Curve",$NN$46*(303-$NR$46+1)*($NS$46-303+1)/$NU$46,$NN$46/$NT$46)),0)</f>
        <v/>
      </c>
      <c r="KV46" s="402">
        <f>IF(AND(304&gt;=$NR$46,304&lt;=$NS$46),IF($NP$46="Single_Point",IF(304=$NR$46,$NN$46,0),IF($NP$46="Bell_Curve",$NN$46*(304-$NR$46+1)*($NS$46-304+1)/$NU$46,$NN$46/$NT$46)),0)</f>
        <v/>
      </c>
      <c r="KW46" s="402">
        <f>IF(AND(305&gt;=$NR$46,305&lt;=$NS$46),IF($NP$46="Single_Point",IF(305=$NR$46,$NN$46,0),IF($NP$46="Bell_Curve",$NN$46*(305-$NR$46+1)*($NS$46-305+1)/$NU$46,$NN$46/$NT$46)),0)</f>
        <v/>
      </c>
      <c r="KX46" s="402">
        <f>IF(AND(306&gt;=$NR$46,306&lt;=$NS$46),IF($NP$46="Single_Point",IF(306=$NR$46,$NN$46,0),IF($NP$46="Bell_Curve",$NN$46*(306-$NR$46+1)*($NS$46-306+1)/$NU$46,$NN$46/$NT$46)),0)</f>
        <v/>
      </c>
      <c r="KY46" s="402">
        <f>IF(AND(307&gt;=$NR$46,307&lt;=$NS$46),IF($NP$46="Single_Point",IF(307=$NR$46,$NN$46,0),IF($NP$46="Bell_Curve",$NN$46*(307-$NR$46+1)*($NS$46-307+1)/$NU$46,$NN$46/$NT$46)),0)</f>
        <v/>
      </c>
      <c r="KZ46" s="402">
        <f>IF(AND(308&gt;=$NR$46,308&lt;=$NS$46),IF($NP$46="Single_Point",IF(308=$NR$46,$NN$46,0),IF($NP$46="Bell_Curve",$NN$46*(308-$NR$46+1)*($NS$46-308+1)/$NU$46,$NN$46/$NT$46)),0)</f>
        <v/>
      </c>
      <c r="LA46" s="402">
        <f>IF(AND(309&gt;=$NR$46,309&lt;=$NS$46),IF($NP$46="Single_Point",IF(309=$NR$46,$NN$46,0),IF($NP$46="Bell_Curve",$NN$46*(309-$NR$46+1)*($NS$46-309+1)/$NU$46,$NN$46/$NT$46)),0)</f>
        <v/>
      </c>
      <c r="LB46" s="402">
        <f>IF(AND(310&gt;=$NR$46,310&lt;=$NS$46),IF($NP$46="Single_Point",IF(310=$NR$46,$NN$46,0),IF($NP$46="Bell_Curve",$NN$46*(310-$NR$46+1)*($NS$46-310+1)/$NU$46,$NN$46/$NT$46)),0)</f>
        <v/>
      </c>
      <c r="LC46" s="402">
        <f>IF(AND(311&gt;=$NR$46,311&lt;=$NS$46),IF($NP$46="Single_Point",IF(311=$NR$46,$NN$46,0),IF($NP$46="Bell_Curve",$NN$46*(311-$NR$46+1)*($NS$46-311+1)/$NU$46,$NN$46/$NT$46)),0)</f>
        <v/>
      </c>
      <c r="LD46" s="402">
        <f>IF(AND(312&gt;=$NR$46,312&lt;=$NS$46),IF($NP$46="Single_Point",IF(312=$NR$46,$NN$46,0),IF($NP$46="Bell_Curve",$NN$46*(312-$NR$46+1)*($NS$46-312+1)/$NU$46,$NN$46/$NT$46)),0)</f>
        <v/>
      </c>
      <c r="LE46" s="402">
        <f>IF(AND(313&gt;=$NR$46,313&lt;=$NS$46),IF($NP$46="Single_Point",IF(313=$NR$46,$NN$46,0),IF($NP$46="Bell_Curve",$NN$46*(313-$NR$46+1)*($NS$46-313+1)/$NU$46,$NN$46/$NT$46)),0)</f>
        <v/>
      </c>
      <c r="LF46" s="402">
        <f>IF(AND(314&gt;=$NR$46,314&lt;=$NS$46),IF($NP$46="Single_Point",IF(314=$NR$46,$NN$46,0),IF($NP$46="Bell_Curve",$NN$46*(314-$NR$46+1)*($NS$46-314+1)/$NU$46,$NN$46/$NT$46)),0)</f>
        <v/>
      </c>
      <c r="LG46" s="402">
        <f>IF(AND(315&gt;=$NR$46,315&lt;=$NS$46),IF($NP$46="Single_Point",IF(315=$NR$46,$NN$46,0),IF($NP$46="Bell_Curve",$NN$46*(315-$NR$46+1)*($NS$46-315+1)/$NU$46,$NN$46/$NT$46)),0)</f>
        <v/>
      </c>
      <c r="LH46" s="402">
        <f>IF(AND(316&gt;=$NR$46,316&lt;=$NS$46),IF($NP$46="Single_Point",IF(316=$NR$46,$NN$46,0),IF($NP$46="Bell_Curve",$NN$46*(316-$NR$46+1)*($NS$46-316+1)/$NU$46,$NN$46/$NT$46)),0)</f>
        <v/>
      </c>
      <c r="LI46" s="402">
        <f>IF(AND(317&gt;=$NR$46,317&lt;=$NS$46),IF($NP$46="Single_Point",IF(317=$NR$46,$NN$46,0),IF($NP$46="Bell_Curve",$NN$46*(317-$NR$46+1)*($NS$46-317+1)/$NU$46,$NN$46/$NT$46)),0)</f>
        <v/>
      </c>
      <c r="LJ46" s="402">
        <f>IF(AND(318&gt;=$NR$46,318&lt;=$NS$46),IF($NP$46="Single_Point",IF(318=$NR$46,$NN$46,0),IF($NP$46="Bell_Curve",$NN$46*(318-$NR$46+1)*($NS$46-318+1)/$NU$46,$NN$46/$NT$46)),0)</f>
        <v/>
      </c>
      <c r="LK46" s="402">
        <f>IF(AND(319&gt;=$NR$46,319&lt;=$NS$46),IF($NP$46="Single_Point",IF(319=$NR$46,$NN$46,0),IF($NP$46="Bell_Curve",$NN$46*(319-$NR$46+1)*($NS$46-319+1)/$NU$46,$NN$46/$NT$46)),0)</f>
        <v/>
      </c>
      <c r="LL46" s="402">
        <f>IF(AND(320&gt;=$NR$46,320&lt;=$NS$46),IF($NP$46="Single_Point",IF(320=$NR$46,$NN$46,0),IF($NP$46="Bell_Curve",$NN$46*(320-$NR$46+1)*($NS$46-320+1)/$NU$46,$NN$46/$NT$46)),0)</f>
        <v/>
      </c>
      <c r="LM46" s="402">
        <f>IF(AND(321&gt;=$NR$46,321&lt;=$NS$46),IF($NP$46="Single_Point",IF(321=$NR$46,$NN$46,0),IF($NP$46="Bell_Curve",$NN$46*(321-$NR$46+1)*($NS$46-321+1)/$NU$46,$NN$46/$NT$46)),0)</f>
        <v/>
      </c>
      <c r="LN46" s="402">
        <f>IF(AND(322&gt;=$NR$46,322&lt;=$NS$46),IF($NP$46="Single_Point",IF(322=$NR$46,$NN$46,0),IF($NP$46="Bell_Curve",$NN$46*(322-$NR$46+1)*($NS$46-322+1)/$NU$46,$NN$46/$NT$46)),0)</f>
        <v/>
      </c>
      <c r="LO46" s="402">
        <f>IF(AND(323&gt;=$NR$46,323&lt;=$NS$46),IF($NP$46="Single_Point",IF(323=$NR$46,$NN$46,0),IF($NP$46="Bell_Curve",$NN$46*(323-$NR$46+1)*($NS$46-323+1)/$NU$46,$NN$46/$NT$46)),0)</f>
        <v/>
      </c>
      <c r="LP46" s="402">
        <f>IF(AND(324&gt;=$NR$46,324&lt;=$NS$46),IF($NP$46="Single_Point",IF(324=$NR$46,$NN$46,0),IF($NP$46="Bell_Curve",$NN$46*(324-$NR$46+1)*($NS$46-324+1)/$NU$46,$NN$46/$NT$46)),0)</f>
        <v/>
      </c>
      <c r="LQ46" s="402">
        <f>IF(AND(325&gt;=$NR$46,325&lt;=$NS$46),IF($NP$46="Single_Point",IF(325=$NR$46,$NN$46,0),IF($NP$46="Bell_Curve",$NN$46*(325-$NR$46+1)*($NS$46-325+1)/$NU$46,$NN$46/$NT$46)),0)</f>
        <v/>
      </c>
      <c r="LR46" s="402">
        <f>IF(AND(326&gt;=$NR$46,326&lt;=$NS$46),IF($NP$46="Single_Point",IF(326=$NR$46,$NN$46,0),IF($NP$46="Bell_Curve",$NN$46*(326-$NR$46+1)*($NS$46-326+1)/$NU$46,$NN$46/$NT$46)),0)</f>
        <v/>
      </c>
      <c r="LS46" s="402">
        <f>IF(AND(327&gt;=$NR$46,327&lt;=$NS$46),IF($NP$46="Single_Point",IF(327=$NR$46,$NN$46,0),IF($NP$46="Bell_Curve",$NN$46*(327-$NR$46+1)*($NS$46-327+1)/$NU$46,$NN$46/$NT$46)),0)</f>
        <v/>
      </c>
      <c r="LT46" s="402">
        <f>IF(AND(328&gt;=$NR$46,328&lt;=$NS$46),IF($NP$46="Single_Point",IF(328=$NR$46,$NN$46,0),IF($NP$46="Bell_Curve",$NN$46*(328-$NR$46+1)*($NS$46-328+1)/$NU$46,$NN$46/$NT$46)),0)</f>
        <v/>
      </c>
      <c r="LU46" s="402">
        <f>IF(AND(329&gt;=$NR$46,329&lt;=$NS$46),IF($NP$46="Single_Point",IF(329=$NR$46,$NN$46,0),IF($NP$46="Bell_Curve",$NN$46*(329-$NR$46+1)*($NS$46-329+1)/$NU$46,$NN$46/$NT$46)),0)</f>
        <v/>
      </c>
      <c r="LV46" s="402">
        <f>IF(AND(330&gt;=$NR$46,330&lt;=$NS$46),IF($NP$46="Single_Point",IF(330=$NR$46,$NN$46,0),IF($NP$46="Bell_Curve",$NN$46*(330-$NR$46+1)*($NS$46-330+1)/$NU$46,$NN$46/$NT$46)),0)</f>
        <v/>
      </c>
      <c r="LW46" s="402">
        <f>IF(AND(331&gt;=$NR$46,331&lt;=$NS$46),IF($NP$46="Single_Point",IF(331=$NR$46,$NN$46,0),IF($NP$46="Bell_Curve",$NN$46*(331-$NR$46+1)*($NS$46-331+1)/$NU$46,$NN$46/$NT$46)),0)</f>
        <v/>
      </c>
      <c r="LX46" s="402">
        <f>IF(AND(332&gt;=$NR$46,332&lt;=$NS$46),IF($NP$46="Single_Point",IF(332=$NR$46,$NN$46,0),IF($NP$46="Bell_Curve",$NN$46*(332-$NR$46+1)*($NS$46-332+1)/$NU$46,$NN$46/$NT$46)),0)</f>
        <v/>
      </c>
      <c r="LY46" s="402">
        <f>IF(AND(333&gt;=$NR$46,333&lt;=$NS$46),IF($NP$46="Single_Point",IF(333=$NR$46,$NN$46,0),IF($NP$46="Bell_Curve",$NN$46*(333-$NR$46+1)*($NS$46-333+1)/$NU$46,$NN$46/$NT$46)),0)</f>
        <v/>
      </c>
      <c r="LZ46" s="402">
        <f>IF(AND(334&gt;=$NR$46,334&lt;=$NS$46),IF($NP$46="Single_Point",IF(334=$NR$46,$NN$46,0),IF($NP$46="Bell_Curve",$NN$46*(334-$NR$46+1)*($NS$46-334+1)/$NU$46,$NN$46/$NT$46)),0)</f>
        <v/>
      </c>
      <c r="MA46" s="402">
        <f>IF(AND(335&gt;=$NR$46,335&lt;=$NS$46),IF($NP$46="Single_Point",IF(335=$NR$46,$NN$46,0),IF($NP$46="Bell_Curve",$NN$46*(335-$NR$46+1)*($NS$46-335+1)/$NU$46,$NN$46/$NT$46)),0)</f>
        <v/>
      </c>
      <c r="MB46" s="402">
        <f>IF(AND(336&gt;=$NR$46,336&lt;=$NS$46),IF($NP$46="Single_Point",IF(336=$NR$46,$NN$46,0),IF($NP$46="Bell_Curve",$NN$46*(336-$NR$46+1)*($NS$46-336+1)/$NU$46,$NN$46/$NT$46)),0)</f>
        <v/>
      </c>
      <c r="MC46" s="402">
        <f>IF(AND(337&gt;=$NR$46,337&lt;=$NS$46),IF($NP$46="Single_Point",IF(337=$NR$46,$NN$46,0),IF($NP$46="Bell_Curve",$NN$46*(337-$NR$46+1)*($NS$46-337+1)/$NU$46,$NN$46/$NT$46)),0)</f>
        <v/>
      </c>
      <c r="MD46" s="402">
        <f>IF(AND(338&gt;=$NR$46,338&lt;=$NS$46),IF($NP$46="Single_Point",IF(338=$NR$46,$NN$46,0),IF($NP$46="Bell_Curve",$NN$46*(338-$NR$46+1)*($NS$46-338+1)/$NU$46,$NN$46/$NT$46)),0)</f>
        <v/>
      </c>
      <c r="ME46" s="402">
        <f>IF(AND(339&gt;=$NR$46,339&lt;=$NS$46),IF($NP$46="Single_Point",IF(339=$NR$46,$NN$46,0),IF($NP$46="Bell_Curve",$NN$46*(339-$NR$46+1)*($NS$46-339+1)/$NU$46,$NN$46/$NT$46)),0)</f>
        <v/>
      </c>
      <c r="MF46" s="402">
        <f>IF(AND(340&gt;=$NR$46,340&lt;=$NS$46),IF($NP$46="Single_Point",IF(340=$NR$46,$NN$46,0),IF($NP$46="Bell_Curve",$NN$46*(340-$NR$46+1)*($NS$46-340+1)/$NU$46,$NN$46/$NT$46)),0)</f>
        <v/>
      </c>
      <c r="MG46" s="402">
        <f>IF(AND(341&gt;=$NR$46,341&lt;=$NS$46),IF($NP$46="Single_Point",IF(341=$NR$46,$NN$46,0),IF($NP$46="Bell_Curve",$NN$46*(341-$NR$46+1)*($NS$46-341+1)/$NU$46,$NN$46/$NT$46)),0)</f>
        <v/>
      </c>
      <c r="MH46" s="402">
        <f>IF(AND(342&gt;=$NR$46,342&lt;=$NS$46),IF($NP$46="Single_Point",IF(342=$NR$46,$NN$46,0),IF($NP$46="Bell_Curve",$NN$46*(342-$NR$46+1)*($NS$46-342+1)/$NU$46,$NN$46/$NT$46)),0)</f>
        <v/>
      </c>
      <c r="MI46" s="402">
        <f>IF(AND(343&gt;=$NR$46,343&lt;=$NS$46),IF($NP$46="Single_Point",IF(343=$NR$46,$NN$46,0),IF($NP$46="Bell_Curve",$NN$46*(343-$NR$46+1)*($NS$46-343+1)/$NU$46,$NN$46/$NT$46)),0)</f>
        <v/>
      </c>
      <c r="MJ46" s="402">
        <f>IF(AND(344&gt;=$NR$46,344&lt;=$NS$46),IF($NP$46="Single_Point",IF(344=$NR$46,$NN$46,0),IF($NP$46="Bell_Curve",$NN$46*(344-$NR$46+1)*($NS$46-344+1)/$NU$46,$NN$46/$NT$46)),0)</f>
        <v/>
      </c>
      <c r="MK46" s="402">
        <f>IF(AND(345&gt;=$NR$46,345&lt;=$NS$46),IF($NP$46="Single_Point",IF(345=$NR$46,$NN$46,0),IF($NP$46="Bell_Curve",$NN$46*(345-$NR$46+1)*($NS$46-345+1)/$NU$46,$NN$46/$NT$46)),0)</f>
        <v/>
      </c>
      <c r="ML46" s="402">
        <f>IF(AND(346&gt;=$NR$46,346&lt;=$NS$46),IF($NP$46="Single_Point",IF(346=$NR$46,$NN$46,0),IF($NP$46="Bell_Curve",$NN$46*(346-$NR$46+1)*($NS$46-346+1)/$NU$46,$NN$46/$NT$46)),0)</f>
        <v/>
      </c>
      <c r="MM46" s="402">
        <f>IF(AND(347&gt;=$NR$46,347&lt;=$NS$46),IF($NP$46="Single_Point",IF(347=$NR$46,$NN$46,0),IF($NP$46="Bell_Curve",$NN$46*(347-$NR$46+1)*($NS$46-347+1)/$NU$46,$NN$46/$NT$46)),0)</f>
        <v/>
      </c>
      <c r="MN46" s="402">
        <f>IF(AND(348&gt;=$NR$46,348&lt;=$NS$46),IF($NP$46="Single_Point",IF(348=$NR$46,$NN$46,0),IF($NP$46="Bell_Curve",$NN$46*(348-$NR$46+1)*($NS$46-348+1)/$NU$46,$NN$46/$NT$46)),0)</f>
        <v/>
      </c>
      <c r="MO46" s="402">
        <f>IF(AND(349&gt;=$NR$46,349&lt;=$NS$46),IF($NP$46="Single_Point",IF(349=$NR$46,$NN$46,0),IF($NP$46="Bell_Curve",$NN$46*(349-$NR$46+1)*($NS$46-349+1)/$NU$46,$NN$46/$NT$46)),0)</f>
        <v/>
      </c>
      <c r="MP46" s="402">
        <f>IF(AND(350&gt;=$NR$46,350&lt;=$NS$46),IF($NP$46="Single_Point",IF(350=$NR$46,$NN$46,0),IF($NP$46="Bell_Curve",$NN$46*(350-$NR$46+1)*($NS$46-350+1)/$NU$46,$NN$46/$NT$46)),0)</f>
        <v/>
      </c>
      <c r="MQ46" s="402">
        <f>IF(AND(351&gt;=$NR$46,351&lt;=$NS$46),IF($NP$46="Single_Point",IF(351=$NR$46,$NN$46,0),IF($NP$46="Bell_Curve",$NN$46*(351-$NR$46+1)*($NS$46-351+1)/$NU$46,$NN$46/$NT$46)),0)</f>
        <v/>
      </c>
      <c r="MR46" s="402">
        <f>IF(AND(352&gt;=$NR$46,352&lt;=$NS$46),IF($NP$46="Single_Point",IF(352=$NR$46,$NN$46,0),IF($NP$46="Bell_Curve",$NN$46*(352-$NR$46+1)*($NS$46-352+1)/$NU$46,$NN$46/$NT$46)),0)</f>
        <v/>
      </c>
      <c r="MS46" s="402">
        <f>IF(AND(353&gt;=$NR$46,353&lt;=$NS$46),IF($NP$46="Single_Point",IF(353=$NR$46,$NN$46,0),IF($NP$46="Bell_Curve",$NN$46*(353-$NR$46+1)*($NS$46-353+1)/$NU$46,$NN$46/$NT$46)),0)</f>
        <v/>
      </c>
      <c r="MT46" s="402">
        <f>IF(AND(354&gt;=$NR$46,354&lt;=$NS$46),IF($NP$46="Single_Point",IF(354=$NR$46,$NN$46,0),IF($NP$46="Bell_Curve",$NN$46*(354-$NR$46+1)*($NS$46-354+1)/$NU$46,$NN$46/$NT$46)),0)</f>
        <v/>
      </c>
      <c r="MU46" s="402">
        <f>IF(AND(355&gt;=$NR$46,355&lt;=$NS$46),IF($NP$46="Single_Point",IF(355=$NR$46,$NN$46,0),IF($NP$46="Bell_Curve",$NN$46*(355-$NR$46+1)*($NS$46-355+1)/$NU$46,$NN$46/$NT$46)),0)</f>
        <v/>
      </c>
      <c r="MV46" s="402">
        <f>IF(AND(356&gt;=$NR$46,356&lt;=$NS$46),IF($NP$46="Single_Point",IF(356=$NR$46,$NN$46,0),IF($NP$46="Bell_Curve",$NN$46*(356-$NR$46+1)*($NS$46-356+1)/$NU$46,$NN$46/$NT$46)),0)</f>
        <v/>
      </c>
      <c r="MW46" s="402">
        <f>IF(AND(357&gt;=$NR$46,357&lt;=$NS$46),IF($NP$46="Single_Point",IF(357=$NR$46,$NN$46,0),IF($NP$46="Bell_Curve",$NN$46*(357-$NR$46+1)*($NS$46-357+1)/$NU$46,$NN$46/$NT$46)),0)</f>
        <v/>
      </c>
      <c r="MX46" s="402">
        <f>IF(AND(358&gt;=$NR$46,358&lt;=$NS$46),IF($NP$46="Single_Point",IF(358=$NR$46,$NN$46,0),IF($NP$46="Bell_Curve",$NN$46*(358-$NR$46+1)*($NS$46-358+1)/$NU$46,$NN$46/$NT$46)),0)</f>
        <v/>
      </c>
      <c r="MY46" s="402">
        <f>IF(AND(359&gt;=$NR$46,359&lt;=$NS$46),IF($NP$46="Single_Point",IF(359=$NR$46,$NN$46,0),IF($NP$46="Bell_Curve",$NN$46*(359-$NR$46+1)*($NS$46-359+1)/$NU$46,$NN$46/$NT$46)),0)</f>
        <v/>
      </c>
      <c r="MZ46" s="402">
        <f>IF(AND(360&gt;=$NR$46,360&lt;=$NS$46),IF($NP$46="Single_Point",IF(360=$NR$46,$NN$46,0),IF($NP$46="Bell_Curve",$NN$46*(360-$NR$46+1)*($NS$46-360+1)/$NU$46,$NN$46/$NT$46)),0)</f>
        <v/>
      </c>
      <c r="NA46" s="402">
        <f>IF(AND(361&gt;=$NR$46,361&lt;=$NS$46),IF($NP$46="Single_Point",IF(361=$NR$46,$NN$46,0),IF($NP$46="Bell_Curve",$NN$46*(361-$NR$46+1)*($NS$46-361+1)/$NU$46,$NN$46/$NT$46)),0)</f>
        <v/>
      </c>
      <c r="NB46" s="402">
        <f>IF(AND(362&gt;=$NR$46,362&lt;=$NS$46),IF($NP$46="Single_Point",IF(362=$NR$46,$NN$46,0),IF($NP$46="Bell_Curve",$NN$46*(362-$NR$46+1)*($NS$46-362+1)/$NU$46,$NN$46/$NT$46)),0)</f>
        <v/>
      </c>
      <c r="NC46" s="402">
        <f>IF(AND(363&gt;=$NR$46,363&lt;=$NS$46),IF($NP$46="Single_Point",IF(363=$NR$46,$NN$46,0),IF($NP$46="Bell_Curve",$NN$46*(363-$NR$46+1)*($NS$46-363+1)/$NU$46,$NN$46/$NT$46)),0)</f>
        <v/>
      </c>
      <c r="ND46" s="402">
        <f>IF(AND(364&gt;=$NR$46,364&lt;=$NS$46),IF($NP$46="Single_Point",IF(364=$NR$46,$NN$46,0),IF($NP$46="Bell_Curve",$NN$46*(364-$NR$46+1)*($NS$46-364+1)/$NU$46,$NN$46/$NT$46)),0)</f>
        <v/>
      </c>
      <c r="NE46" s="402">
        <f>IF(AND(365&gt;=$NR$46,365&lt;=$NS$46),IF($NP$46="Single_Point",IF(365=$NR$46,$NN$46,0),IF($NP$46="Bell_Curve",$NN$46*(365-$NR$46+1)*($NS$46-365+1)/$NU$46,$NN$46/$NT$46)),0)</f>
        <v/>
      </c>
      <c r="NF46" s="402">
        <f>IF(AND(366&gt;=$NR$46,366&lt;=$NS$46),IF($NP$46="Single_Point",IF(366=$NR$46,$NN$46,0),IF($NP$46="Bell_Curve",$NN$46*(366-$NR$46+1)*($NS$46-366+1)/$NU$46,$NN$46/$NT$46)),0)</f>
        <v/>
      </c>
      <c r="NG46" s="402">
        <f>IF(AND(367&gt;=$NR$46,367&lt;=$NS$46),IF($NP$46="Single_Point",IF(367=$NR$46,$NN$46,0),IF($NP$46="Bell_Curve",$NN$46*(367-$NR$46+1)*($NS$46-367+1)/$NU$46,$NN$46/$NT$46)),0)</f>
        <v/>
      </c>
      <c r="NH46" s="402">
        <f>IF(AND(368&gt;=$NR$46,368&lt;=$NS$46),IF($NP$46="Single_Point",IF(368=$NR$46,$NN$46,0),IF($NP$46="Bell_Curve",$NN$46*(368-$NR$46+1)*($NS$46-368+1)/$NU$46,$NN$46/$NT$46)),0)</f>
        <v/>
      </c>
      <c r="NI46" s="402">
        <f>IF(AND(369&gt;=$NR$46,369&lt;=$NS$46),IF($NP$46="Single_Point",IF(369=$NR$46,$NN$46,0),IF($NP$46="Bell_Curve",$NN$46*(369-$NR$46+1)*($NS$46-369+1)/$NU$46,$NN$46/$NT$46)),0)</f>
        <v/>
      </c>
      <c r="NJ46" s="402">
        <f>IF(AND(370&gt;=$NR$46,370&lt;=$NS$46),IF($NP$46="Single_Point",IF(370=$NR$46,$NN$46,0),IF($NP$46="Bell_Curve",$NN$46*(370-$NR$46+1)*($NS$46-370+1)/$NU$46,$NN$46/$NT$46)),0)</f>
        <v/>
      </c>
      <c r="NK46" s="402">
        <f>IF(AND(371&gt;=$NR$46,371&lt;=$NS$46),IF($NP$46="Single_Point",IF(371=$NR$46,$NN$46,0),IF($NP$46="Bell_Curve",$NN$46*(371-$NR$46+1)*($NS$46-371+1)/$NU$46,$NN$46/$NT$46)),0)</f>
        <v/>
      </c>
      <c r="NL46" s="402">
        <f>IF(AND(372&gt;=$NR$46,372&lt;=$NS$46),IF($NP$46="Single_Point",IF(372=$NR$46,$NN$46,0),IF($NP$46="Bell_Curve",$NN$46*(372-$NR$46+1)*($NS$46-372+1)/$NU$46,$NN$46/$NT$46)),0)</f>
        <v/>
      </c>
      <c r="NM46">
        <f>Budget!C45</f>
        <v/>
      </c>
      <c r="NN46">
        <f>Budget!J45</f>
        <v/>
      </c>
      <c r="NO46">
        <f>Budget!G45</f>
        <v/>
      </c>
      <c r="NP46">
        <f>Budget!H45</f>
        <v/>
      </c>
      <c r="NQ46">
        <f>Budget!I45</f>
        <v/>
      </c>
      <c r="NR46">
        <f>MAX(1,MIN(372,INDEX(MilestoneStart,MATCH(NO46,MilestoneNames,0))+NQ46))</f>
        <v/>
      </c>
      <c r="NS46">
        <f>MAX(NR46,MIN(372,INDEX(MilestoneEnd,MATCH(NO46,MilestoneNames,0))+NQ46))</f>
        <v/>
      </c>
      <c r="NT46">
        <f>NS46-NR46+1</f>
        <v/>
      </c>
      <c r="NU46">
        <f>NT46*(NT46+1)*(NT46+2)/6</f>
        <v/>
      </c>
    </row>
    <row r="47">
      <c r="B47" s="316">
        <f>Budget!B46</f>
        <v/>
      </c>
      <c r="D47" s="402">
        <f>SUM(E47:NL47)</f>
        <v/>
      </c>
      <c r="E47" s="402">
        <f>IF(AND(1&gt;=$NR$47,1&lt;=$NS$47),IF($NP$47="Single_Point",IF(1=$NR$47,$NN$47,0),IF($NP$47="Bell_Curve",$NN$47*(1-$NR$47+1)*($NS$47-1+1)/$NU$47,$NN$47/$NT$47)),0)</f>
        <v/>
      </c>
      <c r="F47" s="402">
        <f>IF(AND(2&gt;=$NR$47,2&lt;=$NS$47),IF($NP$47="Single_Point",IF(2=$NR$47,$NN$47,0),IF($NP$47="Bell_Curve",$NN$47*(2-$NR$47+1)*($NS$47-2+1)/$NU$47,$NN$47/$NT$47)),0)</f>
        <v/>
      </c>
      <c r="G47" s="402">
        <f>IF(AND(3&gt;=$NR$47,3&lt;=$NS$47),IF($NP$47="Single_Point",IF(3=$NR$47,$NN$47,0),IF($NP$47="Bell_Curve",$NN$47*(3-$NR$47+1)*($NS$47-3+1)/$NU$47,$NN$47/$NT$47)),0)</f>
        <v/>
      </c>
      <c r="H47" s="402">
        <f>IF(AND(4&gt;=$NR$47,4&lt;=$NS$47),IF($NP$47="Single_Point",IF(4=$NR$47,$NN$47,0),IF($NP$47="Bell_Curve",$NN$47*(4-$NR$47+1)*($NS$47-4+1)/$NU$47,$NN$47/$NT$47)),0)</f>
        <v/>
      </c>
      <c r="I47" s="402">
        <f>IF(AND(5&gt;=$NR$47,5&lt;=$NS$47),IF($NP$47="Single_Point",IF(5=$NR$47,$NN$47,0),IF($NP$47="Bell_Curve",$NN$47*(5-$NR$47+1)*($NS$47-5+1)/$NU$47,$NN$47/$NT$47)),0)</f>
        <v/>
      </c>
      <c r="J47" s="402">
        <f>IF(AND(6&gt;=$NR$47,6&lt;=$NS$47),IF($NP$47="Single_Point",IF(6=$NR$47,$NN$47,0),IF($NP$47="Bell_Curve",$NN$47*(6-$NR$47+1)*($NS$47-6+1)/$NU$47,$NN$47/$NT$47)),0)</f>
        <v/>
      </c>
      <c r="K47" s="402">
        <f>IF(AND(7&gt;=$NR$47,7&lt;=$NS$47),IF($NP$47="Single_Point",IF(7=$NR$47,$NN$47,0),IF($NP$47="Bell_Curve",$NN$47*(7-$NR$47+1)*($NS$47-7+1)/$NU$47,$NN$47/$NT$47)),0)</f>
        <v/>
      </c>
      <c r="L47" s="402">
        <f>IF(AND(8&gt;=$NR$47,8&lt;=$NS$47),IF($NP$47="Single_Point",IF(8=$NR$47,$NN$47,0),IF($NP$47="Bell_Curve",$NN$47*(8-$NR$47+1)*($NS$47-8+1)/$NU$47,$NN$47/$NT$47)),0)</f>
        <v/>
      </c>
      <c r="M47" s="402">
        <f>IF(AND(9&gt;=$NR$47,9&lt;=$NS$47),IF($NP$47="Single_Point",IF(9=$NR$47,$NN$47,0),IF($NP$47="Bell_Curve",$NN$47*(9-$NR$47+1)*($NS$47-9+1)/$NU$47,$NN$47/$NT$47)),0)</f>
        <v/>
      </c>
      <c r="N47" s="402">
        <f>IF(AND(10&gt;=$NR$47,10&lt;=$NS$47),IF($NP$47="Single_Point",IF(10=$NR$47,$NN$47,0),IF($NP$47="Bell_Curve",$NN$47*(10-$NR$47+1)*($NS$47-10+1)/$NU$47,$NN$47/$NT$47)),0)</f>
        <v/>
      </c>
      <c r="O47" s="402">
        <f>IF(AND(11&gt;=$NR$47,11&lt;=$NS$47),IF($NP$47="Single_Point",IF(11=$NR$47,$NN$47,0),IF($NP$47="Bell_Curve",$NN$47*(11-$NR$47+1)*($NS$47-11+1)/$NU$47,$NN$47/$NT$47)),0)</f>
        <v/>
      </c>
      <c r="P47" s="402">
        <f>IF(AND(12&gt;=$NR$47,12&lt;=$NS$47),IF($NP$47="Single_Point",IF(12=$NR$47,$NN$47,0),IF($NP$47="Bell_Curve",$NN$47*(12-$NR$47+1)*($NS$47-12+1)/$NU$47,$NN$47/$NT$47)),0)</f>
        <v/>
      </c>
      <c r="Q47" s="402">
        <f>IF(AND(13&gt;=$NR$47,13&lt;=$NS$47),IF($NP$47="Single_Point",IF(13=$NR$47,$NN$47,0),IF($NP$47="Bell_Curve",$NN$47*(13-$NR$47+1)*($NS$47-13+1)/$NU$47,$NN$47/$NT$47)),0)</f>
        <v/>
      </c>
      <c r="R47" s="402">
        <f>IF(AND(14&gt;=$NR$47,14&lt;=$NS$47),IF($NP$47="Single_Point",IF(14=$NR$47,$NN$47,0),IF($NP$47="Bell_Curve",$NN$47*(14-$NR$47+1)*($NS$47-14+1)/$NU$47,$NN$47/$NT$47)),0)</f>
        <v/>
      </c>
      <c r="S47" s="402">
        <f>IF(AND(15&gt;=$NR$47,15&lt;=$NS$47),IF($NP$47="Single_Point",IF(15=$NR$47,$NN$47,0),IF($NP$47="Bell_Curve",$NN$47*(15-$NR$47+1)*($NS$47-15+1)/$NU$47,$NN$47/$NT$47)),0)</f>
        <v/>
      </c>
      <c r="T47" s="402">
        <f>IF(AND(16&gt;=$NR$47,16&lt;=$NS$47),IF($NP$47="Single_Point",IF(16=$NR$47,$NN$47,0),IF($NP$47="Bell_Curve",$NN$47*(16-$NR$47+1)*($NS$47-16+1)/$NU$47,$NN$47/$NT$47)),0)</f>
        <v/>
      </c>
      <c r="U47" s="402">
        <f>IF(AND(17&gt;=$NR$47,17&lt;=$NS$47),IF($NP$47="Single_Point",IF(17=$NR$47,$NN$47,0),IF($NP$47="Bell_Curve",$NN$47*(17-$NR$47+1)*($NS$47-17+1)/$NU$47,$NN$47/$NT$47)),0)</f>
        <v/>
      </c>
      <c r="V47" s="402">
        <f>IF(AND(18&gt;=$NR$47,18&lt;=$NS$47),IF($NP$47="Single_Point",IF(18=$NR$47,$NN$47,0),IF($NP$47="Bell_Curve",$NN$47*(18-$NR$47+1)*($NS$47-18+1)/$NU$47,$NN$47/$NT$47)),0)</f>
        <v/>
      </c>
      <c r="W47" s="402">
        <f>IF(AND(19&gt;=$NR$47,19&lt;=$NS$47),IF($NP$47="Single_Point",IF(19=$NR$47,$NN$47,0),IF($NP$47="Bell_Curve",$NN$47*(19-$NR$47+1)*($NS$47-19+1)/$NU$47,$NN$47/$NT$47)),0)</f>
        <v/>
      </c>
      <c r="X47" s="402">
        <f>IF(AND(20&gt;=$NR$47,20&lt;=$NS$47),IF($NP$47="Single_Point",IF(20=$NR$47,$NN$47,0),IF($NP$47="Bell_Curve",$NN$47*(20-$NR$47+1)*($NS$47-20+1)/$NU$47,$NN$47/$NT$47)),0)</f>
        <v/>
      </c>
      <c r="Y47" s="402">
        <f>IF(AND(21&gt;=$NR$47,21&lt;=$NS$47),IF($NP$47="Single_Point",IF(21=$NR$47,$NN$47,0),IF($NP$47="Bell_Curve",$NN$47*(21-$NR$47+1)*($NS$47-21+1)/$NU$47,$NN$47/$NT$47)),0)</f>
        <v/>
      </c>
      <c r="Z47" s="402">
        <f>IF(AND(22&gt;=$NR$47,22&lt;=$NS$47),IF($NP$47="Single_Point",IF(22=$NR$47,$NN$47,0),IF($NP$47="Bell_Curve",$NN$47*(22-$NR$47+1)*($NS$47-22+1)/$NU$47,$NN$47/$NT$47)),0)</f>
        <v/>
      </c>
      <c r="AA47" s="402">
        <f>IF(AND(23&gt;=$NR$47,23&lt;=$NS$47),IF($NP$47="Single_Point",IF(23=$NR$47,$NN$47,0),IF($NP$47="Bell_Curve",$NN$47*(23-$NR$47+1)*($NS$47-23+1)/$NU$47,$NN$47/$NT$47)),0)</f>
        <v/>
      </c>
      <c r="AB47" s="402">
        <f>IF(AND(24&gt;=$NR$47,24&lt;=$NS$47),IF($NP$47="Single_Point",IF(24=$NR$47,$NN$47,0),IF($NP$47="Bell_Curve",$NN$47*(24-$NR$47+1)*($NS$47-24+1)/$NU$47,$NN$47/$NT$47)),0)</f>
        <v/>
      </c>
      <c r="AC47" s="402">
        <f>IF(AND(25&gt;=$NR$47,25&lt;=$NS$47),IF($NP$47="Single_Point",IF(25=$NR$47,$NN$47,0),IF($NP$47="Bell_Curve",$NN$47*(25-$NR$47+1)*($NS$47-25+1)/$NU$47,$NN$47/$NT$47)),0)</f>
        <v/>
      </c>
      <c r="AD47" s="402">
        <f>IF(AND(26&gt;=$NR$47,26&lt;=$NS$47),IF($NP$47="Single_Point",IF(26=$NR$47,$NN$47,0),IF($NP$47="Bell_Curve",$NN$47*(26-$NR$47+1)*($NS$47-26+1)/$NU$47,$NN$47/$NT$47)),0)</f>
        <v/>
      </c>
      <c r="AE47" s="402">
        <f>IF(AND(27&gt;=$NR$47,27&lt;=$NS$47),IF($NP$47="Single_Point",IF(27=$NR$47,$NN$47,0),IF($NP$47="Bell_Curve",$NN$47*(27-$NR$47+1)*($NS$47-27+1)/$NU$47,$NN$47/$NT$47)),0)</f>
        <v/>
      </c>
      <c r="AF47" s="402">
        <f>IF(AND(28&gt;=$NR$47,28&lt;=$NS$47),IF($NP$47="Single_Point",IF(28=$NR$47,$NN$47,0),IF($NP$47="Bell_Curve",$NN$47*(28-$NR$47+1)*($NS$47-28+1)/$NU$47,$NN$47/$NT$47)),0)</f>
        <v/>
      </c>
      <c r="AG47" s="402">
        <f>IF(AND(29&gt;=$NR$47,29&lt;=$NS$47),IF($NP$47="Single_Point",IF(29=$NR$47,$NN$47,0),IF($NP$47="Bell_Curve",$NN$47*(29-$NR$47+1)*($NS$47-29+1)/$NU$47,$NN$47/$NT$47)),0)</f>
        <v/>
      </c>
      <c r="AH47" s="402">
        <f>IF(AND(30&gt;=$NR$47,30&lt;=$NS$47),IF($NP$47="Single_Point",IF(30=$NR$47,$NN$47,0),IF($NP$47="Bell_Curve",$NN$47*(30-$NR$47+1)*($NS$47-30+1)/$NU$47,$NN$47/$NT$47)),0)</f>
        <v/>
      </c>
      <c r="AI47" s="402">
        <f>IF(AND(31&gt;=$NR$47,31&lt;=$NS$47),IF($NP$47="Single_Point",IF(31=$NR$47,$NN$47,0),IF($NP$47="Bell_Curve",$NN$47*(31-$NR$47+1)*($NS$47-31+1)/$NU$47,$NN$47/$NT$47)),0)</f>
        <v/>
      </c>
      <c r="AJ47" s="402">
        <f>IF(AND(32&gt;=$NR$47,32&lt;=$NS$47),IF($NP$47="Single_Point",IF(32=$NR$47,$NN$47,0),IF($NP$47="Bell_Curve",$NN$47*(32-$NR$47+1)*($NS$47-32+1)/$NU$47,$NN$47/$NT$47)),0)</f>
        <v/>
      </c>
      <c r="AK47" s="402">
        <f>IF(AND(33&gt;=$NR$47,33&lt;=$NS$47),IF($NP$47="Single_Point",IF(33=$NR$47,$NN$47,0),IF($NP$47="Bell_Curve",$NN$47*(33-$NR$47+1)*($NS$47-33+1)/$NU$47,$NN$47/$NT$47)),0)</f>
        <v/>
      </c>
      <c r="AL47" s="402">
        <f>IF(AND(34&gt;=$NR$47,34&lt;=$NS$47),IF($NP$47="Single_Point",IF(34=$NR$47,$NN$47,0),IF($NP$47="Bell_Curve",$NN$47*(34-$NR$47+1)*($NS$47-34+1)/$NU$47,$NN$47/$NT$47)),0)</f>
        <v/>
      </c>
      <c r="AM47" s="402">
        <f>IF(AND(35&gt;=$NR$47,35&lt;=$NS$47),IF($NP$47="Single_Point",IF(35=$NR$47,$NN$47,0),IF($NP$47="Bell_Curve",$NN$47*(35-$NR$47+1)*($NS$47-35+1)/$NU$47,$NN$47/$NT$47)),0)</f>
        <v/>
      </c>
      <c r="AN47" s="402">
        <f>IF(AND(36&gt;=$NR$47,36&lt;=$NS$47),IF($NP$47="Single_Point",IF(36=$NR$47,$NN$47,0),IF($NP$47="Bell_Curve",$NN$47*(36-$NR$47+1)*($NS$47-36+1)/$NU$47,$NN$47/$NT$47)),0)</f>
        <v/>
      </c>
      <c r="AO47" s="402">
        <f>IF(AND(37&gt;=$NR$47,37&lt;=$NS$47),IF($NP$47="Single_Point",IF(37=$NR$47,$NN$47,0),IF($NP$47="Bell_Curve",$NN$47*(37-$NR$47+1)*($NS$47-37+1)/$NU$47,$NN$47/$NT$47)),0)</f>
        <v/>
      </c>
      <c r="AP47" s="402">
        <f>IF(AND(38&gt;=$NR$47,38&lt;=$NS$47),IF($NP$47="Single_Point",IF(38=$NR$47,$NN$47,0),IF($NP$47="Bell_Curve",$NN$47*(38-$NR$47+1)*($NS$47-38+1)/$NU$47,$NN$47/$NT$47)),0)</f>
        <v/>
      </c>
      <c r="AQ47" s="402">
        <f>IF(AND(39&gt;=$NR$47,39&lt;=$NS$47),IF($NP$47="Single_Point",IF(39=$NR$47,$NN$47,0),IF($NP$47="Bell_Curve",$NN$47*(39-$NR$47+1)*($NS$47-39+1)/$NU$47,$NN$47/$NT$47)),0)</f>
        <v/>
      </c>
      <c r="AR47" s="402">
        <f>IF(AND(40&gt;=$NR$47,40&lt;=$NS$47),IF($NP$47="Single_Point",IF(40=$NR$47,$NN$47,0),IF($NP$47="Bell_Curve",$NN$47*(40-$NR$47+1)*($NS$47-40+1)/$NU$47,$NN$47/$NT$47)),0)</f>
        <v/>
      </c>
      <c r="AS47" s="402">
        <f>IF(AND(41&gt;=$NR$47,41&lt;=$NS$47),IF($NP$47="Single_Point",IF(41=$NR$47,$NN$47,0),IF($NP$47="Bell_Curve",$NN$47*(41-$NR$47+1)*($NS$47-41+1)/$NU$47,$NN$47/$NT$47)),0)</f>
        <v/>
      </c>
      <c r="AT47" s="402">
        <f>IF(AND(42&gt;=$NR$47,42&lt;=$NS$47),IF($NP$47="Single_Point",IF(42=$NR$47,$NN$47,0),IF($NP$47="Bell_Curve",$NN$47*(42-$NR$47+1)*($NS$47-42+1)/$NU$47,$NN$47/$NT$47)),0)</f>
        <v/>
      </c>
      <c r="AU47" s="402">
        <f>IF(AND(43&gt;=$NR$47,43&lt;=$NS$47),IF($NP$47="Single_Point",IF(43=$NR$47,$NN$47,0),IF($NP$47="Bell_Curve",$NN$47*(43-$NR$47+1)*($NS$47-43+1)/$NU$47,$NN$47/$NT$47)),0)</f>
        <v/>
      </c>
      <c r="AV47" s="402">
        <f>IF(AND(44&gt;=$NR$47,44&lt;=$NS$47),IF($NP$47="Single_Point",IF(44=$NR$47,$NN$47,0),IF($NP$47="Bell_Curve",$NN$47*(44-$NR$47+1)*($NS$47-44+1)/$NU$47,$NN$47/$NT$47)),0)</f>
        <v/>
      </c>
      <c r="AW47" s="402">
        <f>IF(AND(45&gt;=$NR$47,45&lt;=$NS$47),IF($NP$47="Single_Point",IF(45=$NR$47,$NN$47,0),IF($NP$47="Bell_Curve",$NN$47*(45-$NR$47+1)*($NS$47-45+1)/$NU$47,$NN$47/$NT$47)),0)</f>
        <v/>
      </c>
      <c r="AX47" s="402">
        <f>IF(AND(46&gt;=$NR$47,46&lt;=$NS$47),IF($NP$47="Single_Point",IF(46=$NR$47,$NN$47,0),IF($NP$47="Bell_Curve",$NN$47*(46-$NR$47+1)*($NS$47-46+1)/$NU$47,$NN$47/$NT$47)),0)</f>
        <v/>
      </c>
      <c r="AY47" s="402">
        <f>IF(AND(47&gt;=$NR$47,47&lt;=$NS$47),IF($NP$47="Single_Point",IF(47=$NR$47,$NN$47,0),IF($NP$47="Bell_Curve",$NN$47*(47-$NR$47+1)*($NS$47-47+1)/$NU$47,$NN$47/$NT$47)),0)</f>
        <v/>
      </c>
      <c r="AZ47" s="402">
        <f>IF(AND(48&gt;=$NR$47,48&lt;=$NS$47),IF($NP$47="Single_Point",IF(48=$NR$47,$NN$47,0),IF($NP$47="Bell_Curve",$NN$47*(48-$NR$47+1)*($NS$47-48+1)/$NU$47,$NN$47/$NT$47)),0)</f>
        <v/>
      </c>
      <c r="BA47" s="402">
        <f>IF(AND(49&gt;=$NR$47,49&lt;=$NS$47),IF($NP$47="Single_Point",IF(49=$NR$47,$NN$47,0),IF($NP$47="Bell_Curve",$NN$47*(49-$NR$47+1)*($NS$47-49+1)/$NU$47,$NN$47/$NT$47)),0)</f>
        <v/>
      </c>
      <c r="BB47" s="402">
        <f>IF(AND(50&gt;=$NR$47,50&lt;=$NS$47),IF($NP$47="Single_Point",IF(50=$NR$47,$NN$47,0),IF($NP$47="Bell_Curve",$NN$47*(50-$NR$47+1)*($NS$47-50+1)/$NU$47,$NN$47/$NT$47)),0)</f>
        <v/>
      </c>
      <c r="BC47" s="402">
        <f>IF(AND(51&gt;=$NR$47,51&lt;=$NS$47),IF($NP$47="Single_Point",IF(51=$NR$47,$NN$47,0),IF($NP$47="Bell_Curve",$NN$47*(51-$NR$47+1)*($NS$47-51+1)/$NU$47,$NN$47/$NT$47)),0)</f>
        <v/>
      </c>
      <c r="BD47" s="402">
        <f>IF(AND(52&gt;=$NR$47,52&lt;=$NS$47),IF($NP$47="Single_Point",IF(52=$NR$47,$NN$47,0),IF($NP$47="Bell_Curve",$NN$47*(52-$NR$47+1)*($NS$47-52+1)/$NU$47,$NN$47/$NT$47)),0)</f>
        <v/>
      </c>
      <c r="BE47" s="402">
        <f>IF(AND(53&gt;=$NR$47,53&lt;=$NS$47),IF($NP$47="Single_Point",IF(53=$NR$47,$NN$47,0),IF($NP$47="Bell_Curve",$NN$47*(53-$NR$47+1)*($NS$47-53+1)/$NU$47,$NN$47/$NT$47)),0)</f>
        <v/>
      </c>
      <c r="BF47" s="402">
        <f>IF(AND(54&gt;=$NR$47,54&lt;=$NS$47),IF($NP$47="Single_Point",IF(54=$NR$47,$NN$47,0),IF($NP$47="Bell_Curve",$NN$47*(54-$NR$47+1)*($NS$47-54+1)/$NU$47,$NN$47/$NT$47)),0)</f>
        <v/>
      </c>
      <c r="BG47" s="402">
        <f>IF(AND(55&gt;=$NR$47,55&lt;=$NS$47),IF($NP$47="Single_Point",IF(55=$NR$47,$NN$47,0),IF($NP$47="Bell_Curve",$NN$47*(55-$NR$47+1)*($NS$47-55+1)/$NU$47,$NN$47/$NT$47)),0)</f>
        <v/>
      </c>
      <c r="BH47" s="402">
        <f>IF(AND(56&gt;=$NR$47,56&lt;=$NS$47),IF($NP$47="Single_Point",IF(56=$NR$47,$NN$47,0),IF($NP$47="Bell_Curve",$NN$47*(56-$NR$47+1)*($NS$47-56+1)/$NU$47,$NN$47/$NT$47)),0)</f>
        <v/>
      </c>
      <c r="BI47" s="402">
        <f>IF(AND(57&gt;=$NR$47,57&lt;=$NS$47),IF($NP$47="Single_Point",IF(57=$NR$47,$NN$47,0),IF($NP$47="Bell_Curve",$NN$47*(57-$NR$47+1)*($NS$47-57+1)/$NU$47,$NN$47/$NT$47)),0)</f>
        <v/>
      </c>
      <c r="BJ47" s="402">
        <f>IF(AND(58&gt;=$NR$47,58&lt;=$NS$47),IF($NP$47="Single_Point",IF(58=$NR$47,$NN$47,0),IF($NP$47="Bell_Curve",$NN$47*(58-$NR$47+1)*($NS$47-58+1)/$NU$47,$NN$47/$NT$47)),0)</f>
        <v/>
      </c>
      <c r="BK47" s="402">
        <f>IF(AND(59&gt;=$NR$47,59&lt;=$NS$47),IF($NP$47="Single_Point",IF(59=$NR$47,$NN$47,0),IF($NP$47="Bell_Curve",$NN$47*(59-$NR$47+1)*($NS$47-59+1)/$NU$47,$NN$47/$NT$47)),0)</f>
        <v/>
      </c>
      <c r="BL47" s="402">
        <f>IF(AND(60&gt;=$NR$47,60&lt;=$NS$47),IF($NP$47="Single_Point",IF(60=$NR$47,$NN$47,0),IF($NP$47="Bell_Curve",$NN$47*(60-$NR$47+1)*($NS$47-60+1)/$NU$47,$NN$47/$NT$47)),0)</f>
        <v/>
      </c>
      <c r="BM47" s="402">
        <f>IF(AND(61&gt;=$NR$47,61&lt;=$NS$47),IF($NP$47="Single_Point",IF(61=$NR$47,$NN$47,0),IF($NP$47="Bell_Curve",$NN$47*(61-$NR$47+1)*($NS$47-61+1)/$NU$47,$NN$47/$NT$47)),0)</f>
        <v/>
      </c>
      <c r="BN47" s="402">
        <f>IF(AND(62&gt;=$NR$47,62&lt;=$NS$47),IF($NP$47="Single_Point",IF(62=$NR$47,$NN$47,0),IF($NP$47="Bell_Curve",$NN$47*(62-$NR$47+1)*($NS$47-62+1)/$NU$47,$NN$47/$NT$47)),0)</f>
        <v/>
      </c>
      <c r="BO47" s="402">
        <f>IF(AND(63&gt;=$NR$47,63&lt;=$NS$47),IF($NP$47="Single_Point",IF(63=$NR$47,$NN$47,0),IF($NP$47="Bell_Curve",$NN$47*(63-$NR$47+1)*($NS$47-63+1)/$NU$47,$NN$47/$NT$47)),0)</f>
        <v/>
      </c>
      <c r="BP47" s="402">
        <f>IF(AND(64&gt;=$NR$47,64&lt;=$NS$47),IF($NP$47="Single_Point",IF(64=$NR$47,$NN$47,0),IF($NP$47="Bell_Curve",$NN$47*(64-$NR$47+1)*($NS$47-64+1)/$NU$47,$NN$47/$NT$47)),0)</f>
        <v/>
      </c>
      <c r="BQ47" s="402">
        <f>IF(AND(65&gt;=$NR$47,65&lt;=$NS$47),IF($NP$47="Single_Point",IF(65=$NR$47,$NN$47,0),IF($NP$47="Bell_Curve",$NN$47*(65-$NR$47+1)*($NS$47-65+1)/$NU$47,$NN$47/$NT$47)),0)</f>
        <v/>
      </c>
      <c r="BR47" s="402">
        <f>IF(AND(66&gt;=$NR$47,66&lt;=$NS$47),IF($NP$47="Single_Point",IF(66=$NR$47,$NN$47,0),IF($NP$47="Bell_Curve",$NN$47*(66-$NR$47+1)*($NS$47-66+1)/$NU$47,$NN$47/$NT$47)),0)</f>
        <v/>
      </c>
      <c r="BS47" s="402">
        <f>IF(AND(67&gt;=$NR$47,67&lt;=$NS$47),IF($NP$47="Single_Point",IF(67=$NR$47,$NN$47,0),IF($NP$47="Bell_Curve",$NN$47*(67-$NR$47+1)*($NS$47-67+1)/$NU$47,$NN$47/$NT$47)),0)</f>
        <v/>
      </c>
      <c r="BT47" s="402">
        <f>IF(AND(68&gt;=$NR$47,68&lt;=$NS$47),IF($NP$47="Single_Point",IF(68=$NR$47,$NN$47,0),IF($NP$47="Bell_Curve",$NN$47*(68-$NR$47+1)*($NS$47-68+1)/$NU$47,$NN$47/$NT$47)),0)</f>
        <v/>
      </c>
      <c r="BU47" s="402">
        <f>IF(AND(69&gt;=$NR$47,69&lt;=$NS$47),IF($NP$47="Single_Point",IF(69=$NR$47,$NN$47,0),IF($NP$47="Bell_Curve",$NN$47*(69-$NR$47+1)*($NS$47-69+1)/$NU$47,$NN$47/$NT$47)),0)</f>
        <v/>
      </c>
      <c r="BV47" s="402">
        <f>IF(AND(70&gt;=$NR$47,70&lt;=$NS$47),IF($NP$47="Single_Point",IF(70=$NR$47,$NN$47,0),IF($NP$47="Bell_Curve",$NN$47*(70-$NR$47+1)*($NS$47-70+1)/$NU$47,$NN$47/$NT$47)),0)</f>
        <v/>
      </c>
      <c r="BW47" s="402">
        <f>IF(AND(71&gt;=$NR$47,71&lt;=$NS$47),IF($NP$47="Single_Point",IF(71=$NR$47,$NN$47,0),IF($NP$47="Bell_Curve",$NN$47*(71-$NR$47+1)*($NS$47-71+1)/$NU$47,$NN$47/$NT$47)),0)</f>
        <v/>
      </c>
      <c r="BX47" s="402">
        <f>IF(AND(72&gt;=$NR$47,72&lt;=$NS$47),IF($NP$47="Single_Point",IF(72=$NR$47,$NN$47,0),IF($NP$47="Bell_Curve",$NN$47*(72-$NR$47+1)*($NS$47-72+1)/$NU$47,$NN$47/$NT$47)),0)</f>
        <v/>
      </c>
      <c r="BY47" s="402">
        <f>IF(AND(73&gt;=$NR$47,73&lt;=$NS$47),IF($NP$47="Single_Point",IF(73=$NR$47,$NN$47,0),IF($NP$47="Bell_Curve",$NN$47*(73-$NR$47+1)*($NS$47-73+1)/$NU$47,$NN$47/$NT$47)),0)</f>
        <v/>
      </c>
      <c r="BZ47" s="402">
        <f>IF(AND(74&gt;=$NR$47,74&lt;=$NS$47),IF($NP$47="Single_Point",IF(74=$NR$47,$NN$47,0),IF($NP$47="Bell_Curve",$NN$47*(74-$NR$47+1)*($NS$47-74+1)/$NU$47,$NN$47/$NT$47)),0)</f>
        <v/>
      </c>
      <c r="CA47" s="402">
        <f>IF(AND(75&gt;=$NR$47,75&lt;=$NS$47),IF($NP$47="Single_Point",IF(75=$NR$47,$NN$47,0),IF($NP$47="Bell_Curve",$NN$47*(75-$NR$47+1)*($NS$47-75+1)/$NU$47,$NN$47/$NT$47)),0)</f>
        <v/>
      </c>
      <c r="CB47" s="402">
        <f>IF(AND(76&gt;=$NR$47,76&lt;=$NS$47),IF($NP$47="Single_Point",IF(76=$NR$47,$NN$47,0),IF($NP$47="Bell_Curve",$NN$47*(76-$NR$47+1)*($NS$47-76+1)/$NU$47,$NN$47/$NT$47)),0)</f>
        <v/>
      </c>
      <c r="CC47" s="402">
        <f>IF(AND(77&gt;=$NR$47,77&lt;=$NS$47),IF($NP$47="Single_Point",IF(77=$NR$47,$NN$47,0),IF($NP$47="Bell_Curve",$NN$47*(77-$NR$47+1)*($NS$47-77+1)/$NU$47,$NN$47/$NT$47)),0)</f>
        <v/>
      </c>
      <c r="CD47" s="402">
        <f>IF(AND(78&gt;=$NR$47,78&lt;=$NS$47),IF($NP$47="Single_Point",IF(78=$NR$47,$NN$47,0),IF($NP$47="Bell_Curve",$NN$47*(78-$NR$47+1)*($NS$47-78+1)/$NU$47,$NN$47/$NT$47)),0)</f>
        <v/>
      </c>
      <c r="CE47" s="402">
        <f>IF(AND(79&gt;=$NR$47,79&lt;=$NS$47),IF($NP$47="Single_Point",IF(79=$NR$47,$NN$47,0),IF($NP$47="Bell_Curve",$NN$47*(79-$NR$47+1)*($NS$47-79+1)/$NU$47,$NN$47/$NT$47)),0)</f>
        <v/>
      </c>
      <c r="CF47" s="402">
        <f>IF(AND(80&gt;=$NR$47,80&lt;=$NS$47),IF($NP$47="Single_Point",IF(80=$NR$47,$NN$47,0),IF($NP$47="Bell_Curve",$NN$47*(80-$NR$47+1)*($NS$47-80+1)/$NU$47,$NN$47/$NT$47)),0)</f>
        <v/>
      </c>
      <c r="CG47" s="402">
        <f>IF(AND(81&gt;=$NR$47,81&lt;=$NS$47),IF($NP$47="Single_Point",IF(81=$NR$47,$NN$47,0),IF($NP$47="Bell_Curve",$NN$47*(81-$NR$47+1)*($NS$47-81+1)/$NU$47,$NN$47/$NT$47)),0)</f>
        <v/>
      </c>
      <c r="CH47" s="402">
        <f>IF(AND(82&gt;=$NR$47,82&lt;=$NS$47),IF($NP$47="Single_Point",IF(82=$NR$47,$NN$47,0),IF($NP$47="Bell_Curve",$NN$47*(82-$NR$47+1)*($NS$47-82+1)/$NU$47,$NN$47/$NT$47)),0)</f>
        <v/>
      </c>
      <c r="CI47" s="402">
        <f>IF(AND(83&gt;=$NR$47,83&lt;=$NS$47),IF($NP$47="Single_Point",IF(83=$NR$47,$NN$47,0),IF($NP$47="Bell_Curve",$NN$47*(83-$NR$47+1)*($NS$47-83+1)/$NU$47,$NN$47/$NT$47)),0)</f>
        <v/>
      </c>
      <c r="CJ47" s="402">
        <f>IF(AND(84&gt;=$NR$47,84&lt;=$NS$47),IF($NP$47="Single_Point",IF(84=$NR$47,$NN$47,0),IF($NP$47="Bell_Curve",$NN$47*(84-$NR$47+1)*($NS$47-84+1)/$NU$47,$NN$47/$NT$47)),0)</f>
        <v/>
      </c>
      <c r="CK47" s="402">
        <f>IF(AND(85&gt;=$NR$47,85&lt;=$NS$47),IF($NP$47="Single_Point",IF(85=$NR$47,$NN$47,0),IF($NP$47="Bell_Curve",$NN$47*(85-$NR$47+1)*($NS$47-85+1)/$NU$47,$NN$47/$NT$47)),0)</f>
        <v/>
      </c>
      <c r="CL47" s="402">
        <f>IF(AND(86&gt;=$NR$47,86&lt;=$NS$47),IF($NP$47="Single_Point",IF(86=$NR$47,$NN$47,0),IF($NP$47="Bell_Curve",$NN$47*(86-$NR$47+1)*($NS$47-86+1)/$NU$47,$NN$47/$NT$47)),0)</f>
        <v/>
      </c>
      <c r="CM47" s="402">
        <f>IF(AND(87&gt;=$NR$47,87&lt;=$NS$47),IF($NP$47="Single_Point",IF(87=$NR$47,$NN$47,0),IF($NP$47="Bell_Curve",$NN$47*(87-$NR$47+1)*($NS$47-87+1)/$NU$47,$NN$47/$NT$47)),0)</f>
        <v/>
      </c>
      <c r="CN47" s="402">
        <f>IF(AND(88&gt;=$NR$47,88&lt;=$NS$47),IF($NP$47="Single_Point",IF(88=$NR$47,$NN$47,0),IF($NP$47="Bell_Curve",$NN$47*(88-$NR$47+1)*($NS$47-88+1)/$NU$47,$NN$47/$NT$47)),0)</f>
        <v/>
      </c>
      <c r="CO47" s="402">
        <f>IF(AND(89&gt;=$NR$47,89&lt;=$NS$47),IF($NP$47="Single_Point",IF(89=$NR$47,$NN$47,0),IF($NP$47="Bell_Curve",$NN$47*(89-$NR$47+1)*($NS$47-89+1)/$NU$47,$NN$47/$NT$47)),0)</f>
        <v/>
      </c>
      <c r="CP47" s="402">
        <f>IF(AND(90&gt;=$NR$47,90&lt;=$NS$47),IF($NP$47="Single_Point",IF(90=$NR$47,$NN$47,0),IF($NP$47="Bell_Curve",$NN$47*(90-$NR$47+1)*($NS$47-90+1)/$NU$47,$NN$47/$NT$47)),0)</f>
        <v/>
      </c>
      <c r="CQ47" s="402">
        <f>IF(AND(91&gt;=$NR$47,91&lt;=$NS$47),IF($NP$47="Single_Point",IF(91=$NR$47,$NN$47,0),IF($NP$47="Bell_Curve",$NN$47*(91-$NR$47+1)*($NS$47-91+1)/$NU$47,$NN$47/$NT$47)),0)</f>
        <v/>
      </c>
      <c r="CR47" s="402">
        <f>IF(AND(92&gt;=$NR$47,92&lt;=$NS$47),IF($NP$47="Single_Point",IF(92=$NR$47,$NN$47,0),IF($NP$47="Bell_Curve",$NN$47*(92-$NR$47+1)*($NS$47-92+1)/$NU$47,$NN$47/$NT$47)),0)</f>
        <v/>
      </c>
      <c r="CS47" s="402">
        <f>IF(AND(93&gt;=$NR$47,93&lt;=$NS$47),IF($NP$47="Single_Point",IF(93=$NR$47,$NN$47,0),IF($NP$47="Bell_Curve",$NN$47*(93-$NR$47+1)*($NS$47-93+1)/$NU$47,$NN$47/$NT$47)),0)</f>
        <v/>
      </c>
      <c r="CT47" s="402">
        <f>IF(AND(94&gt;=$NR$47,94&lt;=$NS$47),IF($NP$47="Single_Point",IF(94=$NR$47,$NN$47,0),IF($NP$47="Bell_Curve",$NN$47*(94-$NR$47+1)*($NS$47-94+1)/$NU$47,$NN$47/$NT$47)),0)</f>
        <v/>
      </c>
      <c r="CU47" s="402">
        <f>IF(AND(95&gt;=$NR$47,95&lt;=$NS$47),IF($NP$47="Single_Point",IF(95=$NR$47,$NN$47,0),IF($NP$47="Bell_Curve",$NN$47*(95-$NR$47+1)*($NS$47-95+1)/$NU$47,$NN$47/$NT$47)),0)</f>
        <v/>
      </c>
      <c r="CV47" s="402">
        <f>IF(AND(96&gt;=$NR$47,96&lt;=$NS$47),IF($NP$47="Single_Point",IF(96=$NR$47,$NN$47,0),IF($NP$47="Bell_Curve",$NN$47*(96-$NR$47+1)*($NS$47-96+1)/$NU$47,$NN$47/$NT$47)),0)</f>
        <v/>
      </c>
      <c r="CW47" s="402">
        <f>IF(AND(97&gt;=$NR$47,97&lt;=$NS$47),IF($NP$47="Single_Point",IF(97=$NR$47,$NN$47,0),IF($NP$47="Bell_Curve",$NN$47*(97-$NR$47+1)*($NS$47-97+1)/$NU$47,$NN$47/$NT$47)),0)</f>
        <v/>
      </c>
      <c r="CX47" s="402">
        <f>IF(AND(98&gt;=$NR$47,98&lt;=$NS$47),IF($NP$47="Single_Point",IF(98=$NR$47,$NN$47,0),IF($NP$47="Bell_Curve",$NN$47*(98-$NR$47+1)*($NS$47-98+1)/$NU$47,$NN$47/$NT$47)),0)</f>
        <v/>
      </c>
      <c r="CY47" s="402">
        <f>IF(AND(99&gt;=$NR$47,99&lt;=$NS$47),IF($NP$47="Single_Point",IF(99=$NR$47,$NN$47,0),IF($NP$47="Bell_Curve",$NN$47*(99-$NR$47+1)*($NS$47-99+1)/$NU$47,$NN$47/$NT$47)),0)</f>
        <v/>
      </c>
      <c r="CZ47" s="402">
        <f>IF(AND(100&gt;=$NR$47,100&lt;=$NS$47),IF($NP$47="Single_Point",IF(100=$NR$47,$NN$47,0),IF($NP$47="Bell_Curve",$NN$47*(100-$NR$47+1)*($NS$47-100+1)/$NU$47,$NN$47/$NT$47)),0)</f>
        <v/>
      </c>
      <c r="DA47" s="402">
        <f>IF(AND(101&gt;=$NR$47,101&lt;=$NS$47),IF($NP$47="Single_Point",IF(101=$NR$47,$NN$47,0),IF($NP$47="Bell_Curve",$NN$47*(101-$NR$47+1)*($NS$47-101+1)/$NU$47,$NN$47/$NT$47)),0)</f>
        <v/>
      </c>
      <c r="DB47" s="402">
        <f>IF(AND(102&gt;=$NR$47,102&lt;=$NS$47),IF($NP$47="Single_Point",IF(102=$NR$47,$NN$47,0),IF($NP$47="Bell_Curve",$NN$47*(102-$NR$47+1)*($NS$47-102+1)/$NU$47,$NN$47/$NT$47)),0)</f>
        <v/>
      </c>
      <c r="DC47" s="402">
        <f>IF(AND(103&gt;=$NR$47,103&lt;=$NS$47),IF($NP$47="Single_Point",IF(103=$NR$47,$NN$47,0),IF($NP$47="Bell_Curve",$NN$47*(103-$NR$47+1)*($NS$47-103+1)/$NU$47,$NN$47/$NT$47)),0)</f>
        <v/>
      </c>
      <c r="DD47" s="402">
        <f>IF(AND(104&gt;=$NR$47,104&lt;=$NS$47),IF($NP$47="Single_Point",IF(104=$NR$47,$NN$47,0),IF($NP$47="Bell_Curve",$NN$47*(104-$NR$47+1)*($NS$47-104+1)/$NU$47,$NN$47/$NT$47)),0)</f>
        <v/>
      </c>
      <c r="DE47" s="402">
        <f>IF(AND(105&gt;=$NR$47,105&lt;=$NS$47),IF($NP$47="Single_Point",IF(105=$NR$47,$NN$47,0),IF($NP$47="Bell_Curve",$NN$47*(105-$NR$47+1)*($NS$47-105+1)/$NU$47,$NN$47/$NT$47)),0)</f>
        <v/>
      </c>
      <c r="DF47" s="402">
        <f>IF(AND(106&gt;=$NR$47,106&lt;=$NS$47),IF($NP$47="Single_Point",IF(106=$NR$47,$NN$47,0),IF($NP$47="Bell_Curve",$NN$47*(106-$NR$47+1)*($NS$47-106+1)/$NU$47,$NN$47/$NT$47)),0)</f>
        <v/>
      </c>
      <c r="DG47" s="402">
        <f>IF(AND(107&gt;=$NR$47,107&lt;=$NS$47),IF($NP$47="Single_Point",IF(107=$NR$47,$NN$47,0),IF($NP$47="Bell_Curve",$NN$47*(107-$NR$47+1)*($NS$47-107+1)/$NU$47,$NN$47/$NT$47)),0)</f>
        <v/>
      </c>
      <c r="DH47" s="402">
        <f>IF(AND(108&gt;=$NR$47,108&lt;=$NS$47),IF($NP$47="Single_Point",IF(108=$NR$47,$NN$47,0),IF($NP$47="Bell_Curve",$NN$47*(108-$NR$47+1)*($NS$47-108+1)/$NU$47,$NN$47/$NT$47)),0)</f>
        <v/>
      </c>
      <c r="DI47" s="402">
        <f>IF(AND(109&gt;=$NR$47,109&lt;=$NS$47),IF($NP$47="Single_Point",IF(109=$NR$47,$NN$47,0),IF($NP$47="Bell_Curve",$NN$47*(109-$NR$47+1)*($NS$47-109+1)/$NU$47,$NN$47/$NT$47)),0)</f>
        <v/>
      </c>
      <c r="DJ47" s="402">
        <f>IF(AND(110&gt;=$NR$47,110&lt;=$NS$47),IF($NP$47="Single_Point",IF(110=$NR$47,$NN$47,0),IF($NP$47="Bell_Curve",$NN$47*(110-$NR$47+1)*($NS$47-110+1)/$NU$47,$NN$47/$NT$47)),0)</f>
        <v/>
      </c>
      <c r="DK47" s="402">
        <f>IF(AND(111&gt;=$NR$47,111&lt;=$NS$47),IF($NP$47="Single_Point",IF(111=$NR$47,$NN$47,0),IF($NP$47="Bell_Curve",$NN$47*(111-$NR$47+1)*($NS$47-111+1)/$NU$47,$NN$47/$NT$47)),0)</f>
        <v/>
      </c>
      <c r="DL47" s="402">
        <f>IF(AND(112&gt;=$NR$47,112&lt;=$NS$47),IF($NP$47="Single_Point",IF(112=$NR$47,$NN$47,0),IF($NP$47="Bell_Curve",$NN$47*(112-$NR$47+1)*($NS$47-112+1)/$NU$47,$NN$47/$NT$47)),0)</f>
        <v/>
      </c>
      <c r="DM47" s="402">
        <f>IF(AND(113&gt;=$NR$47,113&lt;=$NS$47),IF($NP$47="Single_Point",IF(113=$NR$47,$NN$47,0),IF($NP$47="Bell_Curve",$NN$47*(113-$NR$47+1)*($NS$47-113+1)/$NU$47,$NN$47/$NT$47)),0)</f>
        <v/>
      </c>
      <c r="DN47" s="402">
        <f>IF(AND(114&gt;=$NR$47,114&lt;=$NS$47),IF($NP$47="Single_Point",IF(114=$NR$47,$NN$47,0),IF($NP$47="Bell_Curve",$NN$47*(114-$NR$47+1)*($NS$47-114+1)/$NU$47,$NN$47/$NT$47)),0)</f>
        <v/>
      </c>
      <c r="DO47" s="402">
        <f>IF(AND(115&gt;=$NR$47,115&lt;=$NS$47),IF($NP$47="Single_Point",IF(115=$NR$47,$NN$47,0),IF($NP$47="Bell_Curve",$NN$47*(115-$NR$47+1)*($NS$47-115+1)/$NU$47,$NN$47/$NT$47)),0)</f>
        <v/>
      </c>
      <c r="DP47" s="402">
        <f>IF(AND(116&gt;=$NR$47,116&lt;=$NS$47),IF($NP$47="Single_Point",IF(116=$NR$47,$NN$47,0),IF($NP$47="Bell_Curve",$NN$47*(116-$NR$47+1)*($NS$47-116+1)/$NU$47,$NN$47/$NT$47)),0)</f>
        <v/>
      </c>
      <c r="DQ47" s="402">
        <f>IF(AND(117&gt;=$NR$47,117&lt;=$NS$47),IF($NP$47="Single_Point",IF(117=$NR$47,$NN$47,0),IF($NP$47="Bell_Curve",$NN$47*(117-$NR$47+1)*($NS$47-117+1)/$NU$47,$NN$47/$NT$47)),0)</f>
        <v/>
      </c>
      <c r="DR47" s="402">
        <f>IF(AND(118&gt;=$NR$47,118&lt;=$NS$47),IF($NP$47="Single_Point",IF(118=$NR$47,$NN$47,0),IF($NP$47="Bell_Curve",$NN$47*(118-$NR$47+1)*($NS$47-118+1)/$NU$47,$NN$47/$NT$47)),0)</f>
        <v/>
      </c>
      <c r="DS47" s="402">
        <f>IF(AND(119&gt;=$NR$47,119&lt;=$NS$47),IF($NP$47="Single_Point",IF(119=$NR$47,$NN$47,0),IF($NP$47="Bell_Curve",$NN$47*(119-$NR$47+1)*($NS$47-119+1)/$NU$47,$NN$47/$NT$47)),0)</f>
        <v/>
      </c>
      <c r="DT47" s="402">
        <f>IF(AND(120&gt;=$NR$47,120&lt;=$NS$47),IF($NP$47="Single_Point",IF(120=$NR$47,$NN$47,0),IF($NP$47="Bell_Curve",$NN$47*(120-$NR$47+1)*($NS$47-120+1)/$NU$47,$NN$47/$NT$47)),0)</f>
        <v/>
      </c>
      <c r="DU47" s="402">
        <f>IF(AND(121&gt;=$NR$47,121&lt;=$NS$47),IF($NP$47="Single_Point",IF(121=$NR$47,$NN$47,0),IF($NP$47="Bell_Curve",$NN$47*(121-$NR$47+1)*($NS$47-121+1)/$NU$47,$NN$47/$NT$47)),0)</f>
        <v/>
      </c>
      <c r="DV47" s="402">
        <f>IF(AND(122&gt;=$NR$47,122&lt;=$NS$47),IF($NP$47="Single_Point",IF(122=$NR$47,$NN$47,0),IF($NP$47="Bell_Curve",$NN$47*(122-$NR$47+1)*($NS$47-122+1)/$NU$47,$NN$47/$NT$47)),0)</f>
        <v/>
      </c>
      <c r="DW47" s="402">
        <f>IF(AND(123&gt;=$NR$47,123&lt;=$NS$47),IF($NP$47="Single_Point",IF(123=$NR$47,$NN$47,0),IF($NP$47="Bell_Curve",$NN$47*(123-$NR$47+1)*($NS$47-123+1)/$NU$47,$NN$47/$NT$47)),0)</f>
        <v/>
      </c>
      <c r="DX47" s="402">
        <f>IF(AND(124&gt;=$NR$47,124&lt;=$NS$47),IF($NP$47="Single_Point",IF(124=$NR$47,$NN$47,0),IF($NP$47="Bell_Curve",$NN$47*(124-$NR$47+1)*($NS$47-124+1)/$NU$47,$NN$47/$NT$47)),0)</f>
        <v/>
      </c>
      <c r="DY47" s="402">
        <f>IF(AND(125&gt;=$NR$47,125&lt;=$NS$47),IF($NP$47="Single_Point",IF(125=$NR$47,$NN$47,0),IF($NP$47="Bell_Curve",$NN$47*(125-$NR$47+1)*($NS$47-125+1)/$NU$47,$NN$47/$NT$47)),0)</f>
        <v/>
      </c>
      <c r="DZ47" s="402">
        <f>IF(AND(126&gt;=$NR$47,126&lt;=$NS$47),IF($NP$47="Single_Point",IF(126=$NR$47,$NN$47,0),IF($NP$47="Bell_Curve",$NN$47*(126-$NR$47+1)*($NS$47-126+1)/$NU$47,$NN$47/$NT$47)),0)</f>
        <v/>
      </c>
      <c r="EA47" s="402">
        <f>IF(AND(127&gt;=$NR$47,127&lt;=$NS$47),IF($NP$47="Single_Point",IF(127=$NR$47,$NN$47,0),IF($NP$47="Bell_Curve",$NN$47*(127-$NR$47+1)*($NS$47-127+1)/$NU$47,$NN$47/$NT$47)),0)</f>
        <v/>
      </c>
      <c r="EB47" s="402">
        <f>IF(AND(128&gt;=$NR$47,128&lt;=$NS$47),IF($NP$47="Single_Point",IF(128=$NR$47,$NN$47,0),IF($NP$47="Bell_Curve",$NN$47*(128-$NR$47+1)*($NS$47-128+1)/$NU$47,$NN$47/$NT$47)),0)</f>
        <v/>
      </c>
      <c r="EC47" s="402">
        <f>IF(AND(129&gt;=$NR$47,129&lt;=$NS$47),IF($NP$47="Single_Point",IF(129=$NR$47,$NN$47,0),IF($NP$47="Bell_Curve",$NN$47*(129-$NR$47+1)*($NS$47-129+1)/$NU$47,$NN$47/$NT$47)),0)</f>
        <v/>
      </c>
      <c r="ED47" s="402">
        <f>IF(AND(130&gt;=$NR$47,130&lt;=$NS$47),IF($NP$47="Single_Point",IF(130=$NR$47,$NN$47,0),IF($NP$47="Bell_Curve",$NN$47*(130-$NR$47+1)*($NS$47-130+1)/$NU$47,$NN$47/$NT$47)),0)</f>
        <v/>
      </c>
      <c r="EE47" s="402">
        <f>IF(AND(131&gt;=$NR$47,131&lt;=$NS$47),IF($NP$47="Single_Point",IF(131=$NR$47,$NN$47,0),IF($NP$47="Bell_Curve",$NN$47*(131-$NR$47+1)*($NS$47-131+1)/$NU$47,$NN$47/$NT$47)),0)</f>
        <v/>
      </c>
      <c r="EF47" s="402">
        <f>IF(AND(132&gt;=$NR$47,132&lt;=$NS$47),IF($NP$47="Single_Point",IF(132=$NR$47,$NN$47,0),IF($NP$47="Bell_Curve",$NN$47*(132-$NR$47+1)*($NS$47-132+1)/$NU$47,$NN$47/$NT$47)),0)</f>
        <v/>
      </c>
      <c r="EG47" s="402">
        <f>IF(AND(133&gt;=$NR$47,133&lt;=$NS$47),IF($NP$47="Single_Point",IF(133=$NR$47,$NN$47,0),IF($NP$47="Bell_Curve",$NN$47*(133-$NR$47+1)*($NS$47-133+1)/$NU$47,$NN$47/$NT$47)),0)</f>
        <v/>
      </c>
      <c r="EH47" s="402">
        <f>IF(AND(134&gt;=$NR$47,134&lt;=$NS$47),IF($NP$47="Single_Point",IF(134=$NR$47,$NN$47,0),IF($NP$47="Bell_Curve",$NN$47*(134-$NR$47+1)*($NS$47-134+1)/$NU$47,$NN$47/$NT$47)),0)</f>
        <v/>
      </c>
      <c r="EI47" s="402">
        <f>IF(AND(135&gt;=$NR$47,135&lt;=$NS$47),IF($NP$47="Single_Point",IF(135=$NR$47,$NN$47,0),IF($NP$47="Bell_Curve",$NN$47*(135-$NR$47+1)*($NS$47-135+1)/$NU$47,$NN$47/$NT$47)),0)</f>
        <v/>
      </c>
      <c r="EJ47" s="402">
        <f>IF(AND(136&gt;=$NR$47,136&lt;=$NS$47),IF($NP$47="Single_Point",IF(136=$NR$47,$NN$47,0),IF($NP$47="Bell_Curve",$NN$47*(136-$NR$47+1)*($NS$47-136+1)/$NU$47,$NN$47/$NT$47)),0)</f>
        <v/>
      </c>
      <c r="EK47" s="402">
        <f>IF(AND(137&gt;=$NR$47,137&lt;=$NS$47),IF($NP$47="Single_Point",IF(137=$NR$47,$NN$47,0),IF($NP$47="Bell_Curve",$NN$47*(137-$NR$47+1)*($NS$47-137+1)/$NU$47,$NN$47/$NT$47)),0)</f>
        <v/>
      </c>
      <c r="EL47" s="402">
        <f>IF(AND(138&gt;=$NR$47,138&lt;=$NS$47),IF($NP$47="Single_Point",IF(138=$NR$47,$NN$47,0),IF($NP$47="Bell_Curve",$NN$47*(138-$NR$47+1)*($NS$47-138+1)/$NU$47,$NN$47/$NT$47)),0)</f>
        <v/>
      </c>
      <c r="EM47" s="402">
        <f>IF(AND(139&gt;=$NR$47,139&lt;=$NS$47),IF($NP$47="Single_Point",IF(139=$NR$47,$NN$47,0),IF($NP$47="Bell_Curve",$NN$47*(139-$NR$47+1)*($NS$47-139+1)/$NU$47,$NN$47/$NT$47)),0)</f>
        <v/>
      </c>
      <c r="EN47" s="402">
        <f>IF(AND(140&gt;=$NR$47,140&lt;=$NS$47),IF($NP$47="Single_Point",IF(140=$NR$47,$NN$47,0),IF($NP$47="Bell_Curve",$NN$47*(140-$NR$47+1)*($NS$47-140+1)/$NU$47,$NN$47/$NT$47)),0)</f>
        <v/>
      </c>
      <c r="EO47" s="402">
        <f>IF(AND(141&gt;=$NR$47,141&lt;=$NS$47),IF($NP$47="Single_Point",IF(141=$NR$47,$NN$47,0),IF($NP$47="Bell_Curve",$NN$47*(141-$NR$47+1)*($NS$47-141+1)/$NU$47,$NN$47/$NT$47)),0)</f>
        <v/>
      </c>
      <c r="EP47" s="402">
        <f>IF(AND(142&gt;=$NR$47,142&lt;=$NS$47),IF($NP$47="Single_Point",IF(142=$NR$47,$NN$47,0),IF($NP$47="Bell_Curve",$NN$47*(142-$NR$47+1)*($NS$47-142+1)/$NU$47,$NN$47/$NT$47)),0)</f>
        <v/>
      </c>
      <c r="EQ47" s="402">
        <f>IF(AND(143&gt;=$NR$47,143&lt;=$NS$47),IF($NP$47="Single_Point",IF(143=$NR$47,$NN$47,0),IF($NP$47="Bell_Curve",$NN$47*(143-$NR$47+1)*($NS$47-143+1)/$NU$47,$NN$47/$NT$47)),0)</f>
        <v/>
      </c>
      <c r="ER47" s="402">
        <f>IF(AND(144&gt;=$NR$47,144&lt;=$NS$47),IF($NP$47="Single_Point",IF(144=$NR$47,$NN$47,0),IF($NP$47="Bell_Curve",$NN$47*(144-$NR$47+1)*($NS$47-144+1)/$NU$47,$NN$47/$NT$47)),0)</f>
        <v/>
      </c>
      <c r="ES47" s="402">
        <f>IF(AND(145&gt;=$NR$47,145&lt;=$NS$47),IF($NP$47="Single_Point",IF(145=$NR$47,$NN$47,0),IF($NP$47="Bell_Curve",$NN$47*(145-$NR$47+1)*($NS$47-145+1)/$NU$47,$NN$47/$NT$47)),0)</f>
        <v/>
      </c>
      <c r="ET47" s="402">
        <f>IF(AND(146&gt;=$NR$47,146&lt;=$NS$47),IF($NP$47="Single_Point",IF(146=$NR$47,$NN$47,0),IF($NP$47="Bell_Curve",$NN$47*(146-$NR$47+1)*($NS$47-146+1)/$NU$47,$NN$47/$NT$47)),0)</f>
        <v/>
      </c>
      <c r="EU47" s="402">
        <f>IF(AND(147&gt;=$NR$47,147&lt;=$NS$47),IF($NP$47="Single_Point",IF(147=$NR$47,$NN$47,0),IF($NP$47="Bell_Curve",$NN$47*(147-$NR$47+1)*($NS$47-147+1)/$NU$47,$NN$47/$NT$47)),0)</f>
        <v/>
      </c>
      <c r="EV47" s="402">
        <f>IF(AND(148&gt;=$NR$47,148&lt;=$NS$47),IF($NP$47="Single_Point",IF(148=$NR$47,$NN$47,0),IF($NP$47="Bell_Curve",$NN$47*(148-$NR$47+1)*($NS$47-148+1)/$NU$47,$NN$47/$NT$47)),0)</f>
        <v/>
      </c>
      <c r="EW47" s="402">
        <f>IF(AND(149&gt;=$NR$47,149&lt;=$NS$47),IF($NP$47="Single_Point",IF(149=$NR$47,$NN$47,0),IF($NP$47="Bell_Curve",$NN$47*(149-$NR$47+1)*($NS$47-149+1)/$NU$47,$NN$47/$NT$47)),0)</f>
        <v/>
      </c>
      <c r="EX47" s="402">
        <f>IF(AND(150&gt;=$NR$47,150&lt;=$NS$47),IF($NP$47="Single_Point",IF(150=$NR$47,$NN$47,0),IF($NP$47="Bell_Curve",$NN$47*(150-$NR$47+1)*($NS$47-150+1)/$NU$47,$NN$47/$NT$47)),0)</f>
        <v/>
      </c>
      <c r="EY47" s="402">
        <f>IF(AND(151&gt;=$NR$47,151&lt;=$NS$47),IF($NP$47="Single_Point",IF(151=$NR$47,$NN$47,0),IF($NP$47="Bell_Curve",$NN$47*(151-$NR$47+1)*($NS$47-151+1)/$NU$47,$NN$47/$NT$47)),0)</f>
        <v/>
      </c>
      <c r="EZ47" s="402">
        <f>IF(AND(152&gt;=$NR$47,152&lt;=$NS$47),IF($NP$47="Single_Point",IF(152=$NR$47,$NN$47,0),IF($NP$47="Bell_Curve",$NN$47*(152-$NR$47+1)*($NS$47-152+1)/$NU$47,$NN$47/$NT$47)),0)</f>
        <v/>
      </c>
      <c r="FA47" s="402">
        <f>IF(AND(153&gt;=$NR$47,153&lt;=$NS$47),IF($NP$47="Single_Point",IF(153=$NR$47,$NN$47,0),IF($NP$47="Bell_Curve",$NN$47*(153-$NR$47+1)*($NS$47-153+1)/$NU$47,$NN$47/$NT$47)),0)</f>
        <v/>
      </c>
      <c r="FB47" s="402">
        <f>IF(AND(154&gt;=$NR$47,154&lt;=$NS$47),IF($NP$47="Single_Point",IF(154=$NR$47,$NN$47,0),IF($NP$47="Bell_Curve",$NN$47*(154-$NR$47+1)*($NS$47-154+1)/$NU$47,$NN$47/$NT$47)),0)</f>
        <v/>
      </c>
      <c r="FC47" s="402">
        <f>IF(AND(155&gt;=$NR$47,155&lt;=$NS$47),IF($NP$47="Single_Point",IF(155=$NR$47,$NN$47,0),IF($NP$47="Bell_Curve",$NN$47*(155-$NR$47+1)*($NS$47-155+1)/$NU$47,$NN$47/$NT$47)),0)</f>
        <v/>
      </c>
      <c r="FD47" s="402">
        <f>IF(AND(156&gt;=$NR$47,156&lt;=$NS$47),IF($NP$47="Single_Point",IF(156=$NR$47,$NN$47,0),IF($NP$47="Bell_Curve",$NN$47*(156-$NR$47+1)*($NS$47-156+1)/$NU$47,$NN$47/$NT$47)),0)</f>
        <v/>
      </c>
      <c r="FE47" s="402">
        <f>IF(AND(157&gt;=$NR$47,157&lt;=$NS$47),IF($NP$47="Single_Point",IF(157=$NR$47,$NN$47,0),IF($NP$47="Bell_Curve",$NN$47*(157-$NR$47+1)*($NS$47-157+1)/$NU$47,$NN$47/$NT$47)),0)</f>
        <v/>
      </c>
      <c r="FF47" s="402">
        <f>IF(AND(158&gt;=$NR$47,158&lt;=$NS$47),IF($NP$47="Single_Point",IF(158=$NR$47,$NN$47,0),IF($NP$47="Bell_Curve",$NN$47*(158-$NR$47+1)*($NS$47-158+1)/$NU$47,$NN$47/$NT$47)),0)</f>
        <v/>
      </c>
      <c r="FG47" s="402">
        <f>IF(AND(159&gt;=$NR$47,159&lt;=$NS$47),IF($NP$47="Single_Point",IF(159=$NR$47,$NN$47,0),IF($NP$47="Bell_Curve",$NN$47*(159-$NR$47+1)*($NS$47-159+1)/$NU$47,$NN$47/$NT$47)),0)</f>
        <v/>
      </c>
      <c r="FH47" s="402">
        <f>IF(AND(160&gt;=$NR$47,160&lt;=$NS$47),IF($NP$47="Single_Point",IF(160=$NR$47,$NN$47,0),IF($NP$47="Bell_Curve",$NN$47*(160-$NR$47+1)*($NS$47-160+1)/$NU$47,$NN$47/$NT$47)),0)</f>
        <v/>
      </c>
      <c r="FI47" s="402">
        <f>IF(AND(161&gt;=$NR$47,161&lt;=$NS$47),IF($NP$47="Single_Point",IF(161=$NR$47,$NN$47,0),IF($NP$47="Bell_Curve",$NN$47*(161-$NR$47+1)*($NS$47-161+1)/$NU$47,$NN$47/$NT$47)),0)</f>
        <v/>
      </c>
      <c r="FJ47" s="402">
        <f>IF(AND(162&gt;=$NR$47,162&lt;=$NS$47),IF($NP$47="Single_Point",IF(162=$NR$47,$NN$47,0),IF($NP$47="Bell_Curve",$NN$47*(162-$NR$47+1)*($NS$47-162+1)/$NU$47,$NN$47/$NT$47)),0)</f>
        <v/>
      </c>
      <c r="FK47" s="402">
        <f>IF(AND(163&gt;=$NR$47,163&lt;=$NS$47),IF($NP$47="Single_Point",IF(163=$NR$47,$NN$47,0),IF($NP$47="Bell_Curve",$NN$47*(163-$NR$47+1)*($NS$47-163+1)/$NU$47,$NN$47/$NT$47)),0)</f>
        <v/>
      </c>
      <c r="FL47" s="402">
        <f>IF(AND(164&gt;=$NR$47,164&lt;=$NS$47),IF($NP$47="Single_Point",IF(164=$NR$47,$NN$47,0),IF($NP$47="Bell_Curve",$NN$47*(164-$NR$47+1)*($NS$47-164+1)/$NU$47,$NN$47/$NT$47)),0)</f>
        <v/>
      </c>
      <c r="FM47" s="402">
        <f>IF(AND(165&gt;=$NR$47,165&lt;=$NS$47),IF($NP$47="Single_Point",IF(165=$NR$47,$NN$47,0),IF($NP$47="Bell_Curve",$NN$47*(165-$NR$47+1)*($NS$47-165+1)/$NU$47,$NN$47/$NT$47)),0)</f>
        <v/>
      </c>
      <c r="FN47" s="402">
        <f>IF(AND(166&gt;=$NR$47,166&lt;=$NS$47),IF($NP$47="Single_Point",IF(166=$NR$47,$NN$47,0),IF($NP$47="Bell_Curve",$NN$47*(166-$NR$47+1)*($NS$47-166+1)/$NU$47,$NN$47/$NT$47)),0)</f>
        <v/>
      </c>
      <c r="FO47" s="402">
        <f>IF(AND(167&gt;=$NR$47,167&lt;=$NS$47),IF($NP$47="Single_Point",IF(167=$NR$47,$NN$47,0),IF($NP$47="Bell_Curve",$NN$47*(167-$NR$47+1)*($NS$47-167+1)/$NU$47,$NN$47/$NT$47)),0)</f>
        <v/>
      </c>
      <c r="FP47" s="402">
        <f>IF(AND(168&gt;=$NR$47,168&lt;=$NS$47),IF($NP$47="Single_Point",IF(168=$NR$47,$NN$47,0),IF($NP$47="Bell_Curve",$NN$47*(168-$NR$47+1)*($NS$47-168+1)/$NU$47,$NN$47/$NT$47)),0)</f>
        <v/>
      </c>
      <c r="FQ47" s="402">
        <f>IF(AND(169&gt;=$NR$47,169&lt;=$NS$47),IF($NP$47="Single_Point",IF(169=$NR$47,$NN$47,0),IF($NP$47="Bell_Curve",$NN$47*(169-$NR$47+1)*($NS$47-169+1)/$NU$47,$NN$47/$NT$47)),0)</f>
        <v/>
      </c>
      <c r="FR47" s="402">
        <f>IF(AND(170&gt;=$NR$47,170&lt;=$NS$47),IF($NP$47="Single_Point",IF(170=$NR$47,$NN$47,0),IF($NP$47="Bell_Curve",$NN$47*(170-$NR$47+1)*($NS$47-170+1)/$NU$47,$NN$47/$NT$47)),0)</f>
        <v/>
      </c>
      <c r="FS47" s="402">
        <f>IF(AND(171&gt;=$NR$47,171&lt;=$NS$47),IF($NP$47="Single_Point",IF(171=$NR$47,$NN$47,0),IF($NP$47="Bell_Curve",$NN$47*(171-$NR$47+1)*($NS$47-171+1)/$NU$47,$NN$47/$NT$47)),0)</f>
        <v/>
      </c>
      <c r="FT47" s="402">
        <f>IF(AND(172&gt;=$NR$47,172&lt;=$NS$47),IF($NP$47="Single_Point",IF(172=$NR$47,$NN$47,0),IF($NP$47="Bell_Curve",$NN$47*(172-$NR$47+1)*($NS$47-172+1)/$NU$47,$NN$47/$NT$47)),0)</f>
        <v/>
      </c>
      <c r="FU47" s="402">
        <f>IF(AND(173&gt;=$NR$47,173&lt;=$NS$47),IF($NP$47="Single_Point",IF(173=$NR$47,$NN$47,0),IF($NP$47="Bell_Curve",$NN$47*(173-$NR$47+1)*($NS$47-173+1)/$NU$47,$NN$47/$NT$47)),0)</f>
        <v/>
      </c>
      <c r="FV47" s="402">
        <f>IF(AND(174&gt;=$NR$47,174&lt;=$NS$47),IF($NP$47="Single_Point",IF(174=$NR$47,$NN$47,0),IF($NP$47="Bell_Curve",$NN$47*(174-$NR$47+1)*($NS$47-174+1)/$NU$47,$NN$47/$NT$47)),0)</f>
        <v/>
      </c>
      <c r="FW47" s="402">
        <f>IF(AND(175&gt;=$NR$47,175&lt;=$NS$47),IF($NP$47="Single_Point",IF(175=$NR$47,$NN$47,0),IF($NP$47="Bell_Curve",$NN$47*(175-$NR$47+1)*($NS$47-175+1)/$NU$47,$NN$47/$NT$47)),0)</f>
        <v/>
      </c>
      <c r="FX47" s="402">
        <f>IF(AND(176&gt;=$NR$47,176&lt;=$NS$47),IF($NP$47="Single_Point",IF(176=$NR$47,$NN$47,0),IF($NP$47="Bell_Curve",$NN$47*(176-$NR$47+1)*($NS$47-176+1)/$NU$47,$NN$47/$NT$47)),0)</f>
        <v/>
      </c>
      <c r="FY47" s="402">
        <f>IF(AND(177&gt;=$NR$47,177&lt;=$NS$47),IF($NP$47="Single_Point",IF(177=$NR$47,$NN$47,0),IF($NP$47="Bell_Curve",$NN$47*(177-$NR$47+1)*($NS$47-177+1)/$NU$47,$NN$47/$NT$47)),0)</f>
        <v/>
      </c>
      <c r="FZ47" s="402">
        <f>IF(AND(178&gt;=$NR$47,178&lt;=$NS$47),IF($NP$47="Single_Point",IF(178=$NR$47,$NN$47,0),IF($NP$47="Bell_Curve",$NN$47*(178-$NR$47+1)*($NS$47-178+1)/$NU$47,$NN$47/$NT$47)),0)</f>
        <v/>
      </c>
      <c r="GA47" s="402">
        <f>IF(AND(179&gt;=$NR$47,179&lt;=$NS$47),IF($NP$47="Single_Point",IF(179=$NR$47,$NN$47,0),IF($NP$47="Bell_Curve",$NN$47*(179-$NR$47+1)*($NS$47-179+1)/$NU$47,$NN$47/$NT$47)),0)</f>
        <v/>
      </c>
      <c r="GB47" s="402">
        <f>IF(AND(180&gt;=$NR$47,180&lt;=$NS$47),IF($NP$47="Single_Point",IF(180=$NR$47,$NN$47,0),IF($NP$47="Bell_Curve",$NN$47*(180-$NR$47+1)*($NS$47-180+1)/$NU$47,$NN$47/$NT$47)),0)</f>
        <v/>
      </c>
      <c r="GC47" s="402">
        <f>IF(AND(181&gt;=$NR$47,181&lt;=$NS$47),IF($NP$47="Single_Point",IF(181=$NR$47,$NN$47,0),IF($NP$47="Bell_Curve",$NN$47*(181-$NR$47+1)*($NS$47-181+1)/$NU$47,$NN$47/$NT$47)),0)</f>
        <v/>
      </c>
      <c r="GD47" s="402">
        <f>IF(AND(182&gt;=$NR$47,182&lt;=$NS$47),IF($NP$47="Single_Point",IF(182=$NR$47,$NN$47,0),IF($NP$47="Bell_Curve",$NN$47*(182-$NR$47+1)*($NS$47-182+1)/$NU$47,$NN$47/$NT$47)),0)</f>
        <v/>
      </c>
      <c r="GE47" s="402">
        <f>IF(AND(183&gt;=$NR$47,183&lt;=$NS$47),IF($NP$47="Single_Point",IF(183=$NR$47,$NN$47,0),IF($NP$47="Bell_Curve",$NN$47*(183-$NR$47+1)*($NS$47-183+1)/$NU$47,$NN$47/$NT$47)),0)</f>
        <v/>
      </c>
      <c r="GF47" s="402">
        <f>IF(AND(184&gt;=$NR$47,184&lt;=$NS$47),IF($NP$47="Single_Point",IF(184=$NR$47,$NN$47,0),IF($NP$47="Bell_Curve",$NN$47*(184-$NR$47+1)*($NS$47-184+1)/$NU$47,$NN$47/$NT$47)),0)</f>
        <v/>
      </c>
      <c r="GG47" s="402">
        <f>IF(AND(185&gt;=$NR$47,185&lt;=$NS$47),IF($NP$47="Single_Point",IF(185=$NR$47,$NN$47,0),IF($NP$47="Bell_Curve",$NN$47*(185-$NR$47+1)*($NS$47-185+1)/$NU$47,$NN$47/$NT$47)),0)</f>
        <v/>
      </c>
      <c r="GH47" s="402">
        <f>IF(AND(186&gt;=$NR$47,186&lt;=$NS$47),IF($NP$47="Single_Point",IF(186=$NR$47,$NN$47,0),IF($NP$47="Bell_Curve",$NN$47*(186-$NR$47+1)*($NS$47-186+1)/$NU$47,$NN$47/$NT$47)),0)</f>
        <v/>
      </c>
      <c r="GI47" s="402">
        <f>IF(AND(187&gt;=$NR$47,187&lt;=$NS$47),IF($NP$47="Single_Point",IF(187=$NR$47,$NN$47,0),IF($NP$47="Bell_Curve",$NN$47*(187-$NR$47+1)*($NS$47-187+1)/$NU$47,$NN$47/$NT$47)),0)</f>
        <v/>
      </c>
      <c r="GJ47" s="402">
        <f>IF(AND(188&gt;=$NR$47,188&lt;=$NS$47),IF($NP$47="Single_Point",IF(188=$NR$47,$NN$47,0),IF($NP$47="Bell_Curve",$NN$47*(188-$NR$47+1)*($NS$47-188+1)/$NU$47,$NN$47/$NT$47)),0)</f>
        <v/>
      </c>
      <c r="GK47" s="402">
        <f>IF(AND(189&gt;=$NR$47,189&lt;=$NS$47),IF($NP$47="Single_Point",IF(189=$NR$47,$NN$47,0),IF($NP$47="Bell_Curve",$NN$47*(189-$NR$47+1)*($NS$47-189+1)/$NU$47,$NN$47/$NT$47)),0)</f>
        <v/>
      </c>
      <c r="GL47" s="402">
        <f>IF(AND(190&gt;=$NR$47,190&lt;=$NS$47),IF($NP$47="Single_Point",IF(190=$NR$47,$NN$47,0),IF($NP$47="Bell_Curve",$NN$47*(190-$NR$47+1)*($NS$47-190+1)/$NU$47,$NN$47/$NT$47)),0)</f>
        <v/>
      </c>
      <c r="GM47" s="402">
        <f>IF(AND(191&gt;=$NR$47,191&lt;=$NS$47),IF($NP$47="Single_Point",IF(191=$NR$47,$NN$47,0),IF($NP$47="Bell_Curve",$NN$47*(191-$NR$47+1)*($NS$47-191+1)/$NU$47,$NN$47/$NT$47)),0)</f>
        <v/>
      </c>
      <c r="GN47" s="402">
        <f>IF(AND(192&gt;=$NR$47,192&lt;=$NS$47),IF($NP$47="Single_Point",IF(192=$NR$47,$NN$47,0),IF($NP$47="Bell_Curve",$NN$47*(192-$NR$47+1)*($NS$47-192+1)/$NU$47,$NN$47/$NT$47)),0)</f>
        <v/>
      </c>
      <c r="GO47" s="402">
        <f>IF(AND(193&gt;=$NR$47,193&lt;=$NS$47),IF($NP$47="Single_Point",IF(193=$NR$47,$NN$47,0),IF($NP$47="Bell_Curve",$NN$47*(193-$NR$47+1)*($NS$47-193+1)/$NU$47,$NN$47/$NT$47)),0)</f>
        <v/>
      </c>
      <c r="GP47" s="402">
        <f>IF(AND(194&gt;=$NR$47,194&lt;=$NS$47),IF($NP$47="Single_Point",IF(194=$NR$47,$NN$47,0),IF($NP$47="Bell_Curve",$NN$47*(194-$NR$47+1)*($NS$47-194+1)/$NU$47,$NN$47/$NT$47)),0)</f>
        <v/>
      </c>
      <c r="GQ47" s="402">
        <f>IF(AND(195&gt;=$NR$47,195&lt;=$NS$47),IF($NP$47="Single_Point",IF(195=$NR$47,$NN$47,0),IF($NP$47="Bell_Curve",$NN$47*(195-$NR$47+1)*($NS$47-195+1)/$NU$47,$NN$47/$NT$47)),0)</f>
        <v/>
      </c>
      <c r="GR47" s="402">
        <f>IF(AND(196&gt;=$NR$47,196&lt;=$NS$47),IF($NP$47="Single_Point",IF(196=$NR$47,$NN$47,0),IF($NP$47="Bell_Curve",$NN$47*(196-$NR$47+1)*($NS$47-196+1)/$NU$47,$NN$47/$NT$47)),0)</f>
        <v/>
      </c>
      <c r="GS47" s="402">
        <f>IF(AND(197&gt;=$NR$47,197&lt;=$NS$47),IF($NP$47="Single_Point",IF(197=$NR$47,$NN$47,0),IF($NP$47="Bell_Curve",$NN$47*(197-$NR$47+1)*($NS$47-197+1)/$NU$47,$NN$47/$NT$47)),0)</f>
        <v/>
      </c>
      <c r="GT47" s="402">
        <f>IF(AND(198&gt;=$NR$47,198&lt;=$NS$47),IF($NP$47="Single_Point",IF(198=$NR$47,$NN$47,0),IF($NP$47="Bell_Curve",$NN$47*(198-$NR$47+1)*($NS$47-198+1)/$NU$47,$NN$47/$NT$47)),0)</f>
        <v/>
      </c>
      <c r="GU47" s="402">
        <f>IF(AND(199&gt;=$NR$47,199&lt;=$NS$47),IF($NP$47="Single_Point",IF(199=$NR$47,$NN$47,0),IF($NP$47="Bell_Curve",$NN$47*(199-$NR$47+1)*($NS$47-199+1)/$NU$47,$NN$47/$NT$47)),0)</f>
        <v/>
      </c>
      <c r="GV47" s="402">
        <f>IF(AND(200&gt;=$NR$47,200&lt;=$NS$47),IF($NP$47="Single_Point",IF(200=$NR$47,$NN$47,0),IF($NP$47="Bell_Curve",$NN$47*(200-$NR$47+1)*($NS$47-200+1)/$NU$47,$NN$47/$NT$47)),0)</f>
        <v/>
      </c>
      <c r="GW47" s="402">
        <f>IF(AND(201&gt;=$NR$47,201&lt;=$NS$47),IF($NP$47="Single_Point",IF(201=$NR$47,$NN$47,0),IF($NP$47="Bell_Curve",$NN$47*(201-$NR$47+1)*($NS$47-201+1)/$NU$47,$NN$47/$NT$47)),0)</f>
        <v/>
      </c>
      <c r="GX47" s="402">
        <f>IF(AND(202&gt;=$NR$47,202&lt;=$NS$47),IF($NP$47="Single_Point",IF(202=$NR$47,$NN$47,0),IF($NP$47="Bell_Curve",$NN$47*(202-$NR$47+1)*($NS$47-202+1)/$NU$47,$NN$47/$NT$47)),0)</f>
        <v/>
      </c>
      <c r="GY47" s="402">
        <f>IF(AND(203&gt;=$NR$47,203&lt;=$NS$47),IF($NP$47="Single_Point",IF(203=$NR$47,$NN$47,0),IF($NP$47="Bell_Curve",$NN$47*(203-$NR$47+1)*($NS$47-203+1)/$NU$47,$NN$47/$NT$47)),0)</f>
        <v/>
      </c>
      <c r="GZ47" s="402">
        <f>IF(AND(204&gt;=$NR$47,204&lt;=$NS$47),IF($NP$47="Single_Point",IF(204=$NR$47,$NN$47,0),IF($NP$47="Bell_Curve",$NN$47*(204-$NR$47+1)*($NS$47-204+1)/$NU$47,$NN$47/$NT$47)),0)</f>
        <v/>
      </c>
      <c r="HA47" s="402">
        <f>IF(AND(205&gt;=$NR$47,205&lt;=$NS$47),IF($NP$47="Single_Point",IF(205=$NR$47,$NN$47,0),IF($NP$47="Bell_Curve",$NN$47*(205-$NR$47+1)*($NS$47-205+1)/$NU$47,$NN$47/$NT$47)),0)</f>
        <v/>
      </c>
      <c r="HB47" s="402">
        <f>IF(AND(206&gt;=$NR$47,206&lt;=$NS$47),IF($NP$47="Single_Point",IF(206=$NR$47,$NN$47,0),IF($NP$47="Bell_Curve",$NN$47*(206-$NR$47+1)*($NS$47-206+1)/$NU$47,$NN$47/$NT$47)),0)</f>
        <v/>
      </c>
      <c r="HC47" s="402">
        <f>IF(AND(207&gt;=$NR$47,207&lt;=$NS$47),IF($NP$47="Single_Point",IF(207=$NR$47,$NN$47,0),IF($NP$47="Bell_Curve",$NN$47*(207-$NR$47+1)*($NS$47-207+1)/$NU$47,$NN$47/$NT$47)),0)</f>
        <v/>
      </c>
      <c r="HD47" s="402">
        <f>IF(AND(208&gt;=$NR$47,208&lt;=$NS$47),IF($NP$47="Single_Point",IF(208=$NR$47,$NN$47,0),IF($NP$47="Bell_Curve",$NN$47*(208-$NR$47+1)*($NS$47-208+1)/$NU$47,$NN$47/$NT$47)),0)</f>
        <v/>
      </c>
      <c r="HE47" s="402">
        <f>IF(AND(209&gt;=$NR$47,209&lt;=$NS$47),IF($NP$47="Single_Point",IF(209=$NR$47,$NN$47,0),IF($NP$47="Bell_Curve",$NN$47*(209-$NR$47+1)*($NS$47-209+1)/$NU$47,$NN$47/$NT$47)),0)</f>
        <v/>
      </c>
      <c r="HF47" s="402">
        <f>IF(AND(210&gt;=$NR$47,210&lt;=$NS$47),IF($NP$47="Single_Point",IF(210=$NR$47,$NN$47,0),IF($NP$47="Bell_Curve",$NN$47*(210-$NR$47+1)*($NS$47-210+1)/$NU$47,$NN$47/$NT$47)),0)</f>
        <v/>
      </c>
      <c r="HG47" s="402">
        <f>IF(AND(211&gt;=$NR$47,211&lt;=$NS$47),IF($NP$47="Single_Point",IF(211=$NR$47,$NN$47,0),IF($NP$47="Bell_Curve",$NN$47*(211-$NR$47+1)*($NS$47-211+1)/$NU$47,$NN$47/$NT$47)),0)</f>
        <v/>
      </c>
      <c r="HH47" s="402">
        <f>IF(AND(212&gt;=$NR$47,212&lt;=$NS$47),IF($NP$47="Single_Point",IF(212=$NR$47,$NN$47,0),IF($NP$47="Bell_Curve",$NN$47*(212-$NR$47+1)*($NS$47-212+1)/$NU$47,$NN$47/$NT$47)),0)</f>
        <v/>
      </c>
      <c r="HI47" s="402">
        <f>IF(AND(213&gt;=$NR$47,213&lt;=$NS$47),IF($NP$47="Single_Point",IF(213=$NR$47,$NN$47,0),IF($NP$47="Bell_Curve",$NN$47*(213-$NR$47+1)*($NS$47-213+1)/$NU$47,$NN$47/$NT$47)),0)</f>
        <v/>
      </c>
      <c r="HJ47" s="402">
        <f>IF(AND(214&gt;=$NR$47,214&lt;=$NS$47),IF($NP$47="Single_Point",IF(214=$NR$47,$NN$47,0),IF($NP$47="Bell_Curve",$NN$47*(214-$NR$47+1)*($NS$47-214+1)/$NU$47,$NN$47/$NT$47)),0)</f>
        <v/>
      </c>
      <c r="HK47" s="402">
        <f>IF(AND(215&gt;=$NR$47,215&lt;=$NS$47),IF($NP$47="Single_Point",IF(215=$NR$47,$NN$47,0),IF($NP$47="Bell_Curve",$NN$47*(215-$NR$47+1)*($NS$47-215+1)/$NU$47,$NN$47/$NT$47)),0)</f>
        <v/>
      </c>
      <c r="HL47" s="402">
        <f>IF(AND(216&gt;=$NR$47,216&lt;=$NS$47),IF($NP$47="Single_Point",IF(216=$NR$47,$NN$47,0),IF($NP$47="Bell_Curve",$NN$47*(216-$NR$47+1)*($NS$47-216+1)/$NU$47,$NN$47/$NT$47)),0)</f>
        <v/>
      </c>
      <c r="HM47" s="402">
        <f>IF(AND(217&gt;=$NR$47,217&lt;=$NS$47),IF($NP$47="Single_Point",IF(217=$NR$47,$NN$47,0),IF($NP$47="Bell_Curve",$NN$47*(217-$NR$47+1)*($NS$47-217+1)/$NU$47,$NN$47/$NT$47)),0)</f>
        <v/>
      </c>
      <c r="HN47" s="402">
        <f>IF(AND(218&gt;=$NR$47,218&lt;=$NS$47),IF($NP$47="Single_Point",IF(218=$NR$47,$NN$47,0),IF($NP$47="Bell_Curve",$NN$47*(218-$NR$47+1)*($NS$47-218+1)/$NU$47,$NN$47/$NT$47)),0)</f>
        <v/>
      </c>
      <c r="HO47" s="402">
        <f>IF(AND(219&gt;=$NR$47,219&lt;=$NS$47),IF($NP$47="Single_Point",IF(219=$NR$47,$NN$47,0),IF($NP$47="Bell_Curve",$NN$47*(219-$NR$47+1)*($NS$47-219+1)/$NU$47,$NN$47/$NT$47)),0)</f>
        <v/>
      </c>
      <c r="HP47" s="402">
        <f>IF(AND(220&gt;=$NR$47,220&lt;=$NS$47),IF($NP$47="Single_Point",IF(220=$NR$47,$NN$47,0),IF($NP$47="Bell_Curve",$NN$47*(220-$NR$47+1)*($NS$47-220+1)/$NU$47,$NN$47/$NT$47)),0)</f>
        <v/>
      </c>
      <c r="HQ47" s="402">
        <f>IF(AND(221&gt;=$NR$47,221&lt;=$NS$47),IF($NP$47="Single_Point",IF(221=$NR$47,$NN$47,0),IF($NP$47="Bell_Curve",$NN$47*(221-$NR$47+1)*($NS$47-221+1)/$NU$47,$NN$47/$NT$47)),0)</f>
        <v/>
      </c>
      <c r="HR47" s="402">
        <f>IF(AND(222&gt;=$NR$47,222&lt;=$NS$47),IF($NP$47="Single_Point",IF(222=$NR$47,$NN$47,0),IF($NP$47="Bell_Curve",$NN$47*(222-$NR$47+1)*($NS$47-222+1)/$NU$47,$NN$47/$NT$47)),0)</f>
        <v/>
      </c>
      <c r="HS47" s="402">
        <f>IF(AND(223&gt;=$NR$47,223&lt;=$NS$47),IF($NP$47="Single_Point",IF(223=$NR$47,$NN$47,0),IF($NP$47="Bell_Curve",$NN$47*(223-$NR$47+1)*($NS$47-223+1)/$NU$47,$NN$47/$NT$47)),0)</f>
        <v/>
      </c>
      <c r="HT47" s="402">
        <f>IF(AND(224&gt;=$NR$47,224&lt;=$NS$47),IF($NP$47="Single_Point",IF(224=$NR$47,$NN$47,0),IF($NP$47="Bell_Curve",$NN$47*(224-$NR$47+1)*($NS$47-224+1)/$NU$47,$NN$47/$NT$47)),0)</f>
        <v/>
      </c>
      <c r="HU47" s="402">
        <f>IF(AND(225&gt;=$NR$47,225&lt;=$NS$47),IF($NP$47="Single_Point",IF(225=$NR$47,$NN$47,0),IF($NP$47="Bell_Curve",$NN$47*(225-$NR$47+1)*($NS$47-225+1)/$NU$47,$NN$47/$NT$47)),0)</f>
        <v/>
      </c>
      <c r="HV47" s="402">
        <f>IF(AND(226&gt;=$NR$47,226&lt;=$NS$47),IF($NP$47="Single_Point",IF(226=$NR$47,$NN$47,0),IF($NP$47="Bell_Curve",$NN$47*(226-$NR$47+1)*($NS$47-226+1)/$NU$47,$NN$47/$NT$47)),0)</f>
        <v/>
      </c>
      <c r="HW47" s="402">
        <f>IF(AND(227&gt;=$NR$47,227&lt;=$NS$47),IF($NP$47="Single_Point",IF(227=$NR$47,$NN$47,0),IF($NP$47="Bell_Curve",$NN$47*(227-$NR$47+1)*($NS$47-227+1)/$NU$47,$NN$47/$NT$47)),0)</f>
        <v/>
      </c>
      <c r="HX47" s="402">
        <f>IF(AND(228&gt;=$NR$47,228&lt;=$NS$47),IF($NP$47="Single_Point",IF(228=$NR$47,$NN$47,0),IF($NP$47="Bell_Curve",$NN$47*(228-$NR$47+1)*($NS$47-228+1)/$NU$47,$NN$47/$NT$47)),0)</f>
        <v/>
      </c>
      <c r="HY47" s="402">
        <f>IF(AND(229&gt;=$NR$47,229&lt;=$NS$47),IF($NP$47="Single_Point",IF(229=$NR$47,$NN$47,0),IF($NP$47="Bell_Curve",$NN$47*(229-$NR$47+1)*($NS$47-229+1)/$NU$47,$NN$47/$NT$47)),0)</f>
        <v/>
      </c>
      <c r="HZ47" s="402">
        <f>IF(AND(230&gt;=$NR$47,230&lt;=$NS$47),IF($NP$47="Single_Point",IF(230=$NR$47,$NN$47,0),IF($NP$47="Bell_Curve",$NN$47*(230-$NR$47+1)*($NS$47-230+1)/$NU$47,$NN$47/$NT$47)),0)</f>
        <v/>
      </c>
      <c r="IA47" s="402">
        <f>IF(AND(231&gt;=$NR$47,231&lt;=$NS$47),IF($NP$47="Single_Point",IF(231=$NR$47,$NN$47,0),IF($NP$47="Bell_Curve",$NN$47*(231-$NR$47+1)*($NS$47-231+1)/$NU$47,$NN$47/$NT$47)),0)</f>
        <v/>
      </c>
      <c r="IB47" s="402">
        <f>IF(AND(232&gt;=$NR$47,232&lt;=$NS$47),IF($NP$47="Single_Point",IF(232=$NR$47,$NN$47,0),IF($NP$47="Bell_Curve",$NN$47*(232-$NR$47+1)*($NS$47-232+1)/$NU$47,$NN$47/$NT$47)),0)</f>
        <v/>
      </c>
      <c r="IC47" s="402">
        <f>IF(AND(233&gt;=$NR$47,233&lt;=$NS$47),IF($NP$47="Single_Point",IF(233=$NR$47,$NN$47,0),IF($NP$47="Bell_Curve",$NN$47*(233-$NR$47+1)*($NS$47-233+1)/$NU$47,$NN$47/$NT$47)),0)</f>
        <v/>
      </c>
      <c r="ID47" s="402">
        <f>IF(AND(234&gt;=$NR$47,234&lt;=$NS$47),IF($NP$47="Single_Point",IF(234=$NR$47,$NN$47,0),IF($NP$47="Bell_Curve",$NN$47*(234-$NR$47+1)*($NS$47-234+1)/$NU$47,$NN$47/$NT$47)),0)</f>
        <v/>
      </c>
      <c r="IE47" s="402">
        <f>IF(AND(235&gt;=$NR$47,235&lt;=$NS$47),IF($NP$47="Single_Point",IF(235=$NR$47,$NN$47,0),IF($NP$47="Bell_Curve",$NN$47*(235-$NR$47+1)*($NS$47-235+1)/$NU$47,$NN$47/$NT$47)),0)</f>
        <v/>
      </c>
      <c r="IF47" s="402">
        <f>IF(AND(236&gt;=$NR$47,236&lt;=$NS$47),IF($NP$47="Single_Point",IF(236=$NR$47,$NN$47,0),IF($NP$47="Bell_Curve",$NN$47*(236-$NR$47+1)*($NS$47-236+1)/$NU$47,$NN$47/$NT$47)),0)</f>
        <v/>
      </c>
      <c r="IG47" s="402">
        <f>IF(AND(237&gt;=$NR$47,237&lt;=$NS$47),IF($NP$47="Single_Point",IF(237=$NR$47,$NN$47,0),IF($NP$47="Bell_Curve",$NN$47*(237-$NR$47+1)*($NS$47-237+1)/$NU$47,$NN$47/$NT$47)),0)</f>
        <v/>
      </c>
      <c r="IH47" s="402">
        <f>IF(AND(238&gt;=$NR$47,238&lt;=$NS$47),IF($NP$47="Single_Point",IF(238=$NR$47,$NN$47,0),IF($NP$47="Bell_Curve",$NN$47*(238-$NR$47+1)*($NS$47-238+1)/$NU$47,$NN$47/$NT$47)),0)</f>
        <v/>
      </c>
      <c r="II47" s="402">
        <f>IF(AND(239&gt;=$NR$47,239&lt;=$NS$47),IF($NP$47="Single_Point",IF(239=$NR$47,$NN$47,0),IF($NP$47="Bell_Curve",$NN$47*(239-$NR$47+1)*($NS$47-239+1)/$NU$47,$NN$47/$NT$47)),0)</f>
        <v/>
      </c>
      <c r="IJ47" s="402">
        <f>IF(AND(240&gt;=$NR$47,240&lt;=$NS$47),IF($NP$47="Single_Point",IF(240=$NR$47,$NN$47,0),IF($NP$47="Bell_Curve",$NN$47*(240-$NR$47+1)*($NS$47-240+1)/$NU$47,$NN$47/$NT$47)),0)</f>
        <v/>
      </c>
      <c r="IK47" s="402">
        <f>IF(AND(241&gt;=$NR$47,241&lt;=$NS$47),IF($NP$47="Single_Point",IF(241=$NR$47,$NN$47,0),IF($NP$47="Bell_Curve",$NN$47*(241-$NR$47+1)*($NS$47-241+1)/$NU$47,$NN$47/$NT$47)),0)</f>
        <v/>
      </c>
      <c r="IL47" s="402">
        <f>IF(AND(242&gt;=$NR$47,242&lt;=$NS$47),IF($NP$47="Single_Point",IF(242=$NR$47,$NN$47,0),IF($NP$47="Bell_Curve",$NN$47*(242-$NR$47+1)*($NS$47-242+1)/$NU$47,$NN$47/$NT$47)),0)</f>
        <v/>
      </c>
      <c r="IM47" s="402">
        <f>IF(AND(243&gt;=$NR$47,243&lt;=$NS$47),IF($NP$47="Single_Point",IF(243=$NR$47,$NN$47,0),IF($NP$47="Bell_Curve",$NN$47*(243-$NR$47+1)*($NS$47-243+1)/$NU$47,$NN$47/$NT$47)),0)</f>
        <v/>
      </c>
      <c r="IN47" s="402">
        <f>IF(AND(244&gt;=$NR$47,244&lt;=$NS$47),IF($NP$47="Single_Point",IF(244=$NR$47,$NN$47,0),IF($NP$47="Bell_Curve",$NN$47*(244-$NR$47+1)*($NS$47-244+1)/$NU$47,$NN$47/$NT$47)),0)</f>
        <v/>
      </c>
      <c r="IO47" s="402">
        <f>IF(AND(245&gt;=$NR$47,245&lt;=$NS$47),IF($NP$47="Single_Point",IF(245=$NR$47,$NN$47,0),IF($NP$47="Bell_Curve",$NN$47*(245-$NR$47+1)*($NS$47-245+1)/$NU$47,$NN$47/$NT$47)),0)</f>
        <v/>
      </c>
      <c r="IP47" s="402">
        <f>IF(AND(246&gt;=$NR$47,246&lt;=$NS$47),IF($NP$47="Single_Point",IF(246=$NR$47,$NN$47,0),IF($NP$47="Bell_Curve",$NN$47*(246-$NR$47+1)*($NS$47-246+1)/$NU$47,$NN$47/$NT$47)),0)</f>
        <v/>
      </c>
      <c r="IQ47" s="402">
        <f>IF(AND(247&gt;=$NR$47,247&lt;=$NS$47),IF($NP$47="Single_Point",IF(247=$NR$47,$NN$47,0),IF($NP$47="Bell_Curve",$NN$47*(247-$NR$47+1)*($NS$47-247+1)/$NU$47,$NN$47/$NT$47)),0)</f>
        <v/>
      </c>
      <c r="IR47" s="402">
        <f>IF(AND(248&gt;=$NR$47,248&lt;=$NS$47),IF($NP$47="Single_Point",IF(248=$NR$47,$NN$47,0),IF($NP$47="Bell_Curve",$NN$47*(248-$NR$47+1)*($NS$47-248+1)/$NU$47,$NN$47/$NT$47)),0)</f>
        <v/>
      </c>
      <c r="IS47" s="402">
        <f>IF(AND(249&gt;=$NR$47,249&lt;=$NS$47),IF($NP$47="Single_Point",IF(249=$NR$47,$NN$47,0),IF($NP$47="Bell_Curve",$NN$47*(249-$NR$47+1)*($NS$47-249+1)/$NU$47,$NN$47/$NT$47)),0)</f>
        <v/>
      </c>
      <c r="IT47" s="402">
        <f>IF(AND(250&gt;=$NR$47,250&lt;=$NS$47),IF($NP$47="Single_Point",IF(250=$NR$47,$NN$47,0),IF($NP$47="Bell_Curve",$NN$47*(250-$NR$47+1)*($NS$47-250+1)/$NU$47,$NN$47/$NT$47)),0)</f>
        <v/>
      </c>
      <c r="IU47" s="402">
        <f>IF(AND(251&gt;=$NR$47,251&lt;=$NS$47),IF($NP$47="Single_Point",IF(251=$NR$47,$NN$47,0),IF($NP$47="Bell_Curve",$NN$47*(251-$NR$47+1)*($NS$47-251+1)/$NU$47,$NN$47/$NT$47)),0)</f>
        <v/>
      </c>
      <c r="IV47" s="402">
        <f>IF(AND(252&gt;=$NR$47,252&lt;=$NS$47),IF($NP$47="Single_Point",IF(252=$NR$47,$NN$47,0),IF($NP$47="Bell_Curve",$NN$47*(252-$NR$47+1)*($NS$47-252+1)/$NU$47,$NN$47/$NT$47)),0)</f>
        <v/>
      </c>
      <c r="IW47" s="402">
        <f>IF(AND(253&gt;=$NR$47,253&lt;=$NS$47),IF($NP$47="Single_Point",IF(253=$NR$47,$NN$47,0),IF($NP$47="Bell_Curve",$NN$47*(253-$NR$47+1)*($NS$47-253+1)/$NU$47,$NN$47/$NT$47)),0)</f>
        <v/>
      </c>
      <c r="IX47" s="402">
        <f>IF(AND(254&gt;=$NR$47,254&lt;=$NS$47),IF($NP$47="Single_Point",IF(254=$NR$47,$NN$47,0),IF($NP$47="Bell_Curve",$NN$47*(254-$NR$47+1)*($NS$47-254+1)/$NU$47,$NN$47/$NT$47)),0)</f>
        <v/>
      </c>
      <c r="IY47" s="402">
        <f>IF(AND(255&gt;=$NR$47,255&lt;=$NS$47),IF($NP$47="Single_Point",IF(255=$NR$47,$NN$47,0),IF($NP$47="Bell_Curve",$NN$47*(255-$NR$47+1)*($NS$47-255+1)/$NU$47,$NN$47/$NT$47)),0)</f>
        <v/>
      </c>
      <c r="IZ47" s="402">
        <f>IF(AND(256&gt;=$NR$47,256&lt;=$NS$47),IF($NP$47="Single_Point",IF(256=$NR$47,$NN$47,0),IF($NP$47="Bell_Curve",$NN$47*(256-$NR$47+1)*($NS$47-256+1)/$NU$47,$NN$47/$NT$47)),0)</f>
        <v/>
      </c>
      <c r="JA47" s="402">
        <f>IF(AND(257&gt;=$NR$47,257&lt;=$NS$47),IF($NP$47="Single_Point",IF(257=$NR$47,$NN$47,0),IF($NP$47="Bell_Curve",$NN$47*(257-$NR$47+1)*($NS$47-257+1)/$NU$47,$NN$47/$NT$47)),0)</f>
        <v/>
      </c>
      <c r="JB47" s="402">
        <f>IF(AND(258&gt;=$NR$47,258&lt;=$NS$47),IF($NP$47="Single_Point",IF(258=$NR$47,$NN$47,0),IF($NP$47="Bell_Curve",$NN$47*(258-$NR$47+1)*($NS$47-258+1)/$NU$47,$NN$47/$NT$47)),0)</f>
        <v/>
      </c>
      <c r="JC47" s="402">
        <f>IF(AND(259&gt;=$NR$47,259&lt;=$NS$47),IF($NP$47="Single_Point",IF(259=$NR$47,$NN$47,0),IF($NP$47="Bell_Curve",$NN$47*(259-$NR$47+1)*($NS$47-259+1)/$NU$47,$NN$47/$NT$47)),0)</f>
        <v/>
      </c>
      <c r="JD47" s="402">
        <f>IF(AND(260&gt;=$NR$47,260&lt;=$NS$47),IF($NP$47="Single_Point",IF(260=$NR$47,$NN$47,0),IF($NP$47="Bell_Curve",$NN$47*(260-$NR$47+1)*($NS$47-260+1)/$NU$47,$NN$47/$NT$47)),0)</f>
        <v/>
      </c>
      <c r="JE47" s="402">
        <f>IF(AND(261&gt;=$NR$47,261&lt;=$NS$47),IF($NP$47="Single_Point",IF(261=$NR$47,$NN$47,0),IF($NP$47="Bell_Curve",$NN$47*(261-$NR$47+1)*($NS$47-261+1)/$NU$47,$NN$47/$NT$47)),0)</f>
        <v/>
      </c>
      <c r="JF47" s="402">
        <f>IF(AND(262&gt;=$NR$47,262&lt;=$NS$47),IF($NP$47="Single_Point",IF(262=$NR$47,$NN$47,0),IF($NP$47="Bell_Curve",$NN$47*(262-$NR$47+1)*($NS$47-262+1)/$NU$47,$NN$47/$NT$47)),0)</f>
        <v/>
      </c>
      <c r="JG47" s="402">
        <f>IF(AND(263&gt;=$NR$47,263&lt;=$NS$47),IF($NP$47="Single_Point",IF(263=$NR$47,$NN$47,0),IF($NP$47="Bell_Curve",$NN$47*(263-$NR$47+1)*($NS$47-263+1)/$NU$47,$NN$47/$NT$47)),0)</f>
        <v/>
      </c>
      <c r="JH47" s="402">
        <f>IF(AND(264&gt;=$NR$47,264&lt;=$NS$47),IF($NP$47="Single_Point",IF(264=$NR$47,$NN$47,0),IF($NP$47="Bell_Curve",$NN$47*(264-$NR$47+1)*($NS$47-264+1)/$NU$47,$NN$47/$NT$47)),0)</f>
        <v/>
      </c>
      <c r="JI47" s="402">
        <f>IF(AND(265&gt;=$NR$47,265&lt;=$NS$47),IF($NP$47="Single_Point",IF(265=$NR$47,$NN$47,0),IF($NP$47="Bell_Curve",$NN$47*(265-$NR$47+1)*($NS$47-265+1)/$NU$47,$NN$47/$NT$47)),0)</f>
        <v/>
      </c>
      <c r="JJ47" s="402">
        <f>IF(AND(266&gt;=$NR$47,266&lt;=$NS$47),IF($NP$47="Single_Point",IF(266=$NR$47,$NN$47,0),IF($NP$47="Bell_Curve",$NN$47*(266-$NR$47+1)*($NS$47-266+1)/$NU$47,$NN$47/$NT$47)),0)</f>
        <v/>
      </c>
      <c r="JK47" s="402">
        <f>IF(AND(267&gt;=$NR$47,267&lt;=$NS$47),IF($NP$47="Single_Point",IF(267=$NR$47,$NN$47,0),IF($NP$47="Bell_Curve",$NN$47*(267-$NR$47+1)*($NS$47-267+1)/$NU$47,$NN$47/$NT$47)),0)</f>
        <v/>
      </c>
      <c r="JL47" s="402">
        <f>IF(AND(268&gt;=$NR$47,268&lt;=$NS$47),IF($NP$47="Single_Point",IF(268=$NR$47,$NN$47,0),IF($NP$47="Bell_Curve",$NN$47*(268-$NR$47+1)*($NS$47-268+1)/$NU$47,$NN$47/$NT$47)),0)</f>
        <v/>
      </c>
      <c r="JM47" s="402">
        <f>IF(AND(269&gt;=$NR$47,269&lt;=$NS$47),IF($NP$47="Single_Point",IF(269=$NR$47,$NN$47,0),IF($NP$47="Bell_Curve",$NN$47*(269-$NR$47+1)*($NS$47-269+1)/$NU$47,$NN$47/$NT$47)),0)</f>
        <v/>
      </c>
      <c r="JN47" s="402">
        <f>IF(AND(270&gt;=$NR$47,270&lt;=$NS$47),IF($NP$47="Single_Point",IF(270=$NR$47,$NN$47,0),IF($NP$47="Bell_Curve",$NN$47*(270-$NR$47+1)*($NS$47-270+1)/$NU$47,$NN$47/$NT$47)),0)</f>
        <v/>
      </c>
      <c r="JO47" s="402">
        <f>IF(AND(271&gt;=$NR$47,271&lt;=$NS$47),IF($NP$47="Single_Point",IF(271=$NR$47,$NN$47,0),IF($NP$47="Bell_Curve",$NN$47*(271-$NR$47+1)*($NS$47-271+1)/$NU$47,$NN$47/$NT$47)),0)</f>
        <v/>
      </c>
      <c r="JP47" s="402">
        <f>IF(AND(272&gt;=$NR$47,272&lt;=$NS$47),IF($NP$47="Single_Point",IF(272=$NR$47,$NN$47,0),IF($NP$47="Bell_Curve",$NN$47*(272-$NR$47+1)*($NS$47-272+1)/$NU$47,$NN$47/$NT$47)),0)</f>
        <v/>
      </c>
      <c r="JQ47" s="402">
        <f>IF(AND(273&gt;=$NR$47,273&lt;=$NS$47),IF($NP$47="Single_Point",IF(273=$NR$47,$NN$47,0),IF($NP$47="Bell_Curve",$NN$47*(273-$NR$47+1)*($NS$47-273+1)/$NU$47,$NN$47/$NT$47)),0)</f>
        <v/>
      </c>
      <c r="JR47" s="402">
        <f>IF(AND(274&gt;=$NR$47,274&lt;=$NS$47),IF($NP$47="Single_Point",IF(274=$NR$47,$NN$47,0),IF($NP$47="Bell_Curve",$NN$47*(274-$NR$47+1)*($NS$47-274+1)/$NU$47,$NN$47/$NT$47)),0)</f>
        <v/>
      </c>
      <c r="JS47" s="402">
        <f>IF(AND(275&gt;=$NR$47,275&lt;=$NS$47),IF($NP$47="Single_Point",IF(275=$NR$47,$NN$47,0),IF($NP$47="Bell_Curve",$NN$47*(275-$NR$47+1)*($NS$47-275+1)/$NU$47,$NN$47/$NT$47)),0)</f>
        <v/>
      </c>
      <c r="JT47" s="402">
        <f>IF(AND(276&gt;=$NR$47,276&lt;=$NS$47),IF($NP$47="Single_Point",IF(276=$NR$47,$NN$47,0),IF($NP$47="Bell_Curve",$NN$47*(276-$NR$47+1)*($NS$47-276+1)/$NU$47,$NN$47/$NT$47)),0)</f>
        <v/>
      </c>
      <c r="JU47" s="402">
        <f>IF(AND(277&gt;=$NR$47,277&lt;=$NS$47),IF($NP$47="Single_Point",IF(277=$NR$47,$NN$47,0),IF($NP$47="Bell_Curve",$NN$47*(277-$NR$47+1)*($NS$47-277+1)/$NU$47,$NN$47/$NT$47)),0)</f>
        <v/>
      </c>
      <c r="JV47" s="402">
        <f>IF(AND(278&gt;=$NR$47,278&lt;=$NS$47),IF($NP$47="Single_Point",IF(278=$NR$47,$NN$47,0),IF($NP$47="Bell_Curve",$NN$47*(278-$NR$47+1)*($NS$47-278+1)/$NU$47,$NN$47/$NT$47)),0)</f>
        <v/>
      </c>
      <c r="JW47" s="402">
        <f>IF(AND(279&gt;=$NR$47,279&lt;=$NS$47),IF($NP$47="Single_Point",IF(279=$NR$47,$NN$47,0),IF($NP$47="Bell_Curve",$NN$47*(279-$NR$47+1)*($NS$47-279+1)/$NU$47,$NN$47/$NT$47)),0)</f>
        <v/>
      </c>
      <c r="JX47" s="402">
        <f>IF(AND(280&gt;=$NR$47,280&lt;=$NS$47),IF($NP$47="Single_Point",IF(280=$NR$47,$NN$47,0),IF($NP$47="Bell_Curve",$NN$47*(280-$NR$47+1)*($NS$47-280+1)/$NU$47,$NN$47/$NT$47)),0)</f>
        <v/>
      </c>
      <c r="JY47" s="402">
        <f>IF(AND(281&gt;=$NR$47,281&lt;=$NS$47),IF($NP$47="Single_Point",IF(281=$NR$47,$NN$47,0),IF($NP$47="Bell_Curve",$NN$47*(281-$NR$47+1)*($NS$47-281+1)/$NU$47,$NN$47/$NT$47)),0)</f>
        <v/>
      </c>
      <c r="JZ47" s="402">
        <f>IF(AND(282&gt;=$NR$47,282&lt;=$NS$47),IF($NP$47="Single_Point",IF(282=$NR$47,$NN$47,0),IF($NP$47="Bell_Curve",$NN$47*(282-$NR$47+1)*($NS$47-282+1)/$NU$47,$NN$47/$NT$47)),0)</f>
        <v/>
      </c>
      <c r="KA47" s="402">
        <f>IF(AND(283&gt;=$NR$47,283&lt;=$NS$47),IF($NP$47="Single_Point",IF(283=$NR$47,$NN$47,0),IF($NP$47="Bell_Curve",$NN$47*(283-$NR$47+1)*($NS$47-283+1)/$NU$47,$NN$47/$NT$47)),0)</f>
        <v/>
      </c>
      <c r="KB47" s="402">
        <f>IF(AND(284&gt;=$NR$47,284&lt;=$NS$47),IF($NP$47="Single_Point",IF(284=$NR$47,$NN$47,0),IF($NP$47="Bell_Curve",$NN$47*(284-$NR$47+1)*($NS$47-284+1)/$NU$47,$NN$47/$NT$47)),0)</f>
        <v/>
      </c>
      <c r="KC47" s="402">
        <f>IF(AND(285&gt;=$NR$47,285&lt;=$NS$47),IF($NP$47="Single_Point",IF(285=$NR$47,$NN$47,0),IF($NP$47="Bell_Curve",$NN$47*(285-$NR$47+1)*($NS$47-285+1)/$NU$47,$NN$47/$NT$47)),0)</f>
        <v/>
      </c>
      <c r="KD47" s="402">
        <f>IF(AND(286&gt;=$NR$47,286&lt;=$NS$47),IF($NP$47="Single_Point",IF(286=$NR$47,$NN$47,0),IF($NP$47="Bell_Curve",$NN$47*(286-$NR$47+1)*($NS$47-286+1)/$NU$47,$NN$47/$NT$47)),0)</f>
        <v/>
      </c>
      <c r="KE47" s="402">
        <f>IF(AND(287&gt;=$NR$47,287&lt;=$NS$47),IF($NP$47="Single_Point",IF(287=$NR$47,$NN$47,0),IF($NP$47="Bell_Curve",$NN$47*(287-$NR$47+1)*($NS$47-287+1)/$NU$47,$NN$47/$NT$47)),0)</f>
        <v/>
      </c>
      <c r="KF47" s="402">
        <f>IF(AND(288&gt;=$NR$47,288&lt;=$NS$47),IF($NP$47="Single_Point",IF(288=$NR$47,$NN$47,0),IF($NP$47="Bell_Curve",$NN$47*(288-$NR$47+1)*($NS$47-288+1)/$NU$47,$NN$47/$NT$47)),0)</f>
        <v/>
      </c>
      <c r="KG47" s="402">
        <f>IF(AND(289&gt;=$NR$47,289&lt;=$NS$47),IF($NP$47="Single_Point",IF(289=$NR$47,$NN$47,0),IF($NP$47="Bell_Curve",$NN$47*(289-$NR$47+1)*($NS$47-289+1)/$NU$47,$NN$47/$NT$47)),0)</f>
        <v/>
      </c>
      <c r="KH47" s="402">
        <f>IF(AND(290&gt;=$NR$47,290&lt;=$NS$47),IF($NP$47="Single_Point",IF(290=$NR$47,$NN$47,0),IF($NP$47="Bell_Curve",$NN$47*(290-$NR$47+1)*($NS$47-290+1)/$NU$47,$NN$47/$NT$47)),0)</f>
        <v/>
      </c>
      <c r="KI47" s="402">
        <f>IF(AND(291&gt;=$NR$47,291&lt;=$NS$47),IF($NP$47="Single_Point",IF(291=$NR$47,$NN$47,0),IF($NP$47="Bell_Curve",$NN$47*(291-$NR$47+1)*($NS$47-291+1)/$NU$47,$NN$47/$NT$47)),0)</f>
        <v/>
      </c>
      <c r="KJ47" s="402">
        <f>IF(AND(292&gt;=$NR$47,292&lt;=$NS$47),IF($NP$47="Single_Point",IF(292=$NR$47,$NN$47,0),IF($NP$47="Bell_Curve",$NN$47*(292-$NR$47+1)*($NS$47-292+1)/$NU$47,$NN$47/$NT$47)),0)</f>
        <v/>
      </c>
      <c r="KK47" s="402">
        <f>IF(AND(293&gt;=$NR$47,293&lt;=$NS$47),IF($NP$47="Single_Point",IF(293=$NR$47,$NN$47,0),IF($NP$47="Bell_Curve",$NN$47*(293-$NR$47+1)*($NS$47-293+1)/$NU$47,$NN$47/$NT$47)),0)</f>
        <v/>
      </c>
      <c r="KL47" s="402">
        <f>IF(AND(294&gt;=$NR$47,294&lt;=$NS$47),IF($NP$47="Single_Point",IF(294=$NR$47,$NN$47,0),IF($NP$47="Bell_Curve",$NN$47*(294-$NR$47+1)*($NS$47-294+1)/$NU$47,$NN$47/$NT$47)),0)</f>
        <v/>
      </c>
      <c r="KM47" s="402">
        <f>IF(AND(295&gt;=$NR$47,295&lt;=$NS$47),IF($NP$47="Single_Point",IF(295=$NR$47,$NN$47,0),IF($NP$47="Bell_Curve",$NN$47*(295-$NR$47+1)*($NS$47-295+1)/$NU$47,$NN$47/$NT$47)),0)</f>
        <v/>
      </c>
      <c r="KN47" s="402">
        <f>IF(AND(296&gt;=$NR$47,296&lt;=$NS$47),IF($NP$47="Single_Point",IF(296=$NR$47,$NN$47,0),IF($NP$47="Bell_Curve",$NN$47*(296-$NR$47+1)*($NS$47-296+1)/$NU$47,$NN$47/$NT$47)),0)</f>
        <v/>
      </c>
      <c r="KO47" s="402">
        <f>IF(AND(297&gt;=$NR$47,297&lt;=$NS$47),IF($NP$47="Single_Point",IF(297=$NR$47,$NN$47,0),IF($NP$47="Bell_Curve",$NN$47*(297-$NR$47+1)*($NS$47-297+1)/$NU$47,$NN$47/$NT$47)),0)</f>
        <v/>
      </c>
      <c r="KP47" s="402">
        <f>IF(AND(298&gt;=$NR$47,298&lt;=$NS$47),IF($NP$47="Single_Point",IF(298=$NR$47,$NN$47,0),IF($NP$47="Bell_Curve",$NN$47*(298-$NR$47+1)*($NS$47-298+1)/$NU$47,$NN$47/$NT$47)),0)</f>
        <v/>
      </c>
      <c r="KQ47" s="402">
        <f>IF(AND(299&gt;=$NR$47,299&lt;=$NS$47),IF($NP$47="Single_Point",IF(299=$NR$47,$NN$47,0),IF($NP$47="Bell_Curve",$NN$47*(299-$NR$47+1)*($NS$47-299+1)/$NU$47,$NN$47/$NT$47)),0)</f>
        <v/>
      </c>
      <c r="KR47" s="402">
        <f>IF(AND(300&gt;=$NR$47,300&lt;=$NS$47),IF($NP$47="Single_Point",IF(300=$NR$47,$NN$47,0),IF($NP$47="Bell_Curve",$NN$47*(300-$NR$47+1)*($NS$47-300+1)/$NU$47,$NN$47/$NT$47)),0)</f>
        <v/>
      </c>
      <c r="KS47" s="402">
        <f>IF(AND(301&gt;=$NR$47,301&lt;=$NS$47),IF($NP$47="Single_Point",IF(301=$NR$47,$NN$47,0),IF($NP$47="Bell_Curve",$NN$47*(301-$NR$47+1)*($NS$47-301+1)/$NU$47,$NN$47/$NT$47)),0)</f>
        <v/>
      </c>
      <c r="KT47" s="402">
        <f>IF(AND(302&gt;=$NR$47,302&lt;=$NS$47),IF($NP$47="Single_Point",IF(302=$NR$47,$NN$47,0),IF($NP$47="Bell_Curve",$NN$47*(302-$NR$47+1)*($NS$47-302+1)/$NU$47,$NN$47/$NT$47)),0)</f>
        <v/>
      </c>
      <c r="KU47" s="402">
        <f>IF(AND(303&gt;=$NR$47,303&lt;=$NS$47),IF($NP$47="Single_Point",IF(303=$NR$47,$NN$47,0),IF($NP$47="Bell_Curve",$NN$47*(303-$NR$47+1)*($NS$47-303+1)/$NU$47,$NN$47/$NT$47)),0)</f>
        <v/>
      </c>
      <c r="KV47" s="402">
        <f>IF(AND(304&gt;=$NR$47,304&lt;=$NS$47),IF($NP$47="Single_Point",IF(304=$NR$47,$NN$47,0),IF($NP$47="Bell_Curve",$NN$47*(304-$NR$47+1)*($NS$47-304+1)/$NU$47,$NN$47/$NT$47)),0)</f>
        <v/>
      </c>
      <c r="KW47" s="402">
        <f>IF(AND(305&gt;=$NR$47,305&lt;=$NS$47),IF($NP$47="Single_Point",IF(305=$NR$47,$NN$47,0),IF($NP$47="Bell_Curve",$NN$47*(305-$NR$47+1)*($NS$47-305+1)/$NU$47,$NN$47/$NT$47)),0)</f>
        <v/>
      </c>
      <c r="KX47" s="402">
        <f>IF(AND(306&gt;=$NR$47,306&lt;=$NS$47),IF($NP$47="Single_Point",IF(306=$NR$47,$NN$47,0),IF($NP$47="Bell_Curve",$NN$47*(306-$NR$47+1)*($NS$47-306+1)/$NU$47,$NN$47/$NT$47)),0)</f>
        <v/>
      </c>
      <c r="KY47" s="402">
        <f>IF(AND(307&gt;=$NR$47,307&lt;=$NS$47),IF($NP$47="Single_Point",IF(307=$NR$47,$NN$47,0),IF($NP$47="Bell_Curve",$NN$47*(307-$NR$47+1)*($NS$47-307+1)/$NU$47,$NN$47/$NT$47)),0)</f>
        <v/>
      </c>
      <c r="KZ47" s="402">
        <f>IF(AND(308&gt;=$NR$47,308&lt;=$NS$47),IF($NP$47="Single_Point",IF(308=$NR$47,$NN$47,0),IF($NP$47="Bell_Curve",$NN$47*(308-$NR$47+1)*($NS$47-308+1)/$NU$47,$NN$47/$NT$47)),0)</f>
        <v/>
      </c>
      <c r="LA47" s="402">
        <f>IF(AND(309&gt;=$NR$47,309&lt;=$NS$47),IF($NP$47="Single_Point",IF(309=$NR$47,$NN$47,0),IF($NP$47="Bell_Curve",$NN$47*(309-$NR$47+1)*($NS$47-309+1)/$NU$47,$NN$47/$NT$47)),0)</f>
        <v/>
      </c>
      <c r="LB47" s="402">
        <f>IF(AND(310&gt;=$NR$47,310&lt;=$NS$47),IF($NP$47="Single_Point",IF(310=$NR$47,$NN$47,0),IF($NP$47="Bell_Curve",$NN$47*(310-$NR$47+1)*($NS$47-310+1)/$NU$47,$NN$47/$NT$47)),0)</f>
        <v/>
      </c>
      <c r="LC47" s="402">
        <f>IF(AND(311&gt;=$NR$47,311&lt;=$NS$47),IF($NP$47="Single_Point",IF(311=$NR$47,$NN$47,0),IF($NP$47="Bell_Curve",$NN$47*(311-$NR$47+1)*($NS$47-311+1)/$NU$47,$NN$47/$NT$47)),0)</f>
        <v/>
      </c>
      <c r="LD47" s="402">
        <f>IF(AND(312&gt;=$NR$47,312&lt;=$NS$47),IF($NP$47="Single_Point",IF(312=$NR$47,$NN$47,0),IF($NP$47="Bell_Curve",$NN$47*(312-$NR$47+1)*($NS$47-312+1)/$NU$47,$NN$47/$NT$47)),0)</f>
        <v/>
      </c>
      <c r="LE47" s="402">
        <f>IF(AND(313&gt;=$NR$47,313&lt;=$NS$47),IF($NP$47="Single_Point",IF(313=$NR$47,$NN$47,0),IF($NP$47="Bell_Curve",$NN$47*(313-$NR$47+1)*($NS$47-313+1)/$NU$47,$NN$47/$NT$47)),0)</f>
        <v/>
      </c>
      <c r="LF47" s="402">
        <f>IF(AND(314&gt;=$NR$47,314&lt;=$NS$47),IF($NP$47="Single_Point",IF(314=$NR$47,$NN$47,0),IF($NP$47="Bell_Curve",$NN$47*(314-$NR$47+1)*($NS$47-314+1)/$NU$47,$NN$47/$NT$47)),0)</f>
        <v/>
      </c>
      <c r="LG47" s="402">
        <f>IF(AND(315&gt;=$NR$47,315&lt;=$NS$47),IF($NP$47="Single_Point",IF(315=$NR$47,$NN$47,0),IF($NP$47="Bell_Curve",$NN$47*(315-$NR$47+1)*($NS$47-315+1)/$NU$47,$NN$47/$NT$47)),0)</f>
        <v/>
      </c>
      <c r="LH47" s="402">
        <f>IF(AND(316&gt;=$NR$47,316&lt;=$NS$47),IF($NP$47="Single_Point",IF(316=$NR$47,$NN$47,0),IF($NP$47="Bell_Curve",$NN$47*(316-$NR$47+1)*($NS$47-316+1)/$NU$47,$NN$47/$NT$47)),0)</f>
        <v/>
      </c>
      <c r="LI47" s="402">
        <f>IF(AND(317&gt;=$NR$47,317&lt;=$NS$47),IF($NP$47="Single_Point",IF(317=$NR$47,$NN$47,0),IF($NP$47="Bell_Curve",$NN$47*(317-$NR$47+1)*($NS$47-317+1)/$NU$47,$NN$47/$NT$47)),0)</f>
        <v/>
      </c>
      <c r="LJ47" s="402">
        <f>IF(AND(318&gt;=$NR$47,318&lt;=$NS$47),IF($NP$47="Single_Point",IF(318=$NR$47,$NN$47,0),IF($NP$47="Bell_Curve",$NN$47*(318-$NR$47+1)*($NS$47-318+1)/$NU$47,$NN$47/$NT$47)),0)</f>
        <v/>
      </c>
      <c r="LK47" s="402">
        <f>IF(AND(319&gt;=$NR$47,319&lt;=$NS$47),IF($NP$47="Single_Point",IF(319=$NR$47,$NN$47,0),IF($NP$47="Bell_Curve",$NN$47*(319-$NR$47+1)*($NS$47-319+1)/$NU$47,$NN$47/$NT$47)),0)</f>
        <v/>
      </c>
      <c r="LL47" s="402">
        <f>IF(AND(320&gt;=$NR$47,320&lt;=$NS$47),IF($NP$47="Single_Point",IF(320=$NR$47,$NN$47,0),IF($NP$47="Bell_Curve",$NN$47*(320-$NR$47+1)*($NS$47-320+1)/$NU$47,$NN$47/$NT$47)),0)</f>
        <v/>
      </c>
      <c r="LM47" s="402">
        <f>IF(AND(321&gt;=$NR$47,321&lt;=$NS$47),IF($NP$47="Single_Point",IF(321=$NR$47,$NN$47,0),IF($NP$47="Bell_Curve",$NN$47*(321-$NR$47+1)*($NS$47-321+1)/$NU$47,$NN$47/$NT$47)),0)</f>
        <v/>
      </c>
      <c r="LN47" s="402">
        <f>IF(AND(322&gt;=$NR$47,322&lt;=$NS$47),IF($NP$47="Single_Point",IF(322=$NR$47,$NN$47,0),IF($NP$47="Bell_Curve",$NN$47*(322-$NR$47+1)*($NS$47-322+1)/$NU$47,$NN$47/$NT$47)),0)</f>
        <v/>
      </c>
      <c r="LO47" s="402">
        <f>IF(AND(323&gt;=$NR$47,323&lt;=$NS$47),IF($NP$47="Single_Point",IF(323=$NR$47,$NN$47,0),IF($NP$47="Bell_Curve",$NN$47*(323-$NR$47+1)*($NS$47-323+1)/$NU$47,$NN$47/$NT$47)),0)</f>
        <v/>
      </c>
      <c r="LP47" s="402">
        <f>IF(AND(324&gt;=$NR$47,324&lt;=$NS$47),IF($NP$47="Single_Point",IF(324=$NR$47,$NN$47,0),IF($NP$47="Bell_Curve",$NN$47*(324-$NR$47+1)*($NS$47-324+1)/$NU$47,$NN$47/$NT$47)),0)</f>
        <v/>
      </c>
      <c r="LQ47" s="402">
        <f>IF(AND(325&gt;=$NR$47,325&lt;=$NS$47),IF($NP$47="Single_Point",IF(325=$NR$47,$NN$47,0),IF($NP$47="Bell_Curve",$NN$47*(325-$NR$47+1)*($NS$47-325+1)/$NU$47,$NN$47/$NT$47)),0)</f>
        <v/>
      </c>
      <c r="LR47" s="402">
        <f>IF(AND(326&gt;=$NR$47,326&lt;=$NS$47),IF($NP$47="Single_Point",IF(326=$NR$47,$NN$47,0),IF($NP$47="Bell_Curve",$NN$47*(326-$NR$47+1)*($NS$47-326+1)/$NU$47,$NN$47/$NT$47)),0)</f>
        <v/>
      </c>
      <c r="LS47" s="402">
        <f>IF(AND(327&gt;=$NR$47,327&lt;=$NS$47),IF($NP$47="Single_Point",IF(327=$NR$47,$NN$47,0),IF($NP$47="Bell_Curve",$NN$47*(327-$NR$47+1)*($NS$47-327+1)/$NU$47,$NN$47/$NT$47)),0)</f>
        <v/>
      </c>
      <c r="LT47" s="402">
        <f>IF(AND(328&gt;=$NR$47,328&lt;=$NS$47),IF($NP$47="Single_Point",IF(328=$NR$47,$NN$47,0),IF($NP$47="Bell_Curve",$NN$47*(328-$NR$47+1)*($NS$47-328+1)/$NU$47,$NN$47/$NT$47)),0)</f>
        <v/>
      </c>
      <c r="LU47" s="402">
        <f>IF(AND(329&gt;=$NR$47,329&lt;=$NS$47),IF($NP$47="Single_Point",IF(329=$NR$47,$NN$47,0),IF($NP$47="Bell_Curve",$NN$47*(329-$NR$47+1)*($NS$47-329+1)/$NU$47,$NN$47/$NT$47)),0)</f>
        <v/>
      </c>
      <c r="LV47" s="402">
        <f>IF(AND(330&gt;=$NR$47,330&lt;=$NS$47),IF($NP$47="Single_Point",IF(330=$NR$47,$NN$47,0),IF($NP$47="Bell_Curve",$NN$47*(330-$NR$47+1)*($NS$47-330+1)/$NU$47,$NN$47/$NT$47)),0)</f>
        <v/>
      </c>
      <c r="LW47" s="402">
        <f>IF(AND(331&gt;=$NR$47,331&lt;=$NS$47),IF($NP$47="Single_Point",IF(331=$NR$47,$NN$47,0),IF($NP$47="Bell_Curve",$NN$47*(331-$NR$47+1)*($NS$47-331+1)/$NU$47,$NN$47/$NT$47)),0)</f>
        <v/>
      </c>
      <c r="LX47" s="402">
        <f>IF(AND(332&gt;=$NR$47,332&lt;=$NS$47),IF($NP$47="Single_Point",IF(332=$NR$47,$NN$47,0),IF($NP$47="Bell_Curve",$NN$47*(332-$NR$47+1)*($NS$47-332+1)/$NU$47,$NN$47/$NT$47)),0)</f>
        <v/>
      </c>
      <c r="LY47" s="402">
        <f>IF(AND(333&gt;=$NR$47,333&lt;=$NS$47),IF($NP$47="Single_Point",IF(333=$NR$47,$NN$47,0),IF($NP$47="Bell_Curve",$NN$47*(333-$NR$47+1)*($NS$47-333+1)/$NU$47,$NN$47/$NT$47)),0)</f>
        <v/>
      </c>
      <c r="LZ47" s="402">
        <f>IF(AND(334&gt;=$NR$47,334&lt;=$NS$47),IF($NP$47="Single_Point",IF(334=$NR$47,$NN$47,0),IF($NP$47="Bell_Curve",$NN$47*(334-$NR$47+1)*($NS$47-334+1)/$NU$47,$NN$47/$NT$47)),0)</f>
        <v/>
      </c>
      <c r="MA47" s="402">
        <f>IF(AND(335&gt;=$NR$47,335&lt;=$NS$47),IF($NP$47="Single_Point",IF(335=$NR$47,$NN$47,0),IF($NP$47="Bell_Curve",$NN$47*(335-$NR$47+1)*($NS$47-335+1)/$NU$47,$NN$47/$NT$47)),0)</f>
        <v/>
      </c>
      <c r="MB47" s="402">
        <f>IF(AND(336&gt;=$NR$47,336&lt;=$NS$47),IF($NP$47="Single_Point",IF(336=$NR$47,$NN$47,0),IF($NP$47="Bell_Curve",$NN$47*(336-$NR$47+1)*($NS$47-336+1)/$NU$47,$NN$47/$NT$47)),0)</f>
        <v/>
      </c>
      <c r="MC47" s="402">
        <f>IF(AND(337&gt;=$NR$47,337&lt;=$NS$47),IF($NP$47="Single_Point",IF(337=$NR$47,$NN$47,0),IF($NP$47="Bell_Curve",$NN$47*(337-$NR$47+1)*($NS$47-337+1)/$NU$47,$NN$47/$NT$47)),0)</f>
        <v/>
      </c>
      <c r="MD47" s="402">
        <f>IF(AND(338&gt;=$NR$47,338&lt;=$NS$47),IF($NP$47="Single_Point",IF(338=$NR$47,$NN$47,0),IF($NP$47="Bell_Curve",$NN$47*(338-$NR$47+1)*($NS$47-338+1)/$NU$47,$NN$47/$NT$47)),0)</f>
        <v/>
      </c>
      <c r="ME47" s="402">
        <f>IF(AND(339&gt;=$NR$47,339&lt;=$NS$47),IF($NP$47="Single_Point",IF(339=$NR$47,$NN$47,0),IF($NP$47="Bell_Curve",$NN$47*(339-$NR$47+1)*($NS$47-339+1)/$NU$47,$NN$47/$NT$47)),0)</f>
        <v/>
      </c>
      <c r="MF47" s="402">
        <f>IF(AND(340&gt;=$NR$47,340&lt;=$NS$47),IF($NP$47="Single_Point",IF(340=$NR$47,$NN$47,0),IF($NP$47="Bell_Curve",$NN$47*(340-$NR$47+1)*($NS$47-340+1)/$NU$47,$NN$47/$NT$47)),0)</f>
        <v/>
      </c>
      <c r="MG47" s="402">
        <f>IF(AND(341&gt;=$NR$47,341&lt;=$NS$47),IF($NP$47="Single_Point",IF(341=$NR$47,$NN$47,0),IF($NP$47="Bell_Curve",$NN$47*(341-$NR$47+1)*($NS$47-341+1)/$NU$47,$NN$47/$NT$47)),0)</f>
        <v/>
      </c>
      <c r="MH47" s="402">
        <f>IF(AND(342&gt;=$NR$47,342&lt;=$NS$47),IF($NP$47="Single_Point",IF(342=$NR$47,$NN$47,0),IF($NP$47="Bell_Curve",$NN$47*(342-$NR$47+1)*($NS$47-342+1)/$NU$47,$NN$47/$NT$47)),0)</f>
        <v/>
      </c>
      <c r="MI47" s="402">
        <f>IF(AND(343&gt;=$NR$47,343&lt;=$NS$47),IF($NP$47="Single_Point",IF(343=$NR$47,$NN$47,0),IF($NP$47="Bell_Curve",$NN$47*(343-$NR$47+1)*($NS$47-343+1)/$NU$47,$NN$47/$NT$47)),0)</f>
        <v/>
      </c>
      <c r="MJ47" s="402">
        <f>IF(AND(344&gt;=$NR$47,344&lt;=$NS$47),IF($NP$47="Single_Point",IF(344=$NR$47,$NN$47,0),IF($NP$47="Bell_Curve",$NN$47*(344-$NR$47+1)*($NS$47-344+1)/$NU$47,$NN$47/$NT$47)),0)</f>
        <v/>
      </c>
      <c r="MK47" s="402">
        <f>IF(AND(345&gt;=$NR$47,345&lt;=$NS$47),IF($NP$47="Single_Point",IF(345=$NR$47,$NN$47,0),IF($NP$47="Bell_Curve",$NN$47*(345-$NR$47+1)*($NS$47-345+1)/$NU$47,$NN$47/$NT$47)),0)</f>
        <v/>
      </c>
      <c r="ML47" s="402">
        <f>IF(AND(346&gt;=$NR$47,346&lt;=$NS$47),IF($NP$47="Single_Point",IF(346=$NR$47,$NN$47,0),IF($NP$47="Bell_Curve",$NN$47*(346-$NR$47+1)*($NS$47-346+1)/$NU$47,$NN$47/$NT$47)),0)</f>
        <v/>
      </c>
      <c r="MM47" s="402">
        <f>IF(AND(347&gt;=$NR$47,347&lt;=$NS$47),IF($NP$47="Single_Point",IF(347=$NR$47,$NN$47,0),IF($NP$47="Bell_Curve",$NN$47*(347-$NR$47+1)*($NS$47-347+1)/$NU$47,$NN$47/$NT$47)),0)</f>
        <v/>
      </c>
      <c r="MN47" s="402">
        <f>IF(AND(348&gt;=$NR$47,348&lt;=$NS$47),IF($NP$47="Single_Point",IF(348=$NR$47,$NN$47,0),IF($NP$47="Bell_Curve",$NN$47*(348-$NR$47+1)*($NS$47-348+1)/$NU$47,$NN$47/$NT$47)),0)</f>
        <v/>
      </c>
      <c r="MO47" s="402">
        <f>IF(AND(349&gt;=$NR$47,349&lt;=$NS$47),IF($NP$47="Single_Point",IF(349=$NR$47,$NN$47,0),IF($NP$47="Bell_Curve",$NN$47*(349-$NR$47+1)*($NS$47-349+1)/$NU$47,$NN$47/$NT$47)),0)</f>
        <v/>
      </c>
      <c r="MP47" s="402">
        <f>IF(AND(350&gt;=$NR$47,350&lt;=$NS$47),IF($NP$47="Single_Point",IF(350=$NR$47,$NN$47,0),IF($NP$47="Bell_Curve",$NN$47*(350-$NR$47+1)*($NS$47-350+1)/$NU$47,$NN$47/$NT$47)),0)</f>
        <v/>
      </c>
      <c r="MQ47" s="402">
        <f>IF(AND(351&gt;=$NR$47,351&lt;=$NS$47),IF($NP$47="Single_Point",IF(351=$NR$47,$NN$47,0),IF($NP$47="Bell_Curve",$NN$47*(351-$NR$47+1)*($NS$47-351+1)/$NU$47,$NN$47/$NT$47)),0)</f>
        <v/>
      </c>
      <c r="MR47" s="402">
        <f>IF(AND(352&gt;=$NR$47,352&lt;=$NS$47),IF($NP$47="Single_Point",IF(352=$NR$47,$NN$47,0),IF($NP$47="Bell_Curve",$NN$47*(352-$NR$47+1)*($NS$47-352+1)/$NU$47,$NN$47/$NT$47)),0)</f>
        <v/>
      </c>
      <c r="MS47" s="402">
        <f>IF(AND(353&gt;=$NR$47,353&lt;=$NS$47),IF($NP$47="Single_Point",IF(353=$NR$47,$NN$47,0),IF($NP$47="Bell_Curve",$NN$47*(353-$NR$47+1)*($NS$47-353+1)/$NU$47,$NN$47/$NT$47)),0)</f>
        <v/>
      </c>
      <c r="MT47" s="402">
        <f>IF(AND(354&gt;=$NR$47,354&lt;=$NS$47),IF($NP$47="Single_Point",IF(354=$NR$47,$NN$47,0),IF($NP$47="Bell_Curve",$NN$47*(354-$NR$47+1)*($NS$47-354+1)/$NU$47,$NN$47/$NT$47)),0)</f>
        <v/>
      </c>
      <c r="MU47" s="402">
        <f>IF(AND(355&gt;=$NR$47,355&lt;=$NS$47),IF($NP$47="Single_Point",IF(355=$NR$47,$NN$47,0),IF($NP$47="Bell_Curve",$NN$47*(355-$NR$47+1)*($NS$47-355+1)/$NU$47,$NN$47/$NT$47)),0)</f>
        <v/>
      </c>
      <c r="MV47" s="402">
        <f>IF(AND(356&gt;=$NR$47,356&lt;=$NS$47),IF($NP$47="Single_Point",IF(356=$NR$47,$NN$47,0),IF($NP$47="Bell_Curve",$NN$47*(356-$NR$47+1)*($NS$47-356+1)/$NU$47,$NN$47/$NT$47)),0)</f>
        <v/>
      </c>
      <c r="MW47" s="402">
        <f>IF(AND(357&gt;=$NR$47,357&lt;=$NS$47),IF($NP$47="Single_Point",IF(357=$NR$47,$NN$47,0),IF($NP$47="Bell_Curve",$NN$47*(357-$NR$47+1)*($NS$47-357+1)/$NU$47,$NN$47/$NT$47)),0)</f>
        <v/>
      </c>
      <c r="MX47" s="402">
        <f>IF(AND(358&gt;=$NR$47,358&lt;=$NS$47),IF($NP$47="Single_Point",IF(358=$NR$47,$NN$47,0),IF($NP$47="Bell_Curve",$NN$47*(358-$NR$47+1)*($NS$47-358+1)/$NU$47,$NN$47/$NT$47)),0)</f>
        <v/>
      </c>
      <c r="MY47" s="402">
        <f>IF(AND(359&gt;=$NR$47,359&lt;=$NS$47),IF($NP$47="Single_Point",IF(359=$NR$47,$NN$47,0),IF($NP$47="Bell_Curve",$NN$47*(359-$NR$47+1)*($NS$47-359+1)/$NU$47,$NN$47/$NT$47)),0)</f>
        <v/>
      </c>
      <c r="MZ47" s="402">
        <f>IF(AND(360&gt;=$NR$47,360&lt;=$NS$47),IF($NP$47="Single_Point",IF(360=$NR$47,$NN$47,0),IF($NP$47="Bell_Curve",$NN$47*(360-$NR$47+1)*($NS$47-360+1)/$NU$47,$NN$47/$NT$47)),0)</f>
        <v/>
      </c>
      <c r="NA47" s="402">
        <f>IF(AND(361&gt;=$NR$47,361&lt;=$NS$47),IF($NP$47="Single_Point",IF(361=$NR$47,$NN$47,0),IF($NP$47="Bell_Curve",$NN$47*(361-$NR$47+1)*($NS$47-361+1)/$NU$47,$NN$47/$NT$47)),0)</f>
        <v/>
      </c>
      <c r="NB47" s="402">
        <f>IF(AND(362&gt;=$NR$47,362&lt;=$NS$47),IF($NP$47="Single_Point",IF(362=$NR$47,$NN$47,0),IF($NP$47="Bell_Curve",$NN$47*(362-$NR$47+1)*($NS$47-362+1)/$NU$47,$NN$47/$NT$47)),0)</f>
        <v/>
      </c>
      <c r="NC47" s="402">
        <f>IF(AND(363&gt;=$NR$47,363&lt;=$NS$47),IF($NP$47="Single_Point",IF(363=$NR$47,$NN$47,0),IF($NP$47="Bell_Curve",$NN$47*(363-$NR$47+1)*($NS$47-363+1)/$NU$47,$NN$47/$NT$47)),0)</f>
        <v/>
      </c>
      <c r="ND47" s="402">
        <f>IF(AND(364&gt;=$NR$47,364&lt;=$NS$47),IF($NP$47="Single_Point",IF(364=$NR$47,$NN$47,0),IF($NP$47="Bell_Curve",$NN$47*(364-$NR$47+1)*($NS$47-364+1)/$NU$47,$NN$47/$NT$47)),0)</f>
        <v/>
      </c>
      <c r="NE47" s="402">
        <f>IF(AND(365&gt;=$NR$47,365&lt;=$NS$47),IF($NP$47="Single_Point",IF(365=$NR$47,$NN$47,0),IF($NP$47="Bell_Curve",$NN$47*(365-$NR$47+1)*($NS$47-365+1)/$NU$47,$NN$47/$NT$47)),0)</f>
        <v/>
      </c>
      <c r="NF47" s="402">
        <f>IF(AND(366&gt;=$NR$47,366&lt;=$NS$47),IF($NP$47="Single_Point",IF(366=$NR$47,$NN$47,0),IF($NP$47="Bell_Curve",$NN$47*(366-$NR$47+1)*($NS$47-366+1)/$NU$47,$NN$47/$NT$47)),0)</f>
        <v/>
      </c>
      <c r="NG47" s="402">
        <f>IF(AND(367&gt;=$NR$47,367&lt;=$NS$47),IF($NP$47="Single_Point",IF(367=$NR$47,$NN$47,0),IF($NP$47="Bell_Curve",$NN$47*(367-$NR$47+1)*($NS$47-367+1)/$NU$47,$NN$47/$NT$47)),0)</f>
        <v/>
      </c>
      <c r="NH47" s="402">
        <f>IF(AND(368&gt;=$NR$47,368&lt;=$NS$47),IF($NP$47="Single_Point",IF(368=$NR$47,$NN$47,0),IF($NP$47="Bell_Curve",$NN$47*(368-$NR$47+1)*($NS$47-368+1)/$NU$47,$NN$47/$NT$47)),0)</f>
        <v/>
      </c>
      <c r="NI47" s="402">
        <f>IF(AND(369&gt;=$NR$47,369&lt;=$NS$47),IF($NP$47="Single_Point",IF(369=$NR$47,$NN$47,0),IF($NP$47="Bell_Curve",$NN$47*(369-$NR$47+1)*($NS$47-369+1)/$NU$47,$NN$47/$NT$47)),0)</f>
        <v/>
      </c>
      <c r="NJ47" s="402">
        <f>IF(AND(370&gt;=$NR$47,370&lt;=$NS$47),IF($NP$47="Single_Point",IF(370=$NR$47,$NN$47,0),IF($NP$47="Bell_Curve",$NN$47*(370-$NR$47+1)*($NS$47-370+1)/$NU$47,$NN$47/$NT$47)),0)</f>
        <v/>
      </c>
      <c r="NK47" s="402">
        <f>IF(AND(371&gt;=$NR$47,371&lt;=$NS$47),IF($NP$47="Single_Point",IF(371=$NR$47,$NN$47,0),IF($NP$47="Bell_Curve",$NN$47*(371-$NR$47+1)*($NS$47-371+1)/$NU$47,$NN$47/$NT$47)),0)</f>
        <v/>
      </c>
      <c r="NL47" s="402">
        <f>IF(AND(372&gt;=$NR$47,372&lt;=$NS$47),IF($NP$47="Single_Point",IF(372=$NR$47,$NN$47,0),IF($NP$47="Bell_Curve",$NN$47*(372-$NR$47+1)*($NS$47-372+1)/$NU$47,$NN$47/$NT$47)),0)</f>
        <v/>
      </c>
      <c r="NM47">
        <f>Budget!C46</f>
        <v/>
      </c>
      <c r="NN47">
        <f>Budget!J46</f>
        <v/>
      </c>
      <c r="NO47">
        <f>Budget!G46</f>
        <v/>
      </c>
      <c r="NP47">
        <f>Budget!H46</f>
        <v/>
      </c>
      <c r="NQ47">
        <f>Budget!I46</f>
        <v/>
      </c>
      <c r="NR47">
        <f>MAX(1,MIN(372,INDEX(MilestoneStart,MATCH(NO47,MilestoneNames,0))+NQ47))</f>
        <v/>
      </c>
      <c r="NS47">
        <f>MAX(NR47,MIN(372,INDEX(MilestoneEnd,MATCH(NO47,MilestoneNames,0))+NQ47))</f>
        <v/>
      </c>
      <c r="NT47">
        <f>NS47-NR47+1</f>
        <v/>
      </c>
      <c r="NU47">
        <f>NT47*(NT47+1)*(NT47+2)/6</f>
        <v/>
      </c>
    </row>
    <row r="48">
      <c r="B48" s="316">
        <f>Budget!B47</f>
        <v/>
      </c>
      <c r="D48" s="402">
        <f>SUM(E48:NL48)</f>
        <v/>
      </c>
      <c r="E48" s="402">
        <f>IF(AND(1&gt;=$NR$48,1&lt;=$NS$48),IF($NP$48="Single_Point",IF(1=$NR$48,$NN$48,0),IF($NP$48="Bell_Curve",$NN$48*(1-$NR$48+1)*($NS$48-1+1)/$NU$48,$NN$48/$NT$48)),0)</f>
        <v/>
      </c>
      <c r="F48" s="402">
        <f>IF(AND(2&gt;=$NR$48,2&lt;=$NS$48),IF($NP$48="Single_Point",IF(2=$NR$48,$NN$48,0),IF($NP$48="Bell_Curve",$NN$48*(2-$NR$48+1)*($NS$48-2+1)/$NU$48,$NN$48/$NT$48)),0)</f>
        <v/>
      </c>
      <c r="G48" s="402">
        <f>IF(AND(3&gt;=$NR$48,3&lt;=$NS$48),IF($NP$48="Single_Point",IF(3=$NR$48,$NN$48,0),IF($NP$48="Bell_Curve",$NN$48*(3-$NR$48+1)*($NS$48-3+1)/$NU$48,$NN$48/$NT$48)),0)</f>
        <v/>
      </c>
      <c r="H48" s="402">
        <f>IF(AND(4&gt;=$NR$48,4&lt;=$NS$48),IF($NP$48="Single_Point",IF(4=$NR$48,$NN$48,0),IF($NP$48="Bell_Curve",$NN$48*(4-$NR$48+1)*($NS$48-4+1)/$NU$48,$NN$48/$NT$48)),0)</f>
        <v/>
      </c>
      <c r="I48" s="402">
        <f>IF(AND(5&gt;=$NR$48,5&lt;=$NS$48),IF($NP$48="Single_Point",IF(5=$NR$48,$NN$48,0),IF($NP$48="Bell_Curve",$NN$48*(5-$NR$48+1)*($NS$48-5+1)/$NU$48,$NN$48/$NT$48)),0)</f>
        <v/>
      </c>
      <c r="J48" s="402">
        <f>IF(AND(6&gt;=$NR$48,6&lt;=$NS$48),IF($NP$48="Single_Point",IF(6=$NR$48,$NN$48,0),IF($NP$48="Bell_Curve",$NN$48*(6-$NR$48+1)*($NS$48-6+1)/$NU$48,$NN$48/$NT$48)),0)</f>
        <v/>
      </c>
      <c r="K48" s="402">
        <f>IF(AND(7&gt;=$NR$48,7&lt;=$NS$48),IF($NP$48="Single_Point",IF(7=$NR$48,$NN$48,0),IF($NP$48="Bell_Curve",$NN$48*(7-$NR$48+1)*($NS$48-7+1)/$NU$48,$NN$48/$NT$48)),0)</f>
        <v/>
      </c>
      <c r="L48" s="402">
        <f>IF(AND(8&gt;=$NR$48,8&lt;=$NS$48),IF($NP$48="Single_Point",IF(8=$NR$48,$NN$48,0),IF($NP$48="Bell_Curve",$NN$48*(8-$NR$48+1)*($NS$48-8+1)/$NU$48,$NN$48/$NT$48)),0)</f>
        <v/>
      </c>
      <c r="M48" s="402">
        <f>IF(AND(9&gt;=$NR$48,9&lt;=$NS$48),IF($NP$48="Single_Point",IF(9=$NR$48,$NN$48,0),IF($NP$48="Bell_Curve",$NN$48*(9-$NR$48+1)*($NS$48-9+1)/$NU$48,$NN$48/$NT$48)),0)</f>
        <v/>
      </c>
      <c r="N48" s="402">
        <f>IF(AND(10&gt;=$NR$48,10&lt;=$NS$48),IF($NP$48="Single_Point",IF(10=$NR$48,$NN$48,0),IF($NP$48="Bell_Curve",$NN$48*(10-$NR$48+1)*($NS$48-10+1)/$NU$48,$NN$48/$NT$48)),0)</f>
        <v/>
      </c>
      <c r="O48" s="402">
        <f>IF(AND(11&gt;=$NR$48,11&lt;=$NS$48),IF($NP$48="Single_Point",IF(11=$NR$48,$NN$48,0),IF($NP$48="Bell_Curve",$NN$48*(11-$NR$48+1)*($NS$48-11+1)/$NU$48,$NN$48/$NT$48)),0)</f>
        <v/>
      </c>
      <c r="P48" s="402">
        <f>IF(AND(12&gt;=$NR$48,12&lt;=$NS$48),IF($NP$48="Single_Point",IF(12=$NR$48,$NN$48,0),IF($NP$48="Bell_Curve",$NN$48*(12-$NR$48+1)*($NS$48-12+1)/$NU$48,$NN$48/$NT$48)),0)</f>
        <v/>
      </c>
      <c r="Q48" s="402">
        <f>IF(AND(13&gt;=$NR$48,13&lt;=$NS$48),IF($NP$48="Single_Point",IF(13=$NR$48,$NN$48,0),IF($NP$48="Bell_Curve",$NN$48*(13-$NR$48+1)*($NS$48-13+1)/$NU$48,$NN$48/$NT$48)),0)</f>
        <v/>
      </c>
      <c r="R48" s="402">
        <f>IF(AND(14&gt;=$NR$48,14&lt;=$NS$48),IF($NP$48="Single_Point",IF(14=$NR$48,$NN$48,0),IF($NP$48="Bell_Curve",$NN$48*(14-$NR$48+1)*($NS$48-14+1)/$NU$48,$NN$48/$NT$48)),0)</f>
        <v/>
      </c>
      <c r="S48" s="402">
        <f>IF(AND(15&gt;=$NR$48,15&lt;=$NS$48),IF($NP$48="Single_Point",IF(15=$NR$48,$NN$48,0),IF($NP$48="Bell_Curve",$NN$48*(15-$NR$48+1)*($NS$48-15+1)/$NU$48,$NN$48/$NT$48)),0)</f>
        <v/>
      </c>
      <c r="T48" s="402">
        <f>IF(AND(16&gt;=$NR$48,16&lt;=$NS$48),IF($NP$48="Single_Point",IF(16=$NR$48,$NN$48,0),IF($NP$48="Bell_Curve",$NN$48*(16-$NR$48+1)*($NS$48-16+1)/$NU$48,$NN$48/$NT$48)),0)</f>
        <v/>
      </c>
      <c r="U48" s="402">
        <f>IF(AND(17&gt;=$NR$48,17&lt;=$NS$48),IF($NP$48="Single_Point",IF(17=$NR$48,$NN$48,0),IF($NP$48="Bell_Curve",$NN$48*(17-$NR$48+1)*($NS$48-17+1)/$NU$48,$NN$48/$NT$48)),0)</f>
        <v/>
      </c>
      <c r="V48" s="402">
        <f>IF(AND(18&gt;=$NR$48,18&lt;=$NS$48),IF($NP$48="Single_Point",IF(18=$NR$48,$NN$48,0),IF($NP$48="Bell_Curve",$NN$48*(18-$NR$48+1)*($NS$48-18+1)/$NU$48,$NN$48/$NT$48)),0)</f>
        <v/>
      </c>
      <c r="W48" s="402">
        <f>IF(AND(19&gt;=$NR$48,19&lt;=$NS$48),IF($NP$48="Single_Point",IF(19=$NR$48,$NN$48,0),IF($NP$48="Bell_Curve",$NN$48*(19-$NR$48+1)*($NS$48-19+1)/$NU$48,$NN$48/$NT$48)),0)</f>
        <v/>
      </c>
      <c r="X48" s="402">
        <f>IF(AND(20&gt;=$NR$48,20&lt;=$NS$48),IF($NP$48="Single_Point",IF(20=$NR$48,$NN$48,0),IF($NP$48="Bell_Curve",$NN$48*(20-$NR$48+1)*($NS$48-20+1)/$NU$48,$NN$48/$NT$48)),0)</f>
        <v/>
      </c>
      <c r="Y48" s="402">
        <f>IF(AND(21&gt;=$NR$48,21&lt;=$NS$48),IF($NP$48="Single_Point",IF(21=$NR$48,$NN$48,0),IF($NP$48="Bell_Curve",$NN$48*(21-$NR$48+1)*($NS$48-21+1)/$NU$48,$NN$48/$NT$48)),0)</f>
        <v/>
      </c>
      <c r="Z48" s="402">
        <f>IF(AND(22&gt;=$NR$48,22&lt;=$NS$48),IF($NP$48="Single_Point",IF(22=$NR$48,$NN$48,0),IF($NP$48="Bell_Curve",$NN$48*(22-$NR$48+1)*($NS$48-22+1)/$NU$48,$NN$48/$NT$48)),0)</f>
        <v/>
      </c>
      <c r="AA48" s="402">
        <f>IF(AND(23&gt;=$NR$48,23&lt;=$NS$48),IF($NP$48="Single_Point",IF(23=$NR$48,$NN$48,0),IF($NP$48="Bell_Curve",$NN$48*(23-$NR$48+1)*($NS$48-23+1)/$NU$48,$NN$48/$NT$48)),0)</f>
        <v/>
      </c>
      <c r="AB48" s="402">
        <f>IF(AND(24&gt;=$NR$48,24&lt;=$NS$48),IF($NP$48="Single_Point",IF(24=$NR$48,$NN$48,0),IF($NP$48="Bell_Curve",$NN$48*(24-$NR$48+1)*($NS$48-24+1)/$NU$48,$NN$48/$NT$48)),0)</f>
        <v/>
      </c>
      <c r="AC48" s="402">
        <f>IF(AND(25&gt;=$NR$48,25&lt;=$NS$48),IF($NP$48="Single_Point",IF(25=$NR$48,$NN$48,0),IF($NP$48="Bell_Curve",$NN$48*(25-$NR$48+1)*($NS$48-25+1)/$NU$48,$NN$48/$NT$48)),0)</f>
        <v/>
      </c>
      <c r="AD48" s="402">
        <f>IF(AND(26&gt;=$NR$48,26&lt;=$NS$48),IF($NP$48="Single_Point",IF(26=$NR$48,$NN$48,0),IF($NP$48="Bell_Curve",$NN$48*(26-$NR$48+1)*($NS$48-26+1)/$NU$48,$NN$48/$NT$48)),0)</f>
        <v/>
      </c>
      <c r="AE48" s="402">
        <f>IF(AND(27&gt;=$NR$48,27&lt;=$NS$48),IF($NP$48="Single_Point",IF(27=$NR$48,$NN$48,0),IF($NP$48="Bell_Curve",$NN$48*(27-$NR$48+1)*($NS$48-27+1)/$NU$48,$NN$48/$NT$48)),0)</f>
        <v/>
      </c>
      <c r="AF48" s="402">
        <f>IF(AND(28&gt;=$NR$48,28&lt;=$NS$48),IF($NP$48="Single_Point",IF(28=$NR$48,$NN$48,0),IF($NP$48="Bell_Curve",$NN$48*(28-$NR$48+1)*($NS$48-28+1)/$NU$48,$NN$48/$NT$48)),0)</f>
        <v/>
      </c>
      <c r="AG48" s="402">
        <f>IF(AND(29&gt;=$NR$48,29&lt;=$NS$48),IF($NP$48="Single_Point",IF(29=$NR$48,$NN$48,0),IF($NP$48="Bell_Curve",$NN$48*(29-$NR$48+1)*($NS$48-29+1)/$NU$48,$NN$48/$NT$48)),0)</f>
        <v/>
      </c>
      <c r="AH48" s="402">
        <f>IF(AND(30&gt;=$NR$48,30&lt;=$NS$48),IF($NP$48="Single_Point",IF(30=$NR$48,$NN$48,0),IF($NP$48="Bell_Curve",$NN$48*(30-$NR$48+1)*($NS$48-30+1)/$NU$48,$NN$48/$NT$48)),0)</f>
        <v/>
      </c>
      <c r="AI48" s="402">
        <f>IF(AND(31&gt;=$NR$48,31&lt;=$NS$48),IF($NP$48="Single_Point",IF(31=$NR$48,$NN$48,0),IF($NP$48="Bell_Curve",$NN$48*(31-$NR$48+1)*($NS$48-31+1)/$NU$48,$NN$48/$NT$48)),0)</f>
        <v/>
      </c>
      <c r="AJ48" s="402">
        <f>IF(AND(32&gt;=$NR$48,32&lt;=$NS$48),IF($NP$48="Single_Point",IF(32=$NR$48,$NN$48,0),IF($NP$48="Bell_Curve",$NN$48*(32-$NR$48+1)*($NS$48-32+1)/$NU$48,$NN$48/$NT$48)),0)</f>
        <v/>
      </c>
      <c r="AK48" s="402">
        <f>IF(AND(33&gt;=$NR$48,33&lt;=$NS$48),IF($NP$48="Single_Point",IF(33=$NR$48,$NN$48,0),IF($NP$48="Bell_Curve",$NN$48*(33-$NR$48+1)*($NS$48-33+1)/$NU$48,$NN$48/$NT$48)),0)</f>
        <v/>
      </c>
      <c r="AL48" s="402">
        <f>IF(AND(34&gt;=$NR$48,34&lt;=$NS$48),IF($NP$48="Single_Point",IF(34=$NR$48,$NN$48,0),IF($NP$48="Bell_Curve",$NN$48*(34-$NR$48+1)*($NS$48-34+1)/$NU$48,$NN$48/$NT$48)),0)</f>
        <v/>
      </c>
      <c r="AM48" s="402">
        <f>IF(AND(35&gt;=$NR$48,35&lt;=$NS$48),IF($NP$48="Single_Point",IF(35=$NR$48,$NN$48,0),IF($NP$48="Bell_Curve",$NN$48*(35-$NR$48+1)*($NS$48-35+1)/$NU$48,$NN$48/$NT$48)),0)</f>
        <v/>
      </c>
      <c r="AN48" s="402">
        <f>IF(AND(36&gt;=$NR$48,36&lt;=$NS$48),IF($NP$48="Single_Point",IF(36=$NR$48,$NN$48,0),IF($NP$48="Bell_Curve",$NN$48*(36-$NR$48+1)*($NS$48-36+1)/$NU$48,$NN$48/$NT$48)),0)</f>
        <v/>
      </c>
      <c r="AO48" s="402">
        <f>IF(AND(37&gt;=$NR$48,37&lt;=$NS$48),IF($NP$48="Single_Point",IF(37=$NR$48,$NN$48,0),IF($NP$48="Bell_Curve",$NN$48*(37-$NR$48+1)*($NS$48-37+1)/$NU$48,$NN$48/$NT$48)),0)</f>
        <v/>
      </c>
      <c r="AP48" s="402">
        <f>IF(AND(38&gt;=$NR$48,38&lt;=$NS$48),IF($NP$48="Single_Point",IF(38=$NR$48,$NN$48,0),IF($NP$48="Bell_Curve",$NN$48*(38-$NR$48+1)*($NS$48-38+1)/$NU$48,$NN$48/$NT$48)),0)</f>
        <v/>
      </c>
      <c r="AQ48" s="402">
        <f>IF(AND(39&gt;=$NR$48,39&lt;=$NS$48),IF($NP$48="Single_Point",IF(39=$NR$48,$NN$48,0),IF($NP$48="Bell_Curve",$NN$48*(39-$NR$48+1)*($NS$48-39+1)/$NU$48,$NN$48/$NT$48)),0)</f>
        <v/>
      </c>
      <c r="AR48" s="402">
        <f>IF(AND(40&gt;=$NR$48,40&lt;=$NS$48),IF($NP$48="Single_Point",IF(40=$NR$48,$NN$48,0),IF($NP$48="Bell_Curve",$NN$48*(40-$NR$48+1)*($NS$48-40+1)/$NU$48,$NN$48/$NT$48)),0)</f>
        <v/>
      </c>
      <c r="AS48" s="402">
        <f>IF(AND(41&gt;=$NR$48,41&lt;=$NS$48),IF($NP$48="Single_Point",IF(41=$NR$48,$NN$48,0),IF($NP$48="Bell_Curve",$NN$48*(41-$NR$48+1)*($NS$48-41+1)/$NU$48,$NN$48/$NT$48)),0)</f>
        <v/>
      </c>
      <c r="AT48" s="402">
        <f>IF(AND(42&gt;=$NR$48,42&lt;=$NS$48),IF($NP$48="Single_Point",IF(42=$NR$48,$NN$48,0),IF($NP$48="Bell_Curve",$NN$48*(42-$NR$48+1)*($NS$48-42+1)/$NU$48,$NN$48/$NT$48)),0)</f>
        <v/>
      </c>
      <c r="AU48" s="402">
        <f>IF(AND(43&gt;=$NR$48,43&lt;=$NS$48),IF($NP$48="Single_Point",IF(43=$NR$48,$NN$48,0),IF($NP$48="Bell_Curve",$NN$48*(43-$NR$48+1)*($NS$48-43+1)/$NU$48,$NN$48/$NT$48)),0)</f>
        <v/>
      </c>
      <c r="AV48" s="402">
        <f>IF(AND(44&gt;=$NR$48,44&lt;=$NS$48),IF($NP$48="Single_Point",IF(44=$NR$48,$NN$48,0),IF($NP$48="Bell_Curve",$NN$48*(44-$NR$48+1)*($NS$48-44+1)/$NU$48,$NN$48/$NT$48)),0)</f>
        <v/>
      </c>
      <c r="AW48" s="402">
        <f>IF(AND(45&gt;=$NR$48,45&lt;=$NS$48),IF($NP$48="Single_Point",IF(45=$NR$48,$NN$48,0),IF($NP$48="Bell_Curve",$NN$48*(45-$NR$48+1)*($NS$48-45+1)/$NU$48,$NN$48/$NT$48)),0)</f>
        <v/>
      </c>
      <c r="AX48" s="402">
        <f>IF(AND(46&gt;=$NR$48,46&lt;=$NS$48),IF($NP$48="Single_Point",IF(46=$NR$48,$NN$48,0),IF($NP$48="Bell_Curve",$NN$48*(46-$NR$48+1)*($NS$48-46+1)/$NU$48,$NN$48/$NT$48)),0)</f>
        <v/>
      </c>
      <c r="AY48" s="402">
        <f>IF(AND(47&gt;=$NR$48,47&lt;=$NS$48),IF($NP$48="Single_Point",IF(47=$NR$48,$NN$48,0),IF($NP$48="Bell_Curve",$NN$48*(47-$NR$48+1)*($NS$48-47+1)/$NU$48,$NN$48/$NT$48)),0)</f>
        <v/>
      </c>
      <c r="AZ48" s="402">
        <f>IF(AND(48&gt;=$NR$48,48&lt;=$NS$48),IF($NP$48="Single_Point",IF(48=$NR$48,$NN$48,0),IF($NP$48="Bell_Curve",$NN$48*(48-$NR$48+1)*($NS$48-48+1)/$NU$48,$NN$48/$NT$48)),0)</f>
        <v/>
      </c>
      <c r="BA48" s="402">
        <f>IF(AND(49&gt;=$NR$48,49&lt;=$NS$48),IF($NP$48="Single_Point",IF(49=$NR$48,$NN$48,0),IF($NP$48="Bell_Curve",$NN$48*(49-$NR$48+1)*($NS$48-49+1)/$NU$48,$NN$48/$NT$48)),0)</f>
        <v/>
      </c>
      <c r="BB48" s="402">
        <f>IF(AND(50&gt;=$NR$48,50&lt;=$NS$48),IF($NP$48="Single_Point",IF(50=$NR$48,$NN$48,0),IF($NP$48="Bell_Curve",$NN$48*(50-$NR$48+1)*($NS$48-50+1)/$NU$48,$NN$48/$NT$48)),0)</f>
        <v/>
      </c>
      <c r="BC48" s="402">
        <f>IF(AND(51&gt;=$NR$48,51&lt;=$NS$48),IF($NP$48="Single_Point",IF(51=$NR$48,$NN$48,0),IF($NP$48="Bell_Curve",$NN$48*(51-$NR$48+1)*($NS$48-51+1)/$NU$48,$NN$48/$NT$48)),0)</f>
        <v/>
      </c>
      <c r="BD48" s="402">
        <f>IF(AND(52&gt;=$NR$48,52&lt;=$NS$48),IF($NP$48="Single_Point",IF(52=$NR$48,$NN$48,0),IF($NP$48="Bell_Curve",$NN$48*(52-$NR$48+1)*($NS$48-52+1)/$NU$48,$NN$48/$NT$48)),0)</f>
        <v/>
      </c>
      <c r="BE48" s="402">
        <f>IF(AND(53&gt;=$NR$48,53&lt;=$NS$48),IF($NP$48="Single_Point",IF(53=$NR$48,$NN$48,0),IF($NP$48="Bell_Curve",$NN$48*(53-$NR$48+1)*($NS$48-53+1)/$NU$48,$NN$48/$NT$48)),0)</f>
        <v/>
      </c>
      <c r="BF48" s="402">
        <f>IF(AND(54&gt;=$NR$48,54&lt;=$NS$48),IF($NP$48="Single_Point",IF(54=$NR$48,$NN$48,0),IF($NP$48="Bell_Curve",$NN$48*(54-$NR$48+1)*($NS$48-54+1)/$NU$48,$NN$48/$NT$48)),0)</f>
        <v/>
      </c>
      <c r="BG48" s="402">
        <f>IF(AND(55&gt;=$NR$48,55&lt;=$NS$48),IF($NP$48="Single_Point",IF(55=$NR$48,$NN$48,0),IF($NP$48="Bell_Curve",$NN$48*(55-$NR$48+1)*($NS$48-55+1)/$NU$48,$NN$48/$NT$48)),0)</f>
        <v/>
      </c>
      <c r="BH48" s="402">
        <f>IF(AND(56&gt;=$NR$48,56&lt;=$NS$48),IF($NP$48="Single_Point",IF(56=$NR$48,$NN$48,0),IF($NP$48="Bell_Curve",$NN$48*(56-$NR$48+1)*($NS$48-56+1)/$NU$48,$NN$48/$NT$48)),0)</f>
        <v/>
      </c>
      <c r="BI48" s="402">
        <f>IF(AND(57&gt;=$NR$48,57&lt;=$NS$48),IF($NP$48="Single_Point",IF(57=$NR$48,$NN$48,0),IF($NP$48="Bell_Curve",$NN$48*(57-$NR$48+1)*($NS$48-57+1)/$NU$48,$NN$48/$NT$48)),0)</f>
        <v/>
      </c>
      <c r="BJ48" s="402">
        <f>IF(AND(58&gt;=$NR$48,58&lt;=$NS$48),IF($NP$48="Single_Point",IF(58=$NR$48,$NN$48,0),IF($NP$48="Bell_Curve",$NN$48*(58-$NR$48+1)*($NS$48-58+1)/$NU$48,$NN$48/$NT$48)),0)</f>
        <v/>
      </c>
      <c r="BK48" s="402">
        <f>IF(AND(59&gt;=$NR$48,59&lt;=$NS$48),IF($NP$48="Single_Point",IF(59=$NR$48,$NN$48,0),IF($NP$48="Bell_Curve",$NN$48*(59-$NR$48+1)*($NS$48-59+1)/$NU$48,$NN$48/$NT$48)),0)</f>
        <v/>
      </c>
      <c r="BL48" s="402">
        <f>IF(AND(60&gt;=$NR$48,60&lt;=$NS$48),IF($NP$48="Single_Point",IF(60=$NR$48,$NN$48,0),IF($NP$48="Bell_Curve",$NN$48*(60-$NR$48+1)*($NS$48-60+1)/$NU$48,$NN$48/$NT$48)),0)</f>
        <v/>
      </c>
      <c r="BM48" s="402">
        <f>IF(AND(61&gt;=$NR$48,61&lt;=$NS$48),IF($NP$48="Single_Point",IF(61=$NR$48,$NN$48,0),IF($NP$48="Bell_Curve",$NN$48*(61-$NR$48+1)*($NS$48-61+1)/$NU$48,$NN$48/$NT$48)),0)</f>
        <v/>
      </c>
      <c r="BN48" s="402">
        <f>IF(AND(62&gt;=$NR$48,62&lt;=$NS$48),IF($NP$48="Single_Point",IF(62=$NR$48,$NN$48,0),IF($NP$48="Bell_Curve",$NN$48*(62-$NR$48+1)*($NS$48-62+1)/$NU$48,$NN$48/$NT$48)),0)</f>
        <v/>
      </c>
      <c r="BO48" s="402">
        <f>IF(AND(63&gt;=$NR$48,63&lt;=$NS$48),IF($NP$48="Single_Point",IF(63=$NR$48,$NN$48,0),IF($NP$48="Bell_Curve",$NN$48*(63-$NR$48+1)*($NS$48-63+1)/$NU$48,$NN$48/$NT$48)),0)</f>
        <v/>
      </c>
      <c r="BP48" s="402">
        <f>IF(AND(64&gt;=$NR$48,64&lt;=$NS$48),IF($NP$48="Single_Point",IF(64=$NR$48,$NN$48,0),IF($NP$48="Bell_Curve",$NN$48*(64-$NR$48+1)*($NS$48-64+1)/$NU$48,$NN$48/$NT$48)),0)</f>
        <v/>
      </c>
      <c r="BQ48" s="402">
        <f>IF(AND(65&gt;=$NR$48,65&lt;=$NS$48),IF($NP$48="Single_Point",IF(65=$NR$48,$NN$48,0),IF($NP$48="Bell_Curve",$NN$48*(65-$NR$48+1)*($NS$48-65+1)/$NU$48,$NN$48/$NT$48)),0)</f>
        <v/>
      </c>
      <c r="BR48" s="402">
        <f>IF(AND(66&gt;=$NR$48,66&lt;=$NS$48),IF($NP$48="Single_Point",IF(66=$NR$48,$NN$48,0),IF($NP$48="Bell_Curve",$NN$48*(66-$NR$48+1)*($NS$48-66+1)/$NU$48,$NN$48/$NT$48)),0)</f>
        <v/>
      </c>
      <c r="BS48" s="402">
        <f>IF(AND(67&gt;=$NR$48,67&lt;=$NS$48),IF($NP$48="Single_Point",IF(67=$NR$48,$NN$48,0),IF($NP$48="Bell_Curve",$NN$48*(67-$NR$48+1)*($NS$48-67+1)/$NU$48,$NN$48/$NT$48)),0)</f>
        <v/>
      </c>
      <c r="BT48" s="402">
        <f>IF(AND(68&gt;=$NR$48,68&lt;=$NS$48),IF($NP$48="Single_Point",IF(68=$NR$48,$NN$48,0),IF($NP$48="Bell_Curve",$NN$48*(68-$NR$48+1)*($NS$48-68+1)/$NU$48,$NN$48/$NT$48)),0)</f>
        <v/>
      </c>
      <c r="BU48" s="402">
        <f>IF(AND(69&gt;=$NR$48,69&lt;=$NS$48),IF($NP$48="Single_Point",IF(69=$NR$48,$NN$48,0),IF($NP$48="Bell_Curve",$NN$48*(69-$NR$48+1)*($NS$48-69+1)/$NU$48,$NN$48/$NT$48)),0)</f>
        <v/>
      </c>
      <c r="BV48" s="402">
        <f>IF(AND(70&gt;=$NR$48,70&lt;=$NS$48),IF($NP$48="Single_Point",IF(70=$NR$48,$NN$48,0),IF($NP$48="Bell_Curve",$NN$48*(70-$NR$48+1)*($NS$48-70+1)/$NU$48,$NN$48/$NT$48)),0)</f>
        <v/>
      </c>
      <c r="BW48" s="402">
        <f>IF(AND(71&gt;=$NR$48,71&lt;=$NS$48),IF($NP$48="Single_Point",IF(71=$NR$48,$NN$48,0),IF($NP$48="Bell_Curve",$NN$48*(71-$NR$48+1)*($NS$48-71+1)/$NU$48,$NN$48/$NT$48)),0)</f>
        <v/>
      </c>
      <c r="BX48" s="402">
        <f>IF(AND(72&gt;=$NR$48,72&lt;=$NS$48),IF($NP$48="Single_Point",IF(72=$NR$48,$NN$48,0),IF($NP$48="Bell_Curve",$NN$48*(72-$NR$48+1)*($NS$48-72+1)/$NU$48,$NN$48/$NT$48)),0)</f>
        <v/>
      </c>
      <c r="BY48" s="402">
        <f>IF(AND(73&gt;=$NR$48,73&lt;=$NS$48),IF($NP$48="Single_Point",IF(73=$NR$48,$NN$48,0),IF($NP$48="Bell_Curve",$NN$48*(73-$NR$48+1)*($NS$48-73+1)/$NU$48,$NN$48/$NT$48)),0)</f>
        <v/>
      </c>
      <c r="BZ48" s="402">
        <f>IF(AND(74&gt;=$NR$48,74&lt;=$NS$48),IF($NP$48="Single_Point",IF(74=$NR$48,$NN$48,0),IF($NP$48="Bell_Curve",$NN$48*(74-$NR$48+1)*($NS$48-74+1)/$NU$48,$NN$48/$NT$48)),0)</f>
        <v/>
      </c>
      <c r="CA48" s="402">
        <f>IF(AND(75&gt;=$NR$48,75&lt;=$NS$48),IF($NP$48="Single_Point",IF(75=$NR$48,$NN$48,0),IF($NP$48="Bell_Curve",$NN$48*(75-$NR$48+1)*($NS$48-75+1)/$NU$48,$NN$48/$NT$48)),0)</f>
        <v/>
      </c>
      <c r="CB48" s="402">
        <f>IF(AND(76&gt;=$NR$48,76&lt;=$NS$48),IF($NP$48="Single_Point",IF(76=$NR$48,$NN$48,0),IF($NP$48="Bell_Curve",$NN$48*(76-$NR$48+1)*($NS$48-76+1)/$NU$48,$NN$48/$NT$48)),0)</f>
        <v/>
      </c>
      <c r="CC48" s="402">
        <f>IF(AND(77&gt;=$NR$48,77&lt;=$NS$48),IF($NP$48="Single_Point",IF(77=$NR$48,$NN$48,0),IF($NP$48="Bell_Curve",$NN$48*(77-$NR$48+1)*($NS$48-77+1)/$NU$48,$NN$48/$NT$48)),0)</f>
        <v/>
      </c>
      <c r="CD48" s="402">
        <f>IF(AND(78&gt;=$NR$48,78&lt;=$NS$48),IF($NP$48="Single_Point",IF(78=$NR$48,$NN$48,0),IF($NP$48="Bell_Curve",$NN$48*(78-$NR$48+1)*($NS$48-78+1)/$NU$48,$NN$48/$NT$48)),0)</f>
        <v/>
      </c>
      <c r="CE48" s="402">
        <f>IF(AND(79&gt;=$NR$48,79&lt;=$NS$48),IF($NP$48="Single_Point",IF(79=$NR$48,$NN$48,0),IF($NP$48="Bell_Curve",$NN$48*(79-$NR$48+1)*($NS$48-79+1)/$NU$48,$NN$48/$NT$48)),0)</f>
        <v/>
      </c>
      <c r="CF48" s="402">
        <f>IF(AND(80&gt;=$NR$48,80&lt;=$NS$48),IF($NP$48="Single_Point",IF(80=$NR$48,$NN$48,0),IF($NP$48="Bell_Curve",$NN$48*(80-$NR$48+1)*($NS$48-80+1)/$NU$48,$NN$48/$NT$48)),0)</f>
        <v/>
      </c>
      <c r="CG48" s="402">
        <f>IF(AND(81&gt;=$NR$48,81&lt;=$NS$48),IF($NP$48="Single_Point",IF(81=$NR$48,$NN$48,0),IF($NP$48="Bell_Curve",$NN$48*(81-$NR$48+1)*($NS$48-81+1)/$NU$48,$NN$48/$NT$48)),0)</f>
        <v/>
      </c>
      <c r="CH48" s="402">
        <f>IF(AND(82&gt;=$NR$48,82&lt;=$NS$48),IF($NP$48="Single_Point",IF(82=$NR$48,$NN$48,0),IF($NP$48="Bell_Curve",$NN$48*(82-$NR$48+1)*($NS$48-82+1)/$NU$48,$NN$48/$NT$48)),0)</f>
        <v/>
      </c>
      <c r="CI48" s="402">
        <f>IF(AND(83&gt;=$NR$48,83&lt;=$NS$48),IF($NP$48="Single_Point",IF(83=$NR$48,$NN$48,0),IF($NP$48="Bell_Curve",$NN$48*(83-$NR$48+1)*($NS$48-83+1)/$NU$48,$NN$48/$NT$48)),0)</f>
        <v/>
      </c>
      <c r="CJ48" s="402">
        <f>IF(AND(84&gt;=$NR$48,84&lt;=$NS$48),IF($NP$48="Single_Point",IF(84=$NR$48,$NN$48,0),IF($NP$48="Bell_Curve",$NN$48*(84-$NR$48+1)*($NS$48-84+1)/$NU$48,$NN$48/$NT$48)),0)</f>
        <v/>
      </c>
      <c r="CK48" s="402">
        <f>IF(AND(85&gt;=$NR$48,85&lt;=$NS$48),IF($NP$48="Single_Point",IF(85=$NR$48,$NN$48,0),IF($NP$48="Bell_Curve",$NN$48*(85-$NR$48+1)*($NS$48-85+1)/$NU$48,$NN$48/$NT$48)),0)</f>
        <v/>
      </c>
      <c r="CL48" s="402">
        <f>IF(AND(86&gt;=$NR$48,86&lt;=$NS$48),IF($NP$48="Single_Point",IF(86=$NR$48,$NN$48,0),IF($NP$48="Bell_Curve",$NN$48*(86-$NR$48+1)*($NS$48-86+1)/$NU$48,$NN$48/$NT$48)),0)</f>
        <v/>
      </c>
      <c r="CM48" s="402">
        <f>IF(AND(87&gt;=$NR$48,87&lt;=$NS$48),IF($NP$48="Single_Point",IF(87=$NR$48,$NN$48,0),IF($NP$48="Bell_Curve",$NN$48*(87-$NR$48+1)*($NS$48-87+1)/$NU$48,$NN$48/$NT$48)),0)</f>
        <v/>
      </c>
      <c r="CN48" s="402">
        <f>IF(AND(88&gt;=$NR$48,88&lt;=$NS$48),IF($NP$48="Single_Point",IF(88=$NR$48,$NN$48,0),IF($NP$48="Bell_Curve",$NN$48*(88-$NR$48+1)*($NS$48-88+1)/$NU$48,$NN$48/$NT$48)),0)</f>
        <v/>
      </c>
      <c r="CO48" s="402">
        <f>IF(AND(89&gt;=$NR$48,89&lt;=$NS$48),IF($NP$48="Single_Point",IF(89=$NR$48,$NN$48,0),IF($NP$48="Bell_Curve",$NN$48*(89-$NR$48+1)*($NS$48-89+1)/$NU$48,$NN$48/$NT$48)),0)</f>
        <v/>
      </c>
      <c r="CP48" s="402">
        <f>IF(AND(90&gt;=$NR$48,90&lt;=$NS$48),IF($NP$48="Single_Point",IF(90=$NR$48,$NN$48,0),IF($NP$48="Bell_Curve",$NN$48*(90-$NR$48+1)*($NS$48-90+1)/$NU$48,$NN$48/$NT$48)),0)</f>
        <v/>
      </c>
      <c r="CQ48" s="402">
        <f>IF(AND(91&gt;=$NR$48,91&lt;=$NS$48),IF($NP$48="Single_Point",IF(91=$NR$48,$NN$48,0),IF($NP$48="Bell_Curve",$NN$48*(91-$NR$48+1)*($NS$48-91+1)/$NU$48,$NN$48/$NT$48)),0)</f>
        <v/>
      </c>
      <c r="CR48" s="402">
        <f>IF(AND(92&gt;=$NR$48,92&lt;=$NS$48),IF($NP$48="Single_Point",IF(92=$NR$48,$NN$48,0),IF($NP$48="Bell_Curve",$NN$48*(92-$NR$48+1)*($NS$48-92+1)/$NU$48,$NN$48/$NT$48)),0)</f>
        <v/>
      </c>
      <c r="CS48" s="402">
        <f>IF(AND(93&gt;=$NR$48,93&lt;=$NS$48),IF($NP$48="Single_Point",IF(93=$NR$48,$NN$48,0),IF($NP$48="Bell_Curve",$NN$48*(93-$NR$48+1)*($NS$48-93+1)/$NU$48,$NN$48/$NT$48)),0)</f>
        <v/>
      </c>
      <c r="CT48" s="402">
        <f>IF(AND(94&gt;=$NR$48,94&lt;=$NS$48),IF($NP$48="Single_Point",IF(94=$NR$48,$NN$48,0),IF($NP$48="Bell_Curve",$NN$48*(94-$NR$48+1)*($NS$48-94+1)/$NU$48,$NN$48/$NT$48)),0)</f>
        <v/>
      </c>
      <c r="CU48" s="402">
        <f>IF(AND(95&gt;=$NR$48,95&lt;=$NS$48),IF($NP$48="Single_Point",IF(95=$NR$48,$NN$48,0),IF($NP$48="Bell_Curve",$NN$48*(95-$NR$48+1)*($NS$48-95+1)/$NU$48,$NN$48/$NT$48)),0)</f>
        <v/>
      </c>
      <c r="CV48" s="402">
        <f>IF(AND(96&gt;=$NR$48,96&lt;=$NS$48),IF($NP$48="Single_Point",IF(96=$NR$48,$NN$48,0),IF($NP$48="Bell_Curve",$NN$48*(96-$NR$48+1)*($NS$48-96+1)/$NU$48,$NN$48/$NT$48)),0)</f>
        <v/>
      </c>
      <c r="CW48" s="402">
        <f>IF(AND(97&gt;=$NR$48,97&lt;=$NS$48),IF($NP$48="Single_Point",IF(97=$NR$48,$NN$48,0),IF($NP$48="Bell_Curve",$NN$48*(97-$NR$48+1)*($NS$48-97+1)/$NU$48,$NN$48/$NT$48)),0)</f>
        <v/>
      </c>
      <c r="CX48" s="402">
        <f>IF(AND(98&gt;=$NR$48,98&lt;=$NS$48),IF($NP$48="Single_Point",IF(98=$NR$48,$NN$48,0),IF($NP$48="Bell_Curve",$NN$48*(98-$NR$48+1)*($NS$48-98+1)/$NU$48,$NN$48/$NT$48)),0)</f>
        <v/>
      </c>
      <c r="CY48" s="402">
        <f>IF(AND(99&gt;=$NR$48,99&lt;=$NS$48),IF($NP$48="Single_Point",IF(99=$NR$48,$NN$48,0),IF($NP$48="Bell_Curve",$NN$48*(99-$NR$48+1)*($NS$48-99+1)/$NU$48,$NN$48/$NT$48)),0)</f>
        <v/>
      </c>
      <c r="CZ48" s="402">
        <f>IF(AND(100&gt;=$NR$48,100&lt;=$NS$48),IF($NP$48="Single_Point",IF(100=$NR$48,$NN$48,0),IF($NP$48="Bell_Curve",$NN$48*(100-$NR$48+1)*($NS$48-100+1)/$NU$48,$NN$48/$NT$48)),0)</f>
        <v/>
      </c>
      <c r="DA48" s="402">
        <f>IF(AND(101&gt;=$NR$48,101&lt;=$NS$48),IF($NP$48="Single_Point",IF(101=$NR$48,$NN$48,0),IF($NP$48="Bell_Curve",$NN$48*(101-$NR$48+1)*($NS$48-101+1)/$NU$48,$NN$48/$NT$48)),0)</f>
        <v/>
      </c>
      <c r="DB48" s="402">
        <f>IF(AND(102&gt;=$NR$48,102&lt;=$NS$48),IF($NP$48="Single_Point",IF(102=$NR$48,$NN$48,0),IF($NP$48="Bell_Curve",$NN$48*(102-$NR$48+1)*($NS$48-102+1)/$NU$48,$NN$48/$NT$48)),0)</f>
        <v/>
      </c>
      <c r="DC48" s="402">
        <f>IF(AND(103&gt;=$NR$48,103&lt;=$NS$48),IF($NP$48="Single_Point",IF(103=$NR$48,$NN$48,0),IF($NP$48="Bell_Curve",$NN$48*(103-$NR$48+1)*($NS$48-103+1)/$NU$48,$NN$48/$NT$48)),0)</f>
        <v/>
      </c>
      <c r="DD48" s="402">
        <f>IF(AND(104&gt;=$NR$48,104&lt;=$NS$48),IF($NP$48="Single_Point",IF(104=$NR$48,$NN$48,0),IF($NP$48="Bell_Curve",$NN$48*(104-$NR$48+1)*($NS$48-104+1)/$NU$48,$NN$48/$NT$48)),0)</f>
        <v/>
      </c>
      <c r="DE48" s="402">
        <f>IF(AND(105&gt;=$NR$48,105&lt;=$NS$48),IF($NP$48="Single_Point",IF(105=$NR$48,$NN$48,0),IF($NP$48="Bell_Curve",$NN$48*(105-$NR$48+1)*($NS$48-105+1)/$NU$48,$NN$48/$NT$48)),0)</f>
        <v/>
      </c>
      <c r="DF48" s="402">
        <f>IF(AND(106&gt;=$NR$48,106&lt;=$NS$48),IF($NP$48="Single_Point",IF(106=$NR$48,$NN$48,0),IF($NP$48="Bell_Curve",$NN$48*(106-$NR$48+1)*($NS$48-106+1)/$NU$48,$NN$48/$NT$48)),0)</f>
        <v/>
      </c>
      <c r="DG48" s="402">
        <f>IF(AND(107&gt;=$NR$48,107&lt;=$NS$48),IF($NP$48="Single_Point",IF(107=$NR$48,$NN$48,0),IF($NP$48="Bell_Curve",$NN$48*(107-$NR$48+1)*($NS$48-107+1)/$NU$48,$NN$48/$NT$48)),0)</f>
        <v/>
      </c>
      <c r="DH48" s="402">
        <f>IF(AND(108&gt;=$NR$48,108&lt;=$NS$48),IF($NP$48="Single_Point",IF(108=$NR$48,$NN$48,0),IF($NP$48="Bell_Curve",$NN$48*(108-$NR$48+1)*($NS$48-108+1)/$NU$48,$NN$48/$NT$48)),0)</f>
        <v/>
      </c>
      <c r="DI48" s="402">
        <f>IF(AND(109&gt;=$NR$48,109&lt;=$NS$48),IF($NP$48="Single_Point",IF(109=$NR$48,$NN$48,0),IF($NP$48="Bell_Curve",$NN$48*(109-$NR$48+1)*($NS$48-109+1)/$NU$48,$NN$48/$NT$48)),0)</f>
        <v/>
      </c>
      <c r="DJ48" s="402">
        <f>IF(AND(110&gt;=$NR$48,110&lt;=$NS$48),IF($NP$48="Single_Point",IF(110=$NR$48,$NN$48,0),IF($NP$48="Bell_Curve",$NN$48*(110-$NR$48+1)*($NS$48-110+1)/$NU$48,$NN$48/$NT$48)),0)</f>
        <v/>
      </c>
      <c r="DK48" s="402">
        <f>IF(AND(111&gt;=$NR$48,111&lt;=$NS$48),IF($NP$48="Single_Point",IF(111=$NR$48,$NN$48,0),IF($NP$48="Bell_Curve",$NN$48*(111-$NR$48+1)*($NS$48-111+1)/$NU$48,$NN$48/$NT$48)),0)</f>
        <v/>
      </c>
      <c r="DL48" s="402">
        <f>IF(AND(112&gt;=$NR$48,112&lt;=$NS$48),IF($NP$48="Single_Point",IF(112=$NR$48,$NN$48,0),IF($NP$48="Bell_Curve",$NN$48*(112-$NR$48+1)*($NS$48-112+1)/$NU$48,$NN$48/$NT$48)),0)</f>
        <v/>
      </c>
      <c r="DM48" s="402">
        <f>IF(AND(113&gt;=$NR$48,113&lt;=$NS$48),IF($NP$48="Single_Point",IF(113=$NR$48,$NN$48,0),IF($NP$48="Bell_Curve",$NN$48*(113-$NR$48+1)*($NS$48-113+1)/$NU$48,$NN$48/$NT$48)),0)</f>
        <v/>
      </c>
      <c r="DN48" s="402">
        <f>IF(AND(114&gt;=$NR$48,114&lt;=$NS$48),IF($NP$48="Single_Point",IF(114=$NR$48,$NN$48,0),IF($NP$48="Bell_Curve",$NN$48*(114-$NR$48+1)*($NS$48-114+1)/$NU$48,$NN$48/$NT$48)),0)</f>
        <v/>
      </c>
      <c r="DO48" s="402">
        <f>IF(AND(115&gt;=$NR$48,115&lt;=$NS$48),IF($NP$48="Single_Point",IF(115=$NR$48,$NN$48,0),IF($NP$48="Bell_Curve",$NN$48*(115-$NR$48+1)*($NS$48-115+1)/$NU$48,$NN$48/$NT$48)),0)</f>
        <v/>
      </c>
      <c r="DP48" s="402">
        <f>IF(AND(116&gt;=$NR$48,116&lt;=$NS$48),IF($NP$48="Single_Point",IF(116=$NR$48,$NN$48,0),IF($NP$48="Bell_Curve",$NN$48*(116-$NR$48+1)*($NS$48-116+1)/$NU$48,$NN$48/$NT$48)),0)</f>
        <v/>
      </c>
      <c r="DQ48" s="402">
        <f>IF(AND(117&gt;=$NR$48,117&lt;=$NS$48),IF($NP$48="Single_Point",IF(117=$NR$48,$NN$48,0),IF($NP$48="Bell_Curve",$NN$48*(117-$NR$48+1)*($NS$48-117+1)/$NU$48,$NN$48/$NT$48)),0)</f>
        <v/>
      </c>
      <c r="DR48" s="402">
        <f>IF(AND(118&gt;=$NR$48,118&lt;=$NS$48),IF($NP$48="Single_Point",IF(118=$NR$48,$NN$48,0),IF($NP$48="Bell_Curve",$NN$48*(118-$NR$48+1)*($NS$48-118+1)/$NU$48,$NN$48/$NT$48)),0)</f>
        <v/>
      </c>
      <c r="DS48" s="402">
        <f>IF(AND(119&gt;=$NR$48,119&lt;=$NS$48),IF($NP$48="Single_Point",IF(119=$NR$48,$NN$48,0),IF($NP$48="Bell_Curve",$NN$48*(119-$NR$48+1)*($NS$48-119+1)/$NU$48,$NN$48/$NT$48)),0)</f>
        <v/>
      </c>
      <c r="DT48" s="402">
        <f>IF(AND(120&gt;=$NR$48,120&lt;=$NS$48),IF($NP$48="Single_Point",IF(120=$NR$48,$NN$48,0),IF($NP$48="Bell_Curve",$NN$48*(120-$NR$48+1)*($NS$48-120+1)/$NU$48,$NN$48/$NT$48)),0)</f>
        <v/>
      </c>
      <c r="DU48" s="402">
        <f>IF(AND(121&gt;=$NR$48,121&lt;=$NS$48),IF($NP$48="Single_Point",IF(121=$NR$48,$NN$48,0),IF($NP$48="Bell_Curve",$NN$48*(121-$NR$48+1)*($NS$48-121+1)/$NU$48,$NN$48/$NT$48)),0)</f>
        <v/>
      </c>
      <c r="DV48" s="402">
        <f>IF(AND(122&gt;=$NR$48,122&lt;=$NS$48),IF($NP$48="Single_Point",IF(122=$NR$48,$NN$48,0),IF($NP$48="Bell_Curve",$NN$48*(122-$NR$48+1)*($NS$48-122+1)/$NU$48,$NN$48/$NT$48)),0)</f>
        <v/>
      </c>
      <c r="DW48" s="402">
        <f>IF(AND(123&gt;=$NR$48,123&lt;=$NS$48),IF($NP$48="Single_Point",IF(123=$NR$48,$NN$48,0),IF($NP$48="Bell_Curve",$NN$48*(123-$NR$48+1)*($NS$48-123+1)/$NU$48,$NN$48/$NT$48)),0)</f>
        <v/>
      </c>
      <c r="DX48" s="402">
        <f>IF(AND(124&gt;=$NR$48,124&lt;=$NS$48),IF($NP$48="Single_Point",IF(124=$NR$48,$NN$48,0),IF($NP$48="Bell_Curve",$NN$48*(124-$NR$48+1)*($NS$48-124+1)/$NU$48,$NN$48/$NT$48)),0)</f>
        <v/>
      </c>
      <c r="DY48" s="402">
        <f>IF(AND(125&gt;=$NR$48,125&lt;=$NS$48),IF($NP$48="Single_Point",IF(125=$NR$48,$NN$48,0),IF($NP$48="Bell_Curve",$NN$48*(125-$NR$48+1)*($NS$48-125+1)/$NU$48,$NN$48/$NT$48)),0)</f>
        <v/>
      </c>
      <c r="DZ48" s="402">
        <f>IF(AND(126&gt;=$NR$48,126&lt;=$NS$48),IF($NP$48="Single_Point",IF(126=$NR$48,$NN$48,0),IF($NP$48="Bell_Curve",$NN$48*(126-$NR$48+1)*($NS$48-126+1)/$NU$48,$NN$48/$NT$48)),0)</f>
        <v/>
      </c>
      <c r="EA48" s="402">
        <f>IF(AND(127&gt;=$NR$48,127&lt;=$NS$48),IF($NP$48="Single_Point",IF(127=$NR$48,$NN$48,0),IF($NP$48="Bell_Curve",$NN$48*(127-$NR$48+1)*($NS$48-127+1)/$NU$48,$NN$48/$NT$48)),0)</f>
        <v/>
      </c>
      <c r="EB48" s="402">
        <f>IF(AND(128&gt;=$NR$48,128&lt;=$NS$48),IF($NP$48="Single_Point",IF(128=$NR$48,$NN$48,0),IF($NP$48="Bell_Curve",$NN$48*(128-$NR$48+1)*($NS$48-128+1)/$NU$48,$NN$48/$NT$48)),0)</f>
        <v/>
      </c>
      <c r="EC48" s="402">
        <f>IF(AND(129&gt;=$NR$48,129&lt;=$NS$48),IF($NP$48="Single_Point",IF(129=$NR$48,$NN$48,0),IF($NP$48="Bell_Curve",$NN$48*(129-$NR$48+1)*($NS$48-129+1)/$NU$48,$NN$48/$NT$48)),0)</f>
        <v/>
      </c>
      <c r="ED48" s="402">
        <f>IF(AND(130&gt;=$NR$48,130&lt;=$NS$48),IF($NP$48="Single_Point",IF(130=$NR$48,$NN$48,0),IF($NP$48="Bell_Curve",$NN$48*(130-$NR$48+1)*($NS$48-130+1)/$NU$48,$NN$48/$NT$48)),0)</f>
        <v/>
      </c>
      <c r="EE48" s="402">
        <f>IF(AND(131&gt;=$NR$48,131&lt;=$NS$48),IF($NP$48="Single_Point",IF(131=$NR$48,$NN$48,0),IF($NP$48="Bell_Curve",$NN$48*(131-$NR$48+1)*($NS$48-131+1)/$NU$48,$NN$48/$NT$48)),0)</f>
        <v/>
      </c>
      <c r="EF48" s="402">
        <f>IF(AND(132&gt;=$NR$48,132&lt;=$NS$48),IF($NP$48="Single_Point",IF(132=$NR$48,$NN$48,0),IF($NP$48="Bell_Curve",$NN$48*(132-$NR$48+1)*($NS$48-132+1)/$NU$48,$NN$48/$NT$48)),0)</f>
        <v/>
      </c>
      <c r="EG48" s="402">
        <f>IF(AND(133&gt;=$NR$48,133&lt;=$NS$48),IF($NP$48="Single_Point",IF(133=$NR$48,$NN$48,0),IF($NP$48="Bell_Curve",$NN$48*(133-$NR$48+1)*($NS$48-133+1)/$NU$48,$NN$48/$NT$48)),0)</f>
        <v/>
      </c>
      <c r="EH48" s="402">
        <f>IF(AND(134&gt;=$NR$48,134&lt;=$NS$48),IF($NP$48="Single_Point",IF(134=$NR$48,$NN$48,0),IF($NP$48="Bell_Curve",$NN$48*(134-$NR$48+1)*($NS$48-134+1)/$NU$48,$NN$48/$NT$48)),0)</f>
        <v/>
      </c>
      <c r="EI48" s="402">
        <f>IF(AND(135&gt;=$NR$48,135&lt;=$NS$48),IF($NP$48="Single_Point",IF(135=$NR$48,$NN$48,0),IF($NP$48="Bell_Curve",$NN$48*(135-$NR$48+1)*($NS$48-135+1)/$NU$48,$NN$48/$NT$48)),0)</f>
        <v/>
      </c>
      <c r="EJ48" s="402">
        <f>IF(AND(136&gt;=$NR$48,136&lt;=$NS$48),IF($NP$48="Single_Point",IF(136=$NR$48,$NN$48,0),IF($NP$48="Bell_Curve",$NN$48*(136-$NR$48+1)*($NS$48-136+1)/$NU$48,$NN$48/$NT$48)),0)</f>
        <v/>
      </c>
      <c r="EK48" s="402">
        <f>IF(AND(137&gt;=$NR$48,137&lt;=$NS$48),IF($NP$48="Single_Point",IF(137=$NR$48,$NN$48,0),IF($NP$48="Bell_Curve",$NN$48*(137-$NR$48+1)*($NS$48-137+1)/$NU$48,$NN$48/$NT$48)),0)</f>
        <v/>
      </c>
      <c r="EL48" s="402">
        <f>IF(AND(138&gt;=$NR$48,138&lt;=$NS$48),IF($NP$48="Single_Point",IF(138=$NR$48,$NN$48,0),IF($NP$48="Bell_Curve",$NN$48*(138-$NR$48+1)*($NS$48-138+1)/$NU$48,$NN$48/$NT$48)),0)</f>
        <v/>
      </c>
      <c r="EM48" s="402">
        <f>IF(AND(139&gt;=$NR$48,139&lt;=$NS$48),IF($NP$48="Single_Point",IF(139=$NR$48,$NN$48,0),IF($NP$48="Bell_Curve",$NN$48*(139-$NR$48+1)*($NS$48-139+1)/$NU$48,$NN$48/$NT$48)),0)</f>
        <v/>
      </c>
      <c r="EN48" s="402">
        <f>IF(AND(140&gt;=$NR$48,140&lt;=$NS$48),IF($NP$48="Single_Point",IF(140=$NR$48,$NN$48,0),IF($NP$48="Bell_Curve",$NN$48*(140-$NR$48+1)*($NS$48-140+1)/$NU$48,$NN$48/$NT$48)),0)</f>
        <v/>
      </c>
      <c r="EO48" s="402">
        <f>IF(AND(141&gt;=$NR$48,141&lt;=$NS$48),IF($NP$48="Single_Point",IF(141=$NR$48,$NN$48,0),IF($NP$48="Bell_Curve",$NN$48*(141-$NR$48+1)*($NS$48-141+1)/$NU$48,$NN$48/$NT$48)),0)</f>
        <v/>
      </c>
      <c r="EP48" s="402">
        <f>IF(AND(142&gt;=$NR$48,142&lt;=$NS$48),IF($NP$48="Single_Point",IF(142=$NR$48,$NN$48,0),IF($NP$48="Bell_Curve",$NN$48*(142-$NR$48+1)*($NS$48-142+1)/$NU$48,$NN$48/$NT$48)),0)</f>
        <v/>
      </c>
      <c r="EQ48" s="402">
        <f>IF(AND(143&gt;=$NR$48,143&lt;=$NS$48),IF($NP$48="Single_Point",IF(143=$NR$48,$NN$48,0),IF($NP$48="Bell_Curve",$NN$48*(143-$NR$48+1)*($NS$48-143+1)/$NU$48,$NN$48/$NT$48)),0)</f>
        <v/>
      </c>
      <c r="ER48" s="402">
        <f>IF(AND(144&gt;=$NR$48,144&lt;=$NS$48),IF($NP$48="Single_Point",IF(144=$NR$48,$NN$48,0),IF($NP$48="Bell_Curve",$NN$48*(144-$NR$48+1)*($NS$48-144+1)/$NU$48,$NN$48/$NT$48)),0)</f>
        <v/>
      </c>
      <c r="ES48" s="402">
        <f>IF(AND(145&gt;=$NR$48,145&lt;=$NS$48),IF($NP$48="Single_Point",IF(145=$NR$48,$NN$48,0),IF($NP$48="Bell_Curve",$NN$48*(145-$NR$48+1)*($NS$48-145+1)/$NU$48,$NN$48/$NT$48)),0)</f>
        <v/>
      </c>
      <c r="ET48" s="402">
        <f>IF(AND(146&gt;=$NR$48,146&lt;=$NS$48),IF($NP$48="Single_Point",IF(146=$NR$48,$NN$48,0),IF($NP$48="Bell_Curve",$NN$48*(146-$NR$48+1)*($NS$48-146+1)/$NU$48,$NN$48/$NT$48)),0)</f>
        <v/>
      </c>
      <c r="EU48" s="402">
        <f>IF(AND(147&gt;=$NR$48,147&lt;=$NS$48),IF($NP$48="Single_Point",IF(147=$NR$48,$NN$48,0),IF($NP$48="Bell_Curve",$NN$48*(147-$NR$48+1)*($NS$48-147+1)/$NU$48,$NN$48/$NT$48)),0)</f>
        <v/>
      </c>
      <c r="EV48" s="402">
        <f>IF(AND(148&gt;=$NR$48,148&lt;=$NS$48),IF($NP$48="Single_Point",IF(148=$NR$48,$NN$48,0),IF($NP$48="Bell_Curve",$NN$48*(148-$NR$48+1)*($NS$48-148+1)/$NU$48,$NN$48/$NT$48)),0)</f>
        <v/>
      </c>
      <c r="EW48" s="402">
        <f>IF(AND(149&gt;=$NR$48,149&lt;=$NS$48),IF($NP$48="Single_Point",IF(149=$NR$48,$NN$48,0),IF($NP$48="Bell_Curve",$NN$48*(149-$NR$48+1)*($NS$48-149+1)/$NU$48,$NN$48/$NT$48)),0)</f>
        <v/>
      </c>
      <c r="EX48" s="402">
        <f>IF(AND(150&gt;=$NR$48,150&lt;=$NS$48),IF($NP$48="Single_Point",IF(150=$NR$48,$NN$48,0),IF($NP$48="Bell_Curve",$NN$48*(150-$NR$48+1)*($NS$48-150+1)/$NU$48,$NN$48/$NT$48)),0)</f>
        <v/>
      </c>
      <c r="EY48" s="402">
        <f>IF(AND(151&gt;=$NR$48,151&lt;=$NS$48),IF($NP$48="Single_Point",IF(151=$NR$48,$NN$48,0),IF($NP$48="Bell_Curve",$NN$48*(151-$NR$48+1)*($NS$48-151+1)/$NU$48,$NN$48/$NT$48)),0)</f>
        <v/>
      </c>
      <c r="EZ48" s="402">
        <f>IF(AND(152&gt;=$NR$48,152&lt;=$NS$48),IF($NP$48="Single_Point",IF(152=$NR$48,$NN$48,0),IF($NP$48="Bell_Curve",$NN$48*(152-$NR$48+1)*($NS$48-152+1)/$NU$48,$NN$48/$NT$48)),0)</f>
        <v/>
      </c>
      <c r="FA48" s="402">
        <f>IF(AND(153&gt;=$NR$48,153&lt;=$NS$48),IF($NP$48="Single_Point",IF(153=$NR$48,$NN$48,0),IF($NP$48="Bell_Curve",$NN$48*(153-$NR$48+1)*($NS$48-153+1)/$NU$48,$NN$48/$NT$48)),0)</f>
        <v/>
      </c>
      <c r="FB48" s="402">
        <f>IF(AND(154&gt;=$NR$48,154&lt;=$NS$48),IF($NP$48="Single_Point",IF(154=$NR$48,$NN$48,0),IF($NP$48="Bell_Curve",$NN$48*(154-$NR$48+1)*($NS$48-154+1)/$NU$48,$NN$48/$NT$48)),0)</f>
        <v/>
      </c>
      <c r="FC48" s="402">
        <f>IF(AND(155&gt;=$NR$48,155&lt;=$NS$48),IF($NP$48="Single_Point",IF(155=$NR$48,$NN$48,0),IF($NP$48="Bell_Curve",$NN$48*(155-$NR$48+1)*($NS$48-155+1)/$NU$48,$NN$48/$NT$48)),0)</f>
        <v/>
      </c>
      <c r="FD48" s="402">
        <f>IF(AND(156&gt;=$NR$48,156&lt;=$NS$48),IF($NP$48="Single_Point",IF(156=$NR$48,$NN$48,0),IF($NP$48="Bell_Curve",$NN$48*(156-$NR$48+1)*($NS$48-156+1)/$NU$48,$NN$48/$NT$48)),0)</f>
        <v/>
      </c>
      <c r="FE48" s="402">
        <f>IF(AND(157&gt;=$NR$48,157&lt;=$NS$48),IF($NP$48="Single_Point",IF(157=$NR$48,$NN$48,0),IF($NP$48="Bell_Curve",$NN$48*(157-$NR$48+1)*($NS$48-157+1)/$NU$48,$NN$48/$NT$48)),0)</f>
        <v/>
      </c>
      <c r="FF48" s="402">
        <f>IF(AND(158&gt;=$NR$48,158&lt;=$NS$48),IF($NP$48="Single_Point",IF(158=$NR$48,$NN$48,0),IF($NP$48="Bell_Curve",$NN$48*(158-$NR$48+1)*($NS$48-158+1)/$NU$48,$NN$48/$NT$48)),0)</f>
        <v/>
      </c>
      <c r="FG48" s="402">
        <f>IF(AND(159&gt;=$NR$48,159&lt;=$NS$48),IF($NP$48="Single_Point",IF(159=$NR$48,$NN$48,0),IF($NP$48="Bell_Curve",$NN$48*(159-$NR$48+1)*($NS$48-159+1)/$NU$48,$NN$48/$NT$48)),0)</f>
        <v/>
      </c>
      <c r="FH48" s="402">
        <f>IF(AND(160&gt;=$NR$48,160&lt;=$NS$48),IF($NP$48="Single_Point",IF(160=$NR$48,$NN$48,0),IF($NP$48="Bell_Curve",$NN$48*(160-$NR$48+1)*($NS$48-160+1)/$NU$48,$NN$48/$NT$48)),0)</f>
        <v/>
      </c>
      <c r="FI48" s="402">
        <f>IF(AND(161&gt;=$NR$48,161&lt;=$NS$48),IF($NP$48="Single_Point",IF(161=$NR$48,$NN$48,0),IF($NP$48="Bell_Curve",$NN$48*(161-$NR$48+1)*($NS$48-161+1)/$NU$48,$NN$48/$NT$48)),0)</f>
        <v/>
      </c>
      <c r="FJ48" s="402">
        <f>IF(AND(162&gt;=$NR$48,162&lt;=$NS$48),IF($NP$48="Single_Point",IF(162=$NR$48,$NN$48,0),IF($NP$48="Bell_Curve",$NN$48*(162-$NR$48+1)*($NS$48-162+1)/$NU$48,$NN$48/$NT$48)),0)</f>
        <v/>
      </c>
      <c r="FK48" s="402">
        <f>IF(AND(163&gt;=$NR$48,163&lt;=$NS$48),IF($NP$48="Single_Point",IF(163=$NR$48,$NN$48,0),IF($NP$48="Bell_Curve",$NN$48*(163-$NR$48+1)*($NS$48-163+1)/$NU$48,$NN$48/$NT$48)),0)</f>
        <v/>
      </c>
      <c r="FL48" s="402">
        <f>IF(AND(164&gt;=$NR$48,164&lt;=$NS$48),IF($NP$48="Single_Point",IF(164=$NR$48,$NN$48,0),IF($NP$48="Bell_Curve",$NN$48*(164-$NR$48+1)*($NS$48-164+1)/$NU$48,$NN$48/$NT$48)),0)</f>
        <v/>
      </c>
      <c r="FM48" s="402">
        <f>IF(AND(165&gt;=$NR$48,165&lt;=$NS$48),IF($NP$48="Single_Point",IF(165=$NR$48,$NN$48,0),IF($NP$48="Bell_Curve",$NN$48*(165-$NR$48+1)*($NS$48-165+1)/$NU$48,$NN$48/$NT$48)),0)</f>
        <v/>
      </c>
      <c r="FN48" s="402">
        <f>IF(AND(166&gt;=$NR$48,166&lt;=$NS$48),IF($NP$48="Single_Point",IF(166=$NR$48,$NN$48,0),IF($NP$48="Bell_Curve",$NN$48*(166-$NR$48+1)*($NS$48-166+1)/$NU$48,$NN$48/$NT$48)),0)</f>
        <v/>
      </c>
      <c r="FO48" s="402">
        <f>IF(AND(167&gt;=$NR$48,167&lt;=$NS$48),IF($NP$48="Single_Point",IF(167=$NR$48,$NN$48,0),IF($NP$48="Bell_Curve",$NN$48*(167-$NR$48+1)*($NS$48-167+1)/$NU$48,$NN$48/$NT$48)),0)</f>
        <v/>
      </c>
      <c r="FP48" s="402">
        <f>IF(AND(168&gt;=$NR$48,168&lt;=$NS$48),IF($NP$48="Single_Point",IF(168=$NR$48,$NN$48,0),IF($NP$48="Bell_Curve",$NN$48*(168-$NR$48+1)*($NS$48-168+1)/$NU$48,$NN$48/$NT$48)),0)</f>
        <v/>
      </c>
      <c r="FQ48" s="402">
        <f>IF(AND(169&gt;=$NR$48,169&lt;=$NS$48),IF($NP$48="Single_Point",IF(169=$NR$48,$NN$48,0),IF($NP$48="Bell_Curve",$NN$48*(169-$NR$48+1)*($NS$48-169+1)/$NU$48,$NN$48/$NT$48)),0)</f>
        <v/>
      </c>
      <c r="FR48" s="402">
        <f>IF(AND(170&gt;=$NR$48,170&lt;=$NS$48),IF($NP$48="Single_Point",IF(170=$NR$48,$NN$48,0),IF($NP$48="Bell_Curve",$NN$48*(170-$NR$48+1)*($NS$48-170+1)/$NU$48,$NN$48/$NT$48)),0)</f>
        <v/>
      </c>
      <c r="FS48" s="402">
        <f>IF(AND(171&gt;=$NR$48,171&lt;=$NS$48),IF($NP$48="Single_Point",IF(171=$NR$48,$NN$48,0),IF($NP$48="Bell_Curve",$NN$48*(171-$NR$48+1)*($NS$48-171+1)/$NU$48,$NN$48/$NT$48)),0)</f>
        <v/>
      </c>
      <c r="FT48" s="402">
        <f>IF(AND(172&gt;=$NR$48,172&lt;=$NS$48),IF($NP$48="Single_Point",IF(172=$NR$48,$NN$48,0),IF($NP$48="Bell_Curve",$NN$48*(172-$NR$48+1)*($NS$48-172+1)/$NU$48,$NN$48/$NT$48)),0)</f>
        <v/>
      </c>
      <c r="FU48" s="402">
        <f>IF(AND(173&gt;=$NR$48,173&lt;=$NS$48),IF($NP$48="Single_Point",IF(173=$NR$48,$NN$48,0),IF($NP$48="Bell_Curve",$NN$48*(173-$NR$48+1)*($NS$48-173+1)/$NU$48,$NN$48/$NT$48)),0)</f>
        <v/>
      </c>
      <c r="FV48" s="402">
        <f>IF(AND(174&gt;=$NR$48,174&lt;=$NS$48),IF($NP$48="Single_Point",IF(174=$NR$48,$NN$48,0),IF($NP$48="Bell_Curve",$NN$48*(174-$NR$48+1)*($NS$48-174+1)/$NU$48,$NN$48/$NT$48)),0)</f>
        <v/>
      </c>
      <c r="FW48" s="402">
        <f>IF(AND(175&gt;=$NR$48,175&lt;=$NS$48),IF($NP$48="Single_Point",IF(175=$NR$48,$NN$48,0),IF($NP$48="Bell_Curve",$NN$48*(175-$NR$48+1)*($NS$48-175+1)/$NU$48,$NN$48/$NT$48)),0)</f>
        <v/>
      </c>
      <c r="FX48" s="402">
        <f>IF(AND(176&gt;=$NR$48,176&lt;=$NS$48),IF($NP$48="Single_Point",IF(176=$NR$48,$NN$48,0),IF($NP$48="Bell_Curve",$NN$48*(176-$NR$48+1)*($NS$48-176+1)/$NU$48,$NN$48/$NT$48)),0)</f>
        <v/>
      </c>
      <c r="FY48" s="402">
        <f>IF(AND(177&gt;=$NR$48,177&lt;=$NS$48),IF($NP$48="Single_Point",IF(177=$NR$48,$NN$48,0),IF($NP$48="Bell_Curve",$NN$48*(177-$NR$48+1)*($NS$48-177+1)/$NU$48,$NN$48/$NT$48)),0)</f>
        <v/>
      </c>
      <c r="FZ48" s="402">
        <f>IF(AND(178&gt;=$NR$48,178&lt;=$NS$48),IF($NP$48="Single_Point",IF(178=$NR$48,$NN$48,0),IF($NP$48="Bell_Curve",$NN$48*(178-$NR$48+1)*($NS$48-178+1)/$NU$48,$NN$48/$NT$48)),0)</f>
        <v/>
      </c>
      <c r="GA48" s="402">
        <f>IF(AND(179&gt;=$NR$48,179&lt;=$NS$48),IF($NP$48="Single_Point",IF(179=$NR$48,$NN$48,0),IF($NP$48="Bell_Curve",$NN$48*(179-$NR$48+1)*($NS$48-179+1)/$NU$48,$NN$48/$NT$48)),0)</f>
        <v/>
      </c>
      <c r="GB48" s="402">
        <f>IF(AND(180&gt;=$NR$48,180&lt;=$NS$48),IF($NP$48="Single_Point",IF(180=$NR$48,$NN$48,0),IF($NP$48="Bell_Curve",$NN$48*(180-$NR$48+1)*($NS$48-180+1)/$NU$48,$NN$48/$NT$48)),0)</f>
        <v/>
      </c>
      <c r="GC48" s="402">
        <f>IF(AND(181&gt;=$NR$48,181&lt;=$NS$48),IF($NP$48="Single_Point",IF(181=$NR$48,$NN$48,0),IF($NP$48="Bell_Curve",$NN$48*(181-$NR$48+1)*($NS$48-181+1)/$NU$48,$NN$48/$NT$48)),0)</f>
        <v/>
      </c>
      <c r="GD48" s="402">
        <f>IF(AND(182&gt;=$NR$48,182&lt;=$NS$48),IF($NP$48="Single_Point",IF(182=$NR$48,$NN$48,0),IF($NP$48="Bell_Curve",$NN$48*(182-$NR$48+1)*($NS$48-182+1)/$NU$48,$NN$48/$NT$48)),0)</f>
        <v/>
      </c>
      <c r="GE48" s="402">
        <f>IF(AND(183&gt;=$NR$48,183&lt;=$NS$48),IF($NP$48="Single_Point",IF(183=$NR$48,$NN$48,0),IF($NP$48="Bell_Curve",$NN$48*(183-$NR$48+1)*($NS$48-183+1)/$NU$48,$NN$48/$NT$48)),0)</f>
        <v/>
      </c>
      <c r="GF48" s="402">
        <f>IF(AND(184&gt;=$NR$48,184&lt;=$NS$48),IF($NP$48="Single_Point",IF(184=$NR$48,$NN$48,0),IF($NP$48="Bell_Curve",$NN$48*(184-$NR$48+1)*($NS$48-184+1)/$NU$48,$NN$48/$NT$48)),0)</f>
        <v/>
      </c>
      <c r="GG48" s="402">
        <f>IF(AND(185&gt;=$NR$48,185&lt;=$NS$48),IF($NP$48="Single_Point",IF(185=$NR$48,$NN$48,0),IF($NP$48="Bell_Curve",$NN$48*(185-$NR$48+1)*($NS$48-185+1)/$NU$48,$NN$48/$NT$48)),0)</f>
        <v/>
      </c>
      <c r="GH48" s="402">
        <f>IF(AND(186&gt;=$NR$48,186&lt;=$NS$48),IF($NP$48="Single_Point",IF(186=$NR$48,$NN$48,0),IF($NP$48="Bell_Curve",$NN$48*(186-$NR$48+1)*($NS$48-186+1)/$NU$48,$NN$48/$NT$48)),0)</f>
        <v/>
      </c>
      <c r="GI48" s="402">
        <f>IF(AND(187&gt;=$NR$48,187&lt;=$NS$48),IF($NP$48="Single_Point",IF(187=$NR$48,$NN$48,0),IF($NP$48="Bell_Curve",$NN$48*(187-$NR$48+1)*($NS$48-187+1)/$NU$48,$NN$48/$NT$48)),0)</f>
        <v/>
      </c>
      <c r="GJ48" s="402">
        <f>IF(AND(188&gt;=$NR$48,188&lt;=$NS$48),IF($NP$48="Single_Point",IF(188=$NR$48,$NN$48,0),IF($NP$48="Bell_Curve",$NN$48*(188-$NR$48+1)*($NS$48-188+1)/$NU$48,$NN$48/$NT$48)),0)</f>
        <v/>
      </c>
      <c r="GK48" s="402">
        <f>IF(AND(189&gt;=$NR$48,189&lt;=$NS$48),IF($NP$48="Single_Point",IF(189=$NR$48,$NN$48,0),IF($NP$48="Bell_Curve",$NN$48*(189-$NR$48+1)*($NS$48-189+1)/$NU$48,$NN$48/$NT$48)),0)</f>
        <v/>
      </c>
      <c r="GL48" s="402">
        <f>IF(AND(190&gt;=$NR$48,190&lt;=$NS$48),IF($NP$48="Single_Point",IF(190=$NR$48,$NN$48,0),IF($NP$48="Bell_Curve",$NN$48*(190-$NR$48+1)*($NS$48-190+1)/$NU$48,$NN$48/$NT$48)),0)</f>
        <v/>
      </c>
      <c r="GM48" s="402">
        <f>IF(AND(191&gt;=$NR$48,191&lt;=$NS$48),IF($NP$48="Single_Point",IF(191=$NR$48,$NN$48,0),IF($NP$48="Bell_Curve",$NN$48*(191-$NR$48+1)*($NS$48-191+1)/$NU$48,$NN$48/$NT$48)),0)</f>
        <v/>
      </c>
      <c r="GN48" s="402">
        <f>IF(AND(192&gt;=$NR$48,192&lt;=$NS$48),IF($NP$48="Single_Point",IF(192=$NR$48,$NN$48,0),IF($NP$48="Bell_Curve",$NN$48*(192-$NR$48+1)*($NS$48-192+1)/$NU$48,$NN$48/$NT$48)),0)</f>
        <v/>
      </c>
      <c r="GO48" s="402">
        <f>IF(AND(193&gt;=$NR$48,193&lt;=$NS$48),IF($NP$48="Single_Point",IF(193=$NR$48,$NN$48,0),IF($NP$48="Bell_Curve",$NN$48*(193-$NR$48+1)*($NS$48-193+1)/$NU$48,$NN$48/$NT$48)),0)</f>
        <v/>
      </c>
      <c r="GP48" s="402">
        <f>IF(AND(194&gt;=$NR$48,194&lt;=$NS$48),IF($NP$48="Single_Point",IF(194=$NR$48,$NN$48,0),IF($NP$48="Bell_Curve",$NN$48*(194-$NR$48+1)*($NS$48-194+1)/$NU$48,$NN$48/$NT$48)),0)</f>
        <v/>
      </c>
      <c r="GQ48" s="402">
        <f>IF(AND(195&gt;=$NR$48,195&lt;=$NS$48),IF($NP$48="Single_Point",IF(195=$NR$48,$NN$48,0),IF($NP$48="Bell_Curve",$NN$48*(195-$NR$48+1)*($NS$48-195+1)/$NU$48,$NN$48/$NT$48)),0)</f>
        <v/>
      </c>
      <c r="GR48" s="402">
        <f>IF(AND(196&gt;=$NR$48,196&lt;=$NS$48),IF($NP$48="Single_Point",IF(196=$NR$48,$NN$48,0),IF($NP$48="Bell_Curve",$NN$48*(196-$NR$48+1)*($NS$48-196+1)/$NU$48,$NN$48/$NT$48)),0)</f>
        <v/>
      </c>
      <c r="GS48" s="402">
        <f>IF(AND(197&gt;=$NR$48,197&lt;=$NS$48),IF($NP$48="Single_Point",IF(197=$NR$48,$NN$48,0),IF($NP$48="Bell_Curve",$NN$48*(197-$NR$48+1)*($NS$48-197+1)/$NU$48,$NN$48/$NT$48)),0)</f>
        <v/>
      </c>
      <c r="GT48" s="402">
        <f>IF(AND(198&gt;=$NR$48,198&lt;=$NS$48),IF($NP$48="Single_Point",IF(198=$NR$48,$NN$48,0),IF($NP$48="Bell_Curve",$NN$48*(198-$NR$48+1)*($NS$48-198+1)/$NU$48,$NN$48/$NT$48)),0)</f>
        <v/>
      </c>
      <c r="GU48" s="402">
        <f>IF(AND(199&gt;=$NR$48,199&lt;=$NS$48),IF($NP$48="Single_Point",IF(199=$NR$48,$NN$48,0),IF($NP$48="Bell_Curve",$NN$48*(199-$NR$48+1)*($NS$48-199+1)/$NU$48,$NN$48/$NT$48)),0)</f>
        <v/>
      </c>
      <c r="GV48" s="402">
        <f>IF(AND(200&gt;=$NR$48,200&lt;=$NS$48),IF($NP$48="Single_Point",IF(200=$NR$48,$NN$48,0),IF($NP$48="Bell_Curve",$NN$48*(200-$NR$48+1)*($NS$48-200+1)/$NU$48,$NN$48/$NT$48)),0)</f>
        <v/>
      </c>
      <c r="GW48" s="402">
        <f>IF(AND(201&gt;=$NR$48,201&lt;=$NS$48),IF($NP$48="Single_Point",IF(201=$NR$48,$NN$48,0),IF($NP$48="Bell_Curve",$NN$48*(201-$NR$48+1)*($NS$48-201+1)/$NU$48,$NN$48/$NT$48)),0)</f>
        <v/>
      </c>
      <c r="GX48" s="402">
        <f>IF(AND(202&gt;=$NR$48,202&lt;=$NS$48),IF($NP$48="Single_Point",IF(202=$NR$48,$NN$48,0),IF($NP$48="Bell_Curve",$NN$48*(202-$NR$48+1)*($NS$48-202+1)/$NU$48,$NN$48/$NT$48)),0)</f>
        <v/>
      </c>
      <c r="GY48" s="402">
        <f>IF(AND(203&gt;=$NR$48,203&lt;=$NS$48),IF($NP$48="Single_Point",IF(203=$NR$48,$NN$48,0),IF($NP$48="Bell_Curve",$NN$48*(203-$NR$48+1)*($NS$48-203+1)/$NU$48,$NN$48/$NT$48)),0)</f>
        <v/>
      </c>
      <c r="GZ48" s="402">
        <f>IF(AND(204&gt;=$NR$48,204&lt;=$NS$48),IF($NP$48="Single_Point",IF(204=$NR$48,$NN$48,0),IF($NP$48="Bell_Curve",$NN$48*(204-$NR$48+1)*($NS$48-204+1)/$NU$48,$NN$48/$NT$48)),0)</f>
        <v/>
      </c>
      <c r="HA48" s="402">
        <f>IF(AND(205&gt;=$NR$48,205&lt;=$NS$48),IF($NP$48="Single_Point",IF(205=$NR$48,$NN$48,0),IF($NP$48="Bell_Curve",$NN$48*(205-$NR$48+1)*($NS$48-205+1)/$NU$48,$NN$48/$NT$48)),0)</f>
        <v/>
      </c>
      <c r="HB48" s="402">
        <f>IF(AND(206&gt;=$NR$48,206&lt;=$NS$48),IF($NP$48="Single_Point",IF(206=$NR$48,$NN$48,0),IF($NP$48="Bell_Curve",$NN$48*(206-$NR$48+1)*($NS$48-206+1)/$NU$48,$NN$48/$NT$48)),0)</f>
        <v/>
      </c>
      <c r="HC48" s="402">
        <f>IF(AND(207&gt;=$NR$48,207&lt;=$NS$48),IF($NP$48="Single_Point",IF(207=$NR$48,$NN$48,0),IF($NP$48="Bell_Curve",$NN$48*(207-$NR$48+1)*($NS$48-207+1)/$NU$48,$NN$48/$NT$48)),0)</f>
        <v/>
      </c>
      <c r="HD48" s="402">
        <f>IF(AND(208&gt;=$NR$48,208&lt;=$NS$48),IF($NP$48="Single_Point",IF(208=$NR$48,$NN$48,0),IF($NP$48="Bell_Curve",$NN$48*(208-$NR$48+1)*($NS$48-208+1)/$NU$48,$NN$48/$NT$48)),0)</f>
        <v/>
      </c>
      <c r="HE48" s="402">
        <f>IF(AND(209&gt;=$NR$48,209&lt;=$NS$48),IF($NP$48="Single_Point",IF(209=$NR$48,$NN$48,0),IF($NP$48="Bell_Curve",$NN$48*(209-$NR$48+1)*($NS$48-209+1)/$NU$48,$NN$48/$NT$48)),0)</f>
        <v/>
      </c>
      <c r="HF48" s="402">
        <f>IF(AND(210&gt;=$NR$48,210&lt;=$NS$48),IF($NP$48="Single_Point",IF(210=$NR$48,$NN$48,0),IF($NP$48="Bell_Curve",$NN$48*(210-$NR$48+1)*($NS$48-210+1)/$NU$48,$NN$48/$NT$48)),0)</f>
        <v/>
      </c>
      <c r="HG48" s="402">
        <f>IF(AND(211&gt;=$NR$48,211&lt;=$NS$48),IF($NP$48="Single_Point",IF(211=$NR$48,$NN$48,0),IF($NP$48="Bell_Curve",$NN$48*(211-$NR$48+1)*($NS$48-211+1)/$NU$48,$NN$48/$NT$48)),0)</f>
        <v/>
      </c>
      <c r="HH48" s="402">
        <f>IF(AND(212&gt;=$NR$48,212&lt;=$NS$48),IF($NP$48="Single_Point",IF(212=$NR$48,$NN$48,0),IF($NP$48="Bell_Curve",$NN$48*(212-$NR$48+1)*($NS$48-212+1)/$NU$48,$NN$48/$NT$48)),0)</f>
        <v/>
      </c>
      <c r="HI48" s="402">
        <f>IF(AND(213&gt;=$NR$48,213&lt;=$NS$48),IF($NP$48="Single_Point",IF(213=$NR$48,$NN$48,0),IF($NP$48="Bell_Curve",$NN$48*(213-$NR$48+1)*($NS$48-213+1)/$NU$48,$NN$48/$NT$48)),0)</f>
        <v/>
      </c>
      <c r="HJ48" s="402">
        <f>IF(AND(214&gt;=$NR$48,214&lt;=$NS$48),IF($NP$48="Single_Point",IF(214=$NR$48,$NN$48,0),IF($NP$48="Bell_Curve",$NN$48*(214-$NR$48+1)*($NS$48-214+1)/$NU$48,$NN$48/$NT$48)),0)</f>
        <v/>
      </c>
      <c r="HK48" s="402">
        <f>IF(AND(215&gt;=$NR$48,215&lt;=$NS$48),IF($NP$48="Single_Point",IF(215=$NR$48,$NN$48,0),IF($NP$48="Bell_Curve",$NN$48*(215-$NR$48+1)*($NS$48-215+1)/$NU$48,$NN$48/$NT$48)),0)</f>
        <v/>
      </c>
      <c r="HL48" s="402">
        <f>IF(AND(216&gt;=$NR$48,216&lt;=$NS$48),IF($NP$48="Single_Point",IF(216=$NR$48,$NN$48,0),IF($NP$48="Bell_Curve",$NN$48*(216-$NR$48+1)*($NS$48-216+1)/$NU$48,$NN$48/$NT$48)),0)</f>
        <v/>
      </c>
      <c r="HM48" s="402">
        <f>IF(AND(217&gt;=$NR$48,217&lt;=$NS$48),IF($NP$48="Single_Point",IF(217=$NR$48,$NN$48,0),IF($NP$48="Bell_Curve",$NN$48*(217-$NR$48+1)*($NS$48-217+1)/$NU$48,$NN$48/$NT$48)),0)</f>
        <v/>
      </c>
      <c r="HN48" s="402">
        <f>IF(AND(218&gt;=$NR$48,218&lt;=$NS$48),IF($NP$48="Single_Point",IF(218=$NR$48,$NN$48,0),IF($NP$48="Bell_Curve",$NN$48*(218-$NR$48+1)*($NS$48-218+1)/$NU$48,$NN$48/$NT$48)),0)</f>
        <v/>
      </c>
      <c r="HO48" s="402">
        <f>IF(AND(219&gt;=$NR$48,219&lt;=$NS$48),IF($NP$48="Single_Point",IF(219=$NR$48,$NN$48,0),IF($NP$48="Bell_Curve",$NN$48*(219-$NR$48+1)*($NS$48-219+1)/$NU$48,$NN$48/$NT$48)),0)</f>
        <v/>
      </c>
      <c r="HP48" s="402">
        <f>IF(AND(220&gt;=$NR$48,220&lt;=$NS$48),IF($NP$48="Single_Point",IF(220=$NR$48,$NN$48,0),IF($NP$48="Bell_Curve",$NN$48*(220-$NR$48+1)*($NS$48-220+1)/$NU$48,$NN$48/$NT$48)),0)</f>
        <v/>
      </c>
      <c r="HQ48" s="402">
        <f>IF(AND(221&gt;=$NR$48,221&lt;=$NS$48),IF($NP$48="Single_Point",IF(221=$NR$48,$NN$48,0),IF($NP$48="Bell_Curve",$NN$48*(221-$NR$48+1)*($NS$48-221+1)/$NU$48,$NN$48/$NT$48)),0)</f>
        <v/>
      </c>
      <c r="HR48" s="402">
        <f>IF(AND(222&gt;=$NR$48,222&lt;=$NS$48),IF($NP$48="Single_Point",IF(222=$NR$48,$NN$48,0),IF($NP$48="Bell_Curve",$NN$48*(222-$NR$48+1)*($NS$48-222+1)/$NU$48,$NN$48/$NT$48)),0)</f>
        <v/>
      </c>
      <c r="HS48" s="402">
        <f>IF(AND(223&gt;=$NR$48,223&lt;=$NS$48),IF($NP$48="Single_Point",IF(223=$NR$48,$NN$48,0),IF($NP$48="Bell_Curve",$NN$48*(223-$NR$48+1)*($NS$48-223+1)/$NU$48,$NN$48/$NT$48)),0)</f>
        <v/>
      </c>
      <c r="HT48" s="402">
        <f>IF(AND(224&gt;=$NR$48,224&lt;=$NS$48),IF($NP$48="Single_Point",IF(224=$NR$48,$NN$48,0),IF($NP$48="Bell_Curve",$NN$48*(224-$NR$48+1)*($NS$48-224+1)/$NU$48,$NN$48/$NT$48)),0)</f>
        <v/>
      </c>
      <c r="HU48" s="402">
        <f>IF(AND(225&gt;=$NR$48,225&lt;=$NS$48),IF($NP$48="Single_Point",IF(225=$NR$48,$NN$48,0),IF($NP$48="Bell_Curve",$NN$48*(225-$NR$48+1)*($NS$48-225+1)/$NU$48,$NN$48/$NT$48)),0)</f>
        <v/>
      </c>
      <c r="HV48" s="402">
        <f>IF(AND(226&gt;=$NR$48,226&lt;=$NS$48),IF($NP$48="Single_Point",IF(226=$NR$48,$NN$48,0),IF($NP$48="Bell_Curve",$NN$48*(226-$NR$48+1)*($NS$48-226+1)/$NU$48,$NN$48/$NT$48)),0)</f>
        <v/>
      </c>
      <c r="HW48" s="402">
        <f>IF(AND(227&gt;=$NR$48,227&lt;=$NS$48),IF($NP$48="Single_Point",IF(227=$NR$48,$NN$48,0),IF($NP$48="Bell_Curve",$NN$48*(227-$NR$48+1)*($NS$48-227+1)/$NU$48,$NN$48/$NT$48)),0)</f>
        <v/>
      </c>
      <c r="HX48" s="402">
        <f>IF(AND(228&gt;=$NR$48,228&lt;=$NS$48),IF($NP$48="Single_Point",IF(228=$NR$48,$NN$48,0),IF($NP$48="Bell_Curve",$NN$48*(228-$NR$48+1)*($NS$48-228+1)/$NU$48,$NN$48/$NT$48)),0)</f>
        <v/>
      </c>
      <c r="HY48" s="402">
        <f>IF(AND(229&gt;=$NR$48,229&lt;=$NS$48),IF($NP$48="Single_Point",IF(229=$NR$48,$NN$48,0),IF($NP$48="Bell_Curve",$NN$48*(229-$NR$48+1)*($NS$48-229+1)/$NU$48,$NN$48/$NT$48)),0)</f>
        <v/>
      </c>
      <c r="HZ48" s="402">
        <f>IF(AND(230&gt;=$NR$48,230&lt;=$NS$48),IF($NP$48="Single_Point",IF(230=$NR$48,$NN$48,0),IF($NP$48="Bell_Curve",$NN$48*(230-$NR$48+1)*($NS$48-230+1)/$NU$48,$NN$48/$NT$48)),0)</f>
        <v/>
      </c>
      <c r="IA48" s="402">
        <f>IF(AND(231&gt;=$NR$48,231&lt;=$NS$48),IF($NP$48="Single_Point",IF(231=$NR$48,$NN$48,0),IF($NP$48="Bell_Curve",$NN$48*(231-$NR$48+1)*($NS$48-231+1)/$NU$48,$NN$48/$NT$48)),0)</f>
        <v/>
      </c>
      <c r="IB48" s="402">
        <f>IF(AND(232&gt;=$NR$48,232&lt;=$NS$48),IF($NP$48="Single_Point",IF(232=$NR$48,$NN$48,0),IF($NP$48="Bell_Curve",$NN$48*(232-$NR$48+1)*($NS$48-232+1)/$NU$48,$NN$48/$NT$48)),0)</f>
        <v/>
      </c>
      <c r="IC48" s="402">
        <f>IF(AND(233&gt;=$NR$48,233&lt;=$NS$48),IF($NP$48="Single_Point",IF(233=$NR$48,$NN$48,0),IF($NP$48="Bell_Curve",$NN$48*(233-$NR$48+1)*($NS$48-233+1)/$NU$48,$NN$48/$NT$48)),0)</f>
        <v/>
      </c>
      <c r="ID48" s="402">
        <f>IF(AND(234&gt;=$NR$48,234&lt;=$NS$48),IF($NP$48="Single_Point",IF(234=$NR$48,$NN$48,0),IF($NP$48="Bell_Curve",$NN$48*(234-$NR$48+1)*($NS$48-234+1)/$NU$48,$NN$48/$NT$48)),0)</f>
        <v/>
      </c>
      <c r="IE48" s="402">
        <f>IF(AND(235&gt;=$NR$48,235&lt;=$NS$48),IF($NP$48="Single_Point",IF(235=$NR$48,$NN$48,0),IF($NP$48="Bell_Curve",$NN$48*(235-$NR$48+1)*($NS$48-235+1)/$NU$48,$NN$48/$NT$48)),0)</f>
        <v/>
      </c>
      <c r="IF48" s="402">
        <f>IF(AND(236&gt;=$NR$48,236&lt;=$NS$48),IF($NP$48="Single_Point",IF(236=$NR$48,$NN$48,0),IF($NP$48="Bell_Curve",$NN$48*(236-$NR$48+1)*($NS$48-236+1)/$NU$48,$NN$48/$NT$48)),0)</f>
        <v/>
      </c>
      <c r="IG48" s="402">
        <f>IF(AND(237&gt;=$NR$48,237&lt;=$NS$48),IF($NP$48="Single_Point",IF(237=$NR$48,$NN$48,0),IF($NP$48="Bell_Curve",$NN$48*(237-$NR$48+1)*($NS$48-237+1)/$NU$48,$NN$48/$NT$48)),0)</f>
        <v/>
      </c>
      <c r="IH48" s="402">
        <f>IF(AND(238&gt;=$NR$48,238&lt;=$NS$48),IF($NP$48="Single_Point",IF(238=$NR$48,$NN$48,0),IF($NP$48="Bell_Curve",$NN$48*(238-$NR$48+1)*($NS$48-238+1)/$NU$48,$NN$48/$NT$48)),0)</f>
        <v/>
      </c>
      <c r="II48" s="402">
        <f>IF(AND(239&gt;=$NR$48,239&lt;=$NS$48),IF($NP$48="Single_Point",IF(239=$NR$48,$NN$48,0),IF($NP$48="Bell_Curve",$NN$48*(239-$NR$48+1)*($NS$48-239+1)/$NU$48,$NN$48/$NT$48)),0)</f>
        <v/>
      </c>
      <c r="IJ48" s="402">
        <f>IF(AND(240&gt;=$NR$48,240&lt;=$NS$48),IF($NP$48="Single_Point",IF(240=$NR$48,$NN$48,0),IF($NP$48="Bell_Curve",$NN$48*(240-$NR$48+1)*($NS$48-240+1)/$NU$48,$NN$48/$NT$48)),0)</f>
        <v/>
      </c>
      <c r="IK48" s="402">
        <f>IF(AND(241&gt;=$NR$48,241&lt;=$NS$48),IF($NP$48="Single_Point",IF(241=$NR$48,$NN$48,0),IF($NP$48="Bell_Curve",$NN$48*(241-$NR$48+1)*($NS$48-241+1)/$NU$48,$NN$48/$NT$48)),0)</f>
        <v/>
      </c>
      <c r="IL48" s="402">
        <f>IF(AND(242&gt;=$NR$48,242&lt;=$NS$48),IF($NP$48="Single_Point",IF(242=$NR$48,$NN$48,0),IF($NP$48="Bell_Curve",$NN$48*(242-$NR$48+1)*($NS$48-242+1)/$NU$48,$NN$48/$NT$48)),0)</f>
        <v/>
      </c>
      <c r="IM48" s="402">
        <f>IF(AND(243&gt;=$NR$48,243&lt;=$NS$48),IF($NP$48="Single_Point",IF(243=$NR$48,$NN$48,0),IF($NP$48="Bell_Curve",$NN$48*(243-$NR$48+1)*($NS$48-243+1)/$NU$48,$NN$48/$NT$48)),0)</f>
        <v/>
      </c>
      <c r="IN48" s="402">
        <f>IF(AND(244&gt;=$NR$48,244&lt;=$NS$48),IF($NP$48="Single_Point",IF(244=$NR$48,$NN$48,0),IF($NP$48="Bell_Curve",$NN$48*(244-$NR$48+1)*($NS$48-244+1)/$NU$48,$NN$48/$NT$48)),0)</f>
        <v/>
      </c>
      <c r="IO48" s="402">
        <f>IF(AND(245&gt;=$NR$48,245&lt;=$NS$48),IF($NP$48="Single_Point",IF(245=$NR$48,$NN$48,0),IF($NP$48="Bell_Curve",$NN$48*(245-$NR$48+1)*($NS$48-245+1)/$NU$48,$NN$48/$NT$48)),0)</f>
        <v/>
      </c>
      <c r="IP48" s="402">
        <f>IF(AND(246&gt;=$NR$48,246&lt;=$NS$48),IF($NP$48="Single_Point",IF(246=$NR$48,$NN$48,0),IF($NP$48="Bell_Curve",$NN$48*(246-$NR$48+1)*($NS$48-246+1)/$NU$48,$NN$48/$NT$48)),0)</f>
        <v/>
      </c>
      <c r="IQ48" s="402">
        <f>IF(AND(247&gt;=$NR$48,247&lt;=$NS$48),IF($NP$48="Single_Point",IF(247=$NR$48,$NN$48,0),IF($NP$48="Bell_Curve",$NN$48*(247-$NR$48+1)*($NS$48-247+1)/$NU$48,$NN$48/$NT$48)),0)</f>
        <v/>
      </c>
      <c r="IR48" s="402">
        <f>IF(AND(248&gt;=$NR$48,248&lt;=$NS$48),IF($NP$48="Single_Point",IF(248=$NR$48,$NN$48,0),IF($NP$48="Bell_Curve",$NN$48*(248-$NR$48+1)*($NS$48-248+1)/$NU$48,$NN$48/$NT$48)),0)</f>
        <v/>
      </c>
      <c r="IS48" s="402">
        <f>IF(AND(249&gt;=$NR$48,249&lt;=$NS$48),IF($NP$48="Single_Point",IF(249=$NR$48,$NN$48,0),IF($NP$48="Bell_Curve",$NN$48*(249-$NR$48+1)*($NS$48-249+1)/$NU$48,$NN$48/$NT$48)),0)</f>
        <v/>
      </c>
      <c r="IT48" s="402">
        <f>IF(AND(250&gt;=$NR$48,250&lt;=$NS$48),IF($NP$48="Single_Point",IF(250=$NR$48,$NN$48,0),IF($NP$48="Bell_Curve",$NN$48*(250-$NR$48+1)*($NS$48-250+1)/$NU$48,$NN$48/$NT$48)),0)</f>
        <v/>
      </c>
      <c r="IU48" s="402">
        <f>IF(AND(251&gt;=$NR$48,251&lt;=$NS$48),IF($NP$48="Single_Point",IF(251=$NR$48,$NN$48,0),IF($NP$48="Bell_Curve",$NN$48*(251-$NR$48+1)*($NS$48-251+1)/$NU$48,$NN$48/$NT$48)),0)</f>
        <v/>
      </c>
      <c r="IV48" s="402">
        <f>IF(AND(252&gt;=$NR$48,252&lt;=$NS$48),IF($NP$48="Single_Point",IF(252=$NR$48,$NN$48,0),IF($NP$48="Bell_Curve",$NN$48*(252-$NR$48+1)*($NS$48-252+1)/$NU$48,$NN$48/$NT$48)),0)</f>
        <v/>
      </c>
      <c r="IW48" s="402">
        <f>IF(AND(253&gt;=$NR$48,253&lt;=$NS$48),IF($NP$48="Single_Point",IF(253=$NR$48,$NN$48,0),IF($NP$48="Bell_Curve",$NN$48*(253-$NR$48+1)*($NS$48-253+1)/$NU$48,$NN$48/$NT$48)),0)</f>
        <v/>
      </c>
      <c r="IX48" s="402">
        <f>IF(AND(254&gt;=$NR$48,254&lt;=$NS$48),IF($NP$48="Single_Point",IF(254=$NR$48,$NN$48,0),IF($NP$48="Bell_Curve",$NN$48*(254-$NR$48+1)*($NS$48-254+1)/$NU$48,$NN$48/$NT$48)),0)</f>
        <v/>
      </c>
      <c r="IY48" s="402">
        <f>IF(AND(255&gt;=$NR$48,255&lt;=$NS$48),IF($NP$48="Single_Point",IF(255=$NR$48,$NN$48,0),IF($NP$48="Bell_Curve",$NN$48*(255-$NR$48+1)*($NS$48-255+1)/$NU$48,$NN$48/$NT$48)),0)</f>
        <v/>
      </c>
      <c r="IZ48" s="402">
        <f>IF(AND(256&gt;=$NR$48,256&lt;=$NS$48),IF($NP$48="Single_Point",IF(256=$NR$48,$NN$48,0),IF($NP$48="Bell_Curve",$NN$48*(256-$NR$48+1)*($NS$48-256+1)/$NU$48,$NN$48/$NT$48)),0)</f>
        <v/>
      </c>
      <c r="JA48" s="402">
        <f>IF(AND(257&gt;=$NR$48,257&lt;=$NS$48),IF($NP$48="Single_Point",IF(257=$NR$48,$NN$48,0),IF($NP$48="Bell_Curve",$NN$48*(257-$NR$48+1)*($NS$48-257+1)/$NU$48,$NN$48/$NT$48)),0)</f>
        <v/>
      </c>
      <c r="JB48" s="402">
        <f>IF(AND(258&gt;=$NR$48,258&lt;=$NS$48),IF($NP$48="Single_Point",IF(258=$NR$48,$NN$48,0),IF($NP$48="Bell_Curve",$NN$48*(258-$NR$48+1)*($NS$48-258+1)/$NU$48,$NN$48/$NT$48)),0)</f>
        <v/>
      </c>
      <c r="JC48" s="402">
        <f>IF(AND(259&gt;=$NR$48,259&lt;=$NS$48),IF($NP$48="Single_Point",IF(259=$NR$48,$NN$48,0),IF($NP$48="Bell_Curve",$NN$48*(259-$NR$48+1)*($NS$48-259+1)/$NU$48,$NN$48/$NT$48)),0)</f>
        <v/>
      </c>
      <c r="JD48" s="402">
        <f>IF(AND(260&gt;=$NR$48,260&lt;=$NS$48),IF($NP$48="Single_Point",IF(260=$NR$48,$NN$48,0),IF($NP$48="Bell_Curve",$NN$48*(260-$NR$48+1)*($NS$48-260+1)/$NU$48,$NN$48/$NT$48)),0)</f>
        <v/>
      </c>
      <c r="JE48" s="402">
        <f>IF(AND(261&gt;=$NR$48,261&lt;=$NS$48),IF($NP$48="Single_Point",IF(261=$NR$48,$NN$48,0),IF($NP$48="Bell_Curve",$NN$48*(261-$NR$48+1)*($NS$48-261+1)/$NU$48,$NN$48/$NT$48)),0)</f>
        <v/>
      </c>
      <c r="JF48" s="402">
        <f>IF(AND(262&gt;=$NR$48,262&lt;=$NS$48),IF($NP$48="Single_Point",IF(262=$NR$48,$NN$48,0),IF($NP$48="Bell_Curve",$NN$48*(262-$NR$48+1)*($NS$48-262+1)/$NU$48,$NN$48/$NT$48)),0)</f>
        <v/>
      </c>
      <c r="JG48" s="402">
        <f>IF(AND(263&gt;=$NR$48,263&lt;=$NS$48),IF($NP$48="Single_Point",IF(263=$NR$48,$NN$48,0),IF($NP$48="Bell_Curve",$NN$48*(263-$NR$48+1)*($NS$48-263+1)/$NU$48,$NN$48/$NT$48)),0)</f>
        <v/>
      </c>
      <c r="JH48" s="402">
        <f>IF(AND(264&gt;=$NR$48,264&lt;=$NS$48),IF($NP$48="Single_Point",IF(264=$NR$48,$NN$48,0),IF($NP$48="Bell_Curve",$NN$48*(264-$NR$48+1)*($NS$48-264+1)/$NU$48,$NN$48/$NT$48)),0)</f>
        <v/>
      </c>
      <c r="JI48" s="402">
        <f>IF(AND(265&gt;=$NR$48,265&lt;=$NS$48),IF($NP$48="Single_Point",IF(265=$NR$48,$NN$48,0),IF($NP$48="Bell_Curve",$NN$48*(265-$NR$48+1)*($NS$48-265+1)/$NU$48,$NN$48/$NT$48)),0)</f>
        <v/>
      </c>
      <c r="JJ48" s="402">
        <f>IF(AND(266&gt;=$NR$48,266&lt;=$NS$48),IF($NP$48="Single_Point",IF(266=$NR$48,$NN$48,0),IF($NP$48="Bell_Curve",$NN$48*(266-$NR$48+1)*($NS$48-266+1)/$NU$48,$NN$48/$NT$48)),0)</f>
        <v/>
      </c>
      <c r="JK48" s="402">
        <f>IF(AND(267&gt;=$NR$48,267&lt;=$NS$48),IF($NP$48="Single_Point",IF(267=$NR$48,$NN$48,0),IF($NP$48="Bell_Curve",$NN$48*(267-$NR$48+1)*($NS$48-267+1)/$NU$48,$NN$48/$NT$48)),0)</f>
        <v/>
      </c>
      <c r="JL48" s="402">
        <f>IF(AND(268&gt;=$NR$48,268&lt;=$NS$48),IF($NP$48="Single_Point",IF(268=$NR$48,$NN$48,0),IF($NP$48="Bell_Curve",$NN$48*(268-$NR$48+1)*($NS$48-268+1)/$NU$48,$NN$48/$NT$48)),0)</f>
        <v/>
      </c>
      <c r="JM48" s="402">
        <f>IF(AND(269&gt;=$NR$48,269&lt;=$NS$48),IF($NP$48="Single_Point",IF(269=$NR$48,$NN$48,0),IF($NP$48="Bell_Curve",$NN$48*(269-$NR$48+1)*($NS$48-269+1)/$NU$48,$NN$48/$NT$48)),0)</f>
        <v/>
      </c>
      <c r="JN48" s="402">
        <f>IF(AND(270&gt;=$NR$48,270&lt;=$NS$48),IF($NP$48="Single_Point",IF(270=$NR$48,$NN$48,0),IF($NP$48="Bell_Curve",$NN$48*(270-$NR$48+1)*($NS$48-270+1)/$NU$48,$NN$48/$NT$48)),0)</f>
        <v/>
      </c>
      <c r="JO48" s="402">
        <f>IF(AND(271&gt;=$NR$48,271&lt;=$NS$48),IF($NP$48="Single_Point",IF(271=$NR$48,$NN$48,0),IF($NP$48="Bell_Curve",$NN$48*(271-$NR$48+1)*($NS$48-271+1)/$NU$48,$NN$48/$NT$48)),0)</f>
        <v/>
      </c>
      <c r="JP48" s="402">
        <f>IF(AND(272&gt;=$NR$48,272&lt;=$NS$48),IF($NP$48="Single_Point",IF(272=$NR$48,$NN$48,0),IF($NP$48="Bell_Curve",$NN$48*(272-$NR$48+1)*($NS$48-272+1)/$NU$48,$NN$48/$NT$48)),0)</f>
        <v/>
      </c>
      <c r="JQ48" s="402">
        <f>IF(AND(273&gt;=$NR$48,273&lt;=$NS$48),IF($NP$48="Single_Point",IF(273=$NR$48,$NN$48,0),IF($NP$48="Bell_Curve",$NN$48*(273-$NR$48+1)*($NS$48-273+1)/$NU$48,$NN$48/$NT$48)),0)</f>
        <v/>
      </c>
      <c r="JR48" s="402">
        <f>IF(AND(274&gt;=$NR$48,274&lt;=$NS$48),IF($NP$48="Single_Point",IF(274=$NR$48,$NN$48,0),IF($NP$48="Bell_Curve",$NN$48*(274-$NR$48+1)*($NS$48-274+1)/$NU$48,$NN$48/$NT$48)),0)</f>
        <v/>
      </c>
      <c r="JS48" s="402">
        <f>IF(AND(275&gt;=$NR$48,275&lt;=$NS$48),IF($NP$48="Single_Point",IF(275=$NR$48,$NN$48,0),IF($NP$48="Bell_Curve",$NN$48*(275-$NR$48+1)*($NS$48-275+1)/$NU$48,$NN$48/$NT$48)),0)</f>
        <v/>
      </c>
      <c r="JT48" s="402">
        <f>IF(AND(276&gt;=$NR$48,276&lt;=$NS$48),IF($NP$48="Single_Point",IF(276=$NR$48,$NN$48,0),IF($NP$48="Bell_Curve",$NN$48*(276-$NR$48+1)*($NS$48-276+1)/$NU$48,$NN$48/$NT$48)),0)</f>
        <v/>
      </c>
      <c r="JU48" s="402">
        <f>IF(AND(277&gt;=$NR$48,277&lt;=$NS$48),IF($NP$48="Single_Point",IF(277=$NR$48,$NN$48,0),IF($NP$48="Bell_Curve",$NN$48*(277-$NR$48+1)*($NS$48-277+1)/$NU$48,$NN$48/$NT$48)),0)</f>
        <v/>
      </c>
      <c r="JV48" s="402">
        <f>IF(AND(278&gt;=$NR$48,278&lt;=$NS$48),IF($NP$48="Single_Point",IF(278=$NR$48,$NN$48,0),IF($NP$48="Bell_Curve",$NN$48*(278-$NR$48+1)*($NS$48-278+1)/$NU$48,$NN$48/$NT$48)),0)</f>
        <v/>
      </c>
      <c r="JW48" s="402">
        <f>IF(AND(279&gt;=$NR$48,279&lt;=$NS$48),IF($NP$48="Single_Point",IF(279=$NR$48,$NN$48,0),IF($NP$48="Bell_Curve",$NN$48*(279-$NR$48+1)*($NS$48-279+1)/$NU$48,$NN$48/$NT$48)),0)</f>
        <v/>
      </c>
      <c r="JX48" s="402">
        <f>IF(AND(280&gt;=$NR$48,280&lt;=$NS$48),IF($NP$48="Single_Point",IF(280=$NR$48,$NN$48,0),IF($NP$48="Bell_Curve",$NN$48*(280-$NR$48+1)*($NS$48-280+1)/$NU$48,$NN$48/$NT$48)),0)</f>
        <v/>
      </c>
      <c r="JY48" s="402">
        <f>IF(AND(281&gt;=$NR$48,281&lt;=$NS$48),IF($NP$48="Single_Point",IF(281=$NR$48,$NN$48,0),IF($NP$48="Bell_Curve",$NN$48*(281-$NR$48+1)*($NS$48-281+1)/$NU$48,$NN$48/$NT$48)),0)</f>
        <v/>
      </c>
      <c r="JZ48" s="402">
        <f>IF(AND(282&gt;=$NR$48,282&lt;=$NS$48),IF($NP$48="Single_Point",IF(282=$NR$48,$NN$48,0),IF($NP$48="Bell_Curve",$NN$48*(282-$NR$48+1)*($NS$48-282+1)/$NU$48,$NN$48/$NT$48)),0)</f>
        <v/>
      </c>
      <c r="KA48" s="402">
        <f>IF(AND(283&gt;=$NR$48,283&lt;=$NS$48),IF($NP$48="Single_Point",IF(283=$NR$48,$NN$48,0),IF($NP$48="Bell_Curve",$NN$48*(283-$NR$48+1)*($NS$48-283+1)/$NU$48,$NN$48/$NT$48)),0)</f>
        <v/>
      </c>
      <c r="KB48" s="402">
        <f>IF(AND(284&gt;=$NR$48,284&lt;=$NS$48),IF($NP$48="Single_Point",IF(284=$NR$48,$NN$48,0),IF($NP$48="Bell_Curve",$NN$48*(284-$NR$48+1)*($NS$48-284+1)/$NU$48,$NN$48/$NT$48)),0)</f>
        <v/>
      </c>
      <c r="KC48" s="402">
        <f>IF(AND(285&gt;=$NR$48,285&lt;=$NS$48),IF($NP$48="Single_Point",IF(285=$NR$48,$NN$48,0),IF($NP$48="Bell_Curve",$NN$48*(285-$NR$48+1)*($NS$48-285+1)/$NU$48,$NN$48/$NT$48)),0)</f>
        <v/>
      </c>
      <c r="KD48" s="402">
        <f>IF(AND(286&gt;=$NR$48,286&lt;=$NS$48),IF($NP$48="Single_Point",IF(286=$NR$48,$NN$48,0),IF($NP$48="Bell_Curve",$NN$48*(286-$NR$48+1)*($NS$48-286+1)/$NU$48,$NN$48/$NT$48)),0)</f>
        <v/>
      </c>
      <c r="KE48" s="402">
        <f>IF(AND(287&gt;=$NR$48,287&lt;=$NS$48),IF($NP$48="Single_Point",IF(287=$NR$48,$NN$48,0),IF($NP$48="Bell_Curve",$NN$48*(287-$NR$48+1)*($NS$48-287+1)/$NU$48,$NN$48/$NT$48)),0)</f>
        <v/>
      </c>
      <c r="KF48" s="402">
        <f>IF(AND(288&gt;=$NR$48,288&lt;=$NS$48),IF($NP$48="Single_Point",IF(288=$NR$48,$NN$48,0),IF($NP$48="Bell_Curve",$NN$48*(288-$NR$48+1)*($NS$48-288+1)/$NU$48,$NN$48/$NT$48)),0)</f>
        <v/>
      </c>
      <c r="KG48" s="402">
        <f>IF(AND(289&gt;=$NR$48,289&lt;=$NS$48),IF($NP$48="Single_Point",IF(289=$NR$48,$NN$48,0),IF($NP$48="Bell_Curve",$NN$48*(289-$NR$48+1)*($NS$48-289+1)/$NU$48,$NN$48/$NT$48)),0)</f>
        <v/>
      </c>
      <c r="KH48" s="402">
        <f>IF(AND(290&gt;=$NR$48,290&lt;=$NS$48),IF($NP$48="Single_Point",IF(290=$NR$48,$NN$48,0),IF($NP$48="Bell_Curve",$NN$48*(290-$NR$48+1)*($NS$48-290+1)/$NU$48,$NN$48/$NT$48)),0)</f>
        <v/>
      </c>
      <c r="KI48" s="402">
        <f>IF(AND(291&gt;=$NR$48,291&lt;=$NS$48),IF($NP$48="Single_Point",IF(291=$NR$48,$NN$48,0),IF($NP$48="Bell_Curve",$NN$48*(291-$NR$48+1)*($NS$48-291+1)/$NU$48,$NN$48/$NT$48)),0)</f>
        <v/>
      </c>
      <c r="KJ48" s="402">
        <f>IF(AND(292&gt;=$NR$48,292&lt;=$NS$48),IF($NP$48="Single_Point",IF(292=$NR$48,$NN$48,0),IF($NP$48="Bell_Curve",$NN$48*(292-$NR$48+1)*($NS$48-292+1)/$NU$48,$NN$48/$NT$48)),0)</f>
        <v/>
      </c>
      <c r="KK48" s="402">
        <f>IF(AND(293&gt;=$NR$48,293&lt;=$NS$48),IF($NP$48="Single_Point",IF(293=$NR$48,$NN$48,0),IF($NP$48="Bell_Curve",$NN$48*(293-$NR$48+1)*($NS$48-293+1)/$NU$48,$NN$48/$NT$48)),0)</f>
        <v/>
      </c>
      <c r="KL48" s="402">
        <f>IF(AND(294&gt;=$NR$48,294&lt;=$NS$48),IF($NP$48="Single_Point",IF(294=$NR$48,$NN$48,0),IF($NP$48="Bell_Curve",$NN$48*(294-$NR$48+1)*($NS$48-294+1)/$NU$48,$NN$48/$NT$48)),0)</f>
        <v/>
      </c>
      <c r="KM48" s="402">
        <f>IF(AND(295&gt;=$NR$48,295&lt;=$NS$48),IF($NP$48="Single_Point",IF(295=$NR$48,$NN$48,0),IF($NP$48="Bell_Curve",$NN$48*(295-$NR$48+1)*($NS$48-295+1)/$NU$48,$NN$48/$NT$48)),0)</f>
        <v/>
      </c>
      <c r="KN48" s="402">
        <f>IF(AND(296&gt;=$NR$48,296&lt;=$NS$48),IF($NP$48="Single_Point",IF(296=$NR$48,$NN$48,0),IF($NP$48="Bell_Curve",$NN$48*(296-$NR$48+1)*($NS$48-296+1)/$NU$48,$NN$48/$NT$48)),0)</f>
        <v/>
      </c>
      <c r="KO48" s="402">
        <f>IF(AND(297&gt;=$NR$48,297&lt;=$NS$48),IF($NP$48="Single_Point",IF(297=$NR$48,$NN$48,0),IF($NP$48="Bell_Curve",$NN$48*(297-$NR$48+1)*($NS$48-297+1)/$NU$48,$NN$48/$NT$48)),0)</f>
        <v/>
      </c>
      <c r="KP48" s="402">
        <f>IF(AND(298&gt;=$NR$48,298&lt;=$NS$48),IF($NP$48="Single_Point",IF(298=$NR$48,$NN$48,0),IF($NP$48="Bell_Curve",$NN$48*(298-$NR$48+1)*($NS$48-298+1)/$NU$48,$NN$48/$NT$48)),0)</f>
        <v/>
      </c>
      <c r="KQ48" s="402">
        <f>IF(AND(299&gt;=$NR$48,299&lt;=$NS$48),IF($NP$48="Single_Point",IF(299=$NR$48,$NN$48,0),IF($NP$48="Bell_Curve",$NN$48*(299-$NR$48+1)*($NS$48-299+1)/$NU$48,$NN$48/$NT$48)),0)</f>
        <v/>
      </c>
      <c r="KR48" s="402">
        <f>IF(AND(300&gt;=$NR$48,300&lt;=$NS$48),IF($NP$48="Single_Point",IF(300=$NR$48,$NN$48,0),IF($NP$48="Bell_Curve",$NN$48*(300-$NR$48+1)*($NS$48-300+1)/$NU$48,$NN$48/$NT$48)),0)</f>
        <v/>
      </c>
      <c r="KS48" s="402">
        <f>IF(AND(301&gt;=$NR$48,301&lt;=$NS$48),IF($NP$48="Single_Point",IF(301=$NR$48,$NN$48,0),IF($NP$48="Bell_Curve",$NN$48*(301-$NR$48+1)*($NS$48-301+1)/$NU$48,$NN$48/$NT$48)),0)</f>
        <v/>
      </c>
      <c r="KT48" s="402">
        <f>IF(AND(302&gt;=$NR$48,302&lt;=$NS$48),IF($NP$48="Single_Point",IF(302=$NR$48,$NN$48,0),IF($NP$48="Bell_Curve",$NN$48*(302-$NR$48+1)*($NS$48-302+1)/$NU$48,$NN$48/$NT$48)),0)</f>
        <v/>
      </c>
      <c r="KU48" s="402">
        <f>IF(AND(303&gt;=$NR$48,303&lt;=$NS$48),IF($NP$48="Single_Point",IF(303=$NR$48,$NN$48,0),IF($NP$48="Bell_Curve",$NN$48*(303-$NR$48+1)*($NS$48-303+1)/$NU$48,$NN$48/$NT$48)),0)</f>
        <v/>
      </c>
      <c r="KV48" s="402">
        <f>IF(AND(304&gt;=$NR$48,304&lt;=$NS$48),IF($NP$48="Single_Point",IF(304=$NR$48,$NN$48,0),IF($NP$48="Bell_Curve",$NN$48*(304-$NR$48+1)*($NS$48-304+1)/$NU$48,$NN$48/$NT$48)),0)</f>
        <v/>
      </c>
      <c r="KW48" s="402">
        <f>IF(AND(305&gt;=$NR$48,305&lt;=$NS$48),IF($NP$48="Single_Point",IF(305=$NR$48,$NN$48,0),IF($NP$48="Bell_Curve",$NN$48*(305-$NR$48+1)*($NS$48-305+1)/$NU$48,$NN$48/$NT$48)),0)</f>
        <v/>
      </c>
      <c r="KX48" s="402">
        <f>IF(AND(306&gt;=$NR$48,306&lt;=$NS$48),IF($NP$48="Single_Point",IF(306=$NR$48,$NN$48,0),IF($NP$48="Bell_Curve",$NN$48*(306-$NR$48+1)*($NS$48-306+1)/$NU$48,$NN$48/$NT$48)),0)</f>
        <v/>
      </c>
      <c r="KY48" s="402">
        <f>IF(AND(307&gt;=$NR$48,307&lt;=$NS$48),IF($NP$48="Single_Point",IF(307=$NR$48,$NN$48,0),IF($NP$48="Bell_Curve",$NN$48*(307-$NR$48+1)*($NS$48-307+1)/$NU$48,$NN$48/$NT$48)),0)</f>
        <v/>
      </c>
      <c r="KZ48" s="402">
        <f>IF(AND(308&gt;=$NR$48,308&lt;=$NS$48),IF($NP$48="Single_Point",IF(308=$NR$48,$NN$48,0),IF($NP$48="Bell_Curve",$NN$48*(308-$NR$48+1)*($NS$48-308+1)/$NU$48,$NN$48/$NT$48)),0)</f>
        <v/>
      </c>
      <c r="LA48" s="402">
        <f>IF(AND(309&gt;=$NR$48,309&lt;=$NS$48),IF($NP$48="Single_Point",IF(309=$NR$48,$NN$48,0),IF($NP$48="Bell_Curve",$NN$48*(309-$NR$48+1)*($NS$48-309+1)/$NU$48,$NN$48/$NT$48)),0)</f>
        <v/>
      </c>
      <c r="LB48" s="402">
        <f>IF(AND(310&gt;=$NR$48,310&lt;=$NS$48),IF($NP$48="Single_Point",IF(310=$NR$48,$NN$48,0),IF($NP$48="Bell_Curve",$NN$48*(310-$NR$48+1)*($NS$48-310+1)/$NU$48,$NN$48/$NT$48)),0)</f>
        <v/>
      </c>
      <c r="LC48" s="402">
        <f>IF(AND(311&gt;=$NR$48,311&lt;=$NS$48),IF($NP$48="Single_Point",IF(311=$NR$48,$NN$48,0),IF($NP$48="Bell_Curve",$NN$48*(311-$NR$48+1)*($NS$48-311+1)/$NU$48,$NN$48/$NT$48)),0)</f>
        <v/>
      </c>
      <c r="LD48" s="402">
        <f>IF(AND(312&gt;=$NR$48,312&lt;=$NS$48),IF($NP$48="Single_Point",IF(312=$NR$48,$NN$48,0),IF($NP$48="Bell_Curve",$NN$48*(312-$NR$48+1)*($NS$48-312+1)/$NU$48,$NN$48/$NT$48)),0)</f>
        <v/>
      </c>
      <c r="LE48" s="402">
        <f>IF(AND(313&gt;=$NR$48,313&lt;=$NS$48),IF($NP$48="Single_Point",IF(313=$NR$48,$NN$48,0),IF($NP$48="Bell_Curve",$NN$48*(313-$NR$48+1)*($NS$48-313+1)/$NU$48,$NN$48/$NT$48)),0)</f>
        <v/>
      </c>
      <c r="LF48" s="402">
        <f>IF(AND(314&gt;=$NR$48,314&lt;=$NS$48),IF($NP$48="Single_Point",IF(314=$NR$48,$NN$48,0),IF($NP$48="Bell_Curve",$NN$48*(314-$NR$48+1)*($NS$48-314+1)/$NU$48,$NN$48/$NT$48)),0)</f>
        <v/>
      </c>
      <c r="LG48" s="402">
        <f>IF(AND(315&gt;=$NR$48,315&lt;=$NS$48),IF($NP$48="Single_Point",IF(315=$NR$48,$NN$48,0),IF($NP$48="Bell_Curve",$NN$48*(315-$NR$48+1)*($NS$48-315+1)/$NU$48,$NN$48/$NT$48)),0)</f>
        <v/>
      </c>
      <c r="LH48" s="402">
        <f>IF(AND(316&gt;=$NR$48,316&lt;=$NS$48),IF($NP$48="Single_Point",IF(316=$NR$48,$NN$48,0),IF($NP$48="Bell_Curve",$NN$48*(316-$NR$48+1)*($NS$48-316+1)/$NU$48,$NN$48/$NT$48)),0)</f>
        <v/>
      </c>
      <c r="LI48" s="402">
        <f>IF(AND(317&gt;=$NR$48,317&lt;=$NS$48),IF($NP$48="Single_Point",IF(317=$NR$48,$NN$48,0),IF($NP$48="Bell_Curve",$NN$48*(317-$NR$48+1)*($NS$48-317+1)/$NU$48,$NN$48/$NT$48)),0)</f>
        <v/>
      </c>
      <c r="LJ48" s="402">
        <f>IF(AND(318&gt;=$NR$48,318&lt;=$NS$48),IF($NP$48="Single_Point",IF(318=$NR$48,$NN$48,0),IF($NP$48="Bell_Curve",$NN$48*(318-$NR$48+1)*($NS$48-318+1)/$NU$48,$NN$48/$NT$48)),0)</f>
        <v/>
      </c>
      <c r="LK48" s="402">
        <f>IF(AND(319&gt;=$NR$48,319&lt;=$NS$48),IF($NP$48="Single_Point",IF(319=$NR$48,$NN$48,0),IF($NP$48="Bell_Curve",$NN$48*(319-$NR$48+1)*($NS$48-319+1)/$NU$48,$NN$48/$NT$48)),0)</f>
        <v/>
      </c>
      <c r="LL48" s="402">
        <f>IF(AND(320&gt;=$NR$48,320&lt;=$NS$48),IF($NP$48="Single_Point",IF(320=$NR$48,$NN$48,0),IF($NP$48="Bell_Curve",$NN$48*(320-$NR$48+1)*($NS$48-320+1)/$NU$48,$NN$48/$NT$48)),0)</f>
        <v/>
      </c>
      <c r="LM48" s="402">
        <f>IF(AND(321&gt;=$NR$48,321&lt;=$NS$48),IF($NP$48="Single_Point",IF(321=$NR$48,$NN$48,0),IF($NP$48="Bell_Curve",$NN$48*(321-$NR$48+1)*($NS$48-321+1)/$NU$48,$NN$48/$NT$48)),0)</f>
        <v/>
      </c>
      <c r="LN48" s="402">
        <f>IF(AND(322&gt;=$NR$48,322&lt;=$NS$48),IF($NP$48="Single_Point",IF(322=$NR$48,$NN$48,0),IF($NP$48="Bell_Curve",$NN$48*(322-$NR$48+1)*($NS$48-322+1)/$NU$48,$NN$48/$NT$48)),0)</f>
        <v/>
      </c>
      <c r="LO48" s="402">
        <f>IF(AND(323&gt;=$NR$48,323&lt;=$NS$48),IF($NP$48="Single_Point",IF(323=$NR$48,$NN$48,0),IF($NP$48="Bell_Curve",$NN$48*(323-$NR$48+1)*($NS$48-323+1)/$NU$48,$NN$48/$NT$48)),0)</f>
        <v/>
      </c>
      <c r="LP48" s="402">
        <f>IF(AND(324&gt;=$NR$48,324&lt;=$NS$48),IF($NP$48="Single_Point",IF(324=$NR$48,$NN$48,0),IF($NP$48="Bell_Curve",$NN$48*(324-$NR$48+1)*($NS$48-324+1)/$NU$48,$NN$48/$NT$48)),0)</f>
        <v/>
      </c>
      <c r="LQ48" s="402">
        <f>IF(AND(325&gt;=$NR$48,325&lt;=$NS$48),IF($NP$48="Single_Point",IF(325=$NR$48,$NN$48,0),IF($NP$48="Bell_Curve",$NN$48*(325-$NR$48+1)*($NS$48-325+1)/$NU$48,$NN$48/$NT$48)),0)</f>
        <v/>
      </c>
      <c r="LR48" s="402">
        <f>IF(AND(326&gt;=$NR$48,326&lt;=$NS$48),IF($NP$48="Single_Point",IF(326=$NR$48,$NN$48,0),IF($NP$48="Bell_Curve",$NN$48*(326-$NR$48+1)*($NS$48-326+1)/$NU$48,$NN$48/$NT$48)),0)</f>
        <v/>
      </c>
      <c r="LS48" s="402">
        <f>IF(AND(327&gt;=$NR$48,327&lt;=$NS$48),IF($NP$48="Single_Point",IF(327=$NR$48,$NN$48,0),IF($NP$48="Bell_Curve",$NN$48*(327-$NR$48+1)*($NS$48-327+1)/$NU$48,$NN$48/$NT$48)),0)</f>
        <v/>
      </c>
      <c r="LT48" s="402">
        <f>IF(AND(328&gt;=$NR$48,328&lt;=$NS$48),IF($NP$48="Single_Point",IF(328=$NR$48,$NN$48,0),IF($NP$48="Bell_Curve",$NN$48*(328-$NR$48+1)*($NS$48-328+1)/$NU$48,$NN$48/$NT$48)),0)</f>
        <v/>
      </c>
      <c r="LU48" s="402">
        <f>IF(AND(329&gt;=$NR$48,329&lt;=$NS$48),IF($NP$48="Single_Point",IF(329=$NR$48,$NN$48,0),IF($NP$48="Bell_Curve",$NN$48*(329-$NR$48+1)*($NS$48-329+1)/$NU$48,$NN$48/$NT$48)),0)</f>
        <v/>
      </c>
      <c r="LV48" s="402">
        <f>IF(AND(330&gt;=$NR$48,330&lt;=$NS$48),IF($NP$48="Single_Point",IF(330=$NR$48,$NN$48,0),IF($NP$48="Bell_Curve",$NN$48*(330-$NR$48+1)*($NS$48-330+1)/$NU$48,$NN$48/$NT$48)),0)</f>
        <v/>
      </c>
      <c r="LW48" s="402">
        <f>IF(AND(331&gt;=$NR$48,331&lt;=$NS$48),IF($NP$48="Single_Point",IF(331=$NR$48,$NN$48,0),IF($NP$48="Bell_Curve",$NN$48*(331-$NR$48+1)*($NS$48-331+1)/$NU$48,$NN$48/$NT$48)),0)</f>
        <v/>
      </c>
      <c r="LX48" s="402">
        <f>IF(AND(332&gt;=$NR$48,332&lt;=$NS$48),IF($NP$48="Single_Point",IF(332=$NR$48,$NN$48,0),IF($NP$48="Bell_Curve",$NN$48*(332-$NR$48+1)*($NS$48-332+1)/$NU$48,$NN$48/$NT$48)),0)</f>
        <v/>
      </c>
      <c r="LY48" s="402">
        <f>IF(AND(333&gt;=$NR$48,333&lt;=$NS$48),IF($NP$48="Single_Point",IF(333=$NR$48,$NN$48,0),IF($NP$48="Bell_Curve",$NN$48*(333-$NR$48+1)*($NS$48-333+1)/$NU$48,$NN$48/$NT$48)),0)</f>
        <v/>
      </c>
      <c r="LZ48" s="402">
        <f>IF(AND(334&gt;=$NR$48,334&lt;=$NS$48),IF($NP$48="Single_Point",IF(334=$NR$48,$NN$48,0),IF($NP$48="Bell_Curve",$NN$48*(334-$NR$48+1)*($NS$48-334+1)/$NU$48,$NN$48/$NT$48)),0)</f>
        <v/>
      </c>
      <c r="MA48" s="402">
        <f>IF(AND(335&gt;=$NR$48,335&lt;=$NS$48),IF($NP$48="Single_Point",IF(335=$NR$48,$NN$48,0),IF($NP$48="Bell_Curve",$NN$48*(335-$NR$48+1)*($NS$48-335+1)/$NU$48,$NN$48/$NT$48)),0)</f>
        <v/>
      </c>
      <c r="MB48" s="402">
        <f>IF(AND(336&gt;=$NR$48,336&lt;=$NS$48),IF($NP$48="Single_Point",IF(336=$NR$48,$NN$48,0),IF($NP$48="Bell_Curve",$NN$48*(336-$NR$48+1)*($NS$48-336+1)/$NU$48,$NN$48/$NT$48)),0)</f>
        <v/>
      </c>
      <c r="MC48" s="402">
        <f>IF(AND(337&gt;=$NR$48,337&lt;=$NS$48),IF($NP$48="Single_Point",IF(337=$NR$48,$NN$48,0),IF($NP$48="Bell_Curve",$NN$48*(337-$NR$48+1)*($NS$48-337+1)/$NU$48,$NN$48/$NT$48)),0)</f>
        <v/>
      </c>
      <c r="MD48" s="402">
        <f>IF(AND(338&gt;=$NR$48,338&lt;=$NS$48),IF($NP$48="Single_Point",IF(338=$NR$48,$NN$48,0),IF($NP$48="Bell_Curve",$NN$48*(338-$NR$48+1)*($NS$48-338+1)/$NU$48,$NN$48/$NT$48)),0)</f>
        <v/>
      </c>
      <c r="ME48" s="402">
        <f>IF(AND(339&gt;=$NR$48,339&lt;=$NS$48),IF($NP$48="Single_Point",IF(339=$NR$48,$NN$48,0),IF($NP$48="Bell_Curve",$NN$48*(339-$NR$48+1)*($NS$48-339+1)/$NU$48,$NN$48/$NT$48)),0)</f>
        <v/>
      </c>
      <c r="MF48" s="402">
        <f>IF(AND(340&gt;=$NR$48,340&lt;=$NS$48),IF($NP$48="Single_Point",IF(340=$NR$48,$NN$48,0),IF($NP$48="Bell_Curve",$NN$48*(340-$NR$48+1)*($NS$48-340+1)/$NU$48,$NN$48/$NT$48)),0)</f>
        <v/>
      </c>
      <c r="MG48" s="402">
        <f>IF(AND(341&gt;=$NR$48,341&lt;=$NS$48),IF($NP$48="Single_Point",IF(341=$NR$48,$NN$48,0),IF($NP$48="Bell_Curve",$NN$48*(341-$NR$48+1)*($NS$48-341+1)/$NU$48,$NN$48/$NT$48)),0)</f>
        <v/>
      </c>
      <c r="MH48" s="402">
        <f>IF(AND(342&gt;=$NR$48,342&lt;=$NS$48),IF($NP$48="Single_Point",IF(342=$NR$48,$NN$48,0),IF($NP$48="Bell_Curve",$NN$48*(342-$NR$48+1)*($NS$48-342+1)/$NU$48,$NN$48/$NT$48)),0)</f>
        <v/>
      </c>
      <c r="MI48" s="402">
        <f>IF(AND(343&gt;=$NR$48,343&lt;=$NS$48),IF($NP$48="Single_Point",IF(343=$NR$48,$NN$48,0),IF($NP$48="Bell_Curve",$NN$48*(343-$NR$48+1)*($NS$48-343+1)/$NU$48,$NN$48/$NT$48)),0)</f>
        <v/>
      </c>
      <c r="MJ48" s="402">
        <f>IF(AND(344&gt;=$NR$48,344&lt;=$NS$48),IF($NP$48="Single_Point",IF(344=$NR$48,$NN$48,0),IF($NP$48="Bell_Curve",$NN$48*(344-$NR$48+1)*($NS$48-344+1)/$NU$48,$NN$48/$NT$48)),0)</f>
        <v/>
      </c>
      <c r="MK48" s="402">
        <f>IF(AND(345&gt;=$NR$48,345&lt;=$NS$48),IF($NP$48="Single_Point",IF(345=$NR$48,$NN$48,0),IF($NP$48="Bell_Curve",$NN$48*(345-$NR$48+1)*($NS$48-345+1)/$NU$48,$NN$48/$NT$48)),0)</f>
        <v/>
      </c>
      <c r="ML48" s="402">
        <f>IF(AND(346&gt;=$NR$48,346&lt;=$NS$48),IF($NP$48="Single_Point",IF(346=$NR$48,$NN$48,0),IF($NP$48="Bell_Curve",$NN$48*(346-$NR$48+1)*($NS$48-346+1)/$NU$48,$NN$48/$NT$48)),0)</f>
        <v/>
      </c>
      <c r="MM48" s="402">
        <f>IF(AND(347&gt;=$NR$48,347&lt;=$NS$48),IF($NP$48="Single_Point",IF(347=$NR$48,$NN$48,0),IF($NP$48="Bell_Curve",$NN$48*(347-$NR$48+1)*($NS$48-347+1)/$NU$48,$NN$48/$NT$48)),0)</f>
        <v/>
      </c>
      <c r="MN48" s="402">
        <f>IF(AND(348&gt;=$NR$48,348&lt;=$NS$48),IF($NP$48="Single_Point",IF(348=$NR$48,$NN$48,0),IF($NP$48="Bell_Curve",$NN$48*(348-$NR$48+1)*($NS$48-348+1)/$NU$48,$NN$48/$NT$48)),0)</f>
        <v/>
      </c>
      <c r="MO48" s="402">
        <f>IF(AND(349&gt;=$NR$48,349&lt;=$NS$48),IF($NP$48="Single_Point",IF(349=$NR$48,$NN$48,0),IF($NP$48="Bell_Curve",$NN$48*(349-$NR$48+1)*($NS$48-349+1)/$NU$48,$NN$48/$NT$48)),0)</f>
        <v/>
      </c>
      <c r="MP48" s="402">
        <f>IF(AND(350&gt;=$NR$48,350&lt;=$NS$48),IF($NP$48="Single_Point",IF(350=$NR$48,$NN$48,0),IF($NP$48="Bell_Curve",$NN$48*(350-$NR$48+1)*($NS$48-350+1)/$NU$48,$NN$48/$NT$48)),0)</f>
        <v/>
      </c>
      <c r="MQ48" s="402">
        <f>IF(AND(351&gt;=$NR$48,351&lt;=$NS$48),IF($NP$48="Single_Point",IF(351=$NR$48,$NN$48,0),IF($NP$48="Bell_Curve",$NN$48*(351-$NR$48+1)*($NS$48-351+1)/$NU$48,$NN$48/$NT$48)),0)</f>
        <v/>
      </c>
      <c r="MR48" s="402">
        <f>IF(AND(352&gt;=$NR$48,352&lt;=$NS$48),IF($NP$48="Single_Point",IF(352=$NR$48,$NN$48,0),IF($NP$48="Bell_Curve",$NN$48*(352-$NR$48+1)*($NS$48-352+1)/$NU$48,$NN$48/$NT$48)),0)</f>
        <v/>
      </c>
      <c r="MS48" s="402">
        <f>IF(AND(353&gt;=$NR$48,353&lt;=$NS$48),IF($NP$48="Single_Point",IF(353=$NR$48,$NN$48,0),IF($NP$48="Bell_Curve",$NN$48*(353-$NR$48+1)*($NS$48-353+1)/$NU$48,$NN$48/$NT$48)),0)</f>
        <v/>
      </c>
      <c r="MT48" s="402">
        <f>IF(AND(354&gt;=$NR$48,354&lt;=$NS$48),IF($NP$48="Single_Point",IF(354=$NR$48,$NN$48,0),IF($NP$48="Bell_Curve",$NN$48*(354-$NR$48+1)*($NS$48-354+1)/$NU$48,$NN$48/$NT$48)),0)</f>
        <v/>
      </c>
      <c r="MU48" s="402">
        <f>IF(AND(355&gt;=$NR$48,355&lt;=$NS$48),IF($NP$48="Single_Point",IF(355=$NR$48,$NN$48,0),IF($NP$48="Bell_Curve",$NN$48*(355-$NR$48+1)*($NS$48-355+1)/$NU$48,$NN$48/$NT$48)),0)</f>
        <v/>
      </c>
      <c r="MV48" s="402">
        <f>IF(AND(356&gt;=$NR$48,356&lt;=$NS$48),IF($NP$48="Single_Point",IF(356=$NR$48,$NN$48,0),IF($NP$48="Bell_Curve",$NN$48*(356-$NR$48+1)*($NS$48-356+1)/$NU$48,$NN$48/$NT$48)),0)</f>
        <v/>
      </c>
      <c r="MW48" s="402">
        <f>IF(AND(357&gt;=$NR$48,357&lt;=$NS$48),IF($NP$48="Single_Point",IF(357=$NR$48,$NN$48,0),IF($NP$48="Bell_Curve",$NN$48*(357-$NR$48+1)*($NS$48-357+1)/$NU$48,$NN$48/$NT$48)),0)</f>
        <v/>
      </c>
      <c r="MX48" s="402">
        <f>IF(AND(358&gt;=$NR$48,358&lt;=$NS$48),IF($NP$48="Single_Point",IF(358=$NR$48,$NN$48,0),IF($NP$48="Bell_Curve",$NN$48*(358-$NR$48+1)*($NS$48-358+1)/$NU$48,$NN$48/$NT$48)),0)</f>
        <v/>
      </c>
      <c r="MY48" s="402">
        <f>IF(AND(359&gt;=$NR$48,359&lt;=$NS$48),IF($NP$48="Single_Point",IF(359=$NR$48,$NN$48,0),IF($NP$48="Bell_Curve",$NN$48*(359-$NR$48+1)*($NS$48-359+1)/$NU$48,$NN$48/$NT$48)),0)</f>
        <v/>
      </c>
      <c r="MZ48" s="402">
        <f>IF(AND(360&gt;=$NR$48,360&lt;=$NS$48),IF($NP$48="Single_Point",IF(360=$NR$48,$NN$48,0),IF($NP$48="Bell_Curve",$NN$48*(360-$NR$48+1)*($NS$48-360+1)/$NU$48,$NN$48/$NT$48)),0)</f>
        <v/>
      </c>
      <c r="NA48" s="402">
        <f>IF(AND(361&gt;=$NR$48,361&lt;=$NS$48),IF($NP$48="Single_Point",IF(361=$NR$48,$NN$48,0),IF($NP$48="Bell_Curve",$NN$48*(361-$NR$48+1)*($NS$48-361+1)/$NU$48,$NN$48/$NT$48)),0)</f>
        <v/>
      </c>
      <c r="NB48" s="402">
        <f>IF(AND(362&gt;=$NR$48,362&lt;=$NS$48),IF($NP$48="Single_Point",IF(362=$NR$48,$NN$48,0),IF($NP$48="Bell_Curve",$NN$48*(362-$NR$48+1)*($NS$48-362+1)/$NU$48,$NN$48/$NT$48)),0)</f>
        <v/>
      </c>
      <c r="NC48" s="402">
        <f>IF(AND(363&gt;=$NR$48,363&lt;=$NS$48),IF($NP$48="Single_Point",IF(363=$NR$48,$NN$48,0),IF($NP$48="Bell_Curve",$NN$48*(363-$NR$48+1)*($NS$48-363+1)/$NU$48,$NN$48/$NT$48)),0)</f>
        <v/>
      </c>
      <c r="ND48" s="402">
        <f>IF(AND(364&gt;=$NR$48,364&lt;=$NS$48),IF($NP$48="Single_Point",IF(364=$NR$48,$NN$48,0),IF($NP$48="Bell_Curve",$NN$48*(364-$NR$48+1)*($NS$48-364+1)/$NU$48,$NN$48/$NT$48)),0)</f>
        <v/>
      </c>
      <c r="NE48" s="402">
        <f>IF(AND(365&gt;=$NR$48,365&lt;=$NS$48),IF($NP$48="Single_Point",IF(365=$NR$48,$NN$48,0),IF($NP$48="Bell_Curve",$NN$48*(365-$NR$48+1)*($NS$48-365+1)/$NU$48,$NN$48/$NT$48)),0)</f>
        <v/>
      </c>
      <c r="NF48" s="402">
        <f>IF(AND(366&gt;=$NR$48,366&lt;=$NS$48),IF($NP$48="Single_Point",IF(366=$NR$48,$NN$48,0),IF($NP$48="Bell_Curve",$NN$48*(366-$NR$48+1)*($NS$48-366+1)/$NU$48,$NN$48/$NT$48)),0)</f>
        <v/>
      </c>
      <c r="NG48" s="402">
        <f>IF(AND(367&gt;=$NR$48,367&lt;=$NS$48),IF($NP$48="Single_Point",IF(367=$NR$48,$NN$48,0),IF($NP$48="Bell_Curve",$NN$48*(367-$NR$48+1)*($NS$48-367+1)/$NU$48,$NN$48/$NT$48)),0)</f>
        <v/>
      </c>
      <c r="NH48" s="402">
        <f>IF(AND(368&gt;=$NR$48,368&lt;=$NS$48),IF($NP$48="Single_Point",IF(368=$NR$48,$NN$48,0),IF($NP$48="Bell_Curve",$NN$48*(368-$NR$48+1)*($NS$48-368+1)/$NU$48,$NN$48/$NT$48)),0)</f>
        <v/>
      </c>
      <c r="NI48" s="402">
        <f>IF(AND(369&gt;=$NR$48,369&lt;=$NS$48),IF($NP$48="Single_Point",IF(369=$NR$48,$NN$48,0),IF($NP$48="Bell_Curve",$NN$48*(369-$NR$48+1)*($NS$48-369+1)/$NU$48,$NN$48/$NT$48)),0)</f>
        <v/>
      </c>
      <c r="NJ48" s="402">
        <f>IF(AND(370&gt;=$NR$48,370&lt;=$NS$48),IF($NP$48="Single_Point",IF(370=$NR$48,$NN$48,0),IF($NP$48="Bell_Curve",$NN$48*(370-$NR$48+1)*($NS$48-370+1)/$NU$48,$NN$48/$NT$48)),0)</f>
        <v/>
      </c>
      <c r="NK48" s="402">
        <f>IF(AND(371&gt;=$NR$48,371&lt;=$NS$48),IF($NP$48="Single_Point",IF(371=$NR$48,$NN$48,0),IF($NP$48="Bell_Curve",$NN$48*(371-$NR$48+1)*($NS$48-371+1)/$NU$48,$NN$48/$NT$48)),0)</f>
        <v/>
      </c>
      <c r="NL48" s="402">
        <f>IF(AND(372&gt;=$NR$48,372&lt;=$NS$48),IF($NP$48="Single_Point",IF(372=$NR$48,$NN$48,0),IF($NP$48="Bell_Curve",$NN$48*(372-$NR$48+1)*($NS$48-372+1)/$NU$48,$NN$48/$NT$48)),0)</f>
        <v/>
      </c>
      <c r="NM48">
        <f>Budget!C47</f>
        <v/>
      </c>
      <c r="NN48">
        <f>Budget!J47</f>
        <v/>
      </c>
      <c r="NO48">
        <f>Budget!G47</f>
        <v/>
      </c>
      <c r="NP48">
        <f>Budget!H47</f>
        <v/>
      </c>
      <c r="NQ48">
        <f>Budget!I47</f>
        <v/>
      </c>
      <c r="NR48">
        <f>MAX(1,MIN(372,INDEX(MilestoneStart,MATCH(NO48,MilestoneNames,0))+NQ48))</f>
        <v/>
      </c>
      <c r="NS48">
        <f>MAX(NR48,MIN(372,INDEX(MilestoneEnd,MATCH(NO48,MilestoneNames,0))+NQ48))</f>
        <v/>
      </c>
      <c r="NT48">
        <f>NS48-NR48+1</f>
        <v/>
      </c>
      <c r="NU48">
        <f>NT48*(NT48+1)*(NT48+2)/6</f>
        <v/>
      </c>
    </row>
    <row r="49">
      <c r="B49" s="316">
        <f>Budget!B48</f>
        <v/>
      </c>
      <c r="D49" s="402">
        <f>SUM(E49:NL49)</f>
        <v/>
      </c>
      <c r="E49" s="402">
        <f>IF(AND(1&gt;=$NR$49,1&lt;=$NS$49),IF($NP$49="Single_Point",IF(1=$NR$49,$NN$49,0),IF($NP$49="Bell_Curve",$NN$49*(1-$NR$49+1)*($NS$49-1+1)/$NU$49,$NN$49/$NT$49)),0)</f>
        <v/>
      </c>
      <c r="F49" s="402">
        <f>IF(AND(2&gt;=$NR$49,2&lt;=$NS$49),IF($NP$49="Single_Point",IF(2=$NR$49,$NN$49,0),IF($NP$49="Bell_Curve",$NN$49*(2-$NR$49+1)*($NS$49-2+1)/$NU$49,$NN$49/$NT$49)),0)</f>
        <v/>
      </c>
      <c r="G49" s="402">
        <f>IF(AND(3&gt;=$NR$49,3&lt;=$NS$49),IF($NP$49="Single_Point",IF(3=$NR$49,$NN$49,0),IF($NP$49="Bell_Curve",$NN$49*(3-$NR$49+1)*($NS$49-3+1)/$NU$49,$NN$49/$NT$49)),0)</f>
        <v/>
      </c>
      <c r="H49" s="402">
        <f>IF(AND(4&gt;=$NR$49,4&lt;=$NS$49),IF($NP$49="Single_Point",IF(4=$NR$49,$NN$49,0),IF($NP$49="Bell_Curve",$NN$49*(4-$NR$49+1)*($NS$49-4+1)/$NU$49,$NN$49/$NT$49)),0)</f>
        <v/>
      </c>
      <c r="I49" s="402">
        <f>IF(AND(5&gt;=$NR$49,5&lt;=$NS$49),IF($NP$49="Single_Point",IF(5=$NR$49,$NN$49,0),IF($NP$49="Bell_Curve",$NN$49*(5-$NR$49+1)*($NS$49-5+1)/$NU$49,$NN$49/$NT$49)),0)</f>
        <v/>
      </c>
      <c r="J49" s="402">
        <f>IF(AND(6&gt;=$NR$49,6&lt;=$NS$49),IF($NP$49="Single_Point",IF(6=$NR$49,$NN$49,0),IF($NP$49="Bell_Curve",$NN$49*(6-$NR$49+1)*($NS$49-6+1)/$NU$49,$NN$49/$NT$49)),0)</f>
        <v/>
      </c>
      <c r="K49" s="402">
        <f>IF(AND(7&gt;=$NR$49,7&lt;=$NS$49),IF($NP$49="Single_Point",IF(7=$NR$49,$NN$49,0),IF($NP$49="Bell_Curve",$NN$49*(7-$NR$49+1)*($NS$49-7+1)/$NU$49,$NN$49/$NT$49)),0)</f>
        <v/>
      </c>
      <c r="L49" s="402">
        <f>IF(AND(8&gt;=$NR$49,8&lt;=$NS$49),IF($NP$49="Single_Point",IF(8=$NR$49,$NN$49,0),IF($NP$49="Bell_Curve",$NN$49*(8-$NR$49+1)*($NS$49-8+1)/$NU$49,$NN$49/$NT$49)),0)</f>
        <v/>
      </c>
      <c r="M49" s="402">
        <f>IF(AND(9&gt;=$NR$49,9&lt;=$NS$49),IF($NP$49="Single_Point",IF(9=$NR$49,$NN$49,0),IF($NP$49="Bell_Curve",$NN$49*(9-$NR$49+1)*($NS$49-9+1)/$NU$49,$NN$49/$NT$49)),0)</f>
        <v/>
      </c>
      <c r="N49" s="402">
        <f>IF(AND(10&gt;=$NR$49,10&lt;=$NS$49),IF($NP$49="Single_Point",IF(10=$NR$49,$NN$49,0),IF($NP$49="Bell_Curve",$NN$49*(10-$NR$49+1)*($NS$49-10+1)/$NU$49,$NN$49/$NT$49)),0)</f>
        <v/>
      </c>
      <c r="O49" s="402">
        <f>IF(AND(11&gt;=$NR$49,11&lt;=$NS$49),IF($NP$49="Single_Point",IF(11=$NR$49,$NN$49,0),IF($NP$49="Bell_Curve",$NN$49*(11-$NR$49+1)*($NS$49-11+1)/$NU$49,$NN$49/$NT$49)),0)</f>
        <v/>
      </c>
      <c r="P49" s="402">
        <f>IF(AND(12&gt;=$NR$49,12&lt;=$NS$49),IF($NP$49="Single_Point",IF(12=$NR$49,$NN$49,0),IF($NP$49="Bell_Curve",$NN$49*(12-$NR$49+1)*($NS$49-12+1)/$NU$49,$NN$49/$NT$49)),0)</f>
        <v/>
      </c>
      <c r="Q49" s="402">
        <f>IF(AND(13&gt;=$NR$49,13&lt;=$NS$49),IF($NP$49="Single_Point",IF(13=$NR$49,$NN$49,0),IF($NP$49="Bell_Curve",$NN$49*(13-$NR$49+1)*($NS$49-13+1)/$NU$49,$NN$49/$NT$49)),0)</f>
        <v/>
      </c>
      <c r="R49" s="402">
        <f>IF(AND(14&gt;=$NR$49,14&lt;=$NS$49),IF($NP$49="Single_Point",IF(14=$NR$49,$NN$49,0),IF($NP$49="Bell_Curve",$NN$49*(14-$NR$49+1)*($NS$49-14+1)/$NU$49,$NN$49/$NT$49)),0)</f>
        <v/>
      </c>
      <c r="S49" s="402">
        <f>IF(AND(15&gt;=$NR$49,15&lt;=$NS$49),IF($NP$49="Single_Point",IF(15=$NR$49,$NN$49,0),IF($NP$49="Bell_Curve",$NN$49*(15-$NR$49+1)*($NS$49-15+1)/$NU$49,$NN$49/$NT$49)),0)</f>
        <v/>
      </c>
      <c r="T49" s="402">
        <f>IF(AND(16&gt;=$NR$49,16&lt;=$NS$49),IF($NP$49="Single_Point",IF(16=$NR$49,$NN$49,0),IF($NP$49="Bell_Curve",$NN$49*(16-$NR$49+1)*($NS$49-16+1)/$NU$49,$NN$49/$NT$49)),0)</f>
        <v/>
      </c>
      <c r="U49" s="402">
        <f>IF(AND(17&gt;=$NR$49,17&lt;=$NS$49),IF($NP$49="Single_Point",IF(17=$NR$49,$NN$49,0),IF($NP$49="Bell_Curve",$NN$49*(17-$NR$49+1)*($NS$49-17+1)/$NU$49,$NN$49/$NT$49)),0)</f>
        <v/>
      </c>
      <c r="V49" s="402">
        <f>IF(AND(18&gt;=$NR$49,18&lt;=$NS$49),IF($NP$49="Single_Point",IF(18=$NR$49,$NN$49,0),IF($NP$49="Bell_Curve",$NN$49*(18-$NR$49+1)*($NS$49-18+1)/$NU$49,$NN$49/$NT$49)),0)</f>
        <v/>
      </c>
      <c r="W49" s="402">
        <f>IF(AND(19&gt;=$NR$49,19&lt;=$NS$49),IF($NP$49="Single_Point",IF(19=$NR$49,$NN$49,0),IF($NP$49="Bell_Curve",$NN$49*(19-$NR$49+1)*($NS$49-19+1)/$NU$49,$NN$49/$NT$49)),0)</f>
        <v/>
      </c>
      <c r="X49" s="402">
        <f>IF(AND(20&gt;=$NR$49,20&lt;=$NS$49),IF($NP$49="Single_Point",IF(20=$NR$49,$NN$49,0),IF($NP$49="Bell_Curve",$NN$49*(20-$NR$49+1)*($NS$49-20+1)/$NU$49,$NN$49/$NT$49)),0)</f>
        <v/>
      </c>
      <c r="Y49" s="402">
        <f>IF(AND(21&gt;=$NR$49,21&lt;=$NS$49),IF($NP$49="Single_Point",IF(21=$NR$49,$NN$49,0),IF($NP$49="Bell_Curve",$NN$49*(21-$NR$49+1)*($NS$49-21+1)/$NU$49,$NN$49/$NT$49)),0)</f>
        <v/>
      </c>
      <c r="Z49" s="402">
        <f>IF(AND(22&gt;=$NR$49,22&lt;=$NS$49),IF($NP$49="Single_Point",IF(22=$NR$49,$NN$49,0),IF($NP$49="Bell_Curve",$NN$49*(22-$NR$49+1)*($NS$49-22+1)/$NU$49,$NN$49/$NT$49)),0)</f>
        <v/>
      </c>
      <c r="AA49" s="402">
        <f>IF(AND(23&gt;=$NR$49,23&lt;=$NS$49),IF($NP$49="Single_Point",IF(23=$NR$49,$NN$49,0),IF($NP$49="Bell_Curve",$NN$49*(23-$NR$49+1)*($NS$49-23+1)/$NU$49,$NN$49/$NT$49)),0)</f>
        <v/>
      </c>
      <c r="AB49" s="402">
        <f>IF(AND(24&gt;=$NR$49,24&lt;=$NS$49),IF($NP$49="Single_Point",IF(24=$NR$49,$NN$49,0),IF($NP$49="Bell_Curve",$NN$49*(24-$NR$49+1)*($NS$49-24+1)/$NU$49,$NN$49/$NT$49)),0)</f>
        <v/>
      </c>
      <c r="AC49" s="402">
        <f>IF(AND(25&gt;=$NR$49,25&lt;=$NS$49),IF($NP$49="Single_Point",IF(25=$NR$49,$NN$49,0),IF($NP$49="Bell_Curve",$NN$49*(25-$NR$49+1)*($NS$49-25+1)/$NU$49,$NN$49/$NT$49)),0)</f>
        <v/>
      </c>
      <c r="AD49" s="402">
        <f>IF(AND(26&gt;=$NR$49,26&lt;=$NS$49),IF($NP$49="Single_Point",IF(26=$NR$49,$NN$49,0),IF($NP$49="Bell_Curve",$NN$49*(26-$NR$49+1)*($NS$49-26+1)/$NU$49,$NN$49/$NT$49)),0)</f>
        <v/>
      </c>
      <c r="AE49" s="402">
        <f>IF(AND(27&gt;=$NR$49,27&lt;=$NS$49),IF($NP$49="Single_Point",IF(27=$NR$49,$NN$49,0),IF($NP$49="Bell_Curve",$NN$49*(27-$NR$49+1)*($NS$49-27+1)/$NU$49,$NN$49/$NT$49)),0)</f>
        <v/>
      </c>
      <c r="AF49" s="402">
        <f>IF(AND(28&gt;=$NR$49,28&lt;=$NS$49),IF($NP$49="Single_Point",IF(28=$NR$49,$NN$49,0),IF($NP$49="Bell_Curve",$NN$49*(28-$NR$49+1)*($NS$49-28+1)/$NU$49,$NN$49/$NT$49)),0)</f>
        <v/>
      </c>
      <c r="AG49" s="402">
        <f>IF(AND(29&gt;=$NR$49,29&lt;=$NS$49),IF($NP$49="Single_Point",IF(29=$NR$49,$NN$49,0),IF($NP$49="Bell_Curve",$NN$49*(29-$NR$49+1)*($NS$49-29+1)/$NU$49,$NN$49/$NT$49)),0)</f>
        <v/>
      </c>
      <c r="AH49" s="402">
        <f>IF(AND(30&gt;=$NR$49,30&lt;=$NS$49),IF($NP$49="Single_Point",IF(30=$NR$49,$NN$49,0),IF($NP$49="Bell_Curve",$NN$49*(30-$NR$49+1)*($NS$49-30+1)/$NU$49,$NN$49/$NT$49)),0)</f>
        <v/>
      </c>
      <c r="AI49" s="402">
        <f>IF(AND(31&gt;=$NR$49,31&lt;=$NS$49),IF($NP$49="Single_Point",IF(31=$NR$49,$NN$49,0),IF($NP$49="Bell_Curve",$NN$49*(31-$NR$49+1)*($NS$49-31+1)/$NU$49,$NN$49/$NT$49)),0)</f>
        <v/>
      </c>
      <c r="AJ49" s="402">
        <f>IF(AND(32&gt;=$NR$49,32&lt;=$NS$49),IF($NP$49="Single_Point",IF(32=$NR$49,$NN$49,0),IF($NP$49="Bell_Curve",$NN$49*(32-$NR$49+1)*($NS$49-32+1)/$NU$49,$NN$49/$NT$49)),0)</f>
        <v/>
      </c>
      <c r="AK49" s="402">
        <f>IF(AND(33&gt;=$NR$49,33&lt;=$NS$49),IF($NP$49="Single_Point",IF(33=$NR$49,$NN$49,0),IF($NP$49="Bell_Curve",$NN$49*(33-$NR$49+1)*($NS$49-33+1)/$NU$49,$NN$49/$NT$49)),0)</f>
        <v/>
      </c>
      <c r="AL49" s="402">
        <f>IF(AND(34&gt;=$NR$49,34&lt;=$NS$49),IF($NP$49="Single_Point",IF(34=$NR$49,$NN$49,0),IF($NP$49="Bell_Curve",$NN$49*(34-$NR$49+1)*($NS$49-34+1)/$NU$49,$NN$49/$NT$49)),0)</f>
        <v/>
      </c>
      <c r="AM49" s="402">
        <f>IF(AND(35&gt;=$NR$49,35&lt;=$NS$49),IF($NP$49="Single_Point",IF(35=$NR$49,$NN$49,0),IF($NP$49="Bell_Curve",$NN$49*(35-$NR$49+1)*($NS$49-35+1)/$NU$49,$NN$49/$NT$49)),0)</f>
        <v/>
      </c>
      <c r="AN49" s="402">
        <f>IF(AND(36&gt;=$NR$49,36&lt;=$NS$49),IF($NP$49="Single_Point",IF(36=$NR$49,$NN$49,0),IF($NP$49="Bell_Curve",$NN$49*(36-$NR$49+1)*($NS$49-36+1)/$NU$49,$NN$49/$NT$49)),0)</f>
        <v/>
      </c>
      <c r="AO49" s="402">
        <f>IF(AND(37&gt;=$NR$49,37&lt;=$NS$49),IF($NP$49="Single_Point",IF(37=$NR$49,$NN$49,0),IF($NP$49="Bell_Curve",$NN$49*(37-$NR$49+1)*($NS$49-37+1)/$NU$49,$NN$49/$NT$49)),0)</f>
        <v/>
      </c>
      <c r="AP49" s="402">
        <f>IF(AND(38&gt;=$NR$49,38&lt;=$NS$49),IF($NP$49="Single_Point",IF(38=$NR$49,$NN$49,0),IF($NP$49="Bell_Curve",$NN$49*(38-$NR$49+1)*($NS$49-38+1)/$NU$49,$NN$49/$NT$49)),0)</f>
        <v/>
      </c>
      <c r="AQ49" s="402">
        <f>IF(AND(39&gt;=$NR$49,39&lt;=$NS$49),IF($NP$49="Single_Point",IF(39=$NR$49,$NN$49,0),IF($NP$49="Bell_Curve",$NN$49*(39-$NR$49+1)*($NS$49-39+1)/$NU$49,$NN$49/$NT$49)),0)</f>
        <v/>
      </c>
      <c r="AR49" s="402">
        <f>IF(AND(40&gt;=$NR$49,40&lt;=$NS$49),IF($NP$49="Single_Point",IF(40=$NR$49,$NN$49,0),IF($NP$49="Bell_Curve",$NN$49*(40-$NR$49+1)*($NS$49-40+1)/$NU$49,$NN$49/$NT$49)),0)</f>
        <v/>
      </c>
      <c r="AS49" s="402">
        <f>IF(AND(41&gt;=$NR$49,41&lt;=$NS$49),IF($NP$49="Single_Point",IF(41=$NR$49,$NN$49,0),IF($NP$49="Bell_Curve",$NN$49*(41-$NR$49+1)*($NS$49-41+1)/$NU$49,$NN$49/$NT$49)),0)</f>
        <v/>
      </c>
      <c r="AT49" s="402">
        <f>IF(AND(42&gt;=$NR$49,42&lt;=$NS$49),IF($NP$49="Single_Point",IF(42=$NR$49,$NN$49,0),IF($NP$49="Bell_Curve",$NN$49*(42-$NR$49+1)*($NS$49-42+1)/$NU$49,$NN$49/$NT$49)),0)</f>
        <v/>
      </c>
      <c r="AU49" s="402">
        <f>IF(AND(43&gt;=$NR$49,43&lt;=$NS$49),IF($NP$49="Single_Point",IF(43=$NR$49,$NN$49,0),IF($NP$49="Bell_Curve",$NN$49*(43-$NR$49+1)*($NS$49-43+1)/$NU$49,$NN$49/$NT$49)),0)</f>
        <v/>
      </c>
      <c r="AV49" s="402">
        <f>IF(AND(44&gt;=$NR$49,44&lt;=$NS$49),IF($NP$49="Single_Point",IF(44=$NR$49,$NN$49,0),IF($NP$49="Bell_Curve",$NN$49*(44-$NR$49+1)*($NS$49-44+1)/$NU$49,$NN$49/$NT$49)),0)</f>
        <v/>
      </c>
      <c r="AW49" s="402">
        <f>IF(AND(45&gt;=$NR$49,45&lt;=$NS$49),IF($NP$49="Single_Point",IF(45=$NR$49,$NN$49,0),IF($NP$49="Bell_Curve",$NN$49*(45-$NR$49+1)*($NS$49-45+1)/$NU$49,$NN$49/$NT$49)),0)</f>
        <v/>
      </c>
      <c r="AX49" s="402">
        <f>IF(AND(46&gt;=$NR$49,46&lt;=$NS$49),IF($NP$49="Single_Point",IF(46=$NR$49,$NN$49,0),IF($NP$49="Bell_Curve",$NN$49*(46-$NR$49+1)*($NS$49-46+1)/$NU$49,$NN$49/$NT$49)),0)</f>
        <v/>
      </c>
      <c r="AY49" s="402">
        <f>IF(AND(47&gt;=$NR$49,47&lt;=$NS$49),IF($NP$49="Single_Point",IF(47=$NR$49,$NN$49,0),IF($NP$49="Bell_Curve",$NN$49*(47-$NR$49+1)*($NS$49-47+1)/$NU$49,$NN$49/$NT$49)),0)</f>
        <v/>
      </c>
      <c r="AZ49" s="402">
        <f>IF(AND(48&gt;=$NR$49,48&lt;=$NS$49),IF($NP$49="Single_Point",IF(48=$NR$49,$NN$49,0),IF($NP$49="Bell_Curve",$NN$49*(48-$NR$49+1)*($NS$49-48+1)/$NU$49,$NN$49/$NT$49)),0)</f>
        <v/>
      </c>
      <c r="BA49" s="402">
        <f>IF(AND(49&gt;=$NR$49,49&lt;=$NS$49),IF($NP$49="Single_Point",IF(49=$NR$49,$NN$49,0),IF($NP$49="Bell_Curve",$NN$49*(49-$NR$49+1)*($NS$49-49+1)/$NU$49,$NN$49/$NT$49)),0)</f>
        <v/>
      </c>
      <c r="BB49" s="402">
        <f>IF(AND(50&gt;=$NR$49,50&lt;=$NS$49),IF($NP$49="Single_Point",IF(50=$NR$49,$NN$49,0),IF($NP$49="Bell_Curve",$NN$49*(50-$NR$49+1)*($NS$49-50+1)/$NU$49,$NN$49/$NT$49)),0)</f>
        <v/>
      </c>
      <c r="BC49" s="402">
        <f>IF(AND(51&gt;=$NR$49,51&lt;=$NS$49),IF($NP$49="Single_Point",IF(51=$NR$49,$NN$49,0),IF($NP$49="Bell_Curve",$NN$49*(51-$NR$49+1)*($NS$49-51+1)/$NU$49,$NN$49/$NT$49)),0)</f>
        <v/>
      </c>
      <c r="BD49" s="402">
        <f>IF(AND(52&gt;=$NR$49,52&lt;=$NS$49),IF($NP$49="Single_Point",IF(52=$NR$49,$NN$49,0),IF($NP$49="Bell_Curve",$NN$49*(52-$NR$49+1)*($NS$49-52+1)/$NU$49,$NN$49/$NT$49)),0)</f>
        <v/>
      </c>
      <c r="BE49" s="402">
        <f>IF(AND(53&gt;=$NR$49,53&lt;=$NS$49),IF($NP$49="Single_Point",IF(53=$NR$49,$NN$49,0),IF($NP$49="Bell_Curve",$NN$49*(53-$NR$49+1)*($NS$49-53+1)/$NU$49,$NN$49/$NT$49)),0)</f>
        <v/>
      </c>
      <c r="BF49" s="402">
        <f>IF(AND(54&gt;=$NR$49,54&lt;=$NS$49),IF($NP$49="Single_Point",IF(54=$NR$49,$NN$49,0),IF($NP$49="Bell_Curve",$NN$49*(54-$NR$49+1)*($NS$49-54+1)/$NU$49,$NN$49/$NT$49)),0)</f>
        <v/>
      </c>
      <c r="BG49" s="402">
        <f>IF(AND(55&gt;=$NR$49,55&lt;=$NS$49),IF($NP$49="Single_Point",IF(55=$NR$49,$NN$49,0),IF($NP$49="Bell_Curve",$NN$49*(55-$NR$49+1)*($NS$49-55+1)/$NU$49,$NN$49/$NT$49)),0)</f>
        <v/>
      </c>
      <c r="BH49" s="402">
        <f>IF(AND(56&gt;=$NR$49,56&lt;=$NS$49),IF($NP$49="Single_Point",IF(56=$NR$49,$NN$49,0),IF($NP$49="Bell_Curve",$NN$49*(56-$NR$49+1)*($NS$49-56+1)/$NU$49,$NN$49/$NT$49)),0)</f>
        <v/>
      </c>
      <c r="BI49" s="402">
        <f>IF(AND(57&gt;=$NR$49,57&lt;=$NS$49),IF($NP$49="Single_Point",IF(57=$NR$49,$NN$49,0),IF($NP$49="Bell_Curve",$NN$49*(57-$NR$49+1)*($NS$49-57+1)/$NU$49,$NN$49/$NT$49)),0)</f>
        <v/>
      </c>
      <c r="BJ49" s="402">
        <f>IF(AND(58&gt;=$NR$49,58&lt;=$NS$49),IF($NP$49="Single_Point",IF(58=$NR$49,$NN$49,0),IF($NP$49="Bell_Curve",$NN$49*(58-$NR$49+1)*($NS$49-58+1)/$NU$49,$NN$49/$NT$49)),0)</f>
        <v/>
      </c>
      <c r="BK49" s="402">
        <f>IF(AND(59&gt;=$NR$49,59&lt;=$NS$49),IF($NP$49="Single_Point",IF(59=$NR$49,$NN$49,0),IF($NP$49="Bell_Curve",$NN$49*(59-$NR$49+1)*($NS$49-59+1)/$NU$49,$NN$49/$NT$49)),0)</f>
        <v/>
      </c>
      <c r="BL49" s="402">
        <f>IF(AND(60&gt;=$NR$49,60&lt;=$NS$49),IF($NP$49="Single_Point",IF(60=$NR$49,$NN$49,0),IF($NP$49="Bell_Curve",$NN$49*(60-$NR$49+1)*($NS$49-60+1)/$NU$49,$NN$49/$NT$49)),0)</f>
        <v/>
      </c>
      <c r="BM49" s="402">
        <f>IF(AND(61&gt;=$NR$49,61&lt;=$NS$49),IF($NP$49="Single_Point",IF(61=$NR$49,$NN$49,0),IF($NP$49="Bell_Curve",$NN$49*(61-$NR$49+1)*($NS$49-61+1)/$NU$49,$NN$49/$NT$49)),0)</f>
        <v/>
      </c>
      <c r="BN49" s="402">
        <f>IF(AND(62&gt;=$NR$49,62&lt;=$NS$49),IF($NP$49="Single_Point",IF(62=$NR$49,$NN$49,0),IF($NP$49="Bell_Curve",$NN$49*(62-$NR$49+1)*($NS$49-62+1)/$NU$49,$NN$49/$NT$49)),0)</f>
        <v/>
      </c>
      <c r="BO49" s="402">
        <f>IF(AND(63&gt;=$NR$49,63&lt;=$NS$49),IF($NP$49="Single_Point",IF(63=$NR$49,$NN$49,0),IF($NP$49="Bell_Curve",$NN$49*(63-$NR$49+1)*($NS$49-63+1)/$NU$49,$NN$49/$NT$49)),0)</f>
        <v/>
      </c>
      <c r="BP49" s="402">
        <f>IF(AND(64&gt;=$NR$49,64&lt;=$NS$49),IF($NP$49="Single_Point",IF(64=$NR$49,$NN$49,0),IF($NP$49="Bell_Curve",$NN$49*(64-$NR$49+1)*($NS$49-64+1)/$NU$49,$NN$49/$NT$49)),0)</f>
        <v/>
      </c>
      <c r="BQ49" s="402">
        <f>IF(AND(65&gt;=$NR$49,65&lt;=$NS$49),IF($NP$49="Single_Point",IF(65=$NR$49,$NN$49,0),IF($NP$49="Bell_Curve",$NN$49*(65-$NR$49+1)*($NS$49-65+1)/$NU$49,$NN$49/$NT$49)),0)</f>
        <v/>
      </c>
      <c r="BR49" s="402">
        <f>IF(AND(66&gt;=$NR$49,66&lt;=$NS$49),IF($NP$49="Single_Point",IF(66=$NR$49,$NN$49,0),IF($NP$49="Bell_Curve",$NN$49*(66-$NR$49+1)*($NS$49-66+1)/$NU$49,$NN$49/$NT$49)),0)</f>
        <v/>
      </c>
      <c r="BS49" s="402">
        <f>IF(AND(67&gt;=$NR$49,67&lt;=$NS$49),IF($NP$49="Single_Point",IF(67=$NR$49,$NN$49,0),IF($NP$49="Bell_Curve",$NN$49*(67-$NR$49+1)*($NS$49-67+1)/$NU$49,$NN$49/$NT$49)),0)</f>
        <v/>
      </c>
      <c r="BT49" s="402">
        <f>IF(AND(68&gt;=$NR$49,68&lt;=$NS$49),IF($NP$49="Single_Point",IF(68=$NR$49,$NN$49,0),IF($NP$49="Bell_Curve",$NN$49*(68-$NR$49+1)*($NS$49-68+1)/$NU$49,$NN$49/$NT$49)),0)</f>
        <v/>
      </c>
      <c r="BU49" s="402">
        <f>IF(AND(69&gt;=$NR$49,69&lt;=$NS$49),IF($NP$49="Single_Point",IF(69=$NR$49,$NN$49,0),IF($NP$49="Bell_Curve",$NN$49*(69-$NR$49+1)*($NS$49-69+1)/$NU$49,$NN$49/$NT$49)),0)</f>
        <v/>
      </c>
      <c r="BV49" s="402">
        <f>IF(AND(70&gt;=$NR$49,70&lt;=$NS$49),IF($NP$49="Single_Point",IF(70=$NR$49,$NN$49,0),IF($NP$49="Bell_Curve",$NN$49*(70-$NR$49+1)*($NS$49-70+1)/$NU$49,$NN$49/$NT$49)),0)</f>
        <v/>
      </c>
      <c r="BW49" s="402">
        <f>IF(AND(71&gt;=$NR$49,71&lt;=$NS$49),IF($NP$49="Single_Point",IF(71=$NR$49,$NN$49,0),IF($NP$49="Bell_Curve",$NN$49*(71-$NR$49+1)*($NS$49-71+1)/$NU$49,$NN$49/$NT$49)),0)</f>
        <v/>
      </c>
      <c r="BX49" s="402">
        <f>IF(AND(72&gt;=$NR$49,72&lt;=$NS$49),IF($NP$49="Single_Point",IF(72=$NR$49,$NN$49,0),IF($NP$49="Bell_Curve",$NN$49*(72-$NR$49+1)*($NS$49-72+1)/$NU$49,$NN$49/$NT$49)),0)</f>
        <v/>
      </c>
      <c r="BY49" s="402">
        <f>IF(AND(73&gt;=$NR$49,73&lt;=$NS$49),IF($NP$49="Single_Point",IF(73=$NR$49,$NN$49,0),IF($NP$49="Bell_Curve",$NN$49*(73-$NR$49+1)*($NS$49-73+1)/$NU$49,$NN$49/$NT$49)),0)</f>
        <v/>
      </c>
      <c r="BZ49" s="402">
        <f>IF(AND(74&gt;=$NR$49,74&lt;=$NS$49),IF($NP$49="Single_Point",IF(74=$NR$49,$NN$49,0),IF($NP$49="Bell_Curve",$NN$49*(74-$NR$49+1)*($NS$49-74+1)/$NU$49,$NN$49/$NT$49)),0)</f>
        <v/>
      </c>
      <c r="CA49" s="402">
        <f>IF(AND(75&gt;=$NR$49,75&lt;=$NS$49),IF($NP$49="Single_Point",IF(75=$NR$49,$NN$49,0),IF($NP$49="Bell_Curve",$NN$49*(75-$NR$49+1)*($NS$49-75+1)/$NU$49,$NN$49/$NT$49)),0)</f>
        <v/>
      </c>
      <c r="CB49" s="402">
        <f>IF(AND(76&gt;=$NR$49,76&lt;=$NS$49),IF($NP$49="Single_Point",IF(76=$NR$49,$NN$49,0),IF($NP$49="Bell_Curve",$NN$49*(76-$NR$49+1)*($NS$49-76+1)/$NU$49,$NN$49/$NT$49)),0)</f>
        <v/>
      </c>
      <c r="CC49" s="402">
        <f>IF(AND(77&gt;=$NR$49,77&lt;=$NS$49),IF($NP$49="Single_Point",IF(77=$NR$49,$NN$49,0),IF($NP$49="Bell_Curve",$NN$49*(77-$NR$49+1)*($NS$49-77+1)/$NU$49,$NN$49/$NT$49)),0)</f>
        <v/>
      </c>
      <c r="CD49" s="402">
        <f>IF(AND(78&gt;=$NR$49,78&lt;=$NS$49),IF($NP$49="Single_Point",IF(78=$NR$49,$NN$49,0),IF($NP$49="Bell_Curve",$NN$49*(78-$NR$49+1)*($NS$49-78+1)/$NU$49,$NN$49/$NT$49)),0)</f>
        <v/>
      </c>
      <c r="CE49" s="402">
        <f>IF(AND(79&gt;=$NR$49,79&lt;=$NS$49),IF($NP$49="Single_Point",IF(79=$NR$49,$NN$49,0),IF($NP$49="Bell_Curve",$NN$49*(79-$NR$49+1)*($NS$49-79+1)/$NU$49,$NN$49/$NT$49)),0)</f>
        <v/>
      </c>
      <c r="CF49" s="402">
        <f>IF(AND(80&gt;=$NR$49,80&lt;=$NS$49),IF($NP$49="Single_Point",IF(80=$NR$49,$NN$49,0),IF($NP$49="Bell_Curve",$NN$49*(80-$NR$49+1)*($NS$49-80+1)/$NU$49,$NN$49/$NT$49)),0)</f>
        <v/>
      </c>
      <c r="CG49" s="402">
        <f>IF(AND(81&gt;=$NR$49,81&lt;=$NS$49),IF($NP$49="Single_Point",IF(81=$NR$49,$NN$49,0),IF($NP$49="Bell_Curve",$NN$49*(81-$NR$49+1)*($NS$49-81+1)/$NU$49,$NN$49/$NT$49)),0)</f>
        <v/>
      </c>
      <c r="CH49" s="402">
        <f>IF(AND(82&gt;=$NR$49,82&lt;=$NS$49),IF($NP$49="Single_Point",IF(82=$NR$49,$NN$49,0),IF($NP$49="Bell_Curve",$NN$49*(82-$NR$49+1)*($NS$49-82+1)/$NU$49,$NN$49/$NT$49)),0)</f>
        <v/>
      </c>
      <c r="CI49" s="402">
        <f>IF(AND(83&gt;=$NR$49,83&lt;=$NS$49),IF($NP$49="Single_Point",IF(83=$NR$49,$NN$49,0),IF($NP$49="Bell_Curve",$NN$49*(83-$NR$49+1)*($NS$49-83+1)/$NU$49,$NN$49/$NT$49)),0)</f>
        <v/>
      </c>
      <c r="CJ49" s="402">
        <f>IF(AND(84&gt;=$NR$49,84&lt;=$NS$49),IF($NP$49="Single_Point",IF(84=$NR$49,$NN$49,0),IF($NP$49="Bell_Curve",$NN$49*(84-$NR$49+1)*($NS$49-84+1)/$NU$49,$NN$49/$NT$49)),0)</f>
        <v/>
      </c>
      <c r="CK49" s="402">
        <f>IF(AND(85&gt;=$NR$49,85&lt;=$NS$49),IF($NP$49="Single_Point",IF(85=$NR$49,$NN$49,0),IF($NP$49="Bell_Curve",$NN$49*(85-$NR$49+1)*($NS$49-85+1)/$NU$49,$NN$49/$NT$49)),0)</f>
        <v/>
      </c>
      <c r="CL49" s="402">
        <f>IF(AND(86&gt;=$NR$49,86&lt;=$NS$49),IF($NP$49="Single_Point",IF(86=$NR$49,$NN$49,0),IF($NP$49="Bell_Curve",$NN$49*(86-$NR$49+1)*($NS$49-86+1)/$NU$49,$NN$49/$NT$49)),0)</f>
        <v/>
      </c>
      <c r="CM49" s="402">
        <f>IF(AND(87&gt;=$NR$49,87&lt;=$NS$49),IF($NP$49="Single_Point",IF(87=$NR$49,$NN$49,0),IF($NP$49="Bell_Curve",$NN$49*(87-$NR$49+1)*($NS$49-87+1)/$NU$49,$NN$49/$NT$49)),0)</f>
        <v/>
      </c>
      <c r="CN49" s="402">
        <f>IF(AND(88&gt;=$NR$49,88&lt;=$NS$49),IF($NP$49="Single_Point",IF(88=$NR$49,$NN$49,0),IF($NP$49="Bell_Curve",$NN$49*(88-$NR$49+1)*($NS$49-88+1)/$NU$49,$NN$49/$NT$49)),0)</f>
        <v/>
      </c>
      <c r="CO49" s="402">
        <f>IF(AND(89&gt;=$NR$49,89&lt;=$NS$49),IF($NP$49="Single_Point",IF(89=$NR$49,$NN$49,0),IF($NP$49="Bell_Curve",$NN$49*(89-$NR$49+1)*($NS$49-89+1)/$NU$49,$NN$49/$NT$49)),0)</f>
        <v/>
      </c>
      <c r="CP49" s="402">
        <f>IF(AND(90&gt;=$NR$49,90&lt;=$NS$49),IF($NP$49="Single_Point",IF(90=$NR$49,$NN$49,0),IF($NP$49="Bell_Curve",$NN$49*(90-$NR$49+1)*($NS$49-90+1)/$NU$49,$NN$49/$NT$49)),0)</f>
        <v/>
      </c>
      <c r="CQ49" s="402">
        <f>IF(AND(91&gt;=$NR$49,91&lt;=$NS$49),IF($NP$49="Single_Point",IF(91=$NR$49,$NN$49,0),IF($NP$49="Bell_Curve",$NN$49*(91-$NR$49+1)*($NS$49-91+1)/$NU$49,$NN$49/$NT$49)),0)</f>
        <v/>
      </c>
      <c r="CR49" s="402">
        <f>IF(AND(92&gt;=$NR$49,92&lt;=$NS$49),IF($NP$49="Single_Point",IF(92=$NR$49,$NN$49,0),IF($NP$49="Bell_Curve",$NN$49*(92-$NR$49+1)*($NS$49-92+1)/$NU$49,$NN$49/$NT$49)),0)</f>
        <v/>
      </c>
      <c r="CS49" s="402">
        <f>IF(AND(93&gt;=$NR$49,93&lt;=$NS$49),IF($NP$49="Single_Point",IF(93=$NR$49,$NN$49,0),IF($NP$49="Bell_Curve",$NN$49*(93-$NR$49+1)*($NS$49-93+1)/$NU$49,$NN$49/$NT$49)),0)</f>
        <v/>
      </c>
      <c r="CT49" s="402">
        <f>IF(AND(94&gt;=$NR$49,94&lt;=$NS$49),IF($NP$49="Single_Point",IF(94=$NR$49,$NN$49,0),IF($NP$49="Bell_Curve",$NN$49*(94-$NR$49+1)*($NS$49-94+1)/$NU$49,$NN$49/$NT$49)),0)</f>
        <v/>
      </c>
      <c r="CU49" s="402">
        <f>IF(AND(95&gt;=$NR$49,95&lt;=$NS$49),IF($NP$49="Single_Point",IF(95=$NR$49,$NN$49,0),IF($NP$49="Bell_Curve",$NN$49*(95-$NR$49+1)*($NS$49-95+1)/$NU$49,$NN$49/$NT$49)),0)</f>
        <v/>
      </c>
      <c r="CV49" s="402">
        <f>IF(AND(96&gt;=$NR$49,96&lt;=$NS$49),IF($NP$49="Single_Point",IF(96=$NR$49,$NN$49,0),IF($NP$49="Bell_Curve",$NN$49*(96-$NR$49+1)*($NS$49-96+1)/$NU$49,$NN$49/$NT$49)),0)</f>
        <v/>
      </c>
      <c r="CW49" s="402">
        <f>IF(AND(97&gt;=$NR$49,97&lt;=$NS$49),IF($NP$49="Single_Point",IF(97=$NR$49,$NN$49,0),IF($NP$49="Bell_Curve",$NN$49*(97-$NR$49+1)*($NS$49-97+1)/$NU$49,$NN$49/$NT$49)),0)</f>
        <v/>
      </c>
      <c r="CX49" s="402">
        <f>IF(AND(98&gt;=$NR$49,98&lt;=$NS$49),IF($NP$49="Single_Point",IF(98=$NR$49,$NN$49,0),IF($NP$49="Bell_Curve",$NN$49*(98-$NR$49+1)*($NS$49-98+1)/$NU$49,$NN$49/$NT$49)),0)</f>
        <v/>
      </c>
      <c r="CY49" s="402">
        <f>IF(AND(99&gt;=$NR$49,99&lt;=$NS$49),IF($NP$49="Single_Point",IF(99=$NR$49,$NN$49,0),IF($NP$49="Bell_Curve",$NN$49*(99-$NR$49+1)*($NS$49-99+1)/$NU$49,$NN$49/$NT$49)),0)</f>
        <v/>
      </c>
      <c r="CZ49" s="402">
        <f>IF(AND(100&gt;=$NR$49,100&lt;=$NS$49),IF($NP$49="Single_Point",IF(100=$NR$49,$NN$49,0),IF($NP$49="Bell_Curve",$NN$49*(100-$NR$49+1)*($NS$49-100+1)/$NU$49,$NN$49/$NT$49)),0)</f>
        <v/>
      </c>
      <c r="DA49" s="402">
        <f>IF(AND(101&gt;=$NR$49,101&lt;=$NS$49),IF($NP$49="Single_Point",IF(101=$NR$49,$NN$49,0),IF($NP$49="Bell_Curve",$NN$49*(101-$NR$49+1)*($NS$49-101+1)/$NU$49,$NN$49/$NT$49)),0)</f>
        <v/>
      </c>
      <c r="DB49" s="402">
        <f>IF(AND(102&gt;=$NR$49,102&lt;=$NS$49),IF($NP$49="Single_Point",IF(102=$NR$49,$NN$49,0),IF($NP$49="Bell_Curve",$NN$49*(102-$NR$49+1)*($NS$49-102+1)/$NU$49,$NN$49/$NT$49)),0)</f>
        <v/>
      </c>
      <c r="DC49" s="402">
        <f>IF(AND(103&gt;=$NR$49,103&lt;=$NS$49),IF($NP$49="Single_Point",IF(103=$NR$49,$NN$49,0),IF($NP$49="Bell_Curve",$NN$49*(103-$NR$49+1)*($NS$49-103+1)/$NU$49,$NN$49/$NT$49)),0)</f>
        <v/>
      </c>
      <c r="DD49" s="402">
        <f>IF(AND(104&gt;=$NR$49,104&lt;=$NS$49),IF($NP$49="Single_Point",IF(104=$NR$49,$NN$49,0),IF($NP$49="Bell_Curve",$NN$49*(104-$NR$49+1)*($NS$49-104+1)/$NU$49,$NN$49/$NT$49)),0)</f>
        <v/>
      </c>
      <c r="DE49" s="402">
        <f>IF(AND(105&gt;=$NR$49,105&lt;=$NS$49),IF($NP$49="Single_Point",IF(105=$NR$49,$NN$49,0),IF($NP$49="Bell_Curve",$NN$49*(105-$NR$49+1)*($NS$49-105+1)/$NU$49,$NN$49/$NT$49)),0)</f>
        <v/>
      </c>
      <c r="DF49" s="402">
        <f>IF(AND(106&gt;=$NR$49,106&lt;=$NS$49),IF($NP$49="Single_Point",IF(106=$NR$49,$NN$49,0),IF($NP$49="Bell_Curve",$NN$49*(106-$NR$49+1)*($NS$49-106+1)/$NU$49,$NN$49/$NT$49)),0)</f>
        <v/>
      </c>
      <c r="DG49" s="402">
        <f>IF(AND(107&gt;=$NR$49,107&lt;=$NS$49),IF($NP$49="Single_Point",IF(107=$NR$49,$NN$49,0),IF($NP$49="Bell_Curve",$NN$49*(107-$NR$49+1)*($NS$49-107+1)/$NU$49,$NN$49/$NT$49)),0)</f>
        <v/>
      </c>
      <c r="DH49" s="402">
        <f>IF(AND(108&gt;=$NR$49,108&lt;=$NS$49),IF($NP$49="Single_Point",IF(108=$NR$49,$NN$49,0),IF($NP$49="Bell_Curve",$NN$49*(108-$NR$49+1)*($NS$49-108+1)/$NU$49,$NN$49/$NT$49)),0)</f>
        <v/>
      </c>
      <c r="DI49" s="402">
        <f>IF(AND(109&gt;=$NR$49,109&lt;=$NS$49),IF($NP$49="Single_Point",IF(109=$NR$49,$NN$49,0),IF($NP$49="Bell_Curve",$NN$49*(109-$NR$49+1)*($NS$49-109+1)/$NU$49,$NN$49/$NT$49)),0)</f>
        <v/>
      </c>
      <c r="DJ49" s="402">
        <f>IF(AND(110&gt;=$NR$49,110&lt;=$NS$49),IF($NP$49="Single_Point",IF(110=$NR$49,$NN$49,0),IF($NP$49="Bell_Curve",$NN$49*(110-$NR$49+1)*($NS$49-110+1)/$NU$49,$NN$49/$NT$49)),0)</f>
        <v/>
      </c>
      <c r="DK49" s="402">
        <f>IF(AND(111&gt;=$NR$49,111&lt;=$NS$49),IF($NP$49="Single_Point",IF(111=$NR$49,$NN$49,0),IF($NP$49="Bell_Curve",$NN$49*(111-$NR$49+1)*($NS$49-111+1)/$NU$49,$NN$49/$NT$49)),0)</f>
        <v/>
      </c>
      <c r="DL49" s="402">
        <f>IF(AND(112&gt;=$NR$49,112&lt;=$NS$49),IF($NP$49="Single_Point",IF(112=$NR$49,$NN$49,0),IF($NP$49="Bell_Curve",$NN$49*(112-$NR$49+1)*($NS$49-112+1)/$NU$49,$NN$49/$NT$49)),0)</f>
        <v/>
      </c>
      <c r="DM49" s="402">
        <f>IF(AND(113&gt;=$NR$49,113&lt;=$NS$49),IF($NP$49="Single_Point",IF(113=$NR$49,$NN$49,0),IF($NP$49="Bell_Curve",$NN$49*(113-$NR$49+1)*($NS$49-113+1)/$NU$49,$NN$49/$NT$49)),0)</f>
        <v/>
      </c>
      <c r="DN49" s="402">
        <f>IF(AND(114&gt;=$NR$49,114&lt;=$NS$49),IF($NP$49="Single_Point",IF(114=$NR$49,$NN$49,0),IF($NP$49="Bell_Curve",$NN$49*(114-$NR$49+1)*($NS$49-114+1)/$NU$49,$NN$49/$NT$49)),0)</f>
        <v/>
      </c>
      <c r="DO49" s="402">
        <f>IF(AND(115&gt;=$NR$49,115&lt;=$NS$49),IF($NP$49="Single_Point",IF(115=$NR$49,$NN$49,0),IF($NP$49="Bell_Curve",$NN$49*(115-$NR$49+1)*($NS$49-115+1)/$NU$49,$NN$49/$NT$49)),0)</f>
        <v/>
      </c>
      <c r="DP49" s="402">
        <f>IF(AND(116&gt;=$NR$49,116&lt;=$NS$49),IF($NP$49="Single_Point",IF(116=$NR$49,$NN$49,0),IF($NP$49="Bell_Curve",$NN$49*(116-$NR$49+1)*($NS$49-116+1)/$NU$49,$NN$49/$NT$49)),0)</f>
        <v/>
      </c>
      <c r="DQ49" s="402">
        <f>IF(AND(117&gt;=$NR$49,117&lt;=$NS$49),IF($NP$49="Single_Point",IF(117=$NR$49,$NN$49,0),IF($NP$49="Bell_Curve",$NN$49*(117-$NR$49+1)*($NS$49-117+1)/$NU$49,$NN$49/$NT$49)),0)</f>
        <v/>
      </c>
      <c r="DR49" s="402">
        <f>IF(AND(118&gt;=$NR$49,118&lt;=$NS$49),IF($NP$49="Single_Point",IF(118=$NR$49,$NN$49,0),IF($NP$49="Bell_Curve",$NN$49*(118-$NR$49+1)*($NS$49-118+1)/$NU$49,$NN$49/$NT$49)),0)</f>
        <v/>
      </c>
      <c r="DS49" s="402">
        <f>IF(AND(119&gt;=$NR$49,119&lt;=$NS$49),IF($NP$49="Single_Point",IF(119=$NR$49,$NN$49,0),IF($NP$49="Bell_Curve",$NN$49*(119-$NR$49+1)*($NS$49-119+1)/$NU$49,$NN$49/$NT$49)),0)</f>
        <v/>
      </c>
      <c r="DT49" s="402">
        <f>IF(AND(120&gt;=$NR$49,120&lt;=$NS$49),IF($NP$49="Single_Point",IF(120=$NR$49,$NN$49,0),IF($NP$49="Bell_Curve",$NN$49*(120-$NR$49+1)*($NS$49-120+1)/$NU$49,$NN$49/$NT$49)),0)</f>
        <v/>
      </c>
      <c r="DU49" s="402">
        <f>IF(AND(121&gt;=$NR$49,121&lt;=$NS$49),IF($NP$49="Single_Point",IF(121=$NR$49,$NN$49,0),IF($NP$49="Bell_Curve",$NN$49*(121-$NR$49+1)*($NS$49-121+1)/$NU$49,$NN$49/$NT$49)),0)</f>
        <v/>
      </c>
      <c r="DV49" s="402">
        <f>IF(AND(122&gt;=$NR$49,122&lt;=$NS$49),IF($NP$49="Single_Point",IF(122=$NR$49,$NN$49,0),IF($NP$49="Bell_Curve",$NN$49*(122-$NR$49+1)*($NS$49-122+1)/$NU$49,$NN$49/$NT$49)),0)</f>
        <v/>
      </c>
      <c r="DW49" s="402">
        <f>IF(AND(123&gt;=$NR$49,123&lt;=$NS$49),IF($NP$49="Single_Point",IF(123=$NR$49,$NN$49,0),IF($NP$49="Bell_Curve",$NN$49*(123-$NR$49+1)*($NS$49-123+1)/$NU$49,$NN$49/$NT$49)),0)</f>
        <v/>
      </c>
      <c r="DX49" s="402">
        <f>IF(AND(124&gt;=$NR$49,124&lt;=$NS$49),IF($NP$49="Single_Point",IF(124=$NR$49,$NN$49,0),IF($NP$49="Bell_Curve",$NN$49*(124-$NR$49+1)*($NS$49-124+1)/$NU$49,$NN$49/$NT$49)),0)</f>
        <v/>
      </c>
      <c r="DY49" s="402">
        <f>IF(AND(125&gt;=$NR$49,125&lt;=$NS$49),IF($NP$49="Single_Point",IF(125=$NR$49,$NN$49,0),IF($NP$49="Bell_Curve",$NN$49*(125-$NR$49+1)*($NS$49-125+1)/$NU$49,$NN$49/$NT$49)),0)</f>
        <v/>
      </c>
      <c r="DZ49" s="402">
        <f>IF(AND(126&gt;=$NR$49,126&lt;=$NS$49),IF($NP$49="Single_Point",IF(126=$NR$49,$NN$49,0),IF($NP$49="Bell_Curve",$NN$49*(126-$NR$49+1)*($NS$49-126+1)/$NU$49,$NN$49/$NT$49)),0)</f>
        <v/>
      </c>
      <c r="EA49" s="402">
        <f>IF(AND(127&gt;=$NR$49,127&lt;=$NS$49),IF($NP$49="Single_Point",IF(127=$NR$49,$NN$49,0),IF($NP$49="Bell_Curve",$NN$49*(127-$NR$49+1)*($NS$49-127+1)/$NU$49,$NN$49/$NT$49)),0)</f>
        <v/>
      </c>
      <c r="EB49" s="402">
        <f>IF(AND(128&gt;=$NR$49,128&lt;=$NS$49),IF($NP$49="Single_Point",IF(128=$NR$49,$NN$49,0),IF($NP$49="Bell_Curve",$NN$49*(128-$NR$49+1)*($NS$49-128+1)/$NU$49,$NN$49/$NT$49)),0)</f>
        <v/>
      </c>
      <c r="EC49" s="402">
        <f>IF(AND(129&gt;=$NR$49,129&lt;=$NS$49),IF($NP$49="Single_Point",IF(129=$NR$49,$NN$49,0),IF($NP$49="Bell_Curve",$NN$49*(129-$NR$49+1)*($NS$49-129+1)/$NU$49,$NN$49/$NT$49)),0)</f>
        <v/>
      </c>
      <c r="ED49" s="402">
        <f>IF(AND(130&gt;=$NR$49,130&lt;=$NS$49),IF($NP$49="Single_Point",IF(130=$NR$49,$NN$49,0),IF($NP$49="Bell_Curve",$NN$49*(130-$NR$49+1)*($NS$49-130+1)/$NU$49,$NN$49/$NT$49)),0)</f>
        <v/>
      </c>
      <c r="EE49" s="402">
        <f>IF(AND(131&gt;=$NR$49,131&lt;=$NS$49),IF($NP$49="Single_Point",IF(131=$NR$49,$NN$49,0),IF($NP$49="Bell_Curve",$NN$49*(131-$NR$49+1)*($NS$49-131+1)/$NU$49,$NN$49/$NT$49)),0)</f>
        <v/>
      </c>
      <c r="EF49" s="402">
        <f>IF(AND(132&gt;=$NR$49,132&lt;=$NS$49),IF($NP$49="Single_Point",IF(132=$NR$49,$NN$49,0),IF($NP$49="Bell_Curve",$NN$49*(132-$NR$49+1)*($NS$49-132+1)/$NU$49,$NN$49/$NT$49)),0)</f>
        <v/>
      </c>
      <c r="EG49" s="402">
        <f>IF(AND(133&gt;=$NR$49,133&lt;=$NS$49),IF($NP$49="Single_Point",IF(133=$NR$49,$NN$49,0),IF($NP$49="Bell_Curve",$NN$49*(133-$NR$49+1)*($NS$49-133+1)/$NU$49,$NN$49/$NT$49)),0)</f>
        <v/>
      </c>
      <c r="EH49" s="402">
        <f>IF(AND(134&gt;=$NR$49,134&lt;=$NS$49),IF($NP$49="Single_Point",IF(134=$NR$49,$NN$49,0),IF($NP$49="Bell_Curve",$NN$49*(134-$NR$49+1)*($NS$49-134+1)/$NU$49,$NN$49/$NT$49)),0)</f>
        <v/>
      </c>
      <c r="EI49" s="402">
        <f>IF(AND(135&gt;=$NR$49,135&lt;=$NS$49),IF($NP$49="Single_Point",IF(135=$NR$49,$NN$49,0),IF($NP$49="Bell_Curve",$NN$49*(135-$NR$49+1)*($NS$49-135+1)/$NU$49,$NN$49/$NT$49)),0)</f>
        <v/>
      </c>
      <c r="EJ49" s="402">
        <f>IF(AND(136&gt;=$NR$49,136&lt;=$NS$49),IF($NP$49="Single_Point",IF(136=$NR$49,$NN$49,0),IF($NP$49="Bell_Curve",$NN$49*(136-$NR$49+1)*($NS$49-136+1)/$NU$49,$NN$49/$NT$49)),0)</f>
        <v/>
      </c>
      <c r="EK49" s="402">
        <f>IF(AND(137&gt;=$NR$49,137&lt;=$NS$49),IF($NP$49="Single_Point",IF(137=$NR$49,$NN$49,0),IF($NP$49="Bell_Curve",$NN$49*(137-$NR$49+1)*($NS$49-137+1)/$NU$49,$NN$49/$NT$49)),0)</f>
        <v/>
      </c>
      <c r="EL49" s="402">
        <f>IF(AND(138&gt;=$NR$49,138&lt;=$NS$49),IF($NP$49="Single_Point",IF(138=$NR$49,$NN$49,0),IF($NP$49="Bell_Curve",$NN$49*(138-$NR$49+1)*($NS$49-138+1)/$NU$49,$NN$49/$NT$49)),0)</f>
        <v/>
      </c>
      <c r="EM49" s="402">
        <f>IF(AND(139&gt;=$NR$49,139&lt;=$NS$49),IF($NP$49="Single_Point",IF(139=$NR$49,$NN$49,0),IF($NP$49="Bell_Curve",$NN$49*(139-$NR$49+1)*($NS$49-139+1)/$NU$49,$NN$49/$NT$49)),0)</f>
        <v/>
      </c>
      <c r="EN49" s="402">
        <f>IF(AND(140&gt;=$NR$49,140&lt;=$NS$49),IF($NP$49="Single_Point",IF(140=$NR$49,$NN$49,0),IF($NP$49="Bell_Curve",$NN$49*(140-$NR$49+1)*($NS$49-140+1)/$NU$49,$NN$49/$NT$49)),0)</f>
        <v/>
      </c>
      <c r="EO49" s="402">
        <f>IF(AND(141&gt;=$NR$49,141&lt;=$NS$49),IF($NP$49="Single_Point",IF(141=$NR$49,$NN$49,0),IF($NP$49="Bell_Curve",$NN$49*(141-$NR$49+1)*($NS$49-141+1)/$NU$49,$NN$49/$NT$49)),0)</f>
        <v/>
      </c>
      <c r="EP49" s="402">
        <f>IF(AND(142&gt;=$NR$49,142&lt;=$NS$49),IF($NP$49="Single_Point",IF(142=$NR$49,$NN$49,0),IF($NP$49="Bell_Curve",$NN$49*(142-$NR$49+1)*($NS$49-142+1)/$NU$49,$NN$49/$NT$49)),0)</f>
        <v/>
      </c>
      <c r="EQ49" s="402">
        <f>IF(AND(143&gt;=$NR$49,143&lt;=$NS$49),IF($NP$49="Single_Point",IF(143=$NR$49,$NN$49,0),IF($NP$49="Bell_Curve",$NN$49*(143-$NR$49+1)*($NS$49-143+1)/$NU$49,$NN$49/$NT$49)),0)</f>
        <v/>
      </c>
      <c r="ER49" s="402">
        <f>IF(AND(144&gt;=$NR$49,144&lt;=$NS$49),IF($NP$49="Single_Point",IF(144=$NR$49,$NN$49,0),IF($NP$49="Bell_Curve",$NN$49*(144-$NR$49+1)*($NS$49-144+1)/$NU$49,$NN$49/$NT$49)),0)</f>
        <v/>
      </c>
      <c r="ES49" s="402">
        <f>IF(AND(145&gt;=$NR$49,145&lt;=$NS$49),IF($NP$49="Single_Point",IF(145=$NR$49,$NN$49,0),IF($NP$49="Bell_Curve",$NN$49*(145-$NR$49+1)*($NS$49-145+1)/$NU$49,$NN$49/$NT$49)),0)</f>
        <v/>
      </c>
      <c r="ET49" s="402">
        <f>IF(AND(146&gt;=$NR$49,146&lt;=$NS$49),IF($NP$49="Single_Point",IF(146=$NR$49,$NN$49,0),IF($NP$49="Bell_Curve",$NN$49*(146-$NR$49+1)*($NS$49-146+1)/$NU$49,$NN$49/$NT$49)),0)</f>
        <v/>
      </c>
      <c r="EU49" s="402">
        <f>IF(AND(147&gt;=$NR$49,147&lt;=$NS$49),IF($NP$49="Single_Point",IF(147=$NR$49,$NN$49,0),IF($NP$49="Bell_Curve",$NN$49*(147-$NR$49+1)*($NS$49-147+1)/$NU$49,$NN$49/$NT$49)),0)</f>
        <v/>
      </c>
      <c r="EV49" s="402">
        <f>IF(AND(148&gt;=$NR$49,148&lt;=$NS$49),IF($NP$49="Single_Point",IF(148=$NR$49,$NN$49,0),IF($NP$49="Bell_Curve",$NN$49*(148-$NR$49+1)*($NS$49-148+1)/$NU$49,$NN$49/$NT$49)),0)</f>
        <v/>
      </c>
      <c r="EW49" s="402">
        <f>IF(AND(149&gt;=$NR$49,149&lt;=$NS$49),IF($NP$49="Single_Point",IF(149=$NR$49,$NN$49,0),IF($NP$49="Bell_Curve",$NN$49*(149-$NR$49+1)*($NS$49-149+1)/$NU$49,$NN$49/$NT$49)),0)</f>
        <v/>
      </c>
      <c r="EX49" s="402">
        <f>IF(AND(150&gt;=$NR$49,150&lt;=$NS$49),IF($NP$49="Single_Point",IF(150=$NR$49,$NN$49,0),IF($NP$49="Bell_Curve",$NN$49*(150-$NR$49+1)*($NS$49-150+1)/$NU$49,$NN$49/$NT$49)),0)</f>
        <v/>
      </c>
      <c r="EY49" s="402">
        <f>IF(AND(151&gt;=$NR$49,151&lt;=$NS$49),IF($NP$49="Single_Point",IF(151=$NR$49,$NN$49,0),IF($NP$49="Bell_Curve",$NN$49*(151-$NR$49+1)*($NS$49-151+1)/$NU$49,$NN$49/$NT$49)),0)</f>
        <v/>
      </c>
      <c r="EZ49" s="402">
        <f>IF(AND(152&gt;=$NR$49,152&lt;=$NS$49),IF($NP$49="Single_Point",IF(152=$NR$49,$NN$49,0),IF($NP$49="Bell_Curve",$NN$49*(152-$NR$49+1)*($NS$49-152+1)/$NU$49,$NN$49/$NT$49)),0)</f>
        <v/>
      </c>
      <c r="FA49" s="402">
        <f>IF(AND(153&gt;=$NR$49,153&lt;=$NS$49),IF($NP$49="Single_Point",IF(153=$NR$49,$NN$49,0),IF($NP$49="Bell_Curve",$NN$49*(153-$NR$49+1)*($NS$49-153+1)/$NU$49,$NN$49/$NT$49)),0)</f>
        <v/>
      </c>
      <c r="FB49" s="402">
        <f>IF(AND(154&gt;=$NR$49,154&lt;=$NS$49),IF($NP$49="Single_Point",IF(154=$NR$49,$NN$49,0),IF($NP$49="Bell_Curve",$NN$49*(154-$NR$49+1)*($NS$49-154+1)/$NU$49,$NN$49/$NT$49)),0)</f>
        <v/>
      </c>
      <c r="FC49" s="402">
        <f>IF(AND(155&gt;=$NR$49,155&lt;=$NS$49),IF($NP$49="Single_Point",IF(155=$NR$49,$NN$49,0),IF($NP$49="Bell_Curve",$NN$49*(155-$NR$49+1)*($NS$49-155+1)/$NU$49,$NN$49/$NT$49)),0)</f>
        <v/>
      </c>
      <c r="FD49" s="402">
        <f>IF(AND(156&gt;=$NR$49,156&lt;=$NS$49),IF($NP$49="Single_Point",IF(156=$NR$49,$NN$49,0),IF($NP$49="Bell_Curve",$NN$49*(156-$NR$49+1)*($NS$49-156+1)/$NU$49,$NN$49/$NT$49)),0)</f>
        <v/>
      </c>
      <c r="FE49" s="402">
        <f>IF(AND(157&gt;=$NR$49,157&lt;=$NS$49),IF($NP$49="Single_Point",IF(157=$NR$49,$NN$49,0),IF($NP$49="Bell_Curve",$NN$49*(157-$NR$49+1)*($NS$49-157+1)/$NU$49,$NN$49/$NT$49)),0)</f>
        <v/>
      </c>
      <c r="FF49" s="402">
        <f>IF(AND(158&gt;=$NR$49,158&lt;=$NS$49),IF($NP$49="Single_Point",IF(158=$NR$49,$NN$49,0),IF($NP$49="Bell_Curve",$NN$49*(158-$NR$49+1)*($NS$49-158+1)/$NU$49,$NN$49/$NT$49)),0)</f>
        <v/>
      </c>
      <c r="FG49" s="402">
        <f>IF(AND(159&gt;=$NR$49,159&lt;=$NS$49),IF($NP$49="Single_Point",IF(159=$NR$49,$NN$49,0),IF($NP$49="Bell_Curve",$NN$49*(159-$NR$49+1)*($NS$49-159+1)/$NU$49,$NN$49/$NT$49)),0)</f>
        <v/>
      </c>
      <c r="FH49" s="402">
        <f>IF(AND(160&gt;=$NR$49,160&lt;=$NS$49),IF($NP$49="Single_Point",IF(160=$NR$49,$NN$49,0),IF($NP$49="Bell_Curve",$NN$49*(160-$NR$49+1)*($NS$49-160+1)/$NU$49,$NN$49/$NT$49)),0)</f>
        <v/>
      </c>
      <c r="FI49" s="402">
        <f>IF(AND(161&gt;=$NR$49,161&lt;=$NS$49),IF($NP$49="Single_Point",IF(161=$NR$49,$NN$49,0),IF($NP$49="Bell_Curve",$NN$49*(161-$NR$49+1)*($NS$49-161+1)/$NU$49,$NN$49/$NT$49)),0)</f>
        <v/>
      </c>
      <c r="FJ49" s="402">
        <f>IF(AND(162&gt;=$NR$49,162&lt;=$NS$49),IF($NP$49="Single_Point",IF(162=$NR$49,$NN$49,0),IF($NP$49="Bell_Curve",$NN$49*(162-$NR$49+1)*($NS$49-162+1)/$NU$49,$NN$49/$NT$49)),0)</f>
        <v/>
      </c>
      <c r="FK49" s="402">
        <f>IF(AND(163&gt;=$NR$49,163&lt;=$NS$49),IF($NP$49="Single_Point",IF(163=$NR$49,$NN$49,0),IF($NP$49="Bell_Curve",$NN$49*(163-$NR$49+1)*($NS$49-163+1)/$NU$49,$NN$49/$NT$49)),0)</f>
        <v/>
      </c>
      <c r="FL49" s="402">
        <f>IF(AND(164&gt;=$NR$49,164&lt;=$NS$49),IF($NP$49="Single_Point",IF(164=$NR$49,$NN$49,0),IF($NP$49="Bell_Curve",$NN$49*(164-$NR$49+1)*($NS$49-164+1)/$NU$49,$NN$49/$NT$49)),0)</f>
        <v/>
      </c>
      <c r="FM49" s="402">
        <f>IF(AND(165&gt;=$NR$49,165&lt;=$NS$49),IF($NP$49="Single_Point",IF(165=$NR$49,$NN$49,0),IF($NP$49="Bell_Curve",$NN$49*(165-$NR$49+1)*($NS$49-165+1)/$NU$49,$NN$49/$NT$49)),0)</f>
        <v/>
      </c>
      <c r="FN49" s="402">
        <f>IF(AND(166&gt;=$NR$49,166&lt;=$NS$49),IF($NP$49="Single_Point",IF(166=$NR$49,$NN$49,0),IF($NP$49="Bell_Curve",$NN$49*(166-$NR$49+1)*($NS$49-166+1)/$NU$49,$NN$49/$NT$49)),0)</f>
        <v/>
      </c>
      <c r="FO49" s="402">
        <f>IF(AND(167&gt;=$NR$49,167&lt;=$NS$49),IF($NP$49="Single_Point",IF(167=$NR$49,$NN$49,0),IF($NP$49="Bell_Curve",$NN$49*(167-$NR$49+1)*($NS$49-167+1)/$NU$49,$NN$49/$NT$49)),0)</f>
        <v/>
      </c>
      <c r="FP49" s="402">
        <f>IF(AND(168&gt;=$NR$49,168&lt;=$NS$49),IF($NP$49="Single_Point",IF(168=$NR$49,$NN$49,0),IF($NP$49="Bell_Curve",$NN$49*(168-$NR$49+1)*($NS$49-168+1)/$NU$49,$NN$49/$NT$49)),0)</f>
        <v/>
      </c>
      <c r="FQ49" s="402">
        <f>IF(AND(169&gt;=$NR$49,169&lt;=$NS$49),IF($NP$49="Single_Point",IF(169=$NR$49,$NN$49,0),IF($NP$49="Bell_Curve",$NN$49*(169-$NR$49+1)*($NS$49-169+1)/$NU$49,$NN$49/$NT$49)),0)</f>
        <v/>
      </c>
      <c r="FR49" s="402">
        <f>IF(AND(170&gt;=$NR$49,170&lt;=$NS$49),IF($NP$49="Single_Point",IF(170=$NR$49,$NN$49,0),IF($NP$49="Bell_Curve",$NN$49*(170-$NR$49+1)*($NS$49-170+1)/$NU$49,$NN$49/$NT$49)),0)</f>
        <v/>
      </c>
      <c r="FS49" s="402">
        <f>IF(AND(171&gt;=$NR$49,171&lt;=$NS$49),IF($NP$49="Single_Point",IF(171=$NR$49,$NN$49,0),IF($NP$49="Bell_Curve",$NN$49*(171-$NR$49+1)*($NS$49-171+1)/$NU$49,$NN$49/$NT$49)),0)</f>
        <v/>
      </c>
      <c r="FT49" s="402">
        <f>IF(AND(172&gt;=$NR$49,172&lt;=$NS$49),IF($NP$49="Single_Point",IF(172=$NR$49,$NN$49,0),IF($NP$49="Bell_Curve",$NN$49*(172-$NR$49+1)*($NS$49-172+1)/$NU$49,$NN$49/$NT$49)),0)</f>
        <v/>
      </c>
      <c r="FU49" s="402">
        <f>IF(AND(173&gt;=$NR$49,173&lt;=$NS$49),IF($NP$49="Single_Point",IF(173=$NR$49,$NN$49,0),IF($NP$49="Bell_Curve",$NN$49*(173-$NR$49+1)*($NS$49-173+1)/$NU$49,$NN$49/$NT$49)),0)</f>
        <v/>
      </c>
      <c r="FV49" s="402">
        <f>IF(AND(174&gt;=$NR$49,174&lt;=$NS$49),IF($NP$49="Single_Point",IF(174=$NR$49,$NN$49,0),IF($NP$49="Bell_Curve",$NN$49*(174-$NR$49+1)*($NS$49-174+1)/$NU$49,$NN$49/$NT$49)),0)</f>
        <v/>
      </c>
      <c r="FW49" s="402">
        <f>IF(AND(175&gt;=$NR$49,175&lt;=$NS$49),IF($NP$49="Single_Point",IF(175=$NR$49,$NN$49,0),IF($NP$49="Bell_Curve",$NN$49*(175-$NR$49+1)*($NS$49-175+1)/$NU$49,$NN$49/$NT$49)),0)</f>
        <v/>
      </c>
      <c r="FX49" s="402">
        <f>IF(AND(176&gt;=$NR$49,176&lt;=$NS$49),IF($NP$49="Single_Point",IF(176=$NR$49,$NN$49,0),IF($NP$49="Bell_Curve",$NN$49*(176-$NR$49+1)*($NS$49-176+1)/$NU$49,$NN$49/$NT$49)),0)</f>
        <v/>
      </c>
      <c r="FY49" s="402">
        <f>IF(AND(177&gt;=$NR$49,177&lt;=$NS$49),IF($NP$49="Single_Point",IF(177=$NR$49,$NN$49,0),IF($NP$49="Bell_Curve",$NN$49*(177-$NR$49+1)*($NS$49-177+1)/$NU$49,$NN$49/$NT$49)),0)</f>
        <v/>
      </c>
      <c r="FZ49" s="402">
        <f>IF(AND(178&gt;=$NR$49,178&lt;=$NS$49),IF($NP$49="Single_Point",IF(178=$NR$49,$NN$49,0),IF($NP$49="Bell_Curve",$NN$49*(178-$NR$49+1)*($NS$49-178+1)/$NU$49,$NN$49/$NT$49)),0)</f>
        <v/>
      </c>
      <c r="GA49" s="402">
        <f>IF(AND(179&gt;=$NR$49,179&lt;=$NS$49),IF($NP$49="Single_Point",IF(179=$NR$49,$NN$49,0),IF($NP$49="Bell_Curve",$NN$49*(179-$NR$49+1)*($NS$49-179+1)/$NU$49,$NN$49/$NT$49)),0)</f>
        <v/>
      </c>
      <c r="GB49" s="402">
        <f>IF(AND(180&gt;=$NR$49,180&lt;=$NS$49),IF($NP$49="Single_Point",IF(180=$NR$49,$NN$49,0),IF($NP$49="Bell_Curve",$NN$49*(180-$NR$49+1)*($NS$49-180+1)/$NU$49,$NN$49/$NT$49)),0)</f>
        <v/>
      </c>
      <c r="GC49" s="402">
        <f>IF(AND(181&gt;=$NR$49,181&lt;=$NS$49),IF($NP$49="Single_Point",IF(181=$NR$49,$NN$49,0),IF($NP$49="Bell_Curve",$NN$49*(181-$NR$49+1)*($NS$49-181+1)/$NU$49,$NN$49/$NT$49)),0)</f>
        <v/>
      </c>
      <c r="GD49" s="402">
        <f>IF(AND(182&gt;=$NR$49,182&lt;=$NS$49),IF($NP$49="Single_Point",IF(182=$NR$49,$NN$49,0),IF($NP$49="Bell_Curve",$NN$49*(182-$NR$49+1)*($NS$49-182+1)/$NU$49,$NN$49/$NT$49)),0)</f>
        <v/>
      </c>
      <c r="GE49" s="402">
        <f>IF(AND(183&gt;=$NR$49,183&lt;=$NS$49),IF($NP$49="Single_Point",IF(183=$NR$49,$NN$49,0),IF($NP$49="Bell_Curve",$NN$49*(183-$NR$49+1)*($NS$49-183+1)/$NU$49,$NN$49/$NT$49)),0)</f>
        <v/>
      </c>
      <c r="GF49" s="402">
        <f>IF(AND(184&gt;=$NR$49,184&lt;=$NS$49),IF($NP$49="Single_Point",IF(184=$NR$49,$NN$49,0),IF($NP$49="Bell_Curve",$NN$49*(184-$NR$49+1)*($NS$49-184+1)/$NU$49,$NN$49/$NT$49)),0)</f>
        <v/>
      </c>
      <c r="GG49" s="402">
        <f>IF(AND(185&gt;=$NR$49,185&lt;=$NS$49),IF($NP$49="Single_Point",IF(185=$NR$49,$NN$49,0),IF($NP$49="Bell_Curve",$NN$49*(185-$NR$49+1)*($NS$49-185+1)/$NU$49,$NN$49/$NT$49)),0)</f>
        <v/>
      </c>
      <c r="GH49" s="402">
        <f>IF(AND(186&gt;=$NR$49,186&lt;=$NS$49),IF($NP$49="Single_Point",IF(186=$NR$49,$NN$49,0),IF($NP$49="Bell_Curve",$NN$49*(186-$NR$49+1)*($NS$49-186+1)/$NU$49,$NN$49/$NT$49)),0)</f>
        <v/>
      </c>
      <c r="GI49" s="402">
        <f>IF(AND(187&gt;=$NR$49,187&lt;=$NS$49),IF($NP$49="Single_Point",IF(187=$NR$49,$NN$49,0),IF($NP$49="Bell_Curve",$NN$49*(187-$NR$49+1)*($NS$49-187+1)/$NU$49,$NN$49/$NT$49)),0)</f>
        <v/>
      </c>
      <c r="GJ49" s="402">
        <f>IF(AND(188&gt;=$NR$49,188&lt;=$NS$49),IF($NP$49="Single_Point",IF(188=$NR$49,$NN$49,0),IF($NP$49="Bell_Curve",$NN$49*(188-$NR$49+1)*($NS$49-188+1)/$NU$49,$NN$49/$NT$49)),0)</f>
        <v/>
      </c>
      <c r="GK49" s="402">
        <f>IF(AND(189&gt;=$NR$49,189&lt;=$NS$49),IF($NP$49="Single_Point",IF(189=$NR$49,$NN$49,0),IF($NP$49="Bell_Curve",$NN$49*(189-$NR$49+1)*($NS$49-189+1)/$NU$49,$NN$49/$NT$49)),0)</f>
        <v/>
      </c>
      <c r="GL49" s="402">
        <f>IF(AND(190&gt;=$NR$49,190&lt;=$NS$49),IF($NP$49="Single_Point",IF(190=$NR$49,$NN$49,0),IF($NP$49="Bell_Curve",$NN$49*(190-$NR$49+1)*($NS$49-190+1)/$NU$49,$NN$49/$NT$49)),0)</f>
        <v/>
      </c>
      <c r="GM49" s="402">
        <f>IF(AND(191&gt;=$NR$49,191&lt;=$NS$49),IF($NP$49="Single_Point",IF(191=$NR$49,$NN$49,0),IF($NP$49="Bell_Curve",$NN$49*(191-$NR$49+1)*($NS$49-191+1)/$NU$49,$NN$49/$NT$49)),0)</f>
        <v/>
      </c>
      <c r="GN49" s="402">
        <f>IF(AND(192&gt;=$NR$49,192&lt;=$NS$49),IF($NP$49="Single_Point",IF(192=$NR$49,$NN$49,0),IF($NP$49="Bell_Curve",$NN$49*(192-$NR$49+1)*($NS$49-192+1)/$NU$49,$NN$49/$NT$49)),0)</f>
        <v/>
      </c>
      <c r="GO49" s="402">
        <f>IF(AND(193&gt;=$NR$49,193&lt;=$NS$49),IF($NP$49="Single_Point",IF(193=$NR$49,$NN$49,0),IF($NP$49="Bell_Curve",$NN$49*(193-$NR$49+1)*($NS$49-193+1)/$NU$49,$NN$49/$NT$49)),0)</f>
        <v/>
      </c>
      <c r="GP49" s="402">
        <f>IF(AND(194&gt;=$NR$49,194&lt;=$NS$49),IF($NP$49="Single_Point",IF(194=$NR$49,$NN$49,0),IF($NP$49="Bell_Curve",$NN$49*(194-$NR$49+1)*($NS$49-194+1)/$NU$49,$NN$49/$NT$49)),0)</f>
        <v/>
      </c>
      <c r="GQ49" s="402">
        <f>IF(AND(195&gt;=$NR$49,195&lt;=$NS$49),IF($NP$49="Single_Point",IF(195=$NR$49,$NN$49,0),IF($NP$49="Bell_Curve",$NN$49*(195-$NR$49+1)*($NS$49-195+1)/$NU$49,$NN$49/$NT$49)),0)</f>
        <v/>
      </c>
      <c r="GR49" s="402">
        <f>IF(AND(196&gt;=$NR$49,196&lt;=$NS$49),IF($NP$49="Single_Point",IF(196=$NR$49,$NN$49,0),IF($NP$49="Bell_Curve",$NN$49*(196-$NR$49+1)*($NS$49-196+1)/$NU$49,$NN$49/$NT$49)),0)</f>
        <v/>
      </c>
      <c r="GS49" s="402">
        <f>IF(AND(197&gt;=$NR$49,197&lt;=$NS$49),IF($NP$49="Single_Point",IF(197=$NR$49,$NN$49,0),IF($NP$49="Bell_Curve",$NN$49*(197-$NR$49+1)*($NS$49-197+1)/$NU$49,$NN$49/$NT$49)),0)</f>
        <v/>
      </c>
      <c r="GT49" s="402">
        <f>IF(AND(198&gt;=$NR$49,198&lt;=$NS$49),IF($NP$49="Single_Point",IF(198=$NR$49,$NN$49,0),IF($NP$49="Bell_Curve",$NN$49*(198-$NR$49+1)*($NS$49-198+1)/$NU$49,$NN$49/$NT$49)),0)</f>
        <v/>
      </c>
      <c r="GU49" s="402">
        <f>IF(AND(199&gt;=$NR$49,199&lt;=$NS$49),IF($NP$49="Single_Point",IF(199=$NR$49,$NN$49,0),IF($NP$49="Bell_Curve",$NN$49*(199-$NR$49+1)*($NS$49-199+1)/$NU$49,$NN$49/$NT$49)),0)</f>
        <v/>
      </c>
      <c r="GV49" s="402">
        <f>IF(AND(200&gt;=$NR$49,200&lt;=$NS$49),IF($NP$49="Single_Point",IF(200=$NR$49,$NN$49,0),IF($NP$49="Bell_Curve",$NN$49*(200-$NR$49+1)*($NS$49-200+1)/$NU$49,$NN$49/$NT$49)),0)</f>
        <v/>
      </c>
      <c r="GW49" s="402">
        <f>IF(AND(201&gt;=$NR$49,201&lt;=$NS$49),IF($NP$49="Single_Point",IF(201=$NR$49,$NN$49,0),IF($NP$49="Bell_Curve",$NN$49*(201-$NR$49+1)*($NS$49-201+1)/$NU$49,$NN$49/$NT$49)),0)</f>
        <v/>
      </c>
      <c r="GX49" s="402">
        <f>IF(AND(202&gt;=$NR$49,202&lt;=$NS$49),IF($NP$49="Single_Point",IF(202=$NR$49,$NN$49,0),IF($NP$49="Bell_Curve",$NN$49*(202-$NR$49+1)*($NS$49-202+1)/$NU$49,$NN$49/$NT$49)),0)</f>
        <v/>
      </c>
      <c r="GY49" s="402">
        <f>IF(AND(203&gt;=$NR$49,203&lt;=$NS$49),IF($NP$49="Single_Point",IF(203=$NR$49,$NN$49,0),IF($NP$49="Bell_Curve",$NN$49*(203-$NR$49+1)*($NS$49-203+1)/$NU$49,$NN$49/$NT$49)),0)</f>
        <v/>
      </c>
      <c r="GZ49" s="402">
        <f>IF(AND(204&gt;=$NR$49,204&lt;=$NS$49),IF($NP$49="Single_Point",IF(204=$NR$49,$NN$49,0),IF($NP$49="Bell_Curve",$NN$49*(204-$NR$49+1)*($NS$49-204+1)/$NU$49,$NN$49/$NT$49)),0)</f>
        <v/>
      </c>
      <c r="HA49" s="402">
        <f>IF(AND(205&gt;=$NR$49,205&lt;=$NS$49),IF($NP$49="Single_Point",IF(205=$NR$49,$NN$49,0),IF($NP$49="Bell_Curve",$NN$49*(205-$NR$49+1)*($NS$49-205+1)/$NU$49,$NN$49/$NT$49)),0)</f>
        <v/>
      </c>
      <c r="HB49" s="402">
        <f>IF(AND(206&gt;=$NR$49,206&lt;=$NS$49),IF($NP$49="Single_Point",IF(206=$NR$49,$NN$49,0),IF($NP$49="Bell_Curve",$NN$49*(206-$NR$49+1)*($NS$49-206+1)/$NU$49,$NN$49/$NT$49)),0)</f>
        <v/>
      </c>
      <c r="HC49" s="402">
        <f>IF(AND(207&gt;=$NR$49,207&lt;=$NS$49),IF($NP$49="Single_Point",IF(207=$NR$49,$NN$49,0),IF($NP$49="Bell_Curve",$NN$49*(207-$NR$49+1)*($NS$49-207+1)/$NU$49,$NN$49/$NT$49)),0)</f>
        <v/>
      </c>
      <c r="HD49" s="402">
        <f>IF(AND(208&gt;=$NR$49,208&lt;=$NS$49),IF($NP$49="Single_Point",IF(208=$NR$49,$NN$49,0),IF($NP$49="Bell_Curve",$NN$49*(208-$NR$49+1)*($NS$49-208+1)/$NU$49,$NN$49/$NT$49)),0)</f>
        <v/>
      </c>
      <c r="HE49" s="402">
        <f>IF(AND(209&gt;=$NR$49,209&lt;=$NS$49),IF($NP$49="Single_Point",IF(209=$NR$49,$NN$49,0),IF($NP$49="Bell_Curve",$NN$49*(209-$NR$49+1)*($NS$49-209+1)/$NU$49,$NN$49/$NT$49)),0)</f>
        <v/>
      </c>
      <c r="HF49" s="402">
        <f>IF(AND(210&gt;=$NR$49,210&lt;=$NS$49),IF($NP$49="Single_Point",IF(210=$NR$49,$NN$49,0),IF($NP$49="Bell_Curve",$NN$49*(210-$NR$49+1)*($NS$49-210+1)/$NU$49,$NN$49/$NT$49)),0)</f>
        <v/>
      </c>
      <c r="HG49" s="402">
        <f>IF(AND(211&gt;=$NR$49,211&lt;=$NS$49),IF($NP$49="Single_Point",IF(211=$NR$49,$NN$49,0),IF($NP$49="Bell_Curve",$NN$49*(211-$NR$49+1)*($NS$49-211+1)/$NU$49,$NN$49/$NT$49)),0)</f>
        <v/>
      </c>
      <c r="HH49" s="402">
        <f>IF(AND(212&gt;=$NR$49,212&lt;=$NS$49),IF($NP$49="Single_Point",IF(212=$NR$49,$NN$49,0),IF($NP$49="Bell_Curve",$NN$49*(212-$NR$49+1)*($NS$49-212+1)/$NU$49,$NN$49/$NT$49)),0)</f>
        <v/>
      </c>
      <c r="HI49" s="402">
        <f>IF(AND(213&gt;=$NR$49,213&lt;=$NS$49),IF($NP$49="Single_Point",IF(213=$NR$49,$NN$49,0),IF($NP$49="Bell_Curve",$NN$49*(213-$NR$49+1)*($NS$49-213+1)/$NU$49,$NN$49/$NT$49)),0)</f>
        <v/>
      </c>
      <c r="HJ49" s="402">
        <f>IF(AND(214&gt;=$NR$49,214&lt;=$NS$49),IF($NP$49="Single_Point",IF(214=$NR$49,$NN$49,0),IF($NP$49="Bell_Curve",$NN$49*(214-$NR$49+1)*($NS$49-214+1)/$NU$49,$NN$49/$NT$49)),0)</f>
        <v/>
      </c>
      <c r="HK49" s="402">
        <f>IF(AND(215&gt;=$NR$49,215&lt;=$NS$49),IF($NP$49="Single_Point",IF(215=$NR$49,$NN$49,0),IF($NP$49="Bell_Curve",$NN$49*(215-$NR$49+1)*($NS$49-215+1)/$NU$49,$NN$49/$NT$49)),0)</f>
        <v/>
      </c>
      <c r="HL49" s="402">
        <f>IF(AND(216&gt;=$NR$49,216&lt;=$NS$49),IF($NP$49="Single_Point",IF(216=$NR$49,$NN$49,0),IF($NP$49="Bell_Curve",$NN$49*(216-$NR$49+1)*($NS$49-216+1)/$NU$49,$NN$49/$NT$49)),0)</f>
        <v/>
      </c>
      <c r="HM49" s="402">
        <f>IF(AND(217&gt;=$NR$49,217&lt;=$NS$49),IF($NP$49="Single_Point",IF(217=$NR$49,$NN$49,0),IF($NP$49="Bell_Curve",$NN$49*(217-$NR$49+1)*($NS$49-217+1)/$NU$49,$NN$49/$NT$49)),0)</f>
        <v/>
      </c>
      <c r="HN49" s="402">
        <f>IF(AND(218&gt;=$NR$49,218&lt;=$NS$49),IF($NP$49="Single_Point",IF(218=$NR$49,$NN$49,0),IF($NP$49="Bell_Curve",$NN$49*(218-$NR$49+1)*($NS$49-218+1)/$NU$49,$NN$49/$NT$49)),0)</f>
        <v/>
      </c>
      <c r="HO49" s="402">
        <f>IF(AND(219&gt;=$NR$49,219&lt;=$NS$49),IF($NP$49="Single_Point",IF(219=$NR$49,$NN$49,0),IF($NP$49="Bell_Curve",$NN$49*(219-$NR$49+1)*($NS$49-219+1)/$NU$49,$NN$49/$NT$49)),0)</f>
        <v/>
      </c>
      <c r="HP49" s="402">
        <f>IF(AND(220&gt;=$NR$49,220&lt;=$NS$49),IF($NP$49="Single_Point",IF(220=$NR$49,$NN$49,0),IF($NP$49="Bell_Curve",$NN$49*(220-$NR$49+1)*($NS$49-220+1)/$NU$49,$NN$49/$NT$49)),0)</f>
        <v/>
      </c>
      <c r="HQ49" s="402">
        <f>IF(AND(221&gt;=$NR$49,221&lt;=$NS$49),IF($NP$49="Single_Point",IF(221=$NR$49,$NN$49,0),IF($NP$49="Bell_Curve",$NN$49*(221-$NR$49+1)*($NS$49-221+1)/$NU$49,$NN$49/$NT$49)),0)</f>
        <v/>
      </c>
      <c r="HR49" s="402">
        <f>IF(AND(222&gt;=$NR$49,222&lt;=$NS$49),IF($NP$49="Single_Point",IF(222=$NR$49,$NN$49,0),IF($NP$49="Bell_Curve",$NN$49*(222-$NR$49+1)*($NS$49-222+1)/$NU$49,$NN$49/$NT$49)),0)</f>
        <v/>
      </c>
      <c r="HS49" s="402">
        <f>IF(AND(223&gt;=$NR$49,223&lt;=$NS$49),IF($NP$49="Single_Point",IF(223=$NR$49,$NN$49,0),IF($NP$49="Bell_Curve",$NN$49*(223-$NR$49+1)*($NS$49-223+1)/$NU$49,$NN$49/$NT$49)),0)</f>
        <v/>
      </c>
      <c r="HT49" s="402">
        <f>IF(AND(224&gt;=$NR$49,224&lt;=$NS$49),IF($NP$49="Single_Point",IF(224=$NR$49,$NN$49,0),IF($NP$49="Bell_Curve",$NN$49*(224-$NR$49+1)*($NS$49-224+1)/$NU$49,$NN$49/$NT$49)),0)</f>
        <v/>
      </c>
      <c r="HU49" s="402">
        <f>IF(AND(225&gt;=$NR$49,225&lt;=$NS$49),IF($NP$49="Single_Point",IF(225=$NR$49,$NN$49,0),IF($NP$49="Bell_Curve",$NN$49*(225-$NR$49+1)*($NS$49-225+1)/$NU$49,$NN$49/$NT$49)),0)</f>
        <v/>
      </c>
      <c r="HV49" s="402">
        <f>IF(AND(226&gt;=$NR$49,226&lt;=$NS$49),IF($NP$49="Single_Point",IF(226=$NR$49,$NN$49,0),IF($NP$49="Bell_Curve",$NN$49*(226-$NR$49+1)*($NS$49-226+1)/$NU$49,$NN$49/$NT$49)),0)</f>
        <v/>
      </c>
      <c r="HW49" s="402">
        <f>IF(AND(227&gt;=$NR$49,227&lt;=$NS$49),IF($NP$49="Single_Point",IF(227=$NR$49,$NN$49,0),IF($NP$49="Bell_Curve",$NN$49*(227-$NR$49+1)*($NS$49-227+1)/$NU$49,$NN$49/$NT$49)),0)</f>
        <v/>
      </c>
      <c r="HX49" s="402">
        <f>IF(AND(228&gt;=$NR$49,228&lt;=$NS$49),IF($NP$49="Single_Point",IF(228=$NR$49,$NN$49,0),IF($NP$49="Bell_Curve",$NN$49*(228-$NR$49+1)*($NS$49-228+1)/$NU$49,$NN$49/$NT$49)),0)</f>
        <v/>
      </c>
      <c r="HY49" s="402">
        <f>IF(AND(229&gt;=$NR$49,229&lt;=$NS$49),IF($NP$49="Single_Point",IF(229=$NR$49,$NN$49,0),IF($NP$49="Bell_Curve",$NN$49*(229-$NR$49+1)*($NS$49-229+1)/$NU$49,$NN$49/$NT$49)),0)</f>
        <v/>
      </c>
      <c r="HZ49" s="402">
        <f>IF(AND(230&gt;=$NR$49,230&lt;=$NS$49),IF($NP$49="Single_Point",IF(230=$NR$49,$NN$49,0),IF($NP$49="Bell_Curve",$NN$49*(230-$NR$49+1)*($NS$49-230+1)/$NU$49,$NN$49/$NT$49)),0)</f>
        <v/>
      </c>
      <c r="IA49" s="402">
        <f>IF(AND(231&gt;=$NR$49,231&lt;=$NS$49),IF($NP$49="Single_Point",IF(231=$NR$49,$NN$49,0),IF($NP$49="Bell_Curve",$NN$49*(231-$NR$49+1)*($NS$49-231+1)/$NU$49,$NN$49/$NT$49)),0)</f>
        <v/>
      </c>
      <c r="IB49" s="402">
        <f>IF(AND(232&gt;=$NR$49,232&lt;=$NS$49),IF($NP$49="Single_Point",IF(232=$NR$49,$NN$49,0),IF($NP$49="Bell_Curve",$NN$49*(232-$NR$49+1)*($NS$49-232+1)/$NU$49,$NN$49/$NT$49)),0)</f>
        <v/>
      </c>
      <c r="IC49" s="402">
        <f>IF(AND(233&gt;=$NR$49,233&lt;=$NS$49),IF($NP$49="Single_Point",IF(233=$NR$49,$NN$49,0),IF($NP$49="Bell_Curve",$NN$49*(233-$NR$49+1)*($NS$49-233+1)/$NU$49,$NN$49/$NT$49)),0)</f>
        <v/>
      </c>
      <c r="ID49" s="402">
        <f>IF(AND(234&gt;=$NR$49,234&lt;=$NS$49),IF($NP$49="Single_Point",IF(234=$NR$49,$NN$49,0),IF($NP$49="Bell_Curve",$NN$49*(234-$NR$49+1)*($NS$49-234+1)/$NU$49,$NN$49/$NT$49)),0)</f>
        <v/>
      </c>
      <c r="IE49" s="402">
        <f>IF(AND(235&gt;=$NR$49,235&lt;=$NS$49),IF($NP$49="Single_Point",IF(235=$NR$49,$NN$49,0),IF($NP$49="Bell_Curve",$NN$49*(235-$NR$49+1)*($NS$49-235+1)/$NU$49,$NN$49/$NT$49)),0)</f>
        <v/>
      </c>
      <c r="IF49" s="402">
        <f>IF(AND(236&gt;=$NR$49,236&lt;=$NS$49),IF($NP$49="Single_Point",IF(236=$NR$49,$NN$49,0),IF($NP$49="Bell_Curve",$NN$49*(236-$NR$49+1)*($NS$49-236+1)/$NU$49,$NN$49/$NT$49)),0)</f>
        <v/>
      </c>
      <c r="IG49" s="402">
        <f>IF(AND(237&gt;=$NR$49,237&lt;=$NS$49),IF($NP$49="Single_Point",IF(237=$NR$49,$NN$49,0),IF($NP$49="Bell_Curve",$NN$49*(237-$NR$49+1)*($NS$49-237+1)/$NU$49,$NN$49/$NT$49)),0)</f>
        <v/>
      </c>
      <c r="IH49" s="402">
        <f>IF(AND(238&gt;=$NR$49,238&lt;=$NS$49),IF($NP$49="Single_Point",IF(238=$NR$49,$NN$49,0),IF($NP$49="Bell_Curve",$NN$49*(238-$NR$49+1)*($NS$49-238+1)/$NU$49,$NN$49/$NT$49)),0)</f>
        <v/>
      </c>
      <c r="II49" s="402">
        <f>IF(AND(239&gt;=$NR$49,239&lt;=$NS$49),IF($NP$49="Single_Point",IF(239=$NR$49,$NN$49,0),IF($NP$49="Bell_Curve",$NN$49*(239-$NR$49+1)*($NS$49-239+1)/$NU$49,$NN$49/$NT$49)),0)</f>
        <v/>
      </c>
      <c r="IJ49" s="402">
        <f>IF(AND(240&gt;=$NR$49,240&lt;=$NS$49),IF($NP$49="Single_Point",IF(240=$NR$49,$NN$49,0),IF($NP$49="Bell_Curve",$NN$49*(240-$NR$49+1)*($NS$49-240+1)/$NU$49,$NN$49/$NT$49)),0)</f>
        <v/>
      </c>
      <c r="IK49" s="402">
        <f>IF(AND(241&gt;=$NR$49,241&lt;=$NS$49),IF($NP$49="Single_Point",IF(241=$NR$49,$NN$49,0),IF($NP$49="Bell_Curve",$NN$49*(241-$NR$49+1)*($NS$49-241+1)/$NU$49,$NN$49/$NT$49)),0)</f>
        <v/>
      </c>
      <c r="IL49" s="402">
        <f>IF(AND(242&gt;=$NR$49,242&lt;=$NS$49),IF($NP$49="Single_Point",IF(242=$NR$49,$NN$49,0),IF($NP$49="Bell_Curve",$NN$49*(242-$NR$49+1)*($NS$49-242+1)/$NU$49,$NN$49/$NT$49)),0)</f>
        <v/>
      </c>
      <c r="IM49" s="402">
        <f>IF(AND(243&gt;=$NR$49,243&lt;=$NS$49),IF($NP$49="Single_Point",IF(243=$NR$49,$NN$49,0),IF($NP$49="Bell_Curve",$NN$49*(243-$NR$49+1)*($NS$49-243+1)/$NU$49,$NN$49/$NT$49)),0)</f>
        <v/>
      </c>
      <c r="IN49" s="402">
        <f>IF(AND(244&gt;=$NR$49,244&lt;=$NS$49),IF($NP$49="Single_Point",IF(244=$NR$49,$NN$49,0),IF($NP$49="Bell_Curve",$NN$49*(244-$NR$49+1)*($NS$49-244+1)/$NU$49,$NN$49/$NT$49)),0)</f>
        <v/>
      </c>
      <c r="IO49" s="402">
        <f>IF(AND(245&gt;=$NR$49,245&lt;=$NS$49),IF($NP$49="Single_Point",IF(245=$NR$49,$NN$49,0),IF($NP$49="Bell_Curve",$NN$49*(245-$NR$49+1)*($NS$49-245+1)/$NU$49,$NN$49/$NT$49)),0)</f>
        <v/>
      </c>
      <c r="IP49" s="402">
        <f>IF(AND(246&gt;=$NR$49,246&lt;=$NS$49),IF($NP$49="Single_Point",IF(246=$NR$49,$NN$49,0),IF($NP$49="Bell_Curve",$NN$49*(246-$NR$49+1)*($NS$49-246+1)/$NU$49,$NN$49/$NT$49)),0)</f>
        <v/>
      </c>
      <c r="IQ49" s="402">
        <f>IF(AND(247&gt;=$NR$49,247&lt;=$NS$49),IF($NP$49="Single_Point",IF(247=$NR$49,$NN$49,0),IF($NP$49="Bell_Curve",$NN$49*(247-$NR$49+1)*($NS$49-247+1)/$NU$49,$NN$49/$NT$49)),0)</f>
        <v/>
      </c>
      <c r="IR49" s="402">
        <f>IF(AND(248&gt;=$NR$49,248&lt;=$NS$49),IF($NP$49="Single_Point",IF(248=$NR$49,$NN$49,0),IF($NP$49="Bell_Curve",$NN$49*(248-$NR$49+1)*($NS$49-248+1)/$NU$49,$NN$49/$NT$49)),0)</f>
        <v/>
      </c>
      <c r="IS49" s="402">
        <f>IF(AND(249&gt;=$NR$49,249&lt;=$NS$49),IF($NP$49="Single_Point",IF(249=$NR$49,$NN$49,0),IF($NP$49="Bell_Curve",$NN$49*(249-$NR$49+1)*($NS$49-249+1)/$NU$49,$NN$49/$NT$49)),0)</f>
        <v/>
      </c>
      <c r="IT49" s="402">
        <f>IF(AND(250&gt;=$NR$49,250&lt;=$NS$49),IF($NP$49="Single_Point",IF(250=$NR$49,$NN$49,0),IF($NP$49="Bell_Curve",$NN$49*(250-$NR$49+1)*($NS$49-250+1)/$NU$49,$NN$49/$NT$49)),0)</f>
        <v/>
      </c>
      <c r="IU49" s="402">
        <f>IF(AND(251&gt;=$NR$49,251&lt;=$NS$49),IF($NP$49="Single_Point",IF(251=$NR$49,$NN$49,0),IF($NP$49="Bell_Curve",$NN$49*(251-$NR$49+1)*($NS$49-251+1)/$NU$49,$NN$49/$NT$49)),0)</f>
        <v/>
      </c>
      <c r="IV49" s="402">
        <f>IF(AND(252&gt;=$NR$49,252&lt;=$NS$49),IF($NP$49="Single_Point",IF(252=$NR$49,$NN$49,0),IF($NP$49="Bell_Curve",$NN$49*(252-$NR$49+1)*($NS$49-252+1)/$NU$49,$NN$49/$NT$49)),0)</f>
        <v/>
      </c>
      <c r="IW49" s="402">
        <f>IF(AND(253&gt;=$NR$49,253&lt;=$NS$49),IF($NP$49="Single_Point",IF(253=$NR$49,$NN$49,0),IF($NP$49="Bell_Curve",$NN$49*(253-$NR$49+1)*($NS$49-253+1)/$NU$49,$NN$49/$NT$49)),0)</f>
        <v/>
      </c>
      <c r="IX49" s="402">
        <f>IF(AND(254&gt;=$NR$49,254&lt;=$NS$49),IF($NP$49="Single_Point",IF(254=$NR$49,$NN$49,0),IF($NP$49="Bell_Curve",$NN$49*(254-$NR$49+1)*($NS$49-254+1)/$NU$49,$NN$49/$NT$49)),0)</f>
        <v/>
      </c>
      <c r="IY49" s="402">
        <f>IF(AND(255&gt;=$NR$49,255&lt;=$NS$49),IF($NP$49="Single_Point",IF(255=$NR$49,$NN$49,0),IF($NP$49="Bell_Curve",$NN$49*(255-$NR$49+1)*($NS$49-255+1)/$NU$49,$NN$49/$NT$49)),0)</f>
        <v/>
      </c>
      <c r="IZ49" s="402">
        <f>IF(AND(256&gt;=$NR$49,256&lt;=$NS$49),IF($NP$49="Single_Point",IF(256=$NR$49,$NN$49,0),IF($NP$49="Bell_Curve",$NN$49*(256-$NR$49+1)*($NS$49-256+1)/$NU$49,$NN$49/$NT$49)),0)</f>
        <v/>
      </c>
      <c r="JA49" s="402">
        <f>IF(AND(257&gt;=$NR$49,257&lt;=$NS$49),IF($NP$49="Single_Point",IF(257=$NR$49,$NN$49,0),IF($NP$49="Bell_Curve",$NN$49*(257-$NR$49+1)*($NS$49-257+1)/$NU$49,$NN$49/$NT$49)),0)</f>
        <v/>
      </c>
      <c r="JB49" s="402">
        <f>IF(AND(258&gt;=$NR$49,258&lt;=$NS$49),IF($NP$49="Single_Point",IF(258=$NR$49,$NN$49,0),IF($NP$49="Bell_Curve",$NN$49*(258-$NR$49+1)*($NS$49-258+1)/$NU$49,$NN$49/$NT$49)),0)</f>
        <v/>
      </c>
      <c r="JC49" s="402">
        <f>IF(AND(259&gt;=$NR$49,259&lt;=$NS$49),IF($NP$49="Single_Point",IF(259=$NR$49,$NN$49,0),IF($NP$49="Bell_Curve",$NN$49*(259-$NR$49+1)*($NS$49-259+1)/$NU$49,$NN$49/$NT$49)),0)</f>
        <v/>
      </c>
      <c r="JD49" s="402">
        <f>IF(AND(260&gt;=$NR$49,260&lt;=$NS$49),IF($NP$49="Single_Point",IF(260=$NR$49,$NN$49,0),IF($NP$49="Bell_Curve",$NN$49*(260-$NR$49+1)*($NS$49-260+1)/$NU$49,$NN$49/$NT$49)),0)</f>
        <v/>
      </c>
      <c r="JE49" s="402">
        <f>IF(AND(261&gt;=$NR$49,261&lt;=$NS$49),IF($NP$49="Single_Point",IF(261=$NR$49,$NN$49,0),IF($NP$49="Bell_Curve",$NN$49*(261-$NR$49+1)*($NS$49-261+1)/$NU$49,$NN$49/$NT$49)),0)</f>
        <v/>
      </c>
      <c r="JF49" s="402">
        <f>IF(AND(262&gt;=$NR$49,262&lt;=$NS$49),IF($NP$49="Single_Point",IF(262=$NR$49,$NN$49,0),IF($NP$49="Bell_Curve",$NN$49*(262-$NR$49+1)*($NS$49-262+1)/$NU$49,$NN$49/$NT$49)),0)</f>
        <v/>
      </c>
      <c r="JG49" s="402">
        <f>IF(AND(263&gt;=$NR$49,263&lt;=$NS$49),IF($NP$49="Single_Point",IF(263=$NR$49,$NN$49,0),IF($NP$49="Bell_Curve",$NN$49*(263-$NR$49+1)*($NS$49-263+1)/$NU$49,$NN$49/$NT$49)),0)</f>
        <v/>
      </c>
      <c r="JH49" s="402">
        <f>IF(AND(264&gt;=$NR$49,264&lt;=$NS$49),IF($NP$49="Single_Point",IF(264=$NR$49,$NN$49,0),IF($NP$49="Bell_Curve",$NN$49*(264-$NR$49+1)*($NS$49-264+1)/$NU$49,$NN$49/$NT$49)),0)</f>
        <v/>
      </c>
      <c r="JI49" s="402">
        <f>IF(AND(265&gt;=$NR$49,265&lt;=$NS$49),IF($NP$49="Single_Point",IF(265=$NR$49,$NN$49,0),IF($NP$49="Bell_Curve",$NN$49*(265-$NR$49+1)*($NS$49-265+1)/$NU$49,$NN$49/$NT$49)),0)</f>
        <v/>
      </c>
      <c r="JJ49" s="402">
        <f>IF(AND(266&gt;=$NR$49,266&lt;=$NS$49),IF($NP$49="Single_Point",IF(266=$NR$49,$NN$49,0),IF($NP$49="Bell_Curve",$NN$49*(266-$NR$49+1)*($NS$49-266+1)/$NU$49,$NN$49/$NT$49)),0)</f>
        <v/>
      </c>
      <c r="JK49" s="402">
        <f>IF(AND(267&gt;=$NR$49,267&lt;=$NS$49),IF($NP$49="Single_Point",IF(267=$NR$49,$NN$49,0),IF($NP$49="Bell_Curve",$NN$49*(267-$NR$49+1)*($NS$49-267+1)/$NU$49,$NN$49/$NT$49)),0)</f>
        <v/>
      </c>
      <c r="JL49" s="402">
        <f>IF(AND(268&gt;=$NR$49,268&lt;=$NS$49),IF($NP$49="Single_Point",IF(268=$NR$49,$NN$49,0),IF($NP$49="Bell_Curve",$NN$49*(268-$NR$49+1)*($NS$49-268+1)/$NU$49,$NN$49/$NT$49)),0)</f>
        <v/>
      </c>
      <c r="JM49" s="402">
        <f>IF(AND(269&gt;=$NR$49,269&lt;=$NS$49),IF($NP$49="Single_Point",IF(269=$NR$49,$NN$49,0),IF($NP$49="Bell_Curve",$NN$49*(269-$NR$49+1)*($NS$49-269+1)/$NU$49,$NN$49/$NT$49)),0)</f>
        <v/>
      </c>
      <c r="JN49" s="402">
        <f>IF(AND(270&gt;=$NR$49,270&lt;=$NS$49),IF($NP$49="Single_Point",IF(270=$NR$49,$NN$49,0),IF($NP$49="Bell_Curve",$NN$49*(270-$NR$49+1)*($NS$49-270+1)/$NU$49,$NN$49/$NT$49)),0)</f>
        <v/>
      </c>
      <c r="JO49" s="402">
        <f>IF(AND(271&gt;=$NR$49,271&lt;=$NS$49),IF($NP$49="Single_Point",IF(271=$NR$49,$NN$49,0),IF($NP$49="Bell_Curve",$NN$49*(271-$NR$49+1)*($NS$49-271+1)/$NU$49,$NN$49/$NT$49)),0)</f>
        <v/>
      </c>
      <c r="JP49" s="402">
        <f>IF(AND(272&gt;=$NR$49,272&lt;=$NS$49),IF($NP$49="Single_Point",IF(272=$NR$49,$NN$49,0),IF($NP$49="Bell_Curve",$NN$49*(272-$NR$49+1)*($NS$49-272+1)/$NU$49,$NN$49/$NT$49)),0)</f>
        <v/>
      </c>
      <c r="JQ49" s="402">
        <f>IF(AND(273&gt;=$NR$49,273&lt;=$NS$49),IF($NP$49="Single_Point",IF(273=$NR$49,$NN$49,0),IF($NP$49="Bell_Curve",$NN$49*(273-$NR$49+1)*($NS$49-273+1)/$NU$49,$NN$49/$NT$49)),0)</f>
        <v/>
      </c>
      <c r="JR49" s="402">
        <f>IF(AND(274&gt;=$NR$49,274&lt;=$NS$49),IF($NP$49="Single_Point",IF(274=$NR$49,$NN$49,0),IF($NP$49="Bell_Curve",$NN$49*(274-$NR$49+1)*($NS$49-274+1)/$NU$49,$NN$49/$NT$49)),0)</f>
        <v/>
      </c>
      <c r="JS49" s="402">
        <f>IF(AND(275&gt;=$NR$49,275&lt;=$NS$49),IF($NP$49="Single_Point",IF(275=$NR$49,$NN$49,0),IF($NP$49="Bell_Curve",$NN$49*(275-$NR$49+1)*($NS$49-275+1)/$NU$49,$NN$49/$NT$49)),0)</f>
        <v/>
      </c>
      <c r="JT49" s="402">
        <f>IF(AND(276&gt;=$NR$49,276&lt;=$NS$49),IF($NP$49="Single_Point",IF(276=$NR$49,$NN$49,0),IF($NP$49="Bell_Curve",$NN$49*(276-$NR$49+1)*($NS$49-276+1)/$NU$49,$NN$49/$NT$49)),0)</f>
        <v/>
      </c>
      <c r="JU49" s="402">
        <f>IF(AND(277&gt;=$NR$49,277&lt;=$NS$49),IF($NP$49="Single_Point",IF(277=$NR$49,$NN$49,0),IF($NP$49="Bell_Curve",$NN$49*(277-$NR$49+1)*($NS$49-277+1)/$NU$49,$NN$49/$NT$49)),0)</f>
        <v/>
      </c>
      <c r="JV49" s="402">
        <f>IF(AND(278&gt;=$NR$49,278&lt;=$NS$49),IF($NP$49="Single_Point",IF(278=$NR$49,$NN$49,0),IF($NP$49="Bell_Curve",$NN$49*(278-$NR$49+1)*($NS$49-278+1)/$NU$49,$NN$49/$NT$49)),0)</f>
        <v/>
      </c>
      <c r="JW49" s="402">
        <f>IF(AND(279&gt;=$NR$49,279&lt;=$NS$49),IF($NP$49="Single_Point",IF(279=$NR$49,$NN$49,0),IF($NP$49="Bell_Curve",$NN$49*(279-$NR$49+1)*($NS$49-279+1)/$NU$49,$NN$49/$NT$49)),0)</f>
        <v/>
      </c>
      <c r="JX49" s="402">
        <f>IF(AND(280&gt;=$NR$49,280&lt;=$NS$49),IF($NP$49="Single_Point",IF(280=$NR$49,$NN$49,0),IF($NP$49="Bell_Curve",$NN$49*(280-$NR$49+1)*($NS$49-280+1)/$NU$49,$NN$49/$NT$49)),0)</f>
        <v/>
      </c>
      <c r="JY49" s="402">
        <f>IF(AND(281&gt;=$NR$49,281&lt;=$NS$49),IF($NP$49="Single_Point",IF(281=$NR$49,$NN$49,0),IF($NP$49="Bell_Curve",$NN$49*(281-$NR$49+1)*($NS$49-281+1)/$NU$49,$NN$49/$NT$49)),0)</f>
        <v/>
      </c>
      <c r="JZ49" s="402">
        <f>IF(AND(282&gt;=$NR$49,282&lt;=$NS$49),IF($NP$49="Single_Point",IF(282=$NR$49,$NN$49,0),IF($NP$49="Bell_Curve",$NN$49*(282-$NR$49+1)*($NS$49-282+1)/$NU$49,$NN$49/$NT$49)),0)</f>
        <v/>
      </c>
      <c r="KA49" s="402">
        <f>IF(AND(283&gt;=$NR$49,283&lt;=$NS$49),IF($NP$49="Single_Point",IF(283=$NR$49,$NN$49,0),IF($NP$49="Bell_Curve",$NN$49*(283-$NR$49+1)*($NS$49-283+1)/$NU$49,$NN$49/$NT$49)),0)</f>
        <v/>
      </c>
      <c r="KB49" s="402">
        <f>IF(AND(284&gt;=$NR$49,284&lt;=$NS$49),IF($NP$49="Single_Point",IF(284=$NR$49,$NN$49,0),IF($NP$49="Bell_Curve",$NN$49*(284-$NR$49+1)*($NS$49-284+1)/$NU$49,$NN$49/$NT$49)),0)</f>
        <v/>
      </c>
      <c r="KC49" s="402">
        <f>IF(AND(285&gt;=$NR$49,285&lt;=$NS$49),IF($NP$49="Single_Point",IF(285=$NR$49,$NN$49,0),IF($NP$49="Bell_Curve",$NN$49*(285-$NR$49+1)*($NS$49-285+1)/$NU$49,$NN$49/$NT$49)),0)</f>
        <v/>
      </c>
      <c r="KD49" s="402">
        <f>IF(AND(286&gt;=$NR$49,286&lt;=$NS$49),IF($NP$49="Single_Point",IF(286=$NR$49,$NN$49,0),IF($NP$49="Bell_Curve",$NN$49*(286-$NR$49+1)*($NS$49-286+1)/$NU$49,$NN$49/$NT$49)),0)</f>
        <v/>
      </c>
      <c r="KE49" s="402">
        <f>IF(AND(287&gt;=$NR$49,287&lt;=$NS$49),IF($NP$49="Single_Point",IF(287=$NR$49,$NN$49,0),IF($NP$49="Bell_Curve",$NN$49*(287-$NR$49+1)*($NS$49-287+1)/$NU$49,$NN$49/$NT$49)),0)</f>
        <v/>
      </c>
      <c r="KF49" s="402">
        <f>IF(AND(288&gt;=$NR$49,288&lt;=$NS$49),IF($NP$49="Single_Point",IF(288=$NR$49,$NN$49,0),IF($NP$49="Bell_Curve",$NN$49*(288-$NR$49+1)*($NS$49-288+1)/$NU$49,$NN$49/$NT$49)),0)</f>
        <v/>
      </c>
      <c r="KG49" s="402">
        <f>IF(AND(289&gt;=$NR$49,289&lt;=$NS$49),IF($NP$49="Single_Point",IF(289=$NR$49,$NN$49,0),IF($NP$49="Bell_Curve",$NN$49*(289-$NR$49+1)*($NS$49-289+1)/$NU$49,$NN$49/$NT$49)),0)</f>
        <v/>
      </c>
      <c r="KH49" s="402">
        <f>IF(AND(290&gt;=$NR$49,290&lt;=$NS$49),IF($NP$49="Single_Point",IF(290=$NR$49,$NN$49,0),IF($NP$49="Bell_Curve",$NN$49*(290-$NR$49+1)*($NS$49-290+1)/$NU$49,$NN$49/$NT$49)),0)</f>
        <v/>
      </c>
      <c r="KI49" s="402">
        <f>IF(AND(291&gt;=$NR$49,291&lt;=$NS$49),IF($NP$49="Single_Point",IF(291=$NR$49,$NN$49,0),IF($NP$49="Bell_Curve",$NN$49*(291-$NR$49+1)*($NS$49-291+1)/$NU$49,$NN$49/$NT$49)),0)</f>
        <v/>
      </c>
      <c r="KJ49" s="402">
        <f>IF(AND(292&gt;=$NR$49,292&lt;=$NS$49),IF($NP$49="Single_Point",IF(292=$NR$49,$NN$49,0),IF($NP$49="Bell_Curve",$NN$49*(292-$NR$49+1)*($NS$49-292+1)/$NU$49,$NN$49/$NT$49)),0)</f>
        <v/>
      </c>
      <c r="KK49" s="402">
        <f>IF(AND(293&gt;=$NR$49,293&lt;=$NS$49),IF($NP$49="Single_Point",IF(293=$NR$49,$NN$49,0),IF($NP$49="Bell_Curve",$NN$49*(293-$NR$49+1)*($NS$49-293+1)/$NU$49,$NN$49/$NT$49)),0)</f>
        <v/>
      </c>
      <c r="KL49" s="402">
        <f>IF(AND(294&gt;=$NR$49,294&lt;=$NS$49),IF($NP$49="Single_Point",IF(294=$NR$49,$NN$49,0),IF($NP$49="Bell_Curve",$NN$49*(294-$NR$49+1)*($NS$49-294+1)/$NU$49,$NN$49/$NT$49)),0)</f>
        <v/>
      </c>
      <c r="KM49" s="402">
        <f>IF(AND(295&gt;=$NR$49,295&lt;=$NS$49),IF($NP$49="Single_Point",IF(295=$NR$49,$NN$49,0),IF($NP$49="Bell_Curve",$NN$49*(295-$NR$49+1)*($NS$49-295+1)/$NU$49,$NN$49/$NT$49)),0)</f>
        <v/>
      </c>
      <c r="KN49" s="402">
        <f>IF(AND(296&gt;=$NR$49,296&lt;=$NS$49),IF($NP$49="Single_Point",IF(296=$NR$49,$NN$49,0),IF($NP$49="Bell_Curve",$NN$49*(296-$NR$49+1)*($NS$49-296+1)/$NU$49,$NN$49/$NT$49)),0)</f>
        <v/>
      </c>
      <c r="KO49" s="402">
        <f>IF(AND(297&gt;=$NR$49,297&lt;=$NS$49),IF($NP$49="Single_Point",IF(297=$NR$49,$NN$49,0),IF($NP$49="Bell_Curve",$NN$49*(297-$NR$49+1)*($NS$49-297+1)/$NU$49,$NN$49/$NT$49)),0)</f>
        <v/>
      </c>
      <c r="KP49" s="402">
        <f>IF(AND(298&gt;=$NR$49,298&lt;=$NS$49),IF($NP$49="Single_Point",IF(298=$NR$49,$NN$49,0),IF($NP$49="Bell_Curve",$NN$49*(298-$NR$49+1)*($NS$49-298+1)/$NU$49,$NN$49/$NT$49)),0)</f>
        <v/>
      </c>
      <c r="KQ49" s="402">
        <f>IF(AND(299&gt;=$NR$49,299&lt;=$NS$49),IF($NP$49="Single_Point",IF(299=$NR$49,$NN$49,0),IF($NP$49="Bell_Curve",$NN$49*(299-$NR$49+1)*($NS$49-299+1)/$NU$49,$NN$49/$NT$49)),0)</f>
        <v/>
      </c>
      <c r="KR49" s="402">
        <f>IF(AND(300&gt;=$NR$49,300&lt;=$NS$49),IF($NP$49="Single_Point",IF(300=$NR$49,$NN$49,0),IF($NP$49="Bell_Curve",$NN$49*(300-$NR$49+1)*($NS$49-300+1)/$NU$49,$NN$49/$NT$49)),0)</f>
        <v/>
      </c>
      <c r="KS49" s="402">
        <f>IF(AND(301&gt;=$NR$49,301&lt;=$NS$49),IF($NP$49="Single_Point",IF(301=$NR$49,$NN$49,0),IF($NP$49="Bell_Curve",$NN$49*(301-$NR$49+1)*($NS$49-301+1)/$NU$49,$NN$49/$NT$49)),0)</f>
        <v/>
      </c>
      <c r="KT49" s="402">
        <f>IF(AND(302&gt;=$NR$49,302&lt;=$NS$49),IF($NP$49="Single_Point",IF(302=$NR$49,$NN$49,0),IF($NP$49="Bell_Curve",$NN$49*(302-$NR$49+1)*($NS$49-302+1)/$NU$49,$NN$49/$NT$49)),0)</f>
        <v/>
      </c>
      <c r="KU49" s="402">
        <f>IF(AND(303&gt;=$NR$49,303&lt;=$NS$49),IF($NP$49="Single_Point",IF(303=$NR$49,$NN$49,0),IF($NP$49="Bell_Curve",$NN$49*(303-$NR$49+1)*($NS$49-303+1)/$NU$49,$NN$49/$NT$49)),0)</f>
        <v/>
      </c>
      <c r="KV49" s="402">
        <f>IF(AND(304&gt;=$NR$49,304&lt;=$NS$49),IF($NP$49="Single_Point",IF(304=$NR$49,$NN$49,0),IF($NP$49="Bell_Curve",$NN$49*(304-$NR$49+1)*($NS$49-304+1)/$NU$49,$NN$49/$NT$49)),0)</f>
        <v/>
      </c>
      <c r="KW49" s="402">
        <f>IF(AND(305&gt;=$NR$49,305&lt;=$NS$49),IF($NP$49="Single_Point",IF(305=$NR$49,$NN$49,0),IF($NP$49="Bell_Curve",$NN$49*(305-$NR$49+1)*($NS$49-305+1)/$NU$49,$NN$49/$NT$49)),0)</f>
        <v/>
      </c>
      <c r="KX49" s="402">
        <f>IF(AND(306&gt;=$NR$49,306&lt;=$NS$49),IF($NP$49="Single_Point",IF(306=$NR$49,$NN$49,0),IF($NP$49="Bell_Curve",$NN$49*(306-$NR$49+1)*($NS$49-306+1)/$NU$49,$NN$49/$NT$49)),0)</f>
        <v/>
      </c>
      <c r="KY49" s="402">
        <f>IF(AND(307&gt;=$NR$49,307&lt;=$NS$49),IF($NP$49="Single_Point",IF(307=$NR$49,$NN$49,0),IF($NP$49="Bell_Curve",$NN$49*(307-$NR$49+1)*($NS$49-307+1)/$NU$49,$NN$49/$NT$49)),0)</f>
        <v/>
      </c>
      <c r="KZ49" s="402">
        <f>IF(AND(308&gt;=$NR$49,308&lt;=$NS$49),IF($NP$49="Single_Point",IF(308=$NR$49,$NN$49,0),IF($NP$49="Bell_Curve",$NN$49*(308-$NR$49+1)*($NS$49-308+1)/$NU$49,$NN$49/$NT$49)),0)</f>
        <v/>
      </c>
      <c r="LA49" s="402">
        <f>IF(AND(309&gt;=$NR$49,309&lt;=$NS$49),IF($NP$49="Single_Point",IF(309=$NR$49,$NN$49,0),IF($NP$49="Bell_Curve",$NN$49*(309-$NR$49+1)*($NS$49-309+1)/$NU$49,$NN$49/$NT$49)),0)</f>
        <v/>
      </c>
      <c r="LB49" s="402">
        <f>IF(AND(310&gt;=$NR$49,310&lt;=$NS$49),IF($NP$49="Single_Point",IF(310=$NR$49,$NN$49,0),IF($NP$49="Bell_Curve",$NN$49*(310-$NR$49+1)*($NS$49-310+1)/$NU$49,$NN$49/$NT$49)),0)</f>
        <v/>
      </c>
      <c r="LC49" s="402">
        <f>IF(AND(311&gt;=$NR$49,311&lt;=$NS$49),IF($NP$49="Single_Point",IF(311=$NR$49,$NN$49,0),IF($NP$49="Bell_Curve",$NN$49*(311-$NR$49+1)*($NS$49-311+1)/$NU$49,$NN$49/$NT$49)),0)</f>
        <v/>
      </c>
      <c r="LD49" s="402">
        <f>IF(AND(312&gt;=$NR$49,312&lt;=$NS$49),IF($NP$49="Single_Point",IF(312=$NR$49,$NN$49,0),IF($NP$49="Bell_Curve",$NN$49*(312-$NR$49+1)*($NS$49-312+1)/$NU$49,$NN$49/$NT$49)),0)</f>
        <v/>
      </c>
      <c r="LE49" s="402">
        <f>IF(AND(313&gt;=$NR$49,313&lt;=$NS$49),IF($NP$49="Single_Point",IF(313=$NR$49,$NN$49,0),IF($NP$49="Bell_Curve",$NN$49*(313-$NR$49+1)*($NS$49-313+1)/$NU$49,$NN$49/$NT$49)),0)</f>
        <v/>
      </c>
      <c r="LF49" s="402">
        <f>IF(AND(314&gt;=$NR$49,314&lt;=$NS$49),IF($NP$49="Single_Point",IF(314=$NR$49,$NN$49,0),IF($NP$49="Bell_Curve",$NN$49*(314-$NR$49+1)*($NS$49-314+1)/$NU$49,$NN$49/$NT$49)),0)</f>
        <v/>
      </c>
      <c r="LG49" s="402">
        <f>IF(AND(315&gt;=$NR$49,315&lt;=$NS$49),IF($NP$49="Single_Point",IF(315=$NR$49,$NN$49,0),IF($NP$49="Bell_Curve",$NN$49*(315-$NR$49+1)*($NS$49-315+1)/$NU$49,$NN$49/$NT$49)),0)</f>
        <v/>
      </c>
      <c r="LH49" s="402">
        <f>IF(AND(316&gt;=$NR$49,316&lt;=$NS$49),IF($NP$49="Single_Point",IF(316=$NR$49,$NN$49,0),IF($NP$49="Bell_Curve",$NN$49*(316-$NR$49+1)*($NS$49-316+1)/$NU$49,$NN$49/$NT$49)),0)</f>
        <v/>
      </c>
      <c r="LI49" s="402">
        <f>IF(AND(317&gt;=$NR$49,317&lt;=$NS$49),IF($NP$49="Single_Point",IF(317=$NR$49,$NN$49,0),IF($NP$49="Bell_Curve",$NN$49*(317-$NR$49+1)*($NS$49-317+1)/$NU$49,$NN$49/$NT$49)),0)</f>
        <v/>
      </c>
      <c r="LJ49" s="402">
        <f>IF(AND(318&gt;=$NR$49,318&lt;=$NS$49),IF($NP$49="Single_Point",IF(318=$NR$49,$NN$49,0),IF($NP$49="Bell_Curve",$NN$49*(318-$NR$49+1)*($NS$49-318+1)/$NU$49,$NN$49/$NT$49)),0)</f>
        <v/>
      </c>
      <c r="LK49" s="402">
        <f>IF(AND(319&gt;=$NR$49,319&lt;=$NS$49),IF($NP$49="Single_Point",IF(319=$NR$49,$NN$49,0),IF($NP$49="Bell_Curve",$NN$49*(319-$NR$49+1)*($NS$49-319+1)/$NU$49,$NN$49/$NT$49)),0)</f>
        <v/>
      </c>
      <c r="LL49" s="402">
        <f>IF(AND(320&gt;=$NR$49,320&lt;=$NS$49),IF($NP$49="Single_Point",IF(320=$NR$49,$NN$49,0),IF($NP$49="Bell_Curve",$NN$49*(320-$NR$49+1)*($NS$49-320+1)/$NU$49,$NN$49/$NT$49)),0)</f>
        <v/>
      </c>
      <c r="LM49" s="402">
        <f>IF(AND(321&gt;=$NR$49,321&lt;=$NS$49),IF($NP$49="Single_Point",IF(321=$NR$49,$NN$49,0),IF($NP$49="Bell_Curve",$NN$49*(321-$NR$49+1)*($NS$49-321+1)/$NU$49,$NN$49/$NT$49)),0)</f>
        <v/>
      </c>
      <c r="LN49" s="402">
        <f>IF(AND(322&gt;=$NR$49,322&lt;=$NS$49),IF($NP$49="Single_Point",IF(322=$NR$49,$NN$49,0),IF($NP$49="Bell_Curve",$NN$49*(322-$NR$49+1)*($NS$49-322+1)/$NU$49,$NN$49/$NT$49)),0)</f>
        <v/>
      </c>
      <c r="LO49" s="402">
        <f>IF(AND(323&gt;=$NR$49,323&lt;=$NS$49),IF($NP$49="Single_Point",IF(323=$NR$49,$NN$49,0),IF($NP$49="Bell_Curve",$NN$49*(323-$NR$49+1)*($NS$49-323+1)/$NU$49,$NN$49/$NT$49)),0)</f>
        <v/>
      </c>
      <c r="LP49" s="402">
        <f>IF(AND(324&gt;=$NR$49,324&lt;=$NS$49),IF($NP$49="Single_Point",IF(324=$NR$49,$NN$49,0),IF($NP$49="Bell_Curve",$NN$49*(324-$NR$49+1)*($NS$49-324+1)/$NU$49,$NN$49/$NT$49)),0)</f>
        <v/>
      </c>
      <c r="LQ49" s="402">
        <f>IF(AND(325&gt;=$NR$49,325&lt;=$NS$49),IF($NP$49="Single_Point",IF(325=$NR$49,$NN$49,0),IF($NP$49="Bell_Curve",$NN$49*(325-$NR$49+1)*($NS$49-325+1)/$NU$49,$NN$49/$NT$49)),0)</f>
        <v/>
      </c>
      <c r="LR49" s="402">
        <f>IF(AND(326&gt;=$NR$49,326&lt;=$NS$49),IF($NP$49="Single_Point",IF(326=$NR$49,$NN$49,0),IF($NP$49="Bell_Curve",$NN$49*(326-$NR$49+1)*($NS$49-326+1)/$NU$49,$NN$49/$NT$49)),0)</f>
        <v/>
      </c>
      <c r="LS49" s="402">
        <f>IF(AND(327&gt;=$NR$49,327&lt;=$NS$49),IF($NP$49="Single_Point",IF(327=$NR$49,$NN$49,0),IF($NP$49="Bell_Curve",$NN$49*(327-$NR$49+1)*($NS$49-327+1)/$NU$49,$NN$49/$NT$49)),0)</f>
        <v/>
      </c>
      <c r="LT49" s="402">
        <f>IF(AND(328&gt;=$NR$49,328&lt;=$NS$49),IF($NP$49="Single_Point",IF(328=$NR$49,$NN$49,0),IF($NP$49="Bell_Curve",$NN$49*(328-$NR$49+1)*($NS$49-328+1)/$NU$49,$NN$49/$NT$49)),0)</f>
        <v/>
      </c>
      <c r="LU49" s="402">
        <f>IF(AND(329&gt;=$NR$49,329&lt;=$NS$49),IF($NP$49="Single_Point",IF(329=$NR$49,$NN$49,0),IF($NP$49="Bell_Curve",$NN$49*(329-$NR$49+1)*($NS$49-329+1)/$NU$49,$NN$49/$NT$49)),0)</f>
        <v/>
      </c>
      <c r="LV49" s="402">
        <f>IF(AND(330&gt;=$NR$49,330&lt;=$NS$49),IF($NP$49="Single_Point",IF(330=$NR$49,$NN$49,0),IF($NP$49="Bell_Curve",$NN$49*(330-$NR$49+1)*($NS$49-330+1)/$NU$49,$NN$49/$NT$49)),0)</f>
        <v/>
      </c>
      <c r="LW49" s="402">
        <f>IF(AND(331&gt;=$NR$49,331&lt;=$NS$49),IF($NP$49="Single_Point",IF(331=$NR$49,$NN$49,0),IF($NP$49="Bell_Curve",$NN$49*(331-$NR$49+1)*($NS$49-331+1)/$NU$49,$NN$49/$NT$49)),0)</f>
        <v/>
      </c>
      <c r="LX49" s="402">
        <f>IF(AND(332&gt;=$NR$49,332&lt;=$NS$49),IF($NP$49="Single_Point",IF(332=$NR$49,$NN$49,0),IF($NP$49="Bell_Curve",$NN$49*(332-$NR$49+1)*($NS$49-332+1)/$NU$49,$NN$49/$NT$49)),0)</f>
        <v/>
      </c>
      <c r="LY49" s="402">
        <f>IF(AND(333&gt;=$NR$49,333&lt;=$NS$49),IF($NP$49="Single_Point",IF(333=$NR$49,$NN$49,0),IF($NP$49="Bell_Curve",$NN$49*(333-$NR$49+1)*($NS$49-333+1)/$NU$49,$NN$49/$NT$49)),0)</f>
        <v/>
      </c>
      <c r="LZ49" s="402">
        <f>IF(AND(334&gt;=$NR$49,334&lt;=$NS$49),IF($NP$49="Single_Point",IF(334=$NR$49,$NN$49,0),IF($NP$49="Bell_Curve",$NN$49*(334-$NR$49+1)*($NS$49-334+1)/$NU$49,$NN$49/$NT$49)),0)</f>
        <v/>
      </c>
      <c r="MA49" s="402">
        <f>IF(AND(335&gt;=$NR$49,335&lt;=$NS$49),IF($NP$49="Single_Point",IF(335=$NR$49,$NN$49,0),IF($NP$49="Bell_Curve",$NN$49*(335-$NR$49+1)*($NS$49-335+1)/$NU$49,$NN$49/$NT$49)),0)</f>
        <v/>
      </c>
      <c r="MB49" s="402">
        <f>IF(AND(336&gt;=$NR$49,336&lt;=$NS$49),IF($NP$49="Single_Point",IF(336=$NR$49,$NN$49,0),IF($NP$49="Bell_Curve",$NN$49*(336-$NR$49+1)*($NS$49-336+1)/$NU$49,$NN$49/$NT$49)),0)</f>
        <v/>
      </c>
      <c r="MC49" s="402">
        <f>IF(AND(337&gt;=$NR$49,337&lt;=$NS$49),IF($NP$49="Single_Point",IF(337=$NR$49,$NN$49,0),IF($NP$49="Bell_Curve",$NN$49*(337-$NR$49+1)*($NS$49-337+1)/$NU$49,$NN$49/$NT$49)),0)</f>
        <v/>
      </c>
      <c r="MD49" s="402">
        <f>IF(AND(338&gt;=$NR$49,338&lt;=$NS$49),IF($NP$49="Single_Point",IF(338=$NR$49,$NN$49,0),IF($NP$49="Bell_Curve",$NN$49*(338-$NR$49+1)*($NS$49-338+1)/$NU$49,$NN$49/$NT$49)),0)</f>
        <v/>
      </c>
      <c r="ME49" s="402">
        <f>IF(AND(339&gt;=$NR$49,339&lt;=$NS$49),IF($NP$49="Single_Point",IF(339=$NR$49,$NN$49,0),IF($NP$49="Bell_Curve",$NN$49*(339-$NR$49+1)*($NS$49-339+1)/$NU$49,$NN$49/$NT$49)),0)</f>
        <v/>
      </c>
      <c r="MF49" s="402">
        <f>IF(AND(340&gt;=$NR$49,340&lt;=$NS$49),IF($NP$49="Single_Point",IF(340=$NR$49,$NN$49,0),IF($NP$49="Bell_Curve",$NN$49*(340-$NR$49+1)*($NS$49-340+1)/$NU$49,$NN$49/$NT$49)),0)</f>
        <v/>
      </c>
      <c r="MG49" s="402">
        <f>IF(AND(341&gt;=$NR$49,341&lt;=$NS$49),IF($NP$49="Single_Point",IF(341=$NR$49,$NN$49,0),IF($NP$49="Bell_Curve",$NN$49*(341-$NR$49+1)*($NS$49-341+1)/$NU$49,$NN$49/$NT$49)),0)</f>
        <v/>
      </c>
      <c r="MH49" s="402">
        <f>IF(AND(342&gt;=$NR$49,342&lt;=$NS$49),IF($NP$49="Single_Point",IF(342=$NR$49,$NN$49,0),IF($NP$49="Bell_Curve",$NN$49*(342-$NR$49+1)*($NS$49-342+1)/$NU$49,$NN$49/$NT$49)),0)</f>
        <v/>
      </c>
      <c r="MI49" s="402">
        <f>IF(AND(343&gt;=$NR$49,343&lt;=$NS$49),IF($NP$49="Single_Point",IF(343=$NR$49,$NN$49,0),IF($NP$49="Bell_Curve",$NN$49*(343-$NR$49+1)*($NS$49-343+1)/$NU$49,$NN$49/$NT$49)),0)</f>
        <v/>
      </c>
      <c r="MJ49" s="402">
        <f>IF(AND(344&gt;=$NR$49,344&lt;=$NS$49),IF($NP$49="Single_Point",IF(344=$NR$49,$NN$49,0),IF($NP$49="Bell_Curve",$NN$49*(344-$NR$49+1)*($NS$49-344+1)/$NU$49,$NN$49/$NT$49)),0)</f>
        <v/>
      </c>
      <c r="MK49" s="402">
        <f>IF(AND(345&gt;=$NR$49,345&lt;=$NS$49),IF($NP$49="Single_Point",IF(345=$NR$49,$NN$49,0),IF($NP$49="Bell_Curve",$NN$49*(345-$NR$49+1)*($NS$49-345+1)/$NU$49,$NN$49/$NT$49)),0)</f>
        <v/>
      </c>
      <c r="ML49" s="402">
        <f>IF(AND(346&gt;=$NR$49,346&lt;=$NS$49),IF($NP$49="Single_Point",IF(346=$NR$49,$NN$49,0),IF($NP$49="Bell_Curve",$NN$49*(346-$NR$49+1)*($NS$49-346+1)/$NU$49,$NN$49/$NT$49)),0)</f>
        <v/>
      </c>
      <c r="MM49" s="402">
        <f>IF(AND(347&gt;=$NR$49,347&lt;=$NS$49),IF($NP$49="Single_Point",IF(347=$NR$49,$NN$49,0),IF($NP$49="Bell_Curve",$NN$49*(347-$NR$49+1)*($NS$49-347+1)/$NU$49,$NN$49/$NT$49)),0)</f>
        <v/>
      </c>
      <c r="MN49" s="402">
        <f>IF(AND(348&gt;=$NR$49,348&lt;=$NS$49),IF($NP$49="Single_Point",IF(348=$NR$49,$NN$49,0),IF($NP$49="Bell_Curve",$NN$49*(348-$NR$49+1)*($NS$49-348+1)/$NU$49,$NN$49/$NT$49)),0)</f>
        <v/>
      </c>
      <c r="MO49" s="402">
        <f>IF(AND(349&gt;=$NR$49,349&lt;=$NS$49),IF($NP$49="Single_Point",IF(349=$NR$49,$NN$49,0),IF($NP$49="Bell_Curve",$NN$49*(349-$NR$49+1)*($NS$49-349+1)/$NU$49,$NN$49/$NT$49)),0)</f>
        <v/>
      </c>
      <c r="MP49" s="402">
        <f>IF(AND(350&gt;=$NR$49,350&lt;=$NS$49),IF($NP$49="Single_Point",IF(350=$NR$49,$NN$49,0),IF($NP$49="Bell_Curve",$NN$49*(350-$NR$49+1)*($NS$49-350+1)/$NU$49,$NN$49/$NT$49)),0)</f>
        <v/>
      </c>
      <c r="MQ49" s="402">
        <f>IF(AND(351&gt;=$NR$49,351&lt;=$NS$49),IF($NP$49="Single_Point",IF(351=$NR$49,$NN$49,0),IF($NP$49="Bell_Curve",$NN$49*(351-$NR$49+1)*($NS$49-351+1)/$NU$49,$NN$49/$NT$49)),0)</f>
        <v/>
      </c>
      <c r="MR49" s="402">
        <f>IF(AND(352&gt;=$NR$49,352&lt;=$NS$49),IF($NP$49="Single_Point",IF(352=$NR$49,$NN$49,0),IF($NP$49="Bell_Curve",$NN$49*(352-$NR$49+1)*($NS$49-352+1)/$NU$49,$NN$49/$NT$49)),0)</f>
        <v/>
      </c>
      <c r="MS49" s="402">
        <f>IF(AND(353&gt;=$NR$49,353&lt;=$NS$49),IF($NP$49="Single_Point",IF(353=$NR$49,$NN$49,0),IF($NP$49="Bell_Curve",$NN$49*(353-$NR$49+1)*($NS$49-353+1)/$NU$49,$NN$49/$NT$49)),0)</f>
        <v/>
      </c>
      <c r="MT49" s="402">
        <f>IF(AND(354&gt;=$NR$49,354&lt;=$NS$49),IF($NP$49="Single_Point",IF(354=$NR$49,$NN$49,0),IF($NP$49="Bell_Curve",$NN$49*(354-$NR$49+1)*($NS$49-354+1)/$NU$49,$NN$49/$NT$49)),0)</f>
        <v/>
      </c>
      <c r="MU49" s="402">
        <f>IF(AND(355&gt;=$NR$49,355&lt;=$NS$49),IF($NP$49="Single_Point",IF(355=$NR$49,$NN$49,0),IF($NP$49="Bell_Curve",$NN$49*(355-$NR$49+1)*($NS$49-355+1)/$NU$49,$NN$49/$NT$49)),0)</f>
        <v/>
      </c>
      <c r="MV49" s="402">
        <f>IF(AND(356&gt;=$NR$49,356&lt;=$NS$49),IF($NP$49="Single_Point",IF(356=$NR$49,$NN$49,0),IF($NP$49="Bell_Curve",$NN$49*(356-$NR$49+1)*($NS$49-356+1)/$NU$49,$NN$49/$NT$49)),0)</f>
        <v/>
      </c>
      <c r="MW49" s="402">
        <f>IF(AND(357&gt;=$NR$49,357&lt;=$NS$49),IF($NP$49="Single_Point",IF(357=$NR$49,$NN$49,0),IF($NP$49="Bell_Curve",$NN$49*(357-$NR$49+1)*($NS$49-357+1)/$NU$49,$NN$49/$NT$49)),0)</f>
        <v/>
      </c>
      <c r="MX49" s="402">
        <f>IF(AND(358&gt;=$NR$49,358&lt;=$NS$49),IF($NP$49="Single_Point",IF(358=$NR$49,$NN$49,0),IF($NP$49="Bell_Curve",$NN$49*(358-$NR$49+1)*($NS$49-358+1)/$NU$49,$NN$49/$NT$49)),0)</f>
        <v/>
      </c>
      <c r="MY49" s="402">
        <f>IF(AND(359&gt;=$NR$49,359&lt;=$NS$49),IF($NP$49="Single_Point",IF(359=$NR$49,$NN$49,0),IF($NP$49="Bell_Curve",$NN$49*(359-$NR$49+1)*($NS$49-359+1)/$NU$49,$NN$49/$NT$49)),0)</f>
        <v/>
      </c>
      <c r="MZ49" s="402">
        <f>IF(AND(360&gt;=$NR$49,360&lt;=$NS$49),IF($NP$49="Single_Point",IF(360=$NR$49,$NN$49,0),IF($NP$49="Bell_Curve",$NN$49*(360-$NR$49+1)*($NS$49-360+1)/$NU$49,$NN$49/$NT$49)),0)</f>
        <v/>
      </c>
      <c r="NA49" s="402">
        <f>IF(AND(361&gt;=$NR$49,361&lt;=$NS$49),IF($NP$49="Single_Point",IF(361=$NR$49,$NN$49,0),IF($NP$49="Bell_Curve",$NN$49*(361-$NR$49+1)*($NS$49-361+1)/$NU$49,$NN$49/$NT$49)),0)</f>
        <v/>
      </c>
      <c r="NB49" s="402">
        <f>IF(AND(362&gt;=$NR$49,362&lt;=$NS$49),IF($NP$49="Single_Point",IF(362=$NR$49,$NN$49,0),IF($NP$49="Bell_Curve",$NN$49*(362-$NR$49+1)*($NS$49-362+1)/$NU$49,$NN$49/$NT$49)),0)</f>
        <v/>
      </c>
      <c r="NC49" s="402">
        <f>IF(AND(363&gt;=$NR$49,363&lt;=$NS$49),IF($NP$49="Single_Point",IF(363=$NR$49,$NN$49,0),IF($NP$49="Bell_Curve",$NN$49*(363-$NR$49+1)*($NS$49-363+1)/$NU$49,$NN$49/$NT$49)),0)</f>
        <v/>
      </c>
      <c r="ND49" s="402">
        <f>IF(AND(364&gt;=$NR$49,364&lt;=$NS$49),IF($NP$49="Single_Point",IF(364=$NR$49,$NN$49,0),IF($NP$49="Bell_Curve",$NN$49*(364-$NR$49+1)*($NS$49-364+1)/$NU$49,$NN$49/$NT$49)),0)</f>
        <v/>
      </c>
      <c r="NE49" s="402">
        <f>IF(AND(365&gt;=$NR$49,365&lt;=$NS$49),IF($NP$49="Single_Point",IF(365=$NR$49,$NN$49,0),IF($NP$49="Bell_Curve",$NN$49*(365-$NR$49+1)*($NS$49-365+1)/$NU$49,$NN$49/$NT$49)),0)</f>
        <v/>
      </c>
      <c r="NF49" s="402">
        <f>IF(AND(366&gt;=$NR$49,366&lt;=$NS$49),IF($NP$49="Single_Point",IF(366=$NR$49,$NN$49,0),IF($NP$49="Bell_Curve",$NN$49*(366-$NR$49+1)*($NS$49-366+1)/$NU$49,$NN$49/$NT$49)),0)</f>
        <v/>
      </c>
      <c r="NG49" s="402">
        <f>IF(AND(367&gt;=$NR$49,367&lt;=$NS$49),IF($NP$49="Single_Point",IF(367=$NR$49,$NN$49,0),IF($NP$49="Bell_Curve",$NN$49*(367-$NR$49+1)*($NS$49-367+1)/$NU$49,$NN$49/$NT$49)),0)</f>
        <v/>
      </c>
      <c r="NH49" s="402">
        <f>IF(AND(368&gt;=$NR$49,368&lt;=$NS$49),IF($NP$49="Single_Point",IF(368=$NR$49,$NN$49,0),IF($NP$49="Bell_Curve",$NN$49*(368-$NR$49+1)*($NS$49-368+1)/$NU$49,$NN$49/$NT$49)),0)</f>
        <v/>
      </c>
      <c r="NI49" s="402">
        <f>IF(AND(369&gt;=$NR$49,369&lt;=$NS$49),IF($NP$49="Single_Point",IF(369=$NR$49,$NN$49,0),IF($NP$49="Bell_Curve",$NN$49*(369-$NR$49+1)*($NS$49-369+1)/$NU$49,$NN$49/$NT$49)),0)</f>
        <v/>
      </c>
      <c r="NJ49" s="402">
        <f>IF(AND(370&gt;=$NR$49,370&lt;=$NS$49),IF($NP$49="Single_Point",IF(370=$NR$49,$NN$49,0),IF($NP$49="Bell_Curve",$NN$49*(370-$NR$49+1)*($NS$49-370+1)/$NU$49,$NN$49/$NT$49)),0)</f>
        <v/>
      </c>
      <c r="NK49" s="402">
        <f>IF(AND(371&gt;=$NR$49,371&lt;=$NS$49),IF($NP$49="Single_Point",IF(371=$NR$49,$NN$49,0),IF($NP$49="Bell_Curve",$NN$49*(371-$NR$49+1)*($NS$49-371+1)/$NU$49,$NN$49/$NT$49)),0)</f>
        <v/>
      </c>
      <c r="NL49" s="402">
        <f>IF(AND(372&gt;=$NR$49,372&lt;=$NS$49),IF($NP$49="Single_Point",IF(372=$NR$49,$NN$49,0),IF($NP$49="Bell_Curve",$NN$49*(372-$NR$49+1)*($NS$49-372+1)/$NU$49,$NN$49/$NT$49)),0)</f>
        <v/>
      </c>
      <c r="NM49">
        <f>Budget!C48</f>
        <v/>
      </c>
      <c r="NN49">
        <f>Budget!J48</f>
        <v/>
      </c>
      <c r="NO49">
        <f>Budget!G48</f>
        <v/>
      </c>
      <c r="NP49">
        <f>Budget!H48</f>
        <v/>
      </c>
      <c r="NQ49">
        <f>Budget!I48</f>
        <v/>
      </c>
      <c r="NR49">
        <f>MAX(1,MIN(372,INDEX(MilestoneStart,MATCH(NO49,MilestoneNames,0))+NQ49))</f>
        <v/>
      </c>
      <c r="NS49">
        <f>MAX(NR49,MIN(372,INDEX(MilestoneEnd,MATCH(NO49,MilestoneNames,0))+NQ49))</f>
        <v/>
      </c>
      <c r="NT49">
        <f>NS49-NR49+1</f>
        <v/>
      </c>
      <c r="NU49">
        <f>NT49*(NT49+1)*(NT49+2)/6</f>
        <v/>
      </c>
    </row>
    <row r="50">
      <c r="B50" s="316">
        <f>Budget!B49</f>
        <v/>
      </c>
      <c r="D50" s="402">
        <f>SUM(E50:NL50)</f>
        <v/>
      </c>
      <c r="E50" s="402">
        <f>IF(AND(1&gt;=$NR$50,1&lt;=$NS$50),IF($NP$50="Single_Point",IF(1=$NR$50,$NN$50,0),IF($NP$50="Bell_Curve",$NN$50*(1-$NR$50+1)*($NS$50-1+1)/$NU$50,$NN$50/$NT$50)),0)</f>
        <v/>
      </c>
      <c r="F50" s="402">
        <f>IF(AND(2&gt;=$NR$50,2&lt;=$NS$50),IF($NP$50="Single_Point",IF(2=$NR$50,$NN$50,0),IF($NP$50="Bell_Curve",$NN$50*(2-$NR$50+1)*($NS$50-2+1)/$NU$50,$NN$50/$NT$50)),0)</f>
        <v/>
      </c>
      <c r="G50" s="402">
        <f>IF(AND(3&gt;=$NR$50,3&lt;=$NS$50),IF($NP$50="Single_Point",IF(3=$NR$50,$NN$50,0),IF($NP$50="Bell_Curve",$NN$50*(3-$NR$50+1)*($NS$50-3+1)/$NU$50,$NN$50/$NT$50)),0)</f>
        <v/>
      </c>
      <c r="H50" s="402">
        <f>IF(AND(4&gt;=$NR$50,4&lt;=$NS$50),IF($NP$50="Single_Point",IF(4=$NR$50,$NN$50,0),IF($NP$50="Bell_Curve",$NN$50*(4-$NR$50+1)*($NS$50-4+1)/$NU$50,$NN$50/$NT$50)),0)</f>
        <v/>
      </c>
      <c r="I50" s="402">
        <f>IF(AND(5&gt;=$NR$50,5&lt;=$NS$50),IF($NP$50="Single_Point",IF(5=$NR$50,$NN$50,0),IF($NP$50="Bell_Curve",$NN$50*(5-$NR$50+1)*($NS$50-5+1)/$NU$50,$NN$50/$NT$50)),0)</f>
        <v/>
      </c>
      <c r="J50" s="402">
        <f>IF(AND(6&gt;=$NR$50,6&lt;=$NS$50),IF($NP$50="Single_Point",IF(6=$NR$50,$NN$50,0),IF($NP$50="Bell_Curve",$NN$50*(6-$NR$50+1)*($NS$50-6+1)/$NU$50,$NN$50/$NT$50)),0)</f>
        <v/>
      </c>
      <c r="K50" s="402">
        <f>IF(AND(7&gt;=$NR$50,7&lt;=$NS$50),IF($NP$50="Single_Point",IF(7=$NR$50,$NN$50,0),IF($NP$50="Bell_Curve",$NN$50*(7-$NR$50+1)*($NS$50-7+1)/$NU$50,$NN$50/$NT$50)),0)</f>
        <v/>
      </c>
      <c r="L50" s="402">
        <f>IF(AND(8&gt;=$NR$50,8&lt;=$NS$50),IF($NP$50="Single_Point",IF(8=$NR$50,$NN$50,0),IF($NP$50="Bell_Curve",$NN$50*(8-$NR$50+1)*($NS$50-8+1)/$NU$50,$NN$50/$NT$50)),0)</f>
        <v/>
      </c>
      <c r="M50" s="402">
        <f>IF(AND(9&gt;=$NR$50,9&lt;=$NS$50),IF($NP$50="Single_Point",IF(9=$NR$50,$NN$50,0),IF($NP$50="Bell_Curve",$NN$50*(9-$NR$50+1)*($NS$50-9+1)/$NU$50,$NN$50/$NT$50)),0)</f>
        <v/>
      </c>
      <c r="N50" s="402">
        <f>IF(AND(10&gt;=$NR$50,10&lt;=$NS$50),IF($NP$50="Single_Point",IF(10=$NR$50,$NN$50,0),IF($NP$50="Bell_Curve",$NN$50*(10-$NR$50+1)*($NS$50-10+1)/$NU$50,$NN$50/$NT$50)),0)</f>
        <v/>
      </c>
      <c r="O50" s="402">
        <f>IF(AND(11&gt;=$NR$50,11&lt;=$NS$50),IF($NP$50="Single_Point",IF(11=$NR$50,$NN$50,0),IF($NP$50="Bell_Curve",$NN$50*(11-$NR$50+1)*($NS$50-11+1)/$NU$50,$NN$50/$NT$50)),0)</f>
        <v/>
      </c>
      <c r="P50" s="402">
        <f>IF(AND(12&gt;=$NR$50,12&lt;=$NS$50),IF($NP$50="Single_Point",IF(12=$NR$50,$NN$50,0),IF($NP$50="Bell_Curve",$NN$50*(12-$NR$50+1)*($NS$50-12+1)/$NU$50,$NN$50/$NT$50)),0)</f>
        <v/>
      </c>
      <c r="Q50" s="402">
        <f>IF(AND(13&gt;=$NR$50,13&lt;=$NS$50),IF($NP$50="Single_Point",IF(13=$NR$50,$NN$50,0),IF($NP$50="Bell_Curve",$NN$50*(13-$NR$50+1)*($NS$50-13+1)/$NU$50,$NN$50/$NT$50)),0)</f>
        <v/>
      </c>
      <c r="R50" s="402">
        <f>IF(AND(14&gt;=$NR$50,14&lt;=$NS$50),IF($NP$50="Single_Point",IF(14=$NR$50,$NN$50,0),IF($NP$50="Bell_Curve",$NN$50*(14-$NR$50+1)*($NS$50-14+1)/$NU$50,$NN$50/$NT$50)),0)</f>
        <v/>
      </c>
      <c r="S50" s="402">
        <f>IF(AND(15&gt;=$NR$50,15&lt;=$NS$50),IF($NP$50="Single_Point",IF(15=$NR$50,$NN$50,0),IF($NP$50="Bell_Curve",$NN$50*(15-$NR$50+1)*($NS$50-15+1)/$NU$50,$NN$50/$NT$50)),0)</f>
        <v/>
      </c>
      <c r="T50" s="402">
        <f>IF(AND(16&gt;=$NR$50,16&lt;=$NS$50),IF($NP$50="Single_Point",IF(16=$NR$50,$NN$50,0),IF($NP$50="Bell_Curve",$NN$50*(16-$NR$50+1)*($NS$50-16+1)/$NU$50,$NN$50/$NT$50)),0)</f>
        <v/>
      </c>
      <c r="U50" s="402">
        <f>IF(AND(17&gt;=$NR$50,17&lt;=$NS$50),IF($NP$50="Single_Point",IF(17=$NR$50,$NN$50,0),IF($NP$50="Bell_Curve",$NN$50*(17-$NR$50+1)*($NS$50-17+1)/$NU$50,$NN$50/$NT$50)),0)</f>
        <v/>
      </c>
      <c r="V50" s="402">
        <f>IF(AND(18&gt;=$NR$50,18&lt;=$NS$50),IF($NP$50="Single_Point",IF(18=$NR$50,$NN$50,0),IF($NP$50="Bell_Curve",$NN$50*(18-$NR$50+1)*($NS$50-18+1)/$NU$50,$NN$50/$NT$50)),0)</f>
        <v/>
      </c>
      <c r="W50" s="402">
        <f>IF(AND(19&gt;=$NR$50,19&lt;=$NS$50),IF($NP$50="Single_Point",IF(19=$NR$50,$NN$50,0),IF($NP$50="Bell_Curve",$NN$50*(19-$NR$50+1)*($NS$50-19+1)/$NU$50,$NN$50/$NT$50)),0)</f>
        <v/>
      </c>
      <c r="X50" s="402">
        <f>IF(AND(20&gt;=$NR$50,20&lt;=$NS$50),IF($NP$50="Single_Point",IF(20=$NR$50,$NN$50,0),IF($NP$50="Bell_Curve",$NN$50*(20-$NR$50+1)*($NS$50-20+1)/$NU$50,$NN$50/$NT$50)),0)</f>
        <v/>
      </c>
      <c r="Y50" s="402">
        <f>IF(AND(21&gt;=$NR$50,21&lt;=$NS$50),IF($NP$50="Single_Point",IF(21=$NR$50,$NN$50,0),IF($NP$50="Bell_Curve",$NN$50*(21-$NR$50+1)*($NS$50-21+1)/$NU$50,$NN$50/$NT$50)),0)</f>
        <v/>
      </c>
      <c r="Z50" s="402">
        <f>IF(AND(22&gt;=$NR$50,22&lt;=$NS$50),IF($NP$50="Single_Point",IF(22=$NR$50,$NN$50,0),IF($NP$50="Bell_Curve",$NN$50*(22-$NR$50+1)*($NS$50-22+1)/$NU$50,$NN$50/$NT$50)),0)</f>
        <v/>
      </c>
      <c r="AA50" s="402">
        <f>IF(AND(23&gt;=$NR$50,23&lt;=$NS$50),IF($NP$50="Single_Point",IF(23=$NR$50,$NN$50,0),IF($NP$50="Bell_Curve",$NN$50*(23-$NR$50+1)*($NS$50-23+1)/$NU$50,$NN$50/$NT$50)),0)</f>
        <v/>
      </c>
      <c r="AB50" s="402">
        <f>IF(AND(24&gt;=$NR$50,24&lt;=$NS$50),IF($NP$50="Single_Point",IF(24=$NR$50,$NN$50,0),IF($NP$50="Bell_Curve",$NN$50*(24-$NR$50+1)*($NS$50-24+1)/$NU$50,$NN$50/$NT$50)),0)</f>
        <v/>
      </c>
      <c r="AC50" s="402">
        <f>IF(AND(25&gt;=$NR$50,25&lt;=$NS$50),IF($NP$50="Single_Point",IF(25=$NR$50,$NN$50,0),IF($NP$50="Bell_Curve",$NN$50*(25-$NR$50+1)*($NS$50-25+1)/$NU$50,$NN$50/$NT$50)),0)</f>
        <v/>
      </c>
      <c r="AD50" s="402">
        <f>IF(AND(26&gt;=$NR$50,26&lt;=$NS$50),IF($NP$50="Single_Point",IF(26=$NR$50,$NN$50,0),IF($NP$50="Bell_Curve",$NN$50*(26-$NR$50+1)*($NS$50-26+1)/$NU$50,$NN$50/$NT$50)),0)</f>
        <v/>
      </c>
      <c r="AE50" s="402">
        <f>IF(AND(27&gt;=$NR$50,27&lt;=$NS$50),IF($NP$50="Single_Point",IF(27=$NR$50,$NN$50,0),IF($NP$50="Bell_Curve",$NN$50*(27-$NR$50+1)*($NS$50-27+1)/$NU$50,$NN$50/$NT$50)),0)</f>
        <v/>
      </c>
      <c r="AF50" s="402">
        <f>IF(AND(28&gt;=$NR$50,28&lt;=$NS$50),IF($NP$50="Single_Point",IF(28=$NR$50,$NN$50,0),IF($NP$50="Bell_Curve",$NN$50*(28-$NR$50+1)*($NS$50-28+1)/$NU$50,$NN$50/$NT$50)),0)</f>
        <v/>
      </c>
      <c r="AG50" s="402">
        <f>IF(AND(29&gt;=$NR$50,29&lt;=$NS$50),IF($NP$50="Single_Point",IF(29=$NR$50,$NN$50,0),IF($NP$50="Bell_Curve",$NN$50*(29-$NR$50+1)*($NS$50-29+1)/$NU$50,$NN$50/$NT$50)),0)</f>
        <v/>
      </c>
      <c r="AH50" s="402">
        <f>IF(AND(30&gt;=$NR$50,30&lt;=$NS$50),IF($NP$50="Single_Point",IF(30=$NR$50,$NN$50,0),IF($NP$50="Bell_Curve",$NN$50*(30-$NR$50+1)*($NS$50-30+1)/$NU$50,$NN$50/$NT$50)),0)</f>
        <v/>
      </c>
      <c r="AI50" s="402">
        <f>IF(AND(31&gt;=$NR$50,31&lt;=$NS$50),IF($NP$50="Single_Point",IF(31=$NR$50,$NN$50,0),IF($NP$50="Bell_Curve",$NN$50*(31-$NR$50+1)*($NS$50-31+1)/$NU$50,$NN$50/$NT$50)),0)</f>
        <v/>
      </c>
      <c r="AJ50" s="402">
        <f>IF(AND(32&gt;=$NR$50,32&lt;=$NS$50),IF($NP$50="Single_Point",IF(32=$NR$50,$NN$50,0),IF($NP$50="Bell_Curve",$NN$50*(32-$NR$50+1)*($NS$50-32+1)/$NU$50,$NN$50/$NT$50)),0)</f>
        <v/>
      </c>
      <c r="AK50" s="402">
        <f>IF(AND(33&gt;=$NR$50,33&lt;=$NS$50),IF($NP$50="Single_Point",IF(33=$NR$50,$NN$50,0),IF($NP$50="Bell_Curve",$NN$50*(33-$NR$50+1)*($NS$50-33+1)/$NU$50,$NN$50/$NT$50)),0)</f>
        <v/>
      </c>
      <c r="AL50" s="402">
        <f>IF(AND(34&gt;=$NR$50,34&lt;=$NS$50),IF($NP$50="Single_Point",IF(34=$NR$50,$NN$50,0),IF($NP$50="Bell_Curve",$NN$50*(34-$NR$50+1)*($NS$50-34+1)/$NU$50,$NN$50/$NT$50)),0)</f>
        <v/>
      </c>
      <c r="AM50" s="402">
        <f>IF(AND(35&gt;=$NR$50,35&lt;=$NS$50),IF($NP$50="Single_Point",IF(35=$NR$50,$NN$50,0),IF($NP$50="Bell_Curve",$NN$50*(35-$NR$50+1)*($NS$50-35+1)/$NU$50,$NN$50/$NT$50)),0)</f>
        <v/>
      </c>
      <c r="AN50" s="402">
        <f>IF(AND(36&gt;=$NR$50,36&lt;=$NS$50),IF($NP$50="Single_Point",IF(36=$NR$50,$NN$50,0),IF($NP$50="Bell_Curve",$NN$50*(36-$NR$50+1)*($NS$50-36+1)/$NU$50,$NN$50/$NT$50)),0)</f>
        <v/>
      </c>
      <c r="AO50" s="402">
        <f>IF(AND(37&gt;=$NR$50,37&lt;=$NS$50),IF($NP$50="Single_Point",IF(37=$NR$50,$NN$50,0),IF($NP$50="Bell_Curve",$NN$50*(37-$NR$50+1)*($NS$50-37+1)/$NU$50,$NN$50/$NT$50)),0)</f>
        <v/>
      </c>
      <c r="AP50" s="402">
        <f>IF(AND(38&gt;=$NR$50,38&lt;=$NS$50),IF($NP$50="Single_Point",IF(38=$NR$50,$NN$50,0),IF($NP$50="Bell_Curve",$NN$50*(38-$NR$50+1)*($NS$50-38+1)/$NU$50,$NN$50/$NT$50)),0)</f>
        <v/>
      </c>
      <c r="AQ50" s="402">
        <f>IF(AND(39&gt;=$NR$50,39&lt;=$NS$50),IF($NP$50="Single_Point",IF(39=$NR$50,$NN$50,0),IF($NP$50="Bell_Curve",$NN$50*(39-$NR$50+1)*($NS$50-39+1)/$NU$50,$NN$50/$NT$50)),0)</f>
        <v/>
      </c>
      <c r="AR50" s="402">
        <f>IF(AND(40&gt;=$NR$50,40&lt;=$NS$50),IF($NP$50="Single_Point",IF(40=$NR$50,$NN$50,0),IF($NP$50="Bell_Curve",$NN$50*(40-$NR$50+1)*($NS$50-40+1)/$NU$50,$NN$50/$NT$50)),0)</f>
        <v/>
      </c>
      <c r="AS50" s="402">
        <f>IF(AND(41&gt;=$NR$50,41&lt;=$NS$50),IF($NP$50="Single_Point",IF(41=$NR$50,$NN$50,0),IF($NP$50="Bell_Curve",$NN$50*(41-$NR$50+1)*($NS$50-41+1)/$NU$50,$NN$50/$NT$50)),0)</f>
        <v/>
      </c>
      <c r="AT50" s="402">
        <f>IF(AND(42&gt;=$NR$50,42&lt;=$NS$50),IF($NP$50="Single_Point",IF(42=$NR$50,$NN$50,0),IF($NP$50="Bell_Curve",$NN$50*(42-$NR$50+1)*($NS$50-42+1)/$NU$50,$NN$50/$NT$50)),0)</f>
        <v/>
      </c>
      <c r="AU50" s="402">
        <f>IF(AND(43&gt;=$NR$50,43&lt;=$NS$50),IF($NP$50="Single_Point",IF(43=$NR$50,$NN$50,0),IF($NP$50="Bell_Curve",$NN$50*(43-$NR$50+1)*($NS$50-43+1)/$NU$50,$NN$50/$NT$50)),0)</f>
        <v/>
      </c>
      <c r="AV50" s="402">
        <f>IF(AND(44&gt;=$NR$50,44&lt;=$NS$50),IF($NP$50="Single_Point",IF(44=$NR$50,$NN$50,0),IF($NP$50="Bell_Curve",$NN$50*(44-$NR$50+1)*($NS$50-44+1)/$NU$50,$NN$50/$NT$50)),0)</f>
        <v/>
      </c>
      <c r="AW50" s="402">
        <f>IF(AND(45&gt;=$NR$50,45&lt;=$NS$50),IF($NP$50="Single_Point",IF(45=$NR$50,$NN$50,0),IF($NP$50="Bell_Curve",$NN$50*(45-$NR$50+1)*($NS$50-45+1)/$NU$50,$NN$50/$NT$50)),0)</f>
        <v/>
      </c>
      <c r="AX50" s="402">
        <f>IF(AND(46&gt;=$NR$50,46&lt;=$NS$50),IF($NP$50="Single_Point",IF(46=$NR$50,$NN$50,0),IF($NP$50="Bell_Curve",$NN$50*(46-$NR$50+1)*($NS$50-46+1)/$NU$50,$NN$50/$NT$50)),0)</f>
        <v/>
      </c>
      <c r="AY50" s="402">
        <f>IF(AND(47&gt;=$NR$50,47&lt;=$NS$50),IF($NP$50="Single_Point",IF(47=$NR$50,$NN$50,0),IF($NP$50="Bell_Curve",$NN$50*(47-$NR$50+1)*($NS$50-47+1)/$NU$50,$NN$50/$NT$50)),0)</f>
        <v/>
      </c>
      <c r="AZ50" s="402">
        <f>IF(AND(48&gt;=$NR$50,48&lt;=$NS$50),IF($NP$50="Single_Point",IF(48=$NR$50,$NN$50,0),IF($NP$50="Bell_Curve",$NN$50*(48-$NR$50+1)*($NS$50-48+1)/$NU$50,$NN$50/$NT$50)),0)</f>
        <v/>
      </c>
      <c r="BA50" s="402">
        <f>IF(AND(49&gt;=$NR$50,49&lt;=$NS$50),IF($NP$50="Single_Point",IF(49=$NR$50,$NN$50,0),IF($NP$50="Bell_Curve",$NN$50*(49-$NR$50+1)*($NS$50-49+1)/$NU$50,$NN$50/$NT$50)),0)</f>
        <v/>
      </c>
      <c r="BB50" s="402">
        <f>IF(AND(50&gt;=$NR$50,50&lt;=$NS$50),IF($NP$50="Single_Point",IF(50=$NR$50,$NN$50,0),IF($NP$50="Bell_Curve",$NN$50*(50-$NR$50+1)*($NS$50-50+1)/$NU$50,$NN$50/$NT$50)),0)</f>
        <v/>
      </c>
      <c r="BC50" s="402">
        <f>IF(AND(51&gt;=$NR$50,51&lt;=$NS$50),IF($NP$50="Single_Point",IF(51=$NR$50,$NN$50,0),IF($NP$50="Bell_Curve",$NN$50*(51-$NR$50+1)*($NS$50-51+1)/$NU$50,$NN$50/$NT$50)),0)</f>
        <v/>
      </c>
      <c r="BD50" s="402">
        <f>IF(AND(52&gt;=$NR$50,52&lt;=$NS$50),IF($NP$50="Single_Point",IF(52=$NR$50,$NN$50,0),IF($NP$50="Bell_Curve",$NN$50*(52-$NR$50+1)*($NS$50-52+1)/$NU$50,$NN$50/$NT$50)),0)</f>
        <v/>
      </c>
      <c r="BE50" s="402">
        <f>IF(AND(53&gt;=$NR$50,53&lt;=$NS$50),IF($NP$50="Single_Point",IF(53=$NR$50,$NN$50,0),IF($NP$50="Bell_Curve",$NN$50*(53-$NR$50+1)*($NS$50-53+1)/$NU$50,$NN$50/$NT$50)),0)</f>
        <v/>
      </c>
      <c r="BF50" s="402">
        <f>IF(AND(54&gt;=$NR$50,54&lt;=$NS$50),IF($NP$50="Single_Point",IF(54=$NR$50,$NN$50,0),IF($NP$50="Bell_Curve",$NN$50*(54-$NR$50+1)*($NS$50-54+1)/$NU$50,$NN$50/$NT$50)),0)</f>
        <v/>
      </c>
      <c r="BG50" s="402">
        <f>IF(AND(55&gt;=$NR$50,55&lt;=$NS$50),IF($NP$50="Single_Point",IF(55=$NR$50,$NN$50,0),IF($NP$50="Bell_Curve",$NN$50*(55-$NR$50+1)*($NS$50-55+1)/$NU$50,$NN$50/$NT$50)),0)</f>
        <v/>
      </c>
      <c r="BH50" s="402">
        <f>IF(AND(56&gt;=$NR$50,56&lt;=$NS$50),IF($NP$50="Single_Point",IF(56=$NR$50,$NN$50,0),IF($NP$50="Bell_Curve",$NN$50*(56-$NR$50+1)*($NS$50-56+1)/$NU$50,$NN$50/$NT$50)),0)</f>
        <v/>
      </c>
      <c r="BI50" s="402">
        <f>IF(AND(57&gt;=$NR$50,57&lt;=$NS$50),IF($NP$50="Single_Point",IF(57=$NR$50,$NN$50,0),IF($NP$50="Bell_Curve",$NN$50*(57-$NR$50+1)*($NS$50-57+1)/$NU$50,$NN$50/$NT$50)),0)</f>
        <v/>
      </c>
      <c r="BJ50" s="402">
        <f>IF(AND(58&gt;=$NR$50,58&lt;=$NS$50),IF($NP$50="Single_Point",IF(58=$NR$50,$NN$50,0),IF($NP$50="Bell_Curve",$NN$50*(58-$NR$50+1)*($NS$50-58+1)/$NU$50,$NN$50/$NT$50)),0)</f>
        <v/>
      </c>
      <c r="BK50" s="402">
        <f>IF(AND(59&gt;=$NR$50,59&lt;=$NS$50),IF($NP$50="Single_Point",IF(59=$NR$50,$NN$50,0),IF($NP$50="Bell_Curve",$NN$50*(59-$NR$50+1)*($NS$50-59+1)/$NU$50,$NN$50/$NT$50)),0)</f>
        <v/>
      </c>
      <c r="BL50" s="402">
        <f>IF(AND(60&gt;=$NR$50,60&lt;=$NS$50),IF($NP$50="Single_Point",IF(60=$NR$50,$NN$50,0),IF($NP$50="Bell_Curve",$NN$50*(60-$NR$50+1)*($NS$50-60+1)/$NU$50,$NN$50/$NT$50)),0)</f>
        <v/>
      </c>
      <c r="BM50" s="402">
        <f>IF(AND(61&gt;=$NR$50,61&lt;=$NS$50),IF($NP$50="Single_Point",IF(61=$NR$50,$NN$50,0),IF($NP$50="Bell_Curve",$NN$50*(61-$NR$50+1)*($NS$50-61+1)/$NU$50,$NN$50/$NT$50)),0)</f>
        <v/>
      </c>
      <c r="BN50" s="402">
        <f>IF(AND(62&gt;=$NR$50,62&lt;=$NS$50),IF($NP$50="Single_Point",IF(62=$NR$50,$NN$50,0),IF($NP$50="Bell_Curve",$NN$50*(62-$NR$50+1)*($NS$50-62+1)/$NU$50,$NN$50/$NT$50)),0)</f>
        <v/>
      </c>
      <c r="BO50" s="402">
        <f>IF(AND(63&gt;=$NR$50,63&lt;=$NS$50),IF($NP$50="Single_Point",IF(63=$NR$50,$NN$50,0),IF($NP$50="Bell_Curve",$NN$50*(63-$NR$50+1)*($NS$50-63+1)/$NU$50,$NN$50/$NT$50)),0)</f>
        <v/>
      </c>
      <c r="BP50" s="402">
        <f>IF(AND(64&gt;=$NR$50,64&lt;=$NS$50),IF($NP$50="Single_Point",IF(64=$NR$50,$NN$50,0),IF($NP$50="Bell_Curve",$NN$50*(64-$NR$50+1)*($NS$50-64+1)/$NU$50,$NN$50/$NT$50)),0)</f>
        <v/>
      </c>
      <c r="BQ50" s="402">
        <f>IF(AND(65&gt;=$NR$50,65&lt;=$NS$50),IF($NP$50="Single_Point",IF(65=$NR$50,$NN$50,0),IF($NP$50="Bell_Curve",$NN$50*(65-$NR$50+1)*($NS$50-65+1)/$NU$50,$NN$50/$NT$50)),0)</f>
        <v/>
      </c>
      <c r="BR50" s="402">
        <f>IF(AND(66&gt;=$NR$50,66&lt;=$NS$50),IF($NP$50="Single_Point",IF(66=$NR$50,$NN$50,0),IF($NP$50="Bell_Curve",$NN$50*(66-$NR$50+1)*($NS$50-66+1)/$NU$50,$NN$50/$NT$50)),0)</f>
        <v/>
      </c>
      <c r="BS50" s="402">
        <f>IF(AND(67&gt;=$NR$50,67&lt;=$NS$50),IF($NP$50="Single_Point",IF(67=$NR$50,$NN$50,0),IF($NP$50="Bell_Curve",$NN$50*(67-$NR$50+1)*($NS$50-67+1)/$NU$50,$NN$50/$NT$50)),0)</f>
        <v/>
      </c>
      <c r="BT50" s="402">
        <f>IF(AND(68&gt;=$NR$50,68&lt;=$NS$50),IF($NP$50="Single_Point",IF(68=$NR$50,$NN$50,0),IF($NP$50="Bell_Curve",$NN$50*(68-$NR$50+1)*($NS$50-68+1)/$NU$50,$NN$50/$NT$50)),0)</f>
        <v/>
      </c>
      <c r="BU50" s="402">
        <f>IF(AND(69&gt;=$NR$50,69&lt;=$NS$50),IF($NP$50="Single_Point",IF(69=$NR$50,$NN$50,0),IF($NP$50="Bell_Curve",$NN$50*(69-$NR$50+1)*($NS$50-69+1)/$NU$50,$NN$50/$NT$50)),0)</f>
        <v/>
      </c>
      <c r="BV50" s="402">
        <f>IF(AND(70&gt;=$NR$50,70&lt;=$NS$50),IF($NP$50="Single_Point",IF(70=$NR$50,$NN$50,0),IF($NP$50="Bell_Curve",$NN$50*(70-$NR$50+1)*($NS$50-70+1)/$NU$50,$NN$50/$NT$50)),0)</f>
        <v/>
      </c>
      <c r="BW50" s="402">
        <f>IF(AND(71&gt;=$NR$50,71&lt;=$NS$50),IF($NP$50="Single_Point",IF(71=$NR$50,$NN$50,0),IF($NP$50="Bell_Curve",$NN$50*(71-$NR$50+1)*($NS$50-71+1)/$NU$50,$NN$50/$NT$50)),0)</f>
        <v/>
      </c>
      <c r="BX50" s="402">
        <f>IF(AND(72&gt;=$NR$50,72&lt;=$NS$50),IF($NP$50="Single_Point",IF(72=$NR$50,$NN$50,0),IF($NP$50="Bell_Curve",$NN$50*(72-$NR$50+1)*($NS$50-72+1)/$NU$50,$NN$50/$NT$50)),0)</f>
        <v/>
      </c>
      <c r="BY50" s="402">
        <f>IF(AND(73&gt;=$NR$50,73&lt;=$NS$50),IF($NP$50="Single_Point",IF(73=$NR$50,$NN$50,0),IF($NP$50="Bell_Curve",$NN$50*(73-$NR$50+1)*($NS$50-73+1)/$NU$50,$NN$50/$NT$50)),0)</f>
        <v/>
      </c>
      <c r="BZ50" s="402">
        <f>IF(AND(74&gt;=$NR$50,74&lt;=$NS$50),IF($NP$50="Single_Point",IF(74=$NR$50,$NN$50,0),IF($NP$50="Bell_Curve",$NN$50*(74-$NR$50+1)*($NS$50-74+1)/$NU$50,$NN$50/$NT$50)),0)</f>
        <v/>
      </c>
      <c r="CA50" s="402">
        <f>IF(AND(75&gt;=$NR$50,75&lt;=$NS$50),IF($NP$50="Single_Point",IF(75=$NR$50,$NN$50,0),IF($NP$50="Bell_Curve",$NN$50*(75-$NR$50+1)*($NS$50-75+1)/$NU$50,$NN$50/$NT$50)),0)</f>
        <v/>
      </c>
      <c r="CB50" s="402">
        <f>IF(AND(76&gt;=$NR$50,76&lt;=$NS$50),IF($NP$50="Single_Point",IF(76=$NR$50,$NN$50,0),IF($NP$50="Bell_Curve",$NN$50*(76-$NR$50+1)*($NS$50-76+1)/$NU$50,$NN$50/$NT$50)),0)</f>
        <v/>
      </c>
      <c r="CC50" s="402">
        <f>IF(AND(77&gt;=$NR$50,77&lt;=$NS$50),IF($NP$50="Single_Point",IF(77=$NR$50,$NN$50,0),IF($NP$50="Bell_Curve",$NN$50*(77-$NR$50+1)*($NS$50-77+1)/$NU$50,$NN$50/$NT$50)),0)</f>
        <v/>
      </c>
      <c r="CD50" s="402">
        <f>IF(AND(78&gt;=$NR$50,78&lt;=$NS$50),IF($NP$50="Single_Point",IF(78=$NR$50,$NN$50,0),IF($NP$50="Bell_Curve",$NN$50*(78-$NR$50+1)*($NS$50-78+1)/$NU$50,$NN$50/$NT$50)),0)</f>
        <v/>
      </c>
      <c r="CE50" s="402">
        <f>IF(AND(79&gt;=$NR$50,79&lt;=$NS$50),IF($NP$50="Single_Point",IF(79=$NR$50,$NN$50,0),IF($NP$50="Bell_Curve",$NN$50*(79-$NR$50+1)*($NS$50-79+1)/$NU$50,$NN$50/$NT$50)),0)</f>
        <v/>
      </c>
      <c r="CF50" s="402">
        <f>IF(AND(80&gt;=$NR$50,80&lt;=$NS$50),IF($NP$50="Single_Point",IF(80=$NR$50,$NN$50,0),IF($NP$50="Bell_Curve",$NN$50*(80-$NR$50+1)*($NS$50-80+1)/$NU$50,$NN$50/$NT$50)),0)</f>
        <v/>
      </c>
      <c r="CG50" s="402">
        <f>IF(AND(81&gt;=$NR$50,81&lt;=$NS$50),IF($NP$50="Single_Point",IF(81=$NR$50,$NN$50,0),IF($NP$50="Bell_Curve",$NN$50*(81-$NR$50+1)*($NS$50-81+1)/$NU$50,$NN$50/$NT$50)),0)</f>
        <v/>
      </c>
      <c r="CH50" s="402">
        <f>IF(AND(82&gt;=$NR$50,82&lt;=$NS$50),IF($NP$50="Single_Point",IF(82=$NR$50,$NN$50,0),IF($NP$50="Bell_Curve",$NN$50*(82-$NR$50+1)*($NS$50-82+1)/$NU$50,$NN$50/$NT$50)),0)</f>
        <v/>
      </c>
      <c r="CI50" s="402">
        <f>IF(AND(83&gt;=$NR$50,83&lt;=$NS$50),IF($NP$50="Single_Point",IF(83=$NR$50,$NN$50,0),IF($NP$50="Bell_Curve",$NN$50*(83-$NR$50+1)*($NS$50-83+1)/$NU$50,$NN$50/$NT$50)),0)</f>
        <v/>
      </c>
      <c r="CJ50" s="402">
        <f>IF(AND(84&gt;=$NR$50,84&lt;=$NS$50),IF($NP$50="Single_Point",IF(84=$NR$50,$NN$50,0),IF($NP$50="Bell_Curve",$NN$50*(84-$NR$50+1)*($NS$50-84+1)/$NU$50,$NN$50/$NT$50)),0)</f>
        <v/>
      </c>
      <c r="CK50" s="402">
        <f>IF(AND(85&gt;=$NR$50,85&lt;=$NS$50),IF($NP$50="Single_Point",IF(85=$NR$50,$NN$50,0),IF($NP$50="Bell_Curve",$NN$50*(85-$NR$50+1)*($NS$50-85+1)/$NU$50,$NN$50/$NT$50)),0)</f>
        <v/>
      </c>
      <c r="CL50" s="402">
        <f>IF(AND(86&gt;=$NR$50,86&lt;=$NS$50),IF($NP$50="Single_Point",IF(86=$NR$50,$NN$50,0),IF($NP$50="Bell_Curve",$NN$50*(86-$NR$50+1)*($NS$50-86+1)/$NU$50,$NN$50/$NT$50)),0)</f>
        <v/>
      </c>
      <c r="CM50" s="402">
        <f>IF(AND(87&gt;=$NR$50,87&lt;=$NS$50),IF($NP$50="Single_Point",IF(87=$NR$50,$NN$50,0),IF($NP$50="Bell_Curve",$NN$50*(87-$NR$50+1)*($NS$50-87+1)/$NU$50,$NN$50/$NT$50)),0)</f>
        <v/>
      </c>
      <c r="CN50" s="402">
        <f>IF(AND(88&gt;=$NR$50,88&lt;=$NS$50),IF($NP$50="Single_Point",IF(88=$NR$50,$NN$50,0),IF($NP$50="Bell_Curve",$NN$50*(88-$NR$50+1)*($NS$50-88+1)/$NU$50,$NN$50/$NT$50)),0)</f>
        <v/>
      </c>
      <c r="CO50" s="402">
        <f>IF(AND(89&gt;=$NR$50,89&lt;=$NS$50),IF($NP$50="Single_Point",IF(89=$NR$50,$NN$50,0),IF($NP$50="Bell_Curve",$NN$50*(89-$NR$50+1)*($NS$50-89+1)/$NU$50,$NN$50/$NT$50)),0)</f>
        <v/>
      </c>
      <c r="CP50" s="402">
        <f>IF(AND(90&gt;=$NR$50,90&lt;=$NS$50),IF($NP$50="Single_Point",IF(90=$NR$50,$NN$50,0),IF($NP$50="Bell_Curve",$NN$50*(90-$NR$50+1)*($NS$50-90+1)/$NU$50,$NN$50/$NT$50)),0)</f>
        <v/>
      </c>
      <c r="CQ50" s="402">
        <f>IF(AND(91&gt;=$NR$50,91&lt;=$NS$50),IF($NP$50="Single_Point",IF(91=$NR$50,$NN$50,0),IF($NP$50="Bell_Curve",$NN$50*(91-$NR$50+1)*($NS$50-91+1)/$NU$50,$NN$50/$NT$50)),0)</f>
        <v/>
      </c>
      <c r="CR50" s="402">
        <f>IF(AND(92&gt;=$NR$50,92&lt;=$NS$50),IF($NP$50="Single_Point",IF(92=$NR$50,$NN$50,0),IF($NP$50="Bell_Curve",$NN$50*(92-$NR$50+1)*($NS$50-92+1)/$NU$50,$NN$50/$NT$50)),0)</f>
        <v/>
      </c>
      <c r="CS50" s="402">
        <f>IF(AND(93&gt;=$NR$50,93&lt;=$NS$50),IF($NP$50="Single_Point",IF(93=$NR$50,$NN$50,0),IF($NP$50="Bell_Curve",$NN$50*(93-$NR$50+1)*($NS$50-93+1)/$NU$50,$NN$50/$NT$50)),0)</f>
        <v/>
      </c>
      <c r="CT50" s="402">
        <f>IF(AND(94&gt;=$NR$50,94&lt;=$NS$50),IF($NP$50="Single_Point",IF(94=$NR$50,$NN$50,0),IF($NP$50="Bell_Curve",$NN$50*(94-$NR$50+1)*($NS$50-94+1)/$NU$50,$NN$50/$NT$50)),0)</f>
        <v/>
      </c>
      <c r="CU50" s="402">
        <f>IF(AND(95&gt;=$NR$50,95&lt;=$NS$50),IF($NP$50="Single_Point",IF(95=$NR$50,$NN$50,0),IF($NP$50="Bell_Curve",$NN$50*(95-$NR$50+1)*($NS$50-95+1)/$NU$50,$NN$50/$NT$50)),0)</f>
        <v/>
      </c>
      <c r="CV50" s="402">
        <f>IF(AND(96&gt;=$NR$50,96&lt;=$NS$50),IF($NP$50="Single_Point",IF(96=$NR$50,$NN$50,0),IF($NP$50="Bell_Curve",$NN$50*(96-$NR$50+1)*($NS$50-96+1)/$NU$50,$NN$50/$NT$50)),0)</f>
        <v/>
      </c>
      <c r="CW50" s="402">
        <f>IF(AND(97&gt;=$NR$50,97&lt;=$NS$50),IF($NP$50="Single_Point",IF(97=$NR$50,$NN$50,0),IF($NP$50="Bell_Curve",$NN$50*(97-$NR$50+1)*($NS$50-97+1)/$NU$50,$NN$50/$NT$50)),0)</f>
        <v/>
      </c>
      <c r="CX50" s="402">
        <f>IF(AND(98&gt;=$NR$50,98&lt;=$NS$50),IF($NP$50="Single_Point",IF(98=$NR$50,$NN$50,0),IF($NP$50="Bell_Curve",$NN$50*(98-$NR$50+1)*($NS$50-98+1)/$NU$50,$NN$50/$NT$50)),0)</f>
        <v/>
      </c>
      <c r="CY50" s="402">
        <f>IF(AND(99&gt;=$NR$50,99&lt;=$NS$50),IF($NP$50="Single_Point",IF(99=$NR$50,$NN$50,0),IF($NP$50="Bell_Curve",$NN$50*(99-$NR$50+1)*($NS$50-99+1)/$NU$50,$NN$50/$NT$50)),0)</f>
        <v/>
      </c>
      <c r="CZ50" s="402">
        <f>IF(AND(100&gt;=$NR$50,100&lt;=$NS$50),IF($NP$50="Single_Point",IF(100=$NR$50,$NN$50,0),IF($NP$50="Bell_Curve",$NN$50*(100-$NR$50+1)*($NS$50-100+1)/$NU$50,$NN$50/$NT$50)),0)</f>
        <v/>
      </c>
      <c r="DA50" s="402">
        <f>IF(AND(101&gt;=$NR$50,101&lt;=$NS$50),IF($NP$50="Single_Point",IF(101=$NR$50,$NN$50,0),IF($NP$50="Bell_Curve",$NN$50*(101-$NR$50+1)*($NS$50-101+1)/$NU$50,$NN$50/$NT$50)),0)</f>
        <v/>
      </c>
      <c r="DB50" s="402">
        <f>IF(AND(102&gt;=$NR$50,102&lt;=$NS$50),IF($NP$50="Single_Point",IF(102=$NR$50,$NN$50,0),IF($NP$50="Bell_Curve",$NN$50*(102-$NR$50+1)*($NS$50-102+1)/$NU$50,$NN$50/$NT$50)),0)</f>
        <v/>
      </c>
      <c r="DC50" s="402">
        <f>IF(AND(103&gt;=$NR$50,103&lt;=$NS$50),IF($NP$50="Single_Point",IF(103=$NR$50,$NN$50,0),IF($NP$50="Bell_Curve",$NN$50*(103-$NR$50+1)*($NS$50-103+1)/$NU$50,$NN$50/$NT$50)),0)</f>
        <v/>
      </c>
      <c r="DD50" s="402">
        <f>IF(AND(104&gt;=$NR$50,104&lt;=$NS$50),IF($NP$50="Single_Point",IF(104=$NR$50,$NN$50,0),IF($NP$50="Bell_Curve",$NN$50*(104-$NR$50+1)*($NS$50-104+1)/$NU$50,$NN$50/$NT$50)),0)</f>
        <v/>
      </c>
      <c r="DE50" s="402">
        <f>IF(AND(105&gt;=$NR$50,105&lt;=$NS$50),IF($NP$50="Single_Point",IF(105=$NR$50,$NN$50,0),IF($NP$50="Bell_Curve",$NN$50*(105-$NR$50+1)*($NS$50-105+1)/$NU$50,$NN$50/$NT$50)),0)</f>
        <v/>
      </c>
      <c r="DF50" s="402">
        <f>IF(AND(106&gt;=$NR$50,106&lt;=$NS$50),IF($NP$50="Single_Point",IF(106=$NR$50,$NN$50,0),IF($NP$50="Bell_Curve",$NN$50*(106-$NR$50+1)*($NS$50-106+1)/$NU$50,$NN$50/$NT$50)),0)</f>
        <v/>
      </c>
      <c r="DG50" s="402">
        <f>IF(AND(107&gt;=$NR$50,107&lt;=$NS$50),IF($NP$50="Single_Point",IF(107=$NR$50,$NN$50,0),IF($NP$50="Bell_Curve",$NN$50*(107-$NR$50+1)*($NS$50-107+1)/$NU$50,$NN$50/$NT$50)),0)</f>
        <v/>
      </c>
      <c r="DH50" s="402">
        <f>IF(AND(108&gt;=$NR$50,108&lt;=$NS$50),IF($NP$50="Single_Point",IF(108=$NR$50,$NN$50,0),IF($NP$50="Bell_Curve",$NN$50*(108-$NR$50+1)*($NS$50-108+1)/$NU$50,$NN$50/$NT$50)),0)</f>
        <v/>
      </c>
      <c r="DI50" s="402">
        <f>IF(AND(109&gt;=$NR$50,109&lt;=$NS$50),IF($NP$50="Single_Point",IF(109=$NR$50,$NN$50,0),IF($NP$50="Bell_Curve",$NN$50*(109-$NR$50+1)*($NS$50-109+1)/$NU$50,$NN$50/$NT$50)),0)</f>
        <v/>
      </c>
      <c r="DJ50" s="402">
        <f>IF(AND(110&gt;=$NR$50,110&lt;=$NS$50),IF($NP$50="Single_Point",IF(110=$NR$50,$NN$50,0),IF($NP$50="Bell_Curve",$NN$50*(110-$NR$50+1)*($NS$50-110+1)/$NU$50,$NN$50/$NT$50)),0)</f>
        <v/>
      </c>
      <c r="DK50" s="402">
        <f>IF(AND(111&gt;=$NR$50,111&lt;=$NS$50),IF($NP$50="Single_Point",IF(111=$NR$50,$NN$50,0),IF($NP$50="Bell_Curve",$NN$50*(111-$NR$50+1)*($NS$50-111+1)/$NU$50,$NN$50/$NT$50)),0)</f>
        <v/>
      </c>
      <c r="DL50" s="402">
        <f>IF(AND(112&gt;=$NR$50,112&lt;=$NS$50),IF($NP$50="Single_Point",IF(112=$NR$50,$NN$50,0),IF($NP$50="Bell_Curve",$NN$50*(112-$NR$50+1)*($NS$50-112+1)/$NU$50,$NN$50/$NT$50)),0)</f>
        <v/>
      </c>
      <c r="DM50" s="402">
        <f>IF(AND(113&gt;=$NR$50,113&lt;=$NS$50),IF($NP$50="Single_Point",IF(113=$NR$50,$NN$50,0),IF($NP$50="Bell_Curve",$NN$50*(113-$NR$50+1)*($NS$50-113+1)/$NU$50,$NN$50/$NT$50)),0)</f>
        <v/>
      </c>
      <c r="DN50" s="402">
        <f>IF(AND(114&gt;=$NR$50,114&lt;=$NS$50),IF($NP$50="Single_Point",IF(114=$NR$50,$NN$50,0),IF($NP$50="Bell_Curve",$NN$50*(114-$NR$50+1)*($NS$50-114+1)/$NU$50,$NN$50/$NT$50)),0)</f>
        <v/>
      </c>
      <c r="DO50" s="402">
        <f>IF(AND(115&gt;=$NR$50,115&lt;=$NS$50),IF($NP$50="Single_Point",IF(115=$NR$50,$NN$50,0),IF($NP$50="Bell_Curve",$NN$50*(115-$NR$50+1)*($NS$50-115+1)/$NU$50,$NN$50/$NT$50)),0)</f>
        <v/>
      </c>
      <c r="DP50" s="402">
        <f>IF(AND(116&gt;=$NR$50,116&lt;=$NS$50),IF($NP$50="Single_Point",IF(116=$NR$50,$NN$50,0),IF($NP$50="Bell_Curve",$NN$50*(116-$NR$50+1)*($NS$50-116+1)/$NU$50,$NN$50/$NT$50)),0)</f>
        <v/>
      </c>
      <c r="DQ50" s="402">
        <f>IF(AND(117&gt;=$NR$50,117&lt;=$NS$50),IF($NP$50="Single_Point",IF(117=$NR$50,$NN$50,0),IF($NP$50="Bell_Curve",$NN$50*(117-$NR$50+1)*($NS$50-117+1)/$NU$50,$NN$50/$NT$50)),0)</f>
        <v/>
      </c>
      <c r="DR50" s="402">
        <f>IF(AND(118&gt;=$NR$50,118&lt;=$NS$50),IF($NP$50="Single_Point",IF(118=$NR$50,$NN$50,0),IF($NP$50="Bell_Curve",$NN$50*(118-$NR$50+1)*($NS$50-118+1)/$NU$50,$NN$50/$NT$50)),0)</f>
        <v/>
      </c>
      <c r="DS50" s="402">
        <f>IF(AND(119&gt;=$NR$50,119&lt;=$NS$50),IF($NP$50="Single_Point",IF(119=$NR$50,$NN$50,0),IF($NP$50="Bell_Curve",$NN$50*(119-$NR$50+1)*($NS$50-119+1)/$NU$50,$NN$50/$NT$50)),0)</f>
        <v/>
      </c>
      <c r="DT50" s="402">
        <f>IF(AND(120&gt;=$NR$50,120&lt;=$NS$50),IF($NP$50="Single_Point",IF(120=$NR$50,$NN$50,0),IF($NP$50="Bell_Curve",$NN$50*(120-$NR$50+1)*($NS$50-120+1)/$NU$50,$NN$50/$NT$50)),0)</f>
        <v/>
      </c>
      <c r="DU50" s="402">
        <f>IF(AND(121&gt;=$NR$50,121&lt;=$NS$50),IF($NP$50="Single_Point",IF(121=$NR$50,$NN$50,0),IF($NP$50="Bell_Curve",$NN$50*(121-$NR$50+1)*($NS$50-121+1)/$NU$50,$NN$50/$NT$50)),0)</f>
        <v/>
      </c>
      <c r="DV50" s="402">
        <f>IF(AND(122&gt;=$NR$50,122&lt;=$NS$50),IF($NP$50="Single_Point",IF(122=$NR$50,$NN$50,0),IF($NP$50="Bell_Curve",$NN$50*(122-$NR$50+1)*($NS$50-122+1)/$NU$50,$NN$50/$NT$50)),0)</f>
        <v/>
      </c>
      <c r="DW50" s="402">
        <f>IF(AND(123&gt;=$NR$50,123&lt;=$NS$50),IF($NP$50="Single_Point",IF(123=$NR$50,$NN$50,0),IF($NP$50="Bell_Curve",$NN$50*(123-$NR$50+1)*($NS$50-123+1)/$NU$50,$NN$50/$NT$50)),0)</f>
        <v/>
      </c>
      <c r="DX50" s="402">
        <f>IF(AND(124&gt;=$NR$50,124&lt;=$NS$50),IF($NP$50="Single_Point",IF(124=$NR$50,$NN$50,0),IF($NP$50="Bell_Curve",$NN$50*(124-$NR$50+1)*($NS$50-124+1)/$NU$50,$NN$50/$NT$50)),0)</f>
        <v/>
      </c>
      <c r="DY50" s="402">
        <f>IF(AND(125&gt;=$NR$50,125&lt;=$NS$50),IF($NP$50="Single_Point",IF(125=$NR$50,$NN$50,0),IF($NP$50="Bell_Curve",$NN$50*(125-$NR$50+1)*($NS$50-125+1)/$NU$50,$NN$50/$NT$50)),0)</f>
        <v/>
      </c>
      <c r="DZ50" s="402">
        <f>IF(AND(126&gt;=$NR$50,126&lt;=$NS$50),IF($NP$50="Single_Point",IF(126=$NR$50,$NN$50,0),IF($NP$50="Bell_Curve",$NN$50*(126-$NR$50+1)*($NS$50-126+1)/$NU$50,$NN$50/$NT$50)),0)</f>
        <v/>
      </c>
      <c r="EA50" s="402">
        <f>IF(AND(127&gt;=$NR$50,127&lt;=$NS$50),IF($NP$50="Single_Point",IF(127=$NR$50,$NN$50,0),IF($NP$50="Bell_Curve",$NN$50*(127-$NR$50+1)*($NS$50-127+1)/$NU$50,$NN$50/$NT$50)),0)</f>
        <v/>
      </c>
      <c r="EB50" s="402">
        <f>IF(AND(128&gt;=$NR$50,128&lt;=$NS$50),IF($NP$50="Single_Point",IF(128=$NR$50,$NN$50,0),IF($NP$50="Bell_Curve",$NN$50*(128-$NR$50+1)*($NS$50-128+1)/$NU$50,$NN$50/$NT$50)),0)</f>
        <v/>
      </c>
      <c r="EC50" s="402">
        <f>IF(AND(129&gt;=$NR$50,129&lt;=$NS$50),IF($NP$50="Single_Point",IF(129=$NR$50,$NN$50,0),IF($NP$50="Bell_Curve",$NN$50*(129-$NR$50+1)*($NS$50-129+1)/$NU$50,$NN$50/$NT$50)),0)</f>
        <v/>
      </c>
      <c r="ED50" s="402">
        <f>IF(AND(130&gt;=$NR$50,130&lt;=$NS$50),IF($NP$50="Single_Point",IF(130=$NR$50,$NN$50,0),IF($NP$50="Bell_Curve",$NN$50*(130-$NR$50+1)*($NS$50-130+1)/$NU$50,$NN$50/$NT$50)),0)</f>
        <v/>
      </c>
      <c r="EE50" s="402">
        <f>IF(AND(131&gt;=$NR$50,131&lt;=$NS$50),IF($NP$50="Single_Point",IF(131=$NR$50,$NN$50,0),IF($NP$50="Bell_Curve",$NN$50*(131-$NR$50+1)*($NS$50-131+1)/$NU$50,$NN$50/$NT$50)),0)</f>
        <v/>
      </c>
      <c r="EF50" s="402">
        <f>IF(AND(132&gt;=$NR$50,132&lt;=$NS$50),IF($NP$50="Single_Point",IF(132=$NR$50,$NN$50,0),IF($NP$50="Bell_Curve",$NN$50*(132-$NR$50+1)*($NS$50-132+1)/$NU$50,$NN$50/$NT$50)),0)</f>
        <v/>
      </c>
      <c r="EG50" s="402">
        <f>IF(AND(133&gt;=$NR$50,133&lt;=$NS$50),IF($NP$50="Single_Point",IF(133=$NR$50,$NN$50,0),IF($NP$50="Bell_Curve",$NN$50*(133-$NR$50+1)*($NS$50-133+1)/$NU$50,$NN$50/$NT$50)),0)</f>
        <v/>
      </c>
      <c r="EH50" s="402">
        <f>IF(AND(134&gt;=$NR$50,134&lt;=$NS$50),IF($NP$50="Single_Point",IF(134=$NR$50,$NN$50,0),IF($NP$50="Bell_Curve",$NN$50*(134-$NR$50+1)*($NS$50-134+1)/$NU$50,$NN$50/$NT$50)),0)</f>
        <v/>
      </c>
      <c r="EI50" s="402">
        <f>IF(AND(135&gt;=$NR$50,135&lt;=$NS$50),IF($NP$50="Single_Point",IF(135=$NR$50,$NN$50,0),IF($NP$50="Bell_Curve",$NN$50*(135-$NR$50+1)*($NS$50-135+1)/$NU$50,$NN$50/$NT$50)),0)</f>
        <v/>
      </c>
      <c r="EJ50" s="402">
        <f>IF(AND(136&gt;=$NR$50,136&lt;=$NS$50),IF($NP$50="Single_Point",IF(136=$NR$50,$NN$50,0),IF($NP$50="Bell_Curve",$NN$50*(136-$NR$50+1)*($NS$50-136+1)/$NU$50,$NN$50/$NT$50)),0)</f>
        <v/>
      </c>
      <c r="EK50" s="402">
        <f>IF(AND(137&gt;=$NR$50,137&lt;=$NS$50),IF($NP$50="Single_Point",IF(137=$NR$50,$NN$50,0),IF($NP$50="Bell_Curve",$NN$50*(137-$NR$50+1)*($NS$50-137+1)/$NU$50,$NN$50/$NT$50)),0)</f>
        <v/>
      </c>
      <c r="EL50" s="402">
        <f>IF(AND(138&gt;=$NR$50,138&lt;=$NS$50),IF($NP$50="Single_Point",IF(138=$NR$50,$NN$50,0),IF($NP$50="Bell_Curve",$NN$50*(138-$NR$50+1)*($NS$50-138+1)/$NU$50,$NN$50/$NT$50)),0)</f>
        <v/>
      </c>
      <c r="EM50" s="402">
        <f>IF(AND(139&gt;=$NR$50,139&lt;=$NS$50),IF($NP$50="Single_Point",IF(139=$NR$50,$NN$50,0),IF($NP$50="Bell_Curve",$NN$50*(139-$NR$50+1)*($NS$50-139+1)/$NU$50,$NN$50/$NT$50)),0)</f>
        <v/>
      </c>
      <c r="EN50" s="402">
        <f>IF(AND(140&gt;=$NR$50,140&lt;=$NS$50),IF($NP$50="Single_Point",IF(140=$NR$50,$NN$50,0),IF($NP$50="Bell_Curve",$NN$50*(140-$NR$50+1)*($NS$50-140+1)/$NU$50,$NN$50/$NT$50)),0)</f>
        <v/>
      </c>
      <c r="EO50" s="402">
        <f>IF(AND(141&gt;=$NR$50,141&lt;=$NS$50),IF($NP$50="Single_Point",IF(141=$NR$50,$NN$50,0),IF($NP$50="Bell_Curve",$NN$50*(141-$NR$50+1)*($NS$50-141+1)/$NU$50,$NN$50/$NT$50)),0)</f>
        <v/>
      </c>
      <c r="EP50" s="402">
        <f>IF(AND(142&gt;=$NR$50,142&lt;=$NS$50),IF($NP$50="Single_Point",IF(142=$NR$50,$NN$50,0),IF($NP$50="Bell_Curve",$NN$50*(142-$NR$50+1)*($NS$50-142+1)/$NU$50,$NN$50/$NT$50)),0)</f>
        <v/>
      </c>
      <c r="EQ50" s="402">
        <f>IF(AND(143&gt;=$NR$50,143&lt;=$NS$50),IF($NP$50="Single_Point",IF(143=$NR$50,$NN$50,0),IF($NP$50="Bell_Curve",$NN$50*(143-$NR$50+1)*($NS$50-143+1)/$NU$50,$NN$50/$NT$50)),0)</f>
        <v/>
      </c>
      <c r="ER50" s="402">
        <f>IF(AND(144&gt;=$NR$50,144&lt;=$NS$50),IF($NP$50="Single_Point",IF(144=$NR$50,$NN$50,0),IF($NP$50="Bell_Curve",$NN$50*(144-$NR$50+1)*($NS$50-144+1)/$NU$50,$NN$50/$NT$50)),0)</f>
        <v/>
      </c>
      <c r="ES50" s="402">
        <f>IF(AND(145&gt;=$NR$50,145&lt;=$NS$50),IF($NP$50="Single_Point",IF(145=$NR$50,$NN$50,0),IF($NP$50="Bell_Curve",$NN$50*(145-$NR$50+1)*($NS$50-145+1)/$NU$50,$NN$50/$NT$50)),0)</f>
        <v/>
      </c>
      <c r="ET50" s="402">
        <f>IF(AND(146&gt;=$NR$50,146&lt;=$NS$50),IF($NP$50="Single_Point",IF(146=$NR$50,$NN$50,0),IF($NP$50="Bell_Curve",$NN$50*(146-$NR$50+1)*($NS$50-146+1)/$NU$50,$NN$50/$NT$50)),0)</f>
        <v/>
      </c>
      <c r="EU50" s="402">
        <f>IF(AND(147&gt;=$NR$50,147&lt;=$NS$50),IF($NP$50="Single_Point",IF(147=$NR$50,$NN$50,0),IF($NP$50="Bell_Curve",$NN$50*(147-$NR$50+1)*($NS$50-147+1)/$NU$50,$NN$50/$NT$50)),0)</f>
        <v/>
      </c>
      <c r="EV50" s="402">
        <f>IF(AND(148&gt;=$NR$50,148&lt;=$NS$50),IF($NP$50="Single_Point",IF(148=$NR$50,$NN$50,0),IF($NP$50="Bell_Curve",$NN$50*(148-$NR$50+1)*($NS$50-148+1)/$NU$50,$NN$50/$NT$50)),0)</f>
        <v/>
      </c>
      <c r="EW50" s="402">
        <f>IF(AND(149&gt;=$NR$50,149&lt;=$NS$50),IF($NP$50="Single_Point",IF(149=$NR$50,$NN$50,0),IF($NP$50="Bell_Curve",$NN$50*(149-$NR$50+1)*($NS$50-149+1)/$NU$50,$NN$50/$NT$50)),0)</f>
        <v/>
      </c>
      <c r="EX50" s="402">
        <f>IF(AND(150&gt;=$NR$50,150&lt;=$NS$50),IF($NP$50="Single_Point",IF(150=$NR$50,$NN$50,0),IF($NP$50="Bell_Curve",$NN$50*(150-$NR$50+1)*($NS$50-150+1)/$NU$50,$NN$50/$NT$50)),0)</f>
        <v/>
      </c>
      <c r="EY50" s="402">
        <f>IF(AND(151&gt;=$NR$50,151&lt;=$NS$50),IF($NP$50="Single_Point",IF(151=$NR$50,$NN$50,0),IF($NP$50="Bell_Curve",$NN$50*(151-$NR$50+1)*($NS$50-151+1)/$NU$50,$NN$50/$NT$50)),0)</f>
        <v/>
      </c>
      <c r="EZ50" s="402">
        <f>IF(AND(152&gt;=$NR$50,152&lt;=$NS$50),IF($NP$50="Single_Point",IF(152=$NR$50,$NN$50,0),IF($NP$50="Bell_Curve",$NN$50*(152-$NR$50+1)*($NS$50-152+1)/$NU$50,$NN$50/$NT$50)),0)</f>
        <v/>
      </c>
      <c r="FA50" s="402">
        <f>IF(AND(153&gt;=$NR$50,153&lt;=$NS$50),IF($NP$50="Single_Point",IF(153=$NR$50,$NN$50,0),IF($NP$50="Bell_Curve",$NN$50*(153-$NR$50+1)*($NS$50-153+1)/$NU$50,$NN$50/$NT$50)),0)</f>
        <v/>
      </c>
      <c r="FB50" s="402">
        <f>IF(AND(154&gt;=$NR$50,154&lt;=$NS$50),IF($NP$50="Single_Point",IF(154=$NR$50,$NN$50,0),IF($NP$50="Bell_Curve",$NN$50*(154-$NR$50+1)*($NS$50-154+1)/$NU$50,$NN$50/$NT$50)),0)</f>
        <v/>
      </c>
      <c r="FC50" s="402">
        <f>IF(AND(155&gt;=$NR$50,155&lt;=$NS$50),IF($NP$50="Single_Point",IF(155=$NR$50,$NN$50,0),IF($NP$50="Bell_Curve",$NN$50*(155-$NR$50+1)*($NS$50-155+1)/$NU$50,$NN$50/$NT$50)),0)</f>
        <v/>
      </c>
      <c r="FD50" s="402">
        <f>IF(AND(156&gt;=$NR$50,156&lt;=$NS$50),IF($NP$50="Single_Point",IF(156=$NR$50,$NN$50,0),IF($NP$50="Bell_Curve",$NN$50*(156-$NR$50+1)*($NS$50-156+1)/$NU$50,$NN$50/$NT$50)),0)</f>
        <v/>
      </c>
      <c r="FE50" s="402">
        <f>IF(AND(157&gt;=$NR$50,157&lt;=$NS$50),IF($NP$50="Single_Point",IF(157=$NR$50,$NN$50,0),IF($NP$50="Bell_Curve",$NN$50*(157-$NR$50+1)*($NS$50-157+1)/$NU$50,$NN$50/$NT$50)),0)</f>
        <v/>
      </c>
      <c r="FF50" s="402">
        <f>IF(AND(158&gt;=$NR$50,158&lt;=$NS$50),IF($NP$50="Single_Point",IF(158=$NR$50,$NN$50,0),IF($NP$50="Bell_Curve",$NN$50*(158-$NR$50+1)*($NS$50-158+1)/$NU$50,$NN$50/$NT$50)),0)</f>
        <v/>
      </c>
      <c r="FG50" s="402">
        <f>IF(AND(159&gt;=$NR$50,159&lt;=$NS$50),IF($NP$50="Single_Point",IF(159=$NR$50,$NN$50,0),IF($NP$50="Bell_Curve",$NN$50*(159-$NR$50+1)*($NS$50-159+1)/$NU$50,$NN$50/$NT$50)),0)</f>
        <v/>
      </c>
      <c r="FH50" s="402">
        <f>IF(AND(160&gt;=$NR$50,160&lt;=$NS$50),IF($NP$50="Single_Point",IF(160=$NR$50,$NN$50,0),IF($NP$50="Bell_Curve",$NN$50*(160-$NR$50+1)*($NS$50-160+1)/$NU$50,$NN$50/$NT$50)),0)</f>
        <v/>
      </c>
      <c r="FI50" s="402">
        <f>IF(AND(161&gt;=$NR$50,161&lt;=$NS$50),IF($NP$50="Single_Point",IF(161=$NR$50,$NN$50,0),IF($NP$50="Bell_Curve",$NN$50*(161-$NR$50+1)*($NS$50-161+1)/$NU$50,$NN$50/$NT$50)),0)</f>
        <v/>
      </c>
      <c r="FJ50" s="402">
        <f>IF(AND(162&gt;=$NR$50,162&lt;=$NS$50),IF($NP$50="Single_Point",IF(162=$NR$50,$NN$50,0),IF($NP$50="Bell_Curve",$NN$50*(162-$NR$50+1)*($NS$50-162+1)/$NU$50,$NN$50/$NT$50)),0)</f>
        <v/>
      </c>
      <c r="FK50" s="402">
        <f>IF(AND(163&gt;=$NR$50,163&lt;=$NS$50),IF($NP$50="Single_Point",IF(163=$NR$50,$NN$50,0),IF($NP$50="Bell_Curve",$NN$50*(163-$NR$50+1)*($NS$50-163+1)/$NU$50,$NN$50/$NT$50)),0)</f>
        <v/>
      </c>
      <c r="FL50" s="402">
        <f>IF(AND(164&gt;=$NR$50,164&lt;=$NS$50),IF($NP$50="Single_Point",IF(164=$NR$50,$NN$50,0),IF($NP$50="Bell_Curve",$NN$50*(164-$NR$50+1)*($NS$50-164+1)/$NU$50,$NN$50/$NT$50)),0)</f>
        <v/>
      </c>
      <c r="FM50" s="402">
        <f>IF(AND(165&gt;=$NR$50,165&lt;=$NS$50),IF($NP$50="Single_Point",IF(165=$NR$50,$NN$50,0),IF($NP$50="Bell_Curve",$NN$50*(165-$NR$50+1)*($NS$50-165+1)/$NU$50,$NN$50/$NT$50)),0)</f>
        <v/>
      </c>
      <c r="FN50" s="402">
        <f>IF(AND(166&gt;=$NR$50,166&lt;=$NS$50),IF($NP$50="Single_Point",IF(166=$NR$50,$NN$50,0),IF($NP$50="Bell_Curve",$NN$50*(166-$NR$50+1)*($NS$50-166+1)/$NU$50,$NN$50/$NT$50)),0)</f>
        <v/>
      </c>
      <c r="FO50" s="402">
        <f>IF(AND(167&gt;=$NR$50,167&lt;=$NS$50),IF($NP$50="Single_Point",IF(167=$NR$50,$NN$50,0),IF($NP$50="Bell_Curve",$NN$50*(167-$NR$50+1)*($NS$50-167+1)/$NU$50,$NN$50/$NT$50)),0)</f>
        <v/>
      </c>
      <c r="FP50" s="402">
        <f>IF(AND(168&gt;=$NR$50,168&lt;=$NS$50),IF($NP$50="Single_Point",IF(168=$NR$50,$NN$50,0),IF($NP$50="Bell_Curve",$NN$50*(168-$NR$50+1)*($NS$50-168+1)/$NU$50,$NN$50/$NT$50)),0)</f>
        <v/>
      </c>
      <c r="FQ50" s="402">
        <f>IF(AND(169&gt;=$NR$50,169&lt;=$NS$50),IF($NP$50="Single_Point",IF(169=$NR$50,$NN$50,0),IF($NP$50="Bell_Curve",$NN$50*(169-$NR$50+1)*($NS$50-169+1)/$NU$50,$NN$50/$NT$50)),0)</f>
        <v/>
      </c>
      <c r="FR50" s="402">
        <f>IF(AND(170&gt;=$NR$50,170&lt;=$NS$50),IF($NP$50="Single_Point",IF(170=$NR$50,$NN$50,0),IF($NP$50="Bell_Curve",$NN$50*(170-$NR$50+1)*($NS$50-170+1)/$NU$50,$NN$50/$NT$50)),0)</f>
        <v/>
      </c>
      <c r="FS50" s="402">
        <f>IF(AND(171&gt;=$NR$50,171&lt;=$NS$50),IF($NP$50="Single_Point",IF(171=$NR$50,$NN$50,0),IF($NP$50="Bell_Curve",$NN$50*(171-$NR$50+1)*($NS$50-171+1)/$NU$50,$NN$50/$NT$50)),0)</f>
        <v/>
      </c>
      <c r="FT50" s="402">
        <f>IF(AND(172&gt;=$NR$50,172&lt;=$NS$50),IF($NP$50="Single_Point",IF(172=$NR$50,$NN$50,0),IF($NP$50="Bell_Curve",$NN$50*(172-$NR$50+1)*($NS$50-172+1)/$NU$50,$NN$50/$NT$50)),0)</f>
        <v/>
      </c>
      <c r="FU50" s="402">
        <f>IF(AND(173&gt;=$NR$50,173&lt;=$NS$50),IF($NP$50="Single_Point",IF(173=$NR$50,$NN$50,0),IF($NP$50="Bell_Curve",$NN$50*(173-$NR$50+1)*($NS$50-173+1)/$NU$50,$NN$50/$NT$50)),0)</f>
        <v/>
      </c>
      <c r="FV50" s="402">
        <f>IF(AND(174&gt;=$NR$50,174&lt;=$NS$50),IF($NP$50="Single_Point",IF(174=$NR$50,$NN$50,0),IF($NP$50="Bell_Curve",$NN$50*(174-$NR$50+1)*($NS$50-174+1)/$NU$50,$NN$50/$NT$50)),0)</f>
        <v/>
      </c>
      <c r="FW50" s="402">
        <f>IF(AND(175&gt;=$NR$50,175&lt;=$NS$50),IF($NP$50="Single_Point",IF(175=$NR$50,$NN$50,0),IF($NP$50="Bell_Curve",$NN$50*(175-$NR$50+1)*($NS$50-175+1)/$NU$50,$NN$50/$NT$50)),0)</f>
        <v/>
      </c>
      <c r="FX50" s="402">
        <f>IF(AND(176&gt;=$NR$50,176&lt;=$NS$50),IF($NP$50="Single_Point",IF(176=$NR$50,$NN$50,0),IF($NP$50="Bell_Curve",$NN$50*(176-$NR$50+1)*($NS$50-176+1)/$NU$50,$NN$50/$NT$50)),0)</f>
        <v/>
      </c>
      <c r="FY50" s="402">
        <f>IF(AND(177&gt;=$NR$50,177&lt;=$NS$50),IF($NP$50="Single_Point",IF(177=$NR$50,$NN$50,0),IF($NP$50="Bell_Curve",$NN$50*(177-$NR$50+1)*($NS$50-177+1)/$NU$50,$NN$50/$NT$50)),0)</f>
        <v/>
      </c>
      <c r="FZ50" s="402">
        <f>IF(AND(178&gt;=$NR$50,178&lt;=$NS$50),IF($NP$50="Single_Point",IF(178=$NR$50,$NN$50,0),IF($NP$50="Bell_Curve",$NN$50*(178-$NR$50+1)*($NS$50-178+1)/$NU$50,$NN$50/$NT$50)),0)</f>
        <v/>
      </c>
      <c r="GA50" s="402">
        <f>IF(AND(179&gt;=$NR$50,179&lt;=$NS$50),IF($NP$50="Single_Point",IF(179=$NR$50,$NN$50,0),IF($NP$50="Bell_Curve",$NN$50*(179-$NR$50+1)*($NS$50-179+1)/$NU$50,$NN$50/$NT$50)),0)</f>
        <v/>
      </c>
      <c r="GB50" s="402">
        <f>IF(AND(180&gt;=$NR$50,180&lt;=$NS$50),IF($NP$50="Single_Point",IF(180=$NR$50,$NN$50,0),IF($NP$50="Bell_Curve",$NN$50*(180-$NR$50+1)*($NS$50-180+1)/$NU$50,$NN$50/$NT$50)),0)</f>
        <v/>
      </c>
      <c r="GC50" s="402">
        <f>IF(AND(181&gt;=$NR$50,181&lt;=$NS$50),IF($NP$50="Single_Point",IF(181=$NR$50,$NN$50,0),IF($NP$50="Bell_Curve",$NN$50*(181-$NR$50+1)*($NS$50-181+1)/$NU$50,$NN$50/$NT$50)),0)</f>
        <v/>
      </c>
      <c r="GD50" s="402">
        <f>IF(AND(182&gt;=$NR$50,182&lt;=$NS$50),IF($NP$50="Single_Point",IF(182=$NR$50,$NN$50,0),IF($NP$50="Bell_Curve",$NN$50*(182-$NR$50+1)*($NS$50-182+1)/$NU$50,$NN$50/$NT$50)),0)</f>
        <v/>
      </c>
      <c r="GE50" s="402">
        <f>IF(AND(183&gt;=$NR$50,183&lt;=$NS$50),IF($NP$50="Single_Point",IF(183=$NR$50,$NN$50,0),IF($NP$50="Bell_Curve",$NN$50*(183-$NR$50+1)*($NS$50-183+1)/$NU$50,$NN$50/$NT$50)),0)</f>
        <v/>
      </c>
      <c r="GF50" s="402">
        <f>IF(AND(184&gt;=$NR$50,184&lt;=$NS$50),IF($NP$50="Single_Point",IF(184=$NR$50,$NN$50,0),IF($NP$50="Bell_Curve",$NN$50*(184-$NR$50+1)*($NS$50-184+1)/$NU$50,$NN$50/$NT$50)),0)</f>
        <v/>
      </c>
      <c r="GG50" s="402">
        <f>IF(AND(185&gt;=$NR$50,185&lt;=$NS$50),IF($NP$50="Single_Point",IF(185=$NR$50,$NN$50,0),IF($NP$50="Bell_Curve",$NN$50*(185-$NR$50+1)*($NS$50-185+1)/$NU$50,$NN$50/$NT$50)),0)</f>
        <v/>
      </c>
      <c r="GH50" s="402">
        <f>IF(AND(186&gt;=$NR$50,186&lt;=$NS$50),IF($NP$50="Single_Point",IF(186=$NR$50,$NN$50,0),IF($NP$50="Bell_Curve",$NN$50*(186-$NR$50+1)*($NS$50-186+1)/$NU$50,$NN$50/$NT$50)),0)</f>
        <v/>
      </c>
      <c r="GI50" s="402">
        <f>IF(AND(187&gt;=$NR$50,187&lt;=$NS$50),IF($NP$50="Single_Point",IF(187=$NR$50,$NN$50,0),IF($NP$50="Bell_Curve",$NN$50*(187-$NR$50+1)*($NS$50-187+1)/$NU$50,$NN$50/$NT$50)),0)</f>
        <v/>
      </c>
      <c r="GJ50" s="402">
        <f>IF(AND(188&gt;=$NR$50,188&lt;=$NS$50),IF($NP$50="Single_Point",IF(188=$NR$50,$NN$50,0),IF($NP$50="Bell_Curve",$NN$50*(188-$NR$50+1)*($NS$50-188+1)/$NU$50,$NN$50/$NT$50)),0)</f>
        <v/>
      </c>
      <c r="GK50" s="402">
        <f>IF(AND(189&gt;=$NR$50,189&lt;=$NS$50),IF($NP$50="Single_Point",IF(189=$NR$50,$NN$50,0),IF($NP$50="Bell_Curve",$NN$50*(189-$NR$50+1)*($NS$50-189+1)/$NU$50,$NN$50/$NT$50)),0)</f>
        <v/>
      </c>
      <c r="GL50" s="402">
        <f>IF(AND(190&gt;=$NR$50,190&lt;=$NS$50),IF($NP$50="Single_Point",IF(190=$NR$50,$NN$50,0),IF($NP$50="Bell_Curve",$NN$50*(190-$NR$50+1)*($NS$50-190+1)/$NU$50,$NN$50/$NT$50)),0)</f>
        <v/>
      </c>
      <c r="GM50" s="402">
        <f>IF(AND(191&gt;=$NR$50,191&lt;=$NS$50),IF($NP$50="Single_Point",IF(191=$NR$50,$NN$50,0),IF($NP$50="Bell_Curve",$NN$50*(191-$NR$50+1)*($NS$50-191+1)/$NU$50,$NN$50/$NT$50)),0)</f>
        <v/>
      </c>
      <c r="GN50" s="402">
        <f>IF(AND(192&gt;=$NR$50,192&lt;=$NS$50),IF($NP$50="Single_Point",IF(192=$NR$50,$NN$50,0),IF($NP$50="Bell_Curve",$NN$50*(192-$NR$50+1)*($NS$50-192+1)/$NU$50,$NN$50/$NT$50)),0)</f>
        <v/>
      </c>
      <c r="GO50" s="402">
        <f>IF(AND(193&gt;=$NR$50,193&lt;=$NS$50),IF($NP$50="Single_Point",IF(193=$NR$50,$NN$50,0),IF($NP$50="Bell_Curve",$NN$50*(193-$NR$50+1)*($NS$50-193+1)/$NU$50,$NN$50/$NT$50)),0)</f>
        <v/>
      </c>
      <c r="GP50" s="402">
        <f>IF(AND(194&gt;=$NR$50,194&lt;=$NS$50),IF($NP$50="Single_Point",IF(194=$NR$50,$NN$50,0),IF($NP$50="Bell_Curve",$NN$50*(194-$NR$50+1)*($NS$50-194+1)/$NU$50,$NN$50/$NT$50)),0)</f>
        <v/>
      </c>
      <c r="GQ50" s="402">
        <f>IF(AND(195&gt;=$NR$50,195&lt;=$NS$50),IF($NP$50="Single_Point",IF(195=$NR$50,$NN$50,0),IF($NP$50="Bell_Curve",$NN$50*(195-$NR$50+1)*($NS$50-195+1)/$NU$50,$NN$50/$NT$50)),0)</f>
        <v/>
      </c>
      <c r="GR50" s="402">
        <f>IF(AND(196&gt;=$NR$50,196&lt;=$NS$50),IF($NP$50="Single_Point",IF(196=$NR$50,$NN$50,0),IF($NP$50="Bell_Curve",$NN$50*(196-$NR$50+1)*($NS$50-196+1)/$NU$50,$NN$50/$NT$50)),0)</f>
        <v/>
      </c>
      <c r="GS50" s="402">
        <f>IF(AND(197&gt;=$NR$50,197&lt;=$NS$50),IF($NP$50="Single_Point",IF(197=$NR$50,$NN$50,0),IF($NP$50="Bell_Curve",$NN$50*(197-$NR$50+1)*($NS$50-197+1)/$NU$50,$NN$50/$NT$50)),0)</f>
        <v/>
      </c>
      <c r="GT50" s="402">
        <f>IF(AND(198&gt;=$NR$50,198&lt;=$NS$50),IF($NP$50="Single_Point",IF(198=$NR$50,$NN$50,0),IF($NP$50="Bell_Curve",$NN$50*(198-$NR$50+1)*($NS$50-198+1)/$NU$50,$NN$50/$NT$50)),0)</f>
        <v/>
      </c>
      <c r="GU50" s="402">
        <f>IF(AND(199&gt;=$NR$50,199&lt;=$NS$50),IF($NP$50="Single_Point",IF(199=$NR$50,$NN$50,0),IF($NP$50="Bell_Curve",$NN$50*(199-$NR$50+1)*($NS$50-199+1)/$NU$50,$NN$50/$NT$50)),0)</f>
        <v/>
      </c>
      <c r="GV50" s="402">
        <f>IF(AND(200&gt;=$NR$50,200&lt;=$NS$50),IF($NP$50="Single_Point",IF(200=$NR$50,$NN$50,0),IF($NP$50="Bell_Curve",$NN$50*(200-$NR$50+1)*($NS$50-200+1)/$NU$50,$NN$50/$NT$50)),0)</f>
        <v/>
      </c>
      <c r="GW50" s="402">
        <f>IF(AND(201&gt;=$NR$50,201&lt;=$NS$50),IF($NP$50="Single_Point",IF(201=$NR$50,$NN$50,0),IF($NP$50="Bell_Curve",$NN$50*(201-$NR$50+1)*($NS$50-201+1)/$NU$50,$NN$50/$NT$50)),0)</f>
        <v/>
      </c>
      <c r="GX50" s="402">
        <f>IF(AND(202&gt;=$NR$50,202&lt;=$NS$50),IF($NP$50="Single_Point",IF(202=$NR$50,$NN$50,0),IF($NP$50="Bell_Curve",$NN$50*(202-$NR$50+1)*($NS$50-202+1)/$NU$50,$NN$50/$NT$50)),0)</f>
        <v/>
      </c>
      <c r="GY50" s="402">
        <f>IF(AND(203&gt;=$NR$50,203&lt;=$NS$50),IF($NP$50="Single_Point",IF(203=$NR$50,$NN$50,0),IF($NP$50="Bell_Curve",$NN$50*(203-$NR$50+1)*($NS$50-203+1)/$NU$50,$NN$50/$NT$50)),0)</f>
        <v/>
      </c>
      <c r="GZ50" s="402">
        <f>IF(AND(204&gt;=$NR$50,204&lt;=$NS$50),IF($NP$50="Single_Point",IF(204=$NR$50,$NN$50,0),IF($NP$50="Bell_Curve",$NN$50*(204-$NR$50+1)*($NS$50-204+1)/$NU$50,$NN$50/$NT$50)),0)</f>
        <v/>
      </c>
      <c r="HA50" s="402">
        <f>IF(AND(205&gt;=$NR$50,205&lt;=$NS$50),IF($NP$50="Single_Point",IF(205=$NR$50,$NN$50,0),IF($NP$50="Bell_Curve",$NN$50*(205-$NR$50+1)*($NS$50-205+1)/$NU$50,$NN$50/$NT$50)),0)</f>
        <v/>
      </c>
      <c r="HB50" s="402">
        <f>IF(AND(206&gt;=$NR$50,206&lt;=$NS$50),IF($NP$50="Single_Point",IF(206=$NR$50,$NN$50,0),IF($NP$50="Bell_Curve",$NN$50*(206-$NR$50+1)*($NS$50-206+1)/$NU$50,$NN$50/$NT$50)),0)</f>
        <v/>
      </c>
      <c r="HC50" s="402">
        <f>IF(AND(207&gt;=$NR$50,207&lt;=$NS$50),IF($NP$50="Single_Point",IF(207=$NR$50,$NN$50,0),IF($NP$50="Bell_Curve",$NN$50*(207-$NR$50+1)*($NS$50-207+1)/$NU$50,$NN$50/$NT$50)),0)</f>
        <v/>
      </c>
      <c r="HD50" s="402">
        <f>IF(AND(208&gt;=$NR$50,208&lt;=$NS$50),IF($NP$50="Single_Point",IF(208=$NR$50,$NN$50,0),IF($NP$50="Bell_Curve",$NN$50*(208-$NR$50+1)*($NS$50-208+1)/$NU$50,$NN$50/$NT$50)),0)</f>
        <v/>
      </c>
      <c r="HE50" s="402">
        <f>IF(AND(209&gt;=$NR$50,209&lt;=$NS$50),IF($NP$50="Single_Point",IF(209=$NR$50,$NN$50,0),IF($NP$50="Bell_Curve",$NN$50*(209-$NR$50+1)*($NS$50-209+1)/$NU$50,$NN$50/$NT$50)),0)</f>
        <v/>
      </c>
      <c r="HF50" s="402">
        <f>IF(AND(210&gt;=$NR$50,210&lt;=$NS$50),IF($NP$50="Single_Point",IF(210=$NR$50,$NN$50,0),IF($NP$50="Bell_Curve",$NN$50*(210-$NR$50+1)*($NS$50-210+1)/$NU$50,$NN$50/$NT$50)),0)</f>
        <v/>
      </c>
      <c r="HG50" s="402">
        <f>IF(AND(211&gt;=$NR$50,211&lt;=$NS$50),IF($NP$50="Single_Point",IF(211=$NR$50,$NN$50,0),IF($NP$50="Bell_Curve",$NN$50*(211-$NR$50+1)*($NS$50-211+1)/$NU$50,$NN$50/$NT$50)),0)</f>
        <v/>
      </c>
      <c r="HH50" s="402">
        <f>IF(AND(212&gt;=$NR$50,212&lt;=$NS$50),IF($NP$50="Single_Point",IF(212=$NR$50,$NN$50,0),IF($NP$50="Bell_Curve",$NN$50*(212-$NR$50+1)*($NS$50-212+1)/$NU$50,$NN$50/$NT$50)),0)</f>
        <v/>
      </c>
      <c r="HI50" s="402">
        <f>IF(AND(213&gt;=$NR$50,213&lt;=$NS$50),IF($NP$50="Single_Point",IF(213=$NR$50,$NN$50,0),IF($NP$50="Bell_Curve",$NN$50*(213-$NR$50+1)*($NS$50-213+1)/$NU$50,$NN$50/$NT$50)),0)</f>
        <v/>
      </c>
      <c r="HJ50" s="402">
        <f>IF(AND(214&gt;=$NR$50,214&lt;=$NS$50),IF($NP$50="Single_Point",IF(214=$NR$50,$NN$50,0),IF($NP$50="Bell_Curve",$NN$50*(214-$NR$50+1)*($NS$50-214+1)/$NU$50,$NN$50/$NT$50)),0)</f>
        <v/>
      </c>
      <c r="HK50" s="402">
        <f>IF(AND(215&gt;=$NR$50,215&lt;=$NS$50),IF($NP$50="Single_Point",IF(215=$NR$50,$NN$50,0),IF($NP$50="Bell_Curve",$NN$50*(215-$NR$50+1)*($NS$50-215+1)/$NU$50,$NN$50/$NT$50)),0)</f>
        <v/>
      </c>
      <c r="HL50" s="402">
        <f>IF(AND(216&gt;=$NR$50,216&lt;=$NS$50),IF($NP$50="Single_Point",IF(216=$NR$50,$NN$50,0),IF($NP$50="Bell_Curve",$NN$50*(216-$NR$50+1)*($NS$50-216+1)/$NU$50,$NN$50/$NT$50)),0)</f>
        <v/>
      </c>
      <c r="HM50" s="402">
        <f>IF(AND(217&gt;=$NR$50,217&lt;=$NS$50),IF($NP$50="Single_Point",IF(217=$NR$50,$NN$50,0),IF($NP$50="Bell_Curve",$NN$50*(217-$NR$50+1)*($NS$50-217+1)/$NU$50,$NN$50/$NT$50)),0)</f>
        <v/>
      </c>
      <c r="HN50" s="402">
        <f>IF(AND(218&gt;=$NR$50,218&lt;=$NS$50),IF($NP$50="Single_Point",IF(218=$NR$50,$NN$50,0),IF($NP$50="Bell_Curve",$NN$50*(218-$NR$50+1)*($NS$50-218+1)/$NU$50,$NN$50/$NT$50)),0)</f>
        <v/>
      </c>
      <c r="HO50" s="402">
        <f>IF(AND(219&gt;=$NR$50,219&lt;=$NS$50),IF($NP$50="Single_Point",IF(219=$NR$50,$NN$50,0),IF($NP$50="Bell_Curve",$NN$50*(219-$NR$50+1)*($NS$50-219+1)/$NU$50,$NN$50/$NT$50)),0)</f>
        <v/>
      </c>
      <c r="HP50" s="402">
        <f>IF(AND(220&gt;=$NR$50,220&lt;=$NS$50),IF($NP$50="Single_Point",IF(220=$NR$50,$NN$50,0),IF($NP$50="Bell_Curve",$NN$50*(220-$NR$50+1)*($NS$50-220+1)/$NU$50,$NN$50/$NT$50)),0)</f>
        <v/>
      </c>
      <c r="HQ50" s="402">
        <f>IF(AND(221&gt;=$NR$50,221&lt;=$NS$50),IF($NP$50="Single_Point",IF(221=$NR$50,$NN$50,0),IF($NP$50="Bell_Curve",$NN$50*(221-$NR$50+1)*($NS$50-221+1)/$NU$50,$NN$50/$NT$50)),0)</f>
        <v/>
      </c>
      <c r="HR50" s="402">
        <f>IF(AND(222&gt;=$NR$50,222&lt;=$NS$50),IF($NP$50="Single_Point",IF(222=$NR$50,$NN$50,0),IF($NP$50="Bell_Curve",$NN$50*(222-$NR$50+1)*($NS$50-222+1)/$NU$50,$NN$50/$NT$50)),0)</f>
        <v/>
      </c>
      <c r="HS50" s="402">
        <f>IF(AND(223&gt;=$NR$50,223&lt;=$NS$50),IF($NP$50="Single_Point",IF(223=$NR$50,$NN$50,0),IF($NP$50="Bell_Curve",$NN$50*(223-$NR$50+1)*($NS$50-223+1)/$NU$50,$NN$50/$NT$50)),0)</f>
        <v/>
      </c>
      <c r="HT50" s="402">
        <f>IF(AND(224&gt;=$NR$50,224&lt;=$NS$50),IF($NP$50="Single_Point",IF(224=$NR$50,$NN$50,0),IF($NP$50="Bell_Curve",$NN$50*(224-$NR$50+1)*($NS$50-224+1)/$NU$50,$NN$50/$NT$50)),0)</f>
        <v/>
      </c>
      <c r="HU50" s="402">
        <f>IF(AND(225&gt;=$NR$50,225&lt;=$NS$50),IF($NP$50="Single_Point",IF(225=$NR$50,$NN$50,0),IF($NP$50="Bell_Curve",$NN$50*(225-$NR$50+1)*($NS$50-225+1)/$NU$50,$NN$50/$NT$50)),0)</f>
        <v/>
      </c>
      <c r="HV50" s="402">
        <f>IF(AND(226&gt;=$NR$50,226&lt;=$NS$50),IF($NP$50="Single_Point",IF(226=$NR$50,$NN$50,0),IF($NP$50="Bell_Curve",$NN$50*(226-$NR$50+1)*($NS$50-226+1)/$NU$50,$NN$50/$NT$50)),0)</f>
        <v/>
      </c>
      <c r="HW50" s="402">
        <f>IF(AND(227&gt;=$NR$50,227&lt;=$NS$50),IF($NP$50="Single_Point",IF(227=$NR$50,$NN$50,0),IF($NP$50="Bell_Curve",$NN$50*(227-$NR$50+1)*($NS$50-227+1)/$NU$50,$NN$50/$NT$50)),0)</f>
        <v/>
      </c>
      <c r="HX50" s="402">
        <f>IF(AND(228&gt;=$NR$50,228&lt;=$NS$50),IF($NP$50="Single_Point",IF(228=$NR$50,$NN$50,0),IF($NP$50="Bell_Curve",$NN$50*(228-$NR$50+1)*($NS$50-228+1)/$NU$50,$NN$50/$NT$50)),0)</f>
        <v/>
      </c>
      <c r="HY50" s="402">
        <f>IF(AND(229&gt;=$NR$50,229&lt;=$NS$50),IF($NP$50="Single_Point",IF(229=$NR$50,$NN$50,0),IF($NP$50="Bell_Curve",$NN$50*(229-$NR$50+1)*($NS$50-229+1)/$NU$50,$NN$50/$NT$50)),0)</f>
        <v/>
      </c>
      <c r="HZ50" s="402">
        <f>IF(AND(230&gt;=$NR$50,230&lt;=$NS$50),IF($NP$50="Single_Point",IF(230=$NR$50,$NN$50,0),IF($NP$50="Bell_Curve",$NN$50*(230-$NR$50+1)*($NS$50-230+1)/$NU$50,$NN$50/$NT$50)),0)</f>
        <v/>
      </c>
      <c r="IA50" s="402">
        <f>IF(AND(231&gt;=$NR$50,231&lt;=$NS$50),IF($NP$50="Single_Point",IF(231=$NR$50,$NN$50,0),IF($NP$50="Bell_Curve",$NN$50*(231-$NR$50+1)*($NS$50-231+1)/$NU$50,$NN$50/$NT$50)),0)</f>
        <v/>
      </c>
      <c r="IB50" s="402">
        <f>IF(AND(232&gt;=$NR$50,232&lt;=$NS$50),IF($NP$50="Single_Point",IF(232=$NR$50,$NN$50,0),IF($NP$50="Bell_Curve",$NN$50*(232-$NR$50+1)*($NS$50-232+1)/$NU$50,$NN$50/$NT$50)),0)</f>
        <v/>
      </c>
      <c r="IC50" s="402">
        <f>IF(AND(233&gt;=$NR$50,233&lt;=$NS$50),IF($NP$50="Single_Point",IF(233=$NR$50,$NN$50,0),IF($NP$50="Bell_Curve",$NN$50*(233-$NR$50+1)*($NS$50-233+1)/$NU$50,$NN$50/$NT$50)),0)</f>
        <v/>
      </c>
      <c r="ID50" s="402">
        <f>IF(AND(234&gt;=$NR$50,234&lt;=$NS$50),IF($NP$50="Single_Point",IF(234=$NR$50,$NN$50,0),IF($NP$50="Bell_Curve",$NN$50*(234-$NR$50+1)*($NS$50-234+1)/$NU$50,$NN$50/$NT$50)),0)</f>
        <v/>
      </c>
      <c r="IE50" s="402">
        <f>IF(AND(235&gt;=$NR$50,235&lt;=$NS$50),IF($NP$50="Single_Point",IF(235=$NR$50,$NN$50,0),IF($NP$50="Bell_Curve",$NN$50*(235-$NR$50+1)*($NS$50-235+1)/$NU$50,$NN$50/$NT$50)),0)</f>
        <v/>
      </c>
      <c r="IF50" s="402">
        <f>IF(AND(236&gt;=$NR$50,236&lt;=$NS$50),IF($NP$50="Single_Point",IF(236=$NR$50,$NN$50,0),IF($NP$50="Bell_Curve",$NN$50*(236-$NR$50+1)*($NS$50-236+1)/$NU$50,$NN$50/$NT$50)),0)</f>
        <v/>
      </c>
      <c r="IG50" s="402">
        <f>IF(AND(237&gt;=$NR$50,237&lt;=$NS$50),IF($NP$50="Single_Point",IF(237=$NR$50,$NN$50,0),IF($NP$50="Bell_Curve",$NN$50*(237-$NR$50+1)*($NS$50-237+1)/$NU$50,$NN$50/$NT$50)),0)</f>
        <v/>
      </c>
      <c r="IH50" s="402">
        <f>IF(AND(238&gt;=$NR$50,238&lt;=$NS$50),IF($NP$50="Single_Point",IF(238=$NR$50,$NN$50,0),IF($NP$50="Bell_Curve",$NN$50*(238-$NR$50+1)*($NS$50-238+1)/$NU$50,$NN$50/$NT$50)),0)</f>
        <v/>
      </c>
      <c r="II50" s="402">
        <f>IF(AND(239&gt;=$NR$50,239&lt;=$NS$50),IF($NP$50="Single_Point",IF(239=$NR$50,$NN$50,0),IF($NP$50="Bell_Curve",$NN$50*(239-$NR$50+1)*($NS$50-239+1)/$NU$50,$NN$50/$NT$50)),0)</f>
        <v/>
      </c>
      <c r="IJ50" s="402">
        <f>IF(AND(240&gt;=$NR$50,240&lt;=$NS$50),IF($NP$50="Single_Point",IF(240=$NR$50,$NN$50,0),IF($NP$50="Bell_Curve",$NN$50*(240-$NR$50+1)*($NS$50-240+1)/$NU$50,$NN$50/$NT$50)),0)</f>
        <v/>
      </c>
      <c r="IK50" s="402">
        <f>IF(AND(241&gt;=$NR$50,241&lt;=$NS$50),IF($NP$50="Single_Point",IF(241=$NR$50,$NN$50,0),IF($NP$50="Bell_Curve",$NN$50*(241-$NR$50+1)*($NS$50-241+1)/$NU$50,$NN$50/$NT$50)),0)</f>
        <v/>
      </c>
      <c r="IL50" s="402">
        <f>IF(AND(242&gt;=$NR$50,242&lt;=$NS$50),IF($NP$50="Single_Point",IF(242=$NR$50,$NN$50,0),IF($NP$50="Bell_Curve",$NN$50*(242-$NR$50+1)*($NS$50-242+1)/$NU$50,$NN$50/$NT$50)),0)</f>
        <v/>
      </c>
      <c r="IM50" s="402">
        <f>IF(AND(243&gt;=$NR$50,243&lt;=$NS$50),IF($NP$50="Single_Point",IF(243=$NR$50,$NN$50,0),IF($NP$50="Bell_Curve",$NN$50*(243-$NR$50+1)*($NS$50-243+1)/$NU$50,$NN$50/$NT$50)),0)</f>
        <v/>
      </c>
      <c r="IN50" s="402">
        <f>IF(AND(244&gt;=$NR$50,244&lt;=$NS$50),IF($NP$50="Single_Point",IF(244=$NR$50,$NN$50,0),IF($NP$50="Bell_Curve",$NN$50*(244-$NR$50+1)*($NS$50-244+1)/$NU$50,$NN$50/$NT$50)),0)</f>
        <v/>
      </c>
      <c r="IO50" s="402">
        <f>IF(AND(245&gt;=$NR$50,245&lt;=$NS$50),IF($NP$50="Single_Point",IF(245=$NR$50,$NN$50,0),IF($NP$50="Bell_Curve",$NN$50*(245-$NR$50+1)*($NS$50-245+1)/$NU$50,$NN$50/$NT$50)),0)</f>
        <v/>
      </c>
      <c r="IP50" s="402">
        <f>IF(AND(246&gt;=$NR$50,246&lt;=$NS$50),IF($NP$50="Single_Point",IF(246=$NR$50,$NN$50,0),IF($NP$50="Bell_Curve",$NN$50*(246-$NR$50+1)*($NS$50-246+1)/$NU$50,$NN$50/$NT$50)),0)</f>
        <v/>
      </c>
      <c r="IQ50" s="402">
        <f>IF(AND(247&gt;=$NR$50,247&lt;=$NS$50),IF($NP$50="Single_Point",IF(247=$NR$50,$NN$50,0),IF($NP$50="Bell_Curve",$NN$50*(247-$NR$50+1)*($NS$50-247+1)/$NU$50,$NN$50/$NT$50)),0)</f>
        <v/>
      </c>
      <c r="IR50" s="402">
        <f>IF(AND(248&gt;=$NR$50,248&lt;=$NS$50),IF($NP$50="Single_Point",IF(248=$NR$50,$NN$50,0),IF($NP$50="Bell_Curve",$NN$50*(248-$NR$50+1)*($NS$50-248+1)/$NU$50,$NN$50/$NT$50)),0)</f>
        <v/>
      </c>
      <c r="IS50" s="402">
        <f>IF(AND(249&gt;=$NR$50,249&lt;=$NS$50),IF($NP$50="Single_Point",IF(249=$NR$50,$NN$50,0),IF($NP$50="Bell_Curve",$NN$50*(249-$NR$50+1)*($NS$50-249+1)/$NU$50,$NN$50/$NT$50)),0)</f>
        <v/>
      </c>
      <c r="IT50" s="402">
        <f>IF(AND(250&gt;=$NR$50,250&lt;=$NS$50),IF($NP$50="Single_Point",IF(250=$NR$50,$NN$50,0),IF($NP$50="Bell_Curve",$NN$50*(250-$NR$50+1)*($NS$50-250+1)/$NU$50,$NN$50/$NT$50)),0)</f>
        <v/>
      </c>
      <c r="IU50" s="402">
        <f>IF(AND(251&gt;=$NR$50,251&lt;=$NS$50),IF($NP$50="Single_Point",IF(251=$NR$50,$NN$50,0),IF($NP$50="Bell_Curve",$NN$50*(251-$NR$50+1)*($NS$50-251+1)/$NU$50,$NN$50/$NT$50)),0)</f>
        <v/>
      </c>
      <c r="IV50" s="402">
        <f>IF(AND(252&gt;=$NR$50,252&lt;=$NS$50),IF($NP$50="Single_Point",IF(252=$NR$50,$NN$50,0),IF($NP$50="Bell_Curve",$NN$50*(252-$NR$50+1)*($NS$50-252+1)/$NU$50,$NN$50/$NT$50)),0)</f>
        <v/>
      </c>
      <c r="IW50" s="402">
        <f>IF(AND(253&gt;=$NR$50,253&lt;=$NS$50),IF($NP$50="Single_Point",IF(253=$NR$50,$NN$50,0),IF($NP$50="Bell_Curve",$NN$50*(253-$NR$50+1)*($NS$50-253+1)/$NU$50,$NN$50/$NT$50)),0)</f>
        <v/>
      </c>
      <c r="IX50" s="402">
        <f>IF(AND(254&gt;=$NR$50,254&lt;=$NS$50),IF($NP$50="Single_Point",IF(254=$NR$50,$NN$50,0),IF($NP$50="Bell_Curve",$NN$50*(254-$NR$50+1)*($NS$50-254+1)/$NU$50,$NN$50/$NT$50)),0)</f>
        <v/>
      </c>
      <c r="IY50" s="402">
        <f>IF(AND(255&gt;=$NR$50,255&lt;=$NS$50),IF($NP$50="Single_Point",IF(255=$NR$50,$NN$50,0),IF($NP$50="Bell_Curve",$NN$50*(255-$NR$50+1)*($NS$50-255+1)/$NU$50,$NN$50/$NT$50)),0)</f>
        <v/>
      </c>
      <c r="IZ50" s="402">
        <f>IF(AND(256&gt;=$NR$50,256&lt;=$NS$50),IF($NP$50="Single_Point",IF(256=$NR$50,$NN$50,0),IF($NP$50="Bell_Curve",$NN$50*(256-$NR$50+1)*($NS$50-256+1)/$NU$50,$NN$50/$NT$50)),0)</f>
        <v/>
      </c>
      <c r="JA50" s="402">
        <f>IF(AND(257&gt;=$NR$50,257&lt;=$NS$50),IF($NP$50="Single_Point",IF(257=$NR$50,$NN$50,0),IF($NP$50="Bell_Curve",$NN$50*(257-$NR$50+1)*($NS$50-257+1)/$NU$50,$NN$50/$NT$50)),0)</f>
        <v/>
      </c>
      <c r="JB50" s="402">
        <f>IF(AND(258&gt;=$NR$50,258&lt;=$NS$50),IF($NP$50="Single_Point",IF(258=$NR$50,$NN$50,0),IF($NP$50="Bell_Curve",$NN$50*(258-$NR$50+1)*($NS$50-258+1)/$NU$50,$NN$50/$NT$50)),0)</f>
        <v/>
      </c>
      <c r="JC50" s="402">
        <f>IF(AND(259&gt;=$NR$50,259&lt;=$NS$50),IF($NP$50="Single_Point",IF(259=$NR$50,$NN$50,0),IF($NP$50="Bell_Curve",$NN$50*(259-$NR$50+1)*($NS$50-259+1)/$NU$50,$NN$50/$NT$50)),0)</f>
        <v/>
      </c>
      <c r="JD50" s="402">
        <f>IF(AND(260&gt;=$NR$50,260&lt;=$NS$50),IF($NP$50="Single_Point",IF(260=$NR$50,$NN$50,0),IF($NP$50="Bell_Curve",$NN$50*(260-$NR$50+1)*($NS$50-260+1)/$NU$50,$NN$50/$NT$50)),0)</f>
        <v/>
      </c>
      <c r="JE50" s="402">
        <f>IF(AND(261&gt;=$NR$50,261&lt;=$NS$50),IF($NP$50="Single_Point",IF(261=$NR$50,$NN$50,0),IF($NP$50="Bell_Curve",$NN$50*(261-$NR$50+1)*($NS$50-261+1)/$NU$50,$NN$50/$NT$50)),0)</f>
        <v/>
      </c>
      <c r="JF50" s="402">
        <f>IF(AND(262&gt;=$NR$50,262&lt;=$NS$50),IF($NP$50="Single_Point",IF(262=$NR$50,$NN$50,0),IF($NP$50="Bell_Curve",$NN$50*(262-$NR$50+1)*($NS$50-262+1)/$NU$50,$NN$50/$NT$50)),0)</f>
        <v/>
      </c>
      <c r="JG50" s="402">
        <f>IF(AND(263&gt;=$NR$50,263&lt;=$NS$50),IF($NP$50="Single_Point",IF(263=$NR$50,$NN$50,0),IF($NP$50="Bell_Curve",$NN$50*(263-$NR$50+1)*($NS$50-263+1)/$NU$50,$NN$50/$NT$50)),0)</f>
        <v/>
      </c>
      <c r="JH50" s="402">
        <f>IF(AND(264&gt;=$NR$50,264&lt;=$NS$50),IF($NP$50="Single_Point",IF(264=$NR$50,$NN$50,0),IF($NP$50="Bell_Curve",$NN$50*(264-$NR$50+1)*($NS$50-264+1)/$NU$50,$NN$50/$NT$50)),0)</f>
        <v/>
      </c>
      <c r="JI50" s="402">
        <f>IF(AND(265&gt;=$NR$50,265&lt;=$NS$50),IF($NP$50="Single_Point",IF(265=$NR$50,$NN$50,0),IF($NP$50="Bell_Curve",$NN$50*(265-$NR$50+1)*($NS$50-265+1)/$NU$50,$NN$50/$NT$50)),0)</f>
        <v/>
      </c>
      <c r="JJ50" s="402">
        <f>IF(AND(266&gt;=$NR$50,266&lt;=$NS$50),IF($NP$50="Single_Point",IF(266=$NR$50,$NN$50,0),IF($NP$50="Bell_Curve",$NN$50*(266-$NR$50+1)*($NS$50-266+1)/$NU$50,$NN$50/$NT$50)),0)</f>
        <v/>
      </c>
      <c r="JK50" s="402">
        <f>IF(AND(267&gt;=$NR$50,267&lt;=$NS$50),IF($NP$50="Single_Point",IF(267=$NR$50,$NN$50,0),IF($NP$50="Bell_Curve",$NN$50*(267-$NR$50+1)*($NS$50-267+1)/$NU$50,$NN$50/$NT$50)),0)</f>
        <v/>
      </c>
      <c r="JL50" s="402">
        <f>IF(AND(268&gt;=$NR$50,268&lt;=$NS$50),IF($NP$50="Single_Point",IF(268=$NR$50,$NN$50,0),IF($NP$50="Bell_Curve",$NN$50*(268-$NR$50+1)*($NS$50-268+1)/$NU$50,$NN$50/$NT$50)),0)</f>
        <v/>
      </c>
      <c r="JM50" s="402">
        <f>IF(AND(269&gt;=$NR$50,269&lt;=$NS$50),IF($NP$50="Single_Point",IF(269=$NR$50,$NN$50,0),IF($NP$50="Bell_Curve",$NN$50*(269-$NR$50+1)*($NS$50-269+1)/$NU$50,$NN$50/$NT$50)),0)</f>
        <v/>
      </c>
      <c r="JN50" s="402">
        <f>IF(AND(270&gt;=$NR$50,270&lt;=$NS$50),IF($NP$50="Single_Point",IF(270=$NR$50,$NN$50,0),IF($NP$50="Bell_Curve",$NN$50*(270-$NR$50+1)*($NS$50-270+1)/$NU$50,$NN$50/$NT$50)),0)</f>
        <v/>
      </c>
      <c r="JO50" s="402">
        <f>IF(AND(271&gt;=$NR$50,271&lt;=$NS$50),IF($NP$50="Single_Point",IF(271=$NR$50,$NN$50,0),IF($NP$50="Bell_Curve",$NN$50*(271-$NR$50+1)*($NS$50-271+1)/$NU$50,$NN$50/$NT$50)),0)</f>
        <v/>
      </c>
      <c r="JP50" s="402">
        <f>IF(AND(272&gt;=$NR$50,272&lt;=$NS$50),IF($NP$50="Single_Point",IF(272=$NR$50,$NN$50,0),IF($NP$50="Bell_Curve",$NN$50*(272-$NR$50+1)*($NS$50-272+1)/$NU$50,$NN$50/$NT$50)),0)</f>
        <v/>
      </c>
      <c r="JQ50" s="402">
        <f>IF(AND(273&gt;=$NR$50,273&lt;=$NS$50),IF($NP$50="Single_Point",IF(273=$NR$50,$NN$50,0),IF($NP$50="Bell_Curve",$NN$50*(273-$NR$50+1)*($NS$50-273+1)/$NU$50,$NN$50/$NT$50)),0)</f>
        <v/>
      </c>
      <c r="JR50" s="402">
        <f>IF(AND(274&gt;=$NR$50,274&lt;=$NS$50),IF($NP$50="Single_Point",IF(274=$NR$50,$NN$50,0),IF($NP$50="Bell_Curve",$NN$50*(274-$NR$50+1)*($NS$50-274+1)/$NU$50,$NN$50/$NT$50)),0)</f>
        <v/>
      </c>
      <c r="JS50" s="402">
        <f>IF(AND(275&gt;=$NR$50,275&lt;=$NS$50),IF($NP$50="Single_Point",IF(275=$NR$50,$NN$50,0),IF($NP$50="Bell_Curve",$NN$50*(275-$NR$50+1)*($NS$50-275+1)/$NU$50,$NN$50/$NT$50)),0)</f>
        <v/>
      </c>
      <c r="JT50" s="402">
        <f>IF(AND(276&gt;=$NR$50,276&lt;=$NS$50),IF($NP$50="Single_Point",IF(276=$NR$50,$NN$50,0),IF($NP$50="Bell_Curve",$NN$50*(276-$NR$50+1)*($NS$50-276+1)/$NU$50,$NN$50/$NT$50)),0)</f>
        <v/>
      </c>
      <c r="JU50" s="402">
        <f>IF(AND(277&gt;=$NR$50,277&lt;=$NS$50),IF($NP$50="Single_Point",IF(277=$NR$50,$NN$50,0),IF($NP$50="Bell_Curve",$NN$50*(277-$NR$50+1)*($NS$50-277+1)/$NU$50,$NN$50/$NT$50)),0)</f>
        <v/>
      </c>
      <c r="JV50" s="402">
        <f>IF(AND(278&gt;=$NR$50,278&lt;=$NS$50),IF($NP$50="Single_Point",IF(278=$NR$50,$NN$50,0),IF($NP$50="Bell_Curve",$NN$50*(278-$NR$50+1)*($NS$50-278+1)/$NU$50,$NN$50/$NT$50)),0)</f>
        <v/>
      </c>
      <c r="JW50" s="402">
        <f>IF(AND(279&gt;=$NR$50,279&lt;=$NS$50),IF($NP$50="Single_Point",IF(279=$NR$50,$NN$50,0),IF($NP$50="Bell_Curve",$NN$50*(279-$NR$50+1)*($NS$50-279+1)/$NU$50,$NN$50/$NT$50)),0)</f>
        <v/>
      </c>
      <c r="JX50" s="402">
        <f>IF(AND(280&gt;=$NR$50,280&lt;=$NS$50),IF($NP$50="Single_Point",IF(280=$NR$50,$NN$50,0),IF($NP$50="Bell_Curve",$NN$50*(280-$NR$50+1)*($NS$50-280+1)/$NU$50,$NN$50/$NT$50)),0)</f>
        <v/>
      </c>
      <c r="JY50" s="402">
        <f>IF(AND(281&gt;=$NR$50,281&lt;=$NS$50),IF($NP$50="Single_Point",IF(281=$NR$50,$NN$50,0),IF($NP$50="Bell_Curve",$NN$50*(281-$NR$50+1)*($NS$50-281+1)/$NU$50,$NN$50/$NT$50)),0)</f>
        <v/>
      </c>
      <c r="JZ50" s="402">
        <f>IF(AND(282&gt;=$NR$50,282&lt;=$NS$50),IF($NP$50="Single_Point",IF(282=$NR$50,$NN$50,0),IF($NP$50="Bell_Curve",$NN$50*(282-$NR$50+1)*($NS$50-282+1)/$NU$50,$NN$50/$NT$50)),0)</f>
        <v/>
      </c>
      <c r="KA50" s="402">
        <f>IF(AND(283&gt;=$NR$50,283&lt;=$NS$50),IF($NP$50="Single_Point",IF(283=$NR$50,$NN$50,0),IF($NP$50="Bell_Curve",$NN$50*(283-$NR$50+1)*($NS$50-283+1)/$NU$50,$NN$50/$NT$50)),0)</f>
        <v/>
      </c>
      <c r="KB50" s="402">
        <f>IF(AND(284&gt;=$NR$50,284&lt;=$NS$50),IF($NP$50="Single_Point",IF(284=$NR$50,$NN$50,0),IF($NP$50="Bell_Curve",$NN$50*(284-$NR$50+1)*($NS$50-284+1)/$NU$50,$NN$50/$NT$50)),0)</f>
        <v/>
      </c>
      <c r="KC50" s="402">
        <f>IF(AND(285&gt;=$NR$50,285&lt;=$NS$50),IF($NP$50="Single_Point",IF(285=$NR$50,$NN$50,0),IF($NP$50="Bell_Curve",$NN$50*(285-$NR$50+1)*($NS$50-285+1)/$NU$50,$NN$50/$NT$50)),0)</f>
        <v/>
      </c>
      <c r="KD50" s="402">
        <f>IF(AND(286&gt;=$NR$50,286&lt;=$NS$50),IF($NP$50="Single_Point",IF(286=$NR$50,$NN$50,0),IF($NP$50="Bell_Curve",$NN$50*(286-$NR$50+1)*($NS$50-286+1)/$NU$50,$NN$50/$NT$50)),0)</f>
        <v/>
      </c>
      <c r="KE50" s="402">
        <f>IF(AND(287&gt;=$NR$50,287&lt;=$NS$50),IF($NP$50="Single_Point",IF(287=$NR$50,$NN$50,0),IF($NP$50="Bell_Curve",$NN$50*(287-$NR$50+1)*($NS$50-287+1)/$NU$50,$NN$50/$NT$50)),0)</f>
        <v/>
      </c>
      <c r="KF50" s="402">
        <f>IF(AND(288&gt;=$NR$50,288&lt;=$NS$50),IF($NP$50="Single_Point",IF(288=$NR$50,$NN$50,0),IF($NP$50="Bell_Curve",$NN$50*(288-$NR$50+1)*($NS$50-288+1)/$NU$50,$NN$50/$NT$50)),0)</f>
        <v/>
      </c>
      <c r="KG50" s="402">
        <f>IF(AND(289&gt;=$NR$50,289&lt;=$NS$50),IF($NP$50="Single_Point",IF(289=$NR$50,$NN$50,0),IF($NP$50="Bell_Curve",$NN$50*(289-$NR$50+1)*($NS$50-289+1)/$NU$50,$NN$50/$NT$50)),0)</f>
        <v/>
      </c>
      <c r="KH50" s="402">
        <f>IF(AND(290&gt;=$NR$50,290&lt;=$NS$50),IF($NP$50="Single_Point",IF(290=$NR$50,$NN$50,0),IF($NP$50="Bell_Curve",$NN$50*(290-$NR$50+1)*($NS$50-290+1)/$NU$50,$NN$50/$NT$50)),0)</f>
        <v/>
      </c>
      <c r="KI50" s="402">
        <f>IF(AND(291&gt;=$NR$50,291&lt;=$NS$50),IF($NP$50="Single_Point",IF(291=$NR$50,$NN$50,0),IF($NP$50="Bell_Curve",$NN$50*(291-$NR$50+1)*($NS$50-291+1)/$NU$50,$NN$50/$NT$50)),0)</f>
        <v/>
      </c>
      <c r="KJ50" s="402">
        <f>IF(AND(292&gt;=$NR$50,292&lt;=$NS$50),IF($NP$50="Single_Point",IF(292=$NR$50,$NN$50,0),IF($NP$50="Bell_Curve",$NN$50*(292-$NR$50+1)*($NS$50-292+1)/$NU$50,$NN$50/$NT$50)),0)</f>
        <v/>
      </c>
      <c r="KK50" s="402">
        <f>IF(AND(293&gt;=$NR$50,293&lt;=$NS$50),IF($NP$50="Single_Point",IF(293=$NR$50,$NN$50,0),IF($NP$50="Bell_Curve",$NN$50*(293-$NR$50+1)*($NS$50-293+1)/$NU$50,$NN$50/$NT$50)),0)</f>
        <v/>
      </c>
      <c r="KL50" s="402">
        <f>IF(AND(294&gt;=$NR$50,294&lt;=$NS$50),IF($NP$50="Single_Point",IF(294=$NR$50,$NN$50,0),IF($NP$50="Bell_Curve",$NN$50*(294-$NR$50+1)*($NS$50-294+1)/$NU$50,$NN$50/$NT$50)),0)</f>
        <v/>
      </c>
      <c r="KM50" s="402">
        <f>IF(AND(295&gt;=$NR$50,295&lt;=$NS$50),IF($NP$50="Single_Point",IF(295=$NR$50,$NN$50,0),IF($NP$50="Bell_Curve",$NN$50*(295-$NR$50+1)*($NS$50-295+1)/$NU$50,$NN$50/$NT$50)),0)</f>
        <v/>
      </c>
      <c r="KN50" s="402">
        <f>IF(AND(296&gt;=$NR$50,296&lt;=$NS$50),IF($NP$50="Single_Point",IF(296=$NR$50,$NN$50,0),IF($NP$50="Bell_Curve",$NN$50*(296-$NR$50+1)*($NS$50-296+1)/$NU$50,$NN$50/$NT$50)),0)</f>
        <v/>
      </c>
      <c r="KO50" s="402">
        <f>IF(AND(297&gt;=$NR$50,297&lt;=$NS$50),IF($NP$50="Single_Point",IF(297=$NR$50,$NN$50,0),IF($NP$50="Bell_Curve",$NN$50*(297-$NR$50+1)*($NS$50-297+1)/$NU$50,$NN$50/$NT$50)),0)</f>
        <v/>
      </c>
      <c r="KP50" s="402">
        <f>IF(AND(298&gt;=$NR$50,298&lt;=$NS$50),IF($NP$50="Single_Point",IF(298=$NR$50,$NN$50,0),IF($NP$50="Bell_Curve",$NN$50*(298-$NR$50+1)*($NS$50-298+1)/$NU$50,$NN$50/$NT$50)),0)</f>
        <v/>
      </c>
      <c r="KQ50" s="402">
        <f>IF(AND(299&gt;=$NR$50,299&lt;=$NS$50),IF($NP$50="Single_Point",IF(299=$NR$50,$NN$50,0),IF($NP$50="Bell_Curve",$NN$50*(299-$NR$50+1)*($NS$50-299+1)/$NU$50,$NN$50/$NT$50)),0)</f>
        <v/>
      </c>
      <c r="KR50" s="402">
        <f>IF(AND(300&gt;=$NR$50,300&lt;=$NS$50),IF($NP$50="Single_Point",IF(300=$NR$50,$NN$50,0),IF($NP$50="Bell_Curve",$NN$50*(300-$NR$50+1)*($NS$50-300+1)/$NU$50,$NN$50/$NT$50)),0)</f>
        <v/>
      </c>
      <c r="KS50" s="402">
        <f>IF(AND(301&gt;=$NR$50,301&lt;=$NS$50),IF($NP$50="Single_Point",IF(301=$NR$50,$NN$50,0),IF($NP$50="Bell_Curve",$NN$50*(301-$NR$50+1)*($NS$50-301+1)/$NU$50,$NN$50/$NT$50)),0)</f>
        <v/>
      </c>
      <c r="KT50" s="402">
        <f>IF(AND(302&gt;=$NR$50,302&lt;=$NS$50),IF($NP$50="Single_Point",IF(302=$NR$50,$NN$50,0),IF($NP$50="Bell_Curve",$NN$50*(302-$NR$50+1)*($NS$50-302+1)/$NU$50,$NN$50/$NT$50)),0)</f>
        <v/>
      </c>
      <c r="KU50" s="402">
        <f>IF(AND(303&gt;=$NR$50,303&lt;=$NS$50),IF($NP$50="Single_Point",IF(303=$NR$50,$NN$50,0),IF($NP$50="Bell_Curve",$NN$50*(303-$NR$50+1)*($NS$50-303+1)/$NU$50,$NN$50/$NT$50)),0)</f>
        <v/>
      </c>
      <c r="KV50" s="402">
        <f>IF(AND(304&gt;=$NR$50,304&lt;=$NS$50),IF($NP$50="Single_Point",IF(304=$NR$50,$NN$50,0),IF($NP$50="Bell_Curve",$NN$50*(304-$NR$50+1)*($NS$50-304+1)/$NU$50,$NN$50/$NT$50)),0)</f>
        <v/>
      </c>
      <c r="KW50" s="402">
        <f>IF(AND(305&gt;=$NR$50,305&lt;=$NS$50),IF($NP$50="Single_Point",IF(305=$NR$50,$NN$50,0),IF($NP$50="Bell_Curve",$NN$50*(305-$NR$50+1)*($NS$50-305+1)/$NU$50,$NN$50/$NT$50)),0)</f>
        <v/>
      </c>
      <c r="KX50" s="402">
        <f>IF(AND(306&gt;=$NR$50,306&lt;=$NS$50),IF($NP$50="Single_Point",IF(306=$NR$50,$NN$50,0),IF($NP$50="Bell_Curve",$NN$50*(306-$NR$50+1)*($NS$50-306+1)/$NU$50,$NN$50/$NT$50)),0)</f>
        <v/>
      </c>
      <c r="KY50" s="402">
        <f>IF(AND(307&gt;=$NR$50,307&lt;=$NS$50),IF($NP$50="Single_Point",IF(307=$NR$50,$NN$50,0),IF($NP$50="Bell_Curve",$NN$50*(307-$NR$50+1)*($NS$50-307+1)/$NU$50,$NN$50/$NT$50)),0)</f>
        <v/>
      </c>
      <c r="KZ50" s="402">
        <f>IF(AND(308&gt;=$NR$50,308&lt;=$NS$50),IF($NP$50="Single_Point",IF(308=$NR$50,$NN$50,0),IF($NP$50="Bell_Curve",$NN$50*(308-$NR$50+1)*($NS$50-308+1)/$NU$50,$NN$50/$NT$50)),0)</f>
        <v/>
      </c>
      <c r="LA50" s="402">
        <f>IF(AND(309&gt;=$NR$50,309&lt;=$NS$50),IF($NP$50="Single_Point",IF(309=$NR$50,$NN$50,0),IF($NP$50="Bell_Curve",$NN$50*(309-$NR$50+1)*($NS$50-309+1)/$NU$50,$NN$50/$NT$50)),0)</f>
        <v/>
      </c>
      <c r="LB50" s="402">
        <f>IF(AND(310&gt;=$NR$50,310&lt;=$NS$50),IF($NP$50="Single_Point",IF(310=$NR$50,$NN$50,0),IF($NP$50="Bell_Curve",$NN$50*(310-$NR$50+1)*($NS$50-310+1)/$NU$50,$NN$50/$NT$50)),0)</f>
        <v/>
      </c>
      <c r="LC50" s="402">
        <f>IF(AND(311&gt;=$NR$50,311&lt;=$NS$50),IF($NP$50="Single_Point",IF(311=$NR$50,$NN$50,0),IF($NP$50="Bell_Curve",$NN$50*(311-$NR$50+1)*($NS$50-311+1)/$NU$50,$NN$50/$NT$50)),0)</f>
        <v/>
      </c>
      <c r="LD50" s="402">
        <f>IF(AND(312&gt;=$NR$50,312&lt;=$NS$50),IF($NP$50="Single_Point",IF(312=$NR$50,$NN$50,0),IF($NP$50="Bell_Curve",$NN$50*(312-$NR$50+1)*($NS$50-312+1)/$NU$50,$NN$50/$NT$50)),0)</f>
        <v/>
      </c>
      <c r="LE50" s="402">
        <f>IF(AND(313&gt;=$NR$50,313&lt;=$NS$50),IF($NP$50="Single_Point",IF(313=$NR$50,$NN$50,0),IF($NP$50="Bell_Curve",$NN$50*(313-$NR$50+1)*($NS$50-313+1)/$NU$50,$NN$50/$NT$50)),0)</f>
        <v/>
      </c>
      <c r="LF50" s="402">
        <f>IF(AND(314&gt;=$NR$50,314&lt;=$NS$50),IF($NP$50="Single_Point",IF(314=$NR$50,$NN$50,0),IF($NP$50="Bell_Curve",$NN$50*(314-$NR$50+1)*($NS$50-314+1)/$NU$50,$NN$50/$NT$50)),0)</f>
        <v/>
      </c>
      <c r="LG50" s="402">
        <f>IF(AND(315&gt;=$NR$50,315&lt;=$NS$50),IF($NP$50="Single_Point",IF(315=$NR$50,$NN$50,0),IF($NP$50="Bell_Curve",$NN$50*(315-$NR$50+1)*($NS$50-315+1)/$NU$50,$NN$50/$NT$50)),0)</f>
        <v/>
      </c>
      <c r="LH50" s="402">
        <f>IF(AND(316&gt;=$NR$50,316&lt;=$NS$50),IF($NP$50="Single_Point",IF(316=$NR$50,$NN$50,0),IF($NP$50="Bell_Curve",$NN$50*(316-$NR$50+1)*($NS$50-316+1)/$NU$50,$NN$50/$NT$50)),0)</f>
        <v/>
      </c>
      <c r="LI50" s="402">
        <f>IF(AND(317&gt;=$NR$50,317&lt;=$NS$50),IF($NP$50="Single_Point",IF(317=$NR$50,$NN$50,0),IF($NP$50="Bell_Curve",$NN$50*(317-$NR$50+1)*($NS$50-317+1)/$NU$50,$NN$50/$NT$50)),0)</f>
        <v/>
      </c>
      <c r="LJ50" s="402">
        <f>IF(AND(318&gt;=$NR$50,318&lt;=$NS$50),IF($NP$50="Single_Point",IF(318=$NR$50,$NN$50,0),IF($NP$50="Bell_Curve",$NN$50*(318-$NR$50+1)*($NS$50-318+1)/$NU$50,$NN$50/$NT$50)),0)</f>
        <v/>
      </c>
      <c r="LK50" s="402">
        <f>IF(AND(319&gt;=$NR$50,319&lt;=$NS$50),IF($NP$50="Single_Point",IF(319=$NR$50,$NN$50,0),IF($NP$50="Bell_Curve",$NN$50*(319-$NR$50+1)*($NS$50-319+1)/$NU$50,$NN$50/$NT$50)),0)</f>
        <v/>
      </c>
      <c r="LL50" s="402">
        <f>IF(AND(320&gt;=$NR$50,320&lt;=$NS$50),IF($NP$50="Single_Point",IF(320=$NR$50,$NN$50,0),IF($NP$50="Bell_Curve",$NN$50*(320-$NR$50+1)*($NS$50-320+1)/$NU$50,$NN$50/$NT$50)),0)</f>
        <v/>
      </c>
      <c r="LM50" s="402">
        <f>IF(AND(321&gt;=$NR$50,321&lt;=$NS$50),IF($NP$50="Single_Point",IF(321=$NR$50,$NN$50,0),IF($NP$50="Bell_Curve",$NN$50*(321-$NR$50+1)*($NS$50-321+1)/$NU$50,$NN$50/$NT$50)),0)</f>
        <v/>
      </c>
      <c r="LN50" s="402">
        <f>IF(AND(322&gt;=$NR$50,322&lt;=$NS$50),IF($NP$50="Single_Point",IF(322=$NR$50,$NN$50,0),IF($NP$50="Bell_Curve",$NN$50*(322-$NR$50+1)*($NS$50-322+1)/$NU$50,$NN$50/$NT$50)),0)</f>
        <v/>
      </c>
      <c r="LO50" s="402">
        <f>IF(AND(323&gt;=$NR$50,323&lt;=$NS$50),IF($NP$50="Single_Point",IF(323=$NR$50,$NN$50,0),IF($NP$50="Bell_Curve",$NN$50*(323-$NR$50+1)*($NS$50-323+1)/$NU$50,$NN$50/$NT$50)),0)</f>
        <v/>
      </c>
      <c r="LP50" s="402">
        <f>IF(AND(324&gt;=$NR$50,324&lt;=$NS$50),IF($NP$50="Single_Point",IF(324=$NR$50,$NN$50,0),IF($NP$50="Bell_Curve",$NN$50*(324-$NR$50+1)*($NS$50-324+1)/$NU$50,$NN$50/$NT$50)),0)</f>
        <v/>
      </c>
      <c r="LQ50" s="402">
        <f>IF(AND(325&gt;=$NR$50,325&lt;=$NS$50),IF($NP$50="Single_Point",IF(325=$NR$50,$NN$50,0),IF($NP$50="Bell_Curve",$NN$50*(325-$NR$50+1)*($NS$50-325+1)/$NU$50,$NN$50/$NT$50)),0)</f>
        <v/>
      </c>
      <c r="LR50" s="402">
        <f>IF(AND(326&gt;=$NR$50,326&lt;=$NS$50),IF($NP$50="Single_Point",IF(326=$NR$50,$NN$50,0),IF($NP$50="Bell_Curve",$NN$50*(326-$NR$50+1)*($NS$50-326+1)/$NU$50,$NN$50/$NT$50)),0)</f>
        <v/>
      </c>
      <c r="LS50" s="402">
        <f>IF(AND(327&gt;=$NR$50,327&lt;=$NS$50),IF($NP$50="Single_Point",IF(327=$NR$50,$NN$50,0),IF($NP$50="Bell_Curve",$NN$50*(327-$NR$50+1)*($NS$50-327+1)/$NU$50,$NN$50/$NT$50)),0)</f>
        <v/>
      </c>
      <c r="LT50" s="402">
        <f>IF(AND(328&gt;=$NR$50,328&lt;=$NS$50),IF($NP$50="Single_Point",IF(328=$NR$50,$NN$50,0),IF($NP$50="Bell_Curve",$NN$50*(328-$NR$50+1)*($NS$50-328+1)/$NU$50,$NN$50/$NT$50)),0)</f>
        <v/>
      </c>
      <c r="LU50" s="402">
        <f>IF(AND(329&gt;=$NR$50,329&lt;=$NS$50),IF($NP$50="Single_Point",IF(329=$NR$50,$NN$50,0),IF($NP$50="Bell_Curve",$NN$50*(329-$NR$50+1)*($NS$50-329+1)/$NU$50,$NN$50/$NT$50)),0)</f>
        <v/>
      </c>
      <c r="LV50" s="402">
        <f>IF(AND(330&gt;=$NR$50,330&lt;=$NS$50),IF($NP$50="Single_Point",IF(330=$NR$50,$NN$50,0),IF($NP$50="Bell_Curve",$NN$50*(330-$NR$50+1)*($NS$50-330+1)/$NU$50,$NN$50/$NT$50)),0)</f>
        <v/>
      </c>
      <c r="LW50" s="402">
        <f>IF(AND(331&gt;=$NR$50,331&lt;=$NS$50),IF($NP$50="Single_Point",IF(331=$NR$50,$NN$50,0),IF($NP$50="Bell_Curve",$NN$50*(331-$NR$50+1)*($NS$50-331+1)/$NU$50,$NN$50/$NT$50)),0)</f>
        <v/>
      </c>
      <c r="LX50" s="402">
        <f>IF(AND(332&gt;=$NR$50,332&lt;=$NS$50),IF($NP$50="Single_Point",IF(332=$NR$50,$NN$50,0),IF($NP$50="Bell_Curve",$NN$50*(332-$NR$50+1)*($NS$50-332+1)/$NU$50,$NN$50/$NT$50)),0)</f>
        <v/>
      </c>
      <c r="LY50" s="402">
        <f>IF(AND(333&gt;=$NR$50,333&lt;=$NS$50),IF($NP$50="Single_Point",IF(333=$NR$50,$NN$50,0),IF($NP$50="Bell_Curve",$NN$50*(333-$NR$50+1)*($NS$50-333+1)/$NU$50,$NN$50/$NT$50)),0)</f>
        <v/>
      </c>
      <c r="LZ50" s="402">
        <f>IF(AND(334&gt;=$NR$50,334&lt;=$NS$50),IF($NP$50="Single_Point",IF(334=$NR$50,$NN$50,0),IF($NP$50="Bell_Curve",$NN$50*(334-$NR$50+1)*($NS$50-334+1)/$NU$50,$NN$50/$NT$50)),0)</f>
        <v/>
      </c>
      <c r="MA50" s="402">
        <f>IF(AND(335&gt;=$NR$50,335&lt;=$NS$50),IF($NP$50="Single_Point",IF(335=$NR$50,$NN$50,0),IF($NP$50="Bell_Curve",$NN$50*(335-$NR$50+1)*($NS$50-335+1)/$NU$50,$NN$50/$NT$50)),0)</f>
        <v/>
      </c>
      <c r="MB50" s="402">
        <f>IF(AND(336&gt;=$NR$50,336&lt;=$NS$50),IF($NP$50="Single_Point",IF(336=$NR$50,$NN$50,0),IF($NP$50="Bell_Curve",$NN$50*(336-$NR$50+1)*($NS$50-336+1)/$NU$50,$NN$50/$NT$50)),0)</f>
        <v/>
      </c>
      <c r="MC50" s="402">
        <f>IF(AND(337&gt;=$NR$50,337&lt;=$NS$50),IF($NP$50="Single_Point",IF(337=$NR$50,$NN$50,0),IF($NP$50="Bell_Curve",$NN$50*(337-$NR$50+1)*($NS$50-337+1)/$NU$50,$NN$50/$NT$50)),0)</f>
        <v/>
      </c>
      <c r="MD50" s="402">
        <f>IF(AND(338&gt;=$NR$50,338&lt;=$NS$50),IF($NP$50="Single_Point",IF(338=$NR$50,$NN$50,0),IF($NP$50="Bell_Curve",$NN$50*(338-$NR$50+1)*($NS$50-338+1)/$NU$50,$NN$50/$NT$50)),0)</f>
        <v/>
      </c>
      <c r="ME50" s="402">
        <f>IF(AND(339&gt;=$NR$50,339&lt;=$NS$50),IF($NP$50="Single_Point",IF(339=$NR$50,$NN$50,0),IF($NP$50="Bell_Curve",$NN$50*(339-$NR$50+1)*($NS$50-339+1)/$NU$50,$NN$50/$NT$50)),0)</f>
        <v/>
      </c>
      <c r="MF50" s="402">
        <f>IF(AND(340&gt;=$NR$50,340&lt;=$NS$50),IF($NP$50="Single_Point",IF(340=$NR$50,$NN$50,0),IF($NP$50="Bell_Curve",$NN$50*(340-$NR$50+1)*($NS$50-340+1)/$NU$50,$NN$50/$NT$50)),0)</f>
        <v/>
      </c>
      <c r="MG50" s="402">
        <f>IF(AND(341&gt;=$NR$50,341&lt;=$NS$50),IF($NP$50="Single_Point",IF(341=$NR$50,$NN$50,0),IF($NP$50="Bell_Curve",$NN$50*(341-$NR$50+1)*($NS$50-341+1)/$NU$50,$NN$50/$NT$50)),0)</f>
        <v/>
      </c>
      <c r="MH50" s="402">
        <f>IF(AND(342&gt;=$NR$50,342&lt;=$NS$50),IF($NP$50="Single_Point",IF(342=$NR$50,$NN$50,0),IF($NP$50="Bell_Curve",$NN$50*(342-$NR$50+1)*($NS$50-342+1)/$NU$50,$NN$50/$NT$50)),0)</f>
        <v/>
      </c>
      <c r="MI50" s="402">
        <f>IF(AND(343&gt;=$NR$50,343&lt;=$NS$50),IF($NP$50="Single_Point",IF(343=$NR$50,$NN$50,0),IF($NP$50="Bell_Curve",$NN$50*(343-$NR$50+1)*($NS$50-343+1)/$NU$50,$NN$50/$NT$50)),0)</f>
        <v/>
      </c>
      <c r="MJ50" s="402">
        <f>IF(AND(344&gt;=$NR$50,344&lt;=$NS$50),IF($NP$50="Single_Point",IF(344=$NR$50,$NN$50,0),IF($NP$50="Bell_Curve",$NN$50*(344-$NR$50+1)*($NS$50-344+1)/$NU$50,$NN$50/$NT$50)),0)</f>
        <v/>
      </c>
      <c r="MK50" s="402">
        <f>IF(AND(345&gt;=$NR$50,345&lt;=$NS$50),IF($NP$50="Single_Point",IF(345=$NR$50,$NN$50,0),IF($NP$50="Bell_Curve",$NN$50*(345-$NR$50+1)*($NS$50-345+1)/$NU$50,$NN$50/$NT$50)),0)</f>
        <v/>
      </c>
      <c r="ML50" s="402">
        <f>IF(AND(346&gt;=$NR$50,346&lt;=$NS$50),IF($NP$50="Single_Point",IF(346=$NR$50,$NN$50,0),IF($NP$50="Bell_Curve",$NN$50*(346-$NR$50+1)*($NS$50-346+1)/$NU$50,$NN$50/$NT$50)),0)</f>
        <v/>
      </c>
      <c r="MM50" s="402">
        <f>IF(AND(347&gt;=$NR$50,347&lt;=$NS$50),IF($NP$50="Single_Point",IF(347=$NR$50,$NN$50,0),IF($NP$50="Bell_Curve",$NN$50*(347-$NR$50+1)*($NS$50-347+1)/$NU$50,$NN$50/$NT$50)),0)</f>
        <v/>
      </c>
      <c r="MN50" s="402">
        <f>IF(AND(348&gt;=$NR$50,348&lt;=$NS$50),IF($NP$50="Single_Point",IF(348=$NR$50,$NN$50,0),IF($NP$50="Bell_Curve",$NN$50*(348-$NR$50+1)*($NS$50-348+1)/$NU$50,$NN$50/$NT$50)),0)</f>
        <v/>
      </c>
      <c r="MO50" s="402">
        <f>IF(AND(349&gt;=$NR$50,349&lt;=$NS$50),IF($NP$50="Single_Point",IF(349=$NR$50,$NN$50,0),IF($NP$50="Bell_Curve",$NN$50*(349-$NR$50+1)*($NS$50-349+1)/$NU$50,$NN$50/$NT$50)),0)</f>
        <v/>
      </c>
      <c r="MP50" s="402">
        <f>IF(AND(350&gt;=$NR$50,350&lt;=$NS$50),IF($NP$50="Single_Point",IF(350=$NR$50,$NN$50,0),IF($NP$50="Bell_Curve",$NN$50*(350-$NR$50+1)*($NS$50-350+1)/$NU$50,$NN$50/$NT$50)),0)</f>
        <v/>
      </c>
      <c r="MQ50" s="402">
        <f>IF(AND(351&gt;=$NR$50,351&lt;=$NS$50),IF($NP$50="Single_Point",IF(351=$NR$50,$NN$50,0),IF($NP$50="Bell_Curve",$NN$50*(351-$NR$50+1)*($NS$50-351+1)/$NU$50,$NN$50/$NT$50)),0)</f>
        <v/>
      </c>
      <c r="MR50" s="402">
        <f>IF(AND(352&gt;=$NR$50,352&lt;=$NS$50),IF($NP$50="Single_Point",IF(352=$NR$50,$NN$50,0),IF($NP$50="Bell_Curve",$NN$50*(352-$NR$50+1)*($NS$50-352+1)/$NU$50,$NN$50/$NT$50)),0)</f>
        <v/>
      </c>
      <c r="MS50" s="402">
        <f>IF(AND(353&gt;=$NR$50,353&lt;=$NS$50),IF($NP$50="Single_Point",IF(353=$NR$50,$NN$50,0),IF($NP$50="Bell_Curve",$NN$50*(353-$NR$50+1)*($NS$50-353+1)/$NU$50,$NN$50/$NT$50)),0)</f>
        <v/>
      </c>
      <c r="MT50" s="402">
        <f>IF(AND(354&gt;=$NR$50,354&lt;=$NS$50),IF($NP$50="Single_Point",IF(354=$NR$50,$NN$50,0),IF($NP$50="Bell_Curve",$NN$50*(354-$NR$50+1)*($NS$50-354+1)/$NU$50,$NN$50/$NT$50)),0)</f>
        <v/>
      </c>
      <c r="MU50" s="402">
        <f>IF(AND(355&gt;=$NR$50,355&lt;=$NS$50),IF($NP$50="Single_Point",IF(355=$NR$50,$NN$50,0),IF($NP$50="Bell_Curve",$NN$50*(355-$NR$50+1)*($NS$50-355+1)/$NU$50,$NN$50/$NT$50)),0)</f>
        <v/>
      </c>
      <c r="MV50" s="402">
        <f>IF(AND(356&gt;=$NR$50,356&lt;=$NS$50),IF($NP$50="Single_Point",IF(356=$NR$50,$NN$50,0),IF($NP$50="Bell_Curve",$NN$50*(356-$NR$50+1)*($NS$50-356+1)/$NU$50,$NN$50/$NT$50)),0)</f>
        <v/>
      </c>
      <c r="MW50" s="402">
        <f>IF(AND(357&gt;=$NR$50,357&lt;=$NS$50),IF($NP$50="Single_Point",IF(357=$NR$50,$NN$50,0),IF($NP$50="Bell_Curve",$NN$50*(357-$NR$50+1)*($NS$50-357+1)/$NU$50,$NN$50/$NT$50)),0)</f>
        <v/>
      </c>
      <c r="MX50" s="402">
        <f>IF(AND(358&gt;=$NR$50,358&lt;=$NS$50),IF($NP$50="Single_Point",IF(358=$NR$50,$NN$50,0),IF($NP$50="Bell_Curve",$NN$50*(358-$NR$50+1)*($NS$50-358+1)/$NU$50,$NN$50/$NT$50)),0)</f>
        <v/>
      </c>
      <c r="MY50" s="402">
        <f>IF(AND(359&gt;=$NR$50,359&lt;=$NS$50),IF($NP$50="Single_Point",IF(359=$NR$50,$NN$50,0),IF($NP$50="Bell_Curve",$NN$50*(359-$NR$50+1)*($NS$50-359+1)/$NU$50,$NN$50/$NT$50)),0)</f>
        <v/>
      </c>
      <c r="MZ50" s="402">
        <f>IF(AND(360&gt;=$NR$50,360&lt;=$NS$50),IF($NP$50="Single_Point",IF(360=$NR$50,$NN$50,0),IF($NP$50="Bell_Curve",$NN$50*(360-$NR$50+1)*($NS$50-360+1)/$NU$50,$NN$50/$NT$50)),0)</f>
        <v/>
      </c>
      <c r="NA50" s="402">
        <f>IF(AND(361&gt;=$NR$50,361&lt;=$NS$50),IF($NP$50="Single_Point",IF(361=$NR$50,$NN$50,0),IF($NP$50="Bell_Curve",$NN$50*(361-$NR$50+1)*($NS$50-361+1)/$NU$50,$NN$50/$NT$50)),0)</f>
        <v/>
      </c>
      <c r="NB50" s="402">
        <f>IF(AND(362&gt;=$NR$50,362&lt;=$NS$50),IF($NP$50="Single_Point",IF(362=$NR$50,$NN$50,0),IF($NP$50="Bell_Curve",$NN$50*(362-$NR$50+1)*($NS$50-362+1)/$NU$50,$NN$50/$NT$50)),0)</f>
        <v/>
      </c>
      <c r="NC50" s="402">
        <f>IF(AND(363&gt;=$NR$50,363&lt;=$NS$50),IF($NP$50="Single_Point",IF(363=$NR$50,$NN$50,0),IF($NP$50="Bell_Curve",$NN$50*(363-$NR$50+1)*($NS$50-363+1)/$NU$50,$NN$50/$NT$50)),0)</f>
        <v/>
      </c>
      <c r="ND50" s="402">
        <f>IF(AND(364&gt;=$NR$50,364&lt;=$NS$50),IF($NP$50="Single_Point",IF(364=$NR$50,$NN$50,0),IF($NP$50="Bell_Curve",$NN$50*(364-$NR$50+1)*($NS$50-364+1)/$NU$50,$NN$50/$NT$50)),0)</f>
        <v/>
      </c>
      <c r="NE50" s="402">
        <f>IF(AND(365&gt;=$NR$50,365&lt;=$NS$50),IF($NP$50="Single_Point",IF(365=$NR$50,$NN$50,0),IF($NP$50="Bell_Curve",$NN$50*(365-$NR$50+1)*($NS$50-365+1)/$NU$50,$NN$50/$NT$50)),0)</f>
        <v/>
      </c>
      <c r="NF50" s="402">
        <f>IF(AND(366&gt;=$NR$50,366&lt;=$NS$50),IF($NP$50="Single_Point",IF(366=$NR$50,$NN$50,0),IF($NP$50="Bell_Curve",$NN$50*(366-$NR$50+1)*($NS$50-366+1)/$NU$50,$NN$50/$NT$50)),0)</f>
        <v/>
      </c>
      <c r="NG50" s="402">
        <f>IF(AND(367&gt;=$NR$50,367&lt;=$NS$50),IF($NP$50="Single_Point",IF(367=$NR$50,$NN$50,0),IF($NP$50="Bell_Curve",$NN$50*(367-$NR$50+1)*($NS$50-367+1)/$NU$50,$NN$50/$NT$50)),0)</f>
        <v/>
      </c>
      <c r="NH50" s="402">
        <f>IF(AND(368&gt;=$NR$50,368&lt;=$NS$50),IF($NP$50="Single_Point",IF(368=$NR$50,$NN$50,0),IF($NP$50="Bell_Curve",$NN$50*(368-$NR$50+1)*($NS$50-368+1)/$NU$50,$NN$50/$NT$50)),0)</f>
        <v/>
      </c>
      <c r="NI50" s="402">
        <f>IF(AND(369&gt;=$NR$50,369&lt;=$NS$50),IF($NP$50="Single_Point",IF(369=$NR$50,$NN$50,0),IF($NP$50="Bell_Curve",$NN$50*(369-$NR$50+1)*($NS$50-369+1)/$NU$50,$NN$50/$NT$50)),0)</f>
        <v/>
      </c>
      <c r="NJ50" s="402">
        <f>IF(AND(370&gt;=$NR$50,370&lt;=$NS$50),IF($NP$50="Single_Point",IF(370=$NR$50,$NN$50,0),IF($NP$50="Bell_Curve",$NN$50*(370-$NR$50+1)*($NS$50-370+1)/$NU$50,$NN$50/$NT$50)),0)</f>
        <v/>
      </c>
      <c r="NK50" s="402">
        <f>IF(AND(371&gt;=$NR$50,371&lt;=$NS$50),IF($NP$50="Single_Point",IF(371=$NR$50,$NN$50,0),IF($NP$50="Bell_Curve",$NN$50*(371-$NR$50+1)*($NS$50-371+1)/$NU$50,$NN$50/$NT$50)),0)</f>
        <v/>
      </c>
      <c r="NL50" s="402">
        <f>IF(AND(372&gt;=$NR$50,372&lt;=$NS$50),IF($NP$50="Single_Point",IF(372=$NR$50,$NN$50,0),IF($NP$50="Bell_Curve",$NN$50*(372-$NR$50+1)*($NS$50-372+1)/$NU$50,$NN$50/$NT$50)),0)</f>
        <v/>
      </c>
      <c r="NM50">
        <f>Budget!C49</f>
        <v/>
      </c>
      <c r="NN50">
        <f>Budget!J49</f>
        <v/>
      </c>
      <c r="NO50">
        <f>Budget!G49</f>
        <v/>
      </c>
      <c r="NP50">
        <f>Budget!H49</f>
        <v/>
      </c>
      <c r="NQ50">
        <f>Budget!I49</f>
        <v/>
      </c>
      <c r="NR50">
        <f>MAX(1,MIN(372,INDEX(MilestoneStart,MATCH(NO50,MilestoneNames,0))+NQ50))</f>
        <v/>
      </c>
      <c r="NS50">
        <f>MAX(NR50,MIN(372,INDEX(MilestoneEnd,MATCH(NO50,MilestoneNames,0))+NQ50))</f>
        <v/>
      </c>
      <c r="NT50">
        <f>NS50-NR50+1</f>
        <v/>
      </c>
      <c r="NU50">
        <f>NT50*(NT50+1)*(NT50+2)/6</f>
        <v/>
      </c>
    </row>
    <row r="51">
      <c r="B51" s="316">
        <f>Budget!B50</f>
        <v/>
      </c>
      <c r="D51" s="402">
        <f>SUM(E51:NL51)</f>
        <v/>
      </c>
      <c r="E51" s="402">
        <f>IF(AND(1&gt;=$NR$51,1&lt;=$NS$51),IF($NP$51="Single_Point",IF(1=$NR$51,$NN$51,0),IF($NP$51="Bell_Curve",$NN$51*(1-$NR$51+1)*($NS$51-1+1)/$NU$51,$NN$51/$NT$51)),0)</f>
        <v/>
      </c>
      <c r="F51" s="402">
        <f>IF(AND(2&gt;=$NR$51,2&lt;=$NS$51),IF($NP$51="Single_Point",IF(2=$NR$51,$NN$51,0),IF($NP$51="Bell_Curve",$NN$51*(2-$NR$51+1)*($NS$51-2+1)/$NU$51,$NN$51/$NT$51)),0)</f>
        <v/>
      </c>
      <c r="G51" s="402">
        <f>IF(AND(3&gt;=$NR$51,3&lt;=$NS$51),IF($NP$51="Single_Point",IF(3=$NR$51,$NN$51,0),IF($NP$51="Bell_Curve",$NN$51*(3-$NR$51+1)*($NS$51-3+1)/$NU$51,$NN$51/$NT$51)),0)</f>
        <v/>
      </c>
      <c r="H51" s="402">
        <f>IF(AND(4&gt;=$NR$51,4&lt;=$NS$51),IF($NP$51="Single_Point",IF(4=$NR$51,$NN$51,0),IF($NP$51="Bell_Curve",$NN$51*(4-$NR$51+1)*($NS$51-4+1)/$NU$51,$NN$51/$NT$51)),0)</f>
        <v/>
      </c>
      <c r="I51" s="402">
        <f>IF(AND(5&gt;=$NR$51,5&lt;=$NS$51),IF($NP$51="Single_Point",IF(5=$NR$51,$NN$51,0),IF($NP$51="Bell_Curve",$NN$51*(5-$NR$51+1)*($NS$51-5+1)/$NU$51,$NN$51/$NT$51)),0)</f>
        <v/>
      </c>
      <c r="J51" s="402">
        <f>IF(AND(6&gt;=$NR$51,6&lt;=$NS$51),IF($NP$51="Single_Point",IF(6=$NR$51,$NN$51,0),IF($NP$51="Bell_Curve",$NN$51*(6-$NR$51+1)*($NS$51-6+1)/$NU$51,$NN$51/$NT$51)),0)</f>
        <v/>
      </c>
      <c r="K51" s="402">
        <f>IF(AND(7&gt;=$NR$51,7&lt;=$NS$51),IF($NP$51="Single_Point",IF(7=$NR$51,$NN$51,0),IF($NP$51="Bell_Curve",$NN$51*(7-$NR$51+1)*($NS$51-7+1)/$NU$51,$NN$51/$NT$51)),0)</f>
        <v/>
      </c>
      <c r="L51" s="402">
        <f>IF(AND(8&gt;=$NR$51,8&lt;=$NS$51),IF($NP$51="Single_Point",IF(8=$NR$51,$NN$51,0),IF($NP$51="Bell_Curve",$NN$51*(8-$NR$51+1)*($NS$51-8+1)/$NU$51,$NN$51/$NT$51)),0)</f>
        <v/>
      </c>
      <c r="M51" s="402">
        <f>IF(AND(9&gt;=$NR$51,9&lt;=$NS$51),IF($NP$51="Single_Point",IF(9=$NR$51,$NN$51,0),IF($NP$51="Bell_Curve",$NN$51*(9-$NR$51+1)*($NS$51-9+1)/$NU$51,$NN$51/$NT$51)),0)</f>
        <v/>
      </c>
      <c r="N51" s="402">
        <f>IF(AND(10&gt;=$NR$51,10&lt;=$NS$51),IF($NP$51="Single_Point",IF(10=$NR$51,$NN$51,0),IF($NP$51="Bell_Curve",$NN$51*(10-$NR$51+1)*($NS$51-10+1)/$NU$51,$NN$51/$NT$51)),0)</f>
        <v/>
      </c>
      <c r="O51" s="402">
        <f>IF(AND(11&gt;=$NR$51,11&lt;=$NS$51),IF($NP$51="Single_Point",IF(11=$NR$51,$NN$51,0),IF($NP$51="Bell_Curve",$NN$51*(11-$NR$51+1)*($NS$51-11+1)/$NU$51,$NN$51/$NT$51)),0)</f>
        <v/>
      </c>
      <c r="P51" s="402">
        <f>IF(AND(12&gt;=$NR$51,12&lt;=$NS$51),IF($NP$51="Single_Point",IF(12=$NR$51,$NN$51,0),IF($NP$51="Bell_Curve",$NN$51*(12-$NR$51+1)*($NS$51-12+1)/$NU$51,$NN$51/$NT$51)),0)</f>
        <v/>
      </c>
      <c r="Q51" s="402">
        <f>IF(AND(13&gt;=$NR$51,13&lt;=$NS$51),IF($NP$51="Single_Point",IF(13=$NR$51,$NN$51,0),IF($NP$51="Bell_Curve",$NN$51*(13-$NR$51+1)*($NS$51-13+1)/$NU$51,$NN$51/$NT$51)),0)</f>
        <v/>
      </c>
      <c r="R51" s="402">
        <f>IF(AND(14&gt;=$NR$51,14&lt;=$NS$51),IF($NP$51="Single_Point",IF(14=$NR$51,$NN$51,0),IF($NP$51="Bell_Curve",$NN$51*(14-$NR$51+1)*($NS$51-14+1)/$NU$51,$NN$51/$NT$51)),0)</f>
        <v/>
      </c>
      <c r="S51" s="402">
        <f>IF(AND(15&gt;=$NR$51,15&lt;=$NS$51),IF($NP$51="Single_Point",IF(15=$NR$51,$NN$51,0),IF($NP$51="Bell_Curve",$NN$51*(15-$NR$51+1)*($NS$51-15+1)/$NU$51,$NN$51/$NT$51)),0)</f>
        <v/>
      </c>
      <c r="T51" s="402">
        <f>IF(AND(16&gt;=$NR$51,16&lt;=$NS$51),IF($NP$51="Single_Point",IF(16=$NR$51,$NN$51,0),IF($NP$51="Bell_Curve",$NN$51*(16-$NR$51+1)*($NS$51-16+1)/$NU$51,$NN$51/$NT$51)),0)</f>
        <v/>
      </c>
      <c r="U51" s="402">
        <f>IF(AND(17&gt;=$NR$51,17&lt;=$NS$51),IF($NP$51="Single_Point",IF(17=$NR$51,$NN$51,0),IF($NP$51="Bell_Curve",$NN$51*(17-$NR$51+1)*($NS$51-17+1)/$NU$51,$NN$51/$NT$51)),0)</f>
        <v/>
      </c>
      <c r="V51" s="402">
        <f>IF(AND(18&gt;=$NR$51,18&lt;=$NS$51),IF($NP$51="Single_Point",IF(18=$NR$51,$NN$51,0),IF($NP$51="Bell_Curve",$NN$51*(18-$NR$51+1)*($NS$51-18+1)/$NU$51,$NN$51/$NT$51)),0)</f>
        <v/>
      </c>
      <c r="W51" s="402">
        <f>IF(AND(19&gt;=$NR$51,19&lt;=$NS$51),IF($NP$51="Single_Point",IF(19=$NR$51,$NN$51,0),IF($NP$51="Bell_Curve",$NN$51*(19-$NR$51+1)*($NS$51-19+1)/$NU$51,$NN$51/$NT$51)),0)</f>
        <v/>
      </c>
      <c r="X51" s="402">
        <f>IF(AND(20&gt;=$NR$51,20&lt;=$NS$51),IF($NP$51="Single_Point",IF(20=$NR$51,$NN$51,0),IF($NP$51="Bell_Curve",$NN$51*(20-$NR$51+1)*($NS$51-20+1)/$NU$51,$NN$51/$NT$51)),0)</f>
        <v/>
      </c>
      <c r="Y51" s="402">
        <f>IF(AND(21&gt;=$NR$51,21&lt;=$NS$51),IF($NP$51="Single_Point",IF(21=$NR$51,$NN$51,0),IF($NP$51="Bell_Curve",$NN$51*(21-$NR$51+1)*($NS$51-21+1)/$NU$51,$NN$51/$NT$51)),0)</f>
        <v/>
      </c>
      <c r="Z51" s="402">
        <f>IF(AND(22&gt;=$NR$51,22&lt;=$NS$51),IF($NP$51="Single_Point",IF(22=$NR$51,$NN$51,0),IF($NP$51="Bell_Curve",$NN$51*(22-$NR$51+1)*($NS$51-22+1)/$NU$51,$NN$51/$NT$51)),0)</f>
        <v/>
      </c>
      <c r="AA51" s="402">
        <f>IF(AND(23&gt;=$NR$51,23&lt;=$NS$51),IF($NP$51="Single_Point",IF(23=$NR$51,$NN$51,0),IF($NP$51="Bell_Curve",$NN$51*(23-$NR$51+1)*($NS$51-23+1)/$NU$51,$NN$51/$NT$51)),0)</f>
        <v/>
      </c>
      <c r="AB51" s="402">
        <f>IF(AND(24&gt;=$NR$51,24&lt;=$NS$51),IF($NP$51="Single_Point",IF(24=$NR$51,$NN$51,0),IF($NP$51="Bell_Curve",$NN$51*(24-$NR$51+1)*($NS$51-24+1)/$NU$51,$NN$51/$NT$51)),0)</f>
        <v/>
      </c>
      <c r="AC51" s="402">
        <f>IF(AND(25&gt;=$NR$51,25&lt;=$NS$51),IF($NP$51="Single_Point",IF(25=$NR$51,$NN$51,0),IF($NP$51="Bell_Curve",$NN$51*(25-$NR$51+1)*($NS$51-25+1)/$NU$51,$NN$51/$NT$51)),0)</f>
        <v/>
      </c>
      <c r="AD51" s="402">
        <f>IF(AND(26&gt;=$NR$51,26&lt;=$NS$51),IF($NP$51="Single_Point",IF(26=$NR$51,$NN$51,0),IF($NP$51="Bell_Curve",$NN$51*(26-$NR$51+1)*($NS$51-26+1)/$NU$51,$NN$51/$NT$51)),0)</f>
        <v/>
      </c>
      <c r="AE51" s="402">
        <f>IF(AND(27&gt;=$NR$51,27&lt;=$NS$51),IF($NP$51="Single_Point",IF(27=$NR$51,$NN$51,0),IF($NP$51="Bell_Curve",$NN$51*(27-$NR$51+1)*($NS$51-27+1)/$NU$51,$NN$51/$NT$51)),0)</f>
        <v/>
      </c>
      <c r="AF51" s="402">
        <f>IF(AND(28&gt;=$NR$51,28&lt;=$NS$51),IF($NP$51="Single_Point",IF(28=$NR$51,$NN$51,0),IF($NP$51="Bell_Curve",$NN$51*(28-$NR$51+1)*($NS$51-28+1)/$NU$51,$NN$51/$NT$51)),0)</f>
        <v/>
      </c>
      <c r="AG51" s="402">
        <f>IF(AND(29&gt;=$NR$51,29&lt;=$NS$51),IF($NP$51="Single_Point",IF(29=$NR$51,$NN$51,0),IF($NP$51="Bell_Curve",$NN$51*(29-$NR$51+1)*($NS$51-29+1)/$NU$51,$NN$51/$NT$51)),0)</f>
        <v/>
      </c>
      <c r="AH51" s="402">
        <f>IF(AND(30&gt;=$NR$51,30&lt;=$NS$51),IF($NP$51="Single_Point",IF(30=$NR$51,$NN$51,0),IF($NP$51="Bell_Curve",$NN$51*(30-$NR$51+1)*($NS$51-30+1)/$NU$51,$NN$51/$NT$51)),0)</f>
        <v/>
      </c>
      <c r="AI51" s="402">
        <f>IF(AND(31&gt;=$NR$51,31&lt;=$NS$51),IF($NP$51="Single_Point",IF(31=$NR$51,$NN$51,0),IF($NP$51="Bell_Curve",$NN$51*(31-$NR$51+1)*($NS$51-31+1)/$NU$51,$NN$51/$NT$51)),0)</f>
        <v/>
      </c>
      <c r="AJ51" s="402">
        <f>IF(AND(32&gt;=$NR$51,32&lt;=$NS$51),IF($NP$51="Single_Point",IF(32=$NR$51,$NN$51,0),IF($NP$51="Bell_Curve",$NN$51*(32-$NR$51+1)*($NS$51-32+1)/$NU$51,$NN$51/$NT$51)),0)</f>
        <v/>
      </c>
      <c r="AK51" s="402">
        <f>IF(AND(33&gt;=$NR$51,33&lt;=$NS$51),IF($NP$51="Single_Point",IF(33=$NR$51,$NN$51,0),IF($NP$51="Bell_Curve",$NN$51*(33-$NR$51+1)*($NS$51-33+1)/$NU$51,$NN$51/$NT$51)),0)</f>
        <v/>
      </c>
      <c r="AL51" s="402">
        <f>IF(AND(34&gt;=$NR$51,34&lt;=$NS$51),IF($NP$51="Single_Point",IF(34=$NR$51,$NN$51,0),IF($NP$51="Bell_Curve",$NN$51*(34-$NR$51+1)*($NS$51-34+1)/$NU$51,$NN$51/$NT$51)),0)</f>
        <v/>
      </c>
      <c r="AM51" s="402">
        <f>IF(AND(35&gt;=$NR$51,35&lt;=$NS$51),IF($NP$51="Single_Point",IF(35=$NR$51,$NN$51,0),IF($NP$51="Bell_Curve",$NN$51*(35-$NR$51+1)*($NS$51-35+1)/$NU$51,$NN$51/$NT$51)),0)</f>
        <v/>
      </c>
      <c r="AN51" s="402">
        <f>IF(AND(36&gt;=$NR$51,36&lt;=$NS$51),IF($NP$51="Single_Point",IF(36=$NR$51,$NN$51,0),IF($NP$51="Bell_Curve",$NN$51*(36-$NR$51+1)*($NS$51-36+1)/$NU$51,$NN$51/$NT$51)),0)</f>
        <v/>
      </c>
      <c r="AO51" s="402">
        <f>IF(AND(37&gt;=$NR$51,37&lt;=$NS$51),IF($NP$51="Single_Point",IF(37=$NR$51,$NN$51,0),IF($NP$51="Bell_Curve",$NN$51*(37-$NR$51+1)*($NS$51-37+1)/$NU$51,$NN$51/$NT$51)),0)</f>
        <v/>
      </c>
      <c r="AP51" s="402">
        <f>IF(AND(38&gt;=$NR$51,38&lt;=$NS$51),IF($NP$51="Single_Point",IF(38=$NR$51,$NN$51,0),IF($NP$51="Bell_Curve",$NN$51*(38-$NR$51+1)*($NS$51-38+1)/$NU$51,$NN$51/$NT$51)),0)</f>
        <v/>
      </c>
      <c r="AQ51" s="402">
        <f>IF(AND(39&gt;=$NR$51,39&lt;=$NS$51),IF($NP$51="Single_Point",IF(39=$NR$51,$NN$51,0),IF($NP$51="Bell_Curve",$NN$51*(39-$NR$51+1)*($NS$51-39+1)/$NU$51,$NN$51/$NT$51)),0)</f>
        <v/>
      </c>
      <c r="AR51" s="402">
        <f>IF(AND(40&gt;=$NR$51,40&lt;=$NS$51),IF($NP$51="Single_Point",IF(40=$NR$51,$NN$51,0),IF($NP$51="Bell_Curve",$NN$51*(40-$NR$51+1)*($NS$51-40+1)/$NU$51,$NN$51/$NT$51)),0)</f>
        <v/>
      </c>
      <c r="AS51" s="402">
        <f>IF(AND(41&gt;=$NR$51,41&lt;=$NS$51),IF($NP$51="Single_Point",IF(41=$NR$51,$NN$51,0),IF($NP$51="Bell_Curve",$NN$51*(41-$NR$51+1)*($NS$51-41+1)/$NU$51,$NN$51/$NT$51)),0)</f>
        <v/>
      </c>
      <c r="AT51" s="402">
        <f>IF(AND(42&gt;=$NR$51,42&lt;=$NS$51),IF($NP$51="Single_Point",IF(42=$NR$51,$NN$51,0),IF($NP$51="Bell_Curve",$NN$51*(42-$NR$51+1)*($NS$51-42+1)/$NU$51,$NN$51/$NT$51)),0)</f>
        <v/>
      </c>
      <c r="AU51" s="402">
        <f>IF(AND(43&gt;=$NR$51,43&lt;=$NS$51),IF($NP$51="Single_Point",IF(43=$NR$51,$NN$51,0),IF($NP$51="Bell_Curve",$NN$51*(43-$NR$51+1)*($NS$51-43+1)/$NU$51,$NN$51/$NT$51)),0)</f>
        <v/>
      </c>
      <c r="AV51" s="402">
        <f>IF(AND(44&gt;=$NR$51,44&lt;=$NS$51),IF($NP$51="Single_Point",IF(44=$NR$51,$NN$51,0),IF($NP$51="Bell_Curve",$NN$51*(44-$NR$51+1)*($NS$51-44+1)/$NU$51,$NN$51/$NT$51)),0)</f>
        <v/>
      </c>
      <c r="AW51" s="402">
        <f>IF(AND(45&gt;=$NR$51,45&lt;=$NS$51),IF($NP$51="Single_Point",IF(45=$NR$51,$NN$51,0),IF($NP$51="Bell_Curve",$NN$51*(45-$NR$51+1)*($NS$51-45+1)/$NU$51,$NN$51/$NT$51)),0)</f>
        <v/>
      </c>
      <c r="AX51" s="402">
        <f>IF(AND(46&gt;=$NR$51,46&lt;=$NS$51),IF($NP$51="Single_Point",IF(46=$NR$51,$NN$51,0),IF($NP$51="Bell_Curve",$NN$51*(46-$NR$51+1)*($NS$51-46+1)/$NU$51,$NN$51/$NT$51)),0)</f>
        <v/>
      </c>
      <c r="AY51" s="402">
        <f>IF(AND(47&gt;=$NR$51,47&lt;=$NS$51),IF($NP$51="Single_Point",IF(47=$NR$51,$NN$51,0),IF($NP$51="Bell_Curve",$NN$51*(47-$NR$51+1)*($NS$51-47+1)/$NU$51,$NN$51/$NT$51)),0)</f>
        <v/>
      </c>
      <c r="AZ51" s="402">
        <f>IF(AND(48&gt;=$NR$51,48&lt;=$NS$51),IF($NP$51="Single_Point",IF(48=$NR$51,$NN$51,0),IF($NP$51="Bell_Curve",$NN$51*(48-$NR$51+1)*($NS$51-48+1)/$NU$51,$NN$51/$NT$51)),0)</f>
        <v/>
      </c>
      <c r="BA51" s="402">
        <f>IF(AND(49&gt;=$NR$51,49&lt;=$NS$51),IF($NP$51="Single_Point",IF(49=$NR$51,$NN$51,0),IF($NP$51="Bell_Curve",$NN$51*(49-$NR$51+1)*($NS$51-49+1)/$NU$51,$NN$51/$NT$51)),0)</f>
        <v/>
      </c>
      <c r="BB51" s="402">
        <f>IF(AND(50&gt;=$NR$51,50&lt;=$NS$51),IF($NP$51="Single_Point",IF(50=$NR$51,$NN$51,0),IF($NP$51="Bell_Curve",$NN$51*(50-$NR$51+1)*($NS$51-50+1)/$NU$51,$NN$51/$NT$51)),0)</f>
        <v/>
      </c>
      <c r="BC51" s="402">
        <f>IF(AND(51&gt;=$NR$51,51&lt;=$NS$51),IF($NP$51="Single_Point",IF(51=$NR$51,$NN$51,0),IF($NP$51="Bell_Curve",$NN$51*(51-$NR$51+1)*($NS$51-51+1)/$NU$51,$NN$51/$NT$51)),0)</f>
        <v/>
      </c>
      <c r="BD51" s="402">
        <f>IF(AND(52&gt;=$NR$51,52&lt;=$NS$51),IF($NP$51="Single_Point",IF(52=$NR$51,$NN$51,0),IF($NP$51="Bell_Curve",$NN$51*(52-$NR$51+1)*($NS$51-52+1)/$NU$51,$NN$51/$NT$51)),0)</f>
        <v/>
      </c>
      <c r="BE51" s="402">
        <f>IF(AND(53&gt;=$NR$51,53&lt;=$NS$51),IF($NP$51="Single_Point",IF(53=$NR$51,$NN$51,0),IF($NP$51="Bell_Curve",$NN$51*(53-$NR$51+1)*($NS$51-53+1)/$NU$51,$NN$51/$NT$51)),0)</f>
        <v/>
      </c>
      <c r="BF51" s="402">
        <f>IF(AND(54&gt;=$NR$51,54&lt;=$NS$51),IF($NP$51="Single_Point",IF(54=$NR$51,$NN$51,0),IF($NP$51="Bell_Curve",$NN$51*(54-$NR$51+1)*($NS$51-54+1)/$NU$51,$NN$51/$NT$51)),0)</f>
        <v/>
      </c>
      <c r="BG51" s="402">
        <f>IF(AND(55&gt;=$NR$51,55&lt;=$NS$51),IF($NP$51="Single_Point",IF(55=$NR$51,$NN$51,0),IF($NP$51="Bell_Curve",$NN$51*(55-$NR$51+1)*($NS$51-55+1)/$NU$51,$NN$51/$NT$51)),0)</f>
        <v/>
      </c>
      <c r="BH51" s="402">
        <f>IF(AND(56&gt;=$NR$51,56&lt;=$NS$51),IF($NP$51="Single_Point",IF(56=$NR$51,$NN$51,0),IF($NP$51="Bell_Curve",$NN$51*(56-$NR$51+1)*($NS$51-56+1)/$NU$51,$NN$51/$NT$51)),0)</f>
        <v/>
      </c>
      <c r="BI51" s="402">
        <f>IF(AND(57&gt;=$NR$51,57&lt;=$NS$51),IF($NP$51="Single_Point",IF(57=$NR$51,$NN$51,0),IF($NP$51="Bell_Curve",$NN$51*(57-$NR$51+1)*($NS$51-57+1)/$NU$51,$NN$51/$NT$51)),0)</f>
        <v/>
      </c>
      <c r="BJ51" s="402">
        <f>IF(AND(58&gt;=$NR$51,58&lt;=$NS$51),IF($NP$51="Single_Point",IF(58=$NR$51,$NN$51,0),IF($NP$51="Bell_Curve",$NN$51*(58-$NR$51+1)*($NS$51-58+1)/$NU$51,$NN$51/$NT$51)),0)</f>
        <v/>
      </c>
      <c r="BK51" s="402">
        <f>IF(AND(59&gt;=$NR$51,59&lt;=$NS$51),IF($NP$51="Single_Point",IF(59=$NR$51,$NN$51,0),IF($NP$51="Bell_Curve",$NN$51*(59-$NR$51+1)*($NS$51-59+1)/$NU$51,$NN$51/$NT$51)),0)</f>
        <v/>
      </c>
      <c r="BL51" s="402">
        <f>IF(AND(60&gt;=$NR$51,60&lt;=$NS$51),IF($NP$51="Single_Point",IF(60=$NR$51,$NN$51,0),IF($NP$51="Bell_Curve",$NN$51*(60-$NR$51+1)*($NS$51-60+1)/$NU$51,$NN$51/$NT$51)),0)</f>
        <v/>
      </c>
      <c r="BM51" s="402">
        <f>IF(AND(61&gt;=$NR$51,61&lt;=$NS$51),IF($NP$51="Single_Point",IF(61=$NR$51,$NN$51,0),IF($NP$51="Bell_Curve",$NN$51*(61-$NR$51+1)*($NS$51-61+1)/$NU$51,$NN$51/$NT$51)),0)</f>
        <v/>
      </c>
      <c r="BN51" s="402">
        <f>IF(AND(62&gt;=$NR$51,62&lt;=$NS$51),IF($NP$51="Single_Point",IF(62=$NR$51,$NN$51,0),IF($NP$51="Bell_Curve",$NN$51*(62-$NR$51+1)*($NS$51-62+1)/$NU$51,$NN$51/$NT$51)),0)</f>
        <v/>
      </c>
      <c r="BO51" s="402">
        <f>IF(AND(63&gt;=$NR$51,63&lt;=$NS$51),IF($NP$51="Single_Point",IF(63=$NR$51,$NN$51,0),IF($NP$51="Bell_Curve",$NN$51*(63-$NR$51+1)*($NS$51-63+1)/$NU$51,$NN$51/$NT$51)),0)</f>
        <v/>
      </c>
      <c r="BP51" s="402">
        <f>IF(AND(64&gt;=$NR$51,64&lt;=$NS$51),IF($NP$51="Single_Point",IF(64=$NR$51,$NN$51,0),IF($NP$51="Bell_Curve",$NN$51*(64-$NR$51+1)*($NS$51-64+1)/$NU$51,$NN$51/$NT$51)),0)</f>
        <v/>
      </c>
      <c r="BQ51" s="402">
        <f>IF(AND(65&gt;=$NR$51,65&lt;=$NS$51),IF($NP$51="Single_Point",IF(65=$NR$51,$NN$51,0),IF($NP$51="Bell_Curve",$NN$51*(65-$NR$51+1)*($NS$51-65+1)/$NU$51,$NN$51/$NT$51)),0)</f>
        <v/>
      </c>
      <c r="BR51" s="402">
        <f>IF(AND(66&gt;=$NR$51,66&lt;=$NS$51),IF($NP$51="Single_Point",IF(66=$NR$51,$NN$51,0),IF($NP$51="Bell_Curve",$NN$51*(66-$NR$51+1)*($NS$51-66+1)/$NU$51,$NN$51/$NT$51)),0)</f>
        <v/>
      </c>
      <c r="BS51" s="402">
        <f>IF(AND(67&gt;=$NR$51,67&lt;=$NS$51),IF($NP$51="Single_Point",IF(67=$NR$51,$NN$51,0),IF($NP$51="Bell_Curve",$NN$51*(67-$NR$51+1)*($NS$51-67+1)/$NU$51,$NN$51/$NT$51)),0)</f>
        <v/>
      </c>
      <c r="BT51" s="402">
        <f>IF(AND(68&gt;=$NR$51,68&lt;=$NS$51),IF($NP$51="Single_Point",IF(68=$NR$51,$NN$51,0),IF($NP$51="Bell_Curve",$NN$51*(68-$NR$51+1)*($NS$51-68+1)/$NU$51,$NN$51/$NT$51)),0)</f>
        <v/>
      </c>
      <c r="BU51" s="402">
        <f>IF(AND(69&gt;=$NR$51,69&lt;=$NS$51),IF($NP$51="Single_Point",IF(69=$NR$51,$NN$51,0),IF($NP$51="Bell_Curve",$NN$51*(69-$NR$51+1)*($NS$51-69+1)/$NU$51,$NN$51/$NT$51)),0)</f>
        <v/>
      </c>
      <c r="BV51" s="402">
        <f>IF(AND(70&gt;=$NR$51,70&lt;=$NS$51),IF($NP$51="Single_Point",IF(70=$NR$51,$NN$51,0),IF($NP$51="Bell_Curve",$NN$51*(70-$NR$51+1)*($NS$51-70+1)/$NU$51,$NN$51/$NT$51)),0)</f>
        <v/>
      </c>
      <c r="BW51" s="402">
        <f>IF(AND(71&gt;=$NR$51,71&lt;=$NS$51),IF($NP$51="Single_Point",IF(71=$NR$51,$NN$51,0),IF($NP$51="Bell_Curve",$NN$51*(71-$NR$51+1)*($NS$51-71+1)/$NU$51,$NN$51/$NT$51)),0)</f>
        <v/>
      </c>
      <c r="BX51" s="402">
        <f>IF(AND(72&gt;=$NR$51,72&lt;=$NS$51),IF($NP$51="Single_Point",IF(72=$NR$51,$NN$51,0),IF($NP$51="Bell_Curve",$NN$51*(72-$NR$51+1)*($NS$51-72+1)/$NU$51,$NN$51/$NT$51)),0)</f>
        <v/>
      </c>
      <c r="BY51" s="402">
        <f>IF(AND(73&gt;=$NR$51,73&lt;=$NS$51),IF($NP$51="Single_Point",IF(73=$NR$51,$NN$51,0),IF($NP$51="Bell_Curve",$NN$51*(73-$NR$51+1)*($NS$51-73+1)/$NU$51,$NN$51/$NT$51)),0)</f>
        <v/>
      </c>
      <c r="BZ51" s="402">
        <f>IF(AND(74&gt;=$NR$51,74&lt;=$NS$51),IF($NP$51="Single_Point",IF(74=$NR$51,$NN$51,0),IF($NP$51="Bell_Curve",$NN$51*(74-$NR$51+1)*($NS$51-74+1)/$NU$51,$NN$51/$NT$51)),0)</f>
        <v/>
      </c>
      <c r="CA51" s="402">
        <f>IF(AND(75&gt;=$NR$51,75&lt;=$NS$51),IF($NP$51="Single_Point",IF(75=$NR$51,$NN$51,0),IF($NP$51="Bell_Curve",$NN$51*(75-$NR$51+1)*($NS$51-75+1)/$NU$51,$NN$51/$NT$51)),0)</f>
        <v/>
      </c>
      <c r="CB51" s="402">
        <f>IF(AND(76&gt;=$NR$51,76&lt;=$NS$51),IF($NP$51="Single_Point",IF(76=$NR$51,$NN$51,0),IF($NP$51="Bell_Curve",$NN$51*(76-$NR$51+1)*($NS$51-76+1)/$NU$51,$NN$51/$NT$51)),0)</f>
        <v/>
      </c>
      <c r="CC51" s="402">
        <f>IF(AND(77&gt;=$NR$51,77&lt;=$NS$51),IF($NP$51="Single_Point",IF(77=$NR$51,$NN$51,0),IF($NP$51="Bell_Curve",$NN$51*(77-$NR$51+1)*($NS$51-77+1)/$NU$51,$NN$51/$NT$51)),0)</f>
        <v/>
      </c>
      <c r="CD51" s="402">
        <f>IF(AND(78&gt;=$NR$51,78&lt;=$NS$51),IF($NP$51="Single_Point",IF(78=$NR$51,$NN$51,0),IF($NP$51="Bell_Curve",$NN$51*(78-$NR$51+1)*($NS$51-78+1)/$NU$51,$NN$51/$NT$51)),0)</f>
        <v/>
      </c>
      <c r="CE51" s="402">
        <f>IF(AND(79&gt;=$NR$51,79&lt;=$NS$51),IF($NP$51="Single_Point",IF(79=$NR$51,$NN$51,0),IF($NP$51="Bell_Curve",$NN$51*(79-$NR$51+1)*($NS$51-79+1)/$NU$51,$NN$51/$NT$51)),0)</f>
        <v/>
      </c>
      <c r="CF51" s="402">
        <f>IF(AND(80&gt;=$NR$51,80&lt;=$NS$51),IF($NP$51="Single_Point",IF(80=$NR$51,$NN$51,0),IF($NP$51="Bell_Curve",$NN$51*(80-$NR$51+1)*($NS$51-80+1)/$NU$51,$NN$51/$NT$51)),0)</f>
        <v/>
      </c>
      <c r="CG51" s="402">
        <f>IF(AND(81&gt;=$NR$51,81&lt;=$NS$51),IF($NP$51="Single_Point",IF(81=$NR$51,$NN$51,0),IF($NP$51="Bell_Curve",$NN$51*(81-$NR$51+1)*($NS$51-81+1)/$NU$51,$NN$51/$NT$51)),0)</f>
        <v/>
      </c>
      <c r="CH51" s="402">
        <f>IF(AND(82&gt;=$NR$51,82&lt;=$NS$51),IF($NP$51="Single_Point",IF(82=$NR$51,$NN$51,0),IF($NP$51="Bell_Curve",$NN$51*(82-$NR$51+1)*($NS$51-82+1)/$NU$51,$NN$51/$NT$51)),0)</f>
        <v/>
      </c>
      <c r="CI51" s="402">
        <f>IF(AND(83&gt;=$NR$51,83&lt;=$NS$51),IF($NP$51="Single_Point",IF(83=$NR$51,$NN$51,0),IF($NP$51="Bell_Curve",$NN$51*(83-$NR$51+1)*($NS$51-83+1)/$NU$51,$NN$51/$NT$51)),0)</f>
        <v/>
      </c>
      <c r="CJ51" s="402">
        <f>IF(AND(84&gt;=$NR$51,84&lt;=$NS$51),IF($NP$51="Single_Point",IF(84=$NR$51,$NN$51,0),IF($NP$51="Bell_Curve",$NN$51*(84-$NR$51+1)*($NS$51-84+1)/$NU$51,$NN$51/$NT$51)),0)</f>
        <v/>
      </c>
      <c r="CK51" s="402">
        <f>IF(AND(85&gt;=$NR$51,85&lt;=$NS$51),IF($NP$51="Single_Point",IF(85=$NR$51,$NN$51,0),IF($NP$51="Bell_Curve",$NN$51*(85-$NR$51+1)*($NS$51-85+1)/$NU$51,$NN$51/$NT$51)),0)</f>
        <v/>
      </c>
      <c r="CL51" s="402">
        <f>IF(AND(86&gt;=$NR$51,86&lt;=$NS$51),IF($NP$51="Single_Point",IF(86=$NR$51,$NN$51,0),IF($NP$51="Bell_Curve",$NN$51*(86-$NR$51+1)*($NS$51-86+1)/$NU$51,$NN$51/$NT$51)),0)</f>
        <v/>
      </c>
      <c r="CM51" s="402">
        <f>IF(AND(87&gt;=$NR$51,87&lt;=$NS$51),IF($NP$51="Single_Point",IF(87=$NR$51,$NN$51,0),IF($NP$51="Bell_Curve",$NN$51*(87-$NR$51+1)*($NS$51-87+1)/$NU$51,$NN$51/$NT$51)),0)</f>
        <v/>
      </c>
      <c r="CN51" s="402">
        <f>IF(AND(88&gt;=$NR$51,88&lt;=$NS$51),IF($NP$51="Single_Point",IF(88=$NR$51,$NN$51,0),IF($NP$51="Bell_Curve",$NN$51*(88-$NR$51+1)*($NS$51-88+1)/$NU$51,$NN$51/$NT$51)),0)</f>
        <v/>
      </c>
      <c r="CO51" s="402">
        <f>IF(AND(89&gt;=$NR$51,89&lt;=$NS$51),IF($NP$51="Single_Point",IF(89=$NR$51,$NN$51,0),IF($NP$51="Bell_Curve",$NN$51*(89-$NR$51+1)*($NS$51-89+1)/$NU$51,$NN$51/$NT$51)),0)</f>
        <v/>
      </c>
      <c r="CP51" s="402">
        <f>IF(AND(90&gt;=$NR$51,90&lt;=$NS$51),IF($NP$51="Single_Point",IF(90=$NR$51,$NN$51,0),IF($NP$51="Bell_Curve",$NN$51*(90-$NR$51+1)*($NS$51-90+1)/$NU$51,$NN$51/$NT$51)),0)</f>
        <v/>
      </c>
      <c r="CQ51" s="402">
        <f>IF(AND(91&gt;=$NR$51,91&lt;=$NS$51),IF($NP$51="Single_Point",IF(91=$NR$51,$NN$51,0),IF($NP$51="Bell_Curve",$NN$51*(91-$NR$51+1)*($NS$51-91+1)/$NU$51,$NN$51/$NT$51)),0)</f>
        <v/>
      </c>
      <c r="CR51" s="402">
        <f>IF(AND(92&gt;=$NR$51,92&lt;=$NS$51),IF($NP$51="Single_Point",IF(92=$NR$51,$NN$51,0),IF($NP$51="Bell_Curve",$NN$51*(92-$NR$51+1)*($NS$51-92+1)/$NU$51,$NN$51/$NT$51)),0)</f>
        <v/>
      </c>
      <c r="CS51" s="402">
        <f>IF(AND(93&gt;=$NR$51,93&lt;=$NS$51),IF($NP$51="Single_Point",IF(93=$NR$51,$NN$51,0),IF($NP$51="Bell_Curve",$NN$51*(93-$NR$51+1)*($NS$51-93+1)/$NU$51,$NN$51/$NT$51)),0)</f>
        <v/>
      </c>
      <c r="CT51" s="402">
        <f>IF(AND(94&gt;=$NR$51,94&lt;=$NS$51),IF($NP$51="Single_Point",IF(94=$NR$51,$NN$51,0),IF($NP$51="Bell_Curve",$NN$51*(94-$NR$51+1)*($NS$51-94+1)/$NU$51,$NN$51/$NT$51)),0)</f>
        <v/>
      </c>
      <c r="CU51" s="402">
        <f>IF(AND(95&gt;=$NR$51,95&lt;=$NS$51),IF($NP$51="Single_Point",IF(95=$NR$51,$NN$51,0),IF($NP$51="Bell_Curve",$NN$51*(95-$NR$51+1)*($NS$51-95+1)/$NU$51,$NN$51/$NT$51)),0)</f>
        <v/>
      </c>
      <c r="CV51" s="402">
        <f>IF(AND(96&gt;=$NR$51,96&lt;=$NS$51),IF($NP$51="Single_Point",IF(96=$NR$51,$NN$51,0),IF($NP$51="Bell_Curve",$NN$51*(96-$NR$51+1)*($NS$51-96+1)/$NU$51,$NN$51/$NT$51)),0)</f>
        <v/>
      </c>
      <c r="CW51" s="402">
        <f>IF(AND(97&gt;=$NR$51,97&lt;=$NS$51),IF($NP$51="Single_Point",IF(97=$NR$51,$NN$51,0),IF($NP$51="Bell_Curve",$NN$51*(97-$NR$51+1)*($NS$51-97+1)/$NU$51,$NN$51/$NT$51)),0)</f>
        <v/>
      </c>
      <c r="CX51" s="402">
        <f>IF(AND(98&gt;=$NR$51,98&lt;=$NS$51),IF($NP$51="Single_Point",IF(98=$NR$51,$NN$51,0),IF($NP$51="Bell_Curve",$NN$51*(98-$NR$51+1)*($NS$51-98+1)/$NU$51,$NN$51/$NT$51)),0)</f>
        <v/>
      </c>
      <c r="CY51" s="402">
        <f>IF(AND(99&gt;=$NR$51,99&lt;=$NS$51),IF($NP$51="Single_Point",IF(99=$NR$51,$NN$51,0),IF($NP$51="Bell_Curve",$NN$51*(99-$NR$51+1)*($NS$51-99+1)/$NU$51,$NN$51/$NT$51)),0)</f>
        <v/>
      </c>
      <c r="CZ51" s="402">
        <f>IF(AND(100&gt;=$NR$51,100&lt;=$NS$51),IF($NP$51="Single_Point",IF(100=$NR$51,$NN$51,0),IF($NP$51="Bell_Curve",$NN$51*(100-$NR$51+1)*($NS$51-100+1)/$NU$51,$NN$51/$NT$51)),0)</f>
        <v/>
      </c>
      <c r="DA51" s="402">
        <f>IF(AND(101&gt;=$NR$51,101&lt;=$NS$51),IF($NP$51="Single_Point",IF(101=$NR$51,$NN$51,0),IF($NP$51="Bell_Curve",$NN$51*(101-$NR$51+1)*($NS$51-101+1)/$NU$51,$NN$51/$NT$51)),0)</f>
        <v/>
      </c>
      <c r="DB51" s="402">
        <f>IF(AND(102&gt;=$NR$51,102&lt;=$NS$51),IF($NP$51="Single_Point",IF(102=$NR$51,$NN$51,0),IF($NP$51="Bell_Curve",$NN$51*(102-$NR$51+1)*($NS$51-102+1)/$NU$51,$NN$51/$NT$51)),0)</f>
        <v/>
      </c>
      <c r="DC51" s="402">
        <f>IF(AND(103&gt;=$NR$51,103&lt;=$NS$51),IF($NP$51="Single_Point",IF(103=$NR$51,$NN$51,0),IF($NP$51="Bell_Curve",$NN$51*(103-$NR$51+1)*($NS$51-103+1)/$NU$51,$NN$51/$NT$51)),0)</f>
        <v/>
      </c>
      <c r="DD51" s="402">
        <f>IF(AND(104&gt;=$NR$51,104&lt;=$NS$51),IF($NP$51="Single_Point",IF(104=$NR$51,$NN$51,0),IF($NP$51="Bell_Curve",$NN$51*(104-$NR$51+1)*($NS$51-104+1)/$NU$51,$NN$51/$NT$51)),0)</f>
        <v/>
      </c>
      <c r="DE51" s="402">
        <f>IF(AND(105&gt;=$NR$51,105&lt;=$NS$51),IF($NP$51="Single_Point",IF(105=$NR$51,$NN$51,0),IF($NP$51="Bell_Curve",$NN$51*(105-$NR$51+1)*($NS$51-105+1)/$NU$51,$NN$51/$NT$51)),0)</f>
        <v/>
      </c>
      <c r="DF51" s="402">
        <f>IF(AND(106&gt;=$NR$51,106&lt;=$NS$51),IF($NP$51="Single_Point",IF(106=$NR$51,$NN$51,0),IF($NP$51="Bell_Curve",$NN$51*(106-$NR$51+1)*($NS$51-106+1)/$NU$51,$NN$51/$NT$51)),0)</f>
        <v/>
      </c>
      <c r="DG51" s="402">
        <f>IF(AND(107&gt;=$NR$51,107&lt;=$NS$51),IF($NP$51="Single_Point",IF(107=$NR$51,$NN$51,0),IF($NP$51="Bell_Curve",$NN$51*(107-$NR$51+1)*($NS$51-107+1)/$NU$51,$NN$51/$NT$51)),0)</f>
        <v/>
      </c>
      <c r="DH51" s="402">
        <f>IF(AND(108&gt;=$NR$51,108&lt;=$NS$51),IF($NP$51="Single_Point",IF(108=$NR$51,$NN$51,0),IF($NP$51="Bell_Curve",$NN$51*(108-$NR$51+1)*($NS$51-108+1)/$NU$51,$NN$51/$NT$51)),0)</f>
        <v/>
      </c>
      <c r="DI51" s="402">
        <f>IF(AND(109&gt;=$NR$51,109&lt;=$NS$51),IF($NP$51="Single_Point",IF(109=$NR$51,$NN$51,0),IF($NP$51="Bell_Curve",$NN$51*(109-$NR$51+1)*($NS$51-109+1)/$NU$51,$NN$51/$NT$51)),0)</f>
        <v/>
      </c>
      <c r="DJ51" s="402">
        <f>IF(AND(110&gt;=$NR$51,110&lt;=$NS$51),IF($NP$51="Single_Point",IF(110=$NR$51,$NN$51,0),IF($NP$51="Bell_Curve",$NN$51*(110-$NR$51+1)*($NS$51-110+1)/$NU$51,$NN$51/$NT$51)),0)</f>
        <v/>
      </c>
      <c r="DK51" s="402">
        <f>IF(AND(111&gt;=$NR$51,111&lt;=$NS$51),IF($NP$51="Single_Point",IF(111=$NR$51,$NN$51,0),IF($NP$51="Bell_Curve",$NN$51*(111-$NR$51+1)*($NS$51-111+1)/$NU$51,$NN$51/$NT$51)),0)</f>
        <v/>
      </c>
      <c r="DL51" s="402">
        <f>IF(AND(112&gt;=$NR$51,112&lt;=$NS$51),IF($NP$51="Single_Point",IF(112=$NR$51,$NN$51,0),IF($NP$51="Bell_Curve",$NN$51*(112-$NR$51+1)*($NS$51-112+1)/$NU$51,$NN$51/$NT$51)),0)</f>
        <v/>
      </c>
      <c r="DM51" s="402">
        <f>IF(AND(113&gt;=$NR$51,113&lt;=$NS$51),IF($NP$51="Single_Point",IF(113=$NR$51,$NN$51,0),IF($NP$51="Bell_Curve",$NN$51*(113-$NR$51+1)*($NS$51-113+1)/$NU$51,$NN$51/$NT$51)),0)</f>
        <v/>
      </c>
      <c r="DN51" s="402">
        <f>IF(AND(114&gt;=$NR$51,114&lt;=$NS$51),IF($NP$51="Single_Point",IF(114=$NR$51,$NN$51,0),IF($NP$51="Bell_Curve",$NN$51*(114-$NR$51+1)*($NS$51-114+1)/$NU$51,$NN$51/$NT$51)),0)</f>
        <v/>
      </c>
      <c r="DO51" s="402">
        <f>IF(AND(115&gt;=$NR$51,115&lt;=$NS$51),IF($NP$51="Single_Point",IF(115=$NR$51,$NN$51,0),IF($NP$51="Bell_Curve",$NN$51*(115-$NR$51+1)*($NS$51-115+1)/$NU$51,$NN$51/$NT$51)),0)</f>
        <v/>
      </c>
      <c r="DP51" s="402">
        <f>IF(AND(116&gt;=$NR$51,116&lt;=$NS$51),IF($NP$51="Single_Point",IF(116=$NR$51,$NN$51,0),IF($NP$51="Bell_Curve",$NN$51*(116-$NR$51+1)*($NS$51-116+1)/$NU$51,$NN$51/$NT$51)),0)</f>
        <v/>
      </c>
      <c r="DQ51" s="402">
        <f>IF(AND(117&gt;=$NR$51,117&lt;=$NS$51),IF($NP$51="Single_Point",IF(117=$NR$51,$NN$51,0),IF($NP$51="Bell_Curve",$NN$51*(117-$NR$51+1)*($NS$51-117+1)/$NU$51,$NN$51/$NT$51)),0)</f>
        <v/>
      </c>
      <c r="DR51" s="402">
        <f>IF(AND(118&gt;=$NR$51,118&lt;=$NS$51),IF($NP$51="Single_Point",IF(118=$NR$51,$NN$51,0),IF($NP$51="Bell_Curve",$NN$51*(118-$NR$51+1)*($NS$51-118+1)/$NU$51,$NN$51/$NT$51)),0)</f>
        <v/>
      </c>
      <c r="DS51" s="402">
        <f>IF(AND(119&gt;=$NR$51,119&lt;=$NS$51),IF($NP$51="Single_Point",IF(119=$NR$51,$NN$51,0),IF($NP$51="Bell_Curve",$NN$51*(119-$NR$51+1)*($NS$51-119+1)/$NU$51,$NN$51/$NT$51)),0)</f>
        <v/>
      </c>
      <c r="DT51" s="402">
        <f>IF(AND(120&gt;=$NR$51,120&lt;=$NS$51),IF($NP$51="Single_Point",IF(120=$NR$51,$NN$51,0),IF($NP$51="Bell_Curve",$NN$51*(120-$NR$51+1)*($NS$51-120+1)/$NU$51,$NN$51/$NT$51)),0)</f>
        <v/>
      </c>
      <c r="DU51" s="402">
        <f>IF(AND(121&gt;=$NR$51,121&lt;=$NS$51),IF($NP$51="Single_Point",IF(121=$NR$51,$NN$51,0),IF($NP$51="Bell_Curve",$NN$51*(121-$NR$51+1)*($NS$51-121+1)/$NU$51,$NN$51/$NT$51)),0)</f>
        <v/>
      </c>
      <c r="DV51" s="402">
        <f>IF(AND(122&gt;=$NR$51,122&lt;=$NS$51),IF($NP$51="Single_Point",IF(122=$NR$51,$NN$51,0),IF($NP$51="Bell_Curve",$NN$51*(122-$NR$51+1)*($NS$51-122+1)/$NU$51,$NN$51/$NT$51)),0)</f>
        <v/>
      </c>
      <c r="DW51" s="402">
        <f>IF(AND(123&gt;=$NR$51,123&lt;=$NS$51),IF($NP$51="Single_Point",IF(123=$NR$51,$NN$51,0),IF($NP$51="Bell_Curve",$NN$51*(123-$NR$51+1)*($NS$51-123+1)/$NU$51,$NN$51/$NT$51)),0)</f>
        <v/>
      </c>
      <c r="DX51" s="402">
        <f>IF(AND(124&gt;=$NR$51,124&lt;=$NS$51),IF($NP$51="Single_Point",IF(124=$NR$51,$NN$51,0),IF($NP$51="Bell_Curve",$NN$51*(124-$NR$51+1)*($NS$51-124+1)/$NU$51,$NN$51/$NT$51)),0)</f>
        <v/>
      </c>
      <c r="DY51" s="402">
        <f>IF(AND(125&gt;=$NR$51,125&lt;=$NS$51),IF($NP$51="Single_Point",IF(125=$NR$51,$NN$51,0),IF($NP$51="Bell_Curve",$NN$51*(125-$NR$51+1)*($NS$51-125+1)/$NU$51,$NN$51/$NT$51)),0)</f>
        <v/>
      </c>
      <c r="DZ51" s="402">
        <f>IF(AND(126&gt;=$NR$51,126&lt;=$NS$51),IF($NP$51="Single_Point",IF(126=$NR$51,$NN$51,0),IF($NP$51="Bell_Curve",$NN$51*(126-$NR$51+1)*($NS$51-126+1)/$NU$51,$NN$51/$NT$51)),0)</f>
        <v/>
      </c>
      <c r="EA51" s="402">
        <f>IF(AND(127&gt;=$NR$51,127&lt;=$NS$51),IF($NP$51="Single_Point",IF(127=$NR$51,$NN$51,0),IF($NP$51="Bell_Curve",$NN$51*(127-$NR$51+1)*($NS$51-127+1)/$NU$51,$NN$51/$NT$51)),0)</f>
        <v/>
      </c>
      <c r="EB51" s="402">
        <f>IF(AND(128&gt;=$NR$51,128&lt;=$NS$51),IF($NP$51="Single_Point",IF(128=$NR$51,$NN$51,0),IF($NP$51="Bell_Curve",$NN$51*(128-$NR$51+1)*($NS$51-128+1)/$NU$51,$NN$51/$NT$51)),0)</f>
        <v/>
      </c>
      <c r="EC51" s="402">
        <f>IF(AND(129&gt;=$NR$51,129&lt;=$NS$51),IF($NP$51="Single_Point",IF(129=$NR$51,$NN$51,0),IF($NP$51="Bell_Curve",$NN$51*(129-$NR$51+1)*($NS$51-129+1)/$NU$51,$NN$51/$NT$51)),0)</f>
        <v/>
      </c>
      <c r="ED51" s="402">
        <f>IF(AND(130&gt;=$NR$51,130&lt;=$NS$51),IF($NP$51="Single_Point",IF(130=$NR$51,$NN$51,0),IF($NP$51="Bell_Curve",$NN$51*(130-$NR$51+1)*($NS$51-130+1)/$NU$51,$NN$51/$NT$51)),0)</f>
        <v/>
      </c>
      <c r="EE51" s="402">
        <f>IF(AND(131&gt;=$NR$51,131&lt;=$NS$51),IF($NP$51="Single_Point",IF(131=$NR$51,$NN$51,0),IF($NP$51="Bell_Curve",$NN$51*(131-$NR$51+1)*($NS$51-131+1)/$NU$51,$NN$51/$NT$51)),0)</f>
        <v/>
      </c>
      <c r="EF51" s="402">
        <f>IF(AND(132&gt;=$NR$51,132&lt;=$NS$51),IF($NP$51="Single_Point",IF(132=$NR$51,$NN$51,0),IF($NP$51="Bell_Curve",$NN$51*(132-$NR$51+1)*($NS$51-132+1)/$NU$51,$NN$51/$NT$51)),0)</f>
        <v/>
      </c>
      <c r="EG51" s="402">
        <f>IF(AND(133&gt;=$NR$51,133&lt;=$NS$51),IF($NP$51="Single_Point",IF(133=$NR$51,$NN$51,0),IF($NP$51="Bell_Curve",$NN$51*(133-$NR$51+1)*($NS$51-133+1)/$NU$51,$NN$51/$NT$51)),0)</f>
        <v/>
      </c>
      <c r="EH51" s="402">
        <f>IF(AND(134&gt;=$NR$51,134&lt;=$NS$51),IF($NP$51="Single_Point",IF(134=$NR$51,$NN$51,0),IF($NP$51="Bell_Curve",$NN$51*(134-$NR$51+1)*($NS$51-134+1)/$NU$51,$NN$51/$NT$51)),0)</f>
        <v/>
      </c>
      <c r="EI51" s="402">
        <f>IF(AND(135&gt;=$NR$51,135&lt;=$NS$51),IF($NP$51="Single_Point",IF(135=$NR$51,$NN$51,0),IF($NP$51="Bell_Curve",$NN$51*(135-$NR$51+1)*($NS$51-135+1)/$NU$51,$NN$51/$NT$51)),0)</f>
        <v/>
      </c>
      <c r="EJ51" s="402">
        <f>IF(AND(136&gt;=$NR$51,136&lt;=$NS$51),IF($NP$51="Single_Point",IF(136=$NR$51,$NN$51,0),IF($NP$51="Bell_Curve",$NN$51*(136-$NR$51+1)*($NS$51-136+1)/$NU$51,$NN$51/$NT$51)),0)</f>
        <v/>
      </c>
      <c r="EK51" s="402">
        <f>IF(AND(137&gt;=$NR$51,137&lt;=$NS$51),IF($NP$51="Single_Point",IF(137=$NR$51,$NN$51,0),IF($NP$51="Bell_Curve",$NN$51*(137-$NR$51+1)*($NS$51-137+1)/$NU$51,$NN$51/$NT$51)),0)</f>
        <v/>
      </c>
      <c r="EL51" s="402">
        <f>IF(AND(138&gt;=$NR$51,138&lt;=$NS$51),IF($NP$51="Single_Point",IF(138=$NR$51,$NN$51,0),IF($NP$51="Bell_Curve",$NN$51*(138-$NR$51+1)*($NS$51-138+1)/$NU$51,$NN$51/$NT$51)),0)</f>
        <v/>
      </c>
      <c r="EM51" s="402">
        <f>IF(AND(139&gt;=$NR$51,139&lt;=$NS$51),IF($NP$51="Single_Point",IF(139=$NR$51,$NN$51,0),IF($NP$51="Bell_Curve",$NN$51*(139-$NR$51+1)*($NS$51-139+1)/$NU$51,$NN$51/$NT$51)),0)</f>
        <v/>
      </c>
      <c r="EN51" s="402">
        <f>IF(AND(140&gt;=$NR$51,140&lt;=$NS$51),IF($NP$51="Single_Point",IF(140=$NR$51,$NN$51,0),IF($NP$51="Bell_Curve",$NN$51*(140-$NR$51+1)*($NS$51-140+1)/$NU$51,$NN$51/$NT$51)),0)</f>
        <v/>
      </c>
      <c r="EO51" s="402">
        <f>IF(AND(141&gt;=$NR$51,141&lt;=$NS$51),IF($NP$51="Single_Point",IF(141=$NR$51,$NN$51,0),IF($NP$51="Bell_Curve",$NN$51*(141-$NR$51+1)*($NS$51-141+1)/$NU$51,$NN$51/$NT$51)),0)</f>
        <v/>
      </c>
      <c r="EP51" s="402">
        <f>IF(AND(142&gt;=$NR$51,142&lt;=$NS$51),IF($NP$51="Single_Point",IF(142=$NR$51,$NN$51,0),IF($NP$51="Bell_Curve",$NN$51*(142-$NR$51+1)*($NS$51-142+1)/$NU$51,$NN$51/$NT$51)),0)</f>
        <v/>
      </c>
      <c r="EQ51" s="402">
        <f>IF(AND(143&gt;=$NR$51,143&lt;=$NS$51),IF($NP$51="Single_Point",IF(143=$NR$51,$NN$51,0),IF($NP$51="Bell_Curve",$NN$51*(143-$NR$51+1)*($NS$51-143+1)/$NU$51,$NN$51/$NT$51)),0)</f>
        <v/>
      </c>
      <c r="ER51" s="402">
        <f>IF(AND(144&gt;=$NR$51,144&lt;=$NS$51),IF($NP$51="Single_Point",IF(144=$NR$51,$NN$51,0),IF($NP$51="Bell_Curve",$NN$51*(144-$NR$51+1)*($NS$51-144+1)/$NU$51,$NN$51/$NT$51)),0)</f>
        <v/>
      </c>
      <c r="ES51" s="402">
        <f>IF(AND(145&gt;=$NR$51,145&lt;=$NS$51),IF($NP$51="Single_Point",IF(145=$NR$51,$NN$51,0),IF($NP$51="Bell_Curve",$NN$51*(145-$NR$51+1)*($NS$51-145+1)/$NU$51,$NN$51/$NT$51)),0)</f>
        <v/>
      </c>
      <c r="ET51" s="402">
        <f>IF(AND(146&gt;=$NR$51,146&lt;=$NS$51),IF($NP$51="Single_Point",IF(146=$NR$51,$NN$51,0),IF($NP$51="Bell_Curve",$NN$51*(146-$NR$51+1)*($NS$51-146+1)/$NU$51,$NN$51/$NT$51)),0)</f>
        <v/>
      </c>
      <c r="EU51" s="402">
        <f>IF(AND(147&gt;=$NR$51,147&lt;=$NS$51),IF($NP$51="Single_Point",IF(147=$NR$51,$NN$51,0),IF($NP$51="Bell_Curve",$NN$51*(147-$NR$51+1)*($NS$51-147+1)/$NU$51,$NN$51/$NT$51)),0)</f>
        <v/>
      </c>
      <c r="EV51" s="402">
        <f>IF(AND(148&gt;=$NR$51,148&lt;=$NS$51),IF($NP$51="Single_Point",IF(148=$NR$51,$NN$51,0),IF($NP$51="Bell_Curve",$NN$51*(148-$NR$51+1)*($NS$51-148+1)/$NU$51,$NN$51/$NT$51)),0)</f>
        <v/>
      </c>
      <c r="EW51" s="402">
        <f>IF(AND(149&gt;=$NR$51,149&lt;=$NS$51),IF($NP$51="Single_Point",IF(149=$NR$51,$NN$51,0),IF($NP$51="Bell_Curve",$NN$51*(149-$NR$51+1)*($NS$51-149+1)/$NU$51,$NN$51/$NT$51)),0)</f>
        <v/>
      </c>
      <c r="EX51" s="402">
        <f>IF(AND(150&gt;=$NR$51,150&lt;=$NS$51),IF($NP$51="Single_Point",IF(150=$NR$51,$NN$51,0),IF($NP$51="Bell_Curve",$NN$51*(150-$NR$51+1)*($NS$51-150+1)/$NU$51,$NN$51/$NT$51)),0)</f>
        <v/>
      </c>
      <c r="EY51" s="402">
        <f>IF(AND(151&gt;=$NR$51,151&lt;=$NS$51),IF($NP$51="Single_Point",IF(151=$NR$51,$NN$51,0),IF($NP$51="Bell_Curve",$NN$51*(151-$NR$51+1)*($NS$51-151+1)/$NU$51,$NN$51/$NT$51)),0)</f>
        <v/>
      </c>
      <c r="EZ51" s="402">
        <f>IF(AND(152&gt;=$NR$51,152&lt;=$NS$51),IF($NP$51="Single_Point",IF(152=$NR$51,$NN$51,0),IF($NP$51="Bell_Curve",$NN$51*(152-$NR$51+1)*($NS$51-152+1)/$NU$51,$NN$51/$NT$51)),0)</f>
        <v/>
      </c>
      <c r="FA51" s="402">
        <f>IF(AND(153&gt;=$NR$51,153&lt;=$NS$51),IF($NP$51="Single_Point",IF(153=$NR$51,$NN$51,0),IF($NP$51="Bell_Curve",$NN$51*(153-$NR$51+1)*($NS$51-153+1)/$NU$51,$NN$51/$NT$51)),0)</f>
        <v/>
      </c>
      <c r="FB51" s="402">
        <f>IF(AND(154&gt;=$NR$51,154&lt;=$NS$51),IF($NP$51="Single_Point",IF(154=$NR$51,$NN$51,0),IF($NP$51="Bell_Curve",$NN$51*(154-$NR$51+1)*($NS$51-154+1)/$NU$51,$NN$51/$NT$51)),0)</f>
        <v/>
      </c>
      <c r="FC51" s="402">
        <f>IF(AND(155&gt;=$NR$51,155&lt;=$NS$51),IF($NP$51="Single_Point",IF(155=$NR$51,$NN$51,0),IF($NP$51="Bell_Curve",$NN$51*(155-$NR$51+1)*($NS$51-155+1)/$NU$51,$NN$51/$NT$51)),0)</f>
        <v/>
      </c>
      <c r="FD51" s="402">
        <f>IF(AND(156&gt;=$NR$51,156&lt;=$NS$51),IF($NP$51="Single_Point",IF(156=$NR$51,$NN$51,0),IF($NP$51="Bell_Curve",$NN$51*(156-$NR$51+1)*($NS$51-156+1)/$NU$51,$NN$51/$NT$51)),0)</f>
        <v/>
      </c>
      <c r="FE51" s="402">
        <f>IF(AND(157&gt;=$NR$51,157&lt;=$NS$51),IF($NP$51="Single_Point",IF(157=$NR$51,$NN$51,0),IF($NP$51="Bell_Curve",$NN$51*(157-$NR$51+1)*($NS$51-157+1)/$NU$51,$NN$51/$NT$51)),0)</f>
        <v/>
      </c>
      <c r="FF51" s="402">
        <f>IF(AND(158&gt;=$NR$51,158&lt;=$NS$51),IF($NP$51="Single_Point",IF(158=$NR$51,$NN$51,0),IF($NP$51="Bell_Curve",$NN$51*(158-$NR$51+1)*($NS$51-158+1)/$NU$51,$NN$51/$NT$51)),0)</f>
        <v/>
      </c>
      <c r="FG51" s="402">
        <f>IF(AND(159&gt;=$NR$51,159&lt;=$NS$51),IF($NP$51="Single_Point",IF(159=$NR$51,$NN$51,0),IF($NP$51="Bell_Curve",$NN$51*(159-$NR$51+1)*($NS$51-159+1)/$NU$51,$NN$51/$NT$51)),0)</f>
        <v/>
      </c>
      <c r="FH51" s="402">
        <f>IF(AND(160&gt;=$NR$51,160&lt;=$NS$51),IF($NP$51="Single_Point",IF(160=$NR$51,$NN$51,0),IF($NP$51="Bell_Curve",$NN$51*(160-$NR$51+1)*($NS$51-160+1)/$NU$51,$NN$51/$NT$51)),0)</f>
        <v/>
      </c>
      <c r="FI51" s="402">
        <f>IF(AND(161&gt;=$NR$51,161&lt;=$NS$51),IF($NP$51="Single_Point",IF(161=$NR$51,$NN$51,0),IF($NP$51="Bell_Curve",$NN$51*(161-$NR$51+1)*($NS$51-161+1)/$NU$51,$NN$51/$NT$51)),0)</f>
        <v/>
      </c>
      <c r="FJ51" s="402">
        <f>IF(AND(162&gt;=$NR$51,162&lt;=$NS$51),IF($NP$51="Single_Point",IF(162=$NR$51,$NN$51,0),IF($NP$51="Bell_Curve",$NN$51*(162-$NR$51+1)*($NS$51-162+1)/$NU$51,$NN$51/$NT$51)),0)</f>
        <v/>
      </c>
      <c r="FK51" s="402">
        <f>IF(AND(163&gt;=$NR$51,163&lt;=$NS$51),IF($NP$51="Single_Point",IF(163=$NR$51,$NN$51,0),IF($NP$51="Bell_Curve",$NN$51*(163-$NR$51+1)*($NS$51-163+1)/$NU$51,$NN$51/$NT$51)),0)</f>
        <v/>
      </c>
      <c r="FL51" s="402">
        <f>IF(AND(164&gt;=$NR$51,164&lt;=$NS$51),IF($NP$51="Single_Point",IF(164=$NR$51,$NN$51,0),IF($NP$51="Bell_Curve",$NN$51*(164-$NR$51+1)*($NS$51-164+1)/$NU$51,$NN$51/$NT$51)),0)</f>
        <v/>
      </c>
      <c r="FM51" s="402">
        <f>IF(AND(165&gt;=$NR$51,165&lt;=$NS$51),IF($NP$51="Single_Point",IF(165=$NR$51,$NN$51,0),IF($NP$51="Bell_Curve",$NN$51*(165-$NR$51+1)*($NS$51-165+1)/$NU$51,$NN$51/$NT$51)),0)</f>
        <v/>
      </c>
      <c r="FN51" s="402">
        <f>IF(AND(166&gt;=$NR$51,166&lt;=$NS$51),IF($NP$51="Single_Point",IF(166=$NR$51,$NN$51,0),IF($NP$51="Bell_Curve",$NN$51*(166-$NR$51+1)*($NS$51-166+1)/$NU$51,$NN$51/$NT$51)),0)</f>
        <v/>
      </c>
      <c r="FO51" s="402">
        <f>IF(AND(167&gt;=$NR$51,167&lt;=$NS$51),IF($NP$51="Single_Point",IF(167=$NR$51,$NN$51,0),IF($NP$51="Bell_Curve",$NN$51*(167-$NR$51+1)*($NS$51-167+1)/$NU$51,$NN$51/$NT$51)),0)</f>
        <v/>
      </c>
      <c r="FP51" s="402">
        <f>IF(AND(168&gt;=$NR$51,168&lt;=$NS$51),IF($NP$51="Single_Point",IF(168=$NR$51,$NN$51,0),IF($NP$51="Bell_Curve",$NN$51*(168-$NR$51+1)*($NS$51-168+1)/$NU$51,$NN$51/$NT$51)),0)</f>
        <v/>
      </c>
      <c r="FQ51" s="402">
        <f>IF(AND(169&gt;=$NR$51,169&lt;=$NS$51),IF($NP$51="Single_Point",IF(169=$NR$51,$NN$51,0),IF($NP$51="Bell_Curve",$NN$51*(169-$NR$51+1)*($NS$51-169+1)/$NU$51,$NN$51/$NT$51)),0)</f>
        <v/>
      </c>
      <c r="FR51" s="402">
        <f>IF(AND(170&gt;=$NR$51,170&lt;=$NS$51),IF($NP$51="Single_Point",IF(170=$NR$51,$NN$51,0),IF($NP$51="Bell_Curve",$NN$51*(170-$NR$51+1)*($NS$51-170+1)/$NU$51,$NN$51/$NT$51)),0)</f>
        <v/>
      </c>
      <c r="FS51" s="402">
        <f>IF(AND(171&gt;=$NR$51,171&lt;=$NS$51),IF($NP$51="Single_Point",IF(171=$NR$51,$NN$51,0),IF($NP$51="Bell_Curve",$NN$51*(171-$NR$51+1)*($NS$51-171+1)/$NU$51,$NN$51/$NT$51)),0)</f>
        <v/>
      </c>
      <c r="FT51" s="402">
        <f>IF(AND(172&gt;=$NR$51,172&lt;=$NS$51),IF($NP$51="Single_Point",IF(172=$NR$51,$NN$51,0),IF($NP$51="Bell_Curve",$NN$51*(172-$NR$51+1)*($NS$51-172+1)/$NU$51,$NN$51/$NT$51)),0)</f>
        <v/>
      </c>
      <c r="FU51" s="402">
        <f>IF(AND(173&gt;=$NR$51,173&lt;=$NS$51),IF($NP$51="Single_Point",IF(173=$NR$51,$NN$51,0),IF($NP$51="Bell_Curve",$NN$51*(173-$NR$51+1)*($NS$51-173+1)/$NU$51,$NN$51/$NT$51)),0)</f>
        <v/>
      </c>
      <c r="FV51" s="402">
        <f>IF(AND(174&gt;=$NR$51,174&lt;=$NS$51),IF($NP$51="Single_Point",IF(174=$NR$51,$NN$51,0),IF($NP$51="Bell_Curve",$NN$51*(174-$NR$51+1)*($NS$51-174+1)/$NU$51,$NN$51/$NT$51)),0)</f>
        <v/>
      </c>
      <c r="FW51" s="402">
        <f>IF(AND(175&gt;=$NR$51,175&lt;=$NS$51),IF($NP$51="Single_Point",IF(175=$NR$51,$NN$51,0),IF($NP$51="Bell_Curve",$NN$51*(175-$NR$51+1)*($NS$51-175+1)/$NU$51,$NN$51/$NT$51)),0)</f>
        <v/>
      </c>
      <c r="FX51" s="402">
        <f>IF(AND(176&gt;=$NR$51,176&lt;=$NS$51),IF($NP$51="Single_Point",IF(176=$NR$51,$NN$51,0),IF($NP$51="Bell_Curve",$NN$51*(176-$NR$51+1)*($NS$51-176+1)/$NU$51,$NN$51/$NT$51)),0)</f>
        <v/>
      </c>
      <c r="FY51" s="402">
        <f>IF(AND(177&gt;=$NR$51,177&lt;=$NS$51),IF($NP$51="Single_Point",IF(177=$NR$51,$NN$51,0),IF($NP$51="Bell_Curve",$NN$51*(177-$NR$51+1)*($NS$51-177+1)/$NU$51,$NN$51/$NT$51)),0)</f>
        <v/>
      </c>
      <c r="FZ51" s="402">
        <f>IF(AND(178&gt;=$NR$51,178&lt;=$NS$51),IF($NP$51="Single_Point",IF(178=$NR$51,$NN$51,0),IF($NP$51="Bell_Curve",$NN$51*(178-$NR$51+1)*($NS$51-178+1)/$NU$51,$NN$51/$NT$51)),0)</f>
        <v/>
      </c>
      <c r="GA51" s="402">
        <f>IF(AND(179&gt;=$NR$51,179&lt;=$NS$51),IF($NP$51="Single_Point",IF(179=$NR$51,$NN$51,0),IF($NP$51="Bell_Curve",$NN$51*(179-$NR$51+1)*($NS$51-179+1)/$NU$51,$NN$51/$NT$51)),0)</f>
        <v/>
      </c>
      <c r="GB51" s="402">
        <f>IF(AND(180&gt;=$NR$51,180&lt;=$NS$51),IF($NP$51="Single_Point",IF(180=$NR$51,$NN$51,0),IF($NP$51="Bell_Curve",$NN$51*(180-$NR$51+1)*($NS$51-180+1)/$NU$51,$NN$51/$NT$51)),0)</f>
        <v/>
      </c>
      <c r="GC51" s="402">
        <f>IF(AND(181&gt;=$NR$51,181&lt;=$NS$51),IF($NP$51="Single_Point",IF(181=$NR$51,$NN$51,0),IF($NP$51="Bell_Curve",$NN$51*(181-$NR$51+1)*($NS$51-181+1)/$NU$51,$NN$51/$NT$51)),0)</f>
        <v/>
      </c>
      <c r="GD51" s="402">
        <f>IF(AND(182&gt;=$NR$51,182&lt;=$NS$51),IF($NP$51="Single_Point",IF(182=$NR$51,$NN$51,0),IF($NP$51="Bell_Curve",$NN$51*(182-$NR$51+1)*($NS$51-182+1)/$NU$51,$NN$51/$NT$51)),0)</f>
        <v/>
      </c>
      <c r="GE51" s="402">
        <f>IF(AND(183&gt;=$NR$51,183&lt;=$NS$51),IF($NP$51="Single_Point",IF(183=$NR$51,$NN$51,0),IF($NP$51="Bell_Curve",$NN$51*(183-$NR$51+1)*($NS$51-183+1)/$NU$51,$NN$51/$NT$51)),0)</f>
        <v/>
      </c>
      <c r="GF51" s="402">
        <f>IF(AND(184&gt;=$NR$51,184&lt;=$NS$51),IF($NP$51="Single_Point",IF(184=$NR$51,$NN$51,0),IF($NP$51="Bell_Curve",$NN$51*(184-$NR$51+1)*($NS$51-184+1)/$NU$51,$NN$51/$NT$51)),0)</f>
        <v/>
      </c>
      <c r="GG51" s="402">
        <f>IF(AND(185&gt;=$NR$51,185&lt;=$NS$51),IF($NP$51="Single_Point",IF(185=$NR$51,$NN$51,0),IF($NP$51="Bell_Curve",$NN$51*(185-$NR$51+1)*($NS$51-185+1)/$NU$51,$NN$51/$NT$51)),0)</f>
        <v/>
      </c>
      <c r="GH51" s="402">
        <f>IF(AND(186&gt;=$NR$51,186&lt;=$NS$51),IF($NP$51="Single_Point",IF(186=$NR$51,$NN$51,0),IF($NP$51="Bell_Curve",$NN$51*(186-$NR$51+1)*($NS$51-186+1)/$NU$51,$NN$51/$NT$51)),0)</f>
        <v/>
      </c>
      <c r="GI51" s="402">
        <f>IF(AND(187&gt;=$NR$51,187&lt;=$NS$51),IF($NP$51="Single_Point",IF(187=$NR$51,$NN$51,0),IF($NP$51="Bell_Curve",$NN$51*(187-$NR$51+1)*($NS$51-187+1)/$NU$51,$NN$51/$NT$51)),0)</f>
        <v/>
      </c>
      <c r="GJ51" s="402">
        <f>IF(AND(188&gt;=$NR$51,188&lt;=$NS$51),IF($NP$51="Single_Point",IF(188=$NR$51,$NN$51,0),IF($NP$51="Bell_Curve",$NN$51*(188-$NR$51+1)*($NS$51-188+1)/$NU$51,$NN$51/$NT$51)),0)</f>
        <v/>
      </c>
      <c r="GK51" s="402">
        <f>IF(AND(189&gt;=$NR$51,189&lt;=$NS$51),IF($NP$51="Single_Point",IF(189=$NR$51,$NN$51,0),IF($NP$51="Bell_Curve",$NN$51*(189-$NR$51+1)*($NS$51-189+1)/$NU$51,$NN$51/$NT$51)),0)</f>
        <v/>
      </c>
      <c r="GL51" s="402">
        <f>IF(AND(190&gt;=$NR$51,190&lt;=$NS$51),IF($NP$51="Single_Point",IF(190=$NR$51,$NN$51,0),IF($NP$51="Bell_Curve",$NN$51*(190-$NR$51+1)*($NS$51-190+1)/$NU$51,$NN$51/$NT$51)),0)</f>
        <v/>
      </c>
      <c r="GM51" s="402">
        <f>IF(AND(191&gt;=$NR$51,191&lt;=$NS$51),IF($NP$51="Single_Point",IF(191=$NR$51,$NN$51,0),IF($NP$51="Bell_Curve",$NN$51*(191-$NR$51+1)*($NS$51-191+1)/$NU$51,$NN$51/$NT$51)),0)</f>
        <v/>
      </c>
      <c r="GN51" s="402">
        <f>IF(AND(192&gt;=$NR$51,192&lt;=$NS$51),IF($NP$51="Single_Point",IF(192=$NR$51,$NN$51,0),IF($NP$51="Bell_Curve",$NN$51*(192-$NR$51+1)*($NS$51-192+1)/$NU$51,$NN$51/$NT$51)),0)</f>
        <v/>
      </c>
      <c r="GO51" s="402">
        <f>IF(AND(193&gt;=$NR$51,193&lt;=$NS$51),IF($NP$51="Single_Point",IF(193=$NR$51,$NN$51,0),IF($NP$51="Bell_Curve",$NN$51*(193-$NR$51+1)*($NS$51-193+1)/$NU$51,$NN$51/$NT$51)),0)</f>
        <v/>
      </c>
      <c r="GP51" s="402">
        <f>IF(AND(194&gt;=$NR$51,194&lt;=$NS$51),IF($NP$51="Single_Point",IF(194=$NR$51,$NN$51,0),IF($NP$51="Bell_Curve",$NN$51*(194-$NR$51+1)*($NS$51-194+1)/$NU$51,$NN$51/$NT$51)),0)</f>
        <v/>
      </c>
      <c r="GQ51" s="402">
        <f>IF(AND(195&gt;=$NR$51,195&lt;=$NS$51),IF($NP$51="Single_Point",IF(195=$NR$51,$NN$51,0),IF($NP$51="Bell_Curve",$NN$51*(195-$NR$51+1)*($NS$51-195+1)/$NU$51,$NN$51/$NT$51)),0)</f>
        <v/>
      </c>
      <c r="GR51" s="402">
        <f>IF(AND(196&gt;=$NR$51,196&lt;=$NS$51),IF($NP$51="Single_Point",IF(196=$NR$51,$NN$51,0),IF($NP$51="Bell_Curve",$NN$51*(196-$NR$51+1)*($NS$51-196+1)/$NU$51,$NN$51/$NT$51)),0)</f>
        <v/>
      </c>
      <c r="GS51" s="402">
        <f>IF(AND(197&gt;=$NR$51,197&lt;=$NS$51),IF($NP$51="Single_Point",IF(197=$NR$51,$NN$51,0),IF($NP$51="Bell_Curve",$NN$51*(197-$NR$51+1)*($NS$51-197+1)/$NU$51,$NN$51/$NT$51)),0)</f>
        <v/>
      </c>
      <c r="GT51" s="402">
        <f>IF(AND(198&gt;=$NR$51,198&lt;=$NS$51),IF($NP$51="Single_Point",IF(198=$NR$51,$NN$51,0),IF($NP$51="Bell_Curve",$NN$51*(198-$NR$51+1)*($NS$51-198+1)/$NU$51,$NN$51/$NT$51)),0)</f>
        <v/>
      </c>
      <c r="GU51" s="402">
        <f>IF(AND(199&gt;=$NR$51,199&lt;=$NS$51),IF($NP$51="Single_Point",IF(199=$NR$51,$NN$51,0),IF($NP$51="Bell_Curve",$NN$51*(199-$NR$51+1)*($NS$51-199+1)/$NU$51,$NN$51/$NT$51)),0)</f>
        <v/>
      </c>
      <c r="GV51" s="402">
        <f>IF(AND(200&gt;=$NR$51,200&lt;=$NS$51),IF($NP$51="Single_Point",IF(200=$NR$51,$NN$51,0),IF($NP$51="Bell_Curve",$NN$51*(200-$NR$51+1)*($NS$51-200+1)/$NU$51,$NN$51/$NT$51)),0)</f>
        <v/>
      </c>
      <c r="GW51" s="402">
        <f>IF(AND(201&gt;=$NR$51,201&lt;=$NS$51),IF($NP$51="Single_Point",IF(201=$NR$51,$NN$51,0),IF($NP$51="Bell_Curve",$NN$51*(201-$NR$51+1)*($NS$51-201+1)/$NU$51,$NN$51/$NT$51)),0)</f>
        <v/>
      </c>
      <c r="GX51" s="402">
        <f>IF(AND(202&gt;=$NR$51,202&lt;=$NS$51),IF($NP$51="Single_Point",IF(202=$NR$51,$NN$51,0),IF($NP$51="Bell_Curve",$NN$51*(202-$NR$51+1)*($NS$51-202+1)/$NU$51,$NN$51/$NT$51)),0)</f>
        <v/>
      </c>
      <c r="GY51" s="402">
        <f>IF(AND(203&gt;=$NR$51,203&lt;=$NS$51),IF($NP$51="Single_Point",IF(203=$NR$51,$NN$51,0),IF($NP$51="Bell_Curve",$NN$51*(203-$NR$51+1)*($NS$51-203+1)/$NU$51,$NN$51/$NT$51)),0)</f>
        <v/>
      </c>
      <c r="GZ51" s="402">
        <f>IF(AND(204&gt;=$NR$51,204&lt;=$NS$51),IF($NP$51="Single_Point",IF(204=$NR$51,$NN$51,0),IF($NP$51="Bell_Curve",$NN$51*(204-$NR$51+1)*($NS$51-204+1)/$NU$51,$NN$51/$NT$51)),0)</f>
        <v/>
      </c>
      <c r="HA51" s="402">
        <f>IF(AND(205&gt;=$NR$51,205&lt;=$NS$51),IF($NP$51="Single_Point",IF(205=$NR$51,$NN$51,0),IF($NP$51="Bell_Curve",$NN$51*(205-$NR$51+1)*($NS$51-205+1)/$NU$51,$NN$51/$NT$51)),0)</f>
        <v/>
      </c>
      <c r="HB51" s="402">
        <f>IF(AND(206&gt;=$NR$51,206&lt;=$NS$51),IF($NP$51="Single_Point",IF(206=$NR$51,$NN$51,0),IF($NP$51="Bell_Curve",$NN$51*(206-$NR$51+1)*($NS$51-206+1)/$NU$51,$NN$51/$NT$51)),0)</f>
        <v/>
      </c>
      <c r="HC51" s="402">
        <f>IF(AND(207&gt;=$NR$51,207&lt;=$NS$51),IF($NP$51="Single_Point",IF(207=$NR$51,$NN$51,0),IF($NP$51="Bell_Curve",$NN$51*(207-$NR$51+1)*($NS$51-207+1)/$NU$51,$NN$51/$NT$51)),0)</f>
        <v/>
      </c>
      <c r="HD51" s="402">
        <f>IF(AND(208&gt;=$NR$51,208&lt;=$NS$51),IF($NP$51="Single_Point",IF(208=$NR$51,$NN$51,0),IF($NP$51="Bell_Curve",$NN$51*(208-$NR$51+1)*($NS$51-208+1)/$NU$51,$NN$51/$NT$51)),0)</f>
        <v/>
      </c>
      <c r="HE51" s="402">
        <f>IF(AND(209&gt;=$NR$51,209&lt;=$NS$51),IF($NP$51="Single_Point",IF(209=$NR$51,$NN$51,0),IF($NP$51="Bell_Curve",$NN$51*(209-$NR$51+1)*($NS$51-209+1)/$NU$51,$NN$51/$NT$51)),0)</f>
        <v/>
      </c>
      <c r="HF51" s="402">
        <f>IF(AND(210&gt;=$NR$51,210&lt;=$NS$51),IF($NP$51="Single_Point",IF(210=$NR$51,$NN$51,0),IF($NP$51="Bell_Curve",$NN$51*(210-$NR$51+1)*($NS$51-210+1)/$NU$51,$NN$51/$NT$51)),0)</f>
        <v/>
      </c>
      <c r="HG51" s="402">
        <f>IF(AND(211&gt;=$NR$51,211&lt;=$NS$51),IF($NP$51="Single_Point",IF(211=$NR$51,$NN$51,0),IF($NP$51="Bell_Curve",$NN$51*(211-$NR$51+1)*($NS$51-211+1)/$NU$51,$NN$51/$NT$51)),0)</f>
        <v/>
      </c>
      <c r="HH51" s="402">
        <f>IF(AND(212&gt;=$NR$51,212&lt;=$NS$51),IF($NP$51="Single_Point",IF(212=$NR$51,$NN$51,0),IF($NP$51="Bell_Curve",$NN$51*(212-$NR$51+1)*($NS$51-212+1)/$NU$51,$NN$51/$NT$51)),0)</f>
        <v/>
      </c>
      <c r="HI51" s="402">
        <f>IF(AND(213&gt;=$NR$51,213&lt;=$NS$51),IF($NP$51="Single_Point",IF(213=$NR$51,$NN$51,0),IF($NP$51="Bell_Curve",$NN$51*(213-$NR$51+1)*($NS$51-213+1)/$NU$51,$NN$51/$NT$51)),0)</f>
        <v/>
      </c>
      <c r="HJ51" s="402">
        <f>IF(AND(214&gt;=$NR$51,214&lt;=$NS$51),IF($NP$51="Single_Point",IF(214=$NR$51,$NN$51,0),IF($NP$51="Bell_Curve",$NN$51*(214-$NR$51+1)*($NS$51-214+1)/$NU$51,$NN$51/$NT$51)),0)</f>
        <v/>
      </c>
      <c r="HK51" s="402">
        <f>IF(AND(215&gt;=$NR$51,215&lt;=$NS$51),IF($NP$51="Single_Point",IF(215=$NR$51,$NN$51,0),IF($NP$51="Bell_Curve",$NN$51*(215-$NR$51+1)*($NS$51-215+1)/$NU$51,$NN$51/$NT$51)),0)</f>
        <v/>
      </c>
      <c r="HL51" s="402">
        <f>IF(AND(216&gt;=$NR$51,216&lt;=$NS$51),IF($NP$51="Single_Point",IF(216=$NR$51,$NN$51,0),IF($NP$51="Bell_Curve",$NN$51*(216-$NR$51+1)*($NS$51-216+1)/$NU$51,$NN$51/$NT$51)),0)</f>
        <v/>
      </c>
      <c r="HM51" s="402">
        <f>IF(AND(217&gt;=$NR$51,217&lt;=$NS$51),IF($NP$51="Single_Point",IF(217=$NR$51,$NN$51,0),IF($NP$51="Bell_Curve",$NN$51*(217-$NR$51+1)*($NS$51-217+1)/$NU$51,$NN$51/$NT$51)),0)</f>
        <v/>
      </c>
      <c r="HN51" s="402">
        <f>IF(AND(218&gt;=$NR$51,218&lt;=$NS$51),IF($NP$51="Single_Point",IF(218=$NR$51,$NN$51,0),IF($NP$51="Bell_Curve",$NN$51*(218-$NR$51+1)*($NS$51-218+1)/$NU$51,$NN$51/$NT$51)),0)</f>
        <v/>
      </c>
      <c r="HO51" s="402">
        <f>IF(AND(219&gt;=$NR$51,219&lt;=$NS$51),IF($NP$51="Single_Point",IF(219=$NR$51,$NN$51,0),IF($NP$51="Bell_Curve",$NN$51*(219-$NR$51+1)*($NS$51-219+1)/$NU$51,$NN$51/$NT$51)),0)</f>
        <v/>
      </c>
      <c r="HP51" s="402">
        <f>IF(AND(220&gt;=$NR$51,220&lt;=$NS$51),IF($NP$51="Single_Point",IF(220=$NR$51,$NN$51,0),IF($NP$51="Bell_Curve",$NN$51*(220-$NR$51+1)*($NS$51-220+1)/$NU$51,$NN$51/$NT$51)),0)</f>
        <v/>
      </c>
      <c r="HQ51" s="402">
        <f>IF(AND(221&gt;=$NR$51,221&lt;=$NS$51),IF($NP$51="Single_Point",IF(221=$NR$51,$NN$51,0),IF($NP$51="Bell_Curve",$NN$51*(221-$NR$51+1)*($NS$51-221+1)/$NU$51,$NN$51/$NT$51)),0)</f>
        <v/>
      </c>
      <c r="HR51" s="402">
        <f>IF(AND(222&gt;=$NR$51,222&lt;=$NS$51),IF($NP$51="Single_Point",IF(222=$NR$51,$NN$51,0),IF($NP$51="Bell_Curve",$NN$51*(222-$NR$51+1)*($NS$51-222+1)/$NU$51,$NN$51/$NT$51)),0)</f>
        <v/>
      </c>
      <c r="HS51" s="402">
        <f>IF(AND(223&gt;=$NR$51,223&lt;=$NS$51),IF($NP$51="Single_Point",IF(223=$NR$51,$NN$51,0),IF($NP$51="Bell_Curve",$NN$51*(223-$NR$51+1)*($NS$51-223+1)/$NU$51,$NN$51/$NT$51)),0)</f>
        <v/>
      </c>
      <c r="HT51" s="402">
        <f>IF(AND(224&gt;=$NR$51,224&lt;=$NS$51),IF($NP$51="Single_Point",IF(224=$NR$51,$NN$51,0),IF($NP$51="Bell_Curve",$NN$51*(224-$NR$51+1)*($NS$51-224+1)/$NU$51,$NN$51/$NT$51)),0)</f>
        <v/>
      </c>
      <c r="HU51" s="402">
        <f>IF(AND(225&gt;=$NR$51,225&lt;=$NS$51),IF($NP$51="Single_Point",IF(225=$NR$51,$NN$51,0),IF($NP$51="Bell_Curve",$NN$51*(225-$NR$51+1)*($NS$51-225+1)/$NU$51,$NN$51/$NT$51)),0)</f>
        <v/>
      </c>
      <c r="HV51" s="402">
        <f>IF(AND(226&gt;=$NR$51,226&lt;=$NS$51),IF($NP$51="Single_Point",IF(226=$NR$51,$NN$51,0),IF($NP$51="Bell_Curve",$NN$51*(226-$NR$51+1)*($NS$51-226+1)/$NU$51,$NN$51/$NT$51)),0)</f>
        <v/>
      </c>
      <c r="HW51" s="402">
        <f>IF(AND(227&gt;=$NR$51,227&lt;=$NS$51),IF($NP$51="Single_Point",IF(227=$NR$51,$NN$51,0),IF($NP$51="Bell_Curve",$NN$51*(227-$NR$51+1)*($NS$51-227+1)/$NU$51,$NN$51/$NT$51)),0)</f>
        <v/>
      </c>
      <c r="HX51" s="402">
        <f>IF(AND(228&gt;=$NR$51,228&lt;=$NS$51),IF($NP$51="Single_Point",IF(228=$NR$51,$NN$51,0),IF($NP$51="Bell_Curve",$NN$51*(228-$NR$51+1)*($NS$51-228+1)/$NU$51,$NN$51/$NT$51)),0)</f>
        <v/>
      </c>
      <c r="HY51" s="402">
        <f>IF(AND(229&gt;=$NR$51,229&lt;=$NS$51),IF($NP$51="Single_Point",IF(229=$NR$51,$NN$51,0),IF($NP$51="Bell_Curve",$NN$51*(229-$NR$51+1)*($NS$51-229+1)/$NU$51,$NN$51/$NT$51)),0)</f>
        <v/>
      </c>
      <c r="HZ51" s="402">
        <f>IF(AND(230&gt;=$NR$51,230&lt;=$NS$51),IF($NP$51="Single_Point",IF(230=$NR$51,$NN$51,0),IF($NP$51="Bell_Curve",$NN$51*(230-$NR$51+1)*($NS$51-230+1)/$NU$51,$NN$51/$NT$51)),0)</f>
        <v/>
      </c>
      <c r="IA51" s="402">
        <f>IF(AND(231&gt;=$NR$51,231&lt;=$NS$51),IF($NP$51="Single_Point",IF(231=$NR$51,$NN$51,0),IF($NP$51="Bell_Curve",$NN$51*(231-$NR$51+1)*($NS$51-231+1)/$NU$51,$NN$51/$NT$51)),0)</f>
        <v/>
      </c>
      <c r="IB51" s="402">
        <f>IF(AND(232&gt;=$NR$51,232&lt;=$NS$51),IF($NP$51="Single_Point",IF(232=$NR$51,$NN$51,0),IF($NP$51="Bell_Curve",$NN$51*(232-$NR$51+1)*($NS$51-232+1)/$NU$51,$NN$51/$NT$51)),0)</f>
        <v/>
      </c>
      <c r="IC51" s="402">
        <f>IF(AND(233&gt;=$NR$51,233&lt;=$NS$51),IF($NP$51="Single_Point",IF(233=$NR$51,$NN$51,0),IF($NP$51="Bell_Curve",$NN$51*(233-$NR$51+1)*($NS$51-233+1)/$NU$51,$NN$51/$NT$51)),0)</f>
        <v/>
      </c>
      <c r="ID51" s="402">
        <f>IF(AND(234&gt;=$NR$51,234&lt;=$NS$51),IF($NP$51="Single_Point",IF(234=$NR$51,$NN$51,0),IF($NP$51="Bell_Curve",$NN$51*(234-$NR$51+1)*($NS$51-234+1)/$NU$51,$NN$51/$NT$51)),0)</f>
        <v/>
      </c>
      <c r="IE51" s="402">
        <f>IF(AND(235&gt;=$NR$51,235&lt;=$NS$51),IF($NP$51="Single_Point",IF(235=$NR$51,$NN$51,0),IF($NP$51="Bell_Curve",$NN$51*(235-$NR$51+1)*($NS$51-235+1)/$NU$51,$NN$51/$NT$51)),0)</f>
        <v/>
      </c>
      <c r="IF51" s="402">
        <f>IF(AND(236&gt;=$NR$51,236&lt;=$NS$51),IF($NP$51="Single_Point",IF(236=$NR$51,$NN$51,0),IF($NP$51="Bell_Curve",$NN$51*(236-$NR$51+1)*($NS$51-236+1)/$NU$51,$NN$51/$NT$51)),0)</f>
        <v/>
      </c>
      <c r="IG51" s="402">
        <f>IF(AND(237&gt;=$NR$51,237&lt;=$NS$51),IF($NP$51="Single_Point",IF(237=$NR$51,$NN$51,0),IF($NP$51="Bell_Curve",$NN$51*(237-$NR$51+1)*($NS$51-237+1)/$NU$51,$NN$51/$NT$51)),0)</f>
        <v/>
      </c>
      <c r="IH51" s="402">
        <f>IF(AND(238&gt;=$NR$51,238&lt;=$NS$51),IF($NP$51="Single_Point",IF(238=$NR$51,$NN$51,0),IF($NP$51="Bell_Curve",$NN$51*(238-$NR$51+1)*($NS$51-238+1)/$NU$51,$NN$51/$NT$51)),0)</f>
        <v/>
      </c>
      <c r="II51" s="402">
        <f>IF(AND(239&gt;=$NR$51,239&lt;=$NS$51),IF($NP$51="Single_Point",IF(239=$NR$51,$NN$51,0),IF($NP$51="Bell_Curve",$NN$51*(239-$NR$51+1)*($NS$51-239+1)/$NU$51,$NN$51/$NT$51)),0)</f>
        <v/>
      </c>
      <c r="IJ51" s="402">
        <f>IF(AND(240&gt;=$NR$51,240&lt;=$NS$51),IF($NP$51="Single_Point",IF(240=$NR$51,$NN$51,0),IF($NP$51="Bell_Curve",$NN$51*(240-$NR$51+1)*($NS$51-240+1)/$NU$51,$NN$51/$NT$51)),0)</f>
        <v/>
      </c>
      <c r="IK51" s="402">
        <f>IF(AND(241&gt;=$NR$51,241&lt;=$NS$51),IF($NP$51="Single_Point",IF(241=$NR$51,$NN$51,0),IF($NP$51="Bell_Curve",$NN$51*(241-$NR$51+1)*($NS$51-241+1)/$NU$51,$NN$51/$NT$51)),0)</f>
        <v/>
      </c>
      <c r="IL51" s="402">
        <f>IF(AND(242&gt;=$NR$51,242&lt;=$NS$51),IF($NP$51="Single_Point",IF(242=$NR$51,$NN$51,0),IF($NP$51="Bell_Curve",$NN$51*(242-$NR$51+1)*($NS$51-242+1)/$NU$51,$NN$51/$NT$51)),0)</f>
        <v/>
      </c>
      <c r="IM51" s="402">
        <f>IF(AND(243&gt;=$NR$51,243&lt;=$NS$51),IF($NP$51="Single_Point",IF(243=$NR$51,$NN$51,0),IF($NP$51="Bell_Curve",$NN$51*(243-$NR$51+1)*($NS$51-243+1)/$NU$51,$NN$51/$NT$51)),0)</f>
        <v/>
      </c>
      <c r="IN51" s="402">
        <f>IF(AND(244&gt;=$NR$51,244&lt;=$NS$51),IF($NP$51="Single_Point",IF(244=$NR$51,$NN$51,0),IF($NP$51="Bell_Curve",$NN$51*(244-$NR$51+1)*($NS$51-244+1)/$NU$51,$NN$51/$NT$51)),0)</f>
        <v/>
      </c>
      <c r="IO51" s="402">
        <f>IF(AND(245&gt;=$NR$51,245&lt;=$NS$51),IF($NP$51="Single_Point",IF(245=$NR$51,$NN$51,0),IF($NP$51="Bell_Curve",$NN$51*(245-$NR$51+1)*($NS$51-245+1)/$NU$51,$NN$51/$NT$51)),0)</f>
        <v/>
      </c>
      <c r="IP51" s="402">
        <f>IF(AND(246&gt;=$NR$51,246&lt;=$NS$51),IF($NP$51="Single_Point",IF(246=$NR$51,$NN$51,0),IF($NP$51="Bell_Curve",$NN$51*(246-$NR$51+1)*($NS$51-246+1)/$NU$51,$NN$51/$NT$51)),0)</f>
        <v/>
      </c>
      <c r="IQ51" s="402">
        <f>IF(AND(247&gt;=$NR$51,247&lt;=$NS$51),IF($NP$51="Single_Point",IF(247=$NR$51,$NN$51,0),IF($NP$51="Bell_Curve",$NN$51*(247-$NR$51+1)*($NS$51-247+1)/$NU$51,$NN$51/$NT$51)),0)</f>
        <v/>
      </c>
      <c r="IR51" s="402">
        <f>IF(AND(248&gt;=$NR$51,248&lt;=$NS$51),IF($NP$51="Single_Point",IF(248=$NR$51,$NN$51,0),IF($NP$51="Bell_Curve",$NN$51*(248-$NR$51+1)*($NS$51-248+1)/$NU$51,$NN$51/$NT$51)),0)</f>
        <v/>
      </c>
      <c r="IS51" s="402">
        <f>IF(AND(249&gt;=$NR$51,249&lt;=$NS$51),IF($NP$51="Single_Point",IF(249=$NR$51,$NN$51,0),IF($NP$51="Bell_Curve",$NN$51*(249-$NR$51+1)*($NS$51-249+1)/$NU$51,$NN$51/$NT$51)),0)</f>
        <v/>
      </c>
      <c r="IT51" s="402">
        <f>IF(AND(250&gt;=$NR$51,250&lt;=$NS$51),IF($NP$51="Single_Point",IF(250=$NR$51,$NN$51,0),IF($NP$51="Bell_Curve",$NN$51*(250-$NR$51+1)*($NS$51-250+1)/$NU$51,$NN$51/$NT$51)),0)</f>
        <v/>
      </c>
      <c r="IU51" s="402">
        <f>IF(AND(251&gt;=$NR$51,251&lt;=$NS$51),IF($NP$51="Single_Point",IF(251=$NR$51,$NN$51,0),IF($NP$51="Bell_Curve",$NN$51*(251-$NR$51+1)*($NS$51-251+1)/$NU$51,$NN$51/$NT$51)),0)</f>
        <v/>
      </c>
      <c r="IV51" s="402">
        <f>IF(AND(252&gt;=$NR$51,252&lt;=$NS$51),IF($NP$51="Single_Point",IF(252=$NR$51,$NN$51,0),IF($NP$51="Bell_Curve",$NN$51*(252-$NR$51+1)*($NS$51-252+1)/$NU$51,$NN$51/$NT$51)),0)</f>
        <v/>
      </c>
      <c r="IW51" s="402">
        <f>IF(AND(253&gt;=$NR$51,253&lt;=$NS$51),IF($NP$51="Single_Point",IF(253=$NR$51,$NN$51,0),IF($NP$51="Bell_Curve",$NN$51*(253-$NR$51+1)*($NS$51-253+1)/$NU$51,$NN$51/$NT$51)),0)</f>
        <v/>
      </c>
      <c r="IX51" s="402">
        <f>IF(AND(254&gt;=$NR$51,254&lt;=$NS$51),IF($NP$51="Single_Point",IF(254=$NR$51,$NN$51,0),IF($NP$51="Bell_Curve",$NN$51*(254-$NR$51+1)*($NS$51-254+1)/$NU$51,$NN$51/$NT$51)),0)</f>
        <v/>
      </c>
      <c r="IY51" s="402">
        <f>IF(AND(255&gt;=$NR$51,255&lt;=$NS$51),IF($NP$51="Single_Point",IF(255=$NR$51,$NN$51,0),IF($NP$51="Bell_Curve",$NN$51*(255-$NR$51+1)*($NS$51-255+1)/$NU$51,$NN$51/$NT$51)),0)</f>
        <v/>
      </c>
      <c r="IZ51" s="402">
        <f>IF(AND(256&gt;=$NR$51,256&lt;=$NS$51),IF($NP$51="Single_Point",IF(256=$NR$51,$NN$51,0),IF($NP$51="Bell_Curve",$NN$51*(256-$NR$51+1)*($NS$51-256+1)/$NU$51,$NN$51/$NT$51)),0)</f>
        <v/>
      </c>
      <c r="JA51" s="402">
        <f>IF(AND(257&gt;=$NR$51,257&lt;=$NS$51),IF($NP$51="Single_Point",IF(257=$NR$51,$NN$51,0),IF($NP$51="Bell_Curve",$NN$51*(257-$NR$51+1)*($NS$51-257+1)/$NU$51,$NN$51/$NT$51)),0)</f>
        <v/>
      </c>
      <c r="JB51" s="402">
        <f>IF(AND(258&gt;=$NR$51,258&lt;=$NS$51),IF($NP$51="Single_Point",IF(258=$NR$51,$NN$51,0),IF($NP$51="Bell_Curve",$NN$51*(258-$NR$51+1)*($NS$51-258+1)/$NU$51,$NN$51/$NT$51)),0)</f>
        <v/>
      </c>
      <c r="JC51" s="402">
        <f>IF(AND(259&gt;=$NR$51,259&lt;=$NS$51),IF($NP$51="Single_Point",IF(259=$NR$51,$NN$51,0),IF($NP$51="Bell_Curve",$NN$51*(259-$NR$51+1)*($NS$51-259+1)/$NU$51,$NN$51/$NT$51)),0)</f>
        <v/>
      </c>
      <c r="JD51" s="402">
        <f>IF(AND(260&gt;=$NR$51,260&lt;=$NS$51),IF($NP$51="Single_Point",IF(260=$NR$51,$NN$51,0),IF($NP$51="Bell_Curve",$NN$51*(260-$NR$51+1)*($NS$51-260+1)/$NU$51,$NN$51/$NT$51)),0)</f>
        <v/>
      </c>
      <c r="JE51" s="402">
        <f>IF(AND(261&gt;=$NR$51,261&lt;=$NS$51),IF($NP$51="Single_Point",IF(261=$NR$51,$NN$51,0),IF($NP$51="Bell_Curve",$NN$51*(261-$NR$51+1)*($NS$51-261+1)/$NU$51,$NN$51/$NT$51)),0)</f>
        <v/>
      </c>
      <c r="JF51" s="402">
        <f>IF(AND(262&gt;=$NR$51,262&lt;=$NS$51),IF($NP$51="Single_Point",IF(262=$NR$51,$NN$51,0),IF($NP$51="Bell_Curve",$NN$51*(262-$NR$51+1)*($NS$51-262+1)/$NU$51,$NN$51/$NT$51)),0)</f>
        <v/>
      </c>
      <c r="JG51" s="402">
        <f>IF(AND(263&gt;=$NR$51,263&lt;=$NS$51),IF($NP$51="Single_Point",IF(263=$NR$51,$NN$51,0),IF($NP$51="Bell_Curve",$NN$51*(263-$NR$51+1)*($NS$51-263+1)/$NU$51,$NN$51/$NT$51)),0)</f>
        <v/>
      </c>
      <c r="JH51" s="402">
        <f>IF(AND(264&gt;=$NR$51,264&lt;=$NS$51),IF($NP$51="Single_Point",IF(264=$NR$51,$NN$51,0),IF($NP$51="Bell_Curve",$NN$51*(264-$NR$51+1)*($NS$51-264+1)/$NU$51,$NN$51/$NT$51)),0)</f>
        <v/>
      </c>
      <c r="JI51" s="402">
        <f>IF(AND(265&gt;=$NR$51,265&lt;=$NS$51),IF($NP$51="Single_Point",IF(265=$NR$51,$NN$51,0),IF($NP$51="Bell_Curve",$NN$51*(265-$NR$51+1)*($NS$51-265+1)/$NU$51,$NN$51/$NT$51)),0)</f>
        <v/>
      </c>
      <c r="JJ51" s="402">
        <f>IF(AND(266&gt;=$NR$51,266&lt;=$NS$51),IF($NP$51="Single_Point",IF(266=$NR$51,$NN$51,0),IF($NP$51="Bell_Curve",$NN$51*(266-$NR$51+1)*($NS$51-266+1)/$NU$51,$NN$51/$NT$51)),0)</f>
        <v/>
      </c>
      <c r="JK51" s="402">
        <f>IF(AND(267&gt;=$NR$51,267&lt;=$NS$51),IF($NP$51="Single_Point",IF(267=$NR$51,$NN$51,0),IF($NP$51="Bell_Curve",$NN$51*(267-$NR$51+1)*($NS$51-267+1)/$NU$51,$NN$51/$NT$51)),0)</f>
        <v/>
      </c>
      <c r="JL51" s="402">
        <f>IF(AND(268&gt;=$NR$51,268&lt;=$NS$51),IF($NP$51="Single_Point",IF(268=$NR$51,$NN$51,0),IF($NP$51="Bell_Curve",$NN$51*(268-$NR$51+1)*($NS$51-268+1)/$NU$51,$NN$51/$NT$51)),0)</f>
        <v/>
      </c>
      <c r="JM51" s="402">
        <f>IF(AND(269&gt;=$NR$51,269&lt;=$NS$51),IF($NP$51="Single_Point",IF(269=$NR$51,$NN$51,0),IF($NP$51="Bell_Curve",$NN$51*(269-$NR$51+1)*($NS$51-269+1)/$NU$51,$NN$51/$NT$51)),0)</f>
        <v/>
      </c>
      <c r="JN51" s="402">
        <f>IF(AND(270&gt;=$NR$51,270&lt;=$NS$51),IF($NP$51="Single_Point",IF(270=$NR$51,$NN$51,0),IF($NP$51="Bell_Curve",$NN$51*(270-$NR$51+1)*($NS$51-270+1)/$NU$51,$NN$51/$NT$51)),0)</f>
        <v/>
      </c>
      <c r="JO51" s="402">
        <f>IF(AND(271&gt;=$NR$51,271&lt;=$NS$51),IF($NP$51="Single_Point",IF(271=$NR$51,$NN$51,0),IF($NP$51="Bell_Curve",$NN$51*(271-$NR$51+1)*($NS$51-271+1)/$NU$51,$NN$51/$NT$51)),0)</f>
        <v/>
      </c>
      <c r="JP51" s="402">
        <f>IF(AND(272&gt;=$NR$51,272&lt;=$NS$51),IF($NP$51="Single_Point",IF(272=$NR$51,$NN$51,0),IF($NP$51="Bell_Curve",$NN$51*(272-$NR$51+1)*($NS$51-272+1)/$NU$51,$NN$51/$NT$51)),0)</f>
        <v/>
      </c>
      <c r="JQ51" s="402">
        <f>IF(AND(273&gt;=$NR$51,273&lt;=$NS$51),IF($NP$51="Single_Point",IF(273=$NR$51,$NN$51,0),IF($NP$51="Bell_Curve",$NN$51*(273-$NR$51+1)*($NS$51-273+1)/$NU$51,$NN$51/$NT$51)),0)</f>
        <v/>
      </c>
      <c r="JR51" s="402">
        <f>IF(AND(274&gt;=$NR$51,274&lt;=$NS$51),IF($NP$51="Single_Point",IF(274=$NR$51,$NN$51,0),IF($NP$51="Bell_Curve",$NN$51*(274-$NR$51+1)*($NS$51-274+1)/$NU$51,$NN$51/$NT$51)),0)</f>
        <v/>
      </c>
      <c r="JS51" s="402">
        <f>IF(AND(275&gt;=$NR$51,275&lt;=$NS$51),IF($NP$51="Single_Point",IF(275=$NR$51,$NN$51,0),IF($NP$51="Bell_Curve",$NN$51*(275-$NR$51+1)*($NS$51-275+1)/$NU$51,$NN$51/$NT$51)),0)</f>
        <v/>
      </c>
      <c r="JT51" s="402">
        <f>IF(AND(276&gt;=$NR$51,276&lt;=$NS$51),IF($NP$51="Single_Point",IF(276=$NR$51,$NN$51,0),IF($NP$51="Bell_Curve",$NN$51*(276-$NR$51+1)*($NS$51-276+1)/$NU$51,$NN$51/$NT$51)),0)</f>
        <v/>
      </c>
      <c r="JU51" s="402">
        <f>IF(AND(277&gt;=$NR$51,277&lt;=$NS$51),IF($NP$51="Single_Point",IF(277=$NR$51,$NN$51,0),IF($NP$51="Bell_Curve",$NN$51*(277-$NR$51+1)*($NS$51-277+1)/$NU$51,$NN$51/$NT$51)),0)</f>
        <v/>
      </c>
      <c r="JV51" s="402">
        <f>IF(AND(278&gt;=$NR$51,278&lt;=$NS$51),IF($NP$51="Single_Point",IF(278=$NR$51,$NN$51,0),IF($NP$51="Bell_Curve",$NN$51*(278-$NR$51+1)*($NS$51-278+1)/$NU$51,$NN$51/$NT$51)),0)</f>
        <v/>
      </c>
      <c r="JW51" s="402">
        <f>IF(AND(279&gt;=$NR$51,279&lt;=$NS$51),IF($NP$51="Single_Point",IF(279=$NR$51,$NN$51,0),IF($NP$51="Bell_Curve",$NN$51*(279-$NR$51+1)*($NS$51-279+1)/$NU$51,$NN$51/$NT$51)),0)</f>
        <v/>
      </c>
      <c r="JX51" s="402">
        <f>IF(AND(280&gt;=$NR$51,280&lt;=$NS$51),IF($NP$51="Single_Point",IF(280=$NR$51,$NN$51,0),IF($NP$51="Bell_Curve",$NN$51*(280-$NR$51+1)*($NS$51-280+1)/$NU$51,$NN$51/$NT$51)),0)</f>
        <v/>
      </c>
      <c r="JY51" s="402">
        <f>IF(AND(281&gt;=$NR$51,281&lt;=$NS$51),IF($NP$51="Single_Point",IF(281=$NR$51,$NN$51,0),IF($NP$51="Bell_Curve",$NN$51*(281-$NR$51+1)*($NS$51-281+1)/$NU$51,$NN$51/$NT$51)),0)</f>
        <v/>
      </c>
      <c r="JZ51" s="402">
        <f>IF(AND(282&gt;=$NR$51,282&lt;=$NS$51),IF($NP$51="Single_Point",IF(282=$NR$51,$NN$51,0),IF($NP$51="Bell_Curve",$NN$51*(282-$NR$51+1)*($NS$51-282+1)/$NU$51,$NN$51/$NT$51)),0)</f>
        <v/>
      </c>
      <c r="KA51" s="402">
        <f>IF(AND(283&gt;=$NR$51,283&lt;=$NS$51),IF($NP$51="Single_Point",IF(283=$NR$51,$NN$51,0),IF($NP$51="Bell_Curve",$NN$51*(283-$NR$51+1)*($NS$51-283+1)/$NU$51,$NN$51/$NT$51)),0)</f>
        <v/>
      </c>
      <c r="KB51" s="402">
        <f>IF(AND(284&gt;=$NR$51,284&lt;=$NS$51),IF($NP$51="Single_Point",IF(284=$NR$51,$NN$51,0),IF($NP$51="Bell_Curve",$NN$51*(284-$NR$51+1)*($NS$51-284+1)/$NU$51,$NN$51/$NT$51)),0)</f>
        <v/>
      </c>
      <c r="KC51" s="402">
        <f>IF(AND(285&gt;=$NR$51,285&lt;=$NS$51),IF($NP$51="Single_Point",IF(285=$NR$51,$NN$51,0),IF($NP$51="Bell_Curve",$NN$51*(285-$NR$51+1)*($NS$51-285+1)/$NU$51,$NN$51/$NT$51)),0)</f>
        <v/>
      </c>
      <c r="KD51" s="402">
        <f>IF(AND(286&gt;=$NR$51,286&lt;=$NS$51),IF($NP$51="Single_Point",IF(286=$NR$51,$NN$51,0),IF($NP$51="Bell_Curve",$NN$51*(286-$NR$51+1)*($NS$51-286+1)/$NU$51,$NN$51/$NT$51)),0)</f>
        <v/>
      </c>
      <c r="KE51" s="402">
        <f>IF(AND(287&gt;=$NR$51,287&lt;=$NS$51),IF($NP$51="Single_Point",IF(287=$NR$51,$NN$51,0),IF($NP$51="Bell_Curve",$NN$51*(287-$NR$51+1)*($NS$51-287+1)/$NU$51,$NN$51/$NT$51)),0)</f>
        <v/>
      </c>
      <c r="KF51" s="402">
        <f>IF(AND(288&gt;=$NR$51,288&lt;=$NS$51),IF($NP$51="Single_Point",IF(288=$NR$51,$NN$51,0),IF($NP$51="Bell_Curve",$NN$51*(288-$NR$51+1)*($NS$51-288+1)/$NU$51,$NN$51/$NT$51)),0)</f>
        <v/>
      </c>
      <c r="KG51" s="402">
        <f>IF(AND(289&gt;=$NR$51,289&lt;=$NS$51),IF($NP$51="Single_Point",IF(289=$NR$51,$NN$51,0),IF($NP$51="Bell_Curve",$NN$51*(289-$NR$51+1)*($NS$51-289+1)/$NU$51,$NN$51/$NT$51)),0)</f>
        <v/>
      </c>
      <c r="KH51" s="402">
        <f>IF(AND(290&gt;=$NR$51,290&lt;=$NS$51),IF($NP$51="Single_Point",IF(290=$NR$51,$NN$51,0),IF($NP$51="Bell_Curve",$NN$51*(290-$NR$51+1)*($NS$51-290+1)/$NU$51,$NN$51/$NT$51)),0)</f>
        <v/>
      </c>
      <c r="KI51" s="402">
        <f>IF(AND(291&gt;=$NR$51,291&lt;=$NS$51),IF($NP$51="Single_Point",IF(291=$NR$51,$NN$51,0),IF($NP$51="Bell_Curve",$NN$51*(291-$NR$51+1)*($NS$51-291+1)/$NU$51,$NN$51/$NT$51)),0)</f>
        <v/>
      </c>
      <c r="KJ51" s="402">
        <f>IF(AND(292&gt;=$NR$51,292&lt;=$NS$51),IF($NP$51="Single_Point",IF(292=$NR$51,$NN$51,0),IF($NP$51="Bell_Curve",$NN$51*(292-$NR$51+1)*($NS$51-292+1)/$NU$51,$NN$51/$NT$51)),0)</f>
        <v/>
      </c>
      <c r="KK51" s="402">
        <f>IF(AND(293&gt;=$NR$51,293&lt;=$NS$51),IF($NP$51="Single_Point",IF(293=$NR$51,$NN$51,0),IF($NP$51="Bell_Curve",$NN$51*(293-$NR$51+1)*($NS$51-293+1)/$NU$51,$NN$51/$NT$51)),0)</f>
        <v/>
      </c>
      <c r="KL51" s="402">
        <f>IF(AND(294&gt;=$NR$51,294&lt;=$NS$51),IF($NP$51="Single_Point",IF(294=$NR$51,$NN$51,0),IF($NP$51="Bell_Curve",$NN$51*(294-$NR$51+1)*($NS$51-294+1)/$NU$51,$NN$51/$NT$51)),0)</f>
        <v/>
      </c>
      <c r="KM51" s="402">
        <f>IF(AND(295&gt;=$NR$51,295&lt;=$NS$51),IF($NP$51="Single_Point",IF(295=$NR$51,$NN$51,0),IF($NP$51="Bell_Curve",$NN$51*(295-$NR$51+1)*($NS$51-295+1)/$NU$51,$NN$51/$NT$51)),0)</f>
        <v/>
      </c>
      <c r="KN51" s="402">
        <f>IF(AND(296&gt;=$NR$51,296&lt;=$NS$51),IF($NP$51="Single_Point",IF(296=$NR$51,$NN$51,0),IF($NP$51="Bell_Curve",$NN$51*(296-$NR$51+1)*($NS$51-296+1)/$NU$51,$NN$51/$NT$51)),0)</f>
        <v/>
      </c>
      <c r="KO51" s="402">
        <f>IF(AND(297&gt;=$NR$51,297&lt;=$NS$51),IF($NP$51="Single_Point",IF(297=$NR$51,$NN$51,0),IF($NP$51="Bell_Curve",$NN$51*(297-$NR$51+1)*($NS$51-297+1)/$NU$51,$NN$51/$NT$51)),0)</f>
        <v/>
      </c>
      <c r="KP51" s="402">
        <f>IF(AND(298&gt;=$NR$51,298&lt;=$NS$51),IF($NP$51="Single_Point",IF(298=$NR$51,$NN$51,0),IF($NP$51="Bell_Curve",$NN$51*(298-$NR$51+1)*($NS$51-298+1)/$NU$51,$NN$51/$NT$51)),0)</f>
        <v/>
      </c>
      <c r="KQ51" s="402">
        <f>IF(AND(299&gt;=$NR$51,299&lt;=$NS$51),IF($NP$51="Single_Point",IF(299=$NR$51,$NN$51,0),IF($NP$51="Bell_Curve",$NN$51*(299-$NR$51+1)*($NS$51-299+1)/$NU$51,$NN$51/$NT$51)),0)</f>
        <v/>
      </c>
      <c r="KR51" s="402">
        <f>IF(AND(300&gt;=$NR$51,300&lt;=$NS$51),IF($NP$51="Single_Point",IF(300=$NR$51,$NN$51,0),IF($NP$51="Bell_Curve",$NN$51*(300-$NR$51+1)*($NS$51-300+1)/$NU$51,$NN$51/$NT$51)),0)</f>
        <v/>
      </c>
      <c r="KS51" s="402">
        <f>IF(AND(301&gt;=$NR$51,301&lt;=$NS$51),IF($NP$51="Single_Point",IF(301=$NR$51,$NN$51,0),IF($NP$51="Bell_Curve",$NN$51*(301-$NR$51+1)*($NS$51-301+1)/$NU$51,$NN$51/$NT$51)),0)</f>
        <v/>
      </c>
      <c r="KT51" s="402">
        <f>IF(AND(302&gt;=$NR$51,302&lt;=$NS$51),IF($NP$51="Single_Point",IF(302=$NR$51,$NN$51,0),IF($NP$51="Bell_Curve",$NN$51*(302-$NR$51+1)*($NS$51-302+1)/$NU$51,$NN$51/$NT$51)),0)</f>
        <v/>
      </c>
      <c r="KU51" s="402">
        <f>IF(AND(303&gt;=$NR$51,303&lt;=$NS$51),IF($NP$51="Single_Point",IF(303=$NR$51,$NN$51,0),IF($NP$51="Bell_Curve",$NN$51*(303-$NR$51+1)*($NS$51-303+1)/$NU$51,$NN$51/$NT$51)),0)</f>
        <v/>
      </c>
      <c r="KV51" s="402">
        <f>IF(AND(304&gt;=$NR$51,304&lt;=$NS$51),IF($NP$51="Single_Point",IF(304=$NR$51,$NN$51,0),IF($NP$51="Bell_Curve",$NN$51*(304-$NR$51+1)*($NS$51-304+1)/$NU$51,$NN$51/$NT$51)),0)</f>
        <v/>
      </c>
      <c r="KW51" s="402">
        <f>IF(AND(305&gt;=$NR$51,305&lt;=$NS$51),IF($NP$51="Single_Point",IF(305=$NR$51,$NN$51,0),IF($NP$51="Bell_Curve",$NN$51*(305-$NR$51+1)*($NS$51-305+1)/$NU$51,$NN$51/$NT$51)),0)</f>
        <v/>
      </c>
      <c r="KX51" s="402">
        <f>IF(AND(306&gt;=$NR$51,306&lt;=$NS$51),IF($NP$51="Single_Point",IF(306=$NR$51,$NN$51,0),IF($NP$51="Bell_Curve",$NN$51*(306-$NR$51+1)*($NS$51-306+1)/$NU$51,$NN$51/$NT$51)),0)</f>
        <v/>
      </c>
      <c r="KY51" s="402">
        <f>IF(AND(307&gt;=$NR$51,307&lt;=$NS$51),IF($NP$51="Single_Point",IF(307=$NR$51,$NN$51,0),IF($NP$51="Bell_Curve",$NN$51*(307-$NR$51+1)*($NS$51-307+1)/$NU$51,$NN$51/$NT$51)),0)</f>
        <v/>
      </c>
      <c r="KZ51" s="402">
        <f>IF(AND(308&gt;=$NR$51,308&lt;=$NS$51),IF($NP$51="Single_Point",IF(308=$NR$51,$NN$51,0),IF($NP$51="Bell_Curve",$NN$51*(308-$NR$51+1)*($NS$51-308+1)/$NU$51,$NN$51/$NT$51)),0)</f>
        <v/>
      </c>
      <c r="LA51" s="402">
        <f>IF(AND(309&gt;=$NR$51,309&lt;=$NS$51),IF($NP$51="Single_Point",IF(309=$NR$51,$NN$51,0),IF($NP$51="Bell_Curve",$NN$51*(309-$NR$51+1)*($NS$51-309+1)/$NU$51,$NN$51/$NT$51)),0)</f>
        <v/>
      </c>
      <c r="LB51" s="402">
        <f>IF(AND(310&gt;=$NR$51,310&lt;=$NS$51),IF($NP$51="Single_Point",IF(310=$NR$51,$NN$51,0),IF($NP$51="Bell_Curve",$NN$51*(310-$NR$51+1)*($NS$51-310+1)/$NU$51,$NN$51/$NT$51)),0)</f>
        <v/>
      </c>
      <c r="LC51" s="402">
        <f>IF(AND(311&gt;=$NR$51,311&lt;=$NS$51),IF($NP$51="Single_Point",IF(311=$NR$51,$NN$51,0),IF($NP$51="Bell_Curve",$NN$51*(311-$NR$51+1)*($NS$51-311+1)/$NU$51,$NN$51/$NT$51)),0)</f>
        <v/>
      </c>
      <c r="LD51" s="402">
        <f>IF(AND(312&gt;=$NR$51,312&lt;=$NS$51),IF($NP$51="Single_Point",IF(312=$NR$51,$NN$51,0),IF($NP$51="Bell_Curve",$NN$51*(312-$NR$51+1)*($NS$51-312+1)/$NU$51,$NN$51/$NT$51)),0)</f>
        <v/>
      </c>
      <c r="LE51" s="402">
        <f>IF(AND(313&gt;=$NR$51,313&lt;=$NS$51),IF($NP$51="Single_Point",IF(313=$NR$51,$NN$51,0),IF($NP$51="Bell_Curve",$NN$51*(313-$NR$51+1)*($NS$51-313+1)/$NU$51,$NN$51/$NT$51)),0)</f>
        <v/>
      </c>
      <c r="LF51" s="402">
        <f>IF(AND(314&gt;=$NR$51,314&lt;=$NS$51),IF($NP$51="Single_Point",IF(314=$NR$51,$NN$51,0),IF($NP$51="Bell_Curve",$NN$51*(314-$NR$51+1)*($NS$51-314+1)/$NU$51,$NN$51/$NT$51)),0)</f>
        <v/>
      </c>
      <c r="LG51" s="402">
        <f>IF(AND(315&gt;=$NR$51,315&lt;=$NS$51),IF($NP$51="Single_Point",IF(315=$NR$51,$NN$51,0),IF($NP$51="Bell_Curve",$NN$51*(315-$NR$51+1)*($NS$51-315+1)/$NU$51,$NN$51/$NT$51)),0)</f>
        <v/>
      </c>
      <c r="LH51" s="402">
        <f>IF(AND(316&gt;=$NR$51,316&lt;=$NS$51),IF($NP$51="Single_Point",IF(316=$NR$51,$NN$51,0),IF($NP$51="Bell_Curve",$NN$51*(316-$NR$51+1)*($NS$51-316+1)/$NU$51,$NN$51/$NT$51)),0)</f>
        <v/>
      </c>
      <c r="LI51" s="402">
        <f>IF(AND(317&gt;=$NR$51,317&lt;=$NS$51),IF($NP$51="Single_Point",IF(317=$NR$51,$NN$51,0),IF($NP$51="Bell_Curve",$NN$51*(317-$NR$51+1)*($NS$51-317+1)/$NU$51,$NN$51/$NT$51)),0)</f>
        <v/>
      </c>
      <c r="LJ51" s="402">
        <f>IF(AND(318&gt;=$NR$51,318&lt;=$NS$51),IF($NP$51="Single_Point",IF(318=$NR$51,$NN$51,0),IF($NP$51="Bell_Curve",$NN$51*(318-$NR$51+1)*($NS$51-318+1)/$NU$51,$NN$51/$NT$51)),0)</f>
        <v/>
      </c>
      <c r="LK51" s="402">
        <f>IF(AND(319&gt;=$NR$51,319&lt;=$NS$51),IF($NP$51="Single_Point",IF(319=$NR$51,$NN$51,0),IF($NP$51="Bell_Curve",$NN$51*(319-$NR$51+1)*($NS$51-319+1)/$NU$51,$NN$51/$NT$51)),0)</f>
        <v/>
      </c>
      <c r="LL51" s="402">
        <f>IF(AND(320&gt;=$NR$51,320&lt;=$NS$51),IF($NP$51="Single_Point",IF(320=$NR$51,$NN$51,0),IF($NP$51="Bell_Curve",$NN$51*(320-$NR$51+1)*($NS$51-320+1)/$NU$51,$NN$51/$NT$51)),0)</f>
        <v/>
      </c>
      <c r="LM51" s="402">
        <f>IF(AND(321&gt;=$NR$51,321&lt;=$NS$51),IF($NP$51="Single_Point",IF(321=$NR$51,$NN$51,0),IF($NP$51="Bell_Curve",$NN$51*(321-$NR$51+1)*($NS$51-321+1)/$NU$51,$NN$51/$NT$51)),0)</f>
        <v/>
      </c>
      <c r="LN51" s="402">
        <f>IF(AND(322&gt;=$NR$51,322&lt;=$NS$51),IF($NP$51="Single_Point",IF(322=$NR$51,$NN$51,0),IF($NP$51="Bell_Curve",$NN$51*(322-$NR$51+1)*($NS$51-322+1)/$NU$51,$NN$51/$NT$51)),0)</f>
        <v/>
      </c>
      <c r="LO51" s="402">
        <f>IF(AND(323&gt;=$NR$51,323&lt;=$NS$51),IF($NP$51="Single_Point",IF(323=$NR$51,$NN$51,0),IF($NP$51="Bell_Curve",$NN$51*(323-$NR$51+1)*($NS$51-323+1)/$NU$51,$NN$51/$NT$51)),0)</f>
        <v/>
      </c>
      <c r="LP51" s="402">
        <f>IF(AND(324&gt;=$NR$51,324&lt;=$NS$51),IF($NP$51="Single_Point",IF(324=$NR$51,$NN$51,0),IF($NP$51="Bell_Curve",$NN$51*(324-$NR$51+1)*($NS$51-324+1)/$NU$51,$NN$51/$NT$51)),0)</f>
        <v/>
      </c>
      <c r="LQ51" s="402">
        <f>IF(AND(325&gt;=$NR$51,325&lt;=$NS$51),IF($NP$51="Single_Point",IF(325=$NR$51,$NN$51,0),IF($NP$51="Bell_Curve",$NN$51*(325-$NR$51+1)*($NS$51-325+1)/$NU$51,$NN$51/$NT$51)),0)</f>
        <v/>
      </c>
      <c r="LR51" s="402">
        <f>IF(AND(326&gt;=$NR$51,326&lt;=$NS$51),IF($NP$51="Single_Point",IF(326=$NR$51,$NN$51,0),IF($NP$51="Bell_Curve",$NN$51*(326-$NR$51+1)*($NS$51-326+1)/$NU$51,$NN$51/$NT$51)),0)</f>
        <v/>
      </c>
      <c r="LS51" s="402">
        <f>IF(AND(327&gt;=$NR$51,327&lt;=$NS$51),IF($NP$51="Single_Point",IF(327=$NR$51,$NN$51,0),IF($NP$51="Bell_Curve",$NN$51*(327-$NR$51+1)*($NS$51-327+1)/$NU$51,$NN$51/$NT$51)),0)</f>
        <v/>
      </c>
      <c r="LT51" s="402">
        <f>IF(AND(328&gt;=$NR$51,328&lt;=$NS$51),IF($NP$51="Single_Point",IF(328=$NR$51,$NN$51,0),IF($NP$51="Bell_Curve",$NN$51*(328-$NR$51+1)*($NS$51-328+1)/$NU$51,$NN$51/$NT$51)),0)</f>
        <v/>
      </c>
      <c r="LU51" s="402">
        <f>IF(AND(329&gt;=$NR$51,329&lt;=$NS$51),IF($NP$51="Single_Point",IF(329=$NR$51,$NN$51,0),IF($NP$51="Bell_Curve",$NN$51*(329-$NR$51+1)*($NS$51-329+1)/$NU$51,$NN$51/$NT$51)),0)</f>
        <v/>
      </c>
      <c r="LV51" s="402">
        <f>IF(AND(330&gt;=$NR$51,330&lt;=$NS$51),IF($NP$51="Single_Point",IF(330=$NR$51,$NN$51,0),IF($NP$51="Bell_Curve",$NN$51*(330-$NR$51+1)*($NS$51-330+1)/$NU$51,$NN$51/$NT$51)),0)</f>
        <v/>
      </c>
      <c r="LW51" s="402">
        <f>IF(AND(331&gt;=$NR$51,331&lt;=$NS$51),IF($NP$51="Single_Point",IF(331=$NR$51,$NN$51,0),IF($NP$51="Bell_Curve",$NN$51*(331-$NR$51+1)*($NS$51-331+1)/$NU$51,$NN$51/$NT$51)),0)</f>
        <v/>
      </c>
      <c r="LX51" s="402">
        <f>IF(AND(332&gt;=$NR$51,332&lt;=$NS$51),IF($NP$51="Single_Point",IF(332=$NR$51,$NN$51,0),IF($NP$51="Bell_Curve",$NN$51*(332-$NR$51+1)*($NS$51-332+1)/$NU$51,$NN$51/$NT$51)),0)</f>
        <v/>
      </c>
      <c r="LY51" s="402">
        <f>IF(AND(333&gt;=$NR$51,333&lt;=$NS$51),IF($NP$51="Single_Point",IF(333=$NR$51,$NN$51,0),IF($NP$51="Bell_Curve",$NN$51*(333-$NR$51+1)*($NS$51-333+1)/$NU$51,$NN$51/$NT$51)),0)</f>
        <v/>
      </c>
      <c r="LZ51" s="402">
        <f>IF(AND(334&gt;=$NR$51,334&lt;=$NS$51),IF($NP$51="Single_Point",IF(334=$NR$51,$NN$51,0),IF($NP$51="Bell_Curve",$NN$51*(334-$NR$51+1)*($NS$51-334+1)/$NU$51,$NN$51/$NT$51)),0)</f>
        <v/>
      </c>
      <c r="MA51" s="402">
        <f>IF(AND(335&gt;=$NR$51,335&lt;=$NS$51),IF($NP$51="Single_Point",IF(335=$NR$51,$NN$51,0),IF($NP$51="Bell_Curve",$NN$51*(335-$NR$51+1)*($NS$51-335+1)/$NU$51,$NN$51/$NT$51)),0)</f>
        <v/>
      </c>
      <c r="MB51" s="402">
        <f>IF(AND(336&gt;=$NR$51,336&lt;=$NS$51),IF($NP$51="Single_Point",IF(336=$NR$51,$NN$51,0),IF($NP$51="Bell_Curve",$NN$51*(336-$NR$51+1)*($NS$51-336+1)/$NU$51,$NN$51/$NT$51)),0)</f>
        <v/>
      </c>
      <c r="MC51" s="402">
        <f>IF(AND(337&gt;=$NR$51,337&lt;=$NS$51),IF($NP$51="Single_Point",IF(337=$NR$51,$NN$51,0),IF($NP$51="Bell_Curve",$NN$51*(337-$NR$51+1)*($NS$51-337+1)/$NU$51,$NN$51/$NT$51)),0)</f>
        <v/>
      </c>
      <c r="MD51" s="402">
        <f>IF(AND(338&gt;=$NR$51,338&lt;=$NS$51),IF($NP$51="Single_Point",IF(338=$NR$51,$NN$51,0),IF($NP$51="Bell_Curve",$NN$51*(338-$NR$51+1)*($NS$51-338+1)/$NU$51,$NN$51/$NT$51)),0)</f>
        <v/>
      </c>
      <c r="ME51" s="402">
        <f>IF(AND(339&gt;=$NR$51,339&lt;=$NS$51),IF($NP$51="Single_Point",IF(339=$NR$51,$NN$51,0),IF($NP$51="Bell_Curve",$NN$51*(339-$NR$51+1)*($NS$51-339+1)/$NU$51,$NN$51/$NT$51)),0)</f>
        <v/>
      </c>
      <c r="MF51" s="402">
        <f>IF(AND(340&gt;=$NR$51,340&lt;=$NS$51),IF($NP$51="Single_Point",IF(340=$NR$51,$NN$51,0),IF($NP$51="Bell_Curve",$NN$51*(340-$NR$51+1)*($NS$51-340+1)/$NU$51,$NN$51/$NT$51)),0)</f>
        <v/>
      </c>
      <c r="MG51" s="402">
        <f>IF(AND(341&gt;=$NR$51,341&lt;=$NS$51),IF($NP$51="Single_Point",IF(341=$NR$51,$NN$51,0),IF($NP$51="Bell_Curve",$NN$51*(341-$NR$51+1)*($NS$51-341+1)/$NU$51,$NN$51/$NT$51)),0)</f>
        <v/>
      </c>
      <c r="MH51" s="402">
        <f>IF(AND(342&gt;=$NR$51,342&lt;=$NS$51),IF($NP$51="Single_Point",IF(342=$NR$51,$NN$51,0),IF($NP$51="Bell_Curve",$NN$51*(342-$NR$51+1)*($NS$51-342+1)/$NU$51,$NN$51/$NT$51)),0)</f>
        <v/>
      </c>
      <c r="MI51" s="402">
        <f>IF(AND(343&gt;=$NR$51,343&lt;=$NS$51),IF($NP$51="Single_Point",IF(343=$NR$51,$NN$51,0),IF($NP$51="Bell_Curve",$NN$51*(343-$NR$51+1)*($NS$51-343+1)/$NU$51,$NN$51/$NT$51)),0)</f>
        <v/>
      </c>
      <c r="MJ51" s="402">
        <f>IF(AND(344&gt;=$NR$51,344&lt;=$NS$51),IF($NP$51="Single_Point",IF(344=$NR$51,$NN$51,0),IF($NP$51="Bell_Curve",$NN$51*(344-$NR$51+1)*($NS$51-344+1)/$NU$51,$NN$51/$NT$51)),0)</f>
        <v/>
      </c>
      <c r="MK51" s="402">
        <f>IF(AND(345&gt;=$NR$51,345&lt;=$NS$51),IF($NP$51="Single_Point",IF(345=$NR$51,$NN$51,0),IF($NP$51="Bell_Curve",$NN$51*(345-$NR$51+1)*($NS$51-345+1)/$NU$51,$NN$51/$NT$51)),0)</f>
        <v/>
      </c>
      <c r="ML51" s="402">
        <f>IF(AND(346&gt;=$NR$51,346&lt;=$NS$51),IF($NP$51="Single_Point",IF(346=$NR$51,$NN$51,0),IF($NP$51="Bell_Curve",$NN$51*(346-$NR$51+1)*($NS$51-346+1)/$NU$51,$NN$51/$NT$51)),0)</f>
        <v/>
      </c>
      <c r="MM51" s="402">
        <f>IF(AND(347&gt;=$NR$51,347&lt;=$NS$51),IF($NP$51="Single_Point",IF(347=$NR$51,$NN$51,0),IF($NP$51="Bell_Curve",$NN$51*(347-$NR$51+1)*($NS$51-347+1)/$NU$51,$NN$51/$NT$51)),0)</f>
        <v/>
      </c>
      <c r="MN51" s="402">
        <f>IF(AND(348&gt;=$NR$51,348&lt;=$NS$51),IF($NP$51="Single_Point",IF(348=$NR$51,$NN$51,0),IF($NP$51="Bell_Curve",$NN$51*(348-$NR$51+1)*($NS$51-348+1)/$NU$51,$NN$51/$NT$51)),0)</f>
        <v/>
      </c>
      <c r="MO51" s="402">
        <f>IF(AND(349&gt;=$NR$51,349&lt;=$NS$51),IF($NP$51="Single_Point",IF(349=$NR$51,$NN$51,0),IF($NP$51="Bell_Curve",$NN$51*(349-$NR$51+1)*($NS$51-349+1)/$NU$51,$NN$51/$NT$51)),0)</f>
        <v/>
      </c>
      <c r="MP51" s="402">
        <f>IF(AND(350&gt;=$NR$51,350&lt;=$NS$51),IF($NP$51="Single_Point",IF(350=$NR$51,$NN$51,0),IF($NP$51="Bell_Curve",$NN$51*(350-$NR$51+1)*($NS$51-350+1)/$NU$51,$NN$51/$NT$51)),0)</f>
        <v/>
      </c>
      <c r="MQ51" s="402">
        <f>IF(AND(351&gt;=$NR$51,351&lt;=$NS$51),IF($NP$51="Single_Point",IF(351=$NR$51,$NN$51,0),IF($NP$51="Bell_Curve",$NN$51*(351-$NR$51+1)*($NS$51-351+1)/$NU$51,$NN$51/$NT$51)),0)</f>
        <v/>
      </c>
      <c r="MR51" s="402">
        <f>IF(AND(352&gt;=$NR$51,352&lt;=$NS$51),IF($NP$51="Single_Point",IF(352=$NR$51,$NN$51,0),IF($NP$51="Bell_Curve",$NN$51*(352-$NR$51+1)*($NS$51-352+1)/$NU$51,$NN$51/$NT$51)),0)</f>
        <v/>
      </c>
      <c r="MS51" s="402">
        <f>IF(AND(353&gt;=$NR$51,353&lt;=$NS$51),IF($NP$51="Single_Point",IF(353=$NR$51,$NN$51,0),IF($NP$51="Bell_Curve",$NN$51*(353-$NR$51+1)*($NS$51-353+1)/$NU$51,$NN$51/$NT$51)),0)</f>
        <v/>
      </c>
      <c r="MT51" s="402">
        <f>IF(AND(354&gt;=$NR$51,354&lt;=$NS$51),IF($NP$51="Single_Point",IF(354=$NR$51,$NN$51,0),IF($NP$51="Bell_Curve",$NN$51*(354-$NR$51+1)*($NS$51-354+1)/$NU$51,$NN$51/$NT$51)),0)</f>
        <v/>
      </c>
      <c r="MU51" s="402">
        <f>IF(AND(355&gt;=$NR$51,355&lt;=$NS$51),IF($NP$51="Single_Point",IF(355=$NR$51,$NN$51,0),IF($NP$51="Bell_Curve",$NN$51*(355-$NR$51+1)*($NS$51-355+1)/$NU$51,$NN$51/$NT$51)),0)</f>
        <v/>
      </c>
      <c r="MV51" s="402">
        <f>IF(AND(356&gt;=$NR$51,356&lt;=$NS$51),IF($NP$51="Single_Point",IF(356=$NR$51,$NN$51,0),IF($NP$51="Bell_Curve",$NN$51*(356-$NR$51+1)*($NS$51-356+1)/$NU$51,$NN$51/$NT$51)),0)</f>
        <v/>
      </c>
      <c r="MW51" s="402">
        <f>IF(AND(357&gt;=$NR$51,357&lt;=$NS$51),IF($NP$51="Single_Point",IF(357=$NR$51,$NN$51,0),IF($NP$51="Bell_Curve",$NN$51*(357-$NR$51+1)*($NS$51-357+1)/$NU$51,$NN$51/$NT$51)),0)</f>
        <v/>
      </c>
      <c r="MX51" s="402">
        <f>IF(AND(358&gt;=$NR$51,358&lt;=$NS$51),IF($NP$51="Single_Point",IF(358=$NR$51,$NN$51,0),IF($NP$51="Bell_Curve",$NN$51*(358-$NR$51+1)*($NS$51-358+1)/$NU$51,$NN$51/$NT$51)),0)</f>
        <v/>
      </c>
      <c r="MY51" s="402">
        <f>IF(AND(359&gt;=$NR$51,359&lt;=$NS$51),IF($NP$51="Single_Point",IF(359=$NR$51,$NN$51,0),IF($NP$51="Bell_Curve",$NN$51*(359-$NR$51+1)*($NS$51-359+1)/$NU$51,$NN$51/$NT$51)),0)</f>
        <v/>
      </c>
      <c r="MZ51" s="402">
        <f>IF(AND(360&gt;=$NR$51,360&lt;=$NS$51),IF($NP$51="Single_Point",IF(360=$NR$51,$NN$51,0),IF($NP$51="Bell_Curve",$NN$51*(360-$NR$51+1)*($NS$51-360+1)/$NU$51,$NN$51/$NT$51)),0)</f>
        <v/>
      </c>
      <c r="NA51" s="402">
        <f>IF(AND(361&gt;=$NR$51,361&lt;=$NS$51),IF($NP$51="Single_Point",IF(361=$NR$51,$NN$51,0),IF($NP$51="Bell_Curve",$NN$51*(361-$NR$51+1)*($NS$51-361+1)/$NU$51,$NN$51/$NT$51)),0)</f>
        <v/>
      </c>
      <c r="NB51" s="402">
        <f>IF(AND(362&gt;=$NR$51,362&lt;=$NS$51),IF($NP$51="Single_Point",IF(362=$NR$51,$NN$51,0),IF($NP$51="Bell_Curve",$NN$51*(362-$NR$51+1)*($NS$51-362+1)/$NU$51,$NN$51/$NT$51)),0)</f>
        <v/>
      </c>
      <c r="NC51" s="402">
        <f>IF(AND(363&gt;=$NR$51,363&lt;=$NS$51),IF($NP$51="Single_Point",IF(363=$NR$51,$NN$51,0),IF($NP$51="Bell_Curve",$NN$51*(363-$NR$51+1)*($NS$51-363+1)/$NU$51,$NN$51/$NT$51)),0)</f>
        <v/>
      </c>
      <c r="ND51" s="402">
        <f>IF(AND(364&gt;=$NR$51,364&lt;=$NS$51),IF($NP$51="Single_Point",IF(364=$NR$51,$NN$51,0),IF($NP$51="Bell_Curve",$NN$51*(364-$NR$51+1)*($NS$51-364+1)/$NU$51,$NN$51/$NT$51)),0)</f>
        <v/>
      </c>
      <c r="NE51" s="402">
        <f>IF(AND(365&gt;=$NR$51,365&lt;=$NS$51),IF($NP$51="Single_Point",IF(365=$NR$51,$NN$51,0),IF($NP$51="Bell_Curve",$NN$51*(365-$NR$51+1)*($NS$51-365+1)/$NU$51,$NN$51/$NT$51)),0)</f>
        <v/>
      </c>
      <c r="NF51" s="402">
        <f>IF(AND(366&gt;=$NR$51,366&lt;=$NS$51),IF($NP$51="Single_Point",IF(366=$NR$51,$NN$51,0),IF($NP$51="Bell_Curve",$NN$51*(366-$NR$51+1)*($NS$51-366+1)/$NU$51,$NN$51/$NT$51)),0)</f>
        <v/>
      </c>
      <c r="NG51" s="402">
        <f>IF(AND(367&gt;=$NR$51,367&lt;=$NS$51),IF($NP$51="Single_Point",IF(367=$NR$51,$NN$51,0),IF($NP$51="Bell_Curve",$NN$51*(367-$NR$51+1)*($NS$51-367+1)/$NU$51,$NN$51/$NT$51)),0)</f>
        <v/>
      </c>
      <c r="NH51" s="402">
        <f>IF(AND(368&gt;=$NR$51,368&lt;=$NS$51),IF($NP$51="Single_Point",IF(368=$NR$51,$NN$51,0),IF($NP$51="Bell_Curve",$NN$51*(368-$NR$51+1)*($NS$51-368+1)/$NU$51,$NN$51/$NT$51)),0)</f>
        <v/>
      </c>
      <c r="NI51" s="402">
        <f>IF(AND(369&gt;=$NR$51,369&lt;=$NS$51),IF($NP$51="Single_Point",IF(369=$NR$51,$NN$51,0),IF($NP$51="Bell_Curve",$NN$51*(369-$NR$51+1)*($NS$51-369+1)/$NU$51,$NN$51/$NT$51)),0)</f>
        <v/>
      </c>
      <c r="NJ51" s="402">
        <f>IF(AND(370&gt;=$NR$51,370&lt;=$NS$51),IF($NP$51="Single_Point",IF(370=$NR$51,$NN$51,0),IF($NP$51="Bell_Curve",$NN$51*(370-$NR$51+1)*($NS$51-370+1)/$NU$51,$NN$51/$NT$51)),0)</f>
        <v/>
      </c>
      <c r="NK51" s="402">
        <f>IF(AND(371&gt;=$NR$51,371&lt;=$NS$51),IF($NP$51="Single_Point",IF(371=$NR$51,$NN$51,0),IF($NP$51="Bell_Curve",$NN$51*(371-$NR$51+1)*($NS$51-371+1)/$NU$51,$NN$51/$NT$51)),0)</f>
        <v/>
      </c>
      <c r="NL51" s="402">
        <f>IF(AND(372&gt;=$NR$51,372&lt;=$NS$51),IF($NP$51="Single_Point",IF(372=$NR$51,$NN$51,0),IF($NP$51="Bell_Curve",$NN$51*(372-$NR$51+1)*($NS$51-372+1)/$NU$51,$NN$51/$NT$51)),0)</f>
        <v/>
      </c>
      <c r="NM51">
        <f>Budget!C50</f>
        <v/>
      </c>
      <c r="NN51">
        <f>Budget!J50</f>
        <v/>
      </c>
      <c r="NO51">
        <f>Budget!G50</f>
        <v/>
      </c>
      <c r="NP51">
        <f>Budget!H50</f>
        <v/>
      </c>
      <c r="NQ51">
        <f>Budget!I50</f>
        <v/>
      </c>
      <c r="NR51">
        <f>MAX(1,MIN(372,INDEX(MilestoneStart,MATCH(NO51,MilestoneNames,0))+NQ51))</f>
        <v/>
      </c>
      <c r="NS51">
        <f>MAX(NR51,MIN(372,INDEX(MilestoneEnd,MATCH(NO51,MilestoneNames,0))+NQ51))</f>
        <v/>
      </c>
      <c r="NT51">
        <f>NS51-NR51+1</f>
        <v/>
      </c>
      <c r="NU51">
        <f>NT51*(NT51+1)*(NT51+2)/6</f>
        <v/>
      </c>
    </row>
    <row r="52">
      <c r="B52" s="316">
        <f>Budget!B51</f>
        <v/>
      </c>
      <c r="D52" s="402">
        <f>SUM(E52:NL52)</f>
        <v/>
      </c>
      <c r="E52" s="402">
        <f>IF(AND(1&gt;=$NR$52,1&lt;=$NS$52),IF($NP$52="Single_Point",IF(1=$NR$52,$NN$52,0),IF($NP$52="Bell_Curve",$NN$52*(1-$NR$52+1)*($NS$52-1+1)/$NU$52,$NN$52/$NT$52)),0)</f>
        <v/>
      </c>
      <c r="F52" s="402">
        <f>IF(AND(2&gt;=$NR$52,2&lt;=$NS$52),IF($NP$52="Single_Point",IF(2=$NR$52,$NN$52,0),IF($NP$52="Bell_Curve",$NN$52*(2-$NR$52+1)*($NS$52-2+1)/$NU$52,$NN$52/$NT$52)),0)</f>
        <v/>
      </c>
      <c r="G52" s="402">
        <f>IF(AND(3&gt;=$NR$52,3&lt;=$NS$52),IF($NP$52="Single_Point",IF(3=$NR$52,$NN$52,0),IF($NP$52="Bell_Curve",$NN$52*(3-$NR$52+1)*($NS$52-3+1)/$NU$52,$NN$52/$NT$52)),0)</f>
        <v/>
      </c>
      <c r="H52" s="402">
        <f>IF(AND(4&gt;=$NR$52,4&lt;=$NS$52),IF($NP$52="Single_Point",IF(4=$NR$52,$NN$52,0),IF($NP$52="Bell_Curve",$NN$52*(4-$NR$52+1)*($NS$52-4+1)/$NU$52,$NN$52/$NT$52)),0)</f>
        <v/>
      </c>
      <c r="I52" s="402">
        <f>IF(AND(5&gt;=$NR$52,5&lt;=$NS$52),IF($NP$52="Single_Point",IF(5=$NR$52,$NN$52,0),IF($NP$52="Bell_Curve",$NN$52*(5-$NR$52+1)*($NS$52-5+1)/$NU$52,$NN$52/$NT$52)),0)</f>
        <v/>
      </c>
      <c r="J52" s="402">
        <f>IF(AND(6&gt;=$NR$52,6&lt;=$NS$52),IF($NP$52="Single_Point",IF(6=$NR$52,$NN$52,0),IF($NP$52="Bell_Curve",$NN$52*(6-$NR$52+1)*($NS$52-6+1)/$NU$52,$NN$52/$NT$52)),0)</f>
        <v/>
      </c>
      <c r="K52" s="402">
        <f>IF(AND(7&gt;=$NR$52,7&lt;=$NS$52),IF($NP$52="Single_Point",IF(7=$NR$52,$NN$52,0),IF($NP$52="Bell_Curve",$NN$52*(7-$NR$52+1)*($NS$52-7+1)/$NU$52,$NN$52/$NT$52)),0)</f>
        <v/>
      </c>
      <c r="L52" s="402">
        <f>IF(AND(8&gt;=$NR$52,8&lt;=$NS$52),IF($NP$52="Single_Point",IF(8=$NR$52,$NN$52,0),IF($NP$52="Bell_Curve",$NN$52*(8-$NR$52+1)*($NS$52-8+1)/$NU$52,$NN$52/$NT$52)),0)</f>
        <v/>
      </c>
      <c r="M52" s="402">
        <f>IF(AND(9&gt;=$NR$52,9&lt;=$NS$52),IF($NP$52="Single_Point",IF(9=$NR$52,$NN$52,0),IF($NP$52="Bell_Curve",$NN$52*(9-$NR$52+1)*($NS$52-9+1)/$NU$52,$NN$52/$NT$52)),0)</f>
        <v/>
      </c>
      <c r="N52" s="402">
        <f>IF(AND(10&gt;=$NR$52,10&lt;=$NS$52),IF($NP$52="Single_Point",IF(10=$NR$52,$NN$52,0),IF($NP$52="Bell_Curve",$NN$52*(10-$NR$52+1)*($NS$52-10+1)/$NU$52,$NN$52/$NT$52)),0)</f>
        <v/>
      </c>
      <c r="O52" s="402">
        <f>IF(AND(11&gt;=$NR$52,11&lt;=$NS$52),IF($NP$52="Single_Point",IF(11=$NR$52,$NN$52,0),IF($NP$52="Bell_Curve",$NN$52*(11-$NR$52+1)*($NS$52-11+1)/$NU$52,$NN$52/$NT$52)),0)</f>
        <v/>
      </c>
      <c r="P52" s="402">
        <f>IF(AND(12&gt;=$NR$52,12&lt;=$NS$52),IF($NP$52="Single_Point",IF(12=$NR$52,$NN$52,0),IF($NP$52="Bell_Curve",$NN$52*(12-$NR$52+1)*($NS$52-12+1)/$NU$52,$NN$52/$NT$52)),0)</f>
        <v/>
      </c>
      <c r="Q52" s="402">
        <f>IF(AND(13&gt;=$NR$52,13&lt;=$NS$52),IF($NP$52="Single_Point",IF(13=$NR$52,$NN$52,0),IF($NP$52="Bell_Curve",$NN$52*(13-$NR$52+1)*($NS$52-13+1)/$NU$52,$NN$52/$NT$52)),0)</f>
        <v/>
      </c>
      <c r="R52" s="402">
        <f>IF(AND(14&gt;=$NR$52,14&lt;=$NS$52),IF($NP$52="Single_Point",IF(14=$NR$52,$NN$52,0),IF($NP$52="Bell_Curve",$NN$52*(14-$NR$52+1)*($NS$52-14+1)/$NU$52,$NN$52/$NT$52)),0)</f>
        <v/>
      </c>
      <c r="S52" s="402">
        <f>IF(AND(15&gt;=$NR$52,15&lt;=$NS$52),IF($NP$52="Single_Point",IF(15=$NR$52,$NN$52,0),IF($NP$52="Bell_Curve",$NN$52*(15-$NR$52+1)*($NS$52-15+1)/$NU$52,$NN$52/$NT$52)),0)</f>
        <v/>
      </c>
      <c r="T52" s="402">
        <f>IF(AND(16&gt;=$NR$52,16&lt;=$NS$52),IF($NP$52="Single_Point",IF(16=$NR$52,$NN$52,0),IF($NP$52="Bell_Curve",$NN$52*(16-$NR$52+1)*($NS$52-16+1)/$NU$52,$NN$52/$NT$52)),0)</f>
        <v/>
      </c>
      <c r="U52" s="402">
        <f>IF(AND(17&gt;=$NR$52,17&lt;=$NS$52),IF($NP$52="Single_Point",IF(17=$NR$52,$NN$52,0),IF($NP$52="Bell_Curve",$NN$52*(17-$NR$52+1)*($NS$52-17+1)/$NU$52,$NN$52/$NT$52)),0)</f>
        <v/>
      </c>
      <c r="V52" s="402">
        <f>IF(AND(18&gt;=$NR$52,18&lt;=$NS$52),IF($NP$52="Single_Point",IF(18=$NR$52,$NN$52,0),IF($NP$52="Bell_Curve",$NN$52*(18-$NR$52+1)*($NS$52-18+1)/$NU$52,$NN$52/$NT$52)),0)</f>
        <v/>
      </c>
      <c r="W52" s="402">
        <f>IF(AND(19&gt;=$NR$52,19&lt;=$NS$52),IF($NP$52="Single_Point",IF(19=$NR$52,$NN$52,0),IF($NP$52="Bell_Curve",$NN$52*(19-$NR$52+1)*($NS$52-19+1)/$NU$52,$NN$52/$NT$52)),0)</f>
        <v/>
      </c>
      <c r="X52" s="402">
        <f>IF(AND(20&gt;=$NR$52,20&lt;=$NS$52),IF($NP$52="Single_Point",IF(20=$NR$52,$NN$52,0),IF($NP$52="Bell_Curve",$NN$52*(20-$NR$52+1)*($NS$52-20+1)/$NU$52,$NN$52/$NT$52)),0)</f>
        <v/>
      </c>
      <c r="Y52" s="402">
        <f>IF(AND(21&gt;=$NR$52,21&lt;=$NS$52),IF($NP$52="Single_Point",IF(21=$NR$52,$NN$52,0),IF($NP$52="Bell_Curve",$NN$52*(21-$NR$52+1)*($NS$52-21+1)/$NU$52,$NN$52/$NT$52)),0)</f>
        <v/>
      </c>
      <c r="Z52" s="402">
        <f>IF(AND(22&gt;=$NR$52,22&lt;=$NS$52),IF($NP$52="Single_Point",IF(22=$NR$52,$NN$52,0),IF($NP$52="Bell_Curve",$NN$52*(22-$NR$52+1)*($NS$52-22+1)/$NU$52,$NN$52/$NT$52)),0)</f>
        <v/>
      </c>
      <c r="AA52" s="402">
        <f>IF(AND(23&gt;=$NR$52,23&lt;=$NS$52),IF($NP$52="Single_Point",IF(23=$NR$52,$NN$52,0),IF($NP$52="Bell_Curve",$NN$52*(23-$NR$52+1)*($NS$52-23+1)/$NU$52,$NN$52/$NT$52)),0)</f>
        <v/>
      </c>
      <c r="AB52" s="402">
        <f>IF(AND(24&gt;=$NR$52,24&lt;=$NS$52),IF($NP$52="Single_Point",IF(24=$NR$52,$NN$52,0),IF($NP$52="Bell_Curve",$NN$52*(24-$NR$52+1)*($NS$52-24+1)/$NU$52,$NN$52/$NT$52)),0)</f>
        <v/>
      </c>
      <c r="AC52" s="402">
        <f>IF(AND(25&gt;=$NR$52,25&lt;=$NS$52),IF($NP$52="Single_Point",IF(25=$NR$52,$NN$52,0),IF($NP$52="Bell_Curve",$NN$52*(25-$NR$52+1)*($NS$52-25+1)/$NU$52,$NN$52/$NT$52)),0)</f>
        <v/>
      </c>
      <c r="AD52" s="402">
        <f>IF(AND(26&gt;=$NR$52,26&lt;=$NS$52),IF($NP$52="Single_Point",IF(26=$NR$52,$NN$52,0),IF($NP$52="Bell_Curve",$NN$52*(26-$NR$52+1)*($NS$52-26+1)/$NU$52,$NN$52/$NT$52)),0)</f>
        <v/>
      </c>
      <c r="AE52" s="402">
        <f>IF(AND(27&gt;=$NR$52,27&lt;=$NS$52),IF($NP$52="Single_Point",IF(27=$NR$52,$NN$52,0),IF($NP$52="Bell_Curve",$NN$52*(27-$NR$52+1)*($NS$52-27+1)/$NU$52,$NN$52/$NT$52)),0)</f>
        <v/>
      </c>
      <c r="AF52" s="402">
        <f>IF(AND(28&gt;=$NR$52,28&lt;=$NS$52),IF($NP$52="Single_Point",IF(28=$NR$52,$NN$52,0),IF($NP$52="Bell_Curve",$NN$52*(28-$NR$52+1)*($NS$52-28+1)/$NU$52,$NN$52/$NT$52)),0)</f>
        <v/>
      </c>
      <c r="AG52" s="402">
        <f>IF(AND(29&gt;=$NR$52,29&lt;=$NS$52),IF($NP$52="Single_Point",IF(29=$NR$52,$NN$52,0),IF($NP$52="Bell_Curve",$NN$52*(29-$NR$52+1)*($NS$52-29+1)/$NU$52,$NN$52/$NT$52)),0)</f>
        <v/>
      </c>
      <c r="AH52" s="402">
        <f>IF(AND(30&gt;=$NR$52,30&lt;=$NS$52),IF($NP$52="Single_Point",IF(30=$NR$52,$NN$52,0),IF($NP$52="Bell_Curve",$NN$52*(30-$NR$52+1)*($NS$52-30+1)/$NU$52,$NN$52/$NT$52)),0)</f>
        <v/>
      </c>
      <c r="AI52" s="402">
        <f>IF(AND(31&gt;=$NR$52,31&lt;=$NS$52),IF($NP$52="Single_Point",IF(31=$NR$52,$NN$52,0),IF($NP$52="Bell_Curve",$NN$52*(31-$NR$52+1)*($NS$52-31+1)/$NU$52,$NN$52/$NT$52)),0)</f>
        <v/>
      </c>
      <c r="AJ52" s="402">
        <f>IF(AND(32&gt;=$NR$52,32&lt;=$NS$52),IF($NP$52="Single_Point",IF(32=$NR$52,$NN$52,0),IF($NP$52="Bell_Curve",$NN$52*(32-$NR$52+1)*($NS$52-32+1)/$NU$52,$NN$52/$NT$52)),0)</f>
        <v/>
      </c>
      <c r="AK52" s="402">
        <f>IF(AND(33&gt;=$NR$52,33&lt;=$NS$52),IF($NP$52="Single_Point",IF(33=$NR$52,$NN$52,0),IF($NP$52="Bell_Curve",$NN$52*(33-$NR$52+1)*($NS$52-33+1)/$NU$52,$NN$52/$NT$52)),0)</f>
        <v/>
      </c>
      <c r="AL52" s="402">
        <f>IF(AND(34&gt;=$NR$52,34&lt;=$NS$52),IF($NP$52="Single_Point",IF(34=$NR$52,$NN$52,0),IF($NP$52="Bell_Curve",$NN$52*(34-$NR$52+1)*($NS$52-34+1)/$NU$52,$NN$52/$NT$52)),0)</f>
        <v/>
      </c>
      <c r="AM52" s="402">
        <f>IF(AND(35&gt;=$NR$52,35&lt;=$NS$52),IF($NP$52="Single_Point",IF(35=$NR$52,$NN$52,0),IF($NP$52="Bell_Curve",$NN$52*(35-$NR$52+1)*($NS$52-35+1)/$NU$52,$NN$52/$NT$52)),0)</f>
        <v/>
      </c>
      <c r="AN52" s="402">
        <f>IF(AND(36&gt;=$NR$52,36&lt;=$NS$52),IF($NP$52="Single_Point",IF(36=$NR$52,$NN$52,0),IF($NP$52="Bell_Curve",$NN$52*(36-$NR$52+1)*($NS$52-36+1)/$NU$52,$NN$52/$NT$52)),0)</f>
        <v/>
      </c>
      <c r="AO52" s="402">
        <f>IF(AND(37&gt;=$NR$52,37&lt;=$NS$52),IF($NP$52="Single_Point",IF(37=$NR$52,$NN$52,0),IF($NP$52="Bell_Curve",$NN$52*(37-$NR$52+1)*($NS$52-37+1)/$NU$52,$NN$52/$NT$52)),0)</f>
        <v/>
      </c>
      <c r="AP52" s="402">
        <f>IF(AND(38&gt;=$NR$52,38&lt;=$NS$52),IF($NP$52="Single_Point",IF(38=$NR$52,$NN$52,0),IF($NP$52="Bell_Curve",$NN$52*(38-$NR$52+1)*($NS$52-38+1)/$NU$52,$NN$52/$NT$52)),0)</f>
        <v/>
      </c>
      <c r="AQ52" s="402">
        <f>IF(AND(39&gt;=$NR$52,39&lt;=$NS$52),IF($NP$52="Single_Point",IF(39=$NR$52,$NN$52,0),IF($NP$52="Bell_Curve",$NN$52*(39-$NR$52+1)*($NS$52-39+1)/$NU$52,$NN$52/$NT$52)),0)</f>
        <v/>
      </c>
      <c r="AR52" s="402">
        <f>IF(AND(40&gt;=$NR$52,40&lt;=$NS$52),IF($NP$52="Single_Point",IF(40=$NR$52,$NN$52,0),IF($NP$52="Bell_Curve",$NN$52*(40-$NR$52+1)*($NS$52-40+1)/$NU$52,$NN$52/$NT$52)),0)</f>
        <v/>
      </c>
      <c r="AS52" s="402">
        <f>IF(AND(41&gt;=$NR$52,41&lt;=$NS$52),IF($NP$52="Single_Point",IF(41=$NR$52,$NN$52,0),IF($NP$52="Bell_Curve",$NN$52*(41-$NR$52+1)*($NS$52-41+1)/$NU$52,$NN$52/$NT$52)),0)</f>
        <v/>
      </c>
      <c r="AT52" s="402">
        <f>IF(AND(42&gt;=$NR$52,42&lt;=$NS$52),IF($NP$52="Single_Point",IF(42=$NR$52,$NN$52,0),IF($NP$52="Bell_Curve",$NN$52*(42-$NR$52+1)*($NS$52-42+1)/$NU$52,$NN$52/$NT$52)),0)</f>
        <v/>
      </c>
      <c r="AU52" s="402">
        <f>IF(AND(43&gt;=$NR$52,43&lt;=$NS$52),IF($NP$52="Single_Point",IF(43=$NR$52,$NN$52,0),IF($NP$52="Bell_Curve",$NN$52*(43-$NR$52+1)*($NS$52-43+1)/$NU$52,$NN$52/$NT$52)),0)</f>
        <v/>
      </c>
      <c r="AV52" s="402">
        <f>IF(AND(44&gt;=$NR$52,44&lt;=$NS$52),IF($NP$52="Single_Point",IF(44=$NR$52,$NN$52,0),IF($NP$52="Bell_Curve",$NN$52*(44-$NR$52+1)*($NS$52-44+1)/$NU$52,$NN$52/$NT$52)),0)</f>
        <v/>
      </c>
      <c r="AW52" s="402">
        <f>IF(AND(45&gt;=$NR$52,45&lt;=$NS$52),IF($NP$52="Single_Point",IF(45=$NR$52,$NN$52,0),IF($NP$52="Bell_Curve",$NN$52*(45-$NR$52+1)*($NS$52-45+1)/$NU$52,$NN$52/$NT$52)),0)</f>
        <v/>
      </c>
      <c r="AX52" s="402">
        <f>IF(AND(46&gt;=$NR$52,46&lt;=$NS$52),IF($NP$52="Single_Point",IF(46=$NR$52,$NN$52,0),IF($NP$52="Bell_Curve",$NN$52*(46-$NR$52+1)*($NS$52-46+1)/$NU$52,$NN$52/$NT$52)),0)</f>
        <v/>
      </c>
      <c r="AY52" s="402">
        <f>IF(AND(47&gt;=$NR$52,47&lt;=$NS$52),IF($NP$52="Single_Point",IF(47=$NR$52,$NN$52,0),IF($NP$52="Bell_Curve",$NN$52*(47-$NR$52+1)*($NS$52-47+1)/$NU$52,$NN$52/$NT$52)),0)</f>
        <v/>
      </c>
      <c r="AZ52" s="402">
        <f>IF(AND(48&gt;=$NR$52,48&lt;=$NS$52),IF($NP$52="Single_Point",IF(48=$NR$52,$NN$52,0),IF($NP$52="Bell_Curve",$NN$52*(48-$NR$52+1)*($NS$52-48+1)/$NU$52,$NN$52/$NT$52)),0)</f>
        <v/>
      </c>
      <c r="BA52" s="402">
        <f>IF(AND(49&gt;=$NR$52,49&lt;=$NS$52),IF($NP$52="Single_Point",IF(49=$NR$52,$NN$52,0),IF($NP$52="Bell_Curve",$NN$52*(49-$NR$52+1)*($NS$52-49+1)/$NU$52,$NN$52/$NT$52)),0)</f>
        <v/>
      </c>
      <c r="BB52" s="402">
        <f>IF(AND(50&gt;=$NR$52,50&lt;=$NS$52),IF($NP$52="Single_Point",IF(50=$NR$52,$NN$52,0),IF($NP$52="Bell_Curve",$NN$52*(50-$NR$52+1)*($NS$52-50+1)/$NU$52,$NN$52/$NT$52)),0)</f>
        <v/>
      </c>
      <c r="BC52" s="402">
        <f>IF(AND(51&gt;=$NR$52,51&lt;=$NS$52),IF($NP$52="Single_Point",IF(51=$NR$52,$NN$52,0),IF($NP$52="Bell_Curve",$NN$52*(51-$NR$52+1)*($NS$52-51+1)/$NU$52,$NN$52/$NT$52)),0)</f>
        <v/>
      </c>
      <c r="BD52" s="402">
        <f>IF(AND(52&gt;=$NR$52,52&lt;=$NS$52),IF($NP$52="Single_Point",IF(52=$NR$52,$NN$52,0),IF($NP$52="Bell_Curve",$NN$52*(52-$NR$52+1)*($NS$52-52+1)/$NU$52,$NN$52/$NT$52)),0)</f>
        <v/>
      </c>
      <c r="BE52" s="402">
        <f>IF(AND(53&gt;=$NR$52,53&lt;=$NS$52),IF($NP$52="Single_Point",IF(53=$NR$52,$NN$52,0),IF($NP$52="Bell_Curve",$NN$52*(53-$NR$52+1)*($NS$52-53+1)/$NU$52,$NN$52/$NT$52)),0)</f>
        <v/>
      </c>
      <c r="BF52" s="402">
        <f>IF(AND(54&gt;=$NR$52,54&lt;=$NS$52),IF($NP$52="Single_Point",IF(54=$NR$52,$NN$52,0),IF($NP$52="Bell_Curve",$NN$52*(54-$NR$52+1)*($NS$52-54+1)/$NU$52,$NN$52/$NT$52)),0)</f>
        <v/>
      </c>
      <c r="BG52" s="402">
        <f>IF(AND(55&gt;=$NR$52,55&lt;=$NS$52),IF($NP$52="Single_Point",IF(55=$NR$52,$NN$52,0),IF($NP$52="Bell_Curve",$NN$52*(55-$NR$52+1)*($NS$52-55+1)/$NU$52,$NN$52/$NT$52)),0)</f>
        <v/>
      </c>
      <c r="BH52" s="402">
        <f>IF(AND(56&gt;=$NR$52,56&lt;=$NS$52),IF($NP$52="Single_Point",IF(56=$NR$52,$NN$52,0),IF($NP$52="Bell_Curve",$NN$52*(56-$NR$52+1)*($NS$52-56+1)/$NU$52,$NN$52/$NT$52)),0)</f>
        <v/>
      </c>
      <c r="BI52" s="402">
        <f>IF(AND(57&gt;=$NR$52,57&lt;=$NS$52),IF($NP$52="Single_Point",IF(57=$NR$52,$NN$52,0),IF($NP$52="Bell_Curve",$NN$52*(57-$NR$52+1)*($NS$52-57+1)/$NU$52,$NN$52/$NT$52)),0)</f>
        <v/>
      </c>
      <c r="BJ52" s="402">
        <f>IF(AND(58&gt;=$NR$52,58&lt;=$NS$52),IF($NP$52="Single_Point",IF(58=$NR$52,$NN$52,0),IF($NP$52="Bell_Curve",$NN$52*(58-$NR$52+1)*($NS$52-58+1)/$NU$52,$NN$52/$NT$52)),0)</f>
        <v/>
      </c>
      <c r="BK52" s="402">
        <f>IF(AND(59&gt;=$NR$52,59&lt;=$NS$52),IF($NP$52="Single_Point",IF(59=$NR$52,$NN$52,0),IF($NP$52="Bell_Curve",$NN$52*(59-$NR$52+1)*($NS$52-59+1)/$NU$52,$NN$52/$NT$52)),0)</f>
        <v/>
      </c>
      <c r="BL52" s="402">
        <f>IF(AND(60&gt;=$NR$52,60&lt;=$NS$52),IF($NP$52="Single_Point",IF(60=$NR$52,$NN$52,0),IF($NP$52="Bell_Curve",$NN$52*(60-$NR$52+1)*($NS$52-60+1)/$NU$52,$NN$52/$NT$52)),0)</f>
        <v/>
      </c>
      <c r="BM52" s="402">
        <f>IF(AND(61&gt;=$NR$52,61&lt;=$NS$52),IF($NP$52="Single_Point",IF(61=$NR$52,$NN$52,0),IF($NP$52="Bell_Curve",$NN$52*(61-$NR$52+1)*($NS$52-61+1)/$NU$52,$NN$52/$NT$52)),0)</f>
        <v/>
      </c>
      <c r="BN52" s="402">
        <f>IF(AND(62&gt;=$NR$52,62&lt;=$NS$52),IF($NP$52="Single_Point",IF(62=$NR$52,$NN$52,0),IF($NP$52="Bell_Curve",$NN$52*(62-$NR$52+1)*($NS$52-62+1)/$NU$52,$NN$52/$NT$52)),0)</f>
        <v/>
      </c>
      <c r="BO52" s="402">
        <f>IF(AND(63&gt;=$NR$52,63&lt;=$NS$52),IF($NP$52="Single_Point",IF(63=$NR$52,$NN$52,0),IF($NP$52="Bell_Curve",$NN$52*(63-$NR$52+1)*($NS$52-63+1)/$NU$52,$NN$52/$NT$52)),0)</f>
        <v/>
      </c>
      <c r="BP52" s="402">
        <f>IF(AND(64&gt;=$NR$52,64&lt;=$NS$52),IF($NP$52="Single_Point",IF(64=$NR$52,$NN$52,0),IF($NP$52="Bell_Curve",$NN$52*(64-$NR$52+1)*($NS$52-64+1)/$NU$52,$NN$52/$NT$52)),0)</f>
        <v/>
      </c>
      <c r="BQ52" s="402">
        <f>IF(AND(65&gt;=$NR$52,65&lt;=$NS$52),IF($NP$52="Single_Point",IF(65=$NR$52,$NN$52,0),IF($NP$52="Bell_Curve",$NN$52*(65-$NR$52+1)*($NS$52-65+1)/$NU$52,$NN$52/$NT$52)),0)</f>
        <v/>
      </c>
      <c r="BR52" s="402">
        <f>IF(AND(66&gt;=$NR$52,66&lt;=$NS$52),IF($NP$52="Single_Point",IF(66=$NR$52,$NN$52,0),IF($NP$52="Bell_Curve",$NN$52*(66-$NR$52+1)*($NS$52-66+1)/$NU$52,$NN$52/$NT$52)),0)</f>
        <v/>
      </c>
      <c r="BS52" s="402">
        <f>IF(AND(67&gt;=$NR$52,67&lt;=$NS$52),IF($NP$52="Single_Point",IF(67=$NR$52,$NN$52,0),IF($NP$52="Bell_Curve",$NN$52*(67-$NR$52+1)*($NS$52-67+1)/$NU$52,$NN$52/$NT$52)),0)</f>
        <v/>
      </c>
      <c r="BT52" s="402">
        <f>IF(AND(68&gt;=$NR$52,68&lt;=$NS$52),IF($NP$52="Single_Point",IF(68=$NR$52,$NN$52,0),IF($NP$52="Bell_Curve",$NN$52*(68-$NR$52+1)*($NS$52-68+1)/$NU$52,$NN$52/$NT$52)),0)</f>
        <v/>
      </c>
      <c r="BU52" s="402">
        <f>IF(AND(69&gt;=$NR$52,69&lt;=$NS$52),IF($NP$52="Single_Point",IF(69=$NR$52,$NN$52,0),IF($NP$52="Bell_Curve",$NN$52*(69-$NR$52+1)*($NS$52-69+1)/$NU$52,$NN$52/$NT$52)),0)</f>
        <v/>
      </c>
      <c r="BV52" s="402">
        <f>IF(AND(70&gt;=$NR$52,70&lt;=$NS$52),IF($NP$52="Single_Point",IF(70=$NR$52,$NN$52,0),IF($NP$52="Bell_Curve",$NN$52*(70-$NR$52+1)*($NS$52-70+1)/$NU$52,$NN$52/$NT$52)),0)</f>
        <v/>
      </c>
      <c r="BW52" s="402">
        <f>IF(AND(71&gt;=$NR$52,71&lt;=$NS$52),IF($NP$52="Single_Point",IF(71=$NR$52,$NN$52,0),IF($NP$52="Bell_Curve",$NN$52*(71-$NR$52+1)*($NS$52-71+1)/$NU$52,$NN$52/$NT$52)),0)</f>
        <v/>
      </c>
      <c r="BX52" s="402">
        <f>IF(AND(72&gt;=$NR$52,72&lt;=$NS$52),IF($NP$52="Single_Point",IF(72=$NR$52,$NN$52,0),IF($NP$52="Bell_Curve",$NN$52*(72-$NR$52+1)*($NS$52-72+1)/$NU$52,$NN$52/$NT$52)),0)</f>
        <v/>
      </c>
      <c r="BY52" s="402">
        <f>IF(AND(73&gt;=$NR$52,73&lt;=$NS$52),IF($NP$52="Single_Point",IF(73=$NR$52,$NN$52,0),IF($NP$52="Bell_Curve",$NN$52*(73-$NR$52+1)*($NS$52-73+1)/$NU$52,$NN$52/$NT$52)),0)</f>
        <v/>
      </c>
      <c r="BZ52" s="402">
        <f>IF(AND(74&gt;=$NR$52,74&lt;=$NS$52),IF($NP$52="Single_Point",IF(74=$NR$52,$NN$52,0),IF($NP$52="Bell_Curve",$NN$52*(74-$NR$52+1)*($NS$52-74+1)/$NU$52,$NN$52/$NT$52)),0)</f>
        <v/>
      </c>
      <c r="CA52" s="402">
        <f>IF(AND(75&gt;=$NR$52,75&lt;=$NS$52),IF($NP$52="Single_Point",IF(75=$NR$52,$NN$52,0),IF($NP$52="Bell_Curve",$NN$52*(75-$NR$52+1)*($NS$52-75+1)/$NU$52,$NN$52/$NT$52)),0)</f>
        <v/>
      </c>
      <c r="CB52" s="402">
        <f>IF(AND(76&gt;=$NR$52,76&lt;=$NS$52),IF($NP$52="Single_Point",IF(76=$NR$52,$NN$52,0),IF($NP$52="Bell_Curve",$NN$52*(76-$NR$52+1)*($NS$52-76+1)/$NU$52,$NN$52/$NT$52)),0)</f>
        <v/>
      </c>
      <c r="CC52" s="402">
        <f>IF(AND(77&gt;=$NR$52,77&lt;=$NS$52),IF($NP$52="Single_Point",IF(77=$NR$52,$NN$52,0),IF($NP$52="Bell_Curve",$NN$52*(77-$NR$52+1)*($NS$52-77+1)/$NU$52,$NN$52/$NT$52)),0)</f>
        <v/>
      </c>
      <c r="CD52" s="402">
        <f>IF(AND(78&gt;=$NR$52,78&lt;=$NS$52),IF($NP$52="Single_Point",IF(78=$NR$52,$NN$52,0),IF($NP$52="Bell_Curve",$NN$52*(78-$NR$52+1)*($NS$52-78+1)/$NU$52,$NN$52/$NT$52)),0)</f>
        <v/>
      </c>
      <c r="CE52" s="402">
        <f>IF(AND(79&gt;=$NR$52,79&lt;=$NS$52),IF($NP$52="Single_Point",IF(79=$NR$52,$NN$52,0),IF($NP$52="Bell_Curve",$NN$52*(79-$NR$52+1)*($NS$52-79+1)/$NU$52,$NN$52/$NT$52)),0)</f>
        <v/>
      </c>
      <c r="CF52" s="402">
        <f>IF(AND(80&gt;=$NR$52,80&lt;=$NS$52),IF($NP$52="Single_Point",IF(80=$NR$52,$NN$52,0),IF($NP$52="Bell_Curve",$NN$52*(80-$NR$52+1)*($NS$52-80+1)/$NU$52,$NN$52/$NT$52)),0)</f>
        <v/>
      </c>
      <c r="CG52" s="402">
        <f>IF(AND(81&gt;=$NR$52,81&lt;=$NS$52),IF($NP$52="Single_Point",IF(81=$NR$52,$NN$52,0),IF($NP$52="Bell_Curve",$NN$52*(81-$NR$52+1)*($NS$52-81+1)/$NU$52,$NN$52/$NT$52)),0)</f>
        <v/>
      </c>
      <c r="CH52" s="402">
        <f>IF(AND(82&gt;=$NR$52,82&lt;=$NS$52),IF($NP$52="Single_Point",IF(82=$NR$52,$NN$52,0),IF($NP$52="Bell_Curve",$NN$52*(82-$NR$52+1)*($NS$52-82+1)/$NU$52,$NN$52/$NT$52)),0)</f>
        <v/>
      </c>
      <c r="CI52" s="402">
        <f>IF(AND(83&gt;=$NR$52,83&lt;=$NS$52),IF($NP$52="Single_Point",IF(83=$NR$52,$NN$52,0),IF($NP$52="Bell_Curve",$NN$52*(83-$NR$52+1)*($NS$52-83+1)/$NU$52,$NN$52/$NT$52)),0)</f>
        <v/>
      </c>
      <c r="CJ52" s="402">
        <f>IF(AND(84&gt;=$NR$52,84&lt;=$NS$52),IF($NP$52="Single_Point",IF(84=$NR$52,$NN$52,0),IF($NP$52="Bell_Curve",$NN$52*(84-$NR$52+1)*($NS$52-84+1)/$NU$52,$NN$52/$NT$52)),0)</f>
        <v/>
      </c>
      <c r="CK52" s="402">
        <f>IF(AND(85&gt;=$NR$52,85&lt;=$NS$52),IF($NP$52="Single_Point",IF(85=$NR$52,$NN$52,0),IF($NP$52="Bell_Curve",$NN$52*(85-$NR$52+1)*($NS$52-85+1)/$NU$52,$NN$52/$NT$52)),0)</f>
        <v/>
      </c>
      <c r="CL52" s="402">
        <f>IF(AND(86&gt;=$NR$52,86&lt;=$NS$52),IF($NP$52="Single_Point",IF(86=$NR$52,$NN$52,0),IF($NP$52="Bell_Curve",$NN$52*(86-$NR$52+1)*($NS$52-86+1)/$NU$52,$NN$52/$NT$52)),0)</f>
        <v/>
      </c>
      <c r="CM52" s="402">
        <f>IF(AND(87&gt;=$NR$52,87&lt;=$NS$52),IF($NP$52="Single_Point",IF(87=$NR$52,$NN$52,0),IF($NP$52="Bell_Curve",$NN$52*(87-$NR$52+1)*($NS$52-87+1)/$NU$52,$NN$52/$NT$52)),0)</f>
        <v/>
      </c>
      <c r="CN52" s="402">
        <f>IF(AND(88&gt;=$NR$52,88&lt;=$NS$52),IF($NP$52="Single_Point",IF(88=$NR$52,$NN$52,0),IF($NP$52="Bell_Curve",$NN$52*(88-$NR$52+1)*($NS$52-88+1)/$NU$52,$NN$52/$NT$52)),0)</f>
        <v/>
      </c>
      <c r="CO52" s="402">
        <f>IF(AND(89&gt;=$NR$52,89&lt;=$NS$52),IF($NP$52="Single_Point",IF(89=$NR$52,$NN$52,0),IF($NP$52="Bell_Curve",$NN$52*(89-$NR$52+1)*($NS$52-89+1)/$NU$52,$NN$52/$NT$52)),0)</f>
        <v/>
      </c>
      <c r="CP52" s="402">
        <f>IF(AND(90&gt;=$NR$52,90&lt;=$NS$52),IF($NP$52="Single_Point",IF(90=$NR$52,$NN$52,0),IF($NP$52="Bell_Curve",$NN$52*(90-$NR$52+1)*($NS$52-90+1)/$NU$52,$NN$52/$NT$52)),0)</f>
        <v/>
      </c>
      <c r="CQ52" s="402">
        <f>IF(AND(91&gt;=$NR$52,91&lt;=$NS$52),IF($NP$52="Single_Point",IF(91=$NR$52,$NN$52,0),IF($NP$52="Bell_Curve",$NN$52*(91-$NR$52+1)*($NS$52-91+1)/$NU$52,$NN$52/$NT$52)),0)</f>
        <v/>
      </c>
      <c r="CR52" s="402">
        <f>IF(AND(92&gt;=$NR$52,92&lt;=$NS$52),IF($NP$52="Single_Point",IF(92=$NR$52,$NN$52,0),IF($NP$52="Bell_Curve",$NN$52*(92-$NR$52+1)*($NS$52-92+1)/$NU$52,$NN$52/$NT$52)),0)</f>
        <v/>
      </c>
      <c r="CS52" s="402">
        <f>IF(AND(93&gt;=$NR$52,93&lt;=$NS$52),IF($NP$52="Single_Point",IF(93=$NR$52,$NN$52,0),IF($NP$52="Bell_Curve",$NN$52*(93-$NR$52+1)*($NS$52-93+1)/$NU$52,$NN$52/$NT$52)),0)</f>
        <v/>
      </c>
      <c r="CT52" s="402">
        <f>IF(AND(94&gt;=$NR$52,94&lt;=$NS$52),IF($NP$52="Single_Point",IF(94=$NR$52,$NN$52,0),IF($NP$52="Bell_Curve",$NN$52*(94-$NR$52+1)*($NS$52-94+1)/$NU$52,$NN$52/$NT$52)),0)</f>
        <v/>
      </c>
      <c r="CU52" s="402">
        <f>IF(AND(95&gt;=$NR$52,95&lt;=$NS$52),IF($NP$52="Single_Point",IF(95=$NR$52,$NN$52,0),IF($NP$52="Bell_Curve",$NN$52*(95-$NR$52+1)*($NS$52-95+1)/$NU$52,$NN$52/$NT$52)),0)</f>
        <v/>
      </c>
      <c r="CV52" s="402">
        <f>IF(AND(96&gt;=$NR$52,96&lt;=$NS$52),IF($NP$52="Single_Point",IF(96=$NR$52,$NN$52,0),IF($NP$52="Bell_Curve",$NN$52*(96-$NR$52+1)*($NS$52-96+1)/$NU$52,$NN$52/$NT$52)),0)</f>
        <v/>
      </c>
      <c r="CW52" s="402">
        <f>IF(AND(97&gt;=$NR$52,97&lt;=$NS$52),IF($NP$52="Single_Point",IF(97=$NR$52,$NN$52,0),IF($NP$52="Bell_Curve",$NN$52*(97-$NR$52+1)*($NS$52-97+1)/$NU$52,$NN$52/$NT$52)),0)</f>
        <v/>
      </c>
      <c r="CX52" s="402">
        <f>IF(AND(98&gt;=$NR$52,98&lt;=$NS$52),IF($NP$52="Single_Point",IF(98=$NR$52,$NN$52,0),IF($NP$52="Bell_Curve",$NN$52*(98-$NR$52+1)*($NS$52-98+1)/$NU$52,$NN$52/$NT$52)),0)</f>
        <v/>
      </c>
      <c r="CY52" s="402">
        <f>IF(AND(99&gt;=$NR$52,99&lt;=$NS$52),IF($NP$52="Single_Point",IF(99=$NR$52,$NN$52,0),IF($NP$52="Bell_Curve",$NN$52*(99-$NR$52+1)*($NS$52-99+1)/$NU$52,$NN$52/$NT$52)),0)</f>
        <v/>
      </c>
      <c r="CZ52" s="402">
        <f>IF(AND(100&gt;=$NR$52,100&lt;=$NS$52),IF($NP$52="Single_Point",IF(100=$NR$52,$NN$52,0),IF($NP$52="Bell_Curve",$NN$52*(100-$NR$52+1)*($NS$52-100+1)/$NU$52,$NN$52/$NT$52)),0)</f>
        <v/>
      </c>
      <c r="DA52" s="402">
        <f>IF(AND(101&gt;=$NR$52,101&lt;=$NS$52),IF($NP$52="Single_Point",IF(101=$NR$52,$NN$52,0),IF($NP$52="Bell_Curve",$NN$52*(101-$NR$52+1)*($NS$52-101+1)/$NU$52,$NN$52/$NT$52)),0)</f>
        <v/>
      </c>
      <c r="DB52" s="402">
        <f>IF(AND(102&gt;=$NR$52,102&lt;=$NS$52),IF($NP$52="Single_Point",IF(102=$NR$52,$NN$52,0),IF($NP$52="Bell_Curve",$NN$52*(102-$NR$52+1)*($NS$52-102+1)/$NU$52,$NN$52/$NT$52)),0)</f>
        <v/>
      </c>
      <c r="DC52" s="402">
        <f>IF(AND(103&gt;=$NR$52,103&lt;=$NS$52),IF($NP$52="Single_Point",IF(103=$NR$52,$NN$52,0),IF($NP$52="Bell_Curve",$NN$52*(103-$NR$52+1)*($NS$52-103+1)/$NU$52,$NN$52/$NT$52)),0)</f>
        <v/>
      </c>
      <c r="DD52" s="402">
        <f>IF(AND(104&gt;=$NR$52,104&lt;=$NS$52),IF($NP$52="Single_Point",IF(104=$NR$52,$NN$52,0),IF($NP$52="Bell_Curve",$NN$52*(104-$NR$52+1)*($NS$52-104+1)/$NU$52,$NN$52/$NT$52)),0)</f>
        <v/>
      </c>
      <c r="DE52" s="402">
        <f>IF(AND(105&gt;=$NR$52,105&lt;=$NS$52),IF($NP$52="Single_Point",IF(105=$NR$52,$NN$52,0),IF($NP$52="Bell_Curve",$NN$52*(105-$NR$52+1)*($NS$52-105+1)/$NU$52,$NN$52/$NT$52)),0)</f>
        <v/>
      </c>
      <c r="DF52" s="402">
        <f>IF(AND(106&gt;=$NR$52,106&lt;=$NS$52),IF($NP$52="Single_Point",IF(106=$NR$52,$NN$52,0),IF($NP$52="Bell_Curve",$NN$52*(106-$NR$52+1)*($NS$52-106+1)/$NU$52,$NN$52/$NT$52)),0)</f>
        <v/>
      </c>
      <c r="DG52" s="402">
        <f>IF(AND(107&gt;=$NR$52,107&lt;=$NS$52),IF($NP$52="Single_Point",IF(107=$NR$52,$NN$52,0),IF($NP$52="Bell_Curve",$NN$52*(107-$NR$52+1)*($NS$52-107+1)/$NU$52,$NN$52/$NT$52)),0)</f>
        <v/>
      </c>
      <c r="DH52" s="402">
        <f>IF(AND(108&gt;=$NR$52,108&lt;=$NS$52),IF($NP$52="Single_Point",IF(108=$NR$52,$NN$52,0),IF($NP$52="Bell_Curve",$NN$52*(108-$NR$52+1)*($NS$52-108+1)/$NU$52,$NN$52/$NT$52)),0)</f>
        <v/>
      </c>
      <c r="DI52" s="402">
        <f>IF(AND(109&gt;=$NR$52,109&lt;=$NS$52),IF($NP$52="Single_Point",IF(109=$NR$52,$NN$52,0),IF($NP$52="Bell_Curve",$NN$52*(109-$NR$52+1)*($NS$52-109+1)/$NU$52,$NN$52/$NT$52)),0)</f>
        <v/>
      </c>
      <c r="DJ52" s="402">
        <f>IF(AND(110&gt;=$NR$52,110&lt;=$NS$52),IF($NP$52="Single_Point",IF(110=$NR$52,$NN$52,0),IF($NP$52="Bell_Curve",$NN$52*(110-$NR$52+1)*($NS$52-110+1)/$NU$52,$NN$52/$NT$52)),0)</f>
        <v/>
      </c>
      <c r="DK52" s="402">
        <f>IF(AND(111&gt;=$NR$52,111&lt;=$NS$52),IF($NP$52="Single_Point",IF(111=$NR$52,$NN$52,0),IF($NP$52="Bell_Curve",$NN$52*(111-$NR$52+1)*($NS$52-111+1)/$NU$52,$NN$52/$NT$52)),0)</f>
        <v/>
      </c>
      <c r="DL52" s="402">
        <f>IF(AND(112&gt;=$NR$52,112&lt;=$NS$52),IF($NP$52="Single_Point",IF(112=$NR$52,$NN$52,0),IF($NP$52="Bell_Curve",$NN$52*(112-$NR$52+1)*($NS$52-112+1)/$NU$52,$NN$52/$NT$52)),0)</f>
        <v/>
      </c>
      <c r="DM52" s="402">
        <f>IF(AND(113&gt;=$NR$52,113&lt;=$NS$52),IF($NP$52="Single_Point",IF(113=$NR$52,$NN$52,0),IF($NP$52="Bell_Curve",$NN$52*(113-$NR$52+1)*($NS$52-113+1)/$NU$52,$NN$52/$NT$52)),0)</f>
        <v/>
      </c>
      <c r="DN52" s="402">
        <f>IF(AND(114&gt;=$NR$52,114&lt;=$NS$52),IF($NP$52="Single_Point",IF(114=$NR$52,$NN$52,0),IF($NP$52="Bell_Curve",$NN$52*(114-$NR$52+1)*($NS$52-114+1)/$NU$52,$NN$52/$NT$52)),0)</f>
        <v/>
      </c>
      <c r="DO52" s="402">
        <f>IF(AND(115&gt;=$NR$52,115&lt;=$NS$52),IF($NP$52="Single_Point",IF(115=$NR$52,$NN$52,0),IF($NP$52="Bell_Curve",$NN$52*(115-$NR$52+1)*($NS$52-115+1)/$NU$52,$NN$52/$NT$52)),0)</f>
        <v/>
      </c>
      <c r="DP52" s="402">
        <f>IF(AND(116&gt;=$NR$52,116&lt;=$NS$52),IF($NP$52="Single_Point",IF(116=$NR$52,$NN$52,0),IF($NP$52="Bell_Curve",$NN$52*(116-$NR$52+1)*($NS$52-116+1)/$NU$52,$NN$52/$NT$52)),0)</f>
        <v/>
      </c>
      <c r="DQ52" s="402">
        <f>IF(AND(117&gt;=$NR$52,117&lt;=$NS$52),IF($NP$52="Single_Point",IF(117=$NR$52,$NN$52,0),IF($NP$52="Bell_Curve",$NN$52*(117-$NR$52+1)*($NS$52-117+1)/$NU$52,$NN$52/$NT$52)),0)</f>
        <v/>
      </c>
      <c r="DR52" s="402">
        <f>IF(AND(118&gt;=$NR$52,118&lt;=$NS$52),IF($NP$52="Single_Point",IF(118=$NR$52,$NN$52,0),IF($NP$52="Bell_Curve",$NN$52*(118-$NR$52+1)*($NS$52-118+1)/$NU$52,$NN$52/$NT$52)),0)</f>
        <v/>
      </c>
      <c r="DS52" s="402">
        <f>IF(AND(119&gt;=$NR$52,119&lt;=$NS$52),IF($NP$52="Single_Point",IF(119=$NR$52,$NN$52,0),IF($NP$52="Bell_Curve",$NN$52*(119-$NR$52+1)*($NS$52-119+1)/$NU$52,$NN$52/$NT$52)),0)</f>
        <v/>
      </c>
      <c r="DT52" s="402">
        <f>IF(AND(120&gt;=$NR$52,120&lt;=$NS$52),IF($NP$52="Single_Point",IF(120=$NR$52,$NN$52,0),IF($NP$52="Bell_Curve",$NN$52*(120-$NR$52+1)*($NS$52-120+1)/$NU$52,$NN$52/$NT$52)),0)</f>
        <v/>
      </c>
      <c r="DU52" s="402">
        <f>IF(AND(121&gt;=$NR$52,121&lt;=$NS$52),IF($NP$52="Single_Point",IF(121=$NR$52,$NN$52,0),IF($NP$52="Bell_Curve",$NN$52*(121-$NR$52+1)*($NS$52-121+1)/$NU$52,$NN$52/$NT$52)),0)</f>
        <v/>
      </c>
      <c r="DV52" s="402">
        <f>IF(AND(122&gt;=$NR$52,122&lt;=$NS$52),IF($NP$52="Single_Point",IF(122=$NR$52,$NN$52,0),IF($NP$52="Bell_Curve",$NN$52*(122-$NR$52+1)*($NS$52-122+1)/$NU$52,$NN$52/$NT$52)),0)</f>
        <v/>
      </c>
      <c r="DW52" s="402">
        <f>IF(AND(123&gt;=$NR$52,123&lt;=$NS$52),IF($NP$52="Single_Point",IF(123=$NR$52,$NN$52,0),IF($NP$52="Bell_Curve",$NN$52*(123-$NR$52+1)*($NS$52-123+1)/$NU$52,$NN$52/$NT$52)),0)</f>
        <v/>
      </c>
      <c r="DX52" s="402">
        <f>IF(AND(124&gt;=$NR$52,124&lt;=$NS$52),IF($NP$52="Single_Point",IF(124=$NR$52,$NN$52,0),IF($NP$52="Bell_Curve",$NN$52*(124-$NR$52+1)*($NS$52-124+1)/$NU$52,$NN$52/$NT$52)),0)</f>
        <v/>
      </c>
      <c r="DY52" s="402">
        <f>IF(AND(125&gt;=$NR$52,125&lt;=$NS$52),IF($NP$52="Single_Point",IF(125=$NR$52,$NN$52,0),IF($NP$52="Bell_Curve",$NN$52*(125-$NR$52+1)*($NS$52-125+1)/$NU$52,$NN$52/$NT$52)),0)</f>
        <v/>
      </c>
      <c r="DZ52" s="402">
        <f>IF(AND(126&gt;=$NR$52,126&lt;=$NS$52),IF($NP$52="Single_Point",IF(126=$NR$52,$NN$52,0),IF($NP$52="Bell_Curve",$NN$52*(126-$NR$52+1)*($NS$52-126+1)/$NU$52,$NN$52/$NT$52)),0)</f>
        <v/>
      </c>
      <c r="EA52" s="402">
        <f>IF(AND(127&gt;=$NR$52,127&lt;=$NS$52),IF($NP$52="Single_Point",IF(127=$NR$52,$NN$52,0),IF($NP$52="Bell_Curve",$NN$52*(127-$NR$52+1)*($NS$52-127+1)/$NU$52,$NN$52/$NT$52)),0)</f>
        <v/>
      </c>
      <c r="EB52" s="402">
        <f>IF(AND(128&gt;=$NR$52,128&lt;=$NS$52),IF($NP$52="Single_Point",IF(128=$NR$52,$NN$52,0),IF($NP$52="Bell_Curve",$NN$52*(128-$NR$52+1)*($NS$52-128+1)/$NU$52,$NN$52/$NT$52)),0)</f>
        <v/>
      </c>
      <c r="EC52" s="402">
        <f>IF(AND(129&gt;=$NR$52,129&lt;=$NS$52),IF($NP$52="Single_Point",IF(129=$NR$52,$NN$52,0),IF($NP$52="Bell_Curve",$NN$52*(129-$NR$52+1)*($NS$52-129+1)/$NU$52,$NN$52/$NT$52)),0)</f>
        <v/>
      </c>
      <c r="ED52" s="402">
        <f>IF(AND(130&gt;=$NR$52,130&lt;=$NS$52),IF($NP$52="Single_Point",IF(130=$NR$52,$NN$52,0),IF($NP$52="Bell_Curve",$NN$52*(130-$NR$52+1)*($NS$52-130+1)/$NU$52,$NN$52/$NT$52)),0)</f>
        <v/>
      </c>
      <c r="EE52" s="402">
        <f>IF(AND(131&gt;=$NR$52,131&lt;=$NS$52),IF($NP$52="Single_Point",IF(131=$NR$52,$NN$52,0),IF($NP$52="Bell_Curve",$NN$52*(131-$NR$52+1)*($NS$52-131+1)/$NU$52,$NN$52/$NT$52)),0)</f>
        <v/>
      </c>
      <c r="EF52" s="402">
        <f>IF(AND(132&gt;=$NR$52,132&lt;=$NS$52),IF($NP$52="Single_Point",IF(132=$NR$52,$NN$52,0),IF($NP$52="Bell_Curve",$NN$52*(132-$NR$52+1)*($NS$52-132+1)/$NU$52,$NN$52/$NT$52)),0)</f>
        <v/>
      </c>
      <c r="EG52" s="402">
        <f>IF(AND(133&gt;=$NR$52,133&lt;=$NS$52),IF($NP$52="Single_Point",IF(133=$NR$52,$NN$52,0),IF($NP$52="Bell_Curve",$NN$52*(133-$NR$52+1)*($NS$52-133+1)/$NU$52,$NN$52/$NT$52)),0)</f>
        <v/>
      </c>
      <c r="EH52" s="402">
        <f>IF(AND(134&gt;=$NR$52,134&lt;=$NS$52),IF($NP$52="Single_Point",IF(134=$NR$52,$NN$52,0),IF($NP$52="Bell_Curve",$NN$52*(134-$NR$52+1)*($NS$52-134+1)/$NU$52,$NN$52/$NT$52)),0)</f>
        <v/>
      </c>
      <c r="EI52" s="402">
        <f>IF(AND(135&gt;=$NR$52,135&lt;=$NS$52),IF($NP$52="Single_Point",IF(135=$NR$52,$NN$52,0),IF($NP$52="Bell_Curve",$NN$52*(135-$NR$52+1)*($NS$52-135+1)/$NU$52,$NN$52/$NT$52)),0)</f>
        <v/>
      </c>
      <c r="EJ52" s="402">
        <f>IF(AND(136&gt;=$NR$52,136&lt;=$NS$52),IF($NP$52="Single_Point",IF(136=$NR$52,$NN$52,0),IF($NP$52="Bell_Curve",$NN$52*(136-$NR$52+1)*($NS$52-136+1)/$NU$52,$NN$52/$NT$52)),0)</f>
        <v/>
      </c>
      <c r="EK52" s="402">
        <f>IF(AND(137&gt;=$NR$52,137&lt;=$NS$52),IF($NP$52="Single_Point",IF(137=$NR$52,$NN$52,0),IF($NP$52="Bell_Curve",$NN$52*(137-$NR$52+1)*($NS$52-137+1)/$NU$52,$NN$52/$NT$52)),0)</f>
        <v/>
      </c>
      <c r="EL52" s="402">
        <f>IF(AND(138&gt;=$NR$52,138&lt;=$NS$52),IF($NP$52="Single_Point",IF(138=$NR$52,$NN$52,0),IF($NP$52="Bell_Curve",$NN$52*(138-$NR$52+1)*($NS$52-138+1)/$NU$52,$NN$52/$NT$52)),0)</f>
        <v/>
      </c>
      <c r="EM52" s="402">
        <f>IF(AND(139&gt;=$NR$52,139&lt;=$NS$52),IF($NP$52="Single_Point",IF(139=$NR$52,$NN$52,0),IF($NP$52="Bell_Curve",$NN$52*(139-$NR$52+1)*($NS$52-139+1)/$NU$52,$NN$52/$NT$52)),0)</f>
        <v/>
      </c>
      <c r="EN52" s="402">
        <f>IF(AND(140&gt;=$NR$52,140&lt;=$NS$52),IF($NP$52="Single_Point",IF(140=$NR$52,$NN$52,0),IF($NP$52="Bell_Curve",$NN$52*(140-$NR$52+1)*($NS$52-140+1)/$NU$52,$NN$52/$NT$52)),0)</f>
        <v/>
      </c>
      <c r="EO52" s="402">
        <f>IF(AND(141&gt;=$NR$52,141&lt;=$NS$52),IF($NP$52="Single_Point",IF(141=$NR$52,$NN$52,0),IF($NP$52="Bell_Curve",$NN$52*(141-$NR$52+1)*($NS$52-141+1)/$NU$52,$NN$52/$NT$52)),0)</f>
        <v/>
      </c>
      <c r="EP52" s="402">
        <f>IF(AND(142&gt;=$NR$52,142&lt;=$NS$52),IF($NP$52="Single_Point",IF(142=$NR$52,$NN$52,0),IF($NP$52="Bell_Curve",$NN$52*(142-$NR$52+1)*($NS$52-142+1)/$NU$52,$NN$52/$NT$52)),0)</f>
        <v/>
      </c>
      <c r="EQ52" s="402">
        <f>IF(AND(143&gt;=$NR$52,143&lt;=$NS$52),IF($NP$52="Single_Point",IF(143=$NR$52,$NN$52,0),IF($NP$52="Bell_Curve",$NN$52*(143-$NR$52+1)*($NS$52-143+1)/$NU$52,$NN$52/$NT$52)),0)</f>
        <v/>
      </c>
      <c r="ER52" s="402">
        <f>IF(AND(144&gt;=$NR$52,144&lt;=$NS$52),IF($NP$52="Single_Point",IF(144=$NR$52,$NN$52,0),IF($NP$52="Bell_Curve",$NN$52*(144-$NR$52+1)*($NS$52-144+1)/$NU$52,$NN$52/$NT$52)),0)</f>
        <v/>
      </c>
      <c r="ES52" s="402">
        <f>IF(AND(145&gt;=$NR$52,145&lt;=$NS$52),IF($NP$52="Single_Point",IF(145=$NR$52,$NN$52,0),IF($NP$52="Bell_Curve",$NN$52*(145-$NR$52+1)*($NS$52-145+1)/$NU$52,$NN$52/$NT$52)),0)</f>
        <v/>
      </c>
      <c r="ET52" s="402">
        <f>IF(AND(146&gt;=$NR$52,146&lt;=$NS$52),IF($NP$52="Single_Point",IF(146=$NR$52,$NN$52,0),IF($NP$52="Bell_Curve",$NN$52*(146-$NR$52+1)*($NS$52-146+1)/$NU$52,$NN$52/$NT$52)),0)</f>
        <v/>
      </c>
      <c r="EU52" s="402">
        <f>IF(AND(147&gt;=$NR$52,147&lt;=$NS$52),IF($NP$52="Single_Point",IF(147=$NR$52,$NN$52,0),IF($NP$52="Bell_Curve",$NN$52*(147-$NR$52+1)*($NS$52-147+1)/$NU$52,$NN$52/$NT$52)),0)</f>
        <v/>
      </c>
      <c r="EV52" s="402">
        <f>IF(AND(148&gt;=$NR$52,148&lt;=$NS$52),IF($NP$52="Single_Point",IF(148=$NR$52,$NN$52,0),IF($NP$52="Bell_Curve",$NN$52*(148-$NR$52+1)*($NS$52-148+1)/$NU$52,$NN$52/$NT$52)),0)</f>
        <v/>
      </c>
      <c r="EW52" s="402">
        <f>IF(AND(149&gt;=$NR$52,149&lt;=$NS$52),IF($NP$52="Single_Point",IF(149=$NR$52,$NN$52,0),IF($NP$52="Bell_Curve",$NN$52*(149-$NR$52+1)*($NS$52-149+1)/$NU$52,$NN$52/$NT$52)),0)</f>
        <v/>
      </c>
      <c r="EX52" s="402">
        <f>IF(AND(150&gt;=$NR$52,150&lt;=$NS$52),IF($NP$52="Single_Point",IF(150=$NR$52,$NN$52,0),IF($NP$52="Bell_Curve",$NN$52*(150-$NR$52+1)*($NS$52-150+1)/$NU$52,$NN$52/$NT$52)),0)</f>
        <v/>
      </c>
      <c r="EY52" s="402">
        <f>IF(AND(151&gt;=$NR$52,151&lt;=$NS$52),IF($NP$52="Single_Point",IF(151=$NR$52,$NN$52,0),IF($NP$52="Bell_Curve",$NN$52*(151-$NR$52+1)*($NS$52-151+1)/$NU$52,$NN$52/$NT$52)),0)</f>
        <v/>
      </c>
      <c r="EZ52" s="402">
        <f>IF(AND(152&gt;=$NR$52,152&lt;=$NS$52),IF($NP$52="Single_Point",IF(152=$NR$52,$NN$52,0),IF($NP$52="Bell_Curve",$NN$52*(152-$NR$52+1)*($NS$52-152+1)/$NU$52,$NN$52/$NT$52)),0)</f>
        <v/>
      </c>
      <c r="FA52" s="402">
        <f>IF(AND(153&gt;=$NR$52,153&lt;=$NS$52),IF($NP$52="Single_Point",IF(153=$NR$52,$NN$52,0),IF($NP$52="Bell_Curve",$NN$52*(153-$NR$52+1)*($NS$52-153+1)/$NU$52,$NN$52/$NT$52)),0)</f>
        <v/>
      </c>
      <c r="FB52" s="402">
        <f>IF(AND(154&gt;=$NR$52,154&lt;=$NS$52),IF($NP$52="Single_Point",IF(154=$NR$52,$NN$52,0),IF($NP$52="Bell_Curve",$NN$52*(154-$NR$52+1)*($NS$52-154+1)/$NU$52,$NN$52/$NT$52)),0)</f>
        <v/>
      </c>
      <c r="FC52" s="402">
        <f>IF(AND(155&gt;=$NR$52,155&lt;=$NS$52),IF($NP$52="Single_Point",IF(155=$NR$52,$NN$52,0),IF($NP$52="Bell_Curve",$NN$52*(155-$NR$52+1)*($NS$52-155+1)/$NU$52,$NN$52/$NT$52)),0)</f>
        <v/>
      </c>
      <c r="FD52" s="402">
        <f>IF(AND(156&gt;=$NR$52,156&lt;=$NS$52),IF($NP$52="Single_Point",IF(156=$NR$52,$NN$52,0),IF($NP$52="Bell_Curve",$NN$52*(156-$NR$52+1)*($NS$52-156+1)/$NU$52,$NN$52/$NT$52)),0)</f>
        <v/>
      </c>
      <c r="FE52" s="402">
        <f>IF(AND(157&gt;=$NR$52,157&lt;=$NS$52),IF($NP$52="Single_Point",IF(157=$NR$52,$NN$52,0),IF($NP$52="Bell_Curve",$NN$52*(157-$NR$52+1)*($NS$52-157+1)/$NU$52,$NN$52/$NT$52)),0)</f>
        <v/>
      </c>
      <c r="FF52" s="402">
        <f>IF(AND(158&gt;=$NR$52,158&lt;=$NS$52),IF($NP$52="Single_Point",IF(158=$NR$52,$NN$52,0),IF($NP$52="Bell_Curve",$NN$52*(158-$NR$52+1)*($NS$52-158+1)/$NU$52,$NN$52/$NT$52)),0)</f>
        <v/>
      </c>
      <c r="FG52" s="402">
        <f>IF(AND(159&gt;=$NR$52,159&lt;=$NS$52),IF($NP$52="Single_Point",IF(159=$NR$52,$NN$52,0),IF($NP$52="Bell_Curve",$NN$52*(159-$NR$52+1)*($NS$52-159+1)/$NU$52,$NN$52/$NT$52)),0)</f>
        <v/>
      </c>
      <c r="FH52" s="402">
        <f>IF(AND(160&gt;=$NR$52,160&lt;=$NS$52),IF($NP$52="Single_Point",IF(160=$NR$52,$NN$52,0),IF($NP$52="Bell_Curve",$NN$52*(160-$NR$52+1)*($NS$52-160+1)/$NU$52,$NN$52/$NT$52)),0)</f>
        <v/>
      </c>
      <c r="FI52" s="402">
        <f>IF(AND(161&gt;=$NR$52,161&lt;=$NS$52),IF($NP$52="Single_Point",IF(161=$NR$52,$NN$52,0),IF($NP$52="Bell_Curve",$NN$52*(161-$NR$52+1)*($NS$52-161+1)/$NU$52,$NN$52/$NT$52)),0)</f>
        <v/>
      </c>
      <c r="FJ52" s="402">
        <f>IF(AND(162&gt;=$NR$52,162&lt;=$NS$52),IF($NP$52="Single_Point",IF(162=$NR$52,$NN$52,0),IF($NP$52="Bell_Curve",$NN$52*(162-$NR$52+1)*($NS$52-162+1)/$NU$52,$NN$52/$NT$52)),0)</f>
        <v/>
      </c>
      <c r="FK52" s="402">
        <f>IF(AND(163&gt;=$NR$52,163&lt;=$NS$52),IF($NP$52="Single_Point",IF(163=$NR$52,$NN$52,0),IF($NP$52="Bell_Curve",$NN$52*(163-$NR$52+1)*($NS$52-163+1)/$NU$52,$NN$52/$NT$52)),0)</f>
        <v/>
      </c>
      <c r="FL52" s="402">
        <f>IF(AND(164&gt;=$NR$52,164&lt;=$NS$52),IF($NP$52="Single_Point",IF(164=$NR$52,$NN$52,0),IF($NP$52="Bell_Curve",$NN$52*(164-$NR$52+1)*($NS$52-164+1)/$NU$52,$NN$52/$NT$52)),0)</f>
        <v/>
      </c>
      <c r="FM52" s="402">
        <f>IF(AND(165&gt;=$NR$52,165&lt;=$NS$52),IF($NP$52="Single_Point",IF(165=$NR$52,$NN$52,0),IF($NP$52="Bell_Curve",$NN$52*(165-$NR$52+1)*($NS$52-165+1)/$NU$52,$NN$52/$NT$52)),0)</f>
        <v/>
      </c>
      <c r="FN52" s="402">
        <f>IF(AND(166&gt;=$NR$52,166&lt;=$NS$52),IF($NP$52="Single_Point",IF(166=$NR$52,$NN$52,0),IF($NP$52="Bell_Curve",$NN$52*(166-$NR$52+1)*($NS$52-166+1)/$NU$52,$NN$52/$NT$52)),0)</f>
        <v/>
      </c>
      <c r="FO52" s="402">
        <f>IF(AND(167&gt;=$NR$52,167&lt;=$NS$52),IF($NP$52="Single_Point",IF(167=$NR$52,$NN$52,0),IF($NP$52="Bell_Curve",$NN$52*(167-$NR$52+1)*($NS$52-167+1)/$NU$52,$NN$52/$NT$52)),0)</f>
        <v/>
      </c>
      <c r="FP52" s="402">
        <f>IF(AND(168&gt;=$NR$52,168&lt;=$NS$52),IF($NP$52="Single_Point",IF(168=$NR$52,$NN$52,0),IF($NP$52="Bell_Curve",$NN$52*(168-$NR$52+1)*($NS$52-168+1)/$NU$52,$NN$52/$NT$52)),0)</f>
        <v/>
      </c>
      <c r="FQ52" s="402">
        <f>IF(AND(169&gt;=$NR$52,169&lt;=$NS$52),IF($NP$52="Single_Point",IF(169=$NR$52,$NN$52,0),IF($NP$52="Bell_Curve",$NN$52*(169-$NR$52+1)*($NS$52-169+1)/$NU$52,$NN$52/$NT$52)),0)</f>
        <v/>
      </c>
      <c r="FR52" s="402">
        <f>IF(AND(170&gt;=$NR$52,170&lt;=$NS$52),IF($NP$52="Single_Point",IF(170=$NR$52,$NN$52,0),IF($NP$52="Bell_Curve",$NN$52*(170-$NR$52+1)*($NS$52-170+1)/$NU$52,$NN$52/$NT$52)),0)</f>
        <v/>
      </c>
      <c r="FS52" s="402">
        <f>IF(AND(171&gt;=$NR$52,171&lt;=$NS$52),IF($NP$52="Single_Point",IF(171=$NR$52,$NN$52,0),IF($NP$52="Bell_Curve",$NN$52*(171-$NR$52+1)*($NS$52-171+1)/$NU$52,$NN$52/$NT$52)),0)</f>
        <v/>
      </c>
      <c r="FT52" s="402">
        <f>IF(AND(172&gt;=$NR$52,172&lt;=$NS$52),IF($NP$52="Single_Point",IF(172=$NR$52,$NN$52,0),IF($NP$52="Bell_Curve",$NN$52*(172-$NR$52+1)*($NS$52-172+1)/$NU$52,$NN$52/$NT$52)),0)</f>
        <v/>
      </c>
      <c r="FU52" s="402">
        <f>IF(AND(173&gt;=$NR$52,173&lt;=$NS$52),IF($NP$52="Single_Point",IF(173=$NR$52,$NN$52,0),IF($NP$52="Bell_Curve",$NN$52*(173-$NR$52+1)*($NS$52-173+1)/$NU$52,$NN$52/$NT$52)),0)</f>
        <v/>
      </c>
      <c r="FV52" s="402">
        <f>IF(AND(174&gt;=$NR$52,174&lt;=$NS$52),IF($NP$52="Single_Point",IF(174=$NR$52,$NN$52,0),IF($NP$52="Bell_Curve",$NN$52*(174-$NR$52+1)*($NS$52-174+1)/$NU$52,$NN$52/$NT$52)),0)</f>
        <v/>
      </c>
      <c r="FW52" s="402">
        <f>IF(AND(175&gt;=$NR$52,175&lt;=$NS$52),IF($NP$52="Single_Point",IF(175=$NR$52,$NN$52,0),IF($NP$52="Bell_Curve",$NN$52*(175-$NR$52+1)*($NS$52-175+1)/$NU$52,$NN$52/$NT$52)),0)</f>
        <v/>
      </c>
      <c r="FX52" s="402">
        <f>IF(AND(176&gt;=$NR$52,176&lt;=$NS$52),IF($NP$52="Single_Point",IF(176=$NR$52,$NN$52,0),IF($NP$52="Bell_Curve",$NN$52*(176-$NR$52+1)*($NS$52-176+1)/$NU$52,$NN$52/$NT$52)),0)</f>
        <v/>
      </c>
      <c r="FY52" s="402">
        <f>IF(AND(177&gt;=$NR$52,177&lt;=$NS$52),IF($NP$52="Single_Point",IF(177=$NR$52,$NN$52,0),IF($NP$52="Bell_Curve",$NN$52*(177-$NR$52+1)*($NS$52-177+1)/$NU$52,$NN$52/$NT$52)),0)</f>
        <v/>
      </c>
      <c r="FZ52" s="402">
        <f>IF(AND(178&gt;=$NR$52,178&lt;=$NS$52),IF($NP$52="Single_Point",IF(178=$NR$52,$NN$52,0),IF($NP$52="Bell_Curve",$NN$52*(178-$NR$52+1)*($NS$52-178+1)/$NU$52,$NN$52/$NT$52)),0)</f>
        <v/>
      </c>
      <c r="GA52" s="402">
        <f>IF(AND(179&gt;=$NR$52,179&lt;=$NS$52),IF($NP$52="Single_Point",IF(179=$NR$52,$NN$52,0),IF($NP$52="Bell_Curve",$NN$52*(179-$NR$52+1)*($NS$52-179+1)/$NU$52,$NN$52/$NT$52)),0)</f>
        <v/>
      </c>
      <c r="GB52" s="402">
        <f>IF(AND(180&gt;=$NR$52,180&lt;=$NS$52),IF($NP$52="Single_Point",IF(180=$NR$52,$NN$52,0),IF($NP$52="Bell_Curve",$NN$52*(180-$NR$52+1)*($NS$52-180+1)/$NU$52,$NN$52/$NT$52)),0)</f>
        <v/>
      </c>
      <c r="GC52" s="402">
        <f>IF(AND(181&gt;=$NR$52,181&lt;=$NS$52),IF($NP$52="Single_Point",IF(181=$NR$52,$NN$52,0),IF($NP$52="Bell_Curve",$NN$52*(181-$NR$52+1)*($NS$52-181+1)/$NU$52,$NN$52/$NT$52)),0)</f>
        <v/>
      </c>
      <c r="GD52" s="402">
        <f>IF(AND(182&gt;=$NR$52,182&lt;=$NS$52),IF($NP$52="Single_Point",IF(182=$NR$52,$NN$52,0),IF($NP$52="Bell_Curve",$NN$52*(182-$NR$52+1)*($NS$52-182+1)/$NU$52,$NN$52/$NT$52)),0)</f>
        <v/>
      </c>
      <c r="GE52" s="402">
        <f>IF(AND(183&gt;=$NR$52,183&lt;=$NS$52),IF($NP$52="Single_Point",IF(183=$NR$52,$NN$52,0),IF($NP$52="Bell_Curve",$NN$52*(183-$NR$52+1)*($NS$52-183+1)/$NU$52,$NN$52/$NT$52)),0)</f>
        <v/>
      </c>
      <c r="GF52" s="402">
        <f>IF(AND(184&gt;=$NR$52,184&lt;=$NS$52),IF($NP$52="Single_Point",IF(184=$NR$52,$NN$52,0),IF($NP$52="Bell_Curve",$NN$52*(184-$NR$52+1)*($NS$52-184+1)/$NU$52,$NN$52/$NT$52)),0)</f>
        <v/>
      </c>
      <c r="GG52" s="402">
        <f>IF(AND(185&gt;=$NR$52,185&lt;=$NS$52),IF($NP$52="Single_Point",IF(185=$NR$52,$NN$52,0),IF($NP$52="Bell_Curve",$NN$52*(185-$NR$52+1)*($NS$52-185+1)/$NU$52,$NN$52/$NT$52)),0)</f>
        <v/>
      </c>
      <c r="GH52" s="402">
        <f>IF(AND(186&gt;=$NR$52,186&lt;=$NS$52),IF($NP$52="Single_Point",IF(186=$NR$52,$NN$52,0),IF($NP$52="Bell_Curve",$NN$52*(186-$NR$52+1)*($NS$52-186+1)/$NU$52,$NN$52/$NT$52)),0)</f>
        <v/>
      </c>
      <c r="GI52" s="402">
        <f>IF(AND(187&gt;=$NR$52,187&lt;=$NS$52),IF($NP$52="Single_Point",IF(187=$NR$52,$NN$52,0),IF($NP$52="Bell_Curve",$NN$52*(187-$NR$52+1)*($NS$52-187+1)/$NU$52,$NN$52/$NT$52)),0)</f>
        <v/>
      </c>
      <c r="GJ52" s="402">
        <f>IF(AND(188&gt;=$NR$52,188&lt;=$NS$52),IF($NP$52="Single_Point",IF(188=$NR$52,$NN$52,0),IF($NP$52="Bell_Curve",$NN$52*(188-$NR$52+1)*($NS$52-188+1)/$NU$52,$NN$52/$NT$52)),0)</f>
        <v/>
      </c>
      <c r="GK52" s="402">
        <f>IF(AND(189&gt;=$NR$52,189&lt;=$NS$52),IF($NP$52="Single_Point",IF(189=$NR$52,$NN$52,0),IF($NP$52="Bell_Curve",$NN$52*(189-$NR$52+1)*($NS$52-189+1)/$NU$52,$NN$52/$NT$52)),0)</f>
        <v/>
      </c>
      <c r="GL52" s="402">
        <f>IF(AND(190&gt;=$NR$52,190&lt;=$NS$52),IF($NP$52="Single_Point",IF(190=$NR$52,$NN$52,0),IF($NP$52="Bell_Curve",$NN$52*(190-$NR$52+1)*($NS$52-190+1)/$NU$52,$NN$52/$NT$52)),0)</f>
        <v/>
      </c>
      <c r="GM52" s="402">
        <f>IF(AND(191&gt;=$NR$52,191&lt;=$NS$52),IF($NP$52="Single_Point",IF(191=$NR$52,$NN$52,0),IF($NP$52="Bell_Curve",$NN$52*(191-$NR$52+1)*($NS$52-191+1)/$NU$52,$NN$52/$NT$52)),0)</f>
        <v/>
      </c>
      <c r="GN52" s="402">
        <f>IF(AND(192&gt;=$NR$52,192&lt;=$NS$52),IF($NP$52="Single_Point",IF(192=$NR$52,$NN$52,0),IF($NP$52="Bell_Curve",$NN$52*(192-$NR$52+1)*($NS$52-192+1)/$NU$52,$NN$52/$NT$52)),0)</f>
        <v/>
      </c>
      <c r="GO52" s="402">
        <f>IF(AND(193&gt;=$NR$52,193&lt;=$NS$52),IF($NP$52="Single_Point",IF(193=$NR$52,$NN$52,0),IF($NP$52="Bell_Curve",$NN$52*(193-$NR$52+1)*($NS$52-193+1)/$NU$52,$NN$52/$NT$52)),0)</f>
        <v/>
      </c>
      <c r="GP52" s="402">
        <f>IF(AND(194&gt;=$NR$52,194&lt;=$NS$52),IF($NP$52="Single_Point",IF(194=$NR$52,$NN$52,0),IF($NP$52="Bell_Curve",$NN$52*(194-$NR$52+1)*($NS$52-194+1)/$NU$52,$NN$52/$NT$52)),0)</f>
        <v/>
      </c>
      <c r="GQ52" s="402">
        <f>IF(AND(195&gt;=$NR$52,195&lt;=$NS$52),IF($NP$52="Single_Point",IF(195=$NR$52,$NN$52,0),IF($NP$52="Bell_Curve",$NN$52*(195-$NR$52+1)*($NS$52-195+1)/$NU$52,$NN$52/$NT$52)),0)</f>
        <v/>
      </c>
      <c r="GR52" s="402">
        <f>IF(AND(196&gt;=$NR$52,196&lt;=$NS$52),IF($NP$52="Single_Point",IF(196=$NR$52,$NN$52,0),IF($NP$52="Bell_Curve",$NN$52*(196-$NR$52+1)*($NS$52-196+1)/$NU$52,$NN$52/$NT$52)),0)</f>
        <v/>
      </c>
      <c r="GS52" s="402">
        <f>IF(AND(197&gt;=$NR$52,197&lt;=$NS$52),IF($NP$52="Single_Point",IF(197=$NR$52,$NN$52,0),IF($NP$52="Bell_Curve",$NN$52*(197-$NR$52+1)*($NS$52-197+1)/$NU$52,$NN$52/$NT$52)),0)</f>
        <v/>
      </c>
      <c r="GT52" s="402">
        <f>IF(AND(198&gt;=$NR$52,198&lt;=$NS$52),IF($NP$52="Single_Point",IF(198=$NR$52,$NN$52,0),IF($NP$52="Bell_Curve",$NN$52*(198-$NR$52+1)*($NS$52-198+1)/$NU$52,$NN$52/$NT$52)),0)</f>
        <v/>
      </c>
      <c r="GU52" s="402">
        <f>IF(AND(199&gt;=$NR$52,199&lt;=$NS$52),IF($NP$52="Single_Point",IF(199=$NR$52,$NN$52,0),IF($NP$52="Bell_Curve",$NN$52*(199-$NR$52+1)*($NS$52-199+1)/$NU$52,$NN$52/$NT$52)),0)</f>
        <v/>
      </c>
      <c r="GV52" s="402">
        <f>IF(AND(200&gt;=$NR$52,200&lt;=$NS$52),IF($NP$52="Single_Point",IF(200=$NR$52,$NN$52,0),IF($NP$52="Bell_Curve",$NN$52*(200-$NR$52+1)*($NS$52-200+1)/$NU$52,$NN$52/$NT$52)),0)</f>
        <v/>
      </c>
      <c r="GW52" s="402">
        <f>IF(AND(201&gt;=$NR$52,201&lt;=$NS$52),IF($NP$52="Single_Point",IF(201=$NR$52,$NN$52,0),IF($NP$52="Bell_Curve",$NN$52*(201-$NR$52+1)*($NS$52-201+1)/$NU$52,$NN$52/$NT$52)),0)</f>
        <v/>
      </c>
      <c r="GX52" s="402">
        <f>IF(AND(202&gt;=$NR$52,202&lt;=$NS$52),IF($NP$52="Single_Point",IF(202=$NR$52,$NN$52,0),IF($NP$52="Bell_Curve",$NN$52*(202-$NR$52+1)*($NS$52-202+1)/$NU$52,$NN$52/$NT$52)),0)</f>
        <v/>
      </c>
      <c r="GY52" s="402">
        <f>IF(AND(203&gt;=$NR$52,203&lt;=$NS$52),IF($NP$52="Single_Point",IF(203=$NR$52,$NN$52,0),IF($NP$52="Bell_Curve",$NN$52*(203-$NR$52+1)*($NS$52-203+1)/$NU$52,$NN$52/$NT$52)),0)</f>
        <v/>
      </c>
      <c r="GZ52" s="402">
        <f>IF(AND(204&gt;=$NR$52,204&lt;=$NS$52),IF($NP$52="Single_Point",IF(204=$NR$52,$NN$52,0),IF($NP$52="Bell_Curve",$NN$52*(204-$NR$52+1)*($NS$52-204+1)/$NU$52,$NN$52/$NT$52)),0)</f>
        <v/>
      </c>
      <c r="HA52" s="402">
        <f>IF(AND(205&gt;=$NR$52,205&lt;=$NS$52),IF($NP$52="Single_Point",IF(205=$NR$52,$NN$52,0),IF($NP$52="Bell_Curve",$NN$52*(205-$NR$52+1)*($NS$52-205+1)/$NU$52,$NN$52/$NT$52)),0)</f>
        <v/>
      </c>
      <c r="HB52" s="402">
        <f>IF(AND(206&gt;=$NR$52,206&lt;=$NS$52),IF($NP$52="Single_Point",IF(206=$NR$52,$NN$52,0),IF($NP$52="Bell_Curve",$NN$52*(206-$NR$52+1)*($NS$52-206+1)/$NU$52,$NN$52/$NT$52)),0)</f>
        <v/>
      </c>
      <c r="HC52" s="402">
        <f>IF(AND(207&gt;=$NR$52,207&lt;=$NS$52),IF($NP$52="Single_Point",IF(207=$NR$52,$NN$52,0),IF($NP$52="Bell_Curve",$NN$52*(207-$NR$52+1)*($NS$52-207+1)/$NU$52,$NN$52/$NT$52)),0)</f>
        <v/>
      </c>
      <c r="HD52" s="402">
        <f>IF(AND(208&gt;=$NR$52,208&lt;=$NS$52),IF($NP$52="Single_Point",IF(208=$NR$52,$NN$52,0),IF($NP$52="Bell_Curve",$NN$52*(208-$NR$52+1)*($NS$52-208+1)/$NU$52,$NN$52/$NT$52)),0)</f>
        <v/>
      </c>
      <c r="HE52" s="402">
        <f>IF(AND(209&gt;=$NR$52,209&lt;=$NS$52),IF($NP$52="Single_Point",IF(209=$NR$52,$NN$52,0),IF($NP$52="Bell_Curve",$NN$52*(209-$NR$52+1)*($NS$52-209+1)/$NU$52,$NN$52/$NT$52)),0)</f>
        <v/>
      </c>
      <c r="HF52" s="402">
        <f>IF(AND(210&gt;=$NR$52,210&lt;=$NS$52),IF($NP$52="Single_Point",IF(210=$NR$52,$NN$52,0),IF($NP$52="Bell_Curve",$NN$52*(210-$NR$52+1)*($NS$52-210+1)/$NU$52,$NN$52/$NT$52)),0)</f>
        <v/>
      </c>
      <c r="HG52" s="402">
        <f>IF(AND(211&gt;=$NR$52,211&lt;=$NS$52),IF($NP$52="Single_Point",IF(211=$NR$52,$NN$52,0),IF($NP$52="Bell_Curve",$NN$52*(211-$NR$52+1)*($NS$52-211+1)/$NU$52,$NN$52/$NT$52)),0)</f>
        <v/>
      </c>
      <c r="HH52" s="402">
        <f>IF(AND(212&gt;=$NR$52,212&lt;=$NS$52),IF($NP$52="Single_Point",IF(212=$NR$52,$NN$52,0),IF($NP$52="Bell_Curve",$NN$52*(212-$NR$52+1)*($NS$52-212+1)/$NU$52,$NN$52/$NT$52)),0)</f>
        <v/>
      </c>
      <c r="HI52" s="402">
        <f>IF(AND(213&gt;=$NR$52,213&lt;=$NS$52),IF($NP$52="Single_Point",IF(213=$NR$52,$NN$52,0),IF($NP$52="Bell_Curve",$NN$52*(213-$NR$52+1)*($NS$52-213+1)/$NU$52,$NN$52/$NT$52)),0)</f>
        <v/>
      </c>
      <c r="HJ52" s="402">
        <f>IF(AND(214&gt;=$NR$52,214&lt;=$NS$52),IF($NP$52="Single_Point",IF(214=$NR$52,$NN$52,0),IF($NP$52="Bell_Curve",$NN$52*(214-$NR$52+1)*($NS$52-214+1)/$NU$52,$NN$52/$NT$52)),0)</f>
        <v/>
      </c>
      <c r="HK52" s="402">
        <f>IF(AND(215&gt;=$NR$52,215&lt;=$NS$52),IF($NP$52="Single_Point",IF(215=$NR$52,$NN$52,0),IF($NP$52="Bell_Curve",$NN$52*(215-$NR$52+1)*($NS$52-215+1)/$NU$52,$NN$52/$NT$52)),0)</f>
        <v/>
      </c>
      <c r="HL52" s="402">
        <f>IF(AND(216&gt;=$NR$52,216&lt;=$NS$52),IF($NP$52="Single_Point",IF(216=$NR$52,$NN$52,0),IF($NP$52="Bell_Curve",$NN$52*(216-$NR$52+1)*($NS$52-216+1)/$NU$52,$NN$52/$NT$52)),0)</f>
        <v/>
      </c>
      <c r="HM52" s="402">
        <f>IF(AND(217&gt;=$NR$52,217&lt;=$NS$52),IF($NP$52="Single_Point",IF(217=$NR$52,$NN$52,0),IF($NP$52="Bell_Curve",$NN$52*(217-$NR$52+1)*($NS$52-217+1)/$NU$52,$NN$52/$NT$52)),0)</f>
        <v/>
      </c>
      <c r="HN52" s="402">
        <f>IF(AND(218&gt;=$NR$52,218&lt;=$NS$52),IF($NP$52="Single_Point",IF(218=$NR$52,$NN$52,0),IF($NP$52="Bell_Curve",$NN$52*(218-$NR$52+1)*($NS$52-218+1)/$NU$52,$NN$52/$NT$52)),0)</f>
        <v/>
      </c>
      <c r="HO52" s="402">
        <f>IF(AND(219&gt;=$NR$52,219&lt;=$NS$52),IF($NP$52="Single_Point",IF(219=$NR$52,$NN$52,0),IF($NP$52="Bell_Curve",$NN$52*(219-$NR$52+1)*($NS$52-219+1)/$NU$52,$NN$52/$NT$52)),0)</f>
        <v/>
      </c>
      <c r="HP52" s="402">
        <f>IF(AND(220&gt;=$NR$52,220&lt;=$NS$52),IF($NP$52="Single_Point",IF(220=$NR$52,$NN$52,0),IF($NP$52="Bell_Curve",$NN$52*(220-$NR$52+1)*($NS$52-220+1)/$NU$52,$NN$52/$NT$52)),0)</f>
        <v/>
      </c>
      <c r="HQ52" s="402">
        <f>IF(AND(221&gt;=$NR$52,221&lt;=$NS$52),IF($NP$52="Single_Point",IF(221=$NR$52,$NN$52,0),IF($NP$52="Bell_Curve",$NN$52*(221-$NR$52+1)*($NS$52-221+1)/$NU$52,$NN$52/$NT$52)),0)</f>
        <v/>
      </c>
      <c r="HR52" s="402">
        <f>IF(AND(222&gt;=$NR$52,222&lt;=$NS$52),IF($NP$52="Single_Point",IF(222=$NR$52,$NN$52,0),IF($NP$52="Bell_Curve",$NN$52*(222-$NR$52+1)*($NS$52-222+1)/$NU$52,$NN$52/$NT$52)),0)</f>
        <v/>
      </c>
      <c r="HS52" s="402">
        <f>IF(AND(223&gt;=$NR$52,223&lt;=$NS$52),IF($NP$52="Single_Point",IF(223=$NR$52,$NN$52,0),IF($NP$52="Bell_Curve",$NN$52*(223-$NR$52+1)*($NS$52-223+1)/$NU$52,$NN$52/$NT$52)),0)</f>
        <v/>
      </c>
      <c r="HT52" s="402">
        <f>IF(AND(224&gt;=$NR$52,224&lt;=$NS$52),IF($NP$52="Single_Point",IF(224=$NR$52,$NN$52,0),IF($NP$52="Bell_Curve",$NN$52*(224-$NR$52+1)*($NS$52-224+1)/$NU$52,$NN$52/$NT$52)),0)</f>
        <v/>
      </c>
      <c r="HU52" s="402">
        <f>IF(AND(225&gt;=$NR$52,225&lt;=$NS$52),IF($NP$52="Single_Point",IF(225=$NR$52,$NN$52,0),IF($NP$52="Bell_Curve",$NN$52*(225-$NR$52+1)*($NS$52-225+1)/$NU$52,$NN$52/$NT$52)),0)</f>
        <v/>
      </c>
      <c r="HV52" s="402">
        <f>IF(AND(226&gt;=$NR$52,226&lt;=$NS$52),IF($NP$52="Single_Point",IF(226=$NR$52,$NN$52,0),IF($NP$52="Bell_Curve",$NN$52*(226-$NR$52+1)*($NS$52-226+1)/$NU$52,$NN$52/$NT$52)),0)</f>
        <v/>
      </c>
      <c r="HW52" s="402">
        <f>IF(AND(227&gt;=$NR$52,227&lt;=$NS$52),IF($NP$52="Single_Point",IF(227=$NR$52,$NN$52,0),IF($NP$52="Bell_Curve",$NN$52*(227-$NR$52+1)*($NS$52-227+1)/$NU$52,$NN$52/$NT$52)),0)</f>
        <v/>
      </c>
      <c r="HX52" s="402">
        <f>IF(AND(228&gt;=$NR$52,228&lt;=$NS$52),IF($NP$52="Single_Point",IF(228=$NR$52,$NN$52,0),IF($NP$52="Bell_Curve",$NN$52*(228-$NR$52+1)*($NS$52-228+1)/$NU$52,$NN$52/$NT$52)),0)</f>
        <v/>
      </c>
      <c r="HY52" s="402">
        <f>IF(AND(229&gt;=$NR$52,229&lt;=$NS$52),IF($NP$52="Single_Point",IF(229=$NR$52,$NN$52,0),IF($NP$52="Bell_Curve",$NN$52*(229-$NR$52+1)*($NS$52-229+1)/$NU$52,$NN$52/$NT$52)),0)</f>
        <v/>
      </c>
      <c r="HZ52" s="402">
        <f>IF(AND(230&gt;=$NR$52,230&lt;=$NS$52),IF($NP$52="Single_Point",IF(230=$NR$52,$NN$52,0),IF($NP$52="Bell_Curve",$NN$52*(230-$NR$52+1)*($NS$52-230+1)/$NU$52,$NN$52/$NT$52)),0)</f>
        <v/>
      </c>
      <c r="IA52" s="402">
        <f>IF(AND(231&gt;=$NR$52,231&lt;=$NS$52),IF($NP$52="Single_Point",IF(231=$NR$52,$NN$52,0),IF($NP$52="Bell_Curve",$NN$52*(231-$NR$52+1)*($NS$52-231+1)/$NU$52,$NN$52/$NT$52)),0)</f>
        <v/>
      </c>
      <c r="IB52" s="402">
        <f>IF(AND(232&gt;=$NR$52,232&lt;=$NS$52),IF($NP$52="Single_Point",IF(232=$NR$52,$NN$52,0),IF($NP$52="Bell_Curve",$NN$52*(232-$NR$52+1)*($NS$52-232+1)/$NU$52,$NN$52/$NT$52)),0)</f>
        <v/>
      </c>
      <c r="IC52" s="402">
        <f>IF(AND(233&gt;=$NR$52,233&lt;=$NS$52),IF($NP$52="Single_Point",IF(233=$NR$52,$NN$52,0),IF($NP$52="Bell_Curve",$NN$52*(233-$NR$52+1)*($NS$52-233+1)/$NU$52,$NN$52/$NT$52)),0)</f>
        <v/>
      </c>
      <c r="ID52" s="402">
        <f>IF(AND(234&gt;=$NR$52,234&lt;=$NS$52),IF($NP$52="Single_Point",IF(234=$NR$52,$NN$52,0),IF($NP$52="Bell_Curve",$NN$52*(234-$NR$52+1)*($NS$52-234+1)/$NU$52,$NN$52/$NT$52)),0)</f>
        <v/>
      </c>
      <c r="IE52" s="402">
        <f>IF(AND(235&gt;=$NR$52,235&lt;=$NS$52),IF($NP$52="Single_Point",IF(235=$NR$52,$NN$52,0),IF($NP$52="Bell_Curve",$NN$52*(235-$NR$52+1)*($NS$52-235+1)/$NU$52,$NN$52/$NT$52)),0)</f>
        <v/>
      </c>
      <c r="IF52" s="402">
        <f>IF(AND(236&gt;=$NR$52,236&lt;=$NS$52),IF($NP$52="Single_Point",IF(236=$NR$52,$NN$52,0),IF($NP$52="Bell_Curve",$NN$52*(236-$NR$52+1)*($NS$52-236+1)/$NU$52,$NN$52/$NT$52)),0)</f>
        <v/>
      </c>
      <c r="IG52" s="402">
        <f>IF(AND(237&gt;=$NR$52,237&lt;=$NS$52),IF($NP$52="Single_Point",IF(237=$NR$52,$NN$52,0),IF($NP$52="Bell_Curve",$NN$52*(237-$NR$52+1)*($NS$52-237+1)/$NU$52,$NN$52/$NT$52)),0)</f>
        <v/>
      </c>
      <c r="IH52" s="402">
        <f>IF(AND(238&gt;=$NR$52,238&lt;=$NS$52),IF($NP$52="Single_Point",IF(238=$NR$52,$NN$52,0),IF($NP$52="Bell_Curve",$NN$52*(238-$NR$52+1)*($NS$52-238+1)/$NU$52,$NN$52/$NT$52)),0)</f>
        <v/>
      </c>
      <c r="II52" s="402">
        <f>IF(AND(239&gt;=$NR$52,239&lt;=$NS$52),IF($NP$52="Single_Point",IF(239=$NR$52,$NN$52,0),IF($NP$52="Bell_Curve",$NN$52*(239-$NR$52+1)*($NS$52-239+1)/$NU$52,$NN$52/$NT$52)),0)</f>
        <v/>
      </c>
      <c r="IJ52" s="402">
        <f>IF(AND(240&gt;=$NR$52,240&lt;=$NS$52),IF($NP$52="Single_Point",IF(240=$NR$52,$NN$52,0),IF($NP$52="Bell_Curve",$NN$52*(240-$NR$52+1)*($NS$52-240+1)/$NU$52,$NN$52/$NT$52)),0)</f>
        <v/>
      </c>
      <c r="IK52" s="402">
        <f>IF(AND(241&gt;=$NR$52,241&lt;=$NS$52),IF($NP$52="Single_Point",IF(241=$NR$52,$NN$52,0),IF($NP$52="Bell_Curve",$NN$52*(241-$NR$52+1)*($NS$52-241+1)/$NU$52,$NN$52/$NT$52)),0)</f>
        <v/>
      </c>
      <c r="IL52" s="402">
        <f>IF(AND(242&gt;=$NR$52,242&lt;=$NS$52),IF($NP$52="Single_Point",IF(242=$NR$52,$NN$52,0),IF($NP$52="Bell_Curve",$NN$52*(242-$NR$52+1)*($NS$52-242+1)/$NU$52,$NN$52/$NT$52)),0)</f>
        <v/>
      </c>
      <c r="IM52" s="402">
        <f>IF(AND(243&gt;=$NR$52,243&lt;=$NS$52),IF($NP$52="Single_Point",IF(243=$NR$52,$NN$52,0),IF($NP$52="Bell_Curve",$NN$52*(243-$NR$52+1)*($NS$52-243+1)/$NU$52,$NN$52/$NT$52)),0)</f>
        <v/>
      </c>
      <c r="IN52" s="402">
        <f>IF(AND(244&gt;=$NR$52,244&lt;=$NS$52),IF($NP$52="Single_Point",IF(244=$NR$52,$NN$52,0),IF($NP$52="Bell_Curve",$NN$52*(244-$NR$52+1)*($NS$52-244+1)/$NU$52,$NN$52/$NT$52)),0)</f>
        <v/>
      </c>
      <c r="IO52" s="402">
        <f>IF(AND(245&gt;=$NR$52,245&lt;=$NS$52),IF($NP$52="Single_Point",IF(245=$NR$52,$NN$52,0),IF($NP$52="Bell_Curve",$NN$52*(245-$NR$52+1)*($NS$52-245+1)/$NU$52,$NN$52/$NT$52)),0)</f>
        <v/>
      </c>
      <c r="IP52" s="402">
        <f>IF(AND(246&gt;=$NR$52,246&lt;=$NS$52),IF($NP$52="Single_Point",IF(246=$NR$52,$NN$52,0),IF($NP$52="Bell_Curve",$NN$52*(246-$NR$52+1)*($NS$52-246+1)/$NU$52,$NN$52/$NT$52)),0)</f>
        <v/>
      </c>
      <c r="IQ52" s="402">
        <f>IF(AND(247&gt;=$NR$52,247&lt;=$NS$52),IF($NP$52="Single_Point",IF(247=$NR$52,$NN$52,0),IF($NP$52="Bell_Curve",$NN$52*(247-$NR$52+1)*($NS$52-247+1)/$NU$52,$NN$52/$NT$52)),0)</f>
        <v/>
      </c>
      <c r="IR52" s="402">
        <f>IF(AND(248&gt;=$NR$52,248&lt;=$NS$52),IF($NP$52="Single_Point",IF(248=$NR$52,$NN$52,0),IF($NP$52="Bell_Curve",$NN$52*(248-$NR$52+1)*($NS$52-248+1)/$NU$52,$NN$52/$NT$52)),0)</f>
        <v/>
      </c>
      <c r="IS52" s="402">
        <f>IF(AND(249&gt;=$NR$52,249&lt;=$NS$52),IF($NP$52="Single_Point",IF(249=$NR$52,$NN$52,0),IF($NP$52="Bell_Curve",$NN$52*(249-$NR$52+1)*($NS$52-249+1)/$NU$52,$NN$52/$NT$52)),0)</f>
        <v/>
      </c>
      <c r="IT52" s="402">
        <f>IF(AND(250&gt;=$NR$52,250&lt;=$NS$52),IF($NP$52="Single_Point",IF(250=$NR$52,$NN$52,0),IF($NP$52="Bell_Curve",$NN$52*(250-$NR$52+1)*($NS$52-250+1)/$NU$52,$NN$52/$NT$52)),0)</f>
        <v/>
      </c>
      <c r="IU52" s="402">
        <f>IF(AND(251&gt;=$NR$52,251&lt;=$NS$52),IF($NP$52="Single_Point",IF(251=$NR$52,$NN$52,0),IF($NP$52="Bell_Curve",$NN$52*(251-$NR$52+1)*($NS$52-251+1)/$NU$52,$NN$52/$NT$52)),0)</f>
        <v/>
      </c>
      <c r="IV52" s="402">
        <f>IF(AND(252&gt;=$NR$52,252&lt;=$NS$52),IF($NP$52="Single_Point",IF(252=$NR$52,$NN$52,0),IF($NP$52="Bell_Curve",$NN$52*(252-$NR$52+1)*($NS$52-252+1)/$NU$52,$NN$52/$NT$52)),0)</f>
        <v/>
      </c>
      <c r="IW52" s="402">
        <f>IF(AND(253&gt;=$NR$52,253&lt;=$NS$52),IF($NP$52="Single_Point",IF(253=$NR$52,$NN$52,0),IF($NP$52="Bell_Curve",$NN$52*(253-$NR$52+1)*($NS$52-253+1)/$NU$52,$NN$52/$NT$52)),0)</f>
        <v/>
      </c>
      <c r="IX52" s="402">
        <f>IF(AND(254&gt;=$NR$52,254&lt;=$NS$52),IF($NP$52="Single_Point",IF(254=$NR$52,$NN$52,0),IF($NP$52="Bell_Curve",$NN$52*(254-$NR$52+1)*($NS$52-254+1)/$NU$52,$NN$52/$NT$52)),0)</f>
        <v/>
      </c>
      <c r="IY52" s="402">
        <f>IF(AND(255&gt;=$NR$52,255&lt;=$NS$52),IF($NP$52="Single_Point",IF(255=$NR$52,$NN$52,0),IF($NP$52="Bell_Curve",$NN$52*(255-$NR$52+1)*($NS$52-255+1)/$NU$52,$NN$52/$NT$52)),0)</f>
        <v/>
      </c>
      <c r="IZ52" s="402">
        <f>IF(AND(256&gt;=$NR$52,256&lt;=$NS$52),IF($NP$52="Single_Point",IF(256=$NR$52,$NN$52,0),IF($NP$52="Bell_Curve",$NN$52*(256-$NR$52+1)*($NS$52-256+1)/$NU$52,$NN$52/$NT$52)),0)</f>
        <v/>
      </c>
      <c r="JA52" s="402">
        <f>IF(AND(257&gt;=$NR$52,257&lt;=$NS$52),IF($NP$52="Single_Point",IF(257=$NR$52,$NN$52,0),IF($NP$52="Bell_Curve",$NN$52*(257-$NR$52+1)*($NS$52-257+1)/$NU$52,$NN$52/$NT$52)),0)</f>
        <v/>
      </c>
      <c r="JB52" s="402">
        <f>IF(AND(258&gt;=$NR$52,258&lt;=$NS$52),IF($NP$52="Single_Point",IF(258=$NR$52,$NN$52,0),IF($NP$52="Bell_Curve",$NN$52*(258-$NR$52+1)*($NS$52-258+1)/$NU$52,$NN$52/$NT$52)),0)</f>
        <v/>
      </c>
      <c r="JC52" s="402">
        <f>IF(AND(259&gt;=$NR$52,259&lt;=$NS$52),IF($NP$52="Single_Point",IF(259=$NR$52,$NN$52,0),IF($NP$52="Bell_Curve",$NN$52*(259-$NR$52+1)*($NS$52-259+1)/$NU$52,$NN$52/$NT$52)),0)</f>
        <v/>
      </c>
      <c r="JD52" s="402">
        <f>IF(AND(260&gt;=$NR$52,260&lt;=$NS$52),IF($NP$52="Single_Point",IF(260=$NR$52,$NN$52,0),IF($NP$52="Bell_Curve",$NN$52*(260-$NR$52+1)*($NS$52-260+1)/$NU$52,$NN$52/$NT$52)),0)</f>
        <v/>
      </c>
      <c r="JE52" s="402">
        <f>IF(AND(261&gt;=$NR$52,261&lt;=$NS$52),IF($NP$52="Single_Point",IF(261=$NR$52,$NN$52,0),IF($NP$52="Bell_Curve",$NN$52*(261-$NR$52+1)*($NS$52-261+1)/$NU$52,$NN$52/$NT$52)),0)</f>
        <v/>
      </c>
      <c r="JF52" s="402">
        <f>IF(AND(262&gt;=$NR$52,262&lt;=$NS$52),IF($NP$52="Single_Point",IF(262=$NR$52,$NN$52,0),IF($NP$52="Bell_Curve",$NN$52*(262-$NR$52+1)*($NS$52-262+1)/$NU$52,$NN$52/$NT$52)),0)</f>
        <v/>
      </c>
      <c r="JG52" s="402">
        <f>IF(AND(263&gt;=$NR$52,263&lt;=$NS$52),IF($NP$52="Single_Point",IF(263=$NR$52,$NN$52,0),IF($NP$52="Bell_Curve",$NN$52*(263-$NR$52+1)*($NS$52-263+1)/$NU$52,$NN$52/$NT$52)),0)</f>
        <v/>
      </c>
      <c r="JH52" s="402">
        <f>IF(AND(264&gt;=$NR$52,264&lt;=$NS$52),IF($NP$52="Single_Point",IF(264=$NR$52,$NN$52,0),IF($NP$52="Bell_Curve",$NN$52*(264-$NR$52+1)*($NS$52-264+1)/$NU$52,$NN$52/$NT$52)),0)</f>
        <v/>
      </c>
      <c r="JI52" s="402">
        <f>IF(AND(265&gt;=$NR$52,265&lt;=$NS$52),IF($NP$52="Single_Point",IF(265=$NR$52,$NN$52,0),IF($NP$52="Bell_Curve",$NN$52*(265-$NR$52+1)*($NS$52-265+1)/$NU$52,$NN$52/$NT$52)),0)</f>
        <v/>
      </c>
      <c r="JJ52" s="402">
        <f>IF(AND(266&gt;=$NR$52,266&lt;=$NS$52),IF($NP$52="Single_Point",IF(266=$NR$52,$NN$52,0),IF($NP$52="Bell_Curve",$NN$52*(266-$NR$52+1)*($NS$52-266+1)/$NU$52,$NN$52/$NT$52)),0)</f>
        <v/>
      </c>
      <c r="JK52" s="402">
        <f>IF(AND(267&gt;=$NR$52,267&lt;=$NS$52),IF($NP$52="Single_Point",IF(267=$NR$52,$NN$52,0),IF($NP$52="Bell_Curve",$NN$52*(267-$NR$52+1)*($NS$52-267+1)/$NU$52,$NN$52/$NT$52)),0)</f>
        <v/>
      </c>
      <c r="JL52" s="402">
        <f>IF(AND(268&gt;=$NR$52,268&lt;=$NS$52),IF($NP$52="Single_Point",IF(268=$NR$52,$NN$52,0),IF($NP$52="Bell_Curve",$NN$52*(268-$NR$52+1)*($NS$52-268+1)/$NU$52,$NN$52/$NT$52)),0)</f>
        <v/>
      </c>
      <c r="JM52" s="402">
        <f>IF(AND(269&gt;=$NR$52,269&lt;=$NS$52),IF($NP$52="Single_Point",IF(269=$NR$52,$NN$52,0),IF($NP$52="Bell_Curve",$NN$52*(269-$NR$52+1)*($NS$52-269+1)/$NU$52,$NN$52/$NT$52)),0)</f>
        <v/>
      </c>
      <c r="JN52" s="402">
        <f>IF(AND(270&gt;=$NR$52,270&lt;=$NS$52),IF($NP$52="Single_Point",IF(270=$NR$52,$NN$52,0),IF($NP$52="Bell_Curve",$NN$52*(270-$NR$52+1)*($NS$52-270+1)/$NU$52,$NN$52/$NT$52)),0)</f>
        <v/>
      </c>
      <c r="JO52" s="402">
        <f>IF(AND(271&gt;=$NR$52,271&lt;=$NS$52),IF($NP$52="Single_Point",IF(271=$NR$52,$NN$52,0),IF($NP$52="Bell_Curve",$NN$52*(271-$NR$52+1)*($NS$52-271+1)/$NU$52,$NN$52/$NT$52)),0)</f>
        <v/>
      </c>
      <c r="JP52" s="402">
        <f>IF(AND(272&gt;=$NR$52,272&lt;=$NS$52),IF($NP$52="Single_Point",IF(272=$NR$52,$NN$52,0),IF($NP$52="Bell_Curve",$NN$52*(272-$NR$52+1)*($NS$52-272+1)/$NU$52,$NN$52/$NT$52)),0)</f>
        <v/>
      </c>
      <c r="JQ52" s="402">
        <f>IF(AND(273&gt;=$NR$52,273&lt;=$NS$52),IF($NP$52="Single_Point",IF(273=$NR$52,$NN$52,0),IF($NP$52="Bell_Curve",$NN$52*(273-$NR$52+1)*($NS$52-273+1)/$NU$52,$NN$52/$NT$52)),0)</f>
        <v/>
      </c>
      <c r="JR52" s="402">
        <f>IF(AND(274&gt;=$NR$52,274&lt;=$NS$52),IF($NP$52="Single_Point",IF(274=$NR$52,$NN$52,0),IF($NP$52="Bell_Curve",$NN$52*(274-$NR$52+1)*($NS$52-274+1)/$NU$52,$NN$52/$NT$52)),0)</f>
        <v/>
      </c>
      <c r="JS52" s="402">
        <f>IF(AND(275&gt;=$NR$52,275&lt;=$NS$52),IF($NP$52="Single_Point",IF(275=$NR$52,$NN$52,0),IF($NP$52="Bell_Curve",$NN$52*(275-$NR$52+1)*($NS$52-275+1)/$NU$52,$NN$52/$NT$52)),0)</f>
        <v/>
      </c>
      <c r="JT52" s="402">
        <f>IF(AND(276&gt;=$NR$52,276&lt;=$NS$52),IF($NP$52="Single_Point",IF(276=$NR$52,$NN$52,0),IF($NP$52="Bell_Curve",$NN$52*(276-$NR$52+1)*($NS$52-276+1)/$NU$52,$NN$52/$NT$52)),0)</f>
        <v/>
      </c>
      <c r="JU52" s="402">
        <f>IF(AND(277&gt;=$NR$52,277&lt;=$NS$52),IF($NP$52="Single_Point",IF(277=$NR$52,$NN$52,0),IF($NP$52="Bell_Curve",$NN$52*(277-$NR$52+1)*($NS$52-277+1)/$NU$52,$NN$52/$NT$52)),0)</f>
        <v/>
      </c>
      <c r="JV52" s="402">
        <f>IF(AND(278&gt;=$NR$52,278&lt;=$NS$52),IF($NP$52="Single_Point",IF(278=$NR$52,$NN$52,0),IF($NP$52="Bell_Curve",$NN$52*(278-$NR$52+1)*($NS$52-278+1)/$NU$52,$NN$52/$NT$52)),0)</f>
        <v/>
      </c>
      <c r="JW52" s="402">
        <f>IF(AND(279&gt;=$NR$52,279&lt;=$NS$52),IF($NP$52="Single_Point",IF(279=$NR$52,$NN$52,0),IF($NP$52="Bell_Curve",$NN$52*(279-$NR$52+1)*($NS$52-279+1)/$NU$52,$NN$52/$NT$52)),0)</f>
        <v/>
      </c>
      <c r="JX52" s="402">
        <f>IF(AND(280&gt;=$NR$52,280&lt;=$NS$52),IF($NP$52="Single_Point",IF(280=$NR$52,$NN$52,0),IF($NP$52="Bell_Curve",$NN$52*(280-$NR$52+1)*($NS$52-280+1)/$NU$52,$NN$52/$NT$52)),0)</f>
        <v/>
      </c>
      <c r="JY52" s="402">
        <f>IF(AND(281&gt;=$NR$52,281&lt;=$NS$52),IF($NP$52="Single_Point",IF(281=$NR$52,$NN$52,0),IF($NP$52="Bell_Curve",$NN$52*(281-$NR$52+1)*($NS$52-281+1)/$NU$52,$NN$52/$NT$52)),0)</f>
        <v/>
      </c>
      <c r="JZ52" s="402">
        <f>IF(AND(282&gt;=$NR$52,282&lt;=$NS$52),IF($NP$52="Single_Point",IF(282=$NR$52,$NN$52,0),IF($NP$52="Bell_Curve",$NN$52*(282-$NR$52+1)*($NS$52-282+1)/$NU$52,$NN$52/$NT$52)),0)</f>
        <v/>
      </c>
      <c r="KA52" s="402">
        <f>IF(AND(283&gt;=$NR$52,283&lt;=$NS$52),IF($NP$52="Single_Point",IF(283=$NR$52,$NN$52,0),IF($NP$52="Bell_Curve",$NN$52*(283-$NR$52+1)*($NS$52-283+1)/$NU$52,$NN$52/$NT$52)),0)</f>
        <v/>
      </c>
      <c r="KB52" s="402">
        <f>IF(AND(284&gt;=$NR$52,284&lt;=$NS$52),IF($NP$52="Single_Point",IF(284=$NR$52,$NN$52,0),IF($NP$52="Bell_Curve",$NN$52*(284-$NR$52+1)*($NS$52-284+1)/$NU$52,$NN$52/$NT$52)),0)</f>
        <v/>
      </c>
      <c r="KC52" s="402">
        <f>IF(AND(285&gt;=$NR$52,285&lt;=$NS$52),IF($NP$52="Single_Point",IF(285=$NR$52,$NN$52,0),IF($NP$52="Bell_Curve",$NN$52*(285-$NR$52+1)*($NS$52-285+1)/$NU$52,$NN$52/$NT$52)),0)</f>
        <v/>
      </c>
      <c r="KD52" s="402">
        <f>IF(AND(286&gt;=$NR$52,286&lt;=$NS$52),IF($NP$52="Single_Point",IF(286=$NR$52,$NN$52,0),IF($NP$52="Bell_Curve",$NN$52*(286-$NR$52+1)*($NS$52-286+1)/$NU$52,$NN$52/$NT$52)),0)</f>
        <v/>
      </c>
      <c r="KE52" s="402">
        <f>IF(AND(287&gt;=$NR$52,287&lt;=$NS$52),IF($NP$52="Single_Point",IF(287=$NR$52,$NN$52,0),IF($NP$52="Bell_Curve",$NN$52*(287-$NR$52+1)*($NS$52-287+1)/$NU$52,$NN$52/$NT$52)),0)</f>
        <v/>
      </c>
      <c r="KF52" s="402">
        <f>IF(AND(288&gt;=$NR$52,288&lt;=$NS$52),IF($NP$52="Single_Point",IF(288=$NR$52,$NN$52,0),IF($NP$52="Bell_Curve",$NN$52*(288-$NR$52+1)*($NS$52-288+1)/$NU$52,$NN$52/$NT$52)),0)</f>
        <v/>
      </c>
      <c r="KG52" s="402">
        <f>IF(AND(289&gt;=$NR$52,289&lt;=$NS$52),IF($NP$52="Single_Point",IF(289=$NR$52,$NN$52,0),IF($NP$52="Bell_Curve",$NN$52*(289-$NR$52+1)*($NS$52-289+1)/$NU$52,$NN$52/$NT$52)),0)</f>
        <v/>
      </c>
      <c r="KH52" s="402">
        <f>IF(AND(290&gt;=$NR$52,290&lt;=$NS$52),IF($NP$52="Single_Point",IF(290=$NR$52,$NN$52,0),IF($NP$52="Bell_Curve",$NN$52*(290-$NR$52+1)*($NS$52-290+1)/$NU$52,$NN$52/$NT$52)),0)</f>
        <v/>
      </c>
      <c r="KI52" s="402">
        <f>IF(AND(291&gt;=$NR$52,291&lt;=$NS$52),IF($NP$52="Single_Point",IF(291=$NR$52,$NN$52,0),IF($NP$52="Bell_Curve",$NN$52*(291-$NR$52+1)*($NS$52-291+1)/$NU$52,$NN$52/$NT$52)),0)</f>
        <v/>
      </c>
      <c r="KJ52" s="402">
        <f>IF(AND(292&gt;=$NR$52,292&lt;=$NS$52),IF($NP$52="Single_Point",IF(292=$NR$52,$NN$52,0),IF($NP$52="Bell_Curve",$NN$52*(292-$NR$52+1)*($NS$52-292+1)/$NU$52,$NN$52/$NT$52)),0)</f>
        <v/>
      </c>
      <c r="KK52" s="402">
        <f>IF(AND(293&gt;=$NR$52,293&lt;=$NS$52),IF($NP$52="Single_Point",IF(293=$NR$52,$NN$52,0),IF($NP$52="Bell_Curve",$NN$52*(293-$NR$52+1)*($NS$52-293+1)/$NU$52,$NN$52/$NT$52)),0)</f>
        <v/>
      </c>
      <c r="KL52" s="402">
        <f>IF(AND(294&gt;=$NR$52,294&lt;=$NS$52),IF($NP$52="Single_Point",IF(294=$NR$52,$NN$52,0),IF($NP$52="Bell_Curve",$NN$52*(294-$NR$52+1)*($NS$52-294+1)/$NU$52,$NN$52/$NT$52)),0)</f>
        <v/>
      </c>
      <c r="KM52" s="402">
        <f>IF(AND(295&gt;=$NR$52,295&lt;=$NS$52),IF($NP$52="Single_Point",IF(295=$NR$52,$NN$52,0),IF($NP$52="Bell_Curve",$NN$52*(295-$NR$52+1)*($NS$52-295+1)/$NU$52,$NN$52/$NT$52)),0)</f>
        <v/>
      </c>
      <c r="KN52" s="402">
        <f>IF(AND(296&gt;=$NR$52,296&lt;=$NS$52),IF($NP$52="Single_Point",IF(296=$NR$52,$NN$52,0),IF($NP$52="Bell_Curve",$NN$52*(296-$NR$52+1)*($NS$52-296+1)/$NU$52,$NN$52/$NT$52)),0)</f>
        <v/>
      </c>
      <c r="KO52" s="402">
        <f>IF(AND(297&gt;=$NR$52,297&lt;=$NS$52),IF($NP$52="Single_Point",IF(297=$NR$52,$NN$52,0),IF($NP$52="Bell_Curve",$NN$52*(297-$NR$52+1)*($NS$52-297+1)/$NU$52,$NN$52/$NT$52)),0)</f>
        <v/>
      </c>
      <c r="KP52" s="402">
        <f>IF(AND(298&gt;=$NR$52,298&lt;=$NS$52),IF($NP$52="Single_Point",IF(298=$NR$52,$NN$52,0),IF($NP$52="Bell_Curve",$NN$52*(298-$NR$52+1)*($NS$52-298+1)/$NU$52,$NN$52/$NT$52)),0)</f>
        <v/>
      </c>
      <c r="KQ52" s="402">
        <f>IF(AND(299&gt;=$NR$52,299&lt;=$NS$52),IF($NP$52="Single_Point",IF(299=$NR$52,$NN$52,0),IF($NP$52="Bell_Curve",$NN$52*(299-$NR$52+1)*($NS$52-299+1)/$NU$52,$NN$52/$NT$52)),0)</f>
        <v/>
      </c>
      <c r="KR52" s="402">
        <f>IF(AND(300&gt;=$NR$52,300&lt;=$NS$52),IF($NP$52="Single_Point",IF(300=$NR$52,$NN$52,0),IF($NP$52="Bell_Curve",$NN$52*(300-$NR$52+1)*($NS$52-300+1)/$NU$52,$NN$52/$NT$52)),0)</f>
        <v/>
      </c>
      <c r="KS52" s="402">
        <f>IF(AND(301&gt;=$NR$52,301&lt;=$NS$52),IF($NP$52="Single_Point",IF(301=$NR$52,$NN$52,0),IF($NP$52="Bell_Curve",$NN$52*(301-$NR$52+1)*($NS$52-301+1)/$NU$52,$NN$52/$NT$52)),0)</f>
        <v/>
      </c>
      <c r="KT52" s="402">
        <f>IF(AND(302&gt;=$NR$52,302&lt;=$NS$52),IF($NP$52="Single_Point",IF(302=$NR$52,$NN$52,0),IF($NP$52="Bell_Curve",$NN$52*(302-$NR$52+1)*($NS$52-302+1)/$NU$52,$NN$52/$NT$52)),0)</f>
        <v/>
      </c>
      <c r="KU52" s="402">
        <f>IF(AND(303&gt;=$NR$52,303&lt;=$NS$52),IF($NP$52="Single_Point",IF(303=$NR$52,$NN$52,0),IF($NP$52="Bell_Curve",$NN$52*(303-$NR$52+1)*($NS$52-303+1)/$NU$52,$NN$52/$NT$52)),0)</f>
        <v/>
      </c>
      <c r="KV52" s="402">
        <f>IF(AND(304&gt;=$NR$52,304&lt;=$NS$52),IF($NP$52="Single_Point",IF(304=$NR$52,$NN$52,0),IF($NP$52="Bell_Curve",$NN$52*(304-$NR$52+1)*($NS$52-304+1)/$NU$52,$NN$52/$NT$52)),0)</f>
        <v/>
      </c>
      <c r="KW52" s="402">
        <f>IF(AND(305&gt;=$NR$52,305&lt;=$NS$52),IF($NP$52="Single_Point",IF(305=$NR$52,$NN$52,0),IF($NP$52="Bell_Curve",$NN$52*(305-$NR$52+1)*($NS$52-305+1)/$NU$52,$NN$52/$NT$52)),0)</f>
        <v/>
      </c>
      <c r="KX52" s="402">
        <f>IF(AND(306&gt;=$NR$52,306&lt;=$NS$52),IF($NP$52="Single_Point",IF(306=$NR$52,$NN$52,0),IF($NP$52="Bell_Curve",$NN$52*(306-$NR$52+1)*($NS$52-306+1)/$NU$52,$NN$52/$NT$52)),0)</f>
        <v/>
      </c>
      <c r="KY52" s="402">
        <f>IF(AND(307&gt;=$NR$52,307&lt;=$NS$52),IF($NP$52="Single_Point",IF(307=$NR$52,$NN$52,0),IF($NP$52="Bell_Curve",$NN$52*(307-$NR$52+1)*($NS$52-307+1)/$NU$52,$NN$52/$NT$52)),0)</f>
        <v/>
      </c>
      <c r="KZ52" s="402">
        <f>IF(AND(308&gt;=$NR$52,308&lt;=$NS$52),IF($NP$52="Single_Point",IF(308=$NR$52,$NN$52,0),IF($NP$52="Bell_Curve",$NN$52*(308-$NR$52+1)*($NS$52-308+1)/$NU$52,$NN$52/$NT$52)),0)</f>
        <v/>
      </c>
      <c r="LA52" s="402">
        <f>IF(AND(309&gt;=$NR$52,309&lt;=$NS$52),IF($NP$52="Single_Point",IF(309=$NR$52,$NN$52,0),IF($NP$52="Bell_Curve",$NN$52*(309-$NR$52+1)*($NS$52-309+1)/$NU$52,$NN$52/$NT$52)),0)</f>
        <v/>
      </c>
      <c r="LB52" s="402">
        <f>IF(AND(310&gt;=$NR$52,310&lt;=$NS$52),IF($NP$52="Single_Point",IF(310=$NR$52,$NN$52,0),IF($NP$52="Bell_Curve",$NN$52*(310-$NR$52+1)*($NS$52-310+1)/$NU$52,$NN$52/$NT$52)),0)</f>
        <v/>
      </c>
      <c r="LC52" s="402">
        <f>IF(AND(311&gt;=$NR$52,311&lt;=$NS$52),IF($NP$52="Single_Point",IF(311=$NR$52,$NN$52,0),IF($NP$52="Bell_Curve",$NN$52*(311-$NR$52+1)*($NS$52-311+1)/$NU$52,$NN$52/$NT$52)),0)</f>
        <v/>
      </c>
      <c r="LD52" s="402">
        <f>IF(AND(312&gt;=$NR$52,312&lt;=$NS$52),IF($NP$52="Single_Point",IF(312=$NR$52,$NN$52,0),IF($NP$52="Bell_Curve",$NN$52*(312-$NR$52+1)*($NS$52-312+1)/$NU$52,$NN$52/$NT$52)),0)</f>
        <v/>
      </c>
      <c r="LE52" s="402">
        <f>IF(AND(313&gt;=$NR$52,313&lt;=$NS$52),IF($NP$52="Single_Point",IF(313=$NR$52,$NN$52,0),IF($NP$52="Bell_Curve",$NN$52*(313-$NR$52+1)*($NS$52-313+1)/$NU$52,$NN$52/$NT$52)),0)</f>
        <v/>
      </c>
      <c r="LF52" s="402">
        <f>IF(AND(314&gt;=$NR$52,314&lt;=$NS$52),IF($NP$52="Single_Point",IF(314=$NR$52,$NN$52,0),IF($NP$52="Bell_Curve",$NN$52*(314-$NR$52+1)*($NS$52-314+1)/$NU$52,$NN$52/$NT$52)),0)</f>
        <v/>
      </c>
      <c r="LG52" s="402">
        <f>IF(AND(315&gt;=$NR$52,315&lt;=$NS$52),IF($NP$52="Single_Point",IF(315=$NR$52,$NN$52,0),IF($NP$52="Bell_Curve",$NN$52*(315-$NR$52+1)*($NS$52-315+1)/$NU$52,$NN$52/$NT$52)),0)</f>
        <v/>
      </c>
      <c r="LH52" s="402">
        <f>IF(AND(316&gt;=$NR$52,316&lt;=$NS$52),IF($NP$52="Single_Point",IF(316=$NR$52,$NN$52,0),IF($NP$52="Bell_Curve",$NN$52*(316-$NR$52+1)*($NS$52-316+1)/$NU$52,$NN$52/$NT$52)),0)</f>
        <v/>
      </c>
      <c r="LI52" s="402">
        <f>IF(AND(317&gt;=$NR$52,317&lt;=$NS$52),IF($NP$52="Single_Point",IF(317=$NR$52,$NN$52,0),IF($NP$52="Bell_Curve",$NN$52*(317-$NR$52+1)*($NS$52-317+1)/$NU$52,$NN$52/$NT$52)),0)</f>
        <v/>
      </c>
      <c r="LJ52" s="402">
        <f>IF(AND(318&gt;=$NR$52,318&lt;=$NS$52),IF($NP$52="Single_Point",IF(318=$NR$52,$NN$52,0),IF($NP$52="Bell_Curve",$NN$52*(318-$NR$52+1)*($NS$52-318+1)/$NU$52,$NN$52/$NT$52)),0)</f>
        <v/>
      </c>
      <c r="LK52" s="402">
        <f>IF(AND(319&gt;=$NR$52,319&lt;=$NS$52),IF($NP$52="Single_Point",IF(319=$NR$52,$NN$52,0),IF($NP$52="Bell_Curve",$NN$52*(319-$NR$52+1)*($NS$52-319+1)/$NU$52,$NN$52/$NT$52)),0)</f>
        <v/>
      </c>
      <c r="LL52" s="402">
        <f>IF(AND(320&gt;=$NR$52,320&lt;=$NS$52),IF($NP$52="Single_Point",IF(320=$NR$52,$NN$52,0),IF($NP$52="Bell_Curve",$NN$52*(320-$NR$52+1)*($NS$52-320+1)/$NU$52,$NN$52/$NT$52)),0)</f>
        <v/>
      </c>
      <c r="LM52" s="402">
        <f>IF(AND(321&gt;=$NR$52,321&lt;=$NS$52),IF($NP$52="Single_Point",IF(321=$NR$52,$NN$52,0),IF($NP$52="Bell_Curve",$NN$52*(321-$NR$52+1)*($NS$52-321+1)/$NU$52,$NN$52/$NT$52)),0)</f>
        <v/>
      </c>
      <c r="LN52" s="402">
        <f>IF(AND(322&gt;=$NR$52,322&lt;=$NS$52),IF($NP$52="Single_Point",IF(322=$NR$52,$NN$52,0),IF($NP$52="Bell_Curve",$NN$52*(322-$NR$52+1)*($NS$52-322+1)/$NU$52,$NN$52/$NT$52)),0)</f>
        <v/>
      </c>
      <c r="LO52" s="402">
        <f>IF(AND(323&gt;=$NR$52,323&lt;=$NS$52),IF($NP$52="Single_Point",IF(323=$NR$52,$NN$52,0),IF($NP$52="Bell_Curve",$NN$52*(323-$NR$52+1)*($NS$52-323+1)/$NU$52,$NN$52/$NT$52)),0)</f>
        <v/>
      </c>
      <c r="LP52" s="402">
        <f>IF(AND(324&gt;=$NR$52,324&lt;=$NS$52),IF($NP$52="Single_Point",IF(324=$NR$52,$NN$52,0),IF($NP$52="Bell_Curve",$NN$52*(324-$NR$52+1)*($NS$52-324+1)/$NU$52,$NN$52/$NT$52)),0)</f>
        <v/>
      </c>
      <c r="LQ52" s="402">
        <f>IF(AND(325&gt;=$NR$52,325&lt;=$NS$52),IF($NP$52="Single_Point",IF(325=$NR$52,$NN$52,0),IF($NP$52="Bell_Curve",$NN$52*(325-$NR$52+1)*($NS$52-325+1)/$NU$52,$NN$52/$NT$52)),0)</f>
        <v/>
      </c>
      <c r="LR52" s="402">
        <f>IF(AND(326&gt;=$NR$52,326&lt;=$NS$52),IF($NP$52="Single_Point",IF(326=$NR$52,$NN$52,0),IF($NP$52="Bell_Curve",$NN$52*(326-$NR$52+1)*($NS$52-326+1)/$NU$52,$NN$52/$NT$52)),0)</f>
        <v/>
      </c>
      <c r="LS52" s="402">
        <f>IF(AND(327&gt;=$NR$52,327&lt;=$NS$52),IF($NP$52="Single_Point",IF(327=$NR$52,$NN$52,0),IF($NP$52="Bell_Curve",$NN$52*(327-$NR$52+1)*($NS$52-327+1)/$NU$52,$NN$52/$NT$52)),0)</f>
        <v/>
      </c>
      <c r="LT52" s="402">
        <f>IF(AND(328&gt;=$NR$52,328&lt;=$NS$52),IF($NP$52="Single_Point",IF(328=$NR$52,$NN$52,0),IF($NP$52="Bell_Curve",$NN$52*(328-$NR$52+1)*($NS$52-328+1)/$NU$52,$NN$52/$NT$52)),0)</f>
        <v/>
      </c>
      <c r="LU52" s="402">
        <f>IF(AND(329&gt;=$NR$52,329&lt;=$NS$52),IF($NP$52="Single_Point",IF(329=$NR$52,$NN$52,0),IF($NP$52="Bell_Curve",$NN$52*(329-$NR$52+1)*($NS$52-329+1)/$NU$52,$NN$52/$NT$52)),0)</f>
        <v/>
      </c>
      <c r="LV52" s="402">
        <f>IF(AND(330&gt;=$NR$52,330&lt;=$NS$52),IF($NP$52="Single_Point",IF(330=$NR$52,$NN$52,0),IF($NP$52="Bell_Curve",$NN$52*(330-$NR$52+1)*($NS$52-330+1)/$NU$52,$NN$52/$NT$52)),0)</f>
        <v/>
      </c>
      <c r="LW52" s="402">
        <f>IF(AND(331&gt;=$NR$52,331&lt;=$NS$52),IF($NP$52="Single_Point",IF(331=$NR$52,$NN$52,0),IF($NP$52="Bell_Curve",$NN$52*(331-$NR$52+1)*($NS$52-331+1)/$NU$52,$NN$52/$NT$52)),0)</f>
        <v/>
      </c>
      <c r="LX52" s="402">
        <f>IF(AND(332&gt;=$NR$52,332&lt;=$NS$52),IF($NP$52="Single_Point",IF(332=$NR$52,$NN$52,0),IF($NP$52="Bell_Curve",$NN$52*(332-$NR$52+1)*($NS$52-332+1)/$NU$52,$NN$52/$NT$52)),0)</f>
        <v/>
      </c>
      <c r="LY52" s="402">
        <f>IF(AND(333&gt;=$NR$52,333&lt;=$NS$52),IF($NP$52="Single_Point",IF(333=$NR$52,$NN$52,0),IF($NP$52="Bell_Curve",$NN$52*(333-$NR$52+1)*($NS$52-333+1)/$NU$52,$NN$52/$NT$52)),0)</f>
        <v/>
      </c>
      <c r="LZ52" s="402">
        <f>IF(AND(334&gt;=$NR$52,334&lt;=$NS$52),IF($NP$52="Single_Point",IF(334=$NR$52,$NN$52,0),IF($NP$52="Bell_Curve",$NN$52*(334-$NR$52+1)*($NS$52-334+1)/$NU$52,$NN$52/$NT$52)),0)</f>
        <v/>
      </c>
      <c r="MA52" s="402">
        <f>IF(AND(335&gt;=$NR$52,335&lt;=$NS$52),IF($NP$52="Single_Point",IF(335=$NR$52,$NN$52,0),IF($NP$52="Bell_Curve",$NN$52*(335-$NR$52+1)*($NS$52-335+1)/$NU$52,$NN$52/$NT$52)),0)</f>
        <v/>
      </c>
      <c r="MB52" s="402">
        <f>IF(AND(336&gt;=$NR$52,336&lt;=$NS$52),IF($NP$52="Single_Point",IF(336=$NR$52,$NN$52,0),IF($NP$52="Bell_Curve",$NN$52*(336-$NR$52+1)*($NS$52-336+1)/$NU$52,$NN$52/$NT$52)),0)</f>
        <v/>
      </c>
      <c r="MC52" s="402">
        <f>IF(AND(337&gt;=$NR$52,337&lt;=$NS$52),IF($NP$52="Single_Point",IF(337=$NR$52,$NN$52,0),IF($NP$52="Bell_Curve",$NN$52*(337-$NR$52+1)*($NS$52-337+1)/$NU$52,$NN$52/$NT$52)),0)</f>
        <v/>
      </c>
      <c r="MD52" s="402">
        <f>IF(AND(338&gt;=$NR$52,338&lt;=$NS$52),IF($NP$52="Single_Point",IF(338=$NR$52,$NN$52,0),IF($NP$52="Bell_Curve",$NN$52*(338-$NR$52+1)*($NS$52-338+1)/$NU$52,$NN$52/$NT$52)),0)</f>
        <v/>
      </c>
      <c r="ME52" s="402">
        <f>IF(AND(339&gt;=$NR$52,339&lt;=$NS$52),IF($NP$52="Single_Point",IF(339=$NR$52,$NN$52,0),IF($NP$52="Bell_Curve",$NN$52*(339-$NR$52+1)*($NS$52-339+1)/$NU$52,$NN$52/$NT$52)),0)</f>
        <v/>
      </c>
      <c r="MF52" s="402">
        <f>IF(AND(340&gt;=$NR$52,340&lt;=$NS$52),IF($NP$52="Single_Point",IF(340=$NR$52,$NN$52,0),IF($NP$52="Bell_Curve",$NN$52*(340-$NR$52+1)*($NS$52-340+1)/$NU$52,$NN$52/$NT$52)),0)</f>
        <v/>
      </c>
      <c r="MG52" s="402">
        <f>IF(AND(341&gt;=$NR$52,341&lt;=$NS$52),IF($NP$52="Single_Point",IF(341=$NR$52,$NN$52,0),IF($NP$52="Bell_Curve",$NN$52*(341-$NR$52+1)*($NS$52-341+1)/$NU$52,$NN$52/$NT$52)),0)</f>
        <v/>
      </c>
      <c r="MH52" s="402">
        <f>IF(AND(342&gt;=$NR$52,342&lt;=$NS$52),IF($NP$52="Single_Point",IF(342=$NR$52,$NN$52,0),IF($NP$52="Bell_Curve",$NN$52*(342-$NR$52+1)*($NS$52-342+1)/$NU$52,$NN$52/$NT$52)),0)</f>
        <v/>
      </c>
      <c r="MI52" s="402">
        <f>IF(AND(343&gt;=$NR$52,343&lt;=$NS$52),IF($NP$52="Single_Point",IF(343=$NR$52,$NN$52,0),IF($NP$52="Bell_Curve",$NN$52*(343-$NR$52+1)*($NS$52-343+1)/$NU$52,$NN$52/$NT$52)),0)</f>
        <v/>
      </c>
      <c r="MJ52" s="402">
        <f>IF(AND(344&gt;=$NR$52,344&lt;=$NS$52),IF($NP$52="Single_Point",IF(344=$NR$52,$NN$52,0),IF($NP$52="Bell_Curve",$NN$52*(344-$NR$52+1)*($NS$52-344+1)/$NU$52,$NN$52/$NT$52)),0)</f>
        <v/>
      </c>
      <c r="MK52" s="402">
        <f>IF(AND(345&gt;=$NR$52,345&lt;=$NS$52),IF($NP$52="Single_Point",IF(345=$NR$52,$NN$52,0),IF($NP$52="Bell_Curve",$NN$52*(345-$NR$52+1)*($NS$52-345+1)/$NU$52,$NN$52/$NT$52)),0)</f>
        <v/>
      </c>
      <c r="ML52" s="402">
        <f>IF(AND(346&gt;=$NR$52,346&lt;=$NS$52),IF($NP$52="Single_Point",IF(346=$NR$52,$NN$52,0),IF($NP$52="Bell_Curve",$NN$52*(346-$NR$52+1)*($NS$52-346+1)/$NU$52,$NN$52/$NT$52)),0)</f>
        <v/>
      </c>
      <c r="MM52" s="402">
        <f>IF(AND(347&gt;=$NR$52,347&lt;=$NS$52),IF($NP$52="Single_Point",IF(347=$NR$52,$NN$52,0),IF($NP$52="Bell_Curve",$NN$52*(347-$NR$52+1)*($NS$52-347+1)/$NU$52,$NN$52/$NT$52)),0)</f>
        <v/>
      </c>
      <c r="MN52" s="402">
        <f>IF(AND(348&gt;=$NR$52,348&lt;=$NS$52),IF($NP$52="Single_Point",IF(348=$NR$52,$NN$52,0),IF($NP$52="Bell_Curve",$NN$52*(348-$NR$52+1)*($NS$52-348+1)/$NU$52,$NN$52/$NT$52)),0)</f>
        <v/>
      </c>
      <c r="MO52" s="402">
        <f>IF(AND(349&gt;=$NR$52,349&lt;=$NS$52),IF($NP$52="Single_Point",IF(349=$NR$52,$NN$52,0),IF($NP$52="Bell_Curve",$NN$52*(349-$NR$52+1)*($NS$52-349+1)/$NU$52,$NN$52/$NT$52)),0)</f>
        <v/>
      </c>
      <c r="MP52" s="402">
        <f>IF(AND(350&gt;=$NR$52,350&lt;=$NS$52),IF($NP$52="Single_Point",IF(350=$NR$52,$NN$52,0),IF($NP$52="Bell_Curve",$NN$52*(350-$NR$52+1)*($NS$52-350+1)/$NU$52,$NN$52/$NT$52)),0)</f>
        <v/>
      </c>
      <c r="MQ52" s="402">
        <f>IF(AND(351&gt;=$NR$52,351&lt;=$NS$52),IF($NP$52="Single_Point",IF(351=$NR$52,$NN$52,0),IF($NP$52="Bell_Curve",$NN$52*(351-$NR$52+1)*($NS$52-351+1)/$NU$52,$NN$52/$NT$52)),0)</f>
        <v/>
      </c>
      <c r="MR52" s="402">
        <f>IF(AND(352&gt;=$NR$52,352&lt;=$NS$52),IF($NP$52="Single_Point",IF(352=$NR$52,$NN$52,0),IF($NP$52="Bell_Curve",$NN$52*(352-$NR$52+1)*($NS$52-352+1)/$NU$52,$NN$52/$NT$52)),0)</f>
        <v/>
      </c>
      <c r="MS52" s="402">
        <f>IF(AND(353&gt;=$NR$52,353&lt;=$NS$52),IF($NP$52="Single_Point",IF(353=$NR$52,$NN$52,0),IF($NP$52="Bell_Curve",$NN$52*(353-$NR$52+1)*($NS$52-353+1)/$NU$52,$NN$52/$NT$52)),0)</f>
        <v/>
      </c>
      <c r="MT52" s="402">
        <f>IF(AND(354&gt;=$NR$52,354&lt;=$NS$52),IF($NP$52="Single_Point",IF(354=$NR$52,$NN$52,0),IF($NP$52="Bell_Curve",$NN$52*(354-$NR$52+1)*($NS$52-354+1)/$NU$52,$NN$52/$NT$52)),0)</f>
        <v/>
      </c>
      <c r="MU52" s="402">
        <f>IF(AND(355&gt;=$NR$52,355&lt;=$NS$52),IF($NP$52="Single_Point",IF(355=$NR$52,$NN$52,0),IF($NP$52="Bell_Curve",$NN$52*(355-$NR$52+1)*($NS$52-355+1)/$NU$52,$NN$52/$NT$52)),0)</f>
        <v/>
      </c>
      <c r="MV52" s="402">
        <f>IF(AND(356&gt;=$NR$52,356&lt;=$NS$52),IF($NP$52="Single_Point",IF(356=$NR$52,$NN$52,0),IF($NP$52="Bell_Curve",$NN$52*(356-$NR$52+1)*($NS$52-356+1)/$NU$52,$NN$52/$NT$52)),0)</f>
        <v/>
      </c>
      <c r="MW52" s="402">
        <f>IF(AND(357&gt;=$NR$52,357&lt;=$NS$52),IF($NP$52="Single_Point",IF(357=$NR$52,$NN$52,0),IF($NP$52="Bell_Curve",$NN$52*(357-$NR$52+1)*($NS$52-357+1)/$NU$52,$NN$52/$NT$52)),0)</f>
        <v/>
      </c>
      <c r="MX52" s="402">
        <f>IF(AND(358&gt;=$NR$52,358&lt;=$NS$52),IF($NP$52="Single_Point",IF(358=$NR$52,$NN$52,0),IF($NP$52="Bell_Curve",$NN$52*(358-$NR$52+1)*($NS$52-358+1)/$NU$52,$NN$52/$NT$52)),0)</f>
        <v/>
      </c>
      <c r="MY52" s="402">
        <f>IF(AND(359&gt;=$NR$52,359&lt;=$NS$52),IF($NP$52="Single_Point",IF(359=$NR$52,$NN$52,0),IF($NP$52="Bell_Curve",$NN$52*(359-$NR$52+1)*($NS$52-359+1)/$NU$52,$NN$52/$NT$52)),0)</f>
        <v/>
      </c>
      <c r="MZ52" s="402">
        <f>IF(AND(360&gt;=$NR$52,360&lt;=$NS$52),IF($NP$52="Single_Point",IF(360=$NR$52,$NN$52,0),IF($NP$52="Bell_Curve",$NN$52*(360-$NR$52+1)*($NS$52-360+1)/$NU$52,$NN$52/$NT$52)),0)</f>
        <v/>
      </c>
      <c r="NA52" s="402">
        <f>IF(AND(361&gt;=$NR$52,361&lt;=$NS$52),IF($NP$52="Single_Point",IF(361=$NR$52,$NN$52,0),IF($NP$52="Bell_Curve",$NN$52*(361-$NR$52+1)*($NS$52-361+1)/$NU$52,$NN$52/$NT$52)),0)</f>
        <v/>
      </c>
      <c r="NB52" s="402">
        <f>IF(AND(362&gt;=$NR$52,362&lt;=$NS$52),IF($NP$52="Single_Point",IF(362=$NR$52,$NN$52,0),IF($NP$52="Bell_Curve",$NN$52*(362-$NR$52+1)*($NS$52-362+1)/$NU$52,$NN$52/$NT$52)),0)</f>
        <v/>
      </c>
      <c r="NC52" s="402">
        <f>IF(AND(363&gt;=$NR$52,363&lt;=$NS$52),IF($NP$52="Single_Point",IF(363=$NR$52,$NN$52,0),IF($NP$52="Bell_Curve",$NN$52*(363-$NR$52+1)*($NS$52-363+1)/$NU$52,$NN$52/$NT$52)),0)</f>
        <v/>
      </c>
      <c r="ND52" s="402">
        <f>IF(AND(364&gt;=$NR$52,364&lt;=$NS$52),IF($NP$52="Single_Point",IF(364=$NR$52,$NN$52,0),IF($NP$52="Bell_Curve",$NN$52*(364-$NR$52+1)*($NS$52-364+1)/$NU$52,$NN$52/$NT$52)),0)</f>
        <v/>
      </c>
      <c r="NE52" s="402">
        <f>IF(AND(365&gt;=$NR$52,365&lt;=$NS$52),IF($NP$52="Single_Point",IF(365=$NR$52,$NN$52,0),IF($NP$52="Bell_Curve",$NN$52*(365-$NR$52+1)*($NS$52-365+1)/$NU$52,$NN$52/$NT$52)),0)</f>
        <v/>
      </c>
      <c r="NF52" s="402">
        <f>IF(AND(366&gt;=$NR$52,366&lt;=$NS$52),IF($NP$52="Single_Point",IF(366=$NR$52,$NN$52,0),IF($NP$52="Bell_Curve",$NN$52*(366-$NR$52+1)*($NS$52-366+1)/$NU$52,$NN$52/$NT$52)),0)</f>
        <v/>
      </c>
      <c r="NG52" s="402">
        <f>IF(AND(367&gt;=$NR$52,367&lt;=$NS$52),IF($NP$52="Single_Point",IF(367=$NR$52,$NN$52,0),IF($NP$52="Bell_Curve",$NN$52*(367-$NR$52+1)*($NS$52-367+1)/$NU$52,$NN$52/$NT$52)),0)</f>
        <v/>
      </c>
      <c r="NH52" s="402">
        <f>IF(AND(368&gt;=$NR$52,368&lt;=$NS$52),IF($NP$52="Single_Point",IF(368=$NR$52,$NN$52,0),IF($NP$52="Bell_Curve",$NN$52*(368-$NR$52+1)*($NS$52-368+1)/$NU$52,$NN$52/$NT$52)),0)</f>
        <v/>
      </c>
      <c r="NI52" s="402">
        <f>IF(AND(369&gt;=$NR$52,369&lt;=$NS$52),IF($NP$52="Single_Point",IF(369=$NR$52,$NN$52,0),IF($NP$52="Bell_Curve",$NN$52*(369-$NR$52+1)*($NS$52-369+1)/$NU$52,$NN$52/$NT$52)),0)</f>
        <v/>
      </c>
      <c r="NJ52" s="402">
        <f>IF(AND(370&gt;=$NR$52,370&lt;=$NS$52),IF($NP$52="Single_Point",IF(370=$NR$52,$NN$52,0),IF($NP$52="Bell_Curve",$NN$52*(370-$NR$52+1)*($NS$52-370+1)/$NU$52,$NN$52/$NT$52)),0)</f>
        <v/>
      </c>
      <c r="NK52" s="402">
        <f>IF(AND(371&gt;=$NR$52,371&lt;=$NS$52),IF($NP$52="Single_Point",IF(371=$NR$52,$NN$52,0),IF($NP$52="Bell_Curve",$NN$52*(371-$NR$52+1)*($NS$52-371+1)/$NU$52,$NN$52/$NT$52)),0)</f>
        <v/>
      </c>
      <c r="NL52" s="402">
        <f>IF(AND(372&gt;=$NR$52,372&lt;=$NS$52),IF($NP$52="Single_Point",IF(372=$NR$52,$NN$52,0),IF($NP$52="Bell_Curve",$NN$52*(372-$NR$52+1)*($NS$52-372+1)/$NU$52,$NN$52/$NT$52)),0)</f>
        <v/>
      </c>
      <c r="NM52">
        <f>Budget!C51</f>
        <v/>
      </c>
      <c r="NN52">
        <f>Budget!J51</f>
        <v/>
      </c>
      <c r="NO52">
        <f>Budget!G51</f>
        <v/>
      </c>
      <c r="NP52">
        <f>Budget!H51</f>
        <v/>
      </c>
      <c r="NQ52">
        <f>Budget!I51</f>
        <v/>
      </c>
      <c r="NR52">
        <f>MAX(1,MIN(372,INDEX(MilestoneStart,MATCH(NO52,MilestoneNames,0))+NQ52))</f>
        <v/>
      </c>
      <c r="NS52">
        <f>MAX(NR52,MIN(372,INDEX(MilestoneEnd,MATCH(NO52,MilestoneNames,0))+NQ52))</f>
        <v/>
      </c>
      <c r="NT52">
        <f>NS52-NR52+1</f>
        <v/>
      </c>
      <c r="NU52">
        <f>NT52*(NT52+1)*(NT52+2)/6</f>
        <v/>
      </c>
    </row>
    <row r="53">
      <c r="B53" s="316">
        <f>Budget!B52</f>
        <v/>
      </c>
      <c r="D53" s="402">
        <f>SUM(E53:NL53)</f>
        <v/>
      </c>
      <c r="E53" s="402">
        <f>IF(AND(1&gt;=$NR$53,1&lt;=$NS$53),IF($NP$53="Single_Point",IF(1=$NR$53,$NN$53,0),IF($NP$53="Bell_Curve",$NN$53*(1-$NR$53+1)*($NS$53-1+1)/$NU$53,$NN$53/$NT$53)),0)</f>
        <v/>
      </c>
      <c r="F53" s="402">
        <f>IF(AND(2&gt;=$NR$53,2&lt;=$NS$53),IF($NP$53="Single_Point",IF(2=$NR$53,$NN$53,0),IF($NP$53="Bell_Curve",$NN$53*(2-$NR$53+1)*($NS$53-2+1)/$NU$53,$NN$53/$NT$53)),0)</f>
        <v/>
      </c>
      <c r="G53" s="402">
        <f>IF(AND(3&gt;=$NR$53,3&lt;=$NS$53),IF($NP$53="Single_Point",IF(3=$NR$53,$NN$53,0),IF($NP$53="Bell_Curve",$NN$53*(3-$NR$53+1)*($NS$53-3+1)/$NU$53,$NN$53/$NT$53)),0)</f>
        <v/>
      </c>
      <c r="H53" s="402">
        <f>IF(AND(4&gt;=$NR$53,4&lt;=$NS$53),IF($NP$53="Single_Point",IF(4=$NR$53,$NN$53,0),IF($NP$53="Bell_Curve",$NN$53*(4-$NR$53+1)*($NS$53-4+1)/$NU$53,$NN$53/$NT$53)),0)</f>
        <v/>
      </c>
      <c r="I53" s="402">
        <f>IF(AND(5&gt;=$NR$53,5&lt;=$NS$53),IF($NP$53="Single_Point",IF(5=$NR$53,$NN$53,0),IF($NP$53="Bell_Curve",$NN$53*(5-$NR$53+1)*($NS$53-5+1)/$NU$53,$NN$53/$NT$53)),0)</f>
        <v/>
      </c>
      <c r="J53" s="402">
        <f>IF(AND(6&gt;=$NR$53,6&lt;=$NS$53),IF($NP$53="Single_Point",IF(6=$NR$53,$NN$53,0),IF($NP$53="Bell_Curve",$NN$53*(6-$NR$53+1)*($NS$53-6+1)/$NU$53,$NN$53/$NT$53)),0)</f>
        <v/>
      </c>
      <c r="K53" s="402">
        <f>IF(AND(7&gt;=$NR$53,7&lt;=$NS$53),IF($NP$53="Single_Point",IF(7=$NR$53,$NN$53,0),IF($NP$53="Bell_Curve",$NN$53*(7-$NR$53+1)*($NS$53-7+1)/$NU$53,$NN$53/$NT$53)),0)</f>
        <v/>
      </c>
      <c r="L53" s="402">
        <f>IF(AND(8&gt;=$NR$53,8&lt;=$NS$53),IF($NP$53="Single_Point",IF(8=$NR$53,$NN$53,0),IF($NP$53="Bell_Curve",$NN$53*(8-$NR$53+1)*($NS$53-8+1)/$NU$53,$NN$53/$NT$53)),0)</f>
        <v/>
      </c>
      <c r="M53" s="402">
        <f>IF(AND(9&gt;=$NR$53,9&lt;=$NS$53),IF($NP$53="Single_Point",IF(9=$NR$53,$NN$53,0),IF($NP$53="Bell_Curve",$NN$53*(9-$NR$53+1)*($NS$53-9+1)/$NU$53,$NN$53/$NT$53)),0)</f>
        <v/>
      </c>
      <c r="N53" s="402">
        <f>IF(AND(10&gt;=$NR$53,10&lt;=$NS$53),IF($NP$53="Single_Point",IF(10=$NR$53,$NN$53,0),IF($NP$53="Bell_Curve",$NN$53*(10-$NR$53+1)*($NS$53-10+1)/$NU$53,$NN$53/$NT$53)),0)</f>
        <v/>
      </c>
      <c r="O53" s="402">
        <f>IF(AND(11&gt;=$NR$53,11&lt;=$NS$53),IF($NP$53="Single_Point",IF(11=$NR$53,$NN$53,0),IF($NP$53="Bell_Curve",$NN$53*(11-$NR$53+1)*($NS$53-11+1)/$NU$53,$NN$53/$NT$53)),0)</f>
        <v/>
      </c>
      <c r="P53" s="402">
        <f>IF(AND(12&gt;=$NR$53,12&lt;=$NS$53),IF($NP$53="Single_Point",IF(12=$NR$53,$NN$53,0),IF($NP$53="Bell_Curve",$NN$53*(12-$NR$53+1)*($NS$53-12+1)/$NU$53,$NN$53/$NT$53)),0)</f>
        <v/>
      </c>
      <c r="Q53" s="402">
        <f>IF(AND(13&gt;=$NR$53,13&lt;=$NS$53),IF($NP$53="Single_Point",IF(13=$NR$53,$NN$53,0),IF($NP$53="Bell_Curve",$NN$53*(13-$NR$53+1)*($NS$53-13+1)/$NU$53,$NN$53/$NT$53)),0)</f>
        <v/>
      </c>
      <c r="R53" s="402">
        <f>IF(AND(14&gt;=$NR$53,14&lt;=$NS$53),IF($NP$53="Single_Point",IF(14=$NR$53,$NN$53,0),IF($NP$53="Bell_Curve",$NN$53*(14-$NR$53+1)*($NS$53-14+1)/$NU$53,$NN$53/$NT$53)),0)</f>
        <v/>
      </c>
      <c r="S53" s="402">
        <f>IF(AND(15&gt;=$NR$53,15&lt;=$NS$53),IF($NP$53="Single_Point",IF(15=$NR$53,$NN$53,0),IF($NP$53="Bell_Curve",$NN$53*(15-$NR$53+1)*($NS$53-15+1)/$NU$53,$NN$53/$NT$53)),0)</f>
        <v/>
      </c>
      <c r="T53" s="402">
        <f>IF(AND(16&gt;=$NR$53,16&lt;=$NS$53),IF($NP$53="Single_Point",IF(16=$NR$53,$NN$53,0),IF($NP$53="Bell_Curve",$NN$53*(16-$NR$53+1)*($NS$53-16+1)/$NU$53,$NN$53/$NT$53)),0)</f>
        <v/>
      </c>
      <c r="U53" s="402">
        <f>IF(AND(17&gt;=$NR$53,17&lt;=$NS$53),IF($NP$53="Single_Point",IF(17=$NR$53,$NN$53,0),IF($NP$53="Bell_Curve",$NN$53*(17-$NR$53+1)*($NS$53-17+1)/$NU$53,$NN$53/$NT$53)),0)</f>
        <v/>
      </c>
      <c r="V53" s="402">
        <f>IF(AND(18&gt;=$NR$53,18&lt;=$NS$53),IF($NP$53="Single_Point",IF(18=$NR$53,$NN$53,0),IF($NP$53="Bell_Curve",$NN$53*(18-$NR$53+1)*($NS$53-18+1)/$NU$53,$NN$53/$NT$53)),0)</f>
        <v/>
      </c>
      <c r="W53" s="402">
        <f>IF(AND(19&gt;=$NR$53,19&lt;=$NS$53),IF($NP$53="Single_Point",IF(19=$NR$53,$NN$53,0),IF($NP$53="Bell_Curve",$NN$53*(19-$NR$53+1)*($NS$53-19+1)/$NU$53,$NN$53/$NT$53)),0)</f>
        <v/>
      </c>
      <c r="X53" s="402">
        <f>IF(AND(20&gt;=$NR$53,20&lt;=$NS$53),IF($NP$53="Single_Point",IF(20=$NR$53,$NN$53,0),IF($NP$53="Bell_Curve",$NN$53*(20-$NR$53+1)*($NS$53-20+1)/$NU$53,$NN$53/$NT$53)),0)</f>
        <v/>
      </c>
      <c r="Y53" s="402">
        <f>IF(AND(21&gt;=$NR$53,21&lt;=$NS$53),IF($NP$53="Single_Point",IF(21=$NR$53,$NN$53,0),IF($NP$53="Bell_Curve",$NN$53*(21-$NR$53+1)*($NS$53-21+1)/$NU$53,$NN$53/$NT$53)),0)</f>
        <v/>
      </c>
      <c r="Z53" s="402">
        <f>IF(AND(22&gt;=$NR$53,22&lt;=$NS$53),IF($NP$53="Single_Point",IF(22=$NR$53,$NN$53,0),IF($NP$53="Bell_Curve",$NN$53*(22-$NR$53+1)*($NS$53-22+1)/$NU$53,$NN$53/$NT$53)),0)</f>
        <v/>
      </c>
      <c r="AA53" s="402">
        <f>IF(AND(23&gt;=$NR$53,23&lt;=$NS$53),IF($NP$53="Single_Point",IF(23=$NR$53,$NN$53,0),IF($NP$53="Bell_Curve",$NN$53*(23-$NR$53+1)*($NS$53-23+1)/$NU$53,$NN$53/$NT$53)),0)</f>
        <v/>
      </c>
      <c r="AB53" s="402">
        <f>IF(AND(24&gt;=$NR$53,24&lt;=$NS$53),IF($NP$53="Single_Point",IF(24=$NR$53,$NN$53,0),IF($NP$53="Bell_Curve",$NN$53*(24-$NR$53+1)*($NS$53-24+1)/$NU$53,$NN$53/$NT$53)),0)</f>
        <v/>
      </c>
      <c r="AC53" s="402">
        <f>IF(AND(25&gt;=$NR$53,25&lt;=$NS$53),IF($NP$53="Single_Point",IF(25=$NR$53,$NN$53,0),IF($NP$53="Bell_Curve",$NN$53*(25-$NR$53+1)*($NS$53-25+1)/$NU$53,$NN$53/$NT$53)),0)</f>
        <v/>
      </c>
      <c r="AD53" s="402">
        <f>IF(AND(26&gt;=$NR$53,26&lt;=$NS$53),IF($NP$53="Single_Point",IF(26=$NR$53,$NN$53,0),IF($NP$53="Bell_Curve",$NN$53*(26-$NR$53+1)*($NS$53-26+1)/$NU$53,$NN$53/$NT$53)),0)</f>
        <v/>
      </c>
      <c r="AE53" s="402">
        <f>IF(AND(27&gt;=$NR$53,27&lt;=$NS$53),IF($NP$53="Single_Point",IF(27=$NR$53,$NN$53,0),IF($NP$53="Bell_Curve",$NN$53*(27-$NR$53+1)*($NS$53-27+1)/$NU$53,$NN$53/$NT$53)),0)</f>
        <v/>
      </c>
      <c r="AF53" s="402">
        <f>IF(AND(28&gt;=$NR$53,28&lt;=$NS$53),IF($NP$53="Single_Point",IF(28=$NR$53,$NN$53,0),IF($NP$53="Bell_Curve",$NN$53*(28-$NR$53+1)*($NS$53-28+1)/$NU$53,$NN$53/$NT$53)),0)</f>
        <v/>
      </c>
      <c r="AG53" s="402">
        <f>IF(AND(29&gt;=$NR$53,29&lt;=$NS$53),IF($NP$53="Single_Point",IF(29=$NR$53,$NN$53,0),IF($NP$53="Bell_Curve",$NN$53*(29-$NR$53+1)*($NS$53-29+1)/$NU$53,$NN$53/$NT$53)),0)</f>
        <v/>
      </c>
      <c r="AH53" s="402">
        <f>IF(AND(30&gt;=$NR$53,30&lt;=$NS$53),IF($NP$53="Single_Point",IF(30=$NR$53,$NN$53,0),IF($NP$53="Bell_Curve",$NN$53*(30-$NR$53+1)*($NS$53-30+1)/$NU$53,$NN$53/$NT$53)),0)</f>
        <v/>
      </c>
      <c r="AI53" s="402">
        <f>IF(AND(31&gt;=$NR$53,31&lt;=$NS$53),IF($NP$53="Single_Point",IF(31=$NR$53,$NN$53,0),IF($NP$53="Bell_Curve",$NN$53*(31-$NR$53+1)*($NS$53-31+1)/$NU$53,$NN$53/$NT$53)),0)</f>
        <v/>
      </c>
      <c r="AJ53" s="402">
        <f>IF(AND(32&gt;=$NR$53,32&lt;=$NS$53),IF($NP$53="Single_Point",IF(32=$NR$53,$NN$53,0),IF($NP$53="Bell_Curve",$NN$53*(32-$NR$53+1)*($NS$53-32+1)/$NU$53,$NN$53/$NT$53)),0)</f>
        <v/>
      </c>
      <c r="AK53" s="402">
        <f>IF(AND(33&gt;=$NR$53,33&lt;=$NS$53),IF($NP$53="Single_Point",IF(33=$NR$53,$NN$53,0),IF($NP$53="Bell_Curve",$NN$53*(33-$NR$53+1)*($NS$53-33+1)/$NU$53,$NN$53/$NT$53)),0)</f>
        <v/>
      </c>
      <c r="AL53" s="402">
        <f>IF(AND(34&gt;=$NR$53,34&lt;=$NS$53),IF($NP$53="Single_Point",IF(34=$NR$53,$NN$53,0),IF($NP$53="Bell_Curve",$NN$53*(34-$NR$53+1)*($NS$53-34+1)/$NU$53,$NN$53/$NT$53)),0)</f>
        <v/>
      </c>
      <c r="AM53" s="402">
        <f>IF(AND(35&gt;=$NR$53,35&lt;=$NS$53),IF($NP$53="Single_Point",IF(35=$NR$53,$NN$53,0),IF($NP$53="Bell_Curve",$NN$53*(35-$NR$53+1)*($NS$53-35+1)/$NU$53,$NN$53/$NT$53)),0)</f>
        <v/>
      </c>
      <c r="AN53" s="402">
        <f>IF(AND(36&gt;=$NR$53,36&lt;=$NS$53),IF($NP$53="Single_Point",IF(36=$NR$53,$NN$53,0),IF($NP$53="Bell_Curve",$NN$53*(36-$NR$53+1)*($NS$53-36+1)/$NU$53,$NN$53/$NT$53)),0)</f>
        <v/>
      </c>
      <c r="AO53" s="402">
        <f>IF(AND(37&gt;=$NR$53,37&lt;=$NS$53),IF($NP$53="Single_Point",IF(37=$NR$53,$NN$53,0),IF($NP$53="Bell_Curve",$NN$53*(37-$NR$53+1)*($NS$53-37+1)/$NU$53,$NN$53/$NT$53)),0)</f>
        <v/>
      </c>
      <c r="AP53" s="402">
        <f>IF(AND(38&gt;=$NR$53,38&lt;=$NS$53),IF($NP$53="Single_Point",IF(38=$NR$53,$NN$53,0),IF($NP$53="Bell_Curve",$NN$53*(38-$NR$53+1)*($NS$53-38+1)/$NU$53,$NN$53/$NT$53)),0)</f>
        <v/>
      </c>
      <c r="AQ53" s="402">
        <f>IF(AND(39&gt;=$NR$53,39&lt;=$NS$53),IF($NP$53="Single_Point",IF(39=$NR$53,$NN$53,0),IF($NP$53="Bell_Curve",$NN$53*(39-$NR$53+1)*($NS$53-39+1)/$NU$53,$NN$53/$NT$53)),0)</f>
        <v/>
      </c>
      <c r="AR53" s="402">
        <f>IF(AND(40&gt;=$NR$53,40&lt;=$NS$53),IF($NP$53="Single_Point",IF(40=$NR$53,$NN$53,0),IF($NP$53="Bell_Curve",$NN$53*(40-$NR$53+1)*($NS$53-40+1)/$NU$53,$NN$53/$NT$53)),0)</f>
        <v/>
      </c>
      <c r="AS53" s="402">
        <f>IF(AND(41&gt;=$NR$53,41&lt;=$NS$53),IF($NP$53="Single_Point",IF(41=$NR$53,$NN$53,0),IF($NP$53="Bell_Curve",$NN$53*(41-$NR$53+1)*($NS$53-41+1)/$NU$53,$NN$53/$NT$53)),0)</f>
        <v/>
      </c>
      <c r="AT53" s="402">
        <f>IF(AND(42&gt;=$NR$53,42&lt;=$NS$53),IF($NP$53="Single_Point",IF(42=$NR$53,$NN$53,0),IF($NP$53="Bell_Curve",$NN$53*(42-$NR$53+1)*($NS$53-42+1)/$NU$53,$NN$53/$NT$53)),0)</f>
        <v/>
      </c>
      <c r="AU53" s="402">
        <f>IF(AND(43&gt;=$NR$53,43&lt;=$NS$53),IF($NP$53="Single_Point",IF(43=$NR$53,$NN$53,0),IF($NP$53="Bell_Curve",$NN$53*(43-$NR$53+1)*($NS$53-43+1)/$NU$53,$NN$53/$NT$53)),0)</f>
        <v/>
      </c>
      <c r="AV53" s="402">
        <f>IF(AND(44&gt;=$NR$53,44&lt;=$NS$53),IF($NP$53="Single_Point",IF(44=$NR$53,$NN$53,0),IF($NP$53="Bell_Curve",$NN$53*(44-$NR$53+1)*($NS$53-44+1)/$NU$53,$NN$53/$NT$53)),0)</f>
        <v/>
      </c>
      <c r="AW53" s="402">
        <f>IF(AND(45&gt;=$NR$53,45&lt;=$NS$53),IF($NP$53="Single_Point",IF(45=$NR$53,$NN$53,0),IF($NP$53="Bell_Curve",$NN$53*(45-$NR$53+1)*($NS$53-45+1)/$NU$53,$NN$53/$NT$53)),0)</f>
        <v/>
      </c>
      <c r="AX53" s="402">
        <f>IF(AND(46&gt;=$NR$53,46&lt;=$NS$53),IF($NP$53="Single_Point",IF(46=$NR$53,$NN$53,0),IF($NP$53="Bell_Curve",$NN$53*(46-$NR$53+1)*($NS$53-46+1)/$NU$53,$NN$53/$NT$53)),0)</f>
        <v/>
      </c>
      <c r="AY53" s="402">
        <f>IF(AND(47&gt;=$NR$53,47&lt;=$NS$53),IF($NP$53="Single_Point",IF(47=$NR$53,$NN$53,0),IF($NP$53="Bell_Curve",$NN$53*(47-$NR$53+1)*($NS$53-47+1)/$NU$53,$NN$53/$NT$53)),0)</f>
        <v/>
      </c>
      <c r="AZ53" s="402">
        <f>IF(AND(48&gt;=$NR$53,48&lt;=$NS$53),IF($NP$53="Single_Point",IF(48=$NR$53,$NN$53,0),IF($NP$53="Bell_Curve",$NN$53*(48-$NR$53+1)*($NS$53-48+1)/$NU$53,$NN$53/$NT$53)),0)</f>
        <v/>
      </c>
      <c r="BA53" s="402">
        <f>IF(AND(49&gt;=$NR$53,49&lt;=$NS$53),IF($NP$53="Single_Point",IF(49=$NR$53,$NN$53,0),IF($NP$53="Bell_Curve",$NN$53*(49-$NR$53+1)*($NS$53-49+1)/$NU$53,$NN$53/$NT$53)),0)</f>
        <v/>
      </c>
      <c r="BB53" s="402">
        <f>IF(AND(50&gt;=$NR$53,50&lt;=$NS$53),IF($NP$53="Single_Point",IF(50=$NR$53,$NN$53,0),IF($NP$53="Bell_Curve",$NN$53*(50-$NR$53+1)*($NS$53-50+1)/$NU$53,$NN$53/$NT$53)),0)</f>
        <v/>
      </c>
      <c r="BC53" s="402">
        <f>IF(AND(51&gt;=$NR$53,51&lt;=$NS$53),IF($NP$53="Single_Point",IF(51=$NR$53,$NN$53,0),IF($NP$53="Bell_Curve",$NN$53*(51-$NR$53+1)*($NS$53-51+1)/$NU$53,$NN$53/$NT$53)),0)</f>
        <v/>
      </c>
      <c r="BD53" s="402">
        <f>IF(AND(52&gt;=$NR$53,52&lt;=$NS$53),IF($NP$53="Single_Point",IF(52=$NR$53,$NN$53,0),IF($NP$53="Bell_Curve",$NN$53*(52-$NR$53+1)*($NS$53-52+1)/$NU$53,$NN$53/$NT$53)),0)</f>
        <v/>
      </c>
      <c r="BE53" s="402">
        <f>IF(AND(53&gt;=$NR$53,53&lt;=$NS$53),IF($NP$53="Single_Point",IF(53=$NR$53,$NN$53,0),IF($NP$53="Bell_Curve",$NN$53*(53-$NR$53+1)*($NS$53-53+1)/$NU$53,$NN$53/$NT$53)),0)</f>
        <v/>
      </c>
      <c r="BF53" s="402">
        <f>IF(AND(54&gt;=$NR$53,54&lt;=$NS$53),IF($NP$53="Single_Point",IF(54=$NR$53,$NN$53,0),IF($NP$53="Bell_Curve",$NN$53*(54-$NR$53+1)*($NS$53-54+1)/$NU$53,$NN$53/$NT$53)),0)</f>
        <v/>
      </c>
      <c r="BG53" s="402">
        <f>IF(AND(55&gt;=$NR$53,55&lt;=$NS$53),IF($NP$53="Single_Point",IF(55=$NR$53,$NN$53,0),IF($NP$53="Bell_Curve",$NN$53*(55-$NR$53+1)*($NS$53-55+1)/$NU$53,$NN$53/$NT$53)),0)</f>
        <v/>
      </c>
      <c r="BH53" s="402">
        <f>IF(AND(56&gt;=$NR$53,56&lt;=$NS$53),IF($NP$53="Single_Point",IF(56=$NR$53,$NN$53,0),IF($NP$53="Bell_Curve",$NN$53*(56-$NR$53+1)*($NS$53-56+1)/$NU$53,$NN$53/$NT$53)),0)</f>
        <v/>
      </c>
      <c r="BI53" s="402">
        <f>IF(AND(57&gt;=$NR$53,57&lt;=$NS$53),IF($NP$53="Single_Point",IF(57=$NR$53,$NN$53,0),IF($NP$53="Bell_Curve",$NN$53*(57-$NR$53+1)*($NS$53-57+1)/$NU$53,$NN$53/$NT$53)),0)</f>
        <v/>
      </c>
      <c r="BJ53" s="402">
        <f>IF(AND(58&gt;=$NR$53,58&lt;=$NS$53),IF($NP$53="Single_Point",IF(58=$NR$53,$NN$53,0),IF($NP$53="Bell_Curve",$NN$53*(58-$NR$53+1)*($NS$53-58+1)/$NU$53,$NN$53/$NT$53)),0)</f>
        <v/>
      </c>
      <c r="BK53" s="402">
        <f>IF(AND(59&gt;=$NR$53,59&lt;=$NS$53),IF($NP$53="Single_Point",IF(59=$NR$53,$NN$53,0),IF($NP$53="Bell_Curve",$NN$53*(59-$NR$53+1)*($NS$53-59+1)/$NU$53,$NN$53/$NT$53)),0)</f>
        <v/>
      </c>
      <c r="BL53" s="402">
        <f>IF(AND(60&gt;=$NR$53,60&lt;=$NS$53),IF($NP$53="Single_Point",IF(60=$NR$53,$NN$53,0),IF($NP$53="Bell_Curve",$NN$53*(60-$NR$53+1)*($NS$53-60+1)/$NU$53,$NN$53/$NT$53)),0)</f>
        <v/>
      </c>
      <c r="BM53" s="402">
        <f>IF(AND(61&gt;=$NR$53,61&lt;=$NS$53),IF($NP$53="Single_Point",IF(61=$NR$53,$NN$53,0),IF($NP$53="Bell_Curve",$NN$53*(61-$NR$53+1)*($NS$53-61+1)/$NU$53,$NN$53/$NT$53)),0)</f>
        <v/>
      </c>
      <c r="BN53" s="402">
        <f>IF(AND(62&gt;=$NR$53,62&lt;=$NS$53),IF($NP$53="Single_Point",IF(62=$NR$53,$NN$53,0),IF($NP$53="Bell_Curve",$NN$53*(62-$NR$53+1)*($NS$53-62+1)/$NU$53,$NN$53/$NT$53)),0)</f>
        <v/>
      </c>
      <c r="BO53" s="402">
        <f>IF(AND(63&gt;=$NR$53,63&lt;=$NS$53),IF($NP$53="Single_Point",IF(63=$NR$53,$NN$53,0),IF($NP$53="Bell_Curve",$NN$53*(63-$NR$53+1)*($NS$53-63+1)/$NU$53,$NN$53/$NT$53)),0)</f>
        <v/>
      </c>
      <c r="BP53" s="402">
        <f>IF(AND(64&gt;=$NR$53,64&lt;=$NS$53),IF($NP$53="Single_Point",IF(64=$NR$53,$NN$53,0),IF($NP$53="Bell_Curve",$NN$53*(64-$NR$53+1)*($NS$53-64+1)/$NU$53,$NN$53/$NT$53)),0)</f>
        <v/>
      </c>
      <c r="BQ53" s="402">
        <f>IF(AND(65&gt;=$NR$53,65&lt;=$NS$53),IF($NP$53="Single_Point",IF(65=$NR$53,$NN$53,0),IF($NP$53="Bell_Curve",$NN$53*(65-$NR$53+1)*($NS$53-65+1)/$NU$53,$NN$53/$NT$53)),0)</f>
        <v/>
      </c>
      <c r="BR53" s="402">
        <f>IF(AND(66&gt;=$NR$53,66&lt;=$NS$53),IF($NP$53="Single_Point",IF(66=$NR$53,$NN$53,0),IF($NP$53="Bell_Curve",$NN$53*(66-$NR$53+1)*($NS$53-66+1)/$NU$53,$NN$53/$NT$53)),0)</f>
        <v/>
      </c>
      <c r="BS53" s="402">
        <f>IF(AND(67&gt;=$NR$53,67&lt;=$NS$53),IF($NP$53="Single_Point",IF(67=$NR$53,$NN$53,0),IF($NP$53="Bell_Curve",$NN$53*(67-$NR$53+1)*($NS$53-67+1)/$NU$53,$NN$53/$NT$53)),0)</f>
        <v/>
      </c>
      <c r="BT53" s="402">
        <f>IF(AND(68&gt;=$NR$53,68&lt;=$NS$53),IF($NP$53="Single_Point",IF(68=$NR$53,$NN$53,0),IF($NP$53="Bell_Curve",$NN$53*(68-$NR$53+1)*($NS$53-68+1)/$NU$53,$NN$53/$NT$53)),0)</f>
        <v/>
      </c>
      <c r="BU53" s="402">
        <f>IF(AND(69&gt;=$NR$53,69&lt;=$NS$53),IF($NP$53="Single_Point",IF(69=$NR$53,$NN$53,0),IF($NP$53="Bell_Curve",$NN$53*(69-$NR$53+1)*($NS$53-69+1)/$NU$53,$NN$53/$NT$53)),0)</f>
        <v/>
      </c>
      <c r="BV53" s="402">
        <f>IF(AND(70&gt;=$NR$53,70&lt;=$NS$53),IF($NP$53="Single_Point",IF(70=$NR$53,$NN$53,0),IF($NP$53="Bell_Curve",$NN$53*(70-$NR$53+1)*($NS$53-70+1)/$NU$53,$NN$53/$NT$53)),0)</f>
        <v/>
      </c>
      <c r="BW53" s="402">
        <f>IF(AND(71&gt;=$NR$53,71&lt;=$NS$53),IF($NP$53="Single_Point",IF(71=$NR$53,$NN$53,0),IF($NP$53="Bell_Curve",$NN$53*(71-$NR$53+1)*($NS$53-71+1)/$NU$53,$NN$53/$NT$53)),0)</f>
        <v/>
      </c>
      <c r="BX53" s="402">
        <f>IF(AND(72&gt;=$NR$53,72&lt;=$NS$53),IF($NP$53="Single_Point",IF(72=$NR$53,$NN$53,0),IF($NP$53="Bell_Curve",$NN$53*(72-$NR$53+1)*($NS$53-72+1)/$NU$53,$NN$53/$NT$53)),0)</f>
        <v/>
      </c>
      <c r="BY53" s="402">
        <f>IF(AND(73&gt;=$NR$53,73&lt;=$NS$53),IF($NP$53="Single_Point",IF(73=$NR$53,$NN$53,0),IF($NP$53="Bell_Curve",$NN$53*(73-$NR$53+1)*($NS$53-73+1)/$NU$53,$NN$53/$NT$53)),0)</f>
        <v/>
      </c>
      <c r="BZ53" s="402">
        <f>IF(AND(74&gt;=$NR$53,74&lt;=$NS$53),IF($NP$53="Single_Point",IF(74=$NR$53,$NN$53,0),IF($NP$53="Bell_Curve",$NN$53*(74-$NR$53+1)*($NS$53-74+1)/$NU$53,$NN$53/$NT$53)),0)</f>
        <v/>
      </c>
      <c r="CA53" s="402">
        <f>IF(AND(75&gt;=$NR$53,75&lt;=$NS$53),IF($NP$53="Single_Point",IF(75=$NR$53,$NN$53,0),IF($NP$53="Bell_Curve",$NN$53*(75-$NR$53+1)*($NS$53-75+1)/$NU$53,$NN$53/$NT$53)),0)</f>
        <v/>
      </c>
      <c r="CB53" s="402">
        <f>IF(AND(76&gt;=$NR$53,76&lt;=$NS$53),IF($NP$53="Single_Point",IF(76=$NR$53,$NN$53,0),IF($NP$53="Bell_Curve",$NN$53*(76-$NR$53+1)*($NS$53-76+1)/$NU$53,$NN$53/$NT$53)),0)</f>
        <v/>
      </c>
      <c r="CC53" s="402">
        <f>IF(AND(77&gt;=$NR$53,77&lt;=$NS$53),IF($NP$53="Single_Point",IF(77=$NR$53,$NN$53,0),IF($NP$53="Bell_Curve",$NN$53*(77-$NR$53+1)*($NS$53-77+1)/$NU$53,$NN$53/$NT$53)),0)</f>
        <v/>
      </c>
      <c r="CD53" s="402">
        <f>IF(AND(78&gt;=$NR$53,78&lt;=$NS$53),IF($NP$53="Single_Point",IF(78=$NR$53,$NN$53,0),IF($NP$53="Bell_Curve",$NN$53*(78-$NR$53+1)*($NS$53-78+1)/$NU$53,$NN$53/$NT$53)),0)</f>
        <v/>
      </c>
      <c r="CE53" s="402">
        <f>IF(AND(79&gt;=$NR$53,79&lt;=$NS$53),IF($NP$53="Single_Point",IF(79=$NR$53,$NN$53,0),IF($NP$53="Bell_Curve",$NN$53*(79-$NR$53+1)*($NS$53-79+1)/$NU$53,$NN$53/$NT$53)),0)</f>
        <v/>
      </c>
      <c r="CF53" s="402">
        <f>IF(AND(80&gt;=$NR$53,80&lt;=$NS$53),IF($NP$53="Single_Point",IF(80=$NR$53,$NN$53,0),IF($NP$53="Bell_Curve",$NN$53*(80-$NR$53+1)*($NS$53-80+1)/$NU$53,$NN$53/$NT$53)),0)</f>
        <v/>
      </c>
      <c r="CG53" s="402">
        <f>IF(AND(81&gt;=$NR$53,81&lt;=$NS$53),IF($NP$53="Single_Point",IF(81=$NR$53,$NN$53,0),IF($NP$53="Bell_Curve",$NN$53*(81-$NR$53+1)*($NS$53-81+1)/$NU$53,$NN$53/$NT$53)),0)</f>
        <v/>
      </c>
      <c r="CH53" s="402">
        <f>IF(AND(82&gt;=$NR$53,82&lt;=$NS$53),IF($NP$53="Single_Point",IF(82=$NR$53,$NN$53,0),IF($NP$53="Bell_Curve",$NN$53*(82-$NR$53+1)*($NS$53-82+1)/$NU$53,$NN$53/$NT$53)),0)</f>
        <v/>
      </c>
      <c r="CI53" s="402">
        <f>IF(AND(83&gt;=$NR$53,83&lt;=$NS$53),IF($NP$53="Single_Point",IF(83=$NR$53,$NN$53,0),IF($NP$53="Bell_Curve",$NN$53*(83-$NR$53+1)*($NS$53-83+1)/$NU$53,$NN$53/$NT$53)),0)</f>
        <v/>
      </c>
      <c r="CJ53" s="402">
        <f>IF(AND(84&gt;=$NR$53,84&lt;=$NS$53),IF($NP$53="Single_Point",IF(84=$NR$53,$NN$53,0),IF($NP$53="Bell_Curve",$NN$53*(84-$NR$53+1)*($NS$53-84+1)/$NU$53,$NN$53/$NT$53)),0)</f>
        <v/>
      </c>
      <c r="CK53" s="402">
        <f>IF(AND(85&gt;=$NR$53,85&lt;=$NS$53),IF($NP$53="Single_Point",IF(85=$NR$53,$NN$53,0),IF($NP$53="Bell_Curve",$NN$53*(85-$NR$53+1)*($NS$53-85+1)/$NU$53,$NN$53/$NT$53)),0)</f>
        <v/>
      </c>
      <c r="CL53" s="402">
        <f>IF(AND(86&gt;=$NR$53,86&lt;=$NS$53),IF($NP$53="Single_Point",IF(86=$NR$53,$NN$53,0),IF($NP$53="Bell_Curve",$NN$53*(86-$NR$53+1)*($NS$53-86+1)/$NU$53,$NN$53/$NT$53)),0)</f>
        <v/>
      </c>
      <c r="CM53" s="402">
        <f>IF(AND(87&gt;=$NR$53,87&lt;=$NS$53),IF($NP$53="Single_Point",IF(87=$NR$53,$NN$53,0),IF($NP$53="Bell_Curve",$NN$53*(87-$NR$53+1)*($NS$53-87+1)/$NU$53,$NN$53/$NT$53)),0)</f>
        <v/>
      </c>
      <c r="CN53" s="402">
        <f>IF(AND(88&gt;=$NR$53,88&lt;=$NS$53),IF($NP$53="Single_Point",IF(88=$NR$53,$NN$53,0),IF($NP$53="Bell_Curve",$NN$53*(88-$NR$53+1)*($NS$53-88+1)/$NU$53,$NN$53/$NT$53)),0)</f>
        <v/>
      </c>
      <c r="CO53" s="402">
        <f>IF(AND(89&gt;=$NR$53,89&lt;=$NS$53),IF($NP$53="Single_Point",IF(89=$NR$53,$NN$53,0),IF($NP$53="Bell_Curve",$NN$53*(89-$NR$53+1)*($NS$53-89+1)/$NU$53,$NN$53/$NT$53)),0)</f>
        <v/>
      </c>
      <c r="CP53" s="402">
        <f>IF(AND(90&gt;=$NR$53,90&lt;=$NS$53),IF($NP$53="Single_Point",IF(90=$NR$53,$NN$53,0),IF($NP$53="Bell_Curve",$NN$53*(90-$NR$53+1)*($NS$53-90+1)/$NU$53,$NN$53/$NT$53)),0)</f>
        <v/>
      </c>
      <c r="CQ53" s="402">
        <f>IF(AND(91&gt;=$NR$53,91&lt;=$NS$53),IF($NP$53="Single_Point",IF(91=$NR$53,$NN$53,0),IF($NP$53="Bell_Curve",$NN$53*(91-$NR$53+1)*($NS$53-91+1)/$NU$53,$NN$53/$NT$53)),0)</f>
        <v/>
      </c>
      <c r="CR53" s="402">
        <f>IF(AND(92&gt;=$NR$53,92&lt;=$NS$53),IF($NP$53="Single_Point",IF(92=$NR$53,$NN$53,0),IF($NP$53="Bell_Curve",$NN$53*(92-$NR$53+1)*($NS$53-92+1)/$NU$53,$NN$53/$NT$53)),0)</f>
        <v/>
      </c>
      <c r="CS53" s="402">
        <f>IF(AND(93&gt;=$NR$53,93&lt;=$NS$53),IF($NP$53="Single_Point",IF(93=$NR$53,$NN$53,0),IF($NP$53="Bell_Curve",$NN$53*(93-$NR$53+1)*($NS$53-93+1)/$NU$53,$NN$53/$NT$53)),0)</f>
        <v/>
      </c>
      <c r="CT53" s="402">
        <f>IF(AND(94&gt;=$NR$53,94&lt;=$NS$53),IF($NP$53="Single_Point",IF(94=$NR$53,$NN$53,0),IF($NP$53="Bell_Curve",$NN$53*(94-$NR$53+1)*($NS$53-94+1)/$NU$53,$NN$53/$NT$53)),0)</f>
        <v/>
      </c>
      <c r="CU53" s="402">
        <f>IF(AND(95&gt;=$NR$53,95&lt;=$NS$53),IF($NP$53="Single_Point",IF(95=$NR$53,$NN$53,0),IF($NP$53="Bell_Curve",$NN$53*(95-$NR$53+1)*($NS$53-95+1)/$NU$53,$NN$53/$NT$53)),0)</f>
        <v/>
      </c>
      <c r="CV53" s="402">
        <f>IF(AND(96&gt;=$NR$53,96&lt;=$NS$53),IF($NP$53="Single_Point",IF(96=$NR$53,$NN$53,0),IF($NP$53="Bell_Curve",$NN$53*(96-$NR$53+1)*($NS$53-96+1)/$NU$53,$NN$53/$NT$53)),0)</f>
        <v/>
      </c>
      <c r="CW53" s="402">
        <f>IF(AND(97&gt;=$NR$53,97&lt;=$NS$53),IF($NP$53="Single_Point",IF(97=$NR$53,$NN$53,0),IF($NP$53="Bell_Curve",$NN$53*(97-$NR$53+1)*($NS$53-97+1)/$NU$53,$NN$53/$NT$53)),0)</f>
        <v/>
      </c>
      <c r="CX53" s="402">
        <f>IF(AND(98&gt;=$NR$53,98&lt;=$NS$53),IF($NP$53="Single_Point",IF(98=$NR$53,$NN$53,0),IF($NP$53="Bell_Curve",$NN$53*(98-$NR$53+1)*($NS$53-98+1)/$NU$53,$NN$53/$NT$53)),0)</f>
        <v/>
      </c>
      <c r="CY53" s="402">
        <f>IF(AND(99&gt;=$NR$53,99&lt;=$NS$53),IF($NP$53="Single_Point",IF(99=$NR$53,$NN$53,0),IF($NP$53="Bell_Curve",$NN$53*(99-$NR$53+1)*($NS$53-99+1)/$NU$53,$NN$53/$NT$53)),0)</f>
        <v/>
      </c>
      <c r="CZ53" s="402">
        <f>IF(AND(100&gt;=$NR$53,100&lt;=$NS$53),IF($NP$53="Single_Point",IF(100=$NR$53,$NN$53,0),IF($NP$53="Bell_Curve",$NN$53*(100-$NR$53+1)*($NS$53-100+1)/$NU$53,$NN$53/$NT$53)),0)</f>
        <v/>
      </c>
      <c r="DA53" s="402">
        <f>IF(AND(101&gt;=$NR$53,101&lt;=$NS$53),IF($NP$53="Single_Point",IF(101=$NR$53,$NN$53,0),IF($NP$53="Bell_Curve",$NN$53*(101-$NR$53+1)*($NS$53-101+1)/$NU$53,$NN$53/$NT$53)),0)</f>
        <v/>
      </c>
      <c r="DB53" s="402">
        <f>IF(AND(102&gt;=$NR$53,102&lt;=$NS$53),IF($NP$53="Single_Point",IF(102=$NR$53,$NN$53,0),IF($NP$53="Bell_Curve",$NN$53*(102-$NR$53+1)*($NS$53-102+1)/$NU$53,$NN$53/$NT$53)),0)</f>
        <v/>
      </c>
      <c r="DC53" s="402">
        <f>IF(AND(103&gt;=$NR$53,103&lt;=$NS$53),IF($NP$53="Single_Point",IF(103=$NR$53,$NN$53,0),IF($NP$53="Bell_Curve",$NN$53*(103-$NR$53+1)*($NS$53-103+1)/$NU$53,$NN$53/$NT$53)),0)</f>
        <v/>
      </c>
      <c r="DD53" s="402">
        <f>IF(AND(104&gt;=$NR$53,104&lt;=$NS$53),IF($NP$53="Single_Point",IF(104=$NR$53,$NN$53,0),IF($NP$53="Bell_Curve",$NN$53*(104-$NR$53+1)*($NS$53-104+1)/$NU$53,$NN$53/$NT$53)),0)</f>
        <v/>
      </c>
      <c r="DE53" s="402">
        <f>IF(AND(105&gt;=$NR$53,105&lt;=$NS$53),IF($NP$53="Single_Point",IF(105=$NR$53,$NN$53,0),IF($NP$53="Bell_Curve",$NN$53*(105-$NR$53+1)*($NS$53-105+1)/$NU$53,$NN$53/$NT$53)),0)</f>
        <v/>
      </c>
      <c r="DF53" s="402">
        <f>IF(AND(106&gt;=$NR$53,106&lt;=$NS$53),IF($NP$53="Single_Point",IF(106=$NR$53,$NN$53,0),IF($NP$53="Bell_Curve",$NN$53*(106-$NR$53+1)*($NS$53-106+1)/$NU$53,$NN$53/$NT$53)),0)</f>
        <v/>
      </c>
      <c r="DG53" s="402">
        <f>IF(AND(107&gt;=$NR$53,107&lt;=$NS$53),IF($NP$53="Single_Point",IF(107=$NR$53,$NN$53,0),IF($NP$53="Bell_Curve",$NN$53*(107-$NR$53+1)*($NS$53-107+1)/$NU$53,$NN$53/$NT$53)),0)</f>
        <v/>
      </c>
      <c r="DH53" s="402">
        <f>IF(AND(108&gt;=$NR$53,108&lt;=$NS$53),IF($NP$53="Single_Point",IF(108=$NR$53,$NN$53,0),IF($NP$53="Bell_Curve",$NN$53*(108-$NR$53+1)*($NS$53-108+1)/$NU$53,$NN$53/$NT$53)),0)</f>
        <v/>
      </c>
      <c r="DI53" s="402">
        <f>IF(AND(109&gt;=$NR$53,109&lt;=$NS$53),IF($NP$53="Single_Point",IF(109=$NR$53,$NN$53,0),IF($NP$53="Bell_Curve",$NN$53*(109-$NR$53+1)*($NS$53-109+1)/$NU$53,$NN$53/$NT$53)),0)</f>
        <v/>
      </c>
      <c r="DJ53" s="402">
        <f>IF(AND(110&gt;=$NR$53,110&lt;=$NS$53),IF($NP$53="Single_Point",IF(110=$NR$53,$NN$53,0),IF($NP$53="Bell_Curve",$NN$53*(110-$NR$53+1)*($NS$53-110+1)/$NU$53,$NN$53/$NT$53)),0)</f>
        <v/>
      </c>
      <c r="DK53" s="402">
        <f>IF(AND(111&gt;=$NR$53,111&lt;=$NS$53),IF($NP$53="Single_Point",IF(111=$NR$53,$NN$53,0),IF($NP$53="Bell_Curve",$NN$53*(111-$NR$53+1)*($NS$53-111+1)/$NU$53,$NN$53/$NT$53)),0)</f>
        <v/>
      </c>
      <c r="DL53" s="402">
        <f>IF(AND(112&gt;=$NR$53,112&lt;=$NS$53),IF($NP$53="Single_Point",IF(112=$NR$53,$NN$53,0),IF($NP$53="Bell_Curve",$NN$53*(112-$NR$53+1)*($NS$53-112+1)/$NU$53,$NN$53/$NT$53)),0)</f>
        <v/>
      </c>
      <c r="DM53" s="402">
        <f>IF(AND(113&gt;=$NR$53,113&lt;=$NS$53),IF($NP$53="Single_Point",IF(113=$NR$53,$NN$53,0),IF($NP$53="Bell_Curve",$NN$53*(113-$NR$53+1)*($NS$53-113+1)/$NU$53,$NN$53/$NT$53)),0)</f>
        <v/>
      </c>
      <c r="DN53" s="402">
        <f>IF(AND(114&gt;=$NR$53,114&lt;=$NS$53),IF($NP$53="Single_Point",IF(114=$NR$53,$NN$53,0),IF($NP$53="Bell_Curve",$NN$53*(114-$NR$53+1)*($NS$53-114+1)/$NU$53,$NN$53/$NT$53)),0)</f>
        <v/>
      </c>
      <c r="DO53" s="402">
        <f>IF(AND(115&gt;=$NR$53,115&lt;=$NS$53),IF($NP$53="Single_Point",IF(115=$NR$53,$NN$53,0),IF($NP$53="Bell_Curve",$NN$53*(115-$NR$53+1)*($NS$53-115+1)/$NU$53,$NN$53/$NT$53)),0)</f>
        <v/>
      </c>
      <c r="DP53" s="402">
        <f>IF(AND(116&gt;=$NR$53,116&lt;=$NS$53),IF($NP$53="Single_Point",IF(116=$NR$53,$NN$53,0),IF($NP$53="Bell_Curve",$NN$53*(116-$NR$53+1)*($NS$53-116+1)/$NU$53,$NN$53/$NT$53)),0)</f>
        <v/>
      </c>
      <c r="DQ53" s="402">
        <f>IF(AND(117&gt;=$NR$53,117&lt;=$NS$53),IF($NP$53="Single_Point",IF(117=$NR$53,$NN$53,0),IF($NP$53="Bell_Curve",$NN$53*(117-$NR$53+1)*($NS$53-117+1)/$NU$53,$NN$53/$NT$53)),0)</f>
        <v/>
      </c>
      <c r="DR53" s="402">
        <f>IF(AND(118&gt;=$NR$53,118&lt;=$NS$53),IF($NP$53="Single_Point",IF(118=$NR$53,$NN$53,0),IF($NP$53="Bell_Curve",$NN$53*(118-$NR$53+1)*($NS$53-118+1)/$NU$53,$NN$53/$NT$53)),0)</f>
        <v/>
      </c>
      <c r="DS53" s="402">
        <f>IF(AND(119&gt;=$NR$53,119&lt;=$NS$53),IF($NP$53="Single_Point",IF(119=$NR$53,$NN$53,0),IF($NP$53="Bell_Curve",$NN$53*(119-$NR$53+1)*($NS$53-119+1)/$NU$53,$NN$53/$NT$53)),0)</f>
        <v/>
      </c>
      <c r="DT53" s="402">
        <f>IF(AND(120&gt;=$NR$53,120&lt;=$NS$53),IF($NP$53="Single_Point",IF(120=$NR$53,$NN$53,0),IF($NP$53="Bell_Curve",$NN$53*(120-$NR$53+1)*($NS$53-120+1)/$NU$53,$NN$53/$NT$53)),0)</f>
        <v/>
      </c>
      <c r="DU53" s="402">
        <f>IF(AND(121&gt;=$NR$53,121&lt;=$NS$53),IF($NP$53="Single_Point",IF(121=$NR$53,$NN$53,0),IF($NP$53="Bell_Curve",$NN$53*(121-$NR$53+1)*($NS$53-121+1)/$NU$53,$NN$53/$NT$53)),0)</f>
        <v/>
      </c>
      <c r="DV53" s="402">
        <f>IF(AND(122&gt;=$NR$53,122&lt;=$NS$53),IF($NP$53="Single_Point",IF(122=$NR$53,$NN$53,0),IF($NP$53="Bell_Curve",$NN$53*(122-$NR$53+1)*($NS$53-122+1)/$NU$53,$NN$53/$NT$53)),0)</f>
        <v/>
      </c>
      <c r="DW53" s="402">
        <f>IF(AND(123&gt;=$NR$53,123&lt;=$NS$53),IF($NP$53="Single_Point",IF(123=$NR$53,$NN$53,0),IF($NP$53="Bell_Curve",$NN$53*(123-$NR$53+1)*($NS$53-123+1)/$NU$53,$NN$53/$NT$53)),0)</f>
        <v/>
      </c>
      <c r="DX53" s="402">
        <f>IF(AND(124&gt;=$NR$53,124&lt;=$NS$53),IF($NP$53="Single_Point",IF(124=$NR$53,$NN$53,0),IF($NP$53="Bell_Curve",$NN$53*(124-$NR$53+1)*($NS$53-124+1)/$NU$53,$NN$53/$NT$53)),0)</f>
        <v/>
      </c>
      <c r="DY53" s="402">
        <f>IF(AND(125&gt;=$NR$53,125&lt;=$NS$53),IF($NP$53="Single_Point",IF(125=$NR$53,$NN$53,0),IF($NP$53="Bell_Curve",$NN$53*(125-$NR$53+1)*($NS$53-125+1)/$NU$53,$NN$53/$NT$53)),0)</f>
        <v/>
      </c>
      <c r="DZ53" s="402">
        <f>IF(AND(126&gt;=$NR$53,126&lt;=$NS$53),IF($NP$53="Single_Point",IF(126=$NR$53,$NN$53,0),IF($NP$53="Bell_Curve",$NN$53*(126-$NR$53+1)*($NS$53-126+1)/$NU$53,$NN$53/$NT$53)),0)</f>
        <v/>
      </c>
      <c r="EA53" s="402">
        <f>IF(AND(127&gt;=$NR$53,127&lt;=$NS$53),IF($NP$53="Single_Point",IF(127=$NR$53,$NN$53,0),IF($NP$53="Bell_Curve",$NN$53*(127-$NR$53+1)*($NS$53-127+1)/$NU$53,$NN$53/$NT$53)),0)</f>
        <v/>
      </c>
      <c r="EB53" s="402">
        <f>IF(AND(128&gt;=$NR$53,128&lt;=$NS$53),IF($NP$53="Single_Point",IF(128=$NR$53,$NN$53,0),IF($NP$53="Bell_Curve",$NN$53*(128-$NR$53+1)*($NS$53-128+1)/$NU$53,$NN$53/$NT$53)),0)</f>
        <v/>
      </c>
      <c r="EC53" s="402">
        <f>IF(AND(129&gt;=$NR$53,129&lt;=$NS$53),IF($NP$53="Single_Point",IF(129=$NR$53,$NN$53,0),IF($NP$53="Bell_Curve",$NN$53*(129-$NR$53+1)*($NS$53-129+1)/$NU$53,$NN$53/$NT$53)),0)</f>
        <v/>
      </c>
      <c r="ED53" s="402">
        <f>IF(AND(130&gt;=$NR$53,130&lt;=$NS$53),IF($NP$53="Single_Point",IF(130=$NR$53,$NN$53,0),IF($NP$53="Bell_Curve",$NN$53*(130-$NR$53+1)*($NS$53-130+1)/$NU$53,$NN$53/$NT$53)),0)</f>
        <v/>
      </c>
      <c r="EE53" s="402">
        <f>IF(AND(131&gt;=$NR$53,131&lt;=$NS$53),IF($NP$53="Single_Point",IF(131=$NR$53,$NN$53,0),IF($NP$53="Bell_Curve",$NN$53*(131-$NR$53+1)*($NS$53-131+1)/$NU$53,$NN$53/$NT$53)),0)</f>
        <v/>
      </c>
      <c r="EF53" s="402">
        <f>IF(AND(132&gt;=$NR$53,132&lt;=$NS$53),IF($NP$53="Single_Point",IF(132=$NR$53,$NN$53,0),IF($NP$53="Bell_Curve",$NN$53*(132-$NR$53+1)*($NS$53-132+1)/$NU$53,$NN$53/$NT$53)),0)</f>
        <v/>
      </c>
      <c r="EG53" s="402">
        <f>IF(AND(133&gt;=$NR$53,133&lt;=$NS$53),IF($NP$53="Single_Point",IF(133=$NR$53,$NN$53,0),IF($NP$53="Bell_Curve",$NN$53*(133-$NR$53+1)*($NS$53-133+1)/$NU$53,$NN$53/$NT$53)),0)</f>
        <v/>
      </c>
      <c r="EH53" s="402">
        <f>IF(AND(134&gt;=$NR$53,134&lt;=$NS$53),IF($NP$53="Single_Point",IF(134=$NR$53,$NN$53,0),IF($NP$53="Bell_Curve",$NN$53*(134-$NR$53+1)*($NS$53-134+1)/$NU$53,$NN$53/$NT$53)),0)</f>
        <v/>
      </c>
      <c r="EI53" s="402">
        <f>IF(AND(135&gt;=$NR$53,135&lt;=$NS$53),IF($NP$53="Single_Point",IF(135=$NR$53,$NN$53,0),IF($NP$53="Bell_Curve",$NN$53*(135-$NR$53+1)*($NS$53-135+1)/$NU$53,$NN$53/$NT$53)),0)</f>
        <v/>
      </c>
      <c r="EJ53" s="402">
        <f>IF(AND(136&gt;=$NR$53,136&lt;=$NS$53),IF($NP$53="Single_Point",IF(136=$NR$53,$NN$53,0),IF($NP$53="Bell_Curve",$NN$53*(136-$NR$53+1)*($NS$53-136+1)/$NU$53,$NN$53/$NT$53)),0)</f>
        <v/>
      </c>
      <c r="EK53" s="402">
        <f>IF(AND(137&gt;=$NR$53,137&lt;=$NS$53),IF($NP$53="Single_Point",IF(137=$NR$53,$NN$53,0),IF($NP$53="Bell_Curve",$NN$53*(137-$NR$53+1)*($NS$53-137+1)/$NU$53,$NN$53/$NT$53)),0)</f>
        <v/>
      </c>
      <c r="EL53" s="402">
        <f>IF(AND(138&gt;=$NR$53,138&lt;=$NS$53),IF($NP$53="Single_Point",IF(138=$NR$53,$NN$53,0),IF($NP$53="Bell_Curve",$NN$53*(138-$NR$53+1)*($NS$53-138+1)/$NU$53,$NN$53/$NT$53)),0)</f>
        <v/>
      </c>
      <c r="EM53" s="402">
        <f>IF(AND(139&gt;=$NR$53,139&lt;=$NS$53),IF($NP$53="Single_Point",IF(139=$NR$53,$NN$53,0),IF($NP$53="Bell_Curve",$NN$53*(139-$NR$53+1)*($NS$53-139+1)/$NU$53,$NN$53/$NT$53)),0)</f>
        <v/>
      </c>
      <c r="EN53" s="402">
        <f>IF(AND(140&gt;=$NR$53,140&lt;=$NS$53),IF($NP$53="Single_Point",IF(140=$NR$53,$NN$53,0),IF($NP$53="Bell_Curve",$NN$53*(140-$NR$53+1)*($NS$53-140+1)/$NU$53,$NN$53/$NT$53)),0)</f>
        <v/>
      </c>
      <c r="EO53" s="402">
        <f>IF(AND(141&gt;=$NR$53,141&lt;=$NS$53),IF($NP$53="Single_Point",IF(141=$NR$53,$NN$53,0),IF($NP$53="Bell_Curve",$NN$53*(141-$NR$53+1)*($NS$53-141+1)/$NU$53,$NN$53/$NT$53)),0)</f>
        <v/>
      </c>
      <c r="EP53" s="402">
        <f>IF(AND(142&gt;=$NR$53,142&lt;=$NS$53),IF($NP$53="Single_Point",IF(142=$NR$53,$NN$53,0),IF($NP$53="Bell_Curve",$NN$53*(142-$NR$53+1)*($NS$53-142+1)/$NU$53,$NN$53/$NT$53)),0)</f>
        <v/>
      </c>
      <c r="EQ53" s="402">
        <f>IF(AND(143&gt;=$NR$53,143&lt;=$NS$53),IF($NP$53="Single_Point",IF(143=$NR$53,$NN$53,0),IF($NP$53="Bell_Curve",$NN$53*(143-$NR$53+1)*($NS$53-143+1)/$NU$53,$NN$53/$NT$53)),0)</f>
        <v/>
      </c>
      <c r="ER53" s="402">
        <f>IF(AND(144&gt;=$NR$53,144&lt;=$NS$53),IF($NP$53="Single_Point",IF(144=$NR$53,$NN$53,0),IF($NP$53="Bell_Curve",$NN$53*(144-$NR$53+1)*($NS$53-144+1)/$NU$53,$NN$53/$NT$53)),0)</f>
        <v/>
      </c>
      <c r="ES53" s="402">
        <f>IF(AND(145&gt;=$NR$53,145&lt;=$NS$53),IF($NP$53="Single_Point",IF(145=$NR$53,$NN$53,0),IF($NP$53="Bell_Curve",$NN$53*(145-$NR$53+1)*($NS$53-145+1)/$NU$53,$NN$53/$NT$53)),0)</f>
        <v/>
      </c>
      <c r="ET53" s="402">
        <f>IF(AND(146&gt;=$NR$53,146&lt;=$NS$53),IF($NP$53="Single_Point",IF(146=$NR$53,$NN$53,0),IF($NP$53="Bell_Curve",$NN$53*(146-$NR$53+1)*($NS$53-146+1)/$NU$53,$NN$53/$NT$53)),0)</f>
        <v/>
      </c>
      <c r="EU53" s="402">
        <f>IF(AND(147&gt;=$NR$53,147&lt;=$NS$53),IF($NP$53="Single_Point",IF(147=$NR$53,$NN$53,0),IF($NP$53="Bell_Curve",$NN$53*(147-$NR$53+1)*($NS$53-147+1)/$NU$53,$NN$53/$NT$53)),0)</f>
        <v/>
      </c>
      <c r="EV53" s="402">
        <f>IF(AND(148&gt;=$NR$53,148&lt;=$NS$53),IF($NP$53="Single_Point",IF(148=$NR$53,$NN$53,0),IF($NP$53="Bell_Curve",$NN$53*(148-$NR$53+1)*($NS$53-148+1)/$NU$53,$NN$53/$NT$53)),0)</f>
        <v/>
      </c>
      <c r="EW53" s="402">
        <f>IF(AND(149&gt;=$NR$53,149&lt;=$NS$53),IF($NP$53="Single_Point",IF(149=$NR$53,$NN$53,0),IF($NP$53="Bell_Curve",$NN$53*(149-$NR$53+1)*($NS$53-149+1)/$NU$53,$NN$53/$NT$53)),0)</f>
        <v/>
      </c>
      <c r="EX53" s="402">
        <f>IF(AND(150&gt;=$NR$53,150&lt;=$NS$53),IF($NP$53="Single_Point",IF(150=$NR$53,$NN$53,0),IF($NP$53="Bell_Curve",$NN$53*(150-$NR$53+1)*($NS$53-150+1)/$NU$53,$NN$53/$NT$53)),0)</f>
        <v/>
      </c>
      <c r="EY53" s="402">
        <f>IF(AND(151&gt;=$NR$53,151&lt;=$NS$53),IF($NP$53="Single_Point",IF(151=$NR$53,$NN$53,0),IF($NP$53="Bell_Curve",$NN$53*(151-$NR$53+1)*($NS$53-151+1)/$NU$53,$NN$53/$NT$53)),0)</f>
        <v/>
      </c>
      <c r="EZ53" s="402">
        <f>IF(AND(152&gt;=$NR$53,152&lt;=$NS$53),IF($NP$53="Single_Point",IF(152=$NR$53,$NN$53,0),IF($NP$53="Bell_Curve",$NN$53*(152-$NR$53+1)*($NS$53-152+1)/$NU$53,$NN$53/$NT$53)),0)</f>
        <v/>
      </c>
      <c r="FA53" s="402">
        <f>IF(AND(153&gt;=$NR$53,153&lt;=$NS$53),IF($NP$53="Single_Point",IF(153=$NR$53,$NN$53,0),IF($NP$53="Bell_Curve",$NN$53*(153-$NR$53+1)*($NS$53-153+1)/$NU$53,$NN$53/$NT$53)),0)</f>
        <v/>
      </c>
      <c r="FB53" s="402">
        <f>IF(AND(154&gt;=$NR$53,154&lt;=$NS$53),IF($NP$53="Single_Point",IF(154=$NR$53,$NN$53,0),IF($NP$53="Bell_Curve",$NN$53*(154-$NR$53+1)*($NS$53-154+1)/$NU$53,$NN$53/$NT$53)),0)</f>
        <v/>
      </c>
      <c r="FC53" s="402">
        <f>IF(AND(155&gt;=$NR$53,155&lt;=$NS$53),IF($NP$53="Single_Point",IF(155=$NR$53,$NN$53,0),IF($NP$53="Bell_Curve",$NN$53*(155-$NR$53+1)*($NS$53-155+1)/$NU$53,$NN$53/$NT$53)),0)</f>
        <v/>
      </c>
      <c r="FD53" s="402">
        <f>IF(AND(156&gt;=$NR$53,156&lt;=$NS$53),IF($NP$53="Single_Point",IF(156=$NR$53,$NN$53,0),IF($NP$53="Bell_Curve",$NN$53*(156-$NR$53+1)*($NS$53-156+1)/$NU$53,$NN$53/$NT$53)),0)</f>
        <v/>
      </c>
      <c r="FE53" s="402">
        <f>IF(AND(157&gt;=$NR$53,157&lt;=$NS$53),IF($NP$53="Single_Point",IF(157=$NR$53,$NN$53,0),IF($NP$53="Bell_Curve",$NN$53*(157-$NR$53+1)*($NS$53-157+1)/$NU$53,$NN$53/$NT$53)),0)</f>
        <v/>
      </c>
      <c r="FF53" s="402">
        <f>IF(AND(158&gt;=$NR$53,158&lt;=$NS$53),IF($NP$53="Single_Point",IF(158=$NR$53,$NN$53,0),IF($NP$53="Bell_Curve",$NN$53*(158-$NR$53+1)*($NS$53-158+1)/$NU$53,$NN$53/$NT$53)),0)</f>
        <v/>
      </c>
      <c r="FG53" s="402">
        <f>IF(AND(159&gt;=$NR$53,159&lt;=$NS$53),IF($NP$53="Single_Point",IF(159=$NR$53,$NN$53,0),IF($NP$53="Bell_Curve",$NN$53*(159-$NR$53+1)*($NS$53-159+1)/$NU$53,$NN$53/$NT$53)),0)</f>
        <v/>
      </c>
      <c r="FH53" s="402">
        <f>IF(AND(160&gt;=$NR$53,160&lt;=$NS$53),IF($NP$53="Single_Point",IF(160=$NR$53,$NN$53,0),IF($NP$53="Bell_Curve",$NN$53*(160-$NR$53+1)*($NS$53-160+1)/$NU$53,$NN$53/$NT$53)),0)</f>
        <v/>
      </c>
      <c r="FI53" s="402">
        <f>IF(AND(161&gt;=$NR$53,161&lt;=$NS$53),IF($NP$53="Single_Point",IF(161=$NR$53,$NN$53,0),IF($NP$53="Bell_Curve",$NN$53*(161-$NR$53+1)*($NS$53-161+1)/$NU$53,$NN$53/$NT$53)),0)</f>
        <v/>
      </c>
      <c r="FJ53" s="402">
        <f>IF(AND(162&gt;=$NR$53,162&lt;=$NS$53),IF($NP$53="Single_Point",IF(162=$NR$53,$NN$53,0),IF($NP$53="Bell_Curve",$NN$53*(162-$NR$53+1)*($NS$53-162+1)/$NU$53,$NN$53/$NT$53)),0)</f>
        <v/>
      </c>
      <c r="FK53" s="402">
        <f>IF(AND(163&gt;=$NR$53,163&lt;=$NS$53),IF($NP$53="Single_Point",IF(163=$NR$53,$NN$53,0),IF($NP$53="Bell_Curve",$NN$53*(163-$NR$53+1)*($NS$53-163+1)/$NU$53,$NN$53/$NT$53)),0)</f>
        <v/>
      </c>
      <c r="FL53" s="402">
        <f>IF(AND(164&gt;=$NR$53,164&lt;=$NS$53),IF($NP$53="Single_Point",IF(164=$NR$53,$NN$53,0),IF($NP$53="Bell_Curve",$NN$53*(164-$NR$53+1)*($NS$53-164+1)/$NU$53,$NN$53/$NT$53)),0)</f>
        <v/>
      </c>
      <c r="FM53" s="402">
        <f>IF(AND(165&gt;=$NR$53,165&lt;=$NS$53),IF($NP$53="Single_Point",IF(165=$NR$53,$NN$53,0),IF($NP$53="Bell_Curve",$NN$53*(165-$NR$53+1)*($NS$53-165+1)/$NU$53,$NN$53/$NT$53)),0)</f>
        <v/>
      </c>
      <c r="FN53" s="402">
        <f>IF(AND(166&gt;=$NR$53,166&lt;=$NS$53),IF($NP$53="Single_Point",IF(166=$NR$53,$NN$53,0),IF($NP$53="Bell_Curve",$NN$53*(166-$NR$53+1)*($NS$53-166+1)/$NU$53,$NN$53/$NT$53)),0)</f>
        <v/>
      </c>
      <c r="FO53" s="402">
        <f>IF(AND(167&gt;=$NR$53,167&lt;=$NS$53),IF($NP$53="Single_Point",IF(167=$NR$53,$NN$53,0),IF($NP$53="Bell_Curve",$NN$53*(167-$NR$53+1)*($NS$53-167+1)/$NU$53,$NN$53/$NT$53)),0)</f>
        <v/>
      </c>
      <c r="FP53" s="402">
        <f>IF(AND(168&gt;=$NR$53,168&lt;=$NS$53),IF($NP$53="Single_Point",IF(168=$NR$53,$NN$53,0),IF($NP$53="Bell_Curve",$NN$53*(168-$NR$53+1)*($NS$53-168+1)/$NU$53,$NN$53/$NT$53)),0)</f>
        <v/>
      </c>
      <c r="FQ53" s="402">
        <f>IF(AND(169&gt;=$NR$53,169&lt;=$NS$53),IF($NP$53="Single_Point",IF(169=$NR$53,$NN$53,0),IF($NP$53="Bell_Curve",$NN$53*(169-$NR$53+1)*($NS$53-169+1)/$NU$53,$NN$53/$NT$53)),0)</f>
        <v/>
      </c>
      <c r="FR53" s="402">
        <f>IF(AND(170&gt;=$NR$53,170&lt;=$NS$53),IF($NP$53="Single_Point",IF(170=$NR$53,$NN$53,0),IF($NP$53="Bell_Curve",$NN$53*(170-$NR$53+1)*($NS$53-170+1)/$NU$53,$NN$53/$NT$53)),0)</f>
        <v/>
      </c>
      <c r="FS53" s="402">
        <f>IF(AND(171&gt;=$NR$53,171&lt;=$NS$53),IF($NP$53="Single_Point",IF(171=$NR$53,$NN$53,0),IF($NP$53="Bell_Curve",$NN$53*(171-$NR$53+1)*($NS$53-171+1)/$NU$53,$NN$53/$NT$53)),0)</f>
        <v/>
      </c>
      <c r="FT53" s="402">
        <f>IF(AND(172&gt;=$NR$53,172&lt;=$NS$53),IF($NP$53="Single_Point",IF(172=$NR$53,$NN$53,0),IF($NP$53="Bell_Curve",$NN$53*(172-$NR$53+1)*($NS$53-172+1)/$NU$53,$NN$53/$NT$53)),0)</f>
        <v/>
      </c>
      <c r="FU53" s="402">
        <f>IF(AND(173&gt;=$NR$53,173&lt;=$NS$53),IF($NP$53="Single_Point",IF(173=$NR$53,$NN$53,0),IF($NP$53="Bell_Curve",$NN$53*(173-$NR$53+1)*($NS$53-173+1)/$NU$53,$NN$53/$NT$53)),0)</f>
        <v/>
      </c>
      <c r="FV53" s="402">
        <f>IF(AND(174&gt;=$NR$53,174&lt;=$NS$53),IF($NP$53="Single_Point",IF(174=$NR$53,$NN$53,0),IF($NP$53="Bell_Curve",$NN$53*(174-$NR$53+1)*($NS$53-174+1)/$NU$53,$NN$53/$NT$53)),0)</f>
        <v/>
      </c>
      <c r="FW53" s="402">
        <f>IF(AND(175&gt;=$NR$53,175&lt;=$NS$53),IF($NP$53="Single_Point",IF(175=$NR$53,$NN$53,0),IF($NP$53="Bell_Curve",$NN$53*(175-$NR$53+1)*($NS$53-175+1)/$NU$53,$NN$53/$NT$53)),0)</f>
        <v/>
      </c>
      <c r="FX53" s="402">
        <f>IF(AND(176&gt;=$NR$53,176&lt;=$NS$53),IF($NP$53="Single_Point",IF(176=$NR$53,$NN$53,0),IF($NP$53="Bell_Curve",$NN$53*(176-$NR$53+1)*($NS$53-176+1)/$NU$53,$NN$53/$NT$53)),0)</f>
        <v/>
      </c>
      <c r="FY53" s="402">
        <f>IF(AND(177&gt;=$NR$53,177&lt;=$NS$53),IF($NP$53="Single_Point",IF(177=$NR$53,$NN$53,0),IF($NP$53="Bell_Curve",$NN$53*(177-$NR$53+1)*($NS$53-177+1)/$NU$53,$NN$53/$NT$53)),0)</f>
        <v/>
      </c>
      <c r="FZ53" s="402">
        <f>IF(AND(178&gt;=$NR$53,178&lt;=$NS$53),IF($NP$53="Single_Point",IF(178=$NR$53,$NN$53,0),IF($NP$53="Bell_Curve",$NN$53*(178-$NR$53+1)*($NS$53-178+1)/$NU$53,$NN$53/$NT$53)),0)</f>
        <v/>
      </c>
      <c r="GA53" s="402">
        <f>IF(AND(179&gt;=$NR$53,179&lt;=$NS$53),IF($NP$53="Single_Point",IF(179=$NR$53,$NN$53,0),IF($NP$53="Bell_Curve",$NN$53*(179-$NR$53+1)*($NS$53-179+1)/$NU$53,$NN$53/$NT$53)),0)</f>
        <v/>
      </c>
      <c r="GB53" s="402">
        <f>IF(AND(180&gt;=$NR$53,180&lt;=$NS$53),IF($NP$53="Single_Point",IF(180=$NR$53,$NN$53,0),IF($NP$53="Bell_Curve",$NN$53*(180-$NR$53+1)*($NS$53-180+1)/$NU$53,$NN$53/$NT$53)),0)</f>
        <v/>
      </c>
      <c r="GC53" s="402">
        <f>IF(AND(181&gt;=$NR$53,181&lt;=$NS$53),IF($NP$53="Single_Point",IF(181=$NR$53,$NN$53,0),IF($NP$53="Bell_Curve",$NN$53*(181-$NR$53+1)*($NS$53-181+1)/$NU$53,$NN$53/$NT$53)),0)</f>
        <v/>
      </c>
      <c r="GD53" s="402">
        <f>IF(AND(182&gt;=$NR$53,182&lt;=$NS$53),IF($NP$53="Single_Point",IF(182=$NR$53,$NN$53,0),IF($NP$53="Bell_Curve",$NN$53*(182-$NR$53+1)*($NS$53-182+1)/$NU$53,$NN$53/$NT$53)),0)</f>
        <v/>
      </c>
      <c r="GE53" s="402">
        <f>IF(AND(183&gt;=$NR$53,183&lt;=$NS$53),IF($NP$53="Single_Point",IF(183=$NR$53,$NN$53,0),IF($NP$53="Bell_Curve",$NN$53*(183-$NR$53+1)*($NS$53-183+1)/$NU$53,$NN$53/$NT$53)),0)</f>
        <v/>
      </c>
      <c r="GF53" s="402">
        <f>IF(AND(184&gt;=$NR$53,184&lt;=$NS$53),IF($NP$53="Single_Point",IF(184=$NR$53,$NN$53,0),IF($NP$53="Bell_Curve",$NN$53*(184-$NR$53+1)*($NS$53-184+1)/$NU$53,$NN$53/$NT$53)),0)</f>
        <v/>
      </c>
      <c r="GG53" s="402">
        <f>IF(AND(185&gt;=$NR$53,185&lt;=$NS$53),IF($NP$53="Single_Point",IF(185=$NR$53,$NN$53,0),IF($NP$53="Bell_Curve",$NN$53*(185-$NR$53+1)*($NS$53-185+1)/$NU$53,$NN$53/$NT$53)),0)</f>
        <v/>
      </c>
      <c r="GH53" s="402">
        <f>IF(AND(186&gt;=$NR$53,186&lt;=$NS$53),IF($NP$53="Single_Point",IF(186=$NR$53,$NN$53,0),IF($NP$53="Bell_Curve",$NN$53*(186-$NR$53+1)*($NS$53-186+1)/$NU$53,$NN$53/$NT$53)),0)</f>
        <v/>
      </c>
      <c r="GI53" s="402">
        <f>IF(AND(187&gt;=$NR$53,187&lt;=$NS$53),IF($NP$53="Single_Point",IF(187=$NR$53,$NN$53,0),IF($NP$53="Bell_Curve",$NN$53*(187-$NR$53+1)*($NS$53-187+1)/$NU$53,$NN$53/$NT$53)),0)</f>
        <v/>
      </c>
      <c r="GJ53" s="402">
        <f>IF(AND(188&gt;=$NR$53,188&lt;=$NS$53),IF($NP$53="Single_Point",IF(188=$NR$53,$NN$53,0),IF($NP$53="Bell_Curve",$NN$53*(188-$NR$53+1)*($NS$53-188+1)/$NU$53,$NN$53/$NT$53)),0)</f>
        <v/>
      </c>
      <c r="GK53" s="402">
        <f>IF(AND(189&gt;=$NR$53,189&lt;=$NS$53),IF($NP$53="Single_Point",IF(189=$NR$53,$NN$53,0),IF($NP$53="Bell_Curve",$NN$53*(189-$NR$53+1)*($NS$53-189+1)/$NU$53,$NN$53/$NT$53)),0)</f>
        <v/>
      </c>
      <c r="GL53" s="402">
        <f>IF(AND(190&gt;=$NR$53,190&lt;=$NS$53),IF($NP$53="Single_Point",IF(190=$NR$53,$NN$53,0),IF($NP$53="Bell_Curve",$NN$53*(190-$NR$53+1)*($NS$53-190+1)/$NU$53,$NN$53/$NT$53)),0)</f>
        <v/>
      </c>
      <c r="GM53" s="402">
        <f>IF(AND(191&gt;=$NR$53,191&lt;=$NS$53),IF($NP$53="Single_Point",IF(191=$NR$53,$NN$53,0),IF($NP$53="Bell_Curve",$NN$53*(191-$NR$53+1)*($NS$53-191+1)/$NU$53,$NN$53/$NT$53)),0)</f>
        <v/>
      </c>
      <c r="GN53" s="402">
        <f>IF(AND(192&gt;=$NR$53,192&lt;=$NS$53),IF($NP$53="Single_Point",IF(192=$NR$53,$NN$53,0),IF($NP$53="Bell_Curve",$NN$53*(192-$NR$53+1)*($NS$53-192+1)/$NU$53,$NN$53/$NT$53)),0)</f>
        <v/>
      </c>
      <c r="GO53" s="402">
        <f>IF(AND(193&gt;=$NR$53,193&lt;=$NS$53),IF($NP$53="Single_Point",IF(193=$NR$53,$NN$53,0),IF($NP$53="Bell_Curve",$NN$53*(193-$NR$53+1)*($NS$53-193+1)/$NU$53,$NN$53/$NT$53)),0)</f>
        <v/>
      </c>
      <c r="GP53" s="402">
        <f>IF(AND(194&gt;=$NR$53,194&lt;=$NS$53),IF($NP$53="Single_Point",IF(194=$NR$53,$NN$53,0),IF($NP$53="Bell_Curve",$NN$53*(194-$NR$53+1)*($NS$53-194+1)/$NU$53,$NN$53/$NT$53)),0)</f>
        <v/>
      </c>
      <c r="GQ53" s="402">
        <f>IF(AND(195&gt;=$NR$53,195&lt;=$NS$53),IF($NP$53="Single_Point",IF(195=$NR$53,$NN$53,0),IF($NP$53="Bell_Curve",$NN$53*(195-$NR$53+1)*($NS$53-195+1)/$NU$53,$NN$53/$NT$53)),0)</f>
        <v/>
      </c>
      <c r="GR53" s="402">
        <f>IF(AND(196&gt;=$NR$53,196&lt;=$NS$53),IF($NP$53="Single_Point",IF(196=$NR$53,$NN$53,0),IF($NP$53="Bell_Curve",$NN$53*(196-$NR$53+1)*($NS$53-196+1)/$NU$53,$NN$53/$NT$53)),0)</f>
        <v/>
      </c>
      <c r="GS53" s="402">
        <f>IF(AND(197&gt;=$NR$53,197&lt;=$NS$53),IF($NP$53="Single_Point",IF(197=$NR$53,$NN$53,0),IF($NP$53="Bell_Curve",$NN$53*(197-$NR$53+1)*($NS$53-197+1)/$NU$53,$NN$53/$NT$53)),0)</f>
        <v/>
      </c>
      <c r="GT53" s="402">
        <f>IF(AND(198&gt;=$NR$53,198&lt;=$NS$53),IF($NP$53="Single_Point",IF(198=$NR$53,$NN$53,0),IF($NP$53="Bell_Curve",$NN$53*(198-$NR$53+1)*($NS$53-198+1)/$NU$53,$NN$53/$NT$53)),0)</f>
        <v/>
      </c>
      <c r="GU53" s="402">
        <f>IF(AND(199&gt;=$NR$53,199&lt;=$NS$53),IF($NP$53="Single_Point",IF(199=$NR$53,$NN$53,0),IF($NP$53="Bell_Curve",$NN$53*(199-$NR$53+1)*($NS$53-199+1)/$NU$53,$NN$53/$NT$53)),0)</f>
        <v/>
      </c>
      <c r="GV53" s="402">
        <f>IF(AND(200&gt;=$NR$53,200&lt;=$NS$53),IF($NP$53="Single_Point",IF(200=$NR$53,$NN$53,0),IF($NP$53="Bell_Curve",$NN$53*(200-$NR$53+1)*($NS$53-200+1)/$NU$53,$NN$53/$NT$53)),0)</f>
        <v/>
      </c>
      <c r="GW53" s="402">
        <f>IF(AND(201&gt;=$NR$53,201&lt;=$NS$53),IF($NP$53="Single_Point",IF(201=$NR$53,$NN$53,0),IF($NP$53="Bell_Curve",$NN$53*(201-$NR$53+1)*($NS$53-201+1)/$NU$53,$NN$53/$NT$53)),0)</f>
        <v/>
      </c>
      <c r="GX53" s="402">
        <f>IF(AND(202&gt;=$NR$53,202&lt;=$NS$53),IF($NP$53="Single_Point",IF(202=$NR$53,$NN$53,0),IF($NP$53="Bell_Curve",$NN$53*(202-$NR$53+1)*($NS$53-202+1)/$NU$53,$NN$53/$NT$53)),0)</f>
        <v/>
      </c>
      <c r="GY53" s="402">
        <f>IF(AND(203&gt;=$NR$53,203&lt;=$NS$53),IF($NP$53="Single_Point",IF(203=$NR$53,$NN$53,0),IF($NP$53="Bell_Curve",$NN$53*(203-$NR$53+1)*($NS$53-203+1)/$NU$53,$NN$53/$NT$53)),0)</f>
        <v/>
      </c>
      <c r="GZ53" s="402">
        <f>IF(AND(204&gt;=$NR$53,204&lt;=$NS$53),IF($NP$53="Single_Point",IF(204=$NR$53,$NN$53,0),IF($NP$53="Bell_Curve",$NN$53*(204-$NR$53+1)*($NS$53-204+1)/$NU$53,$NN$53/$NT$53)),0)</f>
        <v/>
      </c>
      <c r="HA53" s="402">
        <f>IF(AND(205&gt;=$NR$53,205&lt;=$NS$53),IF($NP$53="Single_Point",IF(205=$NR$53,$NN$53,0),IF($NP$53="Bell_Curve",$NN$53*(205-$NR$53+1)*($NS$53-205+1)/$NU$53,$NN$53/$NT$53)),0)</f>
        <v/>
      </c>
      <c r="HB53" s="402">
        <f>IF(AND(206&gt;=$NR$53,206&lt;=$NS$53),IF($NP$53="Single_Point",IF(206=$NR$53,$NN$53,0),IF($NP$53="Bell_Curve",$NN$53*(206-$NR$53+1)*($NS$53-206+1)/$NU$53,$NN$53/$NT$53)),0)</f>
        <v/>
      </c>
      <c r="HC53" s="402">
        <f>IF(AND(207&gt;=$NR$53,207&lt;=$NS$53),IF($NP$53="Single_Point",IF(207=$NR$53,$NN$53,0),IF($NP$53="Bell_Curve",$NN$53*(207-$NR$53+1)*($NS$53-207+1)/$NU$53,$NN$53/$NT$53)),0)</f>
        <v/>
      </c>
      <c r="HD53" s="402">
        <f>IF(AND(208&gt;=$NR$53,208&lt;=$NS$53),IF($NP$53="Single_Point",IF(208=$NR$53,$NN$53,0),IF($NP$53="Bell_Curve",$NN$53*(208-$NR$53+1)*($NS$53-208+1)/$NU$53,$NN$53/$NT$53)),0)</f>
        <v/>
      </c>
      <c r="HE53" s="402">
        <f>IF(AND(209&gt;=$NR$53,209&lt;=$NS$53),IF($NP$53="Single_Point",IF(209=$NR$53,$NN$53,0),IF($NP$53="Bell_Curve",$NN$53*(209-$NR$53+1)*($NS$53-209+1)/$NU$53,$NN$53/$NT$53)),0)</f>
        <v/>
      </c>
      <c r="HF53" s="402">
        <f>IF(AND(210&gt;=$NR$53,210&lt;=$NS$53),IF($NP$53="Single_Point",IF(210=$NR$53,$NN$53,0),IF($NP$53="Bell_Curve",$NN$53*(210-$NR$53+1)*($NS$53-210+1)/$NU$53,$NN$53/$NT$53)),0)</f>
        <v/>
      </c>
      <c r="HG53" s="402">
        <f>IF(AND(211&gt;=$NR$53,211&lt;=$NS$53),IF($NP$53="Single_Point",IF(211=$NR$53,$NN$53,0),IF($NP$53="Bell_Curve",$NN$53*(211-$NR$53+1)*($NS$53-211+1)/$NU$53,$NN$53/$NT$53)),0)</f>
        <v/>
      </c>
      <c r="HH53" s="402">
        <f>IF(AND(212&gt;=$NR$53,212&lt;=$NS$53),IF($NP$53="Single_Point",IF(212=$NR$53,$NN$53,0),IF($NP$53="Bell_Curve",$NN$53*(212-$NR$53+1)*($NS$53-212+1)/$NU$53,$NN$53/$NT$53)),0)</f>
        <v/>
      </c>
      <c r="HI53" s="402">
        <f>IF(AND(213&gt;=$NR$53,213&lt;=$NS$53),IF($NP$53="Single_Point",IF(213=$NR$53,$NN$53,0),IF($NP$53="Bell_Curve",$NN$53*(213-$NR$53+1)*($NS$53-213+1)/$NU$53,$NN$53/$NT$53)),0)</f>
        <v/>
      </c>
      <c r="HJ53" s="402">
        <f>IF(AND(214&gt;=$NR$53,214&lt;=$NS$53),IF($NP$53="Single_Point",IF(214=$NR$53,$NN$53,0),IF($NP$53="Bell_Curve",$NN$53*(214-$NR$53+1)*($NS$53-214+1)/$NU$53,$NN$53/$NT$53)),0)</f>
        <v/>
      </c>
      <c r="HK53" s="402">
        <f>IF(AND(215&gt;=$NR$53,215&lt;=$NS$53),IF($NP$53="Single_Point",IF(215=$NR$53,$NN$53,0),IF($NP$53="Bell_Curve",$NN$53*(215-$NR$53+1)*($NS$53-215+1)/$NU$53,$NN$53/$NT$53)),0)</f>
        <v/>
      </c>
      <c r="HL53" s="402">
        <f>IF(AND(216&gt;=$NR$53,216&lt;=$NS$53),IF($NP$53="Single_Point",IF(216=$NR$53,$NN$53,0),IF($NP$53="Bell_Curve",$NN$53*(216-$NR$53+1)*($NS$53-216+1)/$NU$53,$NN$53/$NT$53)),0)</f>
        <v/>
      </c>
      <c r="HM53" s="402">
        <f>IF(AND(217&gt;=$NR$53,217&lt;=$NS$53),IF($NP$53="Single_Point",IF(217=$NR$53,$NN$53,0),IF($NP$53="Bell_Curve",$NN$53*(217-$NR$53+1)*($NS$53-217+1)/$NU$53,$NN$53/$NT$53)),0)</f>
        <v/>
      </c>
      <c r="HN53" s="402">
        <f>IF(AND(218&gt;=$NR$53,218&lt;=$NS$53),IF($NP$53="Single_Point",IF(218=$NR$53,$NN$53,0),IF($NP$53="Bell_Curve",$NN$53*(218-$NR$53+1)*($NS$53-218+1)/$NU$53,$NN$53/$NT$53)),0)</f>
        <v/>
      </c>
      <c r="HO53" s="402">
        <f>IF(AND(219&gt;=$NR$53,219&lt;=$NS$53),IF($NP$53="Single_Point",IF(219=$NR$53,$NN$53,0),IF($NP$53="Bell_Curve",$NN$53*(219-$NR$53+1)*($NS$53-219+1)/$NU$53,$NN$53/$NT$53)),0)</f>
        <v/>
      </c>
      <c r="HP53" s="402">
        <f>IF(AND(220&gt;=$NR$53,220&lt;=$NS$53),IF($NP$53="Single_Point",IF(220=$NR$53,$NN$53,0),IF($NP$53="Bell_Curve",$NN$53*(220-$NR$53+1)*($NS$53-220+1)/$NU$53,$NN$53/$NT$53)),0)</f>
        <v/>
      </c>
      <c r="HQ53" s="402">
        <f>IF(AND(221&gt;=$NR$53,221&lt;=$NS$53),IF($NP$53="Single_Point",IF(221=$NR$53,$NN$53,0),IF($NP$53="Bell_Curve",$NN$53*(221-$NR$53+1)*($NS$53-221+1)/$NU$53,$NN$53/$NT$53)),0)</f>
        <v/>
      </c>
      <c r="HR53" s="402">
        <f>IF(AND(222&gt;=$NR$53,222&lt;=$NS$53),IF($NP$53="Single_Point",IF(222=$NR$53,$NN$53,0),IF($NP$53="Bell_Curve",$NN$53*(222-$NR$53+1)*($NS$53-222+1)/$NU$53,$NN$53/$NT$53)),0)</f>
        <v/>
      </c>
      <c r="HS53" s="402">
        <f>IF(AND(223&gt;=$NR$53,223&lt;=$NS$53),IF($NP$53="Single_Point",IF(223=$NR$53,$NN$53,0),IF($NP$53="Bell_Curve",$NN$53*(223-$NR$53+1)*($NS$53-223+1)/$NU$53,$NN$53/$NT$53)),0)</f>
        <v/>
      </c>
      <c r="HT53" s="402">
        <f>IF(AND(224&gt;=$NR$53,224&lt;=$NS$53),IF($NP$53="Single_Point",IF(224=$NR$53,$NN$53,0),IF($NP$53="Bell_Curve",$NN$53*(224-$NR$53+1)*($NS$53-224+1)/$NU$53,$NN$53/$NT$53)),0)</f>
        <v/>
      </c>
      <c r="HU53" s="402">
        <f>IF(AND(225&gt;=$NR$53,225&lt;=$NS$53),IF($NP$53="Single_Point",IF(225=$NR$53,$NN$53,0),IF($NP$53="Bell_Curve",$NN$53*(225-$NR$53+1)*($NS$53-225+1)/$NU$53,$NN$53/$NT$53)),0)</f>
        <v/>
      </c>
      <c r="HV53" s="402">
        <f>IF(AND(226&gt;=$NR$53,226&lt;=$NS$53),IF($NP$53="Single_Point",IF(226=$NR$53,$NN$53,0),IF($NP$53="Bell_Curve",$NN$53*(226-$NR$53+1)*($NS$53-226+1)/$NU$53,$NN$53/$NT$53)),0)</f>
        <v/>
      </c>
      <c r="HW53" s="402">
        <f>IF(AND(227&gt;=$NR$53,227&lt;=$NS$53),IF($NP$53="Single_Point",IF(227=$NR$53,$NN$53,0),IF($NP$53="Bell_Curve",$NN$53*(227-$NR$53+1)*($NS$53-227+1)/$NU$53,$NN$53/$NT$53)),0)</f>
        <v/>
      </c>
      <c r="HX53" s="402">
        <f>IF(AND(228&gt;=$NR$53,228&lt;=$NS$53),IF($NP$53="Single_Point",IF(228=$NR$53,$NN$53,0),IF($NP$53="Bell_Curve",$NN$53*(228-$NR$53+1)*($NS$53-228+1)/$NU$53,$NN$53/$NT$53)),0)</f>
        <v/>
      </c>
      <c r="HY53" s="402">
        <f>IF(AND(229&gt;=$NR$53,229&lt;=$NS$53),IF($NP$53="Single_Point",IF(229=$NR$53,$NN$53,0),IF($NP$53="Bell_Curve",$NN$53*(229-$NR$53+1)*($NS$53-229+1)/$NU$53,$NN$53/$NT$53)),0)</f>
        <v/>
      </c>
      <c r="HZ53" s="402">
        <f>IF(AND(230&gt;=$NR$53,230&lt;=$NS$53),IF($NP$53="Single_Point",IF(230=$NR$53,$NN$53,0),IF($NP$53="Bell_Curve",$NN$53*(230-$NR$53+1)*($NS$53-230+1)/$NU$53,$NN$53/$NT$53)),0)</f>
        <v/>
      </c>
      <c r="IA53" s="402">
        <f>IF(AND(231&gt;=$NR$53,231&lt;=$NS$53),IF($NP$53="Single_Point",IF(231=$NR$53,$NN$53,0),IF($NP$53="Bell_Curve",$NN$53*(231-$NR$53+1)*($NS$53-231+1)/$NU$53,$NN$53/$NT$53)),0)</f>
        <v/>
      </c>
      <c r="IB53" s="402">
        <f>IF(AND(232&gt;=$NR$53,232&lt;=$NS$53),IF($NP$53="Single_Point",IF(232=$NR$53,$NN$53,0),IF($NP$53="Bell_Curve",$NN$53*(232-$NR$53+1)*($NS$53-232+1)/$NU$53,$NN$53/$NT$53)),0)</f>
        <v/>
      </c>
      <c r="IC53" s="402">
        <f>IF(AND(233&gt;=$NR$53,233&lt;=$NS$53),IF($NP$53="Single_Point",IF(233=$NR$53,$NN$53,0),IF($NP$53="Bell_Curve",$NN$53*(233-$NR$53+1)*($NS$53-233+1)/$NU$53,$NN$53/$NT$53)),0)</f>
        <v/>
      </c>
      <c r="ID53" s="402">
        <f>IF(AND(234&gt;=$NR$53,234&lt;=$NS$53),IF($NP$53="Single_Point",IF(234=$NR$53,$NN$53,0),IF($NP$53="Bell_Curve",$NN$53*(234-$NR$53+1)*($NS$53-234+1)/$NU$53,$NN$53/$NT$53)),0)</f>
        <v/>
      </c>
      <c r="IE53" s="402">
        <f>IF(AND(235&gt;=$NR$53,235&lt;=$NS$53),IF($NP$53="Single_Point",IF(235=$NR$53,$NN$53,0),IF($NP$53="Bell_Curve",$NN$53*(235-$NR$53+1)*($NS$53-235+1)/$NU$53,$NN$53/$NT$53)),0)</f>
        <v/>
      </c>
      <c r="IF53" s="402">
        <f>IF(AND(236&gt;=$NR$53,236&lt;=$NS$53),IF($NP$53="Single_Point",IF(236=$NR$53,$NN$53,0),IF($NP$53="Bell_Curve",$NN$53*(236-$NR$53+1)*($NS$53-236+1)/$NU$53,$NN$53/$NT$53)),0)</f>
        <v/>
      </c>
      <c r="IG53" s="402">
        <f>IF(AND(237&gt;=$NR$53,237&lt;=$NS$53),IF($NP$53="Single_Point",IF(237=$NR$53,$NN$53,0),IF($NP$53="Bell_Curve",$NN$53*(237-$NR$53+1)*($NS$53-237+1)/$NU$53,$NN$53/$NT$53)),0)</f>
        <v/>
      </c>
      <c r="IH53" s="402">
        <f>IF(AND(238&gt;=$NR$53,238&lt;=$NS$53),IF($NP$53="Single_Point",IF(238=$NR$53,$NN$53,0),IF($NP$53="Bell_Curve",$NN$53*(238-$NR$53+1)*($NS$53-238+1)/$NU$53,$NN$53/$NT$53)),0)</f>
        <v/>
      </c>
      <c r="II53" s="402">
        <f>IF(AND(239&gt;=$NR$53,239&lt;=$NS$53),IF($NP$53="Single_Point",IF(239=$NR$53,$NN$53,0),IF($NP$53="Bell_Curve",$NN$53*(239-$NR$53+1)*($NS$53-239+1)/$NU$53,$NN$53/$NT$53)),0)</f>
        <v/>
      </c>
      <c r="IJ53" s="402">
        <f>IF(AND(240&gt;=$NR$53,240&lt;=$NS$53),IF($NP$53="Single_Point",IF(240=$NR$53,$NN$53,0),IF($NP$53="Bell_Curve",$NN$53*(240-$NR$53+1)*($NS$53-240+1)/$NU$53,$NN$53/$NT$53)),0)</f>
        <v/>
      </c>
      <c r="IK53" s="402">
        <f>IF(AND(241&gt;=$NR$53,241&lt;=$NS$53),IF($NP$53="Single_Point",IF(241=$NR$53,$NN$53,0),IF($NP$53="Bell_Curve",$NN$53*(241-$NR$53+1)*($NS$53-241+1)/$NU$53,$NN$53/$NT$53)),0)</f>
        <v/>
      </c>
      <c r="IL53" s="402">
        <f>IF(AND(242&gt;=$NR$53,242&lt;=$NS$53),IF($NP$53="Single_Point",IF(242=$NR$53,$NN$53,0),IF($NP$53="Bell_Curve",$NN$53*(242-$NR$53+1)*($NS$53-242+1)/$NU$53,$NN$53/$NT$53)),0)</f>
        <v/>
      </c>
      <c r="IM53" s="402">
        <f>IF(AND(243&gt;=$NR$53,243&lt;=$NS$53),IF($NP$53="Single_Point",IF(243=$NR$53,$NN$53,0),IF($NP$53="Bell_Curve",$NN$53*(243-$NR$53+1)*($NS$53-243+1)/$NU$53,$NN$53/$NT$53)),0)</f>
        <v/>
      </c>
      <c r="IN53" s="402">
        <f>IF(AND(244&gt;=$NR$53,244&lt;=$NS$53),IF($NP$53="Single_Point",IF(244=$NR$53,$NN$53,0),IF($NP$53="Bell_Curve",$NN$53*(244-$NR$53+1)*($NS$53-244+1)/$NU$53,$NN$53/$NT$53)),0)</f>
        <v/>
      </c>
      <c r="IO53" s="402">
        <f>IF(AND(245&gt;=$NR$53,245&lt;=$NS$53),IF($NP$53="Single_Point",IF(245=$NR$53,$NN$53,0),IF($NP$53="Bell_Curve",$NN$53*(245-$NR$53+1)*($NS$53-245+1)/$NU$53,$NN$53/$NT$53)),0)</f>
        <v/>
      </c>
      <c r="IP53" s="402">
        <f>IF(AND(246&gt;=$NR$53,246&lt;=$NS$53),IF($NP$53="Single_Point",IF(246=$NR$53,$NN$53,0),IF($NP$53="Bell_Curve",$NN$53*(246-$NR$53+1)*($NS$53-246+1)/$NU$53,$NN$53/$NT$53)),0)</f>
        <v/>
      </c>
      <c r="IQ53" s="402">
        <f>IF(AND(247&gt;=$NR$53,247&lt;=$NS$53),IF($NP$53="Single_Point",IF(247=$NR$53,$NN$53,0),IF($NP$53="Bell_Curve",$NN$53*(247-$NR$53+1)*($NS$53-247+1)/$NU$53,$NN$53/$NT$53)),0)</f>
        <v/>
      </c>
      <c r="IR53" s="402">
        <f>IF(AND(248&gt;=$NR$53,248&lt;=$NS$53),IF($NP$53="Single_Point",IF(248=$NR$53,$NN$53,0),IF($NP$53="Bell_Curve",$NN$53*(248-$NR$53+1)*($NS$53-248+1)/$NU$53,$NN$53/$NT$53)),0)</f>
        <v/>
      </c>
      <c r="IS53" s="402">
        <f>IF(AND(249&gt;=$NR$53,249&lt;=$NS$53),IF($NP$53="Single_Point",IF(249=$NR$53,$NN$53,0),IF($NP$53="Bell_Curve",$NN$53*(249-$NR$53+1)*($NS$53-249+1)/$NU$53,$NN$53/$NT$53)),0)</f>
        <v/>
      </c>
      <c r="IT53" s="402">
        <f>IF(AND(250&gt;=$NR$53,250&lt;=$NS$53),IF($NP$53="Single_Point",IF(250=$NR$53,$NN$53,0),IF($NP$53="Bell_Curve",$NN$53*(250-$NR$53+1)*($NS$53-250+1)/$NU$53,$NN$53/$NT$53)),0)</f>
        <v/>
      </c>
      <c r="IU53" s="402">
        <f>IF(AND(251&gt;=$NR$53,251&lt;=$NS$53),IF($NP$53="Single_Point",IF(251=$NR$53,$NN$53,0),IF($NP$53="Bell_Curve",$NN$53*(251-$NR$53+1)*($NS$53-251+1)/$NU$53,$NN$53/$NT$53)),0)</f>
        <v/>
      </c>
      <c r="IV53" s="402">
        <f>IF(AND(252&gt;=$NR$53,252&lt;=$NS$53),IF($NP$53="Single_Point",IF(252=$NR$53,$NN$53,0),IF($NP$53="Bell_Curve",$NN$53*(252-$NR$53+1)*($NS$53-252+1)/$NU$53,$NN$53/$NT$53)),0)</f>
        <v/>
      </c>
      <c r="IW53" s="402">
        <f>IF(AND(253&gt;=$NR$53,253&lt;=$NS$53),IF($NP$53="Single_Point",IF(253=$NR$53,$NN$53,0),IF($NP$53="Bell_Curve",$NN$53*(253-$NR$53+1)*($NS$53-253+1)/$NU$53,$NN$53/$NT$53)),0)</f>
        <v/>
      </c>
      <c r="IX53" s="402">
        <f>IF(AND(254&gt;=$NR$53,254&lt;=$NS$53),IF($NP$53="Single_Point",IF(254=$NR$53,$NN$53,0),IF($NP$53="Bell_Curve",$NN$53*(254-$NR$53+1)*($NS$53-254+1)/$NU$53,$NN$53/$NT$53)),0)</f>
        <v/>
      </c>
      <c r="IY53" s="402">
        <f>IF(AND(255&gt;=$NR$53,255&lt;=$NS$53),IF($NP$53="Single_Point",IF(255=$NR$53,$NN$53,0),IF($NP$53="Bell_Curve",$NN$53*(255-$NR$53+1)*($NS$53-255+1)/$NU$53,$NN$53/$NT$53)),0)</f>
        <v/>
      </c>
      <c r="IZ53" s="402">
        <f>IF(AND(256&gt;=$NR$53,256&lt;=$NS$53),IF($NP$53="Single_Point",IF(256=$NR$53,$NN$53,0),IF($NP$53="Bell_Curve",$NN$53*(256-$NR$53+1)*($NS$53-256+1)/$NU$53,$NN$53/$NT$53)),0)</f>
        <v/>
      </c>
      <c r="JA53" s="402">
        <f>IF(AND(257&gt;=$NR$53,257&lt;=$NS$53),IF($NP$53="Single_Point",IF(257=$NR$53,$NN$53,0),IF($NP$53="Bell_Curve",$NN$53*(257-$NR$53+1)*($NS$53-257+1)/$NU$53,$NN$53/$NT$53)),0)</f>
        <v/>
      </c>
      <c r="JB53" s="402">
        <f>IF(AND(258&gt;=$NR$53,258&lt;=$NS$53),IF($NP$53="Single_Point",IF(258=$NR$53,$NN$53,0),IF($NP$53="Bell_Curve",$NN$53*(258-$NR$53+1)*($NS$53-258+1)/$NU$53,$NN$53/$NT$53)),0)</f>
        <v/>
      </c>
      <c r="JC53" s="402">
        <f>IF(AND(259&gt;=$NR$53,259&lt;=$NS$53),IF($NP$53="Single_Point",IF(259=$NR$53,$NN$53,0),IF($NP$53="Bell_Curve",$NN$53*(259-$NR$53+1)*($NS$53-259+1)/$NU$53,$NN$53/$NT$53)),0)</f>
        <v/>
      </c>
      <c r="JD53" s="402">
        <f>IF(AND(260&gt;=$NR$53,260&lt;=$NS$53),IF($NP$53="Single_Point",IF(260=$NR$53,$NN$53,0),IF($NP$53="Bell_Curve",$NN$53*(260-$NR$53+1)*($NS$53-260+1)/$NU$53,$NN$53/$NT$53)),0)</f>
        <v/>
      </c>
      <c r="JE53" s="402">
        <f>IF(AND(261&gt;=$NR$53,261&lt;=$NS$53),IF($NP$53="Single_Point",IF(261=$NR$53,$NN$53,0),IF($NP$53="Bell_Curve",$NN$53*(261-$NR$53+1)*($NS$53-261+1)/$NU$53,$NN$53/$NT$53)),0)</f>
        <v/>
      </c>
      <c r="JF53" s="402">
        <f>IF(AND(262&gt;=$NR$53,262&lt;=$NS$53),IF($NP$53="Single_Point",IF(262=$NR$53,$NN$53,0),IF($NP$53="Bell_Curve",$NN$53*(262-$NR$53+1)*($NS$53-262+1)/$NU$53,$NN$53/$NT$53)),0)</f>
        <v/>
      </c>
      <c r="JG53" s="402">
        <f>IF(AND(263&gt;=$NR$53,263&lt;=$NS$53),IF($NP$53="Single_Point",IF(263=$NR$53,$NN$53,0),IF($NP$53="Bell_Curve",$NN$53*(263-$NR$53+1)*($NS$53-263+1)/$NU$53,$NN$53/$NT$53)),0)</f>
        <v/>
      </c>
      <c r="JH53" s="402">
        <f>IF(AND(264&gt;=$NR$53,264&lt;=$NS$53),IF($NP$53="Single_Point",IF(264=$NR$53,$NN$53,0),IF($NP$53="Bell_Curve",$NN$53*(264-$NR$53+1)*($NS$53-264+1)/$NU$53,$NN$53/$NT$53)),0)</f>
        <v/>
      </c>
      <c r="JI53" s="402">
        <f>IF(AND(265&gt;=$NR$53,265&lt;=$NS$53),IF($NP$53="Single_Point",IF(265=$NR$53,$NN$53,0),IF($NP$53="Bell_Curve",$NN$53*(265-$NR$53+1)*($NS$53-265+1)/$NU$53,$NN$53/$NT$53)),0)</f>
        <v/>
      </c>
      <c r="JJ53" s="402">
        <f>IF(AND(266&gt;=$NR$53,266&lt;=$NS$53),IF($NP$53="Single_Point",IF(266=$NR$53,$NN$53,0),IF($NP$53="Bell_Curve",$NN$53*(266-$NR$53+1)*($NS$53-266+1)/$NU$53,$NN$53/$NT$53)),0)</f>
        <v/>
      </c>
      <c r="JK53" s="402">
        <f>IF(AND(267&gt;=$NR$53,267&lt;=$NS$53),IF($NP$53="Single_Point",IF(267=$NR$53,$NN$53,0),IF($NP$53="Bell_Curve",$NN$53*(267-$NR$53+1)*($NS$53-267+1)/$NU$53,$NN$53/$NT$53)),0)</f>
        <v/>
      </c>
      <c r="JL53" s="402">
        <f>IF(AND(268&gt;=$NR$53,268&lt;=$NS$53),IF($NP$53="Single_Point",IF(268=$NR$53,$NN$53,0),IF($NP$53="Bell_Curve",$NN$53*(268-$NR$53+1)*($NS$53-268+1)/$NU$53,$NN$53/$NT$53)),0)</f>
        <v/>
      </c>
      <c r="JM53" s="402">
        <f>IF(AND(269&gt;=$NR$53,269&lt;=$NS$53),IF($NP$53="Single_Point",IF(269=$NR$53,$NN$53,0),IF($NP$53="Bell_Curve",$NN$53*(269-$NR$53+1)*($NS$53-269+1)/$NU$53,$NN$53/$NT$53)),0)</f>
        <v/>
      </c>
      <c r="JN53" s="402">
        <f>IF(AND(270&gt;=$NR$53,270&lt;=$NS$53),IF($NP$53="Single_Point",IF(270=$NR$53,$NN$53,0),IF($NP$53="Bell_Curve",$NN$53*(270-$NR$53+1)*($NS$53-270+1)/$NU$53,$NN$53/$NT$53)),0)</f>
        <v/>
      </c>
      <c r="JO53" s="402">
        <f>IF(AND(271&gt;=$NR$53,271&lt;=$NS$53),IF($NP$53="Single_Point",IF(271=$NR$53,$NN$53,0),IF($NP$53="Bell_Curve",$NN$53*(271-$NR$53+1)*($NS$53-271+1)/$NU$53,$NN$53/$NT$53)),0)</f>
        <v/>
      </c>
      <c r="JP53" s="402">
        <f>IF(AND(272&gt;=$NR$53,272&lt;=$NS$53),IF($NP$53="Single_Point",IF(272=$NR$53,$NN$53,0),IF($NP$53="Bell_Curve",$NN$53*(272-$NR$53+1)*($NS$53-272+1)/$NU$53,$NN$53/$NT$53)),0)</f>
        <v/>
      </c>
      <c r="JQ53" s="402">
        <f>IF(AND(273&gt;=$NR$53,273&lt;=$NS$53),IF($NP$53="Single_Point",IF(273=$NR$53,$NN$53,0),IF($NP$53="Bell_Curve",$NN$53*(273-$NR$53+1)*($NS$53-273+1)/$NU$53,$NN$53/$NT$53)),0)</f>
        <v/>
      </c>
      <c r="JR53" s="402">
        <f>IF(AND(274&gt;=$NR$53,274&lt;=$NS$53),IF($NP$53="Single_Point",IF(274=$NR$53,$NN$53,0),IF($NP$53="Bell_Curve",$NN$53*(274-$NR$53+1)*($NS$53-274+1)/$NU$53,$NN$53/$NT$53)),0)</f>
        <v/>
      </c>
      <c r="JS53" s="402">
        <f>IF(AND(275&gt;=$NR$53,275&lt;=$NS$53),IF($NP$53="Single_Point",IF(275=$NR$53,$NN$53,0),IF($NP$53="Bell_Curve",$NN$53*(275-$NR$53+1)*($NS$53-275+1)/$NU$53,$NN$53/$NT$53)),0)</f>
        <v/>
      </c>
      <c r="JT53" s="402">
        <f>IF(AND(276&gt;=$NR$53,276&lt;=$NS$53),IF($NP$53="Single_Point",IF(276=$NR$53,$NN$53,0),IF($NP$53="Bell_Curve",$NN$53*(276-$NR$53+1)*($NS$53-276+1)/$NU$53,$NN$53/$NT$53)),0)</f>
        <v/>
      </c>
      <c r="JU53" s="402">
        <f>IF(AND(277&gt;=$NR$53,277&lt;=$NS$53),IF($NP$53="Single_Point",IF(277=$NR$53,$NN$53,0),IF($NP$53="Bell_Curve",$NN$53*(277-$NR$53+1)*($NS$53-277+1)/$NU$53,$NN$53/$NT$53)),0)</f>
        <v/>
      </c>
      <c r="JV53" s="402">
        <f>IF(AND(278&gt;=$NR$53,278&lt;=$NS$53),IF($NP$53="Single_Point",IF(278=$NR$53,$NN$53,0),IF($NP$53="Bell_Curve",$NN$53*(278-$NR$53+1)*($NS$53-278+1)/$NU$53,$NN$53/$NT$53)),0)</f>
        <v/>
      </c>
      <c r="JW53" s="402">
        <f>IF(AND(279&gt;=$NR$53,279&lt;=$NS$53),IF($NP$53="Single_Point",IF(279=$NR$53,$NN$53,0),IF($NP$53="Bell_Curve",$NN$53*(279-$NR$53+1)*($NS$53-279+1)/$NU$53,$NN$53/$NT$53)),0)</f>
        <v/>
      </c>
      <c r="JX53" s="402">
        <f>IF(AND(280&gt;=$NR$53,280&lt;=$NS$53),IF($NP$53="Single_Point",IF(280=$NR$53,$NN$53,0),IF($NP$53="Bell_Curve",$NN$53*(280-$NR$53+1)*($NS$53-280+1)/$NU$53,$NN$53/$NT$53)),0)</f>
        <v/>
      </c>
      <c r="JY53" s="402">
        <f>IF(AND(281&gt;=$NR$53,281&lt;=$NS$53),IF($NP$53="Single_Point",IF(281=$NR$53,$NN$53,0),IF($NP$53="Bell_Curve",$NN$53*(281-$NR$53+1)*($NS$53-281+1)/$NU$53,$NN$53/$NT$53)),0)</f>
        <v/>
      </c>
      <c r="JZ53" s="402">
        <f>IF(AND(282&gt;=$NR$53,282&lt;=$NS$53),IF($NP$53="Single_Point",IF(282=$NR$53,$NN$53,0),IF($NP$53="Bell_Curve",$NN$53*(282-$NR$53+1)*($NS$53-282+1)/$NU$53,$NN$53/$NT$53)),0)</f>
        <v/>
      </c>
      <c r="KA53" s="402">
        <f>IF(AND(283&gt;=$NR$53,283&lt;=$NS$53),IF($NP$53="Single_Point",IF(283=$NR$53,$NN$53,0),IF($NP$53="Bell_Curve",$NN$53*(283-$NR$53+1)*($NS$53-283+1)/$NU$53,$NN$53/$NT$53)),0)</f>
        <v/>
      </c>
      <c r="KB53" s="402">
        <f>IF(AND(284&gt;=$NR$53,284&lt;=$NS$53),IF($NP$53="Single_Point",IF(284=$NR$53,$NN$53,0),IF($NP$53="Bell_Curve",$NN$53*(284-$NR$53+1)*($NS$53-284+1)/$NU$53,$NN$53/$NT$53)),0)</f>
        <v/>
      </c>
      <c r="KC53" s="402">
        <f>IF(AND(285&gt;=$NR$53,285&lt;=$NS$53),IF($NP$53="Single_Point",IF(285=$NR$53,$NN$53,0),IF($NP$53="Bell_Curve",$NN$53*(285-$NR$53+1)*($NS$53-285+1)/$NU$53,$NN$53/$NT$53)),0)</f>
        <v/>
      </c>
      <c r="KD53" s="402">
        <f>IF(AND(286&gt;=$NR$53,286&lt;=$NS$53),IF($NP$53="Single_Point",IF(286=$NR$53,$NN$53,0),IF($NP$53="Bell_Curve",$NN$53*(286-$NR$53+1)*($NS$53-286+1)/$NU$53,$NN$53/$NT$53)),0)</f>
        <v/>
      </c>
      <c r="KE53" s="402">
        <f>IF(AND(287&gt;=$NR$53,287&lt;=$NS$53),IF($NP$53="Single_Point",IF(287=$NR$53,$NN$53,0),IF($NP$53="Bell_Curve",$NN$53*(287-$NR$53+1)*($NS$53-287+1)/$NU$53,$NN$53/$NT$53)),0)</f>
        <v/>
      </c>
      <c r="KF53" s="402">
        <f>IF(AND(288&gt;=$NR$53,288&lt;=$NS$53),IF($NP$53="Single_Point",IF(288=$NR$53,$NN$53,0),IF($NP$53="Bell_Curve",$NN$53*(288-$NR$53+1)*($NS$53-288+1)/$NU$53,$NN$53/$NT$53)),0)</f>
        <v/>
      </c>
      <c r="KG53" s="402">
        <f>IF(AND(289&gt;=$NR$53,289&lt;=$NS$53),IF($NP$53="Single_Point",IF(289=$NR$53,$NN$53,0),IF($NP$53="Bell_Curve",$NN$53*(289-$NR$53+1)*($NS$53-289+1)/$NU$53,$NN$53/$NT$53)),0)</f>
        <v/>
      </c>
      <c r="KH53" s="402">
        <f>IF(AND(290&gt;=$NR$53,290&lt;=$NS$53),IF($NP$53="Single_Point",IF(290=$NR$53,$NN$53,0),IF($NP$53="Bell_Curve",$NN$53*(290-$NR$53+1)*($NS$53-290+1)/$NU$53,$NN$53/$NT$53)),0)</f>
        <v/>
      </c>
      <c r="KI53" s="402">
        <f>IF(AND(291&gt;=$NR$53,291&lt;=$NS$53),IF($NP$53="Single_Point",IF(291=$NR$53,$NN$53,0),IF($NP$53="Bell_Curve",$NN$53*(291-$NR$53+1)*($NS$53-291+1)/$NU$53,$NN$53/$NT$53)),0)</f>
        <v/>
      </c>
      <c r="KJ53" s="402">
        <f>IF(AND(292&gt;=$NR$53,292&lt;=$NS$53),IF($NP$53="Single_Point",IF(292=$NR$53,$NN$53,0),IF($NP$53="Bell_Curve",$NN$53*(292-$NR$53+1)*($NS$53-292+1)/$NU$53,$NN$53/$NT$53)),0)</f>
        <v/>
      </c>
      <c r="KK53" s="402">
        <f>IF(AND(293&gt;=$NR$53,293&lt;=$NS$53),IF($NP$53="Single_Point",IF(293=$NR$53,$NN$53,0),IF($NP$53="Bell_Curve",$NN$53*(293-$NR$53+1)*($NS$53-293+1)/$NU$53,$NN$53/$NT$53)),0)</f>
        <v/>
      </c>
      <c r="KL53" s="402">
        <f>IF(AND(294&gt;=$NR$53,294&lt;=$NS$53),IF($NP$53="Single_Point",IF(294=$NR$53,$NN$53,0),IF($NP$53="Bell_Curve",$NN$53*(294-$NR$53+1)*($NS$53-294+1)/$NU$53,$NN$53/$NT$53)),0)</f>
        <v/>
      </c>
      <c r="KM53" s="402">
        <f>IF(AND(295&gt;=$NR$53,295&lt;=$NS$53),IF($NP$53="Single_Point",IF(295=$NR$53,$NN$53,0),IF($NP$53="Bell_Curve",$NN$53*(295-$NR$53+1)*($NS$53-295+1)/$NU$53,$NN$53/$NT$53)),0)</f>
        <v/>
      </c>
      <c r="KN53" s="402">
        <f>IF(AND(296&gt;=$NR$53,296&lt;=$NS$53),IF($NP$53="Single_Point",IF(296=$NR$53,$NN$53,0),IF($NP$53="Bell_Curve",$NN$53*(296-$NR$53+1)*($NS$53-296+1)/$NU$53,$NN$53/$NT$53)),0)</f>
        <v/>
      </c>
      <c r="KO53" s="402">
        <f>IF(AND(297&gt;=$NR$53,297&lt;=$NS$53),IF($NP$53="Single_Point",IF(297=$NR$53,$NN$53,0),IF($NP$53="Bell_Curve",$NN$53*(297-$NR$53+1)*($NS$53-297+1)/$NU$53,$NN$53/$NT$53)),0)</f>
        <v/>
      </c>
      <c r="KP53" s="402">
        <f>IF(AND(298&gt;=$NR$53,298&lt;=$NS$53),IF($NP$53="Single_Point",IF(298=$NR$53,$NN$53,0),IF($NP$53="Bell_Curve",$NN$53*(298-$NR$53+1)*($NS$53-298+1)/$NU$53,$NN$53/$NT$53)),0)</f>
        <v/>
      </c>
      <c r="KQ53" s="402">
        <f>IF(AND(299&gt;=$NR$53,299&lt;=$NS$53),IF($NP$53="Single_Point",IF(299=$NR$53,$NN$53,0),IF($NP$53="Bell_Curve",$NN$53*(299-$NR$53+1)*($NS$53-299+1)/$NU$53,$NN$53/$NT$53)),0)</f>
        <v/>
      </c>
      <c r="KR53" s="402">
        <f>IF(AND(300&gt;=$NR$53,300&lt;=$NS$53),IF($NP$53="Single_Point",IF(300=$NR$53,$NN$53,0),IF($NP$53="Bell_Curve",$NN$53*(300-$NR$53+1)*($NS$53-300+1)/$NU$53,$NN$53/$NT$53)),0)</f>
        <v/>
      </c>
      <c r="KS53" s="402">
        <f>IF(AND(301&gt;=$NR$53,301&lt;=$NS$53),IF($NP$53="Single_Point",IF(301=$NR$53,$NN$53,0),IF($NP$53="Bell_Curve",$NN$53*(301-$NR$53+1)*($NS$53-301+1)/$NU$53,$NN$53/$NT$53)),0)</f>
        <v/>
      </c>
      <c r="KT53" s="402">
        <f>IF(AND(302&gt;=$NR$53,302&lt;=$NS$53),IF($NP$53="Single_Point",IF(302=$NR$53,$NN$53,0),IF($NP$53="Bell_Curve",$NN$53*(302-$NR$53+1)*($NS$53-302+1)/$NU$53,$NN$53/$NT$53)),0)</f>
        <v/>
      </c>
      <c r="KU53" s="402">
        <f>IF(AND(303&gt;=$NR$53,303&lt;=$NS$53),IF($NP$53="Single_Point",IF(303=$NR$53,$NN$53,0),IF($NP$53="Bell_Curve",$NN$53*(303-$NR$53+1)*($NS$53-303+1)/$NU$53,$NN$53/$NT$53)),0)</f>
        <v/>
      </c>
      <c r="KV53" s="402">
        <f>IF(AND(304&gt;=$NR$53,304&lt;=$NS$53),IF($NP$53="Single_Point",IF(304=$NR$53,$NN$53,0),IF($NP$53="Bell_Curve",$NN$53*(304-$NR$53+1)*($NS$53-304+1)/$NU$53,$NN$53/$NT$53)),0)</f>
        <v/>
      </c>
      <c r="KW53" s="402">
        <f>IF(AND(305&gt;=$NR$53,305&lt;=$NS$53),IF($NP$53="Single_Point",IF(305=$NR$53,$NN$53,0),IF($NP$53="Bell_Curve",$NN$53*(305-$NR$53+1)*($NS$53-305+1)/$NU$53,$NN$53/$NT$53)),0)</f>
        <v/>
      </c>
      <c r="KX53" s="402">
        <f>IF(AND(306&gt;=$NR$53,306&lt;=$NS$53),IF($NP$53="Single_Point",IF(306=$NR$53,$NN$53,0),IF($NP$53="Bell_Curve",$NN$53*(306-$NR$53+1)*($NS$53-306+1)/$NU$53,$NN$53/$NT$53)),0)</f>
        <v/>
      </c>
      <c r="KY53" s="402">
        <f>IF(AND(307&gt;=$NR$53,307&lt;=$NS$53),IF($NP$53="Single_Point",IF(307=$NR$53,$NN$53,0),IF($NP$53="Bell_Curve",$NN$53*(307-$NR$53+1)*($NS$53-307+1)/$NU$53,$NN$53/$NT$53)),0)</f>
        <v/>
      </c>
      <c r="KZ53" s="402">
        <f>IF(AND(308&gt;=$NR$53,308&lt;=$NS$53),IF($NP$53="Single_Point",IF(308=$NR$53,$NN$53,0),IF($NP$53="Bell_Curve",$NN$53*(308-$NR$53+1)*($NS$53-308+1)/$NU$53,$NN$53/$NT$53)),0)</f>
        <v/>
      </c>
      <c r="LA53" s="402">
        <f>IF(AND(309&gt;=$NR$53,309&lt;=$NS$53),IF($NP$53="Single_Point",IF(309=$NR$53,$NN$53,0),IF($NP$53="Bell_Curve",$NN$53*(309-$NR$53+1)*($NS$53-309+1)/$NU$53,$NN$53/$NT$53)),0)</f>
        <v/>
      </c>
      <c r="LB53" s="402">
        <f>IF(AND(310&gt;=$NR$53,310&lt;=$NS$53),IF($NP$53="Single_Point",IF(310=$NR$53,$NN$53,0),IF($NP$53="Bell_Curve",$NN$53*(310-$NR$53+1)*($NS$53-310+1)/$NU$53,$NN$53/$NT$53)),0)</f>
        <v/>
      </c>
      <c r="LC53" s="402">
        <f>IF(AND(311&gt;=$NR$53,311&lt;=$NS$53),IF($NP$53="Single_Point",IF(311=$NR$53,$NN$53,0),IF($NP$53="Bell_Curve",$NN$53*(311-$NR$53+1)*($NS$53-311+1)/$NU$53,$NN$53/$NT$53)),0)</f>
        <v/>
      </c>
      <c r="LD53" s="402">
        <f>IF(AND(312&gt;=$NR$53,312&lt;=$NS$53),IF($NP$53="Single_Point",IF(312=$NR$53,$NN$53,0),IF($NP$53="Bell_Curve",$NN$53*(312-$NR$53+1)*($NS$53-312+1)/$NU$53,$NN$53/$NT$53)),0)</f>
        <v/>
      </c>
      <c r="LE53" s="402">
        <f>IF(AND(313&gt;=$NR$53,313&lt;=$NS$53),IF($NP$53="Single_Point",IF(313=$NR$53,$NN$53,0),IF($NP$53="Bell_Curve",$NN$53*(313-$NR$53+1)*($NS$53-313+1)/$NU$53,$NN$53/$NT$53)),0)</f>
        <v/>
      </c>
      <c r="LF53" s="402">
        <f>IF(AND(314&gt;=$NR$53,314&lt;=$NS$53),IF($NP$53="Single_Point",IF(314=$NR$53,$NN$53,0),IF($NP$53="Bell_Curve",$NN$53*(314-$NR$53+1)*($NS$53-314+1)/$NU$53,$NN$53/$NT$53)),0)</f>
        <v/>
      </c>
      <c r="LG53" s="402">
        <f>IF(AND(315&gt;=$NR$53,315&lt;=$NS$53),IF($NP$53="Single_Point",IF(315=$NR$53,$NN$53,0),IF($NP$53="Bell_Curve",$NN$53*(315-$NR$53+1)*($NS$53-315+1)/$NU$53,$NN$53/$NT$53)),0)</f>
        <v/>
      </c>
      <c r="LH53" s="402">
        <f>IF(AND(316&gt;=$NR$53,316&lt;=$NS$53),IF($NP$53="Single_Point",IF(316=$NR$53,$NN$53,0),IF($NP$53="Bell_Curve",$NN$53*(316-$NR$53+1)*($NS$53-316+1)/$NU$53,$NN$53/$NT$53)),0)</f>
        <v/>
      </c>
      <c r="LI53" s="402">
        <f>IF(AND(317&gt;=$NR$53,317&lt;=$NS$53),IF($NP$53="Single_Point",IF(317=$NR$53,$NN$53,0),IF($NP$53="Bell_Curve",$NN$53*(317-$NR$53+1)*($NS$53-317+1)/$NU$53,$NN$53/$NT$53)),0)</f>
        <v/>
      </c>
      <c r="LJ53" s="402">
        <f>IF(AND(318&gt;=$NR$53,318&lt;=$NS$53),IF($NP$53="Single_Point",IF(318=$NR$53,$NN$53,0),IF($NP$53="Bell_Curve",$NN$53*(318-$NR$53+1)*($NS$53-318+1)/$NU$53,$NN$53/$NT$53)),0)</f>
        <v/>
      </c>
      <c r="LK53" s="402">
        <f>IF(AND(319&gt;=$NR$53,319&lt;=$NS$53),IF($NP$53="Single_Point",IF(319=$NR$53,$NN$53,0),IF($NP$53="Bell_Curve",$NN$53*(319-$NR$53+1)*($NS$53-319+1)/$NU$53,$NN$53/$NT$53)),0)</f>
        <v/>
      </c>
      <c r="LL53" s="402">
        <f>IF(AND(320&gt;=$NR$53,320&lt;=$NS$53),IF($NP$53="Single_Point",IF(320=$NR$53,$NN$53,0),IF($NP$53="Bell_Curve",$NN$53*(320-$NR$53+1)*($NS$53-320+1)/$NU$53,$NN$53/$NT$53)),0)</f>
        <v/>
      </c>
      <c r="LM53" s="402">
        <f>IF(AND(321&gt;=$NR$53,321&lt;=$NS$53),IF($NP$53="Single_Point",IF(321=$NR$53,$NN$53,0),IF($NP$53="Bell_Curve",$NN$53*(321-$NR$53+1)*($NS$53-321+1)/$NU$53,$NN$53/$NT$53)),0)</f>
        <v/>
      </c>
      <c r="LN53" s="402">
        <f>IF(AND(322&gt;=$NR$53,322&lt;=$NS$53),IF($NP$53="Single_Point",IF(322=$NR$53,$NN$53,0),IF($NP$53="Bell_Curve",$NN$53*(322-$NR$53+1)*($NS$53-322+1)/$NU$53,$NN$53/$NT$53)),0)</f>
        <v/>
      </c>
      <c r="LO53" s="402">
        <f>IF(AND(323&gt;=$NR$53,323&lt;=$NS$53),IF($NP$53="Single_Point",IF(323=$NR$53,$NN$53,0),IF($NP$53="Bell_Curve",$NN$53*(323-$NR$53+1)*($NS$53-323+1)/$NU$53,$NN$53/$NT$53)),0)</f>
        <v/>
      </c>
      <c r="LP53" s="402">
        <f>IF(AND(324&gt;=$NR$53,324&lt;=$NS$53),IF($NP$53="Single_Point",IF(324=$NR$53,$NN$53,0),IF($NP$53="Bell_Curve",$NN$53*(324-$NR$53+1)*($NS$53-324+1)/$NU$53,$NN$53/$NT$53)),0)</f>
        <v/>
      </c>
      <c r="LQ53" s="402">
        <f>IF(AND(325&gt;=$NR$53,325&lt;=$NS$53),IF($NP$53="Single_Point",IF(325=$NR$53,$NN$53,0),IF($NP$53="Bell_Curve",$NN$53*(325-$NR$53+1)*($NS$53-325+1)/$NU$53,$NN$53/$NT$53)),0)</f>
        <v/>
      </c>
      <c r="LR53" s="402">
        <f>IF(AND(326&gt;=$NR$53,326&lt;=$NS$53),IF($NP$53="Single_Point",IF(326=$NR$53,$NN$53,0),IF($NP$53="Bell_Curve",$NN$53*(326-$NR$53+1)*($NS$53-326+1)/$NU$53,$NN$53/$NT$53)),0)</f>
        <v/>
      </c>
      <c r="LS53" s="402">
        <f>IF(AND(327&gt;=$NR$53,327&lt;=$NS$53),IF($NP$53="Single_Point",IF(327=$NR$53,$NN$53,0),IF($NP$53="Bell_Curve",$NN$53*(327-$NR$53+1)*($NS$53-327+1)/$NU$53,$NN$53/$NT$53)),0)</f>
        <v/>
      </c>
      <c r="LT53" s="402">
        <f>IF(AND(328&gt;=$NR$53,328&lt;=$NS$53),IF($NP$53="Single_Point",IF(328=$NR$53,$NN$53,0),IF($NP$53="Bell_Curve",$NN$53*(328-$NR$53+1)*($NS$53-328+1)/$NU$53,$NN$53/$NT$53)),0)</f>
        <v/>
      </c>
      <c r="LU53" s="402">
        <f>IF(AND(329&gt;=$NR$53,329&lt;=$NS$53),IF($NP$53="Single_Point",IF(329=$NR$53,$NN$53,0),IF($NP$53="Bell_Curve",$NN$53*(329-$NR$53+1)*($NS$53-329+1)/$NU$53,$NN$53/$NT$53)),0)</f>
        <v/>
      </c>
      <c r="LV53" s="402">
        <f>IF(AND(330&gt;=$NR$53,330&lt;=$NS$53),IF($NP$53="Single_Point",IF(330=$NR$53,$NN$53,0),IF($NP$53="Bell_Curve",$NN$53*(330-$NR$53+1)*($NS$53-330+1)/$NU$53,$NN$53/$NT$53)),0)</f>
        <v/>
      </c>
      <c r="LW53" s="402">
        <f>IF(AND(331&gt;=$NR$53,331&lt;=$NS$53),IF($NP$53="Single_Point",IF(331=$NR$53,$NN$53,0),IF($NP$53="Bell_Curve",$NN$53*(331-$NR$53+1)*($NS$53-331+1)/$NU$53,$NN$53/$NT$53)),0)</f>
        <v/>
      </c>
      <c r="LX53" s="402">
        <f>IF(AND(332&gt;=$NR$53,332&lt;=$NS$53),IF($NP$53="Single_Point",IF(332=$NR$53,$NN$53,0),IF($NP$53="Bell_Curve",$NN$53*(332-$NR$53+1)*($NS$53-332+1)/$NU$53,$NN$53/$NT$53)),0)</f>
        <v/>
      </c>
      <c r="LY53" s="402">
        <f>IF(AND(333&gt;=$NR$53,333&lt;=$NS$53),IF($NP$53="Single_Point",IF(333=$NR$53,$NN$53,0),IF($NP$53="Bell_Curve",$NN$53*(333-$NR$53+1)*($NS$53-333+1)/$NU$53,$NN$53/$NT$53)),0)</f>
        <v/>
      </c>
      <c r="LZ53" s="402">
        <f>IF(AND(334&gt;=$NR$53,334&lt;=$NS$53),IF($NP$53="Single_Point",IF(334=$NR$53,$NN$53,0),IF($NP$53="Bell_Curve",$NN$53*(334-$NR$53+1)*($NS$53-334+1)/$NU$53,$NN$53/$NT$53)),0)</f>
        <v/>
      </c>
      <c r="MA53" s="402">
        <f>IF(AND(335&gt;=$NR$53,335&lt;=$NS$53),IF($NP$53="Single_Point",IF(335=$NR$53,$NN$53,0),IF($NP$53="Bell_Curve",$NN$53*(335-$NR$53+1)*($NS$53-335+1)/$NU$53,$NN$53/$NT$53)),0)</f>
        <v/>
      </c>
      <c r="MB53" s="402">
        <f>IF(AND(336&gt;=$NR$53,336&lt;=$NS$53),IF($NP$53="Single_Point",IF(336=$NR$53,$NN$53,0),IF($NP$53="Bell_Curve",$NN$53*(336-$NR$53+1)*($NS$53-336+1)/$NU$53,$NN$53/$NT$53)),0)</f>
        <v/>
      </c>
      <c r="MC53" s="402">
        <f>IF(AND(337&gt;=$NR$53,337&lt;=$NS$53),IF($NP$53="Single_Point",IF(337=$NR$53,$NN$53,0),IF($NP$53="Bell_Curve",$NN$53*(337-$NR$53+1)*($NS$53-337+1)/$NU$53,$NN$53/$NT$53)),0)</f>
        <v/>
      </c>
      <c r="MD53" s="402">
        <f>IF(AND(338&gt;=$NR$53,338&lt;=$NS$53),IF($NP$53="Single_Point",IF(338=$NR$53,$NN$53,0),IF($NP$53="Bell_Curve",$NN$53*(338-$NR$53+1)*($NS$53-338+1)/$NU$53,$NN$53/$NT$53)),0)</f>
        <v/>
      </c>
      <c r="ME53" s="402">
        <f>IF(AND(339&gt;=$NR$53,339&lt;=$NS$53),IF($NP$53="Single_Point",IF(339=$NR$53,$NN$53,0),IF($NP$53="Bell_Curve",$NN$53*(339-$NR$53+1)*($NS$53-339+1)/$NU$53,$NN$53/$NT$53)),0)</f>
        <v/>
      </c>
      <c r="MF53" s="402">
        <f>IF(AND(340&gt;=$NR$53,340&lt;=$NS$53),IF($NP$53="Single_Point",IF(340=$NR$53,$NN$53,0),IF($NP$53="Bell_Curve",$NN$53*(340-$NR$53+1)*($NS$53-340+1)/$NU$53,$NN$53/$NT$53)),0)</f>
        <v/>
      </c>
      <c r="MG53" s="402">
        <f>IF(AND(341&gt;=$NR$53,341&lt;=$NS$53),IF($NP$53="Single_Point",IF(341=$NR$53,$NN$53,0),IF($NP$53="Bell_Curve",$NN$53*(341-$NR$53+1)*($NS$53-341+1)/$NU$53,$NN$53/$NT$53)),0)</f>
        <v/>
      </c>
      <c r="MH53" s="402">
        <f>IF(AND(342&gt;=$NR$53,342&lt;=$NS$53),IF($NP$53="Single_Point",IF(342=$NR$53,$NN$53,0),IF($NP$53="Bell_Curve",$NN$53*(342-$NR$53+1)*($NS$53-342+1)/$NU$53,$NN$53/$NT$53)),0)</f>
        <v/>
      </c>
      <c r="MI53" s="402">
        <f>IF(AND(343&gt;=$NR$53,343&lt;=$NS$53),IF($NP$53="Single_Point",IF(343=$NR$53,$NN$53,0),IF($NP$53="Bell_Curve",$NN$53*(343-$NR$53+1)*($NS$53-343+1)/$NU$53,$NN$53/$NT$53)),0)</f>
        <v/>
      </c>
      <c r="MJ53" s="402">
        <f>IF(AND(344&gt;=$NR$53,344&lt;=$NS$53),IF($NP$53="Single_Point",IF(344=$NR$53,$NN$53,0),IF($NP$53="Bell_Curve",$NN$53*(344-$NR$53+1)*($NS$53-344+1)/$NU$53,$NN$53/$NT$53)),0)</f>
        <v/>
      </c>
      <c r="MK53" s="402">
        <f>IF(AND(345&gt;=$NR$53,345&lt;=$NS$53),IF($NP$53="Single_Point",IF(345=$NR$53,$NN$53,0),IF($NP$53="Bell_Curve",$NN$53*(345-$NR$53+1)*($NS$53-345+1)/$NU$53,$NN$53/$NT$53)),0)</f>
        <v/>
      </c>
      <c r="ML53" s="402">
        <f>IF(AND(346&gt;=$NR$53,346&lt;=$NS$53),IF($NP$53="Single_Point",IF(346=$NR$53,$NN$53,0),IF($NP$53="Bell_Curve",$NN$53*(346-$NR$53+1)*($NS$53-346+1)/$NU$53,$NN$53/$NT$53)),0)</f>
        <v/>
      </c>
      <c r="MM53" s="402">
        <f>IF(AND(347&gt;=$NR$53,347&lt;=$NS$53),IF($NP$53="Single_Point",IF(347=$NR$53,$NN$53,0),IF($NP$53="Bell_Curve",$NN$53*(347-$NR$53+1)*($NS$53-347+1)/$NU$53,$NN$53/$NT$53)),0)</f>
        <v/>
      </c>
      <c r="MN53" s="402">
        <f>IF(AND(348&gt;=$NR$53,348&lt;=$NS$53),IF($NP$53="Single_Point",IF(348=$NR$53,$NN$53,0),IF($NP$53="Bell_Curve",$NN$53*(348-$NR$53+1)*($NS$53-348+1)/$NU$53,$NN$53/$NT$53)),0)</f>
        <v/>
      </c>
      <c r="MO53" s="402">
        <f>IF(AND(349&gt;=$NR$53,349&lt;=$NS$53),IF($NP$53="Single_Point",IF(349=$NR$53,$NN$53,0),IF($NP$53="Bell_Curve",$NN$53*(349-$NR$53+1)*($NS$53-349+1)/$NU$53,$NN$53/$NT$53)),0)</f>
        <v/>
      </c>
      <c r="MP53" s="402">
        <f>IF(AND(350&gt;=$NR$53,350&lt;=$NS$53),IF($NP$53="Single_Point",IF(350=$NR$53,$NN$53,0),IF($NP$53="Bell_Curve",$NN$53*(350-$NR$53+1)*($NS$53-350+1)/$NU$53,$NN$53/$NT$53)),0)</f>
        <v/>
      </c>
      <c r="MQ53" s="402">
        <f>IF(AND(351&gt;=$NR$53,351&lt;=$NS$53),IF($NP$53="Single_Point",IF(351=$NR$53,$NN$53,0),IF($NP$53="Bell_Curve",$NN$53*(351-$NR$53+1)*($NS$53-351+1)/$NU$53,$NN$53/$NT$53)),0)</f>
        <v/>
      </c>
      <c r="MR53" s="402">
        <f>IF(AND(352&gt;=$NR$53,352&lt;=$NS$53),IF($NP$53="Single_Point",IF(352=$NR$53,$NN$53,0),IF($NP$53="Bell_Curve",$NN$53*(352-$NR$53+1)*($NS$53-352+1)/$NU$53,$NN$53/$NT$53)),0)</f>
        <v/>
      </c>
      <c r="MS53" s="402">
        <f>IF(AND(353&gt;=$NR$53,353&lt;=$NS$53),IF($NP$53="Single_Point",IF(353=$NR$53,$NN$53,0),IF($NP$53="Bell_Curve",$NN$53*(353-$NR$53+1)*($NS$53-353+1)/$NU$53,$NN$53/$NT$53)),0)</f>
        <v/>
      </c>
      <c r="MT53" s="402">
        <f>IF(AND(354&gt;=$NR$53,354&lt;=$NS$53),IF($NP$53="Single_Point",IF(354=$NR$53,$NN$53,0),IF($NP$53="Bell_Curve",$NN$53*(354-$NR$53+1)*($NS$53-354+1)/$NU$53,$NN$53/$NT$53)),0)</f>
        <v/>
      </c>
      <c r="MU53" s="402">
        <f>IF(AND(355&gt;=$NR$53,355&lt;=$NS$53),IF($NP$53="Single_Point",IF(355=$NR$53,$NN$53,0),IF($NP$53="Bell_Curve",$NN$53*(355-$NR$53+1)*($NS$53-355+1)/$NU$53,$NN$53/$NT$53)),0)</f>
        <v/>
      </c>
      <c r="MV53" s="402">
        <f>IF(AND(356&gt;=$NR$53,356&lt;=$NS$53),IF($NP$53="Single_Point",IF(356=$NR$53,$NN$53,0),IF($NP$53="Bell_Curve",$NN$53*(356-$NR$53+1)*($NS$53-356+1)/$NU$53,$NN$53/$NT$53)),0)</f>
        <v/>
      </c>
      <c r="MW53" s="402">
        <f>IF(AND(357&gt;=$NR$53,357&lt;=$NS$53),IF($NP$53="Single_Point",IF(357=$NR$53,$NN$53,0),IF($NP$53="Bell_Curve",$NN$53*(357-$NR$53+1)*($NS$53-357+1)/$NU$53,$NN$53/$NT$53)),0)</f>
        <v/>
      </c>
      <c r="MX53" s="402">
        <f>IF(AND(358&gt;=$NR$53,358&lt;=$NS$53),IF($NP$53="Single_Point",IF(358=$NR$53,$NN$53,0),IF($NP$53="Bell_Curve",$NN$53*(358-$NR$53+1)*($NS$53-358+1)/$NU$53,$NN$53/$NT$53)),0)</f>
        <v/>
      </c>
      <c r="MY53" s="402">
        <f>IF(AND(359&gt;=$NR$53,359&lt;=$NS$53),IF($NP$53="Single_Point",IF(359=$NR$53,$NN$53,0),IF($NP$53="Bell_Curve",$NN$53*(359-$NR$53+1)*($NS$53-359+1)/$NU$53,$NN$53/$NT$53)),0)</f>
        <v/>
      </c>
      <c r="MZ53" s="402">
        <f>IF(AND(360&gt;=$NR$53,360&lt;=$NS$53),IF($NP$53="Single_Point",IF(360=$NR$53,$NN$53,0),IF($NP$53="Bell_Curve",$NN$53*(360-$NR$53+1)*($NS$53-360+1)/$NU$53,$NN$53/$NT$53)),0)</f>
        <v/>
      </c>
      <c r="NA53" s="402">
        <f>IF(AND(361&gt;=$NR$53,361&lt;=$NS$53),IF($NP$53="Single_Point",IF(361=$NR$53,$NN$53,0),IF($NP$53="Bell_Curve",$NN$53*(361-$NR$53+1)*($NS$53-361+1)/$NU$53,$NN$53/$NT$53)),0)</f>
        <v/>
      </c>
      <c r="NB53" s="402">
        <f>IF(AND(362&gt;=$NR$53,362&lt;=$NS$53),IF($NP$53="Single_Point",IF(362=$NR$53,$NN$53,0),IF($NP$53="Bell_Curve",$NN$53*(362-$NR$53+1)*($NS$53-362+1)/$NU$53,$NN$53/$NT$53)),0)</f>
        <v/>
      </c>
      <c r="NC53" s="402">
        <f>IF(AND(363&gt;=$NR$53,363&lt;=$NS$53),IF($NP$53="Single_Point",IF(363=$NR$53,$NN$53,0),IF($NP$53="Bell_Curve",$NN$53*(363-$NR$53+1)*($NS$53-363+1)/$NU$53,$NN$53/$NT$53)),0)</f>
        <v/>
      </c>
      <c r="ND53" s="402">
        <f>IF(AND(364&gt;=$NR$53,364&lt;=$NS$53),IF($NP$53="Single_Point",IF(364=$NR$53,$NN$53,0),IF($NP$53="Bell_Curve",$NN$53*(364-$NR$53+1)*($NS$53-364+1)/$NU$53,$NN$53/$NT$53)),0)</f>
        <v/>
      </c>
      <c r="NE53" s="402">
        <f>IF(AND(365&gt;=$NR$53,365&lt;=$NS$53),IF($NP$53="Single_Point",IF(365=$NR$53,$NN$53,0),IF($NP$53="Bell_Curve",$NN$53*(365-$NR$53+1)*($NS$53-365+1)/$NU$53,$NN$53/$NT$53)),0)</f>
        <v/>
      </c>
      <c r="NF53" s="402">
        <f>IF(AND(366&gt;=$NR$53,366&lt;=$NS$53),IF($NP$53="Single_Point",IF(366=$NR$53,$NN$53,0),IF($NP$53="Bell_Curve",$NN$53*(366-$NR$53+1)*($NS$53-366+1)/$NU$53,$NN$53/$NT$53)),0)</f>
        <v/>
      </c>
      <c r="NG53" s="402">
        <f>IF(AND(367&gt;=$NR$53,367&lt;=$NS$53),IF($NP$53="Single_Point",IF(367=$NR$53,$NN$53,0),IF($NP$53="Bell_Curve",$NN$53*(367-$NR$53+1)*($NS$53-367+1)/$NU$53,$NN$53/$NT$53)),0)</f>
        <v/>
      </c>
      <c r="NH53" s="402">
        <f>IF(AND(368&gt;=$NR$53,368&lt;=$NS$53),IF($NP$53="Single_Point",IF(368=$NR$53,$NN$53,0),IF($NP$53="Bell_Curve",$NN$53*(368-$NR$53+1)*($NS$53-368+1)/$NU$53,$NN$53/$NT$53)),0)</f>
        <v/>
      </c>
      <c r="NI53" s="402">
        <f>IF(AND(369&gt;=$NR$53,369&lt;=$NS$53),IF($NP$53="Single_Point",IF(369=$NR$53,$NN$53,0),IF($NP$53="Bell_Curve",$NN$53*(369-$NR$53+1)*($NS$53-369+1)/$NU$53,$NN$53/$NT$53)),0)</f>
        <v/>
      </c>
      <c r="NJ53" s="402">
        <f>IF(AND(370&gt;=$NR$53,370&lt;=$NS$53),IF($NP$53="Single_Point",IF(370=$NR$53,$NN$53,0),IF($NP$53="Bell_Curve",$NN$53*(370-$NR$53+1)*($NS$53-370+1)/$NU$53,$NN$53/$NT$53)),0)</f>
        <v/>
      </c>
      <c r="NK53" s="402">
        <f>IF(AND(371&gt;=$NR$53,371&lt;=$NS$53),IF($NP$53="Single_Point",IF(371=$NR$53,$NN$53,0),IF($NP$53="Bell_Curve",$NN$53*(371-$NR$53+1)*($NS$53-371+1)/$NU$53,$NN$53/$NT$53)),0)</f>
        <v/>
      </c>
      <c r="NL53" s="402">
        <f>IF(AND(372&gt;=$NR$53,372&lt;=$NS$53),IF($NP$53="Single_Point",IF(372=$NR$53,$NN$53,0),IF($NP$53="Bell_Curve",$NN$53*(372-$NR$53+1)*($NS$53-372+1)/$NU$53,$NN$53/$NT$53)),0)</f>
        <v/>
      </c>
      <c r="NM53">
        <f>Budget!C52</f>
        <v/>
      </c>
      <c r="NN53">
        <f>Budget!J52</f>
        <v/>
      </c>
      <c r="NO53">
        <f>Budget!G52</f>
        <v/>
      </c>
      <c r="NP53">
        <f>Budget!H52</f>
        <v/>
      </c>
      <c r="NQ53">
        <f>Budget!I52</f>
        <v/>
      </c>
      <c r="NR53">
        <f>MAX(1,MIN(372,INDEX(MilestoneStart,MATCH(NO53,MilestoneNames,0))+NQ53))</f>
        <v/>
      </c>
      <c r="NS53">
        <f>MAX(NR53,MIN(372,INDEX(MilestoneEnd,MATCH(NO53,MilestoneNames,0))+NQ53))</f>
        <v/>
      </c>
      <c r="NT53">
        <f>NS53-NR53+1</f>
        <v/>
      </c>
      <c r="NU53">
        <f>NT53*(NT53+1)*(NT53+2)/6</f>
        <v/>
      </c>
    </row>
    <row r="54">
      <c r="B54" s="316">
        <f>Budget!B53</f>
        <v/>
      </c>
      <c r="D54" s="402">
        <f>SUM(E54:NL54)</f>
        <v/>
      </c>
      <c r="E54" s="402">
        <f>IF(AND(1&gt;=$NR$54,1&lt;=$NS$54),IF($NP$54="Single_Point",IF(1=$NR$54,$NN$54,0),IF($NP$54="Bell_Curve",$NN$54*(1-$NR$54+1)*($NS$54-1+1)/$NU$54,$NN$54/$NT$54)),0)</f>
        <v/>
      </c>
      <c r="F54" s="402">
        <f>IF(AND(2&gt;=$NR$54,2&lt;=$NS$54),IF($NP$54="Single_Point",IF(2=$NR$54,$NN$54,0),IF($NP$54="Bell_Curve",$NN$54*(2-$NR$54+1)*($NS$54-2+1)/$NU$54,$NN$54/$NT$54)),0)</f>
        <v/>
      </c>
      <c r="G54" s="402">
        <f>IF(AND(3&gt;=$NR$54,3&lt;=$NS$54),IF($NP$54="Single_Point",IF(3=$NR$54,$NN$54,0),IF($NP$54="Bell_Curve",$NN$54*(3-$NR$54+1)*($NS$54-3+1)/$NU$54,$NN$54/$NT$54)),0)</f>
        <v/>
      </c>
      <c r="H54" s="402">
        <f>IF(AND(4&gt;=$NR$54,4&lt;=$NS$54),IF($NP$54="Single_Point",IF(4=$NR$54,$NN$54,0),IF($NP$54="Bell_Curve",$NN$54*(4-$NR$54+1)*($NS$54-4+1)/$NU$54,$NN$54/$NT$54)),0)</f>
        <v/>
      </c>
      <c r="I54" s="402">
        <f>IF(AND(5&gt;=$NR$54,5&lt;=$NS$54),IF($NP$54="Single_Point",IF(5=$NR$54,$NN$54,0),IF($NP$54="Bell_Curve",$NN$54*(5-$NR$54+1)*($NS$54-5+1)/$NU$54,$NN$54/$NT$54)),0)</f>
        <v/>
      </c>
      <c r="J54" s="402">
        <f>IF(AND(6&gt;=$NR$54,6&lt;=$NS$54),IF($NP$54="Single_Point",IF(6=$NR$54,$NN$54,0),IF($NP$54="Bell_Curve",$NN$54*(6-$NR$54+1)*($NS$54-6+1)/$NU$54,$NN$54/$NT$54)),0)</f>
        <v/>
      </c>
      <c r="K54" s="402">
        <f>IF(AND(7&gt;=$NR$54,7&lt;=$NS$54),IF($NP$54="Single_Point",IF(7=$NR$54,$NN$54,0),IF($NP$54="Bell_Curve",$NN$54*(7-$NR$54+1)*($NS$54-7+1)/$NU$54,$NN$54/$NT$54)),0)</f>
        <v/>
      </c>
      <c r="L54" s="402">
        <f>IF(AND(8&gt;=$NR$54,8&lt;=$NS$54),IF($NP$54="Single_Point",IF(8=$NR$54,$NN$54,0),IF($NP$54="Bell_Curve",$NN$54*(8-$NR$54+1)*($NS$54-8+1)/$NU$54,$NN$54/$NT$54)),0)</f>
        <v/>
      </c>
      <c r="M54" s="402">
        <f>IF(AND(9&gt;=$NR$54,9&lt;=$NS$54),IF($NP$54="Single_Point",IF(9=$NR$54,$NN$54,0),IF($NP$54="Bell_Curve",$NN$54*(9-$NR$54+1)*($NS$54-9+1)/$NU$54,$NN$54/$NT$54)),0)</f>
        <v/>
      </c>
      <c r="N54" s="402">
        <f>IF(AND(10&gt;=$NR$54,10&lt;=$NS$54),IF($NP$54="Single_Point",IF(10=$NR$54,$NN$54,0),IF($NP$54="Bell_Curve",$NN$54*(10-$NR$54+1)*($NS$54-10+1)/$NU$54,$NN$54/$NT$54)),0)</f>
        <v/>
      </c>
      <c r="O54" s="402">
        <f>IF(AND(11&gt;=$NR$54,11&lt;=$NS$54),IF($NP$54="Single_Point",IF(11=$NR$54,$NN$54,0),IF($NP$54="Bell_Curve",$NN$54*(11-$NR$54+1)*($NS$54-11+1)/$NU$54,$NN$54/$NT$54)),0)</f>
        <v/>
      </c>
      <c r="P54" s="402">
        <f>IF(AND(12&gt;=$NR$54,12&lt;=$NS$54),IF($NP$54="Single_Point",IF(12=$NR$54,$NN$54,0),IF($NP$54="Bell_Curve",$NN$54*(12-$NR$54+1)*($NS$54-12+1)/$NU$54,$NN$54/$NT$54)),0)</f>
        <v/>
      </c>
      <c r="Q54" s="402">
        <f>IF(AND(13&gt;=$NR$54,13&lt;=$NS$54),IF($NP$54="Single_Point",IF(13=$NR$54,$NN$54,0),IF($NP$54="Bell_Curve",$NN$54*(13-$NR$54+1)*($NS$54-13+1)/$NU$54,$NN$54/$NT$54)),0)</f>
        <v/>
      </c>
      <c r="R54" s="402">
        <f>IF(AND(14&gt;=$NR$54,14&lt;=$NS$54),IF($NP$54="Single_Point",IF(14=$NR$54,$NN$54,0),IF($NP$54="Bell_Curve",$NN$54*(14-$NR$54+1)*($NS$54-14+1)/$NU$54,$NN$54/$NT$54)),0)</f>
        <v/>
      </c>
      <c r="S54" s="402">
        <f>IF(AND(15&gt;=$NR$54,15&lt;=$NS$54),IF($NP$54="Single_Point",IF(15=$NR$54,$NN$54,0),IF($NP$54="Bell_Curve",$NN$54*(15-$NR$54+1)*($NS$54-15+1)/$NU$54,$NN$54/$NT$54)),0)</f>
        <v/>
      </c>
      <c r="T54" s="402">
        <f>IF(AND(16&gt;=$NR$54,16&lt;=$NS$54),IF($NP$54="Single_Point",IF(16=$NR$54,$NN$54,0),IF($NP$54="Bell_Curve",$NN$54*(16-$NR$54+1)*($NS$54-16+1)/$NU$54,$NN$54/$NT$54)),0)</f>
        <v/>
      </c>
      <c r="U54" s="402">
        <f>IF(AND(17&gt;=$NR$54,17&lt;=$NS$54),IF($NP$54="Single_Point",IF(17=$NR$54,$NN$54,0),IF($NP$54="Bell_Curve",$NN$54*(17-$NR$54+1)*($NS$54-17+1)/$NU$54,$NN$54/$NT$54)),0)</f>
        <v/>
      </c>
      <c r="V54" s="402">
        <f>IF(AND(18&gt;=$NR$54,18&lt;=$NS$54),IF($NP$54="Single_Point",IF(18=$NR$54,$NN$54,0),IF($NP$54="Bell_Curve",$NN$54*(18-$NR$54+1)*($NS$54-18+1)/$NU$54,$NN$54/$NT$54)),0)</f>
        <v/>
      </c>
      <c r="W54" s="402">
        <f>IF(AND(19&gt;=$NR$54,19&lt;=$NS$54),IF($NP$54="Single_Point",IF(19=$NR$54,$NN$54,0),IF($NP$54="Bell_Curve",$NN$54*(19-$NR$54+1)*($NS$54-19+1)/$NU$54,$NN$54/$NT$54)),0)</f>
        <v/>
      </c>
      <c r="X54" s="402">
        <f>IF(AND(20&gt;=$NR$54,20&lt;=$NS$54),IF($NP$54="Single_Point",IF(20=$NR$54,$NN$54,0),IF($NP$54="Bell_Curve",$NN$54*(20-$NR$54+1)*($NS$54-20+1)/$NU$54,$NN$54/$NT$54)),0)</f>
        <v/>
      </c>
      <c r="Y54" s="402">
        <f>IF(AND(21&gt;=$NR$54,21&lt;=$NS$54),IF($NP$54="Single_Point",IF(21=$NR$54,$NN$54,0),IF($NP$54="Bell_Curve",$NN$54*(21-$NR$54+1)*($NS$54-21+1)/$NU$54,$NN$54/$NT$54)),0)</f>
        <v/>
      </c>
      <c r="Z54" s="402">
        <f>IF(AND(22&gt;=$NR$54,22&lt;=$NS$54),IF($NP$54="Single_Point",IF(22=$NR$54,$NN$54,0),IF($NP$54="Bell_Curve",$NN$54*(22-$NR$54+1)*($NS$54-22+1)/$NU$54,$NN$54/$NT$54)),0)</f>
        <v/>
      </c>
      <c r="AA54" s="402">
        <f>IF(AND(23&gt;=$NR$54,23&lt;=$NS$54),IF($NP$54="Single_Point",IF(23=$NR$54,$NN$54,0),IF($NP$54="Bell_Curve",$NN$54*(23-$NR$54+1)*($NS$54-23+1)/$NU$54,$NN$54/$NT$54)),0)</f>
        <v/>
      </c>
      <c r="AB54" s="402">
        <f>IF(AND(24&gt;=$NR$54,24&lt;=$NS$54),IF($NP$54="Single_Point",IF(24=$NR$54,$NN$54,0),IF($NP$54="Bell_Curve",$NN$54*(24-$NR$54+1)*($NS$54-24+1)/$NU$54,$NN$54/$NT$54)),0)</f>
        <v/>
      </c>
      <c r="AC54" s="402">
        <f>IF(AND(25&gt;=$NR$54,25&lt;=$NS$54),IF($NP$54="Single_Point",IF(25=$NR$54,$NN$54,0),IF($NP$54="Bell_Curve",$NN$54*(25-$NR$54+1)*($NS$54-25+1)/$NU$54,$NN$54/$NT$54)),0)</f>
        <v/>
      </c>
      <c r="AD54" s="402">
        <f>IF(AND(26&gt;=$NR$54,26&lt;=$NS$54),IF($NP$54="Single_Point",IF(26=$NR$54,$NN$54,0),IF($NP$54="Bell_Curve",$NN$54*(26-$NR$54+1)*($NS$54-26+1)/$NU$54,$NN$54/$NT$54)),0)</f>
        <v/>
      </c>
      <c r="AE54" s="402">
        <f>IF(AND(27&gt;=$NR$54,27&lt;=$NS$54),IF($NP$54="Single_Point",IF(27=$NR$54,$NN$54,0),IF($NP$54="Bell_Curve",$NN$54*(27-$NR$54+1)*($NS$54-27+1)/$NU$54,$NN$54/$NT$54)),0)</f>
        <v/>
      </c>
      <c r="AF54" s="402">
        <f>IF(AND(28&gt;=$NR$54,28&lt;=$NS$54),IF($NP$54="Single_Point",IF(28=$NR$54,$NN$54,0),IF($NP$54="Bell_Curve",$NN$54*(28-$NR$54+1)*($NS$54-28+1)/$NU$54,$NN$54/$NT$54)),0)</f>
        <v/>
      </c>
      <c r="AG54" s="402">
        <f>IF(AND(29&gt;=$NR$54,29&lt;=$NS$54),IF($NP$54="Single_Point",IF(29=$NR$54,$NN$54,0),IF($NP$54="Bell_Curve",$NN$54*(29-$NR$54+1)*($NS$54-29+1)/$NU$54,$NN$54/$NT$54)),0)</f>
        <v/>
      </c>
      <c r="AH54" s="402">
        <f>IF(AND(30&gt;=$NR$54,30&lt;=$NS$54),IF($NP$54="Single_Point",IF(30=$NR$54,$NN$54,0),IF($NP$54="Bell_Curve",$NN$54*(30-$NR$54+1)*($NS$54-30+1)/$NU$54,$NN$54/$NT$54)),0)</f>
        <v/>
      </c>
      <c r="AI54" s="402">
        <f>IF(AND(31&gt;=$NR$54,31&lt;=$NS$54),IF($NP$54="Single_Point",IF(31=$NR$54,$NN$54,0),IF($NP$54="Bell_Curve",$NN$54*(31-$NR$54+1)*($NS$54-31+1)/$NU$54,$NN$54/$NT$54)),0)</f>
        <v/>
      </c>
      <c r="AJ54" s="402">
        <f>IF(AND(32&gt;=$NR$54,32&lt;=$NS$54),IF($NP$54="Single_Point",IF(32=$NR$54,$NN$54,0),IF($NP$54="Bell_Curve",$NN$54*(32-$NR$54+1)*($NS$54-32+1)/$NU$54,$NN$54/$NT$54)),0)</f>
        <v/>
      </c>
      <c r="AK54" s="402">
        <f>IF(AND(33&gt;=$NR$54,33&lt;=$NS$54),IF($NP$54="Single_Point",IF(33=$NR$54,$NN$54,0),IF($NP$54="Bell_Curve",$NN$54*(33-$NR$54+1)*($NS$54-33+1)/$NU$54,$NN$54/$NT$54)),0)</f>
        <v/>
      </c>
      <c r="AL54" s="402">
        <f>IF(AND(34&gt;=$NR$54,34&lt;=$NS$54),IF($NP$54="Single_Point",IF(34=$NR$54,$NN$54,0),IF($NP$54="Bell_Curve",$NN$54*(34-$NR$54+1)*($NS$54-34+1)/$NU$54,$NN$54/$NT$54)),0)</f>
        <v/>
      </c>
      <c r="AM54" s="402">
        <f>IF(AND(35&gt;=$NR$54,35&lt;=$NS$54),IF($NP$54="Single_Point",IF(35=$NR$54,$NN$54,0),IF($NP$54="Bell_Curve",$NN$54*(35-$NR$54+1)*($NS$54-35+1)/$NU$54,$NN$54/$NT$54)),0)</f>
        <v/>
      </c>
      <c r="AN54" s="402">
        <f>IF(AND(36&gt;=$NR$54,36&lt;=$NS$54),IF($NP$54="Single_Point",IF(36=$NR$54,$NN$54,0),IF($NP$54="Bell_Curve",$NN$54*(36-$NR$54+1)*($NS$54-36+1)/$NU$54,$NN$54/$NT$54)),0)</f>
        <v/>
      </c>
      <c r="AO54" s="402">
        <f>IF(AND(37&gt;=$NR$54,37&lt;=$NS$54),IF($NP$54="Single_Point",IF(37=$NR$54,$NN$54,0),IF($NP$54="Bell_Curve",$NN$54*(37-$NR$54+1)*($NS$54-37+1)/$NU$54,$NN$54/$NT$54)),0)</f>
        <v/>
      </c>
      <c r="AP54" s="402">
        <f>IF(AND(38&gt;=$NR$54,38&lt;=$NS$54),IF($NP$54="Single_Point",IF(38=$NR$54,$NN$54,0),IF($NP$54="Bell_Curve",$NN$54*(38-$NR$54+1)*($NS$54-38+1)/$NU$54,$NN$54/$NT$54)),0)</f>
        <v/>
      </c>
      <c r="AQ54" s="402">
        <f>IF(AND(39&gt;=$NR$54,39&lt;=$NS$54),IF($NP$54="Single_Point",IF(39=$NR$54,$NN$54,0),IF($NP$54="Bell_Curve",$NN$54*(39-$NR$54+1)*($NS$54-39+1)/$NU$54,$NN$54/$NT$54)),0)</f>
        <v/>
      </c>
      <c r="AR54" s="402">
        <f>IF(AND(40&gt;=$NR$54,40&lt;=$NS$54),IF($NP$54="Single_Point",IF(40=$NR$54,$NN$54,0),IF($NP$54="Bell_Curve",$NN$54*(40-$NR$54+1)*($NS$54-40+1)/$NU$54,$NN$54/$NT$54)),0)</f>
        <v/>
      </c>
      <c r="AS54" s="402">
        <f>IF(AND(41&gt;=$NR$54,41&lt;=$NS$54),IF($NP$54="Single_Point",IF(41=$NR$54,$NN$54,0),IF($NP$54="Bell_Curve",$NN$54*(41-$NR$54+1)*($NS$54-41+1)/$NU$54,$NN$54/$NT$54)),0)</f>
        <v/>
      </c>
      <c r="AT54" s="402">
        <f>IF(AND(42&gt;=$NR$54,42&lt;=$NS$54),IF($NP$54="Single_Point",IF(42=$NR$54,$NN$54,0),IF($NP$54="Bell_Curve",$NN$54*(42-$NR$54+1)*($NS$54-42+1)/$NU$54,$NN$54/$NT$54)),0)</f>
        <v/>
      </c>
      <c r="AU54" s="402">
        <f>IF(AND(43&gt;=$NR$54,43&lt;=$NS$54),IF($NP$54="Single_Point",IF(43=$NR$54,$NN$54,0),IF($NP$54="Bell_Curve",$NN$54*(43-$NR$54+1)*($NS$54-43+1)/$NU$54,$NN$54/$NT$54)),0)</f>
        <v/>
      </c>
      <c r="AV54" s="402">
        <f>IF(AND(44&gt;=$NR$54,44&lt;=$NS$54),IF($NP$54="Single_Point",IF(44=$NR$54,$NN$54,0),IF($NP$54="Bell_Curve",$NN$54*(44-$NR$54+1)*($NS$54-44+1)/$NU$54,$NN$54/$NT$54)),0)</f>
        <v/>
      </c>
      <c r="AW54" s="402">
        <f>IF(AND(45&gt;=$NR$54,45&lt;=$NS$54),IF($NP$54="Single_Point",IF(45=$NR$54,$NN$54,0),IF($NP$54="Bell_Curve",$NN$54*(45-$NR$54+1)*($NS$54-45+1)/$NU$54,$NN$54/$NT$54)),0)</f>
        <v/>
      </c>
      <c r="AX54" s="402">
        <f>IF(AND(46&gt;=$NR$54,46&lt;=$NS$54),IF($NP$54="Single_Point",IF(46=$NR$54,$NN$54,0),IF($NP$54="Bell_Curve",$NN$54*(46-$NR$54+1)*($NS$54-46+1)/$NU$54,$NN$54/$NT$54)),0)</f>
        <v/>
      </c>
      <c r="AY54" s="402">
        <f>IF(AND(47&gt;=$NR$54,47&lt;=$NS$54),IF($NP$54="Single_Point",IF(47=$NR$54,$NN$54,0),IF($NP$54="Bell_Curve",$NN$54*(47-$NR$54+1)*($NS$54-47+1)/$NU$54,$NN$54/$NT$54)),0)</f>
        <v/>
      </c>
      <c r="AZ54" s="402">
        <f>IF(AND(48&gt;=$NR$54,48&lt;=$NS$54),IF($NP$54="Single_Point",IF(48=$NR$54,$NN$54,0),IF($NP$54="Bell_Curve",$NN$54*(48-$NR$54+1)*($NS$54-48+1)/$NU$54,$NN$54/$NT$54)),0)</f>
        <v/>
      </c>
      <c r="BA54" s="402">
        <f>IF(AND(49&gt;=$NR$54,49&lt;=$NS$54),IF($NP$54="Single_Point",IF(49=$NR$54,$NN$54,0),IF($NP$54="Bell_Curve",$NN$54*(49-$NR$54+1)*($NS$54-49+1)/$NU$54,$NN$54/$NT$54)),0)</f>
        <v/>
      </c>
      <c r="BB54" s="402">
        <f>IF(AND(50&gt;=$NR$54,50&lt;=$NS$54),IF($NP$54="Single_Point",IF(50=$NR$54,$NN$54,0),IF($NP$54="Bell_Curve",$NN$54*(50-$NR$54+1)*($NS$54-50+1)/$NU$54,$NN$54/$NT$54)),0)</f>
        <v/>
      </c>
      <c r="BC54" s="402">
        <f>IF(AND(51&gt;=$NR$54,51&lt;=$NS$54),IF($NP$54="Single_Point",IF(51=$NR$54,$NN$54,0),IF($NP$54="Bell_Curve",$NN$54*(51-$NR$54+1)*($NS$54-51+1)/$NU$54,$NN$54/$NT$54)),0)</f>
        <v/>
      </c>
      <c r="BD54" s="402">
        <f>IF(AND(52&gt;=$NR$54,52&lt;=$NS$54),IF($NP$54="Single_Point",IF(52=$NR$54,$NN$54,0),IF($NP$54="Bell_Curve",$NN$54*(52-$NR$54+1)*($NS$54-52+1)/$NU$54,$NN$54/$NT$54)),0)</f>
        <v/>
      </c>
      <c r="BE54" s="402">
        <f>IF(AND(53&gt;=$NR$54,53&lt;=$NS$54),IF($NP$54="Single_Point",IF(53=$NR$54,$NN$54,0),IF($NP$54="Bell_Curve",$NN$54*(53-$NR$54+1)*($NS$54-53+1)/$NU$54,$NN$54/$NT$54)),0)</f>
        <v/>
      </c>
      <c r="BF54" s="402">
        <f>IF(AND(54&gt;=$NR$54,54&lt;=$NS$54),IF($NP$54="Single_Point",IF(54=$NR$54,$NN$54,0),IF($NP$54="Bell_Curve",$NN$54*(54-$NR$54+1)*($NS$54-54+1)/$NU$54,$NN$54/$NT$54)),0)</f>
        <v/>
      </c>
      <c r="BG54" s="402">
        <f>IF(AND(55&gt;=$NR$54,55&lt;=$NS$54),IF($NP$54="Single_Point",IF(55=$NR$54,$NN$54,0),IF($NP$54="Bell_Curve",$NN$54*(55-$NR$54+1)*($NS$54-55+1)/$NU$54,$NN$54/$NT$54)),0)</f>
        <v/>
      </c>
      <c r="BH54" s="402">
        <f>IF(AND(56&gt;=$NR$54,56&lt;=$NS$54),IF($NP$54="Single_Point",IF(56=$NR$54,$NN$54,0),IF($NP$54="Bell_Curve",$NN$54*(56-$NR$54+1)*($NS$54-56+1)/$NU$54,$NN$54/$NT$54)),0)</f>
        <v/>
      </c>
      <c r="BI54" s="402">
        <f>IF(AND(57&gt;=$NR$54,57&lt;=$NS$54),IF($NP$54="Single_Point",IF(57=$NR$54,$NN$54,0),IF($NP$54="Bell_Curve",$NN$54*(57-$NR$54+1)*($NS$54-57+1)/$NU$54,$NN$54/$NT$54)),0)</f>
        <v/>
      </c>
      <c r="BJ54" s="402">
        <f>IF(AND(58&gt;=$NR$54,58&lt;=$NS$54),IF($NP$54="Single_Point",IF(58=$NR$54,$NN$54,0),IF($NP$54="Bell_Curve",$NN$54*(58-$NR$54+1)*($NS$54-58+1)/$NU$54,$NN$54/$NT$54)),0)</f>
        <v/>
      </c>
      <c r="BK54" s="402">
        <f>IF(AND(59&gt;=$NR$54,59&lt;=$NS$54),IF($NP$54="Single_Point",IF(59=$NR$54,$NN$54,0),IF($NP$54="Bell_Curve",$NN$54*(59-$NR$54+1)*($NS$54-59+1)/$NU$54,$NN$54/$NT$54)),0)</f>
        <v/>
      </c>
      <c r="BL54" s="402">
        <f>IF(AND(60&gt;=$NR$54,60&lt;=$NS$54),IF($NP$54="Single_Point",IF(60=$NR$54,$NN$54,0),IF($NP$54="Bell_Curve",$NN$54*(60-$NR$54+1)*($NS$54-60+1)/$NU$54,$NN$54/$NT$54)),0)</f>
        <v/>
      </c>
      <c r="BM54" s="402">
        <f>IF(AND(61&gt;=$NR$54,61&lt;=$NS$54),IF($NP$54="Single_Point",IF(61=$NR$54,$NN$54,0),IF($NP$54="Bell_Curve",$NN$54*(61-$NR$54+1)*($NS$54-61+1)/$NU$54,$NN$54/$NT$54)),0)</f>
        <v/>
      </c>
      <c r="BN54" s="402">
        <f>IF(AND(62&gt;=$NR$54,62&lt;=$NS$54),IF($NP$54="Single_Point",IF(62=$NR$54,$NN$54,0),IF($NP$54="Bell_Curve",$NN$54*(62-$NR$54+1)*($NS$54-62+1)/$NU$54,$NN$54/$NT$54)),0)</f>
        <v/>
      </c>
      <c r="BO54" s="402">
        <f>IF(AND(63&gt;=$NR$54,63&lt;=$NS$54),IF($NP$54="Single_Point",IF(63=$NR$54,$NN$54,0),IF($NP$54="Bell_Curve",$NN$54*(63-$NR$54+1)*($NS$54-63+1)/$NU$54,$NN$54/$NT$54)),0)</f>
        <v/>
      </c>
      <c r="BP54" s="402">
        <f>IF(AND(64&gt;=$NR$54,64&lt;=$NS$54),IF($NP$54="Single_Point",IF(64=$NR$54,$NN$54,0),IF($NP$54="Bell_Curve",$NN$54*(64-$NR$54+1)*($NS$54-64+1)/$NU$54,$NN$54/$NT$54)),0)</f>
        <v/>
      </c>
      <c r="BQ54" s="402">
        <f>IF(AND(65&gt;=$NR$54,65&lt;=$NS$54),IF($NP$54="Single_Point",IF(65=$NR$54,$NN$54,0),IF($NP$54="Bell_Curve",$NN$54*(65-$NR$54+1)*($NS$54-65+1)/$NU$54,$NN$54/$NT$54)),0)</f>
        <v/>
      </c>
      <c r="BR54" s="402">
        <f>IF(AND(66&gt;=$NR$54,66&lt;=$NS$54),IF($NP$54="Single_Point",IF(66=$NR$54,$NN$54,0),IF($NP$54="Bell_Curve",$NN$54*(66-$NR$54+1)*($NS$54-66+1)/$NU$54,$NN$54/$NT$54)),0)</f>
        <v/>
      </c>
      <c r="BS54" s="402">
        <f>IF(AND(67&gt;=$NR$54,67&lt;=$NS$54),IF($NP$54="Single_Point",IF(67=$NR$54,$NN$54,0),IF($NP$54="Bell_Curve",$NN$54*(67-$NR$54+1)*($NS$54-67+1)/$NU$54,$NN$54/$NT$54)),0)</f>
        <v/>
      </c>
      <c r="BT54" s="402">
        <f>IF(AND(68&gt;=$NR$54,68&lt;=$NS$54),IF($NP$54="Single_Point",IF(68=$NR$54,$NN$54,0),IF($NP$54="Bell_Curve",$NN$54*(68-$NR$54+1)*($NS$54-68+1)/$NU$54,$NN$54/$NT$54)),0)</f>
        <v/>
      </c>
      <c r="BU54" s="402">
        <f>IF(AND(69&gt;=$NR$54,69&lt;=$NS$54),IF($NP$54="Single_Point",IF(69=$NR$54,$NN$54,0),IF($NP$54="Bell_Curve",$NN$54*(69-$NR$54+1)*($NS$54-69+1)/$NU$54,$NN$54/$NT$54)),0)</f>
        <v/>
      </c>
      <c r="BV54" s="402">
        <f>IF(AND(70&gt;=$NR$54,70&lt;=$NS$54),IF($NP$54="Single_Point",IF(70=$NR$54,$NN$54,0),IF($NP$54="Bell_Curve",$NN$54*(70-$NR$54+1)*($NS$54-70+1)/$NU$54,$NN$54/$NT$54)),0)</f>
        <v/>
      </c>
      <c r="BW54" s="402">
        <f>IF(AND(71&gt;=$NR$54,71&lt;=$NS$54),IF($NP$54="Single_Point",IF(71=$NR$54,$NN$54,0),IF($NP$54="Bell_Curve",$NN$54*(71-$NR$54+1)*($NS$54-71+1)/$NU$54,$NN$54/$NT$54)),0)</f>
        <v/>
      </c>
      <c r="BX54" s="402">
        <f>IF(AND(72&gt;=$NR$54,72&lt;=$NS$54),IF($NP$54="Single_Point",IF(72=$NR$54,$NN$54,0),IF($NP$54="Bell_Curve",$NN$54*(72-$NR$54+1)*($NS$54-72+1)/$NU$54,$NN$54/$NT$54)),0)</f>
        <v/>
      </c>
      <c r="BY54" s="402">
        <f>IF(AND(73&gt;=$NR$54,73&lt;=$NS$54),IF($NP$54="Single_Point",IF(73=$NR$54,$NN$54,0),IF($NP$54="Bell_Curve",$NN$54*(73-$NR$54+1)*($NS$54-73+1)/$NU$54,$NN$54/$NT$54)),0)</f>
        <v/>
      </c>
      <c r="BZ54" s="402">
        <f>IF(AND(74&gt;=$NR$54,74&lt;=$NS$54),IF($NP$54="Single_Point",IF(74=$NR$54,$NN$54,0),IF($NP$54="Bell_Curve",$NN$54*(74-$NR$54+1)*($NS$54-74+1)/$NU$54,$NN$54/$NT$54)),0)</f>
        <v/>
      </c>
      <c r="CA54" s="402">
        <f>IF(AND(75&gt;=$NR$54,75&lt;=$NS$54),IF($NP$54="Single_Point",IF(75=$NR$54,$NN$54,0),IF($NP$54="Bell_Curve",$NN$54*(75-$NR$54+1)*($NS$54-75+1)/$NU$54,$NN$54/$NT$54)),0)</f>
        <v/>
      </c>
      <c r="CB54" s="402">
        <f>IF(AND(76&gt;=$NR$54,76&lt;=$NS$54),IF($NP$54="Single_Point",IF(76=$NR$54,$NN$54,0),IF($NP$54="Bell_Curve",$NN$54*(76-$NR$54+1)*($NS$54-76+1)/$NU$54,$NN$54/$NT$54)),0)</f>
        <v/>
      </c>
      <c r="CC54" s="402">
        <f>IF(AND(77&gt;=$NR$54,77&lt;=$NS$54),IF($NP$54="Single_Point",IF(77=$NR$54,$NN$54,0),IF($NP$54="Bell_Curve",$NN$54*(77-$NR$54+1)*($NS$54-77+1)/$NU$54,$NN$54/$NT$54)),0)</f>
        <v/>
      </c>
      <c r="CD54" s="402">
        <f>IF(AND(78&gt;=$NR$54,78&lt;=$NS$54),IF($NP$54="Single_Point",IF(78=$NR$54,$NN$54,0),IF($NP$54="Bell_Curve",$NN$54*(78-$NR$54+1)*($NS$54-78+1)/$NU$54,$NN$54/$NT$54)),0)</f>
        <v/>
      </c>
      <c r="CE54" s="402">
        <f>IF(AND(79&gt;=$NR$54,79&lt;=$NS$54),IF($NP$54="Single_Point",IF(79=$NR$54,$NN$54,0),IF($NP$54="Bell_Curve",$NN$54*(79-$NR$54+1)*($NS$54-79+1)/$NU$54,$NN$54/$NT$54)),0)</f>
        <v/>
      </c>
      <c r="CF54" s="402">
        <f>IF(AND(80&gt;=$NR$54,80&lt;=$NS$54),IF($NP$54="Single_Point",IF(80=$NR$54,$NN$54,0),IF($NP$54="Bell_Curve",$NN$54*(80-$NR$54+1)*($NS$54-80+1)/$NU$54,$NN$54/$NT$54)),0)</f>
        <v/>
      </c>
      <c r="CG54" s="402">
        <f>IF(AND(81&gt;=$NR$54,81&lt;=$NS$54),IF($NP$54="Single_Point",IF(81=$NR$54,$NN$54,0),IF($NP$54="Bell_Curve",$NN$54*(81-$NR$54+1)*($NS$54-81+1)/$NU$54,$NN$54/$NT$54)),0)</f>
        <v/>
      </c>
      <c r="CH54" s="402">
        <f>IF(AND(82&gt;=$NR$54,82&lt;=$NS$54),IF($NP$54="Single_Point",IF(82=$NR$54,$NN$54,0),IF($NP$54="Bell_Curve",$NN$54*(82-$NR$54+1)*($NS$54-82+1)/$NU$54,$NN$54/$NT$54)),0)</f>
        <v/>
      </c>
      <c r="CI54" s="402">
        <f>IF(AND(83&gt;=$NR$54,83&lt;=$NS$54),IF($NP$54="Single_Point",IF(83=$NR$54,$NN$54,0),IF($NP$54="Bell_Curve",$NN$54*(83-$NR$54+1)*($NS$54-83+1)/$NU$54,$NN$54/$NT$54)),0)</f>
        <v/>
      </c>
      <c r="CJ54" s="402">
        <f>IF(AND(84&gt;=$NR$54,84&lt;=$NS$54),IF($NP$54="Single_Point",IF(84=$NR$54,$NN$54,0),IF($NP$54="Bell_Curve",$NN$54*(84-$NR$54+1)*($NS$54-84+1)/$NU$54,$NN$54/$NT$54)),0)</f>
        <v/>
      </c>
      <c r="CK54" s="402">
        <f>IF(AND(85&gt;=$NR$54,85&lt;=$NS$54),IF($NP$54="Single_Point",IF(85=$NR$54,$NN$54,0),IF($NP$54="Bell_Curve",$NN$54*(85-$NR$54+1)*($NS$54-85+1)/$NU$54,$NN$54/$NT$54)),0)</f>
        <v/>
      </c>
      <c r="CL54" s="402">
        <f>IF(AND(86&gt;=$NR$54,86&lt;=$NS$54),IF($NP$54="Single_Point",IF(86=$NR$54,$NN$54,0),IF($NP$54="Bell_Curve",$NN$54*(86-$NR$54+1)*($NS$54-86+1)/$NU$54,$NN$54/$NT$54)),0)</f>
        <v/>
      </c>
      <c r="CM54" s="402">
        <f>IF(AND(87&gt;=$NR$54,87&lt;=$NS$54),IF($NP$54="Single_Point",IF(87=$NR$54,$NN$54,0),IF($NP$54="Bell_Curve",$NN$54*(87-$NR$54+1)*($NS$54-87+1)/$NU$54,$NN$54/$NT$54)),0)</f>
        <v/>
      </c>
      <c r="CN54" s="402">
        <f>IF(AND(88&gt;=$NR$54,88&lt;=$NS$54),IF($NP$54="Single_Point",IF(88=$NR$54,$NN$54,0),IF($NP$54="Bell_Curve",$NN$54*(88-$NR$54+1)*($NS$54-88+1)/$NU$54,$NN$54/$NT$54)),0)</f>
        <v/>
      </c>
      <c r="CO54" s="402">
        <f>IF(AND(89&gt;=$NR$54,89&lt;=$NS$54),IF($NP$54="Single_Point",IF(89=$NR$54,$NN$54,0),IF($NP$54="Bell_Curve",$NN$54*(89-$NR$54+1)*($NS$54-89+1)/$NU$54,$NN$54/$NT$54)),0)</f>
        <v/>
      </c>
      <c r="CP54" s="402">
        <f>IF(AND(90&gt;=$NR$54,90&lt;=$NS$54),IF($NP$54="Single_Point",IF(90=$NR$54,$NN$54,0),IF($NP$54="Bell_Curve",$NN$54*(90-$NR$54+1)*($NS$54-90+1)/$NU$54,$NN$54/$NT$54)),0)</f>
        <v/>
      </c>
      <c r="CQ54" s="402">
        <f>IF(AND(91&gt;=$NR$54,91&lt;=$NS$54),IF($NP$54="Single_Point",IF(91=$NR$54,$NN$54,0),IF($NP$54="Bell_Curve",$NN$54*(91-$NR$54+1)*($NS$54-91+1)/$NU$54,$NN$54/$NT$54)),0)</f>
        <v/>
      </c>
      <c r="CR54" s="402">
        <f>IF(AND(92&gt;=$NR$54,92&lt;=$NS$54),IF($NP$54="Single_Point",IF(92=$NR$54,$NN$54,0),IF($NP$54="Bell_Curve",$NN$54*(92-$NR$54+1)*($NS$54-92+1)/$NU$54,$NN$54/$NT$54)),0)</f>
        <v/>
      </c>
      <c r="CS54" s="402">
        <f>IF(AND(93&gt;=$NR$54,93&lt;=$NS$54),IF($NP$54="Single_Point",IF(93=$NR$54,$NN$54,0),IF($NP$54="Bell_Curve",$NN$54*(93-$NR$54+1)*($NS$54-93+1)/$NU$54,$NN$54/$NT$54)),0)</f>
        <v/>
      </c>
      <c r="CT54" s="402">
        <f>IF(AND(94&gt;=$NR$54,94&lt;=$NS$54),IF($NP$54="Single_Point",IF(94=$NR$54,$NN$54,0),IF($NP$54="Bell_Curve",$NN$54*(94-$NR$54+1)*($NS$54-94+1)/$NU$54,$NN$54/$NT$54)),0)</f>
        <v/>
      </c>
      <c r="CU54" s="402">
        <f>IF(AND(95&gt;=$NR$54,95&lt;=$NS$54),IF($NP$54="Single_Point",IF(95=$NR$54,$NN$54,0),IF($NP$54="Bell_Curve",$NN$54*(95-$NR$54+1)*($NS$54-95+1)/$NU$54,$NN$54/$NT$54)),0)</f>
        <v/>
      </c>
      <c r="CV54" s="402">
        <f>IF(AND(96&gt;=$NR$54,96&lt;=$NS$54),IF($NP$54="Single_Point",IF(96=$NR$54,$NN$54,0),IF($NP$54="Bell_Curve",$NN$54*(96-$NR$54+1)*($NS$54-96+1)/$NU$54,$NN$54/$NT$54)),0)</f>
        <v/>
      </c>
      <c r="CW54" s="402">
        <f>IF(AND(97&gt;=$NR$54,97&lt;=$NS$54),IF($NP$54="Single_Point",IF(97=$NR$54,$NN$54,0),IF($NP$54="Bell_Curve",$NN$54*(97-$NR$54+1)*($NS$54-97+1)/$NU$54,$NN$54/$NT$54)),0)</f>
        <v/>
      </c>
      <c r="CX54" s="402">
        <f>IF(AND(98&gt;=$NR$54,98&lt;=$NS$54),IF($NP$54="Single_Point",IF(98=$NR$54,$NN$54,0),IF($NP$54="Bell_Curve",$NN$54*(98-$NR$54+1)*($NS$54-98+1)/$NU$54,$NN$54/$NT$54)),0)</f>
        <v/>
      </c>
      <c r="CY54" s="402">
        <f>IF(AND(99&gt;=$NR$54,99&lt;=$NS$54),IF($NP$54="Single_Point",IF(99=$NR$54,$NN$54,0),IF($NP$54="Bell_Curve",$NN$54*(99-$NR$54+1)*($NS$54-99+1)/$NU$54,$NN$54/$NT$54)),0)</f>
        <v/>
      </c>
      <c r="CZ54" s="402">
        <f>IF(AND(100&gt;=$NR$54,100&lt;=$NS$54),IF($NP$54="Single_Point",IF(100=$NR$54,$NN$54,0),IF($NP$54="Bell_Curve",$NN$54*(100-$NR$54+1)*($NS$54-100+1)/$NU$54,$NN$54/$NT$54)),0)</f>
        <v/>
      </c>
      <c r="DA54" s="402">
        <f>IF(AND(101&gt;=$NR$54,101&lt;=$NS$54),IF($NP$54="Single_Point",IF(101=$NR$54,$NN$54,0),IF($NP$54="Bell_Curve",$NN$54*(101-$NR$54+1)*($NS$54-101+1)/$NU$54,$NN$54/$NT$54)),0)</f>
        <v/>
      </c>
      <c r="DB54" s="402">
        <f>IF(AND(102&gt;=$NR$54,102&lt;=$NS$54),IF($NP$54="Single_Point",IF(102=$NR$54,$NN$54,0),IF($NP$54="Bell_Curve",$NN$54*(102-$NR$54+1)*($NS$54-102+1)/$NU$54,$NN$54/$NT$54)),0)</f>
        <v/>
      </c>
      <c r="DC54" s="402">
        <f>IF(AND(103&gt;=$NR$54,103&lt;=$NS$54),IF($NP$54="Single_Point",IF(103=$NR$54,$NN$54,0),IF($NP$54="Bell_Curve",$NN$54*(103-$NR$54+1)*($NS$54-103+1)/$NU$54,$NN$54/$NT$54)),0)</f>
        <v/>
      </c>
      <c r="DD54" s="402">
        <f>IF(AND(104&gt;=$NR$54,104&lt;=$NS$54),IF($NP$54="Single_Point",IF(104=$NR$54,$NN$54,0),IF($NP$54="Bell_Curve",$NN$54*(104-$NR$54+1)*($NS$54-104+1)/$NU$54,$NN$54/$NT$54)),0)</f>
        <v/>
      </c>
      <c r="DE54" s="402">
        <f>IF(AND(105&gt;=$NR$54,105&lt;=$NS$54),IF($NP$54="Single_Point",IF(105=$NR$54,$NN$54,0),IF($NP$54="Bell_Curve",$NN$54*(105-$NR$54+1)*($NS$54-105+1)/$NU$54,$NN$54/$NT$54)),0)</f>
        <v/>
      </c>
      <c r="DF54" s="402">
        <f>IF(AND(106&gt;=$NR$54,106&lt;=$NS$54),IF($NP$54="Single_Point",IF(106=$NR$54,$NN$54,0),IF($NP$54="Bell_Curve",$NN$54*(106-$NR$54+1)*($NS$54-106+1)/$NU$54,$NN$54/$NT$54)),0)</f>
        <v/>
      </c>
      <c r="DG54" s="402">
        <f>IF(AND(107&gt;=$NR$54,107&lt;=$NS$54),IF($NP$54="Single_Point",IF(107=$NR$54,$NN$54,0),IF($NP$54="Bell_Curve",$NN$54*(107-$NR$54+1)*($NS$54-107+1)/$NU$54,$NN$54/$NT$54)),0)</f>
        <v/>
      </c>
      <c r="DH54" s="402">
        <f>IF(AND(108&gt;=$NR$54,108&lt;=$NS$54),IF($NP$54="Single_Point",IF(108=$NR$54,$NN$54,0),IF($NP$54="Bell_Curve",$NN$54*(108-$NR$54+1)*($NS$54-108+1)/$NU$54,$NN$54/$NT$54)),0)</f>
        <v/>
      </c>
      <c r="DI54" s="402">
        <f>IF(AND(109&gt;=$NR$54,109&lt;=$NS$54),IF($NP$54="Single_Point",IF(109=$NR$54,$NN$54,0),IF($NP$54="Bell_Curve",$NN$54*(109-$NR$54+1)*($NS$54-109+1)/$NU$54,$NN$54/$NT$54)),0)</f>
        <v/>
      </c>
      <c r="DJ54" s="402">
        <f>IF(AND(110&gt;=$NR$54,110&lt;=$NS$54),IF($NP$54="Single_Point",IF(110=$NR$54,$NN$54,0),IF($NP$54="Bell_Curve",$NN$54*(110-$NR$54+1)*($NS$54-110+1)/$NU$54,$NN$54/$NT$54)),0)</f>
        <v/>
      </c>
      <c r="DK54" s="402">
        <f>IF(AND(111&gt;=$NR$54,111&lt;=$NS$54),IF($NP$54="Single_Point",IF(111=$NR$54,$NN$54,0),IF($NP$54="Bell_Curve",$NN$54*(111-$NR$54+1)*($NS$54-111+1)/$NU$54,$NN$54/$NT$54)),0)</f>
        <v/>
      </c>
      <c r="DL54" s="402">
        <f>IF(AND(112&gt;=$NR$54,112&lt;=$NS$54),IF($NP$54="Single_Point",IF(112=$NR$54,$NN$54,0),IF($NP$54="Bell_Curve",$NN$54*(112-$NR$54+1)*($NS$54-112+1)/$NU$54,$NN$54/$NT$54)),0)</f>
        <v/>
      </c>
      <c r="DM54" s="402">
        <f>IF(AND(113&gt;=$NR$54,113&lt;=$NS$54),IF($NP$54="Single_Point",IF(113=$NR$54,$NN$54,0),IF($NP$54="Bell_Curve",$NN$54*(113-$NR$54+1)*($NS$54-113+1)/$NU$54,$NN$54/$NT$54)),0)</f>
        <v/>
      </c>
      <c r="DN54" s="402">
        <f>IF(AND(114&gt;=$NR$54,114&lt;=$NS$54),IF($NP$54="Single_Point",IF(114=$NR$54,$NN$54,0),IF($NP$54="Bell_Curve",$NN$54*(114-$NR$54+1)*($NS$54-114+1)/$NU$54,$NN$54/$NT$54)),0)</f>
        <v/>
      </c>
      <c r="DO54" s="402">
        <f>IF(AND(115&gt;=$NR$54,115&lt;=$NS$54),IF($NP$54="Single_Point",IF(115=$NR$54,$NN$54,0),IF($NP$54="Bell_Curve",$NN$54*(115-$NR$54+1)*($NS$54-115+1)/$NU$54,$NN$54/$NT$54)),0)</f>
        <v/>
      </c>
      <c r="DP54" s="402">
        <f>IF(AND(116&gt;=$NR$54,116&lt;=$NS$54),IF($NP$54="Single_Point",IF(116=$NR$54,$NN$54,0),IF($NP$54="Bell_Curve",$NN$54*(116-$NR$54+1)*($NS$54-116+1)/$NU$54,$NN$54/$NT$54)),0)</f>
        <v/>
      </c>
      <c r="DQ54" s="402">
        <f>IF(AND(117&gt;=$NR$54,117&lt;=$NS$54),IF($NP$54="Single_Point",IF(117=$NR$54,$NN$54,0),IF($NP$54="Bell_Curve",$NN$54*(117-$NR$54+1)*($NS$54-117+1)/$NU$54,$NN$54/$NT$54)),0)</f>
        <v/>
      </c>
      <c r="DR54" s="402">
        <f>IF(AND(118&gt;=$NR$54,118&lt;=$NS$54),IF($NP$54="Single_Point",IF(118=$NR$54,$NN$54,0),IF($NP$54="Bell_Curve",$NN$54*(118-$NR$54+1)*($NS$54-118+1)/$NU$54,$NN$54/$NT$54)),0)</f>
        <v/>
      </c>
      <c r="DS54" s="402">
        <f>IF(AND(119&gt;=$NR$54,119&lt;=$NS$54),IF($NP$54="Single_Point",IF(119=$NR$54,$NN$54,0),IF($NP$54="Bell_Curve",$NN$54*(119-$NR$54+1)*($NS$54-119+1)/$NU$54,$NN$54/$NT$54)),0)</f>
        <v/>
      </c>
      <c r="DT54" s="402">
        <f>IF(AND(120&gt;=$NR$54,120&lt;=$NS$54),IF($NP$54="Single_Point",IF(120=$NR$54,$NN$54,0),IF($NP$54="Bell_Curve",$NN$54*(120-$NR$54+1)*($NS$54-120+1)/$NU$54,$NN$54/$NT$54)),0)</f>
        <v/>
      </c>
      <c r="DU54" s="402">
        <f>IF(AND(121&gt;=$NR$54,121&lt;=$NS$54),IF($NP$54="Single_Point",IF(121=$NR$54,$NN$54,0),IF($NP$54="Bell_Curve",$NN$54*(121-$NR$54+1)*($NS$54-121+1)/$NU$54,$NN$54/$NT$54)),0)</f>
        <v/>
      </c>
      <c r="DV54" s="402">
        <f>IF(AND(122&gt;=$NR$54,122&lt;=$NS$54),IF($NP$54="Single_Point",IF(122=$NR$54,$NN$54,0),IF($NP$54="Bell_Curve",$NN$54*(122-$NR$54+1)*($NS$54-122+1)/$NU$54,$NN$54/$NT$54)),0)</f>
        <v/>
      </c>
      <c r="DW54" s="402">
        <f>IF(AND(123&gt;=$NR$54,123&lt;=$NS$54),IF($NP$54="Single_Point",IF(123=$NR$54,$NN$54,0),IF($NP$54="Bell_Curve",$NN$54*(123-$NR$54+1)*($NS$54-123+1)/$NU$54,$NN$54/$NT$54)),0)</f>
        <v/>
      </c>
      <c r="DX54" s="402">
        <f>IF(AND(124&gt;=$NR$54,124&lt;=$NS$54),IF($NP$54="Single_Point",IF(124=$NR$54,$NN$54,0),IF($NP$54="Bell_Curve",$NN$54*(124-$NR$54+1)*($NS$54-124+1)/$NU$54,$NN$54/$NT$54)),0)</f>
        <v/>
      </c>
      <c r="DY54" s="402">
        <f>IF(AND(125&gt;=$NR$54,125&lt;=$NS$54),IF($NP$54="Single_Point",IF(125=$NR$54,$NN$54,0),IF($NP$54="Bell_Curve",$NN$54*(125-$NR$54+1)*($NS$54-125+1)/$NU$54,$NN$54/$NT$54)),0)</f>
        <v/>
      </c>
      <c r="DZ54" s="402">
        <f>IF(AND(126&gt;=$NR$54,126&lt;=$NS$54),IF($NP$54="Single_Point",IF(126=$NR$54,$NN$54,0),IF($NP$54="Bell_Curve",$NN$54*(126-$NR$54+1)*($NS$54-126+1)/$NU$54,$NN$54/$NT$54)),0)</f>
        <v/>
      </c>
      <c r="EA54" s="402">
        <f>IF(AND(127&gt;=$NR$54,127&lt;=$NS$54),IF($NP$54="Single_Point",IF(127=$NR$54,$NN$54,0),IF($NP$54="Bell_Curve",$NN$54*(127-$NR$54+1)*($NS$54-127+1)/$NU$54,$NN$54/$NT$54)),0)</f>
        <v/>
      </c>
      <c r="EB54" s="402">
        <f>IF(AND(128&gt;=$NR$54,128&lt;=$NS$54),IF($NP$54="Single_Point",IF(128=$NR$54,$NN$54,0),IF($NP$54="Bell_Curve",$NN$54*(128-$NR$54+1)*($NS$54-128+1)/$NU$54,$NN$54/$NT$54)),0)</f>
        <v/>
      </c>
      <c r="EC54" s="402">
        <f>IF(AND(129&gt;=$NR$54,129&lt;=$NS$54),IF($NP$54="Single_Point",IF(129=$NR$54,$NN$54,0),IF($NP$54="Bell_Curve",$NN$54*(129-$NR$54+1)*($NS$54-129+1)/$NU$54,$NN$54/$NT$54)),0)</f>
        <v/>
      </c>
      <c r="ED54" s="402">
        <f>IF(AND(130&gt;=$NR$54,130&lt;=$NS$54),IF($NP$54="Single_Point",IF(130=$NR$54,$NN$54,0),IF($NP$54="Bell_Curve",$NN$54*(130-$NR$54+1)*($NS$54-130+1)/$NU$54,$NN$54/$NT$54)),0)</f>
        <v/>
      </c>
      <c r="EE54" s="402">
        <f>IF(AND(131&gt;=$NR$54,131&lt;=$NS$54),IF($NP$54="Single_Point",IF(131=$NR$54,$NN$54,0),IF($NP$54="Bell_Curve",$NN$54*(131-$NR$54+1)*($NS$54-131+1)/$NU$54,$NN$54/$NT$54)),0)</f>
        <v/>
      </c>
      <c r="EF54" s="402">
        <f>IF(AND(132&gt;=$NR$54,132&lt;=$NS$54),IF($NP$54="Single_Point",IF(132=$NR$54,$NN$54,0),IF($NP$54="Bell_Curve",$NN$54*(132-$NR$54+1)*($NS$54-132+1)/$NU$54,$NN$54/$NT$54)),0)</f>
        <v/>
      </c>
      <c r="EG54" s="402">
        <f>IF(AND(133&gt;=$NR$54,133&lt;=$NS$54),IF($NP$54="Single_Point",IF(133=$NR$54,$NN$54,0),IF($NP$54="Bell_Curve",$NN$54*(133-$NR$54+1)*($NS$54-133+1)/$NU$54,$NN$54/$NT$54)),0)</f>
        <v/>
      </c>
      <c r="EH54" s="402">
        <f>IF(AND(134&gt;=$NR$54,134&lt;=$NS$54),IF($NP$54="Single_Point",IF(134=$NR$54,$NN$54,0),IF($NP$54="Bell_Curve",$NN$54*(134-$NR$54+1)*($NS$54-134+1)/$NU$54,$NN$54/$NT$54)),0)</f>
        <v/>
      </c>
      <c r="EI54" s="402">
        <f>IF(AND(135&gt;=$NR$54,135&lt;=$NS$54),IF($NP$54="Single_Point",IF(135=$NR$54,$NN$54,0),IF($NP$54="Bell_Curve",$NN$54*(135-$NR$54+1)*($NS$54-135+1)/$NU$54,$NN$54/$NT$54)),0)</f>
        <v/>
      </c>
      <c r="EJ54" s="402">
        <f>IF(AND(136&gt;=$NR$54,136&lt;=$NS$54),IF($NP$54="Single_Point",IF(136=$NR$54,$NN$54,0),IF($NP$54="Bell_Curve",$NN$54*(136-$NR$54+1)*($NS$54-136+1)/$NU$54,$NN$54/$NT$54)),0)</f>
        <v/>
      </c>
      <c r="EK54" s="402">
        <f>IF(AND(137&gt;=$NR$54,137&lt;=$NS$54),IF($NP$54="Single_Point",IF(137=$NR$54,$NN$54,0),IF($NP$54="Bell_Curve",$NN$54*(137-$NR$54+1)*($NS$54-137+1)/$NU$54,$NN$54/$NT$54)),0)</f>
        <v/>
      </c>
      <c r="EL54" s="402">
        <f>IF(AND(138&gt;=$NR$54,138&lt;=$NS$54),IF($NP$54="Single_Point",IF(138=$NR$54,$NN$54,0),IF($NP$54="Bell_Curve",$NN$54*(138-$NR$54+1)*($NS$54-138+1)/$NU$54,$NN$54/$NT$54)),0)</f>
        <v/>
      </c>
      <c r="EM54" s="402">
        <f>IF(AND(139&gt;=$NR$54,139&lt;=$NS$54),IF($NP$54="Single_Point",IF(139=$NR$54,$NN$54,0),IF($NP$54="Bell_Curve",$NN$54*(139-$NR$54+1)*($NS$54-139+1)/$NU$54,$NN$54/$NT$54)),0)</f>
        <v/>
      </c>
      <c r="EN54" s="402">
        <f>IF(AND(140&gt;=$NR$54,140&lt;=$NS$54),IF($NP$54="Single_Point",IF(140=$NR$54,$NN$54,0),IF($NP$54="Bell_Curve",$NN$54*(140-$NR$54+1)*($NS$54-140+1)/$NU$54,$NN$54/$NT$54)),0)</f>
        <v/>
      </c>
      <c r="EO54" s="402">
        <f>IF(AND(141&gt;=$NR$54,141&lt;=$NS$54),IF($NP$54="Single_Point",IF(141=$NR$54,$NN$54,0),IF($NP$54="Bell_Curve",$NN$54*(141-$NR$54+1)*($NS$54-141+1)/$NU$54,$NN$54/$NT$54)),0)</f>
        <v/>
      </c>
      <c r="EP54" s="402">
        <f>IF(AND(142&gt;=$NR$54,142&lt;=$NS$54),IF($NP$54="Single_Point",IF(142=$NR$54,$NN$54,0),IF($NP$54="Bell_Curve",$NN$54*(142-$NR$54+1)*($NS$54-142+1)/$NU$54,$NN$54/$NT$54)),0)</f>
        <v/>
      </c>
      <c r="EQ54" s="402">
        <f>IF(AND(143&gt;=$NR$54,143&lt;=$NS$54),IF($NP$54="Single_Point",IF(143=$NR$54,$NN$54,0),IF($NP$54="Bell_Curve",$NN$54*(143-$NR$54+1)*($NS$54-143+1)/$NU$54,$NN$54/$NT$54)),0)</f>
        <v/>
      </c>
      <c r="ER54" s="402">
        <f>IF(AND(144&gt;=$NR$54,144&lt;=$NS$54),IF($NP$54="Single_Point",IF(144=$NR$54,$NN$54,0),IF($NP$54="Bell_Curve",$NN$54*(144-$NR$54+1)*($NS$54-144+1)/$NU$54,$NN$54/$NT$54)),0)</f>
        <v/>
      </c>
      <c r="ES54" s="402">
        <f>IF(AND(145&gt;=$NR$54,145&lt;=$NS$54),IF($NP$54="Single_Point",IF(145=$NR$54,$NN$54,0),IF($NP$54="Bell_Curve",$NN$54*(145-$NR$54+1)*($NS$54-145+1)/$NU$54,$NN$54/$NT$54)),0)</f>
        <v/>
      </c>
      <c r="ET54" s="402">
        <f>IF(AND(146&gt;=$NR$54,146&lt;=$NS$54),IF($NP$54="Single_Point",IF(146=$NR$54,$NN$54,0),IF($NP$54="Bell_Curve",$NN$54*(146-$NR$54+1)*($NS$54-146+1)/$NU$54,$NN$54/$NT$54)),0)</f>
        <v/>
      </c>
      <c r="EU54" s="402">
        <f>IF(AND(147&gt;=$NR$54,147&lt;=$NS$54),IF($NP$54="Single_Point",IF(147=$NR$54,$NN$54,0),IF($NP$54="Bell_Curve",$NN$54*(147-$NR$54+1)*($NS$54-147+1)/$NU$54,$NN$54/$NT$54)),0)</f>
        <v/>
      </c>
      <c r="EV54" s="402">
        <f>IF(AND(148&gt;=$NR$54,148&lt;=$NS$54),IF($NP$54="Single_Point",IF(148=$NR$54,$NN$54,0),IF($NP$54="Bell_Curve",$NN$54*(148-$NR$54+1)*($NS$54-148+1)/$NU$54,$NN$54/$NT$54)),0)</f>
        <v/>
      </c>
      <c r="EW54" s="402">
        <f>IF(AND(149&gt;=$NR$54,149&lt;=$NS$54),IF($NP$54="Single_Point",IF(149=$NR$54,$NN$54,0),IF($NP$54="Bell_Curve",$NN$54*(149-$NR$54+1)*($NS$54-149+1)/$NU$54,$NN$54/$NT$54)),0)</f>
        <v/>
      </c>
      <c r="EX54" s="402">
        <f>IF(AND(150&gt;=$NR$54,150&lt;=$NS$54),IF($NP$54="Single_Point",IF(150=$NR$54,$NN$54,0),IF($NP$54="Bell_Curve",$NN$54*(150-$NR$54+1)*($NS$54-150+1)/$NU$54,$NN$54/$NT$54)),0)</f>
        <v/>
      </c>
      <c r="EY54" s="402">
        <f>IF(AND(151&gt;=$NR$54,151&lt;=$NS$54),IF($NP$54="Single_Point",IF(151=$NR$54,$NN$54,0),IF($NP$54="Bell_Curve",$NN$54*(151-$NR$54+1)*($NS$54-151+1)/$NU$54,$NN$54/$NT$54)),0)</f>
        <v/>
      </c>
      <c r="EZ54" s="402">
        <f>IF(AND(152&gt;=$NR$54,152&lt;=$NS$54),IF($NP$54="Single_Point",IF(152=$NR$54,$NN$54,0),IF($NP$54="Bell_Curve",$NN$54*(152-$NR$54+1)*($NS$54-152+1)/$NU$54,$NN$54/$NT$54)),0)</f>
        <v/>
      </c>
      <c r="FA54" s="402">
        <f>IF(AND(153&gt;=$NR$54,153&lt;=$NS$54),IF($NP$54="Single_Point",IF(153=$NR$54,$NN$54,0),IF($NP$54="Bell_Curve",$NN$54*(153-$NR$54+1)*($NS$54-153+1)/$NU$54,$NN$54/$NT$54)),0)</f>
        <v/>
      </c>
      <c r="FB54" s="402">
        <f>IF(AND(154&gt;=$NR$54,154&lt;=$NS$54),IF($NP$54="Single_Point",IF(154=$NR$54,$NN$54,0),IF($NP$54="Bell_Curve",$NN$54*(154-$NR$54+1)*($NS$54-154+1)/$NU$54,$NN$54/$NT$54)),0)</f>
        <v/>
      </c>
      <c r="FC54" s="402">
        <f>IF(AND(155&gt;=$NR$54,155&lt;=$NS$54),IF($NP$54="Single_Point",IF(155=$NR$54,$NN$54,0),IF($NP$54="Bell_Curve",$NN$54*(155-$NR$54+1)*($NS$54-155+1)/$NU$54,$NN$54/$NT$54)),0)</f>
        <v/>
      </c>
      <c r="FD54" s="402">
        <f>IF(AND(156&gt;=$NR$54,156&lt;=$NS$54),IF($NP$54="Single_Point",IF(156=$NR$54,$NN$54,0),IF($NP$54="Bell_Curve",$NN$54*(156-$NR$54+1)*($NS$54-156+1)/$NU$54,$NN$54/$NT$54)),0)</f>
        <v/>
      </c>
      <c r="FE54" s="402">
        <f>IF(AND(157&gt;=$NR$54,157&lt;=$NS$54),IF($NP$54="Single_Point",IF(157=$NR$54,$NN$54,0),IF($NP$54="Bell_Curve",$NN$54*(157-$NR$54+1)*($NS$54-157+1)/$NU$54,$NN$54/$NT$54)),0)</f>
        <v/>
      </c>
      <c r="FF54" s="402">
        <f>IF(AND(158&gt;=$NR$54,158&lt;=$NS$54),IF($NP$54="Single_Point",IF(158=$NR$54,$NN$54,0),IF($NP$54="Bell_Curve",$NN$54*(158-$NR$54+1)*($NS$54-158+1)/$NU$54,$NN$54/$NT$54)),0)</f>
        <v/>
      </c>
      <c r="FG54" s="402">
        <f>IF(AND(159&gt;=$NR$54,159&lt;=$NS$54),IF($NP$54="Single_Point",IF(159=$NR$54,$NN$54,0),IF($NP$54="Bell_Curve",$NN$54*(159-$NR$54+1)*($NS$54-159+1)/$NU$54,$NN$54/$NT$54)),0)</f>
        <v/>
      </c>
      <c r="FH54" s="402">
        <f>IF(AND(160&gt;=$NR$54,160&lt;=$NS$54),IF($NP$54="Single_Point",IF(160=$NR$54,$NN$54,0),IF($NP$54="Bell_Curve",$NN$54*(160-$NR$54+1)*($NS$54-160+1)/$NU$54,$NN$54/$NT$54)),0)</f>
        <v/>
      </c>
      <c r="FI54" s="402">
        <f>IF(AND(161&gt;=$NR$54,161&lt;=$NS$54),IF($NP$54="Single_Point",IF(161=$NR$54,$NN$54,0),IF($NP$54="Bell_Curve",$NN$54*(161-$NR$54+1)*($NS$54-161+1)/$NU$54,$NN$54/$NT$54)),0)</f>
        <v/>
      </c>
      <c r="FJ54" s="402">
        <f>IF(AND(162&gt;=$NR$54,162&lt;=$NS$54),IF($NP$54="Single_Point",IF(162=$NR$54,$NN$54,0),IF($NP$54="Bell_Curve",$NN$54*(162-$NR$54+1)*($NS$54-162+1)/$NU$54,$NN$54/$NT$54)),0)</f>
        <v/>
      </c>
      <c r="FK54" s="402">
        <f>IF(AND(163&gt;=$NR$54,163&lt;=$NS$54),IF($NP$54="Single_Point",IF(163=$NR$54,$NN$54,0),IF($NP$54="Bell_Curve",$NN$54*(163-$NR$54+1)*($NS$54-163+1)/$NU$54,$NN$54/$NT$54)),0)</f>
        <v/>
      </c>
      <c r="FL54" s="402">
        <f>IF(AND(164&gt;=$NR$54,164&lt;=$NS$54),IF($NP$54="Single_Point",IF(164=$NR$54,$NN$54,0),IF($NP$54="Bell_Curve",$NN$54*(164-$NR$54+1)*($NS$54-164+1)/$NU$54,$NN$54/$NT$54)),0)</f>
        <v/>
      </c>
      <c r="FM54" s="402">
        <f>IF(AND(165&gt;=$NR$54,165&lt;=$NS$54),IF($NP$54="Single_Point",IF(165=$NR$54,$NN$54,0),IF($NP$54="Bell_Curve",$NN$54*(165-$NR$54+1)*($NS$54-165+1)/$NU$54,$NN$54/$NT$54)),0)</f>
        <v/>
      </c>
      <c r="FN54" s="402">
        <f>IF(AND(166&gt;=$NR$54,166&lt;=$NS$54),IF($NP$54="Single_Point",IF(166=$NR$54,$NN$54,0),IF($NP$54="Bell_Curve",$NN$54*(166-$NR$54+1)*($NS$54-166+1)/$NU$54,$NN$54/$NT$54)),0)</f>
        <v/>
      </c>
      <c r="FO54" s="402">
        <f>IF(AND(167&gt;=$NR$54,167&lt;=$NS$54),IF($NP$54="Single_Point",IF(167=$NR$54,$NN$54,0),IF($NP$54="Bell_Curve",$NN$54*(167-$NR$54+1)*($NS$54-167+1)/$NU$54,$NN$54/$NT$54)),0)</f>
        <v/>
      </c>
      <c r="FP54" s="402">
        <f>IF(AND(168&gt;=$NR$54,168&lt;=$NS$54),IF($NP$54="Single_Point",IF(168=$NR$54,$NN$54,0),IF($NP$54="Bell_Curve",$NN$54*(168-$NR$54+1)*($NS$54-168+1)/$NU$54,$NN$54/$NT$54)),0)</f>
        <v/>
      </c>
      <c r="FQ54" s="402">
        <f>IF(AND(169&gt;=$NR$54,169&lt;=$NS$54),IF($NP$54="Single_Point",IF(169=$NR$54,$NN$54,0),IF($NP$54="Bell_Curve",$NN$54*(169-$NR$54+1)*($NS$54-169+1)/$NU$54,$NN$54/$NT$54)),0)</f>
        <v/>
      </c>
      <c r="FR54" s="402">
        <f>IF(AND(170&gt;=$NR$54,170&lt;=$NS$54),IF($NP$54="Single_Point",IF(170=$NR$54,$NN$54,0),IF($NP$54="Bell_Curve",$NN$54*(170-$NR$54+1)*($NS$54-170+1)/$NU$54,$NN$54/$NT$54)),0)</f>
        <v/>
      </c>
      <c r="FS54" s="402">
        <f>IF(AND(171&gt;=$NR$54,171&lt;=$NS$54),IF($NP$54="Single_Point",IF(171=$NR$54,$NN$54,0),IF($NP$54="Bell_Curve",$NN$54*(171-$NR$54+1)*($NS$54-171+1)/$NU$54,$NN$54/$NT$54)),0)</f>
        <v/>
      </c>
      <c r="FT54" s="402">
        <f>IF(AND(172&gt;=$NR$54,172&lt;=$NS$54),IF($NP$54="Single_Point",IF(172=$NR$54,$NN$54,0),IF($NP$54="Bell_Curve",$NN$54*(172-$NR$54+1)*($NS$54-172+1)/$NU$54,$NN$54/$NT$54)),0)</f>
        <v/>
      </c>
      <c r="FU54" s="402">
        <f>IF(AND(173&gt;=$NR$54,173&lt;=$NS$54),IF($NP$54="Single_Point",IF(173=$NR$54,$NN$54,0),IF($NP$54="Bell_Curve",$NN$54*(173-$NR$54+1)*($NS$54-173+1)/$NU$54,$NN$54/$NT$54)),0)</f>
        <v/>
      </c>
      <c r="FV54" s="402">
        <f>IF(AND(174&gt;=$NR$54,174&lt;=$NS$54),IF($NP$54="Single_Point",IF(174=$NR$54,$NN$54,0),IF($NP$54="Bell_Curve",$NN$54*(174-$NR$54+1)*($NS$54-174+1)/$NU$54,$NN$54/$NT$54)),0)</f>
        <v/>
      </c>
      <c r="FW54" s="402">
        <f>IF(AND(175&gt;=$NR$54,175&lt;=$NS$54),IF($NP$54="Single_Point",IF(175=$NR$54,$NN$54,0),IF($NP$54="Bell_Curve",$NN$54*(175-$NR$54+1)*($NS$54-175+1)/$NU$54,$NN$54/$NT$54)),0)</f>
        <v/>
      </c>
      <c r="FX54" s="402">
        <f>IF(AND(176&gt;=$NR$54,176&lt;=$NS$54),IF($NP$54="Single_Point",IF(176=$NR$54,$NN$54,0),IF($NP$54="Bell_Curve",$NN$54*(176-$NR$54+1)*($NS$54-176+1)/$NU$54,$NN$54/$NT$54)),0)</f>
        <v/>
      </c>
      <c r="FY54" s="402">
        <f>IF(AND(177&gt;=$NR$54,177&lt;=$NS$54),IF($NP$54="Single_Point",IF(177=$NR$54,$NN$54,0),IF($NP$54="Bell_Curve",$NN$54*(177-$NR$54+1)*($NS$54-177+1)/$NU$54,$NN$54/$NT$54)),0)</f>
        <v/>
      </c>
      <c r="FZ54" s="402">
        <f>IF(AND(178&gt;=$NR$54,178&lt;=$NS$54),IF($NP$54="Single_Point",IF(178=$NR$54,$NN$54,0),IF($NP$54="Bell_Curve",$NN$54*(178-$NR$54+1)*($NS$54-178+1)/$NU$54,$NN$54/$NT$54)),0)</f>
        <v/>
      </c>
      <c r="GA54" s="402">
        <f>IF(AND(179&gt;=$NR$54,179&lt;=$NS$54),IF($NP$54="Single_Point",IF(179=$NR$54,$NN$54,0),IF($NP$54="Bell_Curve",$NN$54*(179-$NR$54+1)*($NS$54-179+1)/$NU$54,$NN$54/$NT$54)),0)</f>
        <v/>
      </c>
      <c r="GB54" s="402">
        <f>IF(AND(180&gt;=$NR$54,180&lt;=$NS$54),IF($NP$54="Single_Point",IF(180=$NR$54,$NN$54,0),IF($NP$54="Bell_Curve",$NN$54*(180-$NR$54+1)*($NS$54-180+1)/$NU$54,$NN$54/$NT$54)),0)</f>
        <v/>
      </c>
      <c r="GC54" s="402">
        <f>IF(AND(181&gt;=$NR$54,181&lt;=$NS$54),IF($NP$54="Single_Point",IF(181=$NR$54,$NN$54,0),IF($NP$54="Bell_Curve",$NN$54*(181-$NR$54+1)*($NS$54-181+1)/$NU$54,$NN$54/$NT$54)),0)</f>
        <v/>
      </c>
      <c r="GD54" s="402">
        <f>IF(AND(182&gt;=$NR$54,182&lt;=$NS$54),IF($NP$54="Single_Point",IF(182=$NR$54,$NN$54,0),IF($NP$54="Bell_Curve",$NN$54*(182-$NR$54+1)*($NS$54-182+1)/$NU$54,$NN$54/$NT$54)),0)</f>
        <v/>
      </c>
      <c r="GE54" s="402">
        <f>IF(AND(183&gt;=$NR$54,183&lt;=$NS$54),IF($NP$54="Single_Point",IF(183=$NR$54,$NN$54,0),IF($NP$54="Bell_Curve",$NN$54*(183-$NR$54+1)*($NS$54-183+1)/$NU$54,$NN$54/$NT$54)),0)</f>
        <v/>
      </c>
      <c r="GF54" s="402">
        <f>IF(AND(184&gt;=$NR$54,184&lt;=$NS$54),IF($NP$54="Single_Point",IF(184=$NR$54,$NN$54,0),IF($NP$54="Bell_Curve",$NN$54*(184-$NR$54+1)*($NS$54-184+1)/$NU$54,$NN$54/$NT$54)),0)</f>
        <v/>
      </c>
      <c r="GG54" s="402">
        <f>IF(AND(185&gt;=$NR$54,185&lt;=$NS$54),IF($NP$54="Single_Point",IF(185=$NR$54,$NN$54,0),IF($NP$54="Bell_Curve",$NN$54*(185-$NR$54+1)*($NS$54-185+1)/$NU$54,$NN$54/$NT$54)),0)</f>
        <v/>
      </c>
      <c r="GH54" s="402">
        <f>IF(AND(186&gt;=$NR$54,186&lt;=$NS$54),IF($NP$54="Single_Point",IF(186=$NR$54,$NN$54,0),IF($NP$54="Bell_Curve",$NN$54*(186-$NR$54+1)*($NS$54-186+1)/$NU$54,$NN$54/$NT$54)),0)</f>
        <v/>
      </c>
      <c r="GI54" s="402">
        <f>IF(AND(187&gt;=$NR$54,187&lt;=$NS$54),IF($NP$54="Single_Point",IF(187=$NR$54,$NN$54,0),IF($NP$54="Bell_Curve",$NN$54*(187-$NR$54+1)*($NS$54-187+1)/$NU$54,$NN$54/$NT$54)),0)</f>
        <v/>
      </c>
      <c r="GJ54" s="402">
        <f>IF(AND(188&gt;=$NR$54,188&lt;=$NS$54),IF($NP$54="Single_Point",IF(188=$NR$54,$NN$54,0),IF($NP$54="Bell_Curve",$NN$54*(188-$NR$54+1)*($NS$54-188+1)/$NU$54,$NN$54/$NT$54)),0)</f>
        <v/>
      </c>
      <c r="GK54" s="402">
        <f>IF(AND(189&gt;=$NR$54,189&lt;=$NS$54),IF($NP$54="Single_Point",IF(189=$NR$54,$NN$54,0),IF($NP$54="Bell_Curve",$NN$54*(189-$NR$54+1)*($NS$54-189+1)/$NU$54,$NN$54/$NT$54)),0)</f>
        <v/>
      </c>
      <c r="GL54" s="402">
        <f>IF(AND(190&gt;=$NR$54,190&lt;=$NS$54),IF($NP$54="Single_Point",IF(190=$NR$54,$NN$54,0),IF($NP$54="Bell_Curve",$NN$54*(190-$NR$54+1)*($NS$54-190+1)/$NU$54,$NN$54/$NT$54)),0)</f>
        <v/>
      </c>
      <c r="GM54" s="402">
        <f>IF(AND(191&gt;=$NR$54,191&lt;=$NS$54),IF($NP$54="Single_Point",IF(191=$NR$54,$NN$54,0),IF($NP$54="Bell_Curve",$NN$54*(191-$NR$54+1)*($NS$54-191+1)/$NU$54,$NN$54/$NT$54)),0)</f>
        <v/>
      </c>
      <c r="GN54" s="402">
        <f>IF(AND(192&gt;=$NR$54,192&lt;=$NS$54),IF($NP$54="Single_Point",IF(192=$NR$54,$NN$54,0),IF($NP$54="Bell_Curve",$NN$54*(192-$NR$54+1)*($NS$54-192+1)/$NU$54,$NN$54/$NT$54)),0)</f>
        <v/>
      </c>
      <c r="GO54" s="402">
        <f>IF(AND(193&gt;=$NR$54,193&lt;=$NS$54),IF($NP$54="Single_Point",IF(193=$NR$54,$NN$54,0),IF($NP$54="Bell_Curve",$NN$54*(193-$NR$54+1)*($NS$54-193+1)/$NU$54,$NN$54/$NT$54)),0)</f>
        <v/>
      </c>
      <c r="GP54" s="402">
        <f>IF(AND(194&gt;=$NR$54,194&lt;=$NS$54),IF($NP$54="Single_Point",IF(194=$NR$54,$NN$54,0),IF($NP$54="Bell_Curve",$NN$54*(194-$NR$54+1)*($NS$54-194+1)/$NU$54,$NN$54/$NT$54)),0)</f>
        <v/>
      </c>
      <c r="GQ54" s="402">
        <f>IF(AND(195&gt;=$NR$54,195&lt;=$NS$54),IF($NP$54="Single_Point",IF(195=$NR$54,$NN$54,0),IF($NP$54="Bell_Curve",$NN$54*(195-$NR$54+1)*($NS$54-195+1)/$NU$54,$NN$54/$NT$54)),0)</f>
        <v/>
      </c>
      <c r="GR54" s="402">
        <f>IF(AND(196&gt;=$NR$54,196&lt;=$NS$54),IF($NP$54="Single_Point",IF(196=$NR$54,$NN$54,0),IF($NP$54="Bell_Curve",$NN$54*(196-$NR$54+1)*($NS$54-196+1)/$NU$54,$NN$54/$NT$54)),0)</f>
        <v/>
      </c>
      <c r="GS54" s="402">
        <f>IF(AND(197&gt;=$NR$54,197&lt;=$NS$54),IF($NP$54="Single_Point",IF(197=$NR$54,$NN$54,0),IF($NP$54="Bell_Curve",$NN$54*(197-$NR$54+1)*($NS$54-197+1)/$NU$54,$NN$54/$NT$54)),0)</f>
        <v/>
      </c>
      <c r="GT54" s="402">
        <f>IF(AND(198&gt;=$NR$54,198&lt;=$NS$54),IF($NP$54="Single_Point",IF(198=$NR$54,$NN$54,0),IF($NP$54="Bell_Curve",$NN$54*(198-$NR$54+1)*($NS$54-198+1)/$NU$54,$NN$54/$NT$54)),0)</f>
        <v/>
      </c>
      <c r="GU54" s="402">
        <f>IF(AND(199&gt;=$NR$54,199&lt;=$NS$54),IF($NP$54="Single_Point",IF(199=$NR$54,$NN$54,0),IF($NP$54="Bell_Curve",$NN$54*(199-$NR$54+1)*($NS$54-199+1)/$NU$54,$NN$54/$NT$54)),0)</f>
        <v/>
      </c>
      <c r="GV54" s="402">
        <f>IF(AND(200&gt;=$NR$54,200&lt;=$NS$54),IF($NP$54="Single_Point",IF(200=$NR$54,$NN$54,0),IF($NP$54="Bell_Curve",$NN$54*(200-$NR$54+1)*($NS$54-200+1)/$NU$54,$NN$54/$NT$54)),0)</f>
        <v/>
      </c>
      <c r="GW54" s="402">
        <f>IF(AND(201&gt;=$NR$54,201&lt;=$NS$54),IF($NP$54="Single_Point",IF(201=$NR$54,$NN$54,0),IF($NP$54="Bell_Curve",$NN$54*(201-$NR$54+1)*($NS$54-201+1)/$NU$54,$NN$54/$NT$54)),0)</f>
        <v/>
      </c>
      <c r="GX54" s="402">
        <f>IF(AND(202&gt;=$NR$54,202&lt;=$NS$54),IF($NP$54="Single_Point",IF(202=$NR$54,$NN$54,0),IF($NP$54="Bell_Curve",$NN$54*(202-$NR$54+1)*($NS$54-202+1)/$NU$54,$NN$54/$NT$54)),0)</f>
        <v/>
      </c>
      <c r="GY54" s="402">
        <f>IF(AND(203&gt;=$NR$54,203&lt;=$NS$54),IF($NP$54="Single_Point",IF(203=$NR$54,$NN$54,0),IF($NP$54="Bell_Curve",$NN$54*(203-$NR$54+1)*($NS$54-203+1)/$NU$54,$NN$54/$NT$54)),0)</f>
        <v/>
      </c>
      <c r="GZ54" s="402">
        <f>IF(AND(204&gt;=$NR$54,204&lt;=$NS$54),IF($NP$54="Single_Point",IF(204=$NR$54,$NN$54,0),IF($NP$54="Bell_Curve",$NN$54*(204-$NR$54+1)*($NS$54-204+1)/$NU$54,$NN$54/$NT$54)),0)</f>
        <v/>
      </c>
      <c r="HA54" s="402">
        <f>IF(AND(205&gt;=$NR$54,205&lt;=$NS$54),IF($NP$54="Single_Point",IF(205=$NR$54,$NN$54,0),IF($NP$54="Bell_Curve",$NN$54*(205-$NR$54+1)*($NS$54-205+1)/$NU$54,$NN$54/$NT$54)),0)</f>
        <v/>
      </c>
      <c r="HB54" s="402">
        <f>IF(AND(206&gt;=$NR$54,206&lt;=$NS$54),IF($NP$54="Single_Point",IF(206=$NR$54,$NN$54,0),IF($NP$54="Bell_Curve",$NN$54*(206-$NR$54+1)*($NS$54-206+1)/$NU$54,$NN$54/$NT$54)),0)</f>
        <v/>
      </c>
      <c r="HC54" s="402">
        <f>IF(AND(207&gt;=$NR$54,207&lt;=$NS$54),IF($NP$54="Single_Point",IF(207=$NR$54,$NN$54,0),IF($NP$54="Bell_Curve",$NN$54*(207-$NR$54+1)*($NS$54-207+1)/$NU$54,$NN$54/$NT$54)),0)</f>
        <v/>
      </c>
      <c r="HD54" s="402">
        <f>IF(AND(208&gt;=$NR$54,208&lt;=$NS$54),IF($NP$54="Single_Point",IF(208=$NR$54,$NN$54,0),IF($NP$54="Bell_Curve",$NN$54*(208-$NR$54+1)*($NS$54-208+1)/$NU$54,$NN$54/$NT$54)),0)</f>
        <v/>
      </c>
      <c r="HE54" s="402">
        <f>IF(AND(209&gt;=$NR$54,209&lt;=$NS$54),IF($NP$54="Single_Point",IF(209=$NR$54,$NN$54,0),IF($NP$54="Bell_Curve",$NN$54*(209-$NR$54+1)*($NS$54-209+1)/$NU$54,$NN$54/$NT$54)),0)</f>
        <v/>
      </c>
      <c r="HF54" s="402">
        <f>IF(AND(210&gt;=$NR$54,210&lt;=$NS$54),IF($NP$54="Single_Point",IF(210=$NR$54,$NN$54,0),IF($NP$54="Bell_Curve",$NN$54*(210-$NR$54+1)*($NS$54-210+1)/$NU$54,$NN$54/$NT$54)),0)</f>
        <v/>
      </c>
      <c r="HG54" s="402">
        <f>IF(AND(211&gt;=$NR$54,211&lt;=$NS$54),IF($NP$54="Single_Point",IF(211=$NR$54,$NN$54,0),IF($NP$54="Bell_Curve",$NN$54*(211-$NR$54+1)*($NS$54-211+1)/$NU$54,$NN$54/$NT$54)),0)</f>
        <v/>
      </c>
      <c r="HH54" s="402">
        <f>IF(AND(212&gt;=$NR$54,212&lt;=$NS$54),IF($NP$54="Single_Point",IF(212=$NR$54,$NN$54,0),IF($NP$54="Bell_Curve",$NN$54*(212-$NR$54+1)*($NS$54-212+1)/$NU$54,$NN$54/$NT$54)),0)</f>
        <v/>
      </c>
      <c r="HI54" s="402">
        <f>IF(AND(213&gt;=$NR$54,213&lt;=$NS$54),IF($NP$54="Single_Point",IF(213=$NR$54,$NN$54,0),IF($NP$54="Bell_Curve",$NN$54*(213-$NR$54+1)*($NS$54-213+1)/$NU$54,$NN$54/$NT$54)),0)</f>
        <v/>
      </c>
      <c r="HJ54" s="402">
        <f>IF(AND(214&gt;=$NR$54,214&lt;=$NS$54),IF($NP$54="Single_Point",IF(214=$NR$54,$NN$54,0),IF($NP$54="Bell_Curve",$NN$54*(214-$NR$54+1)*($NS$54-214+1)/$NU$54,$NN$54/$NT$54)),0)</f>
        <v/>
      </c>
      <c r="HK54" s="402">
        <f>IF(AND(215&gt;=$NR$54,215&lt;=$NS$54),IF($NP$54="Single_Point",IF(215=$NR$54,$NN$54,0),IF($NP$54="Bell_Curve",$NN$54*(215-$NR$54+1)*($NS$54-215+1)/$NU$54,$NN$54/$NT$54)),0)</f>
        <v/>
      </c>
      <c r="HL54" s="402">
        <f>IF(AND(216&gt;=$NR$54,216&lt;=$NS$54),IF($NP$54="Single_Point",IF(216=$NR$54,$NN$54,0),IF($NP$54="Bell_Curve",$NN$54*(216-$NR$54+1)*($NS$54-216+1)/$NU$54,$NN$54/$NT$54)),0)</f>
        <v/>
      </c>
      <c r="HM54" s="402">
        <f>IF(AND(217&gt;=$NR$54,217&lt;=$NS$54),IF($NP$54="Single_Point",IF(217=$NR$54,$NN$54,0),IF($NP$54="Bell_Curve",$NN$54*(217-$NR$54+1)*($NS$54-217+1)/$NU$54,$NN$54/$NT$54)),0)</f>
        <v/>
      </c>
      <c r="HN54" s="402">
        <f>IF(AND(218&gt;=$NR$54,218&lt;=$NS$54),IF($NP$54="Single_Point",IF(218=$NR$54,$NN$54,0),IF($NP$54="Bell_Curve",$NN$54*(218-$NR$54+1)*($NS$54-218+1)/$NU$54,$NN$54/$NT$54)),0)</f>
        <v/>
      </c>
      <c r="HO54" s="402">
        <f>IF(AND(219&gt;=$NR$54,219&lt;=$NS$54),IF($NP$54="Single_Point",IF(219=$NR$54,$NN$54,0),IF($NP$54="Bell_Curve",$NN$54*(219-$NR$54+1)*($NS$54-219+1)/$NU$54,$NN$54/$NT$54)),0)</f>
        <v/>
      </c>
      <c r="HP54" s="402">
        <f>IF(AND(220&gt;=$NR$54,220&lt;=$NS$54),IF($NP$54="Single_Point",IF(220=$NR$54,$NN$54,0),IF($NP$54="Bell_Curve",$NN$54*(220-$NR$54+1)*($NS$54-220+1)/$NU$54,$NN$54/$NT$54)),0)</f>
        <v/>
      </c>
      <c r="HQ54" s="402">
        <f>IF(AND(221&gt;=$NR$54,221&lt;=$NS$54),IF($NP$54="Single_Point",IF(221=$NR$54,$NN$54,0),IF($NP$54="Bell_Curve",$NN$54*(221-$NR$54+1)*($NS$54-221+1)/$NU$54,$NN$54/$NT$54)),0)</f>
        <v/>
      </c>
      <c r="HR54" s="402">
        <f>IF(AND(222&gt;=$NR$54,222&lt;=$NS$54),IF($NP$54="Single_Point",IF(222=$NR$54,$NN$54,0),IF($NP$54="Bell_Curve",$NN$54*(222-$NR$54+1)*($NS$54-222+1)/$NU$54,$NN$54/$NT$54)),0)</f>
        <v/>
      </c>
      <c r="HS54" s="402">
        <f>IF(AND(223&gt;=$NR$54,223&lt;=$NS$54),IF($NP$54="Single_Point",IF(223=$NR$54,$NN$54,0),IF($NP$54="Bell_Curve",$NN$54*(223-$NR$54+1)*($NS$54-223+1)/$NU$54,$NN$54/$NT$54)),0)</f>
        <v/>
      </c>
      <c r="HT54" s="402">
        <f>IF(AND(224&gt;=$NR$54,224&lt;=$NS$54),IF($NP$54="Single_Point",IF(224=$NR$54,$NN$54,0),IF($NP$54="Bell_Curve",$NN$54*(224-$NR$54+1)*($NS$54-224+1)/$NU$54,$NN$54/$NT$54)),0)</f>
        <v/>
      </c>
      <c r="HU54" s="402">
        <f>IF(AND(225&gt;=$NR$54,225&lt;=$NS$54),IF($NP$54="Single_Point",IF(225=$NR$54,$NN$54,0),IF($NP$54="Bell_Curve",$NN$54*(225-$NR$54+1)*($NS$54-225+1)/$NU$54,$NN$54/$NT$54)),0)</f>
        <v/>
      </c>
      <c r="HV54" s="402">
        <f>IF(AND(226&gt;=$NR$54,226&lt;=$NS$54),IF($NP$54="Single_Point",IF(226=$NR$54,$NN$54,0),IF($NP$54="Bell_Curve",$NN$54*(226-$NR$54+1)*($NS$54-226+1)/$NU$54,$NN$54/$NT$54)),0)</f>
        <v/>
      </c>
      <c r="HW54" s="402">
        <f>IF(AND(227&gt;=$NR$54,227&lt;=$NS$54),IF($NP$54="Single_Point",IF(227=$NR$54,$NN$54,0),IF($NP$54="Bell_Curve",$NN$54*(227-$NR$54+1)*($NS$54-227+1)/$NU$54,$NN$54/$NT$54)),0)</f>
        <v/>
      </c>
      <c r="HX54" s="402">
        <f>IF(AND(228&gt;=$NR$54,228&lt;=$NS$54),IF($NP$54="Single_Point",IF(228=$NR$54,$NN$54,0),IF($NP$54="Bell_Curve",$NN$54*(228-$NR$54+1)*($NS$54-228+1)/$NU$54,$NN$54/$NT$54)),0)</f>
        <v/>
      </c>
      <c r="HY54" s="402">
        <f>IF(AND(229&gt;=$NR$54,229&lt;=$NS$54),IF($NP$54="Single_Point",IF(229=$NR$54,$NN$54,0),IF($NP$54="Bell_Curve",$NN$54*(229-$NR$54+1)*($NS$54-229+1)/$NU$54,$NN$54/$NT$54)),0)</f>
        <v/>
      </c>
      <c r="HZ54" s="402">
        <f>IF(AND(230&gt;=$NR$54,230&lt;=$NS$54),IF($NP$54="Single_Point",IF(230=$NR$54,$NN$54,0),IF($NP$54="Bell_Curve",$NN$54*(230-$NR$54+1)*($NS$54-230+1)/$NU$54,$NN$54/$NT$54)),0)</f>
        <v/>
      </c>
      <c r="IA54" s="402">
        <f>IF(AND(231&gt;=$NR$54,231&lt;=$NS$54),IF($NP$54="Single_Point",IF(231=$NR$54,$NN$54,0),IF($NP$54="Bell_Curve",$NN$54*(231-$NR$54+1)*($NS$54-231+1)/$NU$54,$NN$54/$NT$54)),0)</f>
        <v/>
      </c>
      <c r="IB54" s="402">
        <f>IF(AND(232&gt;=$NR$54,232&lt;=$NS$54),IF($NP$54="Single_Point",IF(232=$NR$54,$NN$54,0),IF($NP$54="Bell_Curve",$NN$54*(232-$NR$54+1)*($NS$54-232+1)/$NU$54,$NN$54/$NT$54)),0)</f>
        <v/>
      </c>
      <c r="IC54" s="402">
        <f>IF(AND(233&gt;=$NR$54,233&lt;=$NS$54),IF($NP$54="Single_Point",IF(233=$NR$54,$NN$54,0),IF($NP$54="Bell_Curve",$NN$54*(233-$NR$54+1)*($NS$54-233+1)/$NU$54,$NN$54/$NT$54)),0)</f>
        <v/>
      </c>
      <c r="ID54" s="402">
        <f>IF(AND(234&gt;=$NR$54,234&lt;=$NS$54),IF($NP$54="Single_Point",IF(234=$NR$54,$NN$54,0),IF($NP$54="Bell_Curve",$NN$54*(234-$NR$54+1)*($NS$54-234+1)/$NU$54,$NN$54/$NT$54)),0)</f>
        <v/>
      </c>
      <c r="IE54" s="402">
        <f>IF(AND(235&gt;=$NR$54,235&lt;=$NS$54),IF($NP$54="Single_Point",IF(235=$NR$54,$NN$54,0),IF($NP$54="Bell_Curve",$NN$54*(235-$NR$54+1)*($NS$54-235+1)/$NU$54,$NN$54/$NT$54)),0)</f>
        <v/>
      </c>
      <c r="IF54" s="402">
        <f>IF(AND(236&gt;=$NR$54,236&lt;=$NS$54),IF($NP$54="Single_Point",IF(236=$NR$54,$NN$54,0),IF($NP$54="Bell_Curve",$NN$54*(236-$NR$54+1)*($NS$54-236+1)/$NU$54,$NN$54/$NT$54)),0)</f>
        <v/>
      </c>
      <c r="IG54" s="402">
        <f>IF(AND(237&gt;=$NR$54,237&lt;=$NS$54),IF($NP$54="Single_Point",IF(237=$NR$54,$NN$54,0),IF($NP$54="Bell_Curve",$NN$54*(237-$NR$54+1)*($NS$54-237+1)/$NU$54,$NN$54/$NT$54)),0)</f>
        <v/>
      </c>
      <c r="IH54" s="402">
        <f>IF(AND(238&gt;=$NR$54,238&lt;=$NS$54),IF($NP$54="Single_Point",IF(238=$NR$54,$NN$54,0),IF($NP$54="Bell_Curve",$NN$54*(238-$NR$54+1)*($NS$54-238+1)/$NU$54,$NN$54/$NT$54)),0)</f>
        <v/>
      </c>
      <c r="II54" s="402">
        <f>IF(AND(239&gt;=$NR$54,239&lt;=$NS$54),IF($NP$54="Single_Point",IF(239=$NR$54,$NN$54,0),IF($NP$54="Bell_Curve",$NN$54*(239-$NR$54+1)*($NS$54-239+1)/$NU$54,$NN$54/$NT$54)),0)</f>
        <v/>
      </c>
      <c r="IJ54" s="402">
        <f>IF(AND(240&gt;=$NR$54,240&lt;=$NS$54),IF($NP$54="Single_Point",IF(240=$NR$54,$NN$54,0),IF($NP$54="Bell_Curve",$NN$54*(240-$NR$54+1)*($NS$54-240+1)/$NU$54,$NN$54/$NT$54)),0)</f>
        <v/>
      </c>
      <c r="IK54" s="402">
        <f>IF(AND(241&gt;=$NR$54,241&lt;=$NS$54),IF($NP$54="Single_Point",IF(241=$NR$54,$NN$54,0),IF($NP$54="Bell_Curve",$NN$54*(241-$NR$54+1)*($NS$54-241+1)/$NU$54,$NN$54/$NT$54)),0)</f>
        <v/>
      </c>
      <c r="IL54" s="402">
        <f>IF(AND(242&gt;=$NR$54,242&lt;=$NS$54),IF($NP$54="Single_Point",IF(242=$NR$54,$NN$54,0),IF($NP$54="Bell_Curve",$NN$54*(242-$NR$54+1)*($NS$54-242+1)/$NU$54,$NN$54/$NT$54)),0)</f>
        <v/>
      </c>
      <c r="IM54" s="402">
        <f>IF(AND(243&gt;=$NR$54,243&lt;=$NS$54),IF($NP$54="Single_Point",IF(243=$NR$54,$NN$54,0),IF($NP$54="Bell_Curve",$NN$54*(243-$NR$54+1)*($NS$54-243+1)/$NU$54,$NN$54/$NT$54)),0)</f>
        <v/>
      </c>
      <c r="IN54" s="402">
        <f>IF(AND(244&gt;=$NR$54,244&lt;=$NS$54),IF($NP$54="Single_Point",IF(244=$NR$54,$NN$54,0),IF($NP$54="Bell_Curve",$NN$54*(244-$NR$54+1)*($NS$54-244+1)/$NU$54,$NN$54/$NT$54)),0)</f>
        <v/>
      </c>
      <c r="IO54" s="402">
        <f>IF(AND(245&gt;=$NR$54,245&lt;=$NS$54),IF($NP$54="Single_Point",IF(245=$NR$54,$NN$54,0),IF($NP$54="Bell_Curve",$NN$54*(245-$NR$54+1)*($NS$54-245+1)/$NU$54,$NN$54/$NT$54)),0)</f>
        <v/>
      </c>
      <c r="IP54" s="402">
        <f>IF(AND(246&gt;=$NR$54,246&lt;=$NS$54),IF($NP$54="Single_Point",IF(246=$NR$54,$NN$54,0),IF($NP$54="Bell_Curve",$NN$54*(246-$NR$54+1)*($NS$54-246+1)/$NU$54,$NN$54/$NT$54)),0)</f>
        <v/>
      </c>
      <c r="IQ54" s="402">
        <f>IF(AND(247&gt;=$NR$54,247&lt;=$NS$54),IF($NP$54="Single_Point",IF(247=$NR$54,$NN$54,0),IF($NP$54="Bell_Curve",$NN$54*(247-$NR$54+1)*($NS$54-247+1)/$NU$54,$NN$54/$NT$54)),0)</f>
        <v/>
      </c>
      <c r="IR54" s="402">
        <f>IF(AND(248&gt;=$NR$54,248&lt;=$NS$54),IF($NP$54="Single_Point",IF(248=$NR$54,$NN$54,0),IF($NP$54="Bell_Curve",$NN$54*(248-$NR$54+1)*($NS$54-248+1)/$NU$54,$NN$54/$NT$54)),0)</f>
        <v/>
      </c>
      <c r="IS54" s="402">
        <f>IF(AND(249&gt;=$NR$54,249&lt;=$NS$54),IF($NP$54="Single_Point",IF(249=$NR$54,$NN$54,0),IF($NP$54="Bell_Curve",$NN$54*(249-$NR$54+1)*($NS$54-249+1)/$NU$54,$NN$54/$NT$54)),0)</f>
        <v/>
      </c>
      <c r="IT54" s="402">
        <f>IF(AND(250&gt;=$NR$54,250&lt;=$NS$54),IF($NP$54="Single_Point",IF(250=$NR$54,$NN$54,0),IF($NP$54="Bell_Curve",$NN$54*(250-$NR$54+1)*($NS$54-250+1)/$NU$54,$NN$54/$NT$54)),0)</f>
        <v/>
      </c>
      <c r="IU54" s="402">
        <f>IF(AND(251&gt;=$NR$54,251&lt;=$NS$54),IF($NP$54="Single_Point",IF(251=$NR$54,$NN$54,0),IF($NP$54="Bell_Curve",$NN$54*(251-$NR$54+1)*($NS$54-251+1)/$NU$54,$NN$54/$NT$54)),0)</f>
        <v/>
      </c>
      <c r="IV54" s="402">
        <f>IF(AND(252&gt;=$NR$54,252&lt;=$NS$54),IF($NP$54="Single_Point",IF(252=$NR$54,$NN$54,0),IF($NP$54="Bell_Curve",$NN$54*(252-$NR$54+1)*($NS$54-252+1)/$NU$54,$NN$54/$NT$54)),0)</f>
        <v/>
      </c>
      <c r="IW54" s="402">
        <f>IF(AND(253&gt;=$NR$54,253&lt;=$NS$54),IF($NP$54="Single_Point",IF(253=$NR$54,$NN$54,0),IF($NP$54="Bell_Curve",$NN$54*(253-$NR$54+1)*($NS$54-253+1)/$NU$54,$NN$54/$NT$54)),0)</f>
        <v/>
      </c>
      <c r="IX54" s="402">
        <f>IF(AND(254&gt;=$NR$54,254&lt;=$NS$54),IF($NP$54="Single_Point",IF(254=$NR$54,$NN$54,0),IF($NP$54="Bell_Curve",$NN$54*(254-$NR$54+1)*($NS$54-254+1)/$NU$54,$NN$54/$NT$54)),0)</f>
        <v/>
      </c>
      <c r="IY54" s="402">
        <f>IF(AND(255&gt;=$NR$54,255&lt;=$NS$54),IF($NP$54="Single_Point",IF(255=$NR$54,$NN$54,0),IF($NP$54="Bell_Curve",$NN$54*(255-$NR$54+1)*($NS$54-255+1)/$NU$54,$NN$54/$NT$54)),0)</f>
        <v/>
      </c>
      <c r="IZ54" s="402">
        <f>IF(AND(256&gt;=$NR$54,256&lt;=$NS$54),IF($NP$54="Single_Point",IF(256=$NR$54,$NN$54,0),IF($NP$54="Bell_Curve",$NN$54*(256-$NR$54+1)*($NS$54-256+1)/$NU$54,$NN$54/$NT$54)),0)</f>
        <v/>
      </c>
      <c r="JA54" s="402">
        <f>IF(AND(257&gt;=$NR$54,257&lt;=$NS$54),IF($NP$54="Single_Point",IF(257=$NR$54,$NN$54,0),IF($NP$54="Bell_Curve",$NN$54*(257-$NR$54+1)*($NS$54-257+1)/$NU$54,$NN$54/$NT$54)),0)</f>
        <v/>
      </c>
      <c r="JB54" s="402">
        <f>IF(AND(258&gt;=$NR$54,258&lt;=$NS$54),IF($NP$54="Single_Point",IF(258=$NR$54,$NN$54,0),IF($NP$54="Bell_Curve",$NN$54*(258-$NR$54+1)*($NS$54-258+1)/$NU$54,$NN$54/$NT$54)),0)</f>
        <v/>
      </c>
      <c r="JC54" s="402">
        <f>IF(AND(259&gt;=$NR$54,259&lt;=$NS$54),IF($NP$54="Single_Point",IF(259=$NR$54,$NN$54,0),IF($NP$54="Bell_Curve",$NN$54*(259-$NR$54+1)*($NS$54-259+1)/$NU$54,$NN$54/$NT$54)),0)</f>
        <v/>
      </c>
      <c r="JD54" s="402">
        <f>IF(AND(260&gt;=$NR$54,260&lt;=$NS$54),IF($NP$54="Single_Point",IF(260=$NR$54,$NN$54,0),IF($NP$54="Bell_Curve",$NN$54*(260-$NR$54+1)*($NS$54-260+1)/$NU$54,$NN$54/$NT$54)),0)</f>
        <v/>
      </c>
      <c r="JE54" s="402">
        <f>IF(AND(261&gt;=$NR$54,261&lt;=$NS$54),IF($NP$54="Single_Point",IF(261=$NR$54,$NN$54,0),IF($NP$54="Bell_Curve",$NN$54*(261-$NR$54+1)*($NS$54-261+1)/$NU$54,$NN$54/$NT$54)),0)</f>
        <v/>
      </c>
      <c r="JF54" s="402">
        <f>IF(AND(262&gt;=$NR$54,262&lt;=$NS$54),IF($NP$54="Single_Point",IF(262=$NR$54,$NN$54,0),IF($NP$54="Bell_Curve",$NN$54*(262-$NR$54+1)*($NS$54-262+1)/$NU$54,$NN$54/$NT$54)),0)</f>
        <v/>
      </c>
      <c r="JG54" s="402">
        <f>IF(AND(263&gt;=$NR$54,263&lt;=$NS$54),IF($NP$54="Single_Point",IF(263=$NR$54,$NN$54,0),IF($NP$54="Bell_Curve",$NN$54*(263-$NR$54+1)*($NS$54-263+1)/$NU$54,$NN$54/$NT$54)),0)</f>
        <v/>
      </c>
      <c r="JH54" s="402">
        <f>IF(AND(264&gt;=$NR$54,264&lt;=$NS$54),IF($NP$54="Single_Point",IF(264=$NR$54,$NN$54,0),IF($NP$54="Bell_Curve",$NN$54*(264-$NR$54+1)*($NS$54-264+1)/$NU$54,$NN$54/$NT$54)),0)</f>
        <v/>
      </c>
      <c r="JI54" s="402">
        <f>IF(AND(265&gt;=$NR$54,265&lt;=$NS$54),IF($NP$54="Single_Point",IF(265=$NR$54,$NN$54,0),IF($NP$54="Bell_Curve",$NN$54*(265-$NR$54+1)*($NS$54-265+1)/$NU$54,$NN$54/$NT$54)),0)</f>
        <v/>
      </c>
      <c r="JJ54" s="402">
        <f>IF(AND(266&gt;=$NR$54,266&lt;=$NS$54),IF($NP$54="Single_Point",IF(266=$NR$54,$NN$54,0),IF($NP$54="Bell_Curve",$NN$54*(266-$NR$54+1)*($NS$54-266+1)/$NU$54,$NN$54/$NT$54)),0)</f>
        <v/>
      </c>
      <c r="JK54" s="402">
        <f>IF(AND(267&gt;=$NR$54,267&lt;=$NS$54),IF($NP$54="Single_Point",IF(267=$NR$54,$NN$54,0),IF($NP$54="Bell_Curve",$NN$54*(267-$NR$54+1)*($NS$54-267+1)/$NU$54,$NN$54/$NT$54)),0)</f>
        <v/>
      </c>
      <c r="JL54" s="402">
        <f>IF(AND(268&gt;=$NR$54,268&lt;=$NS$54),IF($NP$54="Single_Point",IF(268=$NR$54,$NN$54,0),IF($NP$54="Bell_Curve",$NN$54*(268-$NR$54+1)*($NS$54-268+1)/$NU$54,$NN$54/$NT$54)),0)</f>
        <v/>
      </c>
      <c r="JM54" s="402">
        <f>IF(AND(269&gt;=$NR$54,269&lt;=$NS$54),IF($NP$54="Single_Point",IF(269=$NR$54,$NN$54,0),IF($NP$54="Bell_Curve",$NN$54*(269-$NR$54+1)*($NS$54-269+1)/$NU$54,$NN$54/$NT$54)),0)</f>
        <v/>
      </c>
      <c r="JN54" s="402">
        <f>IF(AND(270&gt;=$NR$54,270&lt;=$NS$54),IF($NP$54="Single_Point",IF(270=$NR$54,$NN$54,0),IF($NP$54="Bell_Curve",$NN$54*(270-$NR$54+1)*($NS$54-270+1)/$NU$54,$NN$54/$NT$54)),0)</f>
        <v/>
      </c>
      <c r="JO54" s="402">
        <f>IF(AND(271&gt;=$NR$54,271&lt;=$NS$54),IF($NP$54="Single_Point",IF(271=$NR$54,$NN$54,0),IF($NP$54="Bell_Curve",$NN$54*(271-$NR$54+1)*($NS$54-271+1)/$NU$54,$NN$54/$NT$54)),0)</f>
        <v/>
      </c>
      <c r="JP54" s="402">
        <f>IF(AND(272&gt;=$NR$54,272&lt;=$NS$54),IF($NP$54="Single_Point",IF(272=$NR$54,$NN$54,0),IF($NP$54="Bell_Curve",$NN$54*(272-$NR$54+1)*($NS$54-272+1)/$NU$54,$NN$54/$NT$54)),0)</f>
        <v/>
      </c>
      <c r="JQ54" s="402">
        <f>IF(AND(273&gt;=$NR$54,273&lt;=$NS$54),IF($NP$54="Single_Point",IF(273=$NR$54,$NN$54,0),IF($NP$54="Bell_Curve",$NN$54*(273-$NR$54+1)*($NS$54-273+1)/$NU$54,$NN$54/$NT$54)),0)</f>
        <v/>
      </c>
      <c r="JR54" s="402">
        <f>IF(AND(274&gt;=$NR$54,274&lt;=$NS$54),IF($NP$54="Single_Point",IF(274=$NR$54,$NN$54,0),IF($NP$54="Bell_Curve",$NN$54*(274-$NR$54+1)*($NS$54-274+1)/$NU$54,$NN$54/$NT$54)),0)</f>
        <v/>
      </c>
      <c r="JS54" s="402">
        <f>IF(AND(275&gt;=$NR$54,275&lt;=$NS$54),IF($NP$54="Single_Point",IF(275=$NR$54,$NN$54,0),IF($NP$54="Bell_Curve",$NN$54*(275-$NR$54+1)*($NS$54-275+1)/$NU$54,$NN$54/$NT$54)),0)</f>
        <v/>
      </c>
      <c r="JT54" s="402">
        <f>IF(AND(276&gt;=$NR$54,276&lt;=$NS$54),IF($NP$54="Single_Point",IF(276=$NR$54,$NN$54,0),IF($NP$54="Bell_Curve",$NN$54*(276-$NR$54+1)*($NS$54-276+1)/$NU$54,$NN$54/$NT$54)),0)</f>
        <v/>
      </c>
      <c r="JU54" s="402">
        <f>IF(AND(277&gt;=$NR$54,277&lt;=$NS$54),IF($NP$54="Single_Point",IF(277=$NR$54,$NN$54,0),IF($NP$54="Bell_Curve",$NN$54*(277-$NR$54+1)*($NS$54-277+1)/$NU$54,$NN$54/$NT$54)),0)</f>
        <v/>
      </c>
      <c r="JV54" s="402">
        <f>IF(AND(278&gt;=$NR$54,278&lt;=$NS$54),IF($NP$54="Single_Point",IF(278=$NR$54,$NN$54,0),IF($NP$54="Bell_Curve",$NN$54*(278-$NR$54+1)*($NS$54-278+1)/$NU$54,$NN$54/$NT$54)),0)</f>
        <v/>
      </c>
      <c r="JW54" s="402">
        <f>IF(AND(279&gt;=$NR$54,279&lt;=$NS$54),IF($NP$54="Single_Point",IF(279=$NR$54,$NN$54,0),IF($NP$54="Bell_Curve",$NN$54*(279-$NR$54+1)*($NS$54-279+1)/$NU$54,$NN$54/$NT$54)),0)</f>
        <v/>
      </c>
      <c r="JX54" s="402">
        <f>IF(AND(280&gt;=$NR$54,280&lt;=$NS$54),IF($NP$54="Single_Point",IF(280=$NR$54,$NN$54,0),IF($NP$54="Bell_Curve",$NN$54*(280-$NR$54+1)*($NS$54-280+1)/$NU$54,$NN$54/$NT$54)),0)</f>
        <v/>
      </c>
      <c r="JY54" s="402">
        <f>IF(AND(281&gt;=$NR$54,281&lt;=$NS$54),IF($NP$54="Single_Point",IF(281=$NR$54,$NN$54,0),IF($NP$54="Bell_Curve",$NN$54*(281-$NR$54+1)*($NS$54-281+1)/$NU$54,$NN$54/$NT$54)),0)</f>
        <v/>
      </c>
      <c r="JZ54" s="402">
        <f>IF(AND(282&gt;=$NR$54,282&lt;=$NS$54),IF($NP$54="Single_Point",IF(282=$NR$54,$NN$54,0),IF($NP$54="Bell_Curve",$NN$54*(282-$NR$54+1)*($NS$54-282+1)/$NU$54,$NN$54/$NT$54)),0)</f>
        <v/>
      </c>
      <c r="KA54" s="402">
        <f>IF(AND(283&gt;=$NR$54,283&lt;=$NS$54),IF($NP$54="Single_Point",IF(283=$NR$54,$NN$54,0),IF($NP$54="Bell_Curve",$NN$54*(283-$NR$54+1)*($NS$54-283+1)/$NU$54,$NN$54/$NT$54)),0)</f>
        <v/>
      </c>
      <c r="KB54" s="402">
        <f>IF(AND(284&gt;=$NR$54,284&lt;=$NS$54),IF($NP$54="Single_Point",IF(284=$NR$54,$NN$54,0),IF($NP$54="Bell_Curve",$NN$54*(284-$NR$54+1)*($NS$54-284+1)/$NU$54,$NN$54/$NT$54)),0)</f>
        <v/>
      </c>
      <c r="KC54" s="402">
        <f>IF(AND(285&gt;=$NR$54,285&lt;=$NS$54),IF($NP$54="Single_Point",IF(285=$NR$54,$NN$54,0),IF($NP$54="Bell_Curve",$NN$54*(285-$NR$54+1)*($NS$54-285+1)/$NU$54,$NN$54/$NT$54)),0)</f>
        <v/>
      </c>
      <c r="KD54" s="402">
        <f>IF(AND(286&gt;=$NR$54,286&lt;=$NS$54),IF($NP$54="Single_Point",IF(286=$NR$54,$NN$54,0),IF($NP$54="Bell_Curve",$NN$54*(286-$NR$54+1)*($NS$54-286+1)/$NU$54,$NN$54/$NT$54)),0)</f>
        <v/>
      </c>
      <c r="KE54" s="402">
        <f>IF(AND(287&gt;=$NR$54,287&lt;=$NS$54),IF($NP$54="Single_Point",IF(287=$NR$54,$NN$54,0),IF($NP$54="Bell_Curve",$NN$54*(287-$NR$54+1)*($NS$54-287+1)/$NU$54,$NN$54/$NT$54)),0)</f>
        <v/>
      </c>
      <c r="KF54" s="402">
        <f>IF(AND(288&gt;=$NR$54,288&lt;=$NS$54),IF($NP$54="Single_Point",IF(288=$NR$54,$NN$54,0),IF($NP$54="Bell_Curve",$NN$54*(288-$NR$54+1)*($NS$54-288+1)/$NU$54,$NN$54/$NT$54)),0)</f>
        <v/>
      </c>
      <c r="KG54" s="402">
        <f>IF(AND(289&gt;=$NR$54,289&lt;=$NS$54),IF($NP$54="Single_Point",IF(289=$NR$54,$NN$54,0),IF($NP$54="Bell_Curve",$NN$54*(289-$NR$54+1)*($NS$54-289+1)/$NU$54,$NN$54/$NT$54)),0)</f>
        <v/>
      </c>
      <c r="KH54" s="402">
        <f>IF(AND(290&gt;=$NR$54,290&lt;=$NS$54),IF($NP$54="Single_Point",IF(290=$NR$54,$NN$54,0),IF($NP$54="Bell_Curve",$NN$54*(290-$NR$54+1)*($NS$54-290+1)/$NU$54,$NN$54/$NT$54)),0)</f>
        <v/>
      </c>
      <c r="KI54" s="402">
        <f>IF(AND(291&gt;=$NR$54,291&lt;=$NS$54),IF($NP$54="Single_Point",IF(291=$NR$54,$NN$54,0),IF($NP$54="Bell_Curve",$NN$54*(291-$NR$54+1)*($NS$54-291+1)/$NU$54,$NN$54/$NT$54)),0)</f>
        <v/>
      </c>
      <c r="KJ54" s="402">
        <f>IF(AND(292&gt;=$NR$54,292&lt;=$NS$54),IF($NP$54="Single_Point",IF(292=$NR$54,$NN$54,0),IF($NP$54="Bell_Curve",$NN$54*(292-$NR$54+1)*($NS$54-292+1)/$NU$54,$NN$54/$NT$54)),0)</f>
        <v/>
      </c>
      <c r="KK54" s="402">
        <f>IF(AND(293&gt;=$NR$54,293&lt;=$NS$54),IF($NP$54="Single_Point",IF(293=$NR$54,$NN$54,0),IF($NP$54="Bell_Curve",$NN$54*(293-$NR$54+1)*($NS$54-293+1)/$NU$54,$NN$54/$NT$54)),0)</f>
        <v/>
      </c>
      <c r="KL54" s="402">
        <f>IF(AND(294&gt;=$NR$54,294&lt;=$NS$54),IF($NP$54="Single_Point",IF(294=$NR$54,$NN$54,0),IF($NP$54="Bell_Curve",$NN$54*(294-$NR$54+1)*($NS$54-294+1)/$NU$54,$NN$54/$NT$54)),0)</f>
        <v/>
      </c>
      <c r="KM54" s="402">
        <f>IF(AND(295&gt;=$NR$54,295&lt;=$NS$54),IF($NP$54="Single_Point",IF(295=$NR$54,$NN$54,0),IF($NP$54="Bell_Curve",$NN$54*(295-$NR$54+1)*($NS$54-295+1)/$NU$54,$NN$54/$NT$54)),0)</f>
        <v/>
      </c>
      <c r="KN54" s="402">
        <f>IF(AND(296&gt;=$NR$54,296&lt;=$NS$54),IF($NP$54="Single_Point",IF(296=$NR$54,$NN$54,0),IF($NP$54="Bell_Curve",$NN$54*(296-$NR$54+1)*($NS$54-296+1)/$NU$54,$NN$54/$NT$54)),0)</f>
        <v/>
      </c>
      <c r="KO54" s="402">
        <f>IF(AND(297&gt;=$NR$54,297&lt;=$NS$54),IF($NP$54="Single_Point",IF(297=$NR$54,$NN$54,0),IF($NP$54="Bell_Curve",$NN$54*(297-$NR$54+1)*($NS$54-297+1)/$NU$54,$NN$54/$NT$54)),0)</f>
        <v/>
      </c>
      <c r="KP54" s="402">
        <f>IF(AND(298&gt;=$NR$54,298&lt;=$NS$54),IF($NP$54="Single_Point",IF(298=$NR$54,$NN$54,0),IF($NP$54="Bell_Curve",$NN$54*(298-$NR$54+1)*($NS$54-298+1)/$NU$54,$NN$54/$NT$54)),0)</f>
        <v/>
      </c>
      <c r="KQ54" s="402">
        <f>IF(AND(299&gt;=$NR$54,299&lt;=$NS$54),IF($NP$54="Single_Point",IF(299=$NR$54,$NN$54,0),IF($NP$54="Bell_Curve",$NN$54*(299-$NR$54+1)*($NS$54-299+1)/$NU$54,$NN$54/$NT$54)),0)</f>
        <v/>
      </c>
      <c r="KR54" s="402">
        <f>IF(AND(300&gt;=$NR$54,300&lt;=$NS$54),IF($NP$54="Single_Point",IF(300=$NR$54,$NN$54,0),IF($NP$54="Bell_Curve",$NN$54*(300-$NR$54+1)*($NS$54-300+1)/$NU$54,$NN$54/$NT$54)),0)</f>
        <v/>
      </c>
      <c r="KS54" s="402">
        <f>IF(AND(301&gt;=$NR$54,301&lt;=$NS$54),IF($NP$54="Single_Point",IF(301=$NR$54,$NN$54,0),IF($NP$54="Bell_Curve",$NN$54*(301-$NR$54+1)*($NS$54-301+1)/$NU$54,$NN$54/$NT$54)),0)</f>
        <v/>
      </c>
      <c r="KT54" s="402">
        <f>IF(AND(302&gt;=$NR$54,302&lt;=$NS$54),IF($NP$54="Single_Point",IF(302=$NR$54,$NN$54,0),IF($NP$54="Bell_Curve",$NN$54*(302-$NR$54+1)*($NS$54-302+1)/$NU$54,$NN$54/$NT$54)),0)</f>
        <v/>
      </c>
      <c r="KU54" s="402">
        <f>IF(AND(303&gt;=$NR$54,303&lt;=$NS$54),IF($NP$54="Single_Point",IF(303=$NR$54,$NN$54,0),IF($NP$54="Bell_Curve",$NN$54*(303-$NR$54+1)*($NS$54-303+1)/$NU$54,$NN$54/$NT$54)),0)</f>
        <v/>
      </c>
      <c r="KV54" s="402">
        <f>IF(AND(304&gt;=$NR$54,304&lt;=$NS$54),IF($NP$54="Single_Point",IF(304=$NR$54,$NN$54,0),IF($NP$54="Bell_Curve",$NN$54*(304-$NR$54+1)*($NS$54-304+1)/$NU$54,$NN$54/$NT$54)),0)</f>
        <v/>
      </c>
      <c r="KW54" s="402">
        <f>IF(AND(305&gt;=$NR$54,305&lt;=$NS$54),IF($NP$54="Single_Point",IF(305=$NR$54,$NN$54,0),IF($NP$54="Bell_Curve",$NN$54*(305-$NR$54+1)*($NS$54-305+1)/$NU$54,$NN$54/$NT$54)),0)</f>
        <v/>
      </c>
      <c r="KX54" s="402">
        <f>IF(AND(306&gt;=$NR$54,306&lt;=$NS$54),IF($NP$54="Single_Point",IF(306=$NR$54,$NN$54,0),IF($NP$54="Bell_Curve",$NN$54*(306-$NR$54+1)*($NS$54-306+1)/$NU$54,$NN$54/$NT$54)),0)</f>
        <v/>
      </c>
      <c r="KY54" s="402">
        <f>IF(AND(307&gt;=$NR$54,307&lt;=$NS$54),IF($NP$54="Single_Point",IF(307=$NR$54,$NN$54,0),IF($NP$54="Bell_Curve",$NN$54*(307-$NR$54+1)*($NS$54-307+1)/$NU$54,$NN$54/$NT$54)),0)</f>
        <v/>
      </c>
      <c r="KZ54" s="402">
        <f>IF(AND(308&gt;=$NR$54,308&lt;=$NS$54),IF($NP$54="Single_Point",IF(308=$NR$54,$NN$54,0),IF($NP$54="Bell_Curve",$NN$54*(308-$NR$54+1)*($NS$54-308+1)/$NU$54,$NN$54/$NT$54)),0)</f>
        <v/>
      </c>
      <c r="LA54" s="402">
        <f>IF(AND(309&gt;=$NR$54,309&lt;=$NS$54),IF($NP$54="Single_Point",IF(309=$NR$54,$NN$54,0),IF($NP$54="Bell_Curve",$NN$54*(309-$NR$54+1)*($NS$54-309+1)/$NU$54,$NN$54/$NT$54)),0)</f>
        <v/>
      </c>
      <c r="LB54" s="402">
        <f>IF(AND(310&gt;=$NR$54,310&lt;=$NS$54),IF($NP$54="Single_Point",IF(310=$NR$54,$NN$54,0),IF($NP$54="Bell_Curve",$NN$54*(310-$NR$54+1)*($NS$54-310+1)/$NU$54,$NN$54/$NT$54)),0)</f>
        <v/>
      </c>
      <c r="LC54" s="402">
        <f>IF(AND(311&gt;=$NR$54,311&lt;=$NS$54),IF($NP$54="Single_Point",IF(311=$NR$54,$NN$54,0),IF($NP$54="Bell_Curve",$NN$54*(311-$NR$54+1)*($NS$54-311+1)/$NU$54,$NN$54/$NT$54)),0)</f>
        <v/>
      </c>
      <c r="LD54" s="402">
        <f>IF(AND(312&gt;=$NR$54,312&lt;=$NS$54),IF($NP$54="Single_Point",IF(312=$NR$54,$NN$54,0),IF($NP$54="Bell_Curve",$NN$54*(312-$NR$54+1)*($NS$54-312+1)/$NU$54,$NN$54/$NT$54)),0)</f>
        <v/>
      </c>
      <c r="LE54" s="402">
        <f>IF(AND(313&gt;=$NR$54,313&lt;=$NS$54),IF($NP$54="Single_Point",IF(313=$NR$54,$NN$54,0),IF($NP$54="Bell_Curve",$NN$54*(313-$NR$54+1)*($NS$54-313+1)/$NU$54,$NN$54/$NT$54)),0)</f>
        <v/>
      </c>
      <c r="LF54" s="402">
        <f>IF(AND(314&gt;=$NR$54,314&lt;=$NS$54),IF($NP$54="Single_Point",IF(314=$NR$54,$NN$54,0),IF($NP$54="Bell_Curve",$NN$54*(314-$NR$54+1)*($NS$54-314+1)/$NU$54,$NN$54/$NT$54)),0)</f>
        <v/>
      </c>
      <c r="LG54" s="402">
        <f>IF(AND(315&gt;=$NR$54,315&lt;=$NS$54),IF($NP$54="Single_Point",IF(315=$NR$54,$NN$54,0),IF($NP$54="Bell_Curve",$NN$54*(315-$NR$54+1)*($NS$54-315+1)/$NU$54,$NN$54/$NT$54)),0)</f>
        <v/>
      </c>
      <c r="LH54" s="402">
        <f>IF(AND(316&gt;=$NR$54,316&lt;=$NS$54),IF($NP$54="Single_Point",IF(316=$NR$54,$NN$54,0),IF($NP$54="Bell_Curve",$NN$54*(316-$NR$54+1)*($NS$54-316+1)/$NU$54,$NN$54/$NT$54)),0)</f>
        <v/>
      </c>
      <c r="LI54" s="402">
        <f>IF(AND(317&gt;=$NR$54,317&lt;=$NS$54),IF($NP$54="Single_Point",IF(317=$NR$54,$NN$54,0),IF($NP$54="Bell_Curve",$NN$54*(317-$NR$54+1)*($NS$54-317+1)/$NU$54,$NN$54/$NT$54)),0)</f>
        <v/>
      </c>
      <c r="LJ54" s="402">
        <f>IF(AND(318&gt;=$NR$54,318&lt;=$NS$54),IF($NP$54="Single_Point",IF(318=$NR$54,$NN$54,0),IF($NP$54="Bell_Curve",$NN$54*(318-$NR$54+1)*($NS$54-318+1)/$NU$54,$NN$54/$NT$54)),0)</f>
        <v/>
      </c>
      <c r="LK54" s="402">
        <f>IF(AND(319&gt;=$NR$54,319&lt;=$NS$54),IF($NP$54="Single_Point",IF(319=$NR$54,$NN$54,0),IF($NP$54="Bell_Curve",$NN$54*(319-$NR$54+1)*($NS$54-319+1)/$NU$54,$NN$54/$NT$54)),0)</f>
        <v/>
      </c>
      <c r="LL54" s="402">
        <f>IF(AND(320&gt;=$NR$54,320&lt;=$NS$54),IF($NP$54="Single_Point",IF(320=$NR$54,$NN$54,0),IF($NP$54="Bell_Curve",$NN$54*(320-$NR$54+1)*($NS$54-320+1)/$NU$54,$NN$54/$NT$54)),0)</f>
        <v/>
      </c>
      <c r="LM54" s="402">
        <f>IF(AND(321&gt;=$NR$54,321&lt;=$NS$54),IF($NP$54="Single_Point",IF(321=$NR$54,$NN$54,0),IF($NP$54="Bell_Curve",$NN$54*(321-$NR$54+1)*($NS$54-321+1)/$NU$54,$NN$54/$NT$54)),0)</f>
        <v/>
      </c>
      <c r="LN54" s="402">
        <f>IF(AND(322&gt;=$NR$54,322&lt;=$NS$54),IF($NP$54="Single_Point",IF(322=$NR$54,$NN$54,0),IF($NP$54="Bell_Curve",$NN$54*(322-$NR$54+1)*($NS$54-322+1)/$NU$54,$NN$54/$NT$54)),0)</f>
        <v/>
      </c>
      <c r="LO54" s="402">
        <f>IF(AND(323&gt;=$NR$54,323&lt;=$NS$54),IF($NP$54="Single_Point",IF(323=$NR$54,$NN$54,0),IF($NP$54="Bell_Curve",$NN$54*(323-$NR$54+1)*($NS$54-323+1)/$NU$54,$NN$54/$NT$54)),0)</f>
        <v/>
      </c>
      <c r="LP54" s="402">
        <f>IF(AND(324&gt;=$NR$54,324&lt;=$NS$54),IF($NP$54="Single_Point",IF(324=$NR$54,$NN$54,0),IF($NP$54="Bell_Curve",$NN$54*(324-$NR$54+1)*($NS$54-324+1)/$NU$54,$NN$54/$NT$54)),0)</f>
        <v/>
      </c>
      <c r="LQ54" s="402">
        <f>IF(AND(325&gt;=$NR$54,325&lt;=$NS$54),IF($NP$54="Single_Point",IF(325=$NR$54,$NN$54,0),IF($NP$54="Bell_Curve",$NN$54*(325-$NR$54+1)*($NS$54-325+1)/$NU$54,$NN$54/$NT$54)),0)</f>
        <v/>
      </c>
      <c r="LR54" s="402">
        <f>IF(AND(326&gt;=$NR$54,326&lt;=$NS$54),IF($NP$54="Single_Point",IF(326=$NR$54,$NN$54,0),IF($NP$54="Bell_Curve",$NN$54*(326-$NR$54+1)*($NS$54-326+1)/$NU$54,$NN$54/$NT$54)),0)</f>
        <v/>
      </c>
      <c r="LS54" s="402">
        <f>IF(AND(327&gt;=$NR$54,327&lt;=$NS$54),IF($NP$54="Single_Point",IF(327=$NR$54,$NN$54,0),IF($NP$54="Bell_Curve",$NN$54*(327-$NR$54+1)*($NS$54-327+1)/$NU$54,$NN$54/$NT$54)),0)</f>
        <v/>
      </c>
      <c r="LT54" s="402">
        <f>IF(AND(328&gt;=$NR$54,328&lt;=$NS$54),IF($NP$54="Single_Point",IF(328=$NR$54,$NN$54,0),IF($NP$54="Bell_Curve",$NN$54*(328-$NR$54+1)*($NS$54-328+1)/$NU$54,$NN$54/$NT$54)),0)</f>
        <v/>
      </c>
      <c r="LU54" s="402">
        <f>IF(AND(329&gt;=$NR$54,329&lt;=$NS$54),IF($NP$54="Single_Point",IF(329=$NR$54,$NN$54,0),IF($NP$54="Bell_Curve",$NN$54*(329-$NR$54+1)*($NS$54-329+1)/$NU$54,$NN$54/$NT$54)),0)</f>
        <v/>
      </c>
      <c r="LV54" s="402">
        <f>IF(AND(330&gt;=$NR$54,330&lt;=$NS$54),IF($NP$54="Single_Point",IF(330=$NR$54,$NN$54,0),IF($NP$54="Bell_Curve",$NN$54*(330-$NR$54+1)*($NS$54-330+1)/$NU$54,$NN$54/$NT$54)),0)</f>
        <v/>
      </c>
      <c r="LW54" s="402">
        <f>IF(AND(331&gt;=$NR$54,331&lt;=$NS$54),IF($NP$54="Single_Point",IF(331=$NR$54,$NN$54,0),IF($NP$54="Bell_Curve",$NN$54*(331-$NR$54+1)*($NS$54-331+1)/$NU$54,$NN$54/$NT$54)),0)</f>
        <v/>
      </c>
      <c r="LX54" s="402">
        <f>IF(AND(332&gt;=$NR$54,332&lt;=$NS$54),IF($NP$54="Single_Point",IF(332=$NR$54,$NN$54,0),IF($NP$54="Bell_Curve",$NN$54*(332-$NR$54+1)*($NS$54-332+1)/$NU$54,$NN$54/$NT$54)),0)</f>
        <v/>
      </c>
      <c r="LY54" s="402">
        <f>IF(AND(333&gt;=$NR$54,333&lt;=$NS$54),IF($NP$54="Single_Point",IF(333=$NR$54,$NN$54,0),IF($NP$54="Bell_Curve",$NN$54*(333-$NR$54+1)*($NS$54-333+1)/$NU$54,$NN$54/$NT$54)),0)</f>
        <v/>
      </c>
      <c r="LZ54" s="402">
        <f>IF(AND(334&gt;=$NR$54,334&lt;=$NS$54),IF($NP$54="Single_Point",IF(334=$NR$54,$NN$54,0),IF($NP$54="Bell_Curve",$NN$54*(334-$NR$54+1)*($NS$54-334+1)/$NU$54,$NN$54/$NT$54)),0)</f>
        <v/>
      </c>
      <c r="MA54" s="402">
        <f>IF(AND(335&gt;=$NR$54,335&lt;=$NS$54),IF($NP$54="Single_Point",IF(335=$NR$54,$NN$54,0),IF($NP$54="Bell_Curve",$NN$54*(335-$NR$54+1)*($NS$54-335+1)/$NU$54,$NN$54/$NT$54)),0)</f>
        <v/>
      </c>
      <c r="MB54" s="402">
        <f>IF(AND(336&gt;=$NR$54,336&lt;=$NS$54),IF($NP$54="Single_Point",IF(336=$NR$54,$NN$54,0),IF($NP$54="Bell_Curve",$NN$54*(336-$NR$54+1)*($NS$54-336+1)/$NU$54,$NN$54/$NT$54)),0)</f>
        <v/>
      </c>
      <c r="MC54" s="402">
        <f>IF(AND(337&gt;=$NR$54,337&lt;=$NS$54),IF($NP$54="Single_Point",IF(337=$NR$54,$NN$54,0),IF($NP$54="Bell_Curve",$NN$54*(337-$NR$54+1)*($NS$54-337+1)/$NU$54,$NN$54/$NT$54)),0)</f>
        <v/>
      </c>
      <c r="MD54" s="402">
        <f>IF(AND(338&gt;=$NR$54,338&lt;=$NS$54),IF($NP$54="Single_Point",IF(338=$NR$54,$NN$54,0),IF($NP$54="Bell_Curve",$NN$54*(338-$NR$54+1)*($NS$54-338+1)/$NU$54,$NN$54/$NT$54)),0)</f>
        <v/>
      </c>
      <c r="ME54" s="402">
        <f>IF(AND(339&gt;=$NR$54,339&lt;=$NS$54),IF($NP$54="Single_Point",IF(339=$NR$54,$NN$54,0),IF($NP$54="Bell_Curve",$NN$54*(339-$NR$54+1)*($NS$54-339+1)/$NU$54,$NN$54/$NT$54)),0)</f>
        <v/>
      </c>
      <c r="MF54" s="402">
        <f>IF(AND(340&gt;=$NR$54,340&lt;=$NS$54),IF($NP$54="Single_Point",IF(340=$NR$54,$NN$54,0),IF($NP$54="Bell_Curve",$NN$54*(340-$NR$54+1)*($NS$54-340+1)/$NU$54,$NN$54/$NT$54)),0)</f>
        <v/>
      </c>
      <c r="MG54" s="402">
        <f>IF(AND(341&gt;=$NR$54,341&lt;=$NS$54),IF($NP$54="Single_Point",IF(341=$NR$54,$NN$54,0),IF($NP$54="Bell_Curve",$NN$54*(341-$NR$54+1)*($NS$54-341+1)/$NU$54,$NN$54/$NT$54)),0)</f>
        <v/>
      </c>
      <c r="MH54" s="402">
        <f>IF(AND(342&gt;=$NR$54,342&lt;=$NS$54),IF($NP$54="Single_Point",IF(342=$NR$54,$NN$54,0),IF($NP$54="Bell_Curve",$NN$54*(342-$NR$54+1)*($NS$54-342+1)/$NU$54,$NN$54/$NT$54)),0)</f>
        <v/>
      </c>
      <c r="MI54" s="402">
        <f>IF(AND(343&gt;=$NR$54,343&lt;=$NS$54),IF($NP$54="Single_Point",IF(343=$NR$54,$NN$54,0),IF($NP$54="Bell_Curve",$NN$54*(343-$NR$54+1)*($NS$54-343+1)/$NU$54,$NN$54/$NT$54)),0)</f>
        <v/>
      </c>
      <c r="MJ54" s="402">
        <f>IF(AND(344&gt;=$NR$54,344&lt;=$NS$54),IF($NP$54="Single_Point",IF(344=$NR$54,$NN$54,0),IF($NP$54="Bell_Curve",$NN$54*(344-$NR$54+1)*($NS$54-344+1)/$NU$54,$NN$54/$NT$54)),0)</f>
        <v/>
      </c>
      <c r="MK54" s="402">
        <f>IF(AND(345&gt;=$NR$54,345&lt;=$NS$54),IF($NP$54="Single_Point",IF(345=$NR$54,$NN$54,0),IF($NP$54="Bell_Curve",$NN$54*(345-$NR$54+1)*($NS$54-345+1)/$NU$54,$NN$54/$NT$54)),0)</f>
        <v/>
      </c>
      <c r="ML54" s="402">
        <f>IF(AND(346&gt;=$NR$54,346&lt;=$NS$54),IF($NP$54="Single_Point",IF(346=$NR$54,$NN$54,0),IF($NP$54="Bell_Curve",$NN$54*(346-$NR$54+1)*($NS$54-346+1)/$NU$54,$NN$54/$NT$54)),0)</f>
        <v/>
      </c>
      <c r="MM54" s="402">
        <f>IF(AND(347&gt;=$NR$54,347&lt;=$NS$54),IF($NP$54="Single_Point",IF(347=$NR$54,$NN$54,0),IF($NP$54="Bell_Curve",$NN$54*(347-$NR$54+1)*($NS$54-347+1)/$NU$54,$NN$54/$NT$54)),0)</f>
        <v/>
      </c>
      <c r="MN54" s="402">
        <f>IF(AND(348&gt;=$NR$54,348&lt;=$NS$54),IF($NP$54="Single_Point",IF(348=$NR$54,$NN$54,0),IF($NP$54="Bell_Curve",$NN$54*(348-$NR$54+1)*($NS$54-348+1)/$NU$54,$NN$54/$NT$54)),0)</f>
        <v/>
      </c>
      <c r="MO54" s="402">
        <f>IF(AND(349&gt;=$NR$54,349&lt;=$NS$54),IF($NP$54="Single_Point",IF(349=$NR$54,$NN$54,0),IF($NP$54="Bell_Curve",$NN$54*(349-$NR$54+1)*($NS$54-349+1)/$NU$54,$NN$54/$NT$54)),0)</f>
        <v/>
      </c>
      <c r="MP54" s="402">
        <f>IF(AND(350&gt;=$NR$54,350&lt;=$NS$54),IF($NP$54="Single_Point",IF(350=$NR$54,$NN$54,0),IF($NP$54="Bell_Curve",$NN$54*(350-$NR$54+1)*($NS$54-350+1)/$NU$54,$NN$54/$NT$54)),0)</f>
        <v/>
      </c>
      <c r="MQ54" s="402">
        <f>IF(AND(351&gt;=$NR$54,351&lt;=$NS$54),IF($NP$54="Single_Point",IF(351=$NR$54,$NN$54,0),IF($NP$54="Bell_Curve",$NN$54*(351-$NR$54+1)*($NS$54-351+1)/$NU$54,$NN$54/$NT$54)),0)</f>
        <v/>
      </c>
      <c r="MR54" s="402">
        <f>IF(AND(352&gt;=$NR$54,352&lt;=$NS$54),IF($NP$54="Single_Point",IF(352=$NR$54,$NN$54,0),IF($NP$54="Bell_Curve",$NN$54*(352-$NR$54+1)*($NS$54-352+1)/$NU$54,$NN$54/$NT$54)),0)</f>
        <v/>
      </c>
      <c r="MS54" s="402">
        <f>IF(AND(353&gt;=$NR$54,353&lt;=$NS$54),IF($NP$54="Single_Point",IF(353=$NR$54,$NN$54,0),IF($NP$54="Bell_Curve",$NN$54*(353-$NR$54+1)*($NS$54-353+1)/$NU$54,$NN$54/$NT$54)),0)</f>
        <v/>
      </c>
      <c r="MT54" s="402">
        <f>IF(AND(354&gt;=$NR$54,354&lt;=$NS$54),IF($NP$54="Single_Point",IF(354=$NR$54,$NN$54,0),IF($NP$54="Bell_Curve",$NN$54*(354-$NR$54+1)*($NS$54-354+1)/$NU$54,$NN$54/$NT$54)),0)</f>
        <v/>
      </c>
      <c r="MU54" s="402">
        <f>IF(AND(355&gt;=$NR$54,355&lt;=$NS$54),IF($NP$54="Single_Point",IF(355=$NR$54,$NN$54,0),IF($NP$54="Bell_Curve",$NN$54*(355-$NR$54+1)*($NS$54-355+1)/$NU$54,$NN$54/$NT$54)),0)</f>
        <v/>
      </c>
      <c r="MV54" s="402">
        <f>IF(AND(356&gt;=$NR$54,356&lt;=$NS$54),IF($NP$54="Single_Point",IF(356=$NR$54,$NN$54,0),IF($NP$54="Bell_Curve",$NN$54*(356-$NR$54+1)*($NS$54-356+1)/$NU$54,$NN$54/$NT$54)),0)</f>
        <v/>
      </c>
      <c r="MW54" s="402">
        <f>IF(AND(357&gt;=$NR$54,357&lt;=$NS$54),IF($NP$54="Single_Point",IF(357=$NR$54,$NN$54,0),IF($NP$54="Bell_Curve",$NN$54*(357-$NR$54+1)*($NS$54-357+1)/$NU$54,$NN$54/$NT$54)),0)</f>
        <v/>
      </c>
      <c r="MX54" s="402">
        <f>IF(AND(358&gt;=$NR$54,358&lt;=$NS$54),IF($NP$54="Single_Point",IF(358=$NR$54,$NN$54,0),IF($NP$54="Bell_Curve",$NN$54*(358-$NR$54+1)*($NS$54-358+1)/$NU$54,$NN$54/$NT$54)),0)</f>
        <v/>
      </c>
      <c r="MY54" s="402">
        <f>IF(AND(359&gt;=$NR$54,359&lt;=$NS$54),IF($NP$54="Single_Point",IF(359=$NR$54,$NN$54,0),IF($NP$54="Bell_Curve",$NN$54*(359-$NR$54+1)*($NS$54-359+1)/$NU$54,$NN$54/$NT$54)),0)</f>
        <v/>
      </c>
      <c r="MZ54" s="402">
        <f>IF(AND(360&gt;=$NR$54,360&lt;=$NS$54),IF($NP$54="Single_Point",IF(360=$NR$54,$NN$54,0),IF($NP$54="Bell_Curve",$NN$54*(360-$NR$54+1)*($NS$54-360+1)/$NU$54,$NN$54/$NT$54)),0)</f>
        <v/>
      </c>
      <c r="NA54" s="402">
        <f>IF(AND(361&gt;=$NR$54,361&lt;=$NS$54),IF($NP$54="Single_Point",IF(361=$NR$54,$NN$54,0),IF($NP$54="Bell_Curve",$NN$54*(361-$NR$54+1)*($NS$54-361+1)/$NU$54,$NN$54/$NT$54)),0)</f>
        <v/>
      </c>
      <c r="NB54" s="402">
        <f>IF(AND(362&gt;=$NR$54,362&lt;=$NS$54),IF($NP$54="Single_Point",IF(362=$NR$54,$NN$54,0),IF($NP$54="Bell_Curve",$NN$54*(362-$NR$54+1)*($NS$54-362+1)/$NU$54,$NN$54/$NT$54)),0)</f>
        <v/>
      </c>
      <c r="NC54" s="402">
        <f>IF(AND(363&gt;=$NR$54,363&lt;=$NS$54),IF($NP$54="Single_Point",IF(363=$NR$54,$NN$54,0),IF($NP$54="Bell_Curve",$NN$54*(363-$NR$54+1)*($NS$54-363+1)/$NU$54,$NN$54/$NT$54)),0)</f>
        <v/>
      </c>
      <c r="ND54" s="402">
        <f>IF(AND(364&gt;=$NR$54,364&lt;=$NS$54),IF($NP$54="Single_Point",IF(364=$NR$54,$NN$54,0),IF($NP$54="Bell_Curve",$NN$54*(364-$NR$54+1)*($NS$54-364+1)/$NU$54,$NN$54/$NT$54)),0)</f>
        <v/>
      </c>
      <c r="NE54" s="402">
        <f>IF(AND(365&gt;=$NR$54,365&lt;=$NS$54),IF($NP$54="Single_Point",IF(365=$NR$54,$NN$54,0),IF($NP$54="Bell_Curve",$NN$54*(365-$NR$54+1)*($NS$54-365+1)/$NU$54,$NN$54/$NT$54)),0)</f>
        <v/>
      </c>
      <c r="NF54" s="402">
        <f>IF(AND(366&gt;=$NR$54,366&lt;=$NS$54),IF($NP$54="Single_Point",IF(366=$NR$54,$NN$54,0),IF($NP$54="Bell_Curve",$NN$54*(366-$NR$54+1)*($NS$54-366+1)/$NU$54,$NN$54/$NT$54)),0)</f>
        <v/>
      </c>
      <c r="NG54" s="402">
        <f>IF(AND(367&gt;=$NR$54,367&lt;=$NS$54),IF($NP$54="Single_Point",IF(367=$NR$54,$NN$54,0),IF($NP$54="Bell_Curve",$NN$54*(367-$NR$54+1)*($NS$54-367+1)/$NU$54,$NN$54/$NT$54)),0)</f>
        <v/>
      </c>
      <c r="NH54" s="402">
        <f>IF(AND(368&gt;=$NR$54,368&lt;=$NS$54),IF($NP$54="Single_Point",IF(368=$NR$54,$NN$54,0),IF($NP$54="Bell_Curve",$NN$54*(368-$NR$54+1)*($NS$54-368+1)/$NU$54,$NN$54/$NT$54)),0)</f>
        <v/>
      </c>
      <c r="NI54" s="402">
        <f>IF(AND(369&gt;=$NR$54,369&lt;=$NS$54),IF($NP$54="Single_Point",IF(369=$NR$54,$NN$54,0),IF($NP$54="Bell_Curve",$NN$54*(369-$NR$54+1)*($NS$54-369+1)/$NU$54,$NN$54/$NT$54)),0)</f>
        <v/>
      </c>
      <c r="NJ54" s="402">
        <f>IF(AND(370&gt;=$NR$54,370&lt;=$NS$54),IF($NP$54="Single_Point",IF(370=$NR$54,$NN$54,0),IF($NP$54="Bell_Curve",$NN$54*(370-$NR$54+1)*($NS$54-370+1)/$NU$54,$NN$54/$NT$54)),0)</f>
        <v/>
      </c>
      <c r="NK54" s="402">
        <f>IF(AND(371&gt;=$NR$54,371&lt;=$NS$54),IF($NP$54="Single_Point",IF(371=$NR$54,$NN$54,0),IF($NP$54="Bell_Curve",$NN$54*(371-$NR$54+1)*($NS$54-371+1)/$NU$54,$NN$54/$NT$54)),0)</f>
        <v/>
      </c>
      <c r="NL54" s="402">
        <f>IF(AND(372&gt;=$NR$54,372&lt;=$NS$54),IF($NP$54="Single_Point",IF(372=$NR$54,$NN$54,0),IF($NP$54="Bell_Curve",$NN$54*(372-$NR$54+1)*($NS$54-372+1)/$NU$54,$NN$54/$NT$54)),0)</f>
        <v/>
      </c>
      <c r="NM54">
        <f>Budget!C53</f>
        <v/>
      </c>
      <c r="NN54">
        <f>Budget!J53</f>
        <v/>
      </c>
      <c r="NO54">
        <f>Budget!G53</f>
        <v/>
      </c>
      <c r="NP54">
        <f>Budget!H53</f>
        <v/>
      </c>
      <c r="NQ54">
        <f>Budget!I53</f>
        <v/>
      </c>
      <c r="NR54">
        <f>MAX(1,MIN(372,INDEX(MilestoneStart,MATCH(NO54,MilestoneNames,0))+NQ54))</f>
        <v/>
      </c>
      <c r="NS54">
        <f>MAX(NR54,MIN(372,INDEX(MilestoneEnd,MATCH(NO54,MilestoneNames,0))+NQ54))</f>
        <v/>
      </c>
      <c r="NT54">
        <f>NS54-NR54+1</f>
        <v/>
      </c>
      <c r="NU54">
        <f>NT54*(NT54+1)*(NT54+2)/6</f>
        <v/>
      </c>
    </row>
    <row r="55">
      <c r="B55" s="316">
        <f>Budget!B54</f>
        <v/>
      </c>
      <c r="D55" s="402">
        <f>SUM(E55:NL55)</f>
        <v/>
      </c>
      <c r="E55" s="402">
        <f>IF(AND(1&gt;=$NR$55,1&lt;=$NS$55),IF($NP$55="Single_Point",IF(1=$NR$55,$NN$55,0),IF($NP$55="Bell_Curve",$NN$55*(1-$NR$55+1)*($NS$55-1+1)/$NU$55,$NN$55/$NT$55)),0)</f>
        <v/>
      </c>
      <c r="F55" s="402">
        <f>IF(AND(2&gt;=$NR$55,2&lt;=$NS$55),IF($NP$55="Single_Point",IF(2=$NR$55,$NN$55,0),IF($NP$55="Bell_Curve",$NN$55*(2-$NR$55+1)*($NS$55-2+1)/$NU$55,$NN$55/$NT$55)),0)</f>
        <v/>
      </c>
      <c r="G55" s="402">
        <f>IF(AND(3&gt;=$NR$55,3&lt;=$NS$55),IF($NP$55="Single_Point",IF(3=$NR$55,$NN$55,0),IF($NP$55="Bell_Curve",$NN$55*(3-$NR$55+1)*($NS$55-3+1)/$NU$55,$NN$55/$NT$55)),0)</f>
        <v/>
      </c>
      <c r="H55" s="402">
        <f>IF(AND(4&gt;=$NR$55,4&lt;=$NS$55),IF($NP$55="Single_Point",IF(4=$NR$55,$NN$55,0),IF($NP$55="Bell_Curve",$NN$55*(4-$NR$55+1)*($NS$55-4+1)/$NU$55,$NN$55/$NT$55)),0)</f>
        <v/>
      </c>
      <c r="I55" s="402">
        <f>IF(AND(5&gt;=$NR$55,5&lt;=$NS$55),IF($NP$55="Single_Point",IF(5=$NR$55,$NN$55,0),IF($NP$55="Bell_Curve",$NN$55*(5-$NR$55+1)*($NS$55-5+1)/$NU$55,$NN$55/$NT$55)),0)</f>
        <v/>
      </c>
      <c r="J55" s="402">
        <f>IF(AND(6&gt;=$NR$55,6&lt;=$NS$55),IF($NP$55="Single_Point",IF(6=$NR$55,$NN$55,0),IF($NP$55="Bell_Curve",$NN$55*(6-$NR$55+1)*($NS$55-6+1)/$NU$55,$NN$55/$NT$55)),0)</f>
        <v/>
      </c>
      <c r="K55" s="402">
        <f>IF(AND(7&gt;=$NR$55,7&lt;=$NS$55),IF($NP$55="Single_Point",IF(7=$NR$55,$NN$55,0),IF($NP$55="Bell_Curve",$NN$55*(7-$NR$55+1)*($NS$55-7+1)/$NU$55,$NN$55/$NT$55)),0)</f>
        <v/>
      </c>
      <c r="L55" s="402">
        <f>IF(AND(8&gt;=$NR$55,8&lt;=$NS$55),IF($NP$55="Single_Point",IF(8=$NR$55,$NN$55,0),IF($NP$55="Bell_Curve",$NN$55*(8-$NR$55+1)*($NS$55-8+1)/$NU$55,$NN$55/$NT$55)),0)</f>
        <v/>
      </c>
      <c r="M55" s="402">
        <f>IF(AND(9&gt;=$NR$55,9&lt;=$NS$55),IF($NP$55="Single_Point",IF(9=$NR$55,$NN$55,0),IF($NP$55="Bell_Curve",$NN$55*(9-$NR$55+1)*($NS$55-9+1)/$NU$55,$NN$55/$NT$55)),0)</f>
        <v/>
      </c>
      <c r="N55" s="402">
        <f>IF(AND(10&gt;=$NR$55,10&lt;=$NS$55),IF($NP$55="Single_Point",IF(10=$NR$55,$NN$55,0),IF($NP$55="Bell_Curve",$NN$55*(10-$NR$55+1)*($NS$55-10+1)/$NU$55,$NN$55/$NT$55)),0)</f>
        <v/>
      </c>
      <c r="O55" s="402">
        <f>IF(AND(11&gt;=$NR$55,11&lt;=$NS$55),IF($NP$55="Single_Point",IF(11=$NR$55,$NN$55,0),IF($NP$55="Bell_Curve",$NN$55*(11-$NR$55+1)*($NS$55-11+1)/$NU$55,$NN$55/$NT$55)),0)</f>
        <v/>
      </c>
      <c r="P55" s="402">
        <f>IF(AND(12&gt;=$NR$55,12&lt;=$NS$55),IF($NP$55="Single_Point",IF(12=$NR$55,$NN$55,0),IF($NP$55="Bell_Curve",$NN$55*(12-$NR$55+1)*($NS$55-12+1)/$NU$55,$NN$55/$NT$55)),0)</f>
        <v/>
      </c>
      <c r="Q55" s="402">
        <f>IF(AND(13&gt;=$NR$55,13&lt;=$NS$55),IF($NP$55="Single_Point",IF(13=$NR$55,$NN$55,0),IF($NP$55="Bell_Curve",$NN$55*(13-$NR$55+1)*($NS$55-13+1)/$NU$55,$NN$55/$NT$55)),0)</f>
        <v/>
      </c>
      <c r="R55" s="402">
        <f>IF(AND(14&gt;=$NR$55,14&lt;=$NS$55),IF($NP$55="Single_Point",IF(14=$NR$55,$NN$55,0),IF($NP$55="Bell_Curve",$NN$55*(14-$NR$55+1)*($NS$55-14+1)/$NU$55,$NN$55/$NT$55)),0)</f>
        <v/>
      </c>
      <c r="S55" s="402">
        <f>IF(AND(15&gt;=$NR$55,15&lt;=$NS$55),IF($NP$55="Single_Point",IF(15=$NR$55,$NN$55,0),IF($NP$55="Bell_Curve",$NN$55*(15-$NR$55+1)*($NS$55-15+1)/$NU$55,$NN$55/$NT$55)),0)</f>
        <v/>
      </c>
      <c r="T55" s="402">
        <f>IF(AND(16&gt;=$NR$55,16&lt;=$NS$55),IF($NP$55="Single_Point",IF(16=$NR$55,$NN$55,0),IF($NP$55="Bell_Curve",$NN$55*(16-$NR$55+1)*($NS$55-16+1)/$NU$55,$NN$55/$NT$55)),0)</f>
        <v/>
      </c>
      <c r="U55" s="402">
        <f>IF(AND(17&gt;=$NR$55,17&lt;=$NS$55),IF($NP$55="Single_Point",IF(17=$NR$55,$NN$55,0),IF($NP$55="Bell_Curve",$NN$55*(17-$NR$55+1)*($NS$55-17+1)/$NU$55,$NN$55/$NT$55)),0)</f>
        <v/>
      </c>
      <c r="V55" s="402">
        <f>IF(AND(18&gt;=$NR$55,18&lt;=$NS$55),IF($NP$55="Single_Point",IF(18=$NR$55,$NN$55,0),IF($NP$55="Bell_Curve",$NN$55*(18-$NR$55+1)*($NS$55-18+1)/$NU$55,$NN$55/$NT$55)),0)</f>
        <v/>
      </c>
      <c r="W55" s="402">
        <f>IF(AND(19&gt;=$NR$55,19&lt;=$NS$55),IF($NP$55="Single_Point",IF(19=$NR$55,$NN$55,0),IF($NP$55="Bell_Curve",$NN$55*(19-$NR$55+1)*($NS$55-19+1)/$NU$55,$NN$55/$NT$55)),0)</f>
        <v/>
      </c>
      <c r="X55" s="402">
        <f>IF(AND(20&gt;=$NR$55,20&lt;=$NS$55),IF($NP$55="Single_Point",IF(20=$NR$55,$NN$55,0),IF($NP$55="Bell_Curve",$NN$55*(20-$NR$55+1)*($NS$55-20+1)/$NU$55,$NN$55/$NT$55)),0)</f>
        <v/>
      </c>
      <c r="Y55" s="402">
        <f>IF(AND(21&gt;=$NR$55,21&lt;=$NS$55),IF($NP$55="Single_Point",IF(21=$NR$55,$NN$55,0),IF($NP$55="Bell_Curve",$NN$55*(21-$NR$55+1)*($NS$55-21+1)/$NU$55,$NN$55/$NT$55)),0)</f>
        <v/>
      </c>
      <c r="Z55" s="402">
        <f>IF(AND(22&gt;=$NR$55,22&lt;=$NS$55),IF($NP$55="Single_Point",IF(22=$NR$55,$NN$55,0),IF($NP$55="Bell_Curve",$NN$55*(22-$NR$55+1)*($NS$55-22+1)/$NU$55,$NN$55/$NT$55)),0)</f>
        <v/>
      </c>
      <c r="AA55" s="402">
        <f>IF(AND(23&gt;=$NR$55,23&lt;=$NS$55),IF($NP$55="Single_Point",IF(23=$NR$55,$NN$55,0),IF($NP$55="Bell_Curve",$NN$55*(23-$NR$55+1)*($NS$55-23+1)/$NU$55,$NN$55/$NT$55)),0)</f>
        <v/>
      </c>
      <c r="AB55" s="402">
        <f>IF(AND(24&gt;=$NR$55,24&lt;=$NS$55),IF($NP$55="Single_Point",IF(24=$NR$55,$NN$55,0),IF($NP$55="Bell_Curve",$NN$55*(24-$NR$55+1)*($NS$55-24+1)/$NU$55,$NN$55/$NT$55)),0)</f>
        <v/>
      </c>
      <c r="AC55" s="402">
        <f>IF(AND(25&gt;=$NR$55,25&lt;=$NS$55),IF($NP$55="Single_Point",IF(25=$NR$55,$NN$55,0),IF($NP$55="Bell_Curve",$NN$55*(25-$NR$55+1)*($NS$55-25+1)/$NU$55,$NN$55/$NT$55)),0)</f>
        <v/>
      </c>
      <c r="AD55" s="402">
        <f>IF(AND(26&gt;=$NR$55,26&lt;=$NS$55),IF($NP$55="Single_Point",IF(26=$NR$55,$NN$55,0),IF($NP$55="Bell_Curve",$NN$55*(26-$NR$55+1)*($NS$55-26+1)/$NU$55,$NN$55/$NT$55)),0)</f>
        <v/>
      </c>
      <c r="AE55" s="402">
        <f>IF(AND(27&gt;=$NR$55,27&lt;=$NS$55),IF($NP$55="Single_Point",IF(27=$NR$55,$NN$55,0),IF($NP$55="Bell_Curve",$NN$55*(27-$NR$55+1)*($NS$55-27+1)/$NU$55,$NN$55/$NT$55)),0)</f>
        <v/>
      </c>
      <c r="AF55" s="402">
        <f>IF(AND(28&gt;=$NR$55,28&lt;=$NS$55),IF($NP$55="Single_Point",IF(28=$NR$55,$NN$55,0),IF($NP$55="Bell_Curve",$NN$55*(28-$NR$55+1)*($NS$55-28+1)/$NU$55,$NN$55/$NT$55)),0)</f>
        <v/>
      </c>
      <c r="AG55" s="402">
        <f>IF(AND(29&gt;=$NR$55,29&lt;=$NS$55),IF($NP$55="Single_Point",IF(29=$NR$55,$NN$55,0),IF($NP$55="Bell_Curve",$NN$55*(29-$NR$55+1)*($NS$55-29+1)/$NU$55,$NN$55/$NT$55)),0)</f>
        <v/>
      </c>
      <c r="AH55" s="402">
        <f>IF(AND(30&gt;=$NR$55,30&lt;=$NS$55),IF($NP$55="Single_Point",IF(30=$NR$55,$NN$55,0),IF($NP$55="Bell_Curve",$NN$55*(30-$NR$55+1)*($NS$55-30+1)/$NU$55,$NN$55/$NT$55)),0)</f>
        <v/>
      </c>
      <c r="AI55" s="402">
        <f>IF(AND(31&gt;=$NR$55,31&lt;=$NS$55),IF($NP$55="Single_Point",IF(31=$NR$55,$NN$55,0),IF($NP$55="Bell_Curve",$NN$55*(31-$NR$55+1)*($NS$55-31+1)/$NU$55,$NN$55/$NT$55)),0)</f>
        <v/>
      </c>
      <c r="AJ55" s="402">
        <f>IF(AND(32&gt;=$NR$55,32&lt;=$NS$55),IF($NP$55="Single_Point",IF(32=$NR$55,$NN$55,0),IF($NP$55="Bell_Curve",$NN$55*(32-$NR$55+1)*($NS$55-32+1)/$NU$55,$NN$55/$NT$55)),0)</f>
        <v/>
      </c>
      <c r="AK55" s="402">
        <f>IF(AND(33&gt;=$NR$55,33&lt;=$NS$55),IF($NP$55="Single_Point",IF(33=$NR$55,$NN$55,0),IF($NP$55="Bell_Curve",$NN$55*(33-$NR$55+1)*($NS$55-33+1)/$NU$55,$NN$55/$NT$55)),0)</f>
        <v/>
      </c>
      <c r="AL55" s="402">
        <f>IF(AND(34&gt;=$NR$55,34&lt;=$NS$55),IF($NP$55="Single_Point",IF(34=$NR$55,$NN$55,0),IF($NP$55="Bell_Curve",$NN$55*(34-$NR$55+1)*($NS$55-34+1)/$NU$55,$NN$55/$NT$55)),0)</f>
        <v/>
      </c>
      <c r="AM55" s="402">
        <f>IF(AND(35&gt;=$NR$55,35&lt;=$NS$55),IF($NP$55="Single_Point",IF(35=$NR$55,$NN$55,0),IF($NP$55="Bell_Curve",$NN$55*(35-$NR$55+1)*($NS$55-35+1)/$NU$55,$NN$55/$NT$55)),0)</f>
        <v/>
      </c>
      <c r="AN55" s="402">
        <f>IF(AND(36&gt;=$NR$55,36&lt;=$NS$55),IF($NP$55="Single_Point",IF(36=$NR$55,$NN$55,0),IF($NP$55="Bell_Curve",$NN$55*(36-$NR$55+1)*($NS$55-36+1)/$NU$55,$NN$55/$NT$55)),0)</f>
        <v/>
      </c>
      <c r="AO55" s="402">
        <f>IF(AND(37&gt;=$NR$55,37&lt;=$NS$55),IF($NP$55="Single_Point",IF(37=$NR$55,$NN$55,0),IF($NP$55="Bell_Curve",$NN$55*(37-$NR$55+1)*($NS$55-37+1)/$NU$55,$NN$55/$NT$55)),0)</f>
        <v/>
      </c>
      <c r="AP55" s="402">
        <f>IF(AND(38&gt;=$NR$55,38&lt;=$NS$55),IF($NP$55="Single_Point",IF(38=$NR$55,$NN$55,0),IF($NP$55="Bell_Curve",$NN$55*(38-$NR$55+1)*($NS$55-38+1)/$NU$55,$NN$55/$NT$55)),0)</f>
        <v/>
      </c>
      <c r="AQ55" s="402">
        <f>IF(AND(39&gt;=$NR$55,39&lt;=$NS$55),IF($NP$55="Single_Point",IF(39=$NR$55,$NN$55,0),IF($NP$55="Bell_Curve",$NN$55*(39-$NR$55+1)*($NS$55-39+1)/$NU$55,$NN$55/$NT$55)),0)</f>
        <v/>
      </c>
      <c r="AR55" s="402">
        <f>IF(AND(40&gt;=$NR$55,40&lt;=$NS$55),IF($NP$55="Single_Point",IF(40=$NR$55,$NN$55,0),IF($NP$55="Bell_Curve",$NN$55*(40-$NR$55+1)*($NS$55-40+1)/$NU$55,$NN$55/$NT$55)),0)</f>
        <v/>
      </c>
      <c r="AS55" s="402">
        <f>IF(AND(41&gt;=$NR$55,41&lt;=$NS$55),IF($NP$55="Single_Point",IF(41=$NR$55,$NN$55,0),IF($NP$55="Bell_Curve",$NN$55*(41-$NR$55+1)*($NS$55-41+1)/$NU$55,$NN$55/$NT$55)),0)</f>
        <v/>
      </c>
      <c r="AT55" s="402">
        <f>IF(AND(42&gt;=$NR$55,42&lt;=$NS$55),IF($NP$55="Single_Point",IF(42=$NR$55,$NN$55,0),IF($NP$55="Bell_Curve",$NN$55*(42-$NR$55+1)*($NS$55-42+1)/$NU$55,$NN$55/$NT$55)),0)</f>
        <v/>
      </c>
      <c r="AU55" s="402">
        <f>IF(AND(43&gt;=$NR$55,43&lt;=$NS$55),IF($NP$55="Single_Point",IF(43=$NR$55,$NN$55,0),IF($NP$55="Bell_Curve",$NN$55*(43-$NR$55+1)*($NS$55-43+1)/$NU$55,$NN$55/$NT$55)),0)</f>
        <v/>
      </c>
      <c r="AV55" s="402">
        <f>IF(AND(44&gt;=$NR$55,44&lt;=$NS$55),IF($NP$55="Single_Point",IF(44=$NR$55,$NN$55,0),IF($NP$55="Bell_Curve",$NN$55*(44-$NR$55+1)*($NS$55-44+1)/$NU$55,$NN$55/$NT$55)),0)</f>
        <v/>
      </c>
      <c r="AW55" s="402">
        <f>IF(AND(45&gt;=$NR$55,45&lt;=$NS$55),IF($NP$55="Single_Point",IF(45=$NR$55,$NN$55,0),IF($NP$55="Bell_Curve",$NN$55*(45-$NR$55+1)*($NS$55-45+1)/$NU$55,$NN$55/$NT$55)),0)</f>
        <v/>
      </c>
      <c r="AX55" s="402">
        <f>IF(AND(46&gt;=$NR$55,46&lt;=$NS$55),IF($NP$55="Single_Point",IF(46=$NR$55,$NN$55,0),IF($NP$55="Bell_Curve",$NN$55*(46-$NR$55+1)*($NS$55-46+1)/$NU$55,$NN$55/$NT$55)),0)</f>
        <v/>
      </c>
      <c r="AY55" s="402">
        <f>IF(AND(47&gt;=$NR$55,47&lt;=$NS$55),IF($NP$55="Single_Point",IF(47=$NR$55,$NN$55,0),IF($NP$55="Bell_Curve",$NN$55*(47-$NR$55+1)*($NS$55-47+1)/$NU$55,$NN$55/$NT$55)),0)</f>
        <v/>
      </c>
      <c r="AZ55" s="402">
        <f>IF(AND(48&gt;=$NR$55,48&lt;=$NS$55),IF($NP$55="Single_Point",IF(48=$NR$55,$NN$55,0),IF($NP$55="Bell_Curve",$NN$55*(48-$NR$55+1)*($NS$55-48+1)/$NU$55,$NN$55/$NT$55)),0)</f>
        <v/>
      </c>
      <c r="BA55" s="402">
        <f>IF(AND(49&gt;=$NR$55,49&lt;=$NS$55),IF($NP$55="Single_Point",IF(49=$NR$55,$NN$55,0),IF($NP$55="Bell_Curve",$NN$55*(49-$NR$55+1)*($NS$55-49+1)/$NU$55,$NN$55/$NT$55)),0)</f>
        <v/>
      </c>
      <c r="BB55" s="402">
        <f>IF(AND(50&gt;=$NR$55,50&lt;=$NS$55),IF($NP$55="Single_Point",IF(50=$NR$55,$NN$55,0),IF($NP$55="Bell_Curve",$NN$55*(50-$NR$55+1)*($NS$55-50+1)/$NU$55,$NN$55/$NT$55)),0)</f>
        <v/>
      </c>
      <c r="BC55" s="402">
        <f>IF(AND(51&gt;=$NR$55,51&lt;=$NS$55),IF($NP$55="Single_Point",IF(51=$NR$55,$NN$55,0),IF($NP$55="Bell_Curve",$NN$55*(51-$NR$55+1)*($NS$55-51+1)/$NU$55,$NN$55/$NT$55)),0)</f>
        <v/>
      </c>
      <c r="BD55" s="402">
        <f>IF(AND(52&gt;=$NR$55,52&lt;=$NS$55),IF($NP$55="Single_Point",IF(52=$NR$55,$NN$55,0),IF($NP$55="Bell_Curve",$NN$55*(52-$NR$55+1)*($NS$55-52+1)/$NU$55,$NN$55/$NT$55)),0)</f>
        <v/>
      </c>
      <c r="BE55" s="402">
        <f>IF(AND(53&gt;=$NR$55,53&lt;=$NS$55),IF($NP$55="Single_Point",IF(53=$NR$55,$NN$55,0),IF($NP$55="Bell_Curve",$NN$55*(53-$NR$55+1)*($NS$55-53+1)/$NU$55,$NN$55/$NT$55)),0)</f>
        <v/>
      </c>
      <c r="BF55" s="402">
        <f>IF(AND(54&gt;=$NR$55,54&lt;=$NS$55),IF($NP$55="Single_Point",IF(54=$NR$55,$NN$55,0),IF($NP$55="Bell_Curve",$NN$55*(54-$NR$55+1)*($NS$55-54+1)/$NU$55,$NN$55/$NT$55)),0)</f>
        <v/>
      </c>
      <c r="BG55" s="402">
        <f>IF(AND(55&gt;=$NR$55,55&lt;=$NS$55),IF($NP$55="Single_Point",IF(55=$NR$55,$NN$55,0),IF($NP$55="Bell_Curve",$NN$55*(55-$NR$55+1)*($NS$55-55+1)/$NU$55,$NN$55/$NT$55)),0)</f>
        <v/>
      </c>
      <c r="BH55" s="402">
        <f>IF(AND(56&gt;=$NR$55,56&lt;=$NS$55),IF($NP$55="Single_Point",IF(56=$NR$55,$NN$55,0),IF($NP$55="Bell_Curve",$NN$55*(56-$NR$55+1)*($NS$55-56+1)/$NU$55,$NN$55/$NT$55)),0)</f>
        <v/>
      </c>
      <c r="BI55" s="402">
        <f>IF(AND(57&gt;=$NR$55,57&lt;=$NS$55),IF($NP$55="Single_Point",IF(57=$NR$55,$NN$55,0),IF($NP$55="Bell_Curve",$NN$55*(57-$NR$55+1)*($NS$55-57+1)/$NU$55,$NN$55/$NT$55)),0)</f>
        <v/>
      </c>
      <c r="BJ55" s="402">
        <f>IF(AND(58&gt;=$NR$55,58&lt;=$NS$55),IF($NP$55="Single_Point",IF(58=$NR$55,$NN$55,0),IF($NP$55="Bell_Curve",$NN$55*(58-$NR$55+1)*($NS$55-58+1)/$NU$55,$NN$55/$NT$55)),0)</f>
        <v/>
      </c>
      <c r="BK55" s="402">
        <f>IF(AND(59&gt;=$NR$55,59&lt;=$NS$55),IF($NP$55="Single_Point",IF(59=$NR$55,$NN$55,0),IF($NP$55="Bell_Curve",$NN$55*(59-$NR$55+1)*($NS$55-59+1)/$NU$55,$NN$55/$NT$55)),0)</f>
        <v/>
      </c>
      <c r="BL55" s="402">
        <f>IF(AND(60&gt;=$NR$55,60&lt;=$NS$55),IF($NP$55="Single_Point",IF(60=$NR$55,$NN$55,0),IF($NP$55="Bell_Curve",$NN$55*(60-$NR$55+1)*($NS$55-60+1)/$NU$55,$NN$55/$NT$55)),0)</f>
        <v/>
      </c>
      <c r="BM55" s="402">
        <f>IF(AND(61&gt;=$NR$55,61&lt;=$NS$55),IF($NP$55="Single_Point",IF(61=$NR$55,$NN$55,0),IF($NP$55="Bell_Curve",$NN$55*(61-$NR$55+1)*($NS$55-61+1)/$NU$55,$NN$55/$NT$55)),0)</f>
        <v/>
      </c>
      <c r="BN55" s="402">
        <f>IF(AND(62&gt;=$NR$55,62&lt;=$NS$55),IF($NP$55="Single_Point",IF(62=$NR$55,$NN$55,0),IF($NP$55="Bell_Curve",$NN$55*(62-$NR$55+1)*($NS$55-62+1)/$NU$55,$NN$55/$NT$55)),0)</f>
        <v/>
      </c>
      <c r="BO55" s="402">
        <f>IF(AND(63&gt;=$NR$55,63&lt;=$NS$55),IF($NP$55="Single_Point",IF(63=$NR$55,$NN$55,0),IF($NP$55="Bell_Curve",$NN$55*(63-$NR$55+1)*($NS$55-63+1)/$NU$55,$NN$55/$NT$55)),0)</f>
        <v/>
      </c>
      <c r="BP55" s="402">
        <f>IF(AND(64&gt;=$NR$55,64&lt;=$NS$55),IF($NP$55="Single_Point",IF(64=$NR$55,$NN$55,0),IF($NP$55="Bell_Curve",$NN$55*(64-$NR$55+1)*($NS$55-64+1)/$NU$55,$NN$55/$NT$55)),0)</f>
        <v/>
      </c>
      <c r="BQ55" s="402">
        <f>IF(AND(65&gt;=$NR$55,65&lt;=$NS$55),IF($NP$55="Single_Point",IF(65=$NR$55,$NN$55,0),IF($NP$55="Bell_Curve",$NN$55*(65-$NR$55+1)*($NS$55-65+1)/$NU$55,$NN$55/$NT$55)),0)</f>
        <v/>
      </c>
      <c r="BR55" s="402">
        <f>IF(AND(66&gt;=$NR$55,66&lt;=$NS$55),IF($NP$55="Single_Point",IF(66=$NR$55,$NN$55,0),IF($NP$55="Bell_Curve",$NN$55*(66-$NR$55+1)*($NS$55-66+1)/$NU$55,$NN$55/$NT$55)),0)</f>
        <v/>
      </c>
      <c r="BS55" s="402">
        <f>IF(AND(67&gt;=$NR$55,67&lt;=$NS$55),IF($NP$55="Single_Point",IF(67=$NR$55,$NN$55,0),IF($NP$55="Bell_Curve",$NN$55*(67-$NR$55+1)*($NS$55-67+1)/$NU$55,$NN$55/$NT$55)),0)</f>
        <v/>
      </c>
      <c r="BT55" s="402">
        <f>IF(AND(68&gt;=$NR$55,68&lt;=$NS$55),IF($NP$55="Single_Point",IF(68=$NR$55,$NN$55,0),IF($NP$55="Bell_Curve",$NN$55*(68-$NR$55+1)*($NS$55-68+1)/$NU$55,$NN$55/$NT$55)),0)</f>
        <v/>
      </c>
      <c r="BU55" s="402">
        <f>IF(AND(69&gt;=$NR$55,69&lt;=$NS$55),IF($NP$55="Single_Point",IF(69=$NR$55,$NN$55,0),IF($NP$55="Bell_Curve",$NN$55*(69-$NR$55+1)*($NS$55-69+1)/$NU$55,$NN$55/$NT$55)),0)</f>
        <v/>
      </c>
      <c r="BV55" s="402">
        <f>IF(AND(70&gt;=$NR$55,70&lt;=$NS$55),IF($NP$55="Single_Point",IF(70=$NR$55,$NN$55,0),IF($NP$55="Bell_Curve",$NN$55*(70-$NR$55+1)*($NS$55-70+1)/$NU$55,$NN$55/$NT$55)),0)</f>
        <v/>
      </c>
      <c r="BW55" s="402">
        <f>IF(AND(71&gt;=$NR$55,71&lt;=$NS$55),IF($NP$55="Single_Point",IF(71=$NR$55,$NN$55,0),IF($NP$55="Bell_Curve",$NN$55*(71-$NR$55+1)*($NS$55-71+1)/$NU$55,$NN$55/$NT$55)),0)</f>
        <v/>
      </c>
      <c r="BX55" s="402">
        <f>IF(AND(72&gt;=$NR$55,72&lt;=$NS$55),IF($NP$55="Single_Point",IF(72=$NR$55,$NN$55,0),IF($NP$55="Bell_Curve",$NN$55*(72-$NR$55+1)*($NS$55-72+1)/$NU$55,$NN$55/$NT$55)),0)</f>
        <v/>
      </c>
      <c r="BY55" s="402">
        <f>IF(AND(73&gt;=$NR$55,73&lt;=$NS$55),IF($NP$55="Single_Point",IF(73=$NR$55,$NN$55,0),IF($NP$55="Bell_Curve",$NN$55*(73-$NR$55+1)*($NS$55-73+1)/$NU$55,$NN$55/$NT$55)),0)</f>
        <v/>
      </c>
      <c r="BZ55" s="402">
        <f>IF(AND(74&gt;=$NR$55,74&lt;=$NS$55),IF($NP$55="Single_Point",IF(74=$NR$55,$NN$55,0),IF($NP$55="Bell_Curve",$NN$55*(74-$NR$55+1)*($NS$55-74+1)/$NU$55,$NN$55/$NT$55)),0)</f>
        <v/>
      </c>
      <c r="CA55" s="402">
        <f>IF(AND(75&gt;=$NR$55,75&lt;=$NS$55),IF($NP$55="Single_Point",IF(75=$NR$55,$NN$55,0),IF($NP$55="Bell_Curve",$NN$55*(75-$NR$55+1)*($NS$55-75+1)/$NU$55,$NN$55/$NT$55)),0)</f>
        <v/>
      </c>
      <c r="CB55" s="402">
        <f>IF(AND(76&gt;=$NR$55,76&lt;=$NS$55),IF($NP$55="Single_Point",IF(76=$NR$55,$NN$55,0),IF($NP$55="Bell_Curve",$NN$55*(76-$NR$55+1)*($NS$55-76+1)/$NU$55,$NN$55/$NT$55)),0)</f>
        <v/>
      </c>
      <c r="CC55" s="402">
        <f>IF(AND(77&gt;=$NR$55,77&lt;=$NS$55),IF($NP$55="Single_Point",IF(77=$NR$55,$NN$55,0),IF($NP$55="Bell_Curve",$NN$55*(77-$NR$55+1)*($NS$55-77+1)/$NU$55,$NN$55/$NT$55)),0)</f>
        <v/>
      </c>
      <c r="CD55" s="402">
        <f>IF(AND(78&gt;=$NR$55,78&lt;=$NS$55),IF($NP$55="Single_Point",IF(78=$NR$55,$NN$55,0),IF($NP$55="Bell_Curve",$NN$55*(78-$NR$55+1)*($NS$55-78+1)/$NU$55,$NN$55/$NT$55)),0)</f>
        <v/>
      </c>
      <c r="CE55" s="402">
        <f>IF(AND(79&gt;=$NR$55,79&lt;=$NS$55),IF($NP$55="Single_Point",IF(79=$NR$55,$NN$55,0),IF($NP$55="Bell_Curve",$NN$55*(79-$NR$55+1)*($NS$55-79+1)/$NU$55,$NN$55/$NT$55)),0)</f>
        <v/>
      </c>
      <c r="CF55" s="402">
        <f>IF(AND(80&gt;=$NR$55,80&lt;=$NS$55),IF($NP$55="Single_Point",IF(80=$NR$55,$NN$55,0),IF($NP$55="Bell_Curve",$NN$55*(80-$NR$55+1)*($NS$55-80+1)/$NU$55,$NN$55/$NT$55)),0)</f>
        <v/>
      </c>
      <c r="CG55" s="402">
        <f>IF(AND(81&gt;=$NR$55,81&lt;=$NS$55),IF($NP$55="Single_Point",IF(81=$NR$55,$NN$55,0),IF($NP$55="Bell_Curve",$NN$55*(81-$NR$55+1)*($NS$55-81+1)/$NU$55,$NN$55/$NT$55)),0)</f>
        <v/>
      </c>
      <c r="CH55" s="402">
        <f>IF(AND(82&gt;=$NR$55,82&lt;=$NS$55),IF($NP$55="Single_Point",IF(82=$NR$55,$NN$55,0),IF($NP$55="Bell_Curve",$NN$55*(82-$NR$55+1)*($NS$55-82+1)/$NU$55,$NN$55/$NT$55)),0)</f>
        <v/>
      </c>
      <c r="CI55" s="402">
        <f>IF(AND(83&gt;=$NR$55,83&lt;=$NS$55),IF($NP$55="Single_Point",IF(83=$NR$55,$NN$55,0),IF($NP$55="Bell_Curve",$NN$55*(83-$NR$55+1)*($NS$55-83+1)/$NU$55,$NN$55/$NT$55)),0)</f>
        <v/>
      </c>
      <c r="CJ55" s="402">
        <f>IF(AND(84&gt;=$NR$55,84&lt;=$NS$55),IF($NP$55="Single_Point",IF(84=$NR$55,$NN$55,0),IF($NP$55="Bell_Curve",$NN$55*(84-$NR$55+1)*($NS$55-84+1)/$NU$55,$NN$55/$NT$55)),0)</f>
        <v/>
      </c>
      <c r="CK55" s="402">
        <f>IF(AND(85&gt;=$NR$55,85&lt;=$NS$55),IF($NP$55="Single_Point",IF(85=$NR$55,$NN$55,0),IF($NP$55="Bell_Curve",$NN$55*(85-$NR$55+1)*($NS$55-85+1)/$NU$55,$NN$55/$NT$55)),0)</f>
        <v/>
      </c>
      <c r="CL55" s="402">
        <f>IF(AND(86&gt;=$NR$55,86&lt;=$NS$55),IF($NP$55="Single_Point",IF(86=$NR$55,$NN$55,0),IF($NP$55="Bell_Curve",$NN$55*(86-$NR$55+1)*($NS$55-86+1)/$NU$55,$NN$55/$NT$55)),0)</f>
        <v/>
      </c>
      <c r="CM55" s="402">
        <f>IF(AND(87&gt;=$NR$55,87&lt;=$NS$55),IF($NP$55="Single_Point",IF(87=$NR$55,$NN$55,0),IF($NP$55="Bell_Curve",$NN$55*(87-$NR$55+1)*($NS$55-87+1)/$NU$55,$NN$55/$NT$55)),0)</f>
        <v/>
      </c>
      <c r="CN55" s="402">
        <f>IF(AND(88&gt;=$NR$55,88&lt;=$NS$55),IF($NP$55="Single_Point",IF(88=$NR$55,$NN$55,0),IF($NP$55="Bell_Curve",$NN$55*(88-$NR$55+1)*($NS$55-88+1)/$NU$55,$NN$55/$NT$55)),0)</f>
        <v/>
      </c>
      <c r="CO55" s="402">
        <f>IF(AND(89&gt;=$NR$55,89&lt;=$NS$55),IF($NP$55="Single_Point",IF(89=$NR$55,$NN$55,0),IF($NP$55="Bell_Curve",$NN$55*(89-$NR$55+1)*($NS$55-89+1)/$NU$55,$NN$55/$NT$55)),0)</f>
        <v/>
      </c>
      <c r="CP55" s="402">
        <f>IF(AND(90&gt;=$NR$55,90&lt;=$NS$55),IF($NP$55="Single_Point",IF(90=$NR$55,$NN$55,0),IF($NP$55="Bell_Curve",$NN$55*(90-$NR$55+1)*($NS$55-90+1)/$NU$55,$NN$55/$NT$55)),0)</f>
        <v/>
      </c>
      <c r="CQ55" s="402">
        <f>IF(AND(91&gt;=$NR$55,91&lt;=$NS$55),IF($NP$55="Single_Point",IF(91=$NR$55,$NN$55,0),IF($NP$55="Bell_Curve",$NN$55*(91-$NR$55+1)*($NS$55-91+1)/$NU$55,$NN$55/$NT$55)),0)</f>
        <v/>
      </c>
      <c r="CR55" s="402">
        <f>IF(AND(92&gt;=$NR$55,92&lt;=$NS$55),IF($NP$55="Single_Point",IF(92=$NR$55,$NN$55,0),IF($NP$55="Bell_Curve",$NN$55*(92-$NR$55+1)*($NS$55-92+1)/$NU$55,$NN$55/$NT$55)),0)</f>
        <v/>
      </c>
      <c r="CS55" s="402">
        <f>IF(AND(93&gt;=$NR$55,93&lt;=$NS$55),IF($NP$55="Single_Point",IF(93=$NR$55,$NN$55,0),IF($NP$55="Bell_Curve",$NN$55*(93-$NR$55+1)*($NS$55-93+1)/$NU$55,$NN$55/$NT$55)),0)</f>
        <v/>
      </c>
      <c r="CT55" s="402">
        <f>IF(AND(94&gt;=$NR$55,94&lt;=$NS$55),IF($NP$55="Single_Point",IF(94=$NR$55,$NN$55,0),IF($NP$55="Bell_Curve",$NN$55*(94-$NR$55+1)*($NS$55-94+1)/$NU$55,$NN$55/$NT$55)),0)</f>
        <v/>
      </c>
      <c r="CU55" s="402">
        <f>IF(AND(95&gt;=$NR$55,95&lt;=$NS$55),IF($NP$55="Single_Point",IF(95=$NR$55,$NN$55,0),IF($NP$55="Bell_Curve",$NN$55*(95-$NR$55+1)*($NS$55-95+1)/$NU$55,$NN$55/$NT$55)),0)</f>
        <v/>
      </c>
      <c r="CV55" s="402">
        <f>IF(AND(96&gt;=$NR$55,96&lt;=$NS$55),IF($NP$55="Single_Point",IF(96=$NR$55,$NN$55,0),IF($NP$55="Bell_Curve",$NN$55*(96-$NR$55+1)*($NS$55-96+1)/$NU$55,$NN$55/$NT$55)),0)</f>
        <v/>
      </c>
      <c r="CW55" s="402">
        <f>IF(AND(97&gt;=$NR$55,97&lt;=$NS$55),IF($NP$55="Single_Point",IF(97=$NR$55,$NN$55,0),IF($NP$55="Bell_Curve",$NN$55*(97-$NR$55+1)*($NS$55-97+1)/$NU$55,$NN$55/$NT$55)),0)</f>
        <v/>
      </c>
      <c r="CX55" s="402">
        <f>IF(AND(98&gt;=$NR$55,98&lt;=$NS$55),IF($NP$55="Single_Point",IF(98=$NR$55,$NN$55,0),IF($NP$55="Bell_Curve",$NN$55*(98-$NR$55+1)*($NS$55-98+1)/$NU$55,$NN$55/$NT$55)),0)</f>
        <v/>
      </c>
      <c r="CY55" s="402">
        <f>IF(AND(99&gt;=$NR$55,99&lt;=$NS$55),IF($NP$55="Single_Point",IF(99=$NR$55,$NN$55,0),IF($NP$55="Bell_Curve",$NN$55*(99-$NR$55+1)*($NS$55-99+1)/$NU$55,$NN$55/$NT$55)),0)</f>
        <v/>
      </c>
      <c r="CZ55" s="402">
        <f>IF(AND(100&gt;=$NR$55,100&lt;=$NS$55),IF($NP$55="Single_Point",IF(100=$NR$55,$NN$55,0),IF($NP$55="Bell_Curve",$NN$55*(100-$NR$55+1)*($NS$55-100+1)/$NU$55,$NN$55/$NT$55)),0)</f>
        <v/>
      </c>
      <c r="DA55" s="402">
        <f>IF(AND(101&gt;=$NR$55,101&lt;=$NS$55),IF($NP$55="Single_Point",IF(101=$NR$55,$NN$55,0),IF($NP$55="Bell_Curve",$NN$55*(101-$NR$55+1)*($NS$55-101+1)/$NU$55,$NN$55/$NT$55)),0)</f>
        <v/>
      </c>
      <c r="DB55" s="402">
        <f>IF(AND(102&gt;=$NR$55,102&lt;=$NS$55),IF($NP$55="Single_Point",IF(102=$NR$55,$NN$55,0),IF($NP$55="Bell_Curve",$NN$55*(102-$NR$55+1)*($NS$55-102+1)/$NU$55,$NN$55/$NT$55)),0)</f>
        <v/>
      </c>
      <c r="DC55" s="402">
        <f>IF(AND(103&gt;=$NR$55,103&lt;=$NS$55),IF($NP$55="Single_Point",IF(103=$NR$55,$NN$55,0),IF($NP$55="Bell_Curve",$NN$55*(103-$NR$55+1)*($NS$55-103+1)/$NU$55,$NN$55/$NT$55)),0)</f>
        <v/>
      </c>
      <c r="DD55" s="402">
        <f>IF(AND(104&gt;=$NR$55,104&lt;=$NS$55),IF($NP$55="Single_Point",IF(104=$NR$55,$NN$55,0),IF($NP$55="Bell_Curve",$NN$55*(104-$NR$55+1)*($NS$55-104+1)/$NU$55,$NN$55/$NT$55)),0)</f>
        <v/>
      </c>
      <c r="DE55" s="402">
        <f>IF(AND(105&gt;=$NR$55,105&lt;=$NS$55),IF($NP$55="Single_Point",IF(105=$NR$55,$NN$55,0),IF($NP$55="Bell_Curve",$NN$55*(105-$NR$55+1)*($NS$55-105+1)/$NU$55,$NN$55/$NT$55)),0)</f>
        <v/>
      </c>
      <c r="DF55" s="402">
        <f>IF(AND(106&gt;=$NR$55,106&lt;=$NS$55),IF($NP$55="Single_Point",IF(106=$NR$55,$NN$55,0),IF($NP$55="Bell_Curve",$NN$55*(106-$NR$55+1)*($NS$55-106+1)/$NU$55,$NN$55/$NT$55)),0)</f>
        <v/>
      </c>
      <c r="DG55" s="402">
        <f>IF(AND(107&gt;=$NR$55,107&lt;=$NS$55),IF($NP$55="Single_Point",IF(107=$NR$55,$NN$55,0),IF($NP$55="Bell_Curve",$NN$55*(107-$NR$55+1)*($NS$55-107+1)/$NU$55,$NN$55/$NT$55)),0)</f>
        <v/>
      </c>
      <c r="DH55" s="402">
        <f>IF(AND(108&gt;=$NR$55,108&lt;=$NS$55),IF($NP$55="Single_Point",IF(108=$NR$55,$NN$55,0),IF($NP$55="Bell_Curve",$NN$55*(108-$NR$55+1)*($NS$55-108+1)/$NU$55,$NN$55/$NT$55)),0)</f>
        <v/>
      </c>
      <c r="DI55" s="402">
        <f>IF(AND(109&gt;=$NR$55,109&lt;=$NS$55),IF($NP$55="Single_Point",IF(109=$NR$55,$NN$55,0),IF($NP$55="Bell_Curve",$NN$55*(109-$NR$55+1)*($NS$55-109+1)/$NU$55,$NN$55/$NT$55)),0)</f>
        <v/>
      </c>
      <c r="DJ55" s="402">
        <f>IF(AND(110&gt;=$NR$55,110&lt;=$NS$55),IF($NP$55="Single_Point",IF(110=$NR$55,$NN$55,0),IF($NP$55="Bell_Curve",$NN$55*(110-$NR$55+1)*($NS$55-110+1)/$NU$55,$NN$55/$NT$55)),0)</f>
        <v/>
      </c>
      <c r="DK55" s="402">
        <f>IF(AND(111&gt;=$NR$55,111&lt;=$NS$55),IF($NP$55="Single_Point",IF(111=$NR$55,$NN$55,0),IF($NP$55="Bell_Curve",$NN$55*(111-$NR$55+1)*($NS$55-111+1)/$NU$55,$NN$55/$NT$55)),0)</f>
        <v/>
      </c>
      <c r="DL55" s="402">
        <f>IF(AND(112&gt;=$NR$55,112&lt;=$NS$55),IF($NP$55="Single_Point",IF(112=$NR$55,$NN$55,0),IF($NP$55="Bell_Curve",$NN$55*(112-$NR$55+1)*($NS$55-112+1)/$NU$55,$NN$55/$NT$55)),0)</f>
        <v/>
      </c>
      <c r="DM55" s="402">
        <f>IF(AND(113&gt;=$NR$55,113&lt;=$NS$55),IF($NP$55="Single_Point",IF(113=$NR$55,$NN$55,0),IF($NP$55="Bell_Curve",$NN$55*(113-$NR$55+1)*($NS$55-113+1)/$NU$55,$NN$55/$NT$55)),0)</f>
        <v/>
      </c>
      <c r="DN55" s="402">
        <f>IF(AND(114&gt;=$NR$55,114&lt;=$NS$55),IF($NP$55="Single_Point",IF(114=$NR$55,$NN$55,0),IF($NP$55="Bell_Curve",$NN$55*(114-$NR$55+1)*($NS$55-114+1)/$NU$55,$NN$55/$NT$55)),0)</f>
        <v/>
      </c>
      <c r="DO55" s="402">
        <f>IF(AND(115&gt;=$NR$55,115&lt;=$NS$55),IF($NP$55="Single_Point",IF(115=$NR$55,$NN$55,0),IF($NP$55="Bell_Curve",$NN$55*(115-$NR$55+1)*($NS$55-115+1)/$NU$55,$NN$55/$NT$55)),0)</f>
        <v/>
      </c>
      <c r="DP55" s="402">
        <f>IF(AND(116&gt;=$NR$55,116&lt;=$NS$55),IF($NP$55="Single_Point",IF(116=$NR$55,$NN$55,0),IF($NP$55="Bell_Curve",$NN$55*(116-$NR$55+1)*($NS$55-116+1)/$NU$55,$NN$55/$NT$55)),0)</f>
        <v/>
      </c>
      <c r="DQ55" s="402">
        <f>IF(AND(117&gt;=$NR$55,117&lt;=$NS$55),IF($NP$55="Single_Point",IF(117=$NR$55,$NN$55,0),IF($NP$55="Bell_Curve",$NN$55*(117-$NR$55+1)*($NS$55-117+1)/$NU$55,$NN$55/$NT$55)),0)</f>
        <v/>
      </c>
      <c r="DR55" s="402">
        <f>IF(AND(118&gt;=$NR$55,118&lt;=$NS$55),IF($NP$55="Single_Point",IF(118=$NR$55,$NN$55,0),IF($NP$55="Bell_Curve",$NN$55*(118-$NR$55+1)*($NS$55-118+1)/$NU$55,$NN$55/$NT$55)),0)</f>
        <v/>
      </c>
      <c r="DS55" s="402">
        <f>IF(AND(119&gt;=$NR$55,119&lt;=$NS$55),IF($NP$55="Single_Point",IF(119=$NR$55,$NN$55,0),IF($NP$55="Bell_Curve",$NN$55*(119-$NR$55+1)*($NS$55-119+1)/$NU$55,$NN$55/$NT$55)),0)</f>
        <v/>
      </c>
      <c r="DT55" s="402">
        <f>IF(AND(120&gt;=$NR$55,120&lt;=$NS$55),IF($NP$55="Single_Point",IF(120=$NR$55,$NN$55,0),IF($NP$55="Bell_Curve",$NN$55*(120-$NR$55+1)*($NS$55-120+1)/$NU$55,$NN$55/$NT$55)),0)</f>
        <v/>
      </c>
      <c r="DU55" s="402">
        <f>IF(AND(121&gt;=$NR$55,121&lt;=$NS$55),IF($NP$55="Single_Point",IF(121=$NR$55,$NN$55,0),IF($NP$55="Bell_Curve",$NN$55*(121-$NR$55+1)*($NS$55-121+1)/$NU$55,$NN$55/$NT$55)),0)</f>
        <v/>
      </c>
      <c r="DV55" s="402">
        <f>IF(AND(122&gt;=$NR$55,122&lt;=$NS$55),IF($NP$55="Single_Point",IF(122=$NR$55,$NN$55,0),IF($NP$55="Bell_Curve",$NN$55*(122-$NR$55+1)*($NS$55-122+1)/$NU$55,$NN$55/$NT$55)),0)</f>
        <v/>
      </c>
      <c r="DW55" s="402">
        <f>IF(AND(123&gt;=$NR$55,123&lt;=$NS$55),IF($NP$55="Single_Point",IF(123=$NR$55,$NN$55,0),IF($NP$55="Bell_Curve",$NN$55*(123-$NR$55+1)*($NS$55-123+1)/$NU$55,$NN$55/$NT$55)),0)</f>
        <v/>
      </c>
      <c r="DX55" s="402">
        <f>IF(AND(124&gt;=$NR$55,124&lt;=$NS$55),IF($NP$55="Single_Point",IF(124=$NR$55,$NN$55,0),IF($NP$55="Bell_Curve",$NN$55*(124-$NR$55+1)*($NS$55-124+1)/$NU$55,$NN$55/$NT$55)),0)</f>
        <v/>
      </c>
      <c r="DY55" s="402">
        <f>IF(AND(125&gt;=$NR$55,125&lt;=$NS$55),IF($NP$55="Single_Point",IF(125=$NR$55,$NN$55,0),IF($NP$55="Bell_Curve",$NN$55*(125-$NR$55+1)*($NS$55-125+1)/$NU$55,$NN$55/$NT$55)),0)</f>
        <v/>
      </c>
      <c r="DZ55" s="402">
        <f>IF(AND(126&gt;=$NR$55,126&lt;=$NS$55),IF($NP$55="Single_Point",IF(126=$NR$55,$NN$55,0),IF($NP$55="Bell_Curve",$NN$55*(126-$NR$55+1)*($NS$55-126+1)/$NU$55,$NN$55/$NT$55)),0)</f>
        <v/>
      </c>
      <c r="EA55" s="402">
        <f>IF(AND(127&gt;=$NR$55,127&lt;=$NS$55),IF($NP$55="Single_Point",IF(127=$NR$55,$NN$55,0),IF($NP$55="Bell_Curve",$NN$55*(127-$NR$55+1)*($NS$55-127+1)/$NU$55,$NN$55/$NT$55)),0)</f>
        <v/>
      </c>
      <c r="EB55" s="402">
        <f>IF(AND(128&gt;=$NR$55,128&lt;=$NS$55),IF($NP$55="Single_Point",IF(128=$NR$55,$NN$55,0),IF($NP$55="Bell_Curve",$NN$55*(128-$NR$55+1)*($NS$55-128+1)/$NU$55,$NN$55/$NT$55)),0)</f>
        <v/>
      </c>
      <c r="EC55" s="402">
        <f>IF(AND(129&gt;=$NR$55,129&lt;=$NS$55),IF($NP$55="Single_Point",IF(129=$NR$55,$NN$55,0),IF($NP$55="Bell_Curve",$NN$55*(129-$NR$55+1)*($NS$55-129+1)/$NU$55,$NN$55/$NT$55)),0)</f>
        <v/>
      </c>
      <c r="ED55" s="402">
        <f>IF(AND(130&gt;=$NR$55,130&lt;=$NS$55),IF($NP$55="Single_Point",IF(130=$NR$55,$NN$55,0),IF($NP$55="Bell_Curve",$NN$55*(130-$NR$55+1)*($NS$55-130+1)/$NU$55,$NN$55/$NT$55)),0)</f>
        <v/>
      </c>
      <c r="EE55" s="402">
        <f>IF(AND(131&gt;=$NR$55,131&lt;=$NS$55),IF($NP$55="Single_Point",IF(131=$NR$55,$NN$55,0),IF($NP$55="Bell_Curve",$NN$55*(131-$NR$55+1)*($NS$55-131+1)/$NU$55,$NN$55/$NT$55)),0)</f>
        <v/>
      </c>
      <c r="EF55" s="402">
        <f>IF(AND(132&gt;=$NR$55,132&lt;=$NS$55),IF($NP$55="Single_Point",IF(132=$NR$55,$NN$55,0),IF($NP$55="Bell_Curve",$NN$55*(132-$NR$55+1)*($NS$55-132+1)/$NU$55,$NN$55/$NT$55)),0)</f>
        <v/>
      </c>
      <c r="EG55" s="402">
        <f>IF(AND(133&gt;=$NR$55,133&lt;=$NS$55),IF($NP$55="Single_Point",IF(133=$NR$55,$NN$55,0),IF($NP$55="Bell_Curve",$NN$55*(133-$NR$55+1)*($NS$55-133+1)/$NU$55,$NN$55/$NT$55)),0)</f>
        <v/>
      </c>
      <c r="EH55" s="402">
        <f>IF(AND(134&gt;=$NR$55,134&lt;=$NS$55),IF($NP$55="Single_Point",IF(134=$NR$55,$NN$55,0),IF($NP$55="Bell_Curve",$NN$55*(134-$NR$55+1)*($NS$55-134+1)/$NU$55,$NN$55/$NT$55)),0)</f>
        <v/>
      </c>
      <c r="EI55" s="402">
        <f>IF(AND(135&gt;=$NR$55,135&lt;=$NS$55),IF($NP$55="Single_Point",IF(135=$NR$55,$NN$55,0),IF($NP$55="Bell_Curve",$NN$55*(135-$NR$55+1)*($NS$55-135+1)/$NU$55,$NN$55/$NT$55)),0)</f>
        <v/>
      </c>
      <c r="EJ55" s="402">
        <f>IF(AND(136&gt;=$NR$55,136&lt;=$NS$55),IF($NP$55="Single_Point",IF(136=$NR$55,$NN$55,0),IF($NP$55="Bell_Curve",$NN$55*(136-$NR$55+1)*($NS$55-136+1)/$NU$55,$NN$55/$NT$55)),0)</f>
        <v/>
      </c>
      <c r="EK55" s="402">
        <f>IF(AND(137&gt;=$NR$55,137&lt;=$NS$55),IF($NP$55="Single_Point",IF(137=$NR$55,$NN$55,0),IF($NP$55="Bell_Curve",$NN$55*(137-$NR$55+1)*($NS$55-137+1)/$NU$55,$NN$55/$NT$55)),0)</f>
        <v/>
      </c>
      <c r="EL55" s="402">
        <f>IF(AND(138&gt;=$NR$55,138&lt;=$NS$55),IF($NP$55="Single_Point",IF(138=$NR$55,$NN$55,0),IF($NP$55="Bell_Curve",$NN$55*(138-$NR$55+1)*($NS$55-138+1)/$NU$55,$NN$55/$NT$55)),0)</f>
        <v/>
      </c>
      <c r="EM55" s="402">
        <f>IF(AND(139&gt;=$NR$55,139&lt;=$NS$55),IF($NP$55="Single_Point",IF(139=$NR$55,$NN$55,0),IF($NP$55="Bell_Curve",$NN$55*(139-$NR$55+1)*($NS$55-139+1)/$NU$55,$NN$55/$NT$55)),0)</f>
        <v/>
      </c>
      <c r="EN55" s="402">
        <f>IF(AND(140&gt;=$NR$55,140&lt;=$NS$55),IF($NP$55="Single_Point",IF(140=$NR$55,$NN$55,0),IF($NP$55="Bell_Curve",$NN$55*(140-$NR$55+1)*($NS$55-140+1)/$NU$55,$NN$55/$NT$55)),0)</f>
        <v/>
      </c>
      <c r="EO55" s="402">
        <f>IF(AND(141&gt;=$NR$55,141&lt;=$NS$55),IF($NP$55="Single_Point",IF(141=$NR$55,$NN$55,0),IF($NP$55="Bell_Curve",$NN$55*(141-$NR$55+1)*($NS$55-141+1)/$NU$55,$NN$55/$NT$55)),0)</f>
        <v/>
      </c>
      <c r="EP55" s="402">
        <f>IF(AND(142&gt;=$NR$55,142&lt;=$NS$55),IF($NP$55="Single_Point",IF(142=$NR$55,$NN$55,0),IF($NP$55="Bell_Curve",$NN$55*(142-$NR$55+1)*($NS$55-142+1)/$NU$55,$NN$55/$NT$55)),0)</f>
        <v/>
      </c>
      <c r="EQ55" s="402">
        <f>IF(AND(143&gt;=$NR$55,143&lt;=$NS$55),IF($NP$55="Single_Point",IF(143=$NR$55,$NN$55,0),IF($NP$55="Bell_Curve",$NN$55*(143-$NR$55+1)*($NS$55-143+1)/$NU$55,$NN$55/$NT$55)),0)</f>
        <v/>
      </c>
      <c r="ER55" s="402">
        <f>IF(AND(144&gt;=$NR$55,144&lt;=$NS$55),IF($NP$55="Single_Point",IF(144=$NR$55,$NN$55,0),IF($NP$55="Bell_Curve",$NN$55*(144-$NR$55+1)*($NS$55-144+1)/$NU$55,$NN$55/$NT$55)),0)</f>
        <v/>
      </c>
      <c r="ES55" s="402">
        <f>IF(AND(145&gt;=$NR$55,145&lt;=$NS$55),IF($NP$55="Single_Point",IF(145=$NR$55,$NN$55,0),IF($NP$55="Bell_Curve",$NN$55*(145-$NR$55+1)*($NS$55-145+1)/$NU$55,$NN$55/$NT$55)),0)</f>
        <v/>
      </c>
      <c r="ET55" s="402">
        <f>IF(AND(146&gt;=$NR$55,146&lt;=$NS$55),IF($NP$55="Single_Point",IF(146=$NR$55,$NN$55,0),IF($NP$55="Bell_Curve",$NN$55*(146-$NR$55+1)*($NS$55-146+1)/$NU$55,$NN$55/$NT$55)),0)</f>
        <v/>
      </c>
      <c r="EU55" s="402">
        <f>IF(AND(147&gt;=$NR$55,147&lt;=$NS$55),IF($NP$55="Single_Point",IF(147=$NR$55,$NN$55,0),IF($NP$55="Bell_Curve",$NN$55*(147-$NR$55+1)*($NS$55-147+1)/$NU$55,$NN$55/$NT$55)),0)</f>
        <v/>
      </c>
      <c r="EV55" s="402">
        <f>IF(AND(148&gt;=$NR$55,148&lt;=$NS$55),IF($NP$55="Single_Point",IF(148=$NR$55,$NN$55,0),IF($NP$55="Bell_Curve",$NN$55*(148-$NR$55+1)*($NS$55-148+1)/$NU$55,$NN$55/$NT$55)),0)</f>
        <v/>
      </c>
      <c r="EW55" s="402">
        <f>IF(AND(149&gt;=$NR$55,149&lt;=$NS$55),IF($NP$55="Single_Point",IF(149=$NR$55,$NN$55,0),IF($NP$55="Bell_Curve",$NN$55*(149-$NR$55+1)*($NS$55-149+1)/$NU$55,$NN$55/$NT$55)),0)</f>
        <v/>
      </c>
      <c r="EX55" s="402">
        <f>IF(AND(150&gt;=$NR$55,150&lt;=$NS$55),IF($NP$55="Single_Point",IF(150=$NR$55,$NN$55,0),IF($NP$55="Bell_Curve",$NN$55*(150-$NR$55+1)*($NS$55-150+1)/$NU$55,$NN$55/$NT$55)),0)</f>
        <v/>
      </c>
      <c r="EY55" s="402">
        <f>IF(AND(151&gt;=$NR$55,151&lt;=$NS$55),IF($NP$55="Single_Point",IF(151=$NR$55,$NN$55,0),IF($NP$55="Bell_Curve",$NN$55*(151-$NR$55+1)*($NS$55-151+1)/$NU$55,$NN$55/$NT$55)),0)</f>
        <v/>
      </c>
      <c r="EZ55" s="402">
        <f>IF(AND(152&gt;=$NR$55,152&lt;=$NS$55),IF($NP$55="Single_Point",IF(152=$NR$55,$NN$55,0),IF($NP$55="Bell_Curve",$NN$55*(152-$NR$55+1)*($NS$55-152+1)/$NU$55,$NN$55/$NT$55)),0)</f>
        <v/>
      </c>
      <c r="FA55" s="402">
        <f>IF(AND(153&gt;=$NR$55,153&lt;=$NS$55),IF($NP$55="Single_Point",IF(153=$NR$55,$NN$55,0),IF($NP$55="Bell_Curve",$NN$55*(153-$NR$55+1)*($NS$55-153+1)/$NU$55,$NN$55/$NT$55)),0)</f>
        <v/>
      </c>
      <c r="FB55" s="402">
        <f>IF(AND(154&gt;=$NR$55,154&lt;=$NS$55),IF($NP$55="Single_Point",IF(154=$NR$55,$NN$55,0),IF($NP$55="Bell_Curve",$NN$55*(154-$NR$55+1)*($NS$55-154+1)/$NU$55,$NN$55/$NT$55)),0)</f>
        <v/>
      </c>
      <c r="FC55" s="402">
        <f>IF(AND(155&gt;=$NR$55,155&lt;=$NS$55),IF($NP$55="Single_Point",IF(155=$NR$55,$NN$55,0),IF($NP$55="Bell_Curve",$NN$55*(155-$NR$55+1)*($NS$55-155+1)/$NU$55,$NN$55/$NT$55)),0)</f>
        <v/>
      </c>
      <c r="FD55" s="402">
        <f>IF(AND(156&gt;=$NR$55,156&lt;=$NS$55),IF($NP$55="Single_Point",IF(156=$NR$55,$NN$55,0),IF($NP$55="Bell_Curve",$NN$55*(156-$NR$55+1)*($NS$55-156+1)/$NU$55,$NN$55/$NT$55)),0)</f>
        <v/>
      </c>
      <c r="FE55" s="402">
        <f>IF(AND(157&gt;=$NR$55,157&lt;=$NS$55),IF($NP$55="Single_Point",IF(157=$NR$55,$NN$55,0),IF($NP$55="Bell_Curve",$NN$55*(157-$NR$55+1)*($NS$55-157+1)/$NU$55,$NN$55/$NT$55)),0)</f>
        <v/>
      </c>
      <c r="FF55" s="402">
        <f>IF(AND(158&gt;=$NR$55,158&lt;=$NS$55),IF($NP$55="Single_Point",IF(158=$NR$55,$NN$55,0),IF($NP$55="Bell_Curve",$NN$55*(158-$NR$55+1)*($NS$55-158+1)/$NU$55,$NN$55/$NT$55)),0)</f>
        <v/>
      </c>
      <c r="FG55" s="402">
        <f>IF(AND(159&gt;=$NR$55,159&lt;=$NS$55),IF($NP$55="Single_Point",IF(159=$NR$55,$NN$55,0),IF($NP$55="Bell_Curve",$NN$55*(159-$NR$55+1)*($NS$55-159+1)/$NU$55,$NN$55/$NT$55)),0)</f>
        <v/>
      </c>
      <c r="FH55" s="402">
        <f>IF(AND(160&gt;=$NR$55,160&lt;=$NS$55),IF($NP$55="Single_Point",IF(160=$NR$55,$NN$55,0),IF($NP$55="Bell_Curve",$NN$55*(160-$NR$55+1)*($NS$55-160+1)/$NU$55,$NN$55/$NT$55)),0)</f>
        <v/>
      </c>
      <c r="FI55" s="402">
        <f>IF(AND(161&gt;=$NR$55,161&lt;=$NS$55),IF($NP$55="Single_Point",IF(161=$NR$55,$NN$55,0),IF($NP$55="Bell_Curve",$NN$55*(161-$NR$55+1)*($NS$55-161+1)/$NU$55,$NN$55/$NT$55)),0)</f>
        <v/>
      </c>
      <c r="FJ55" s="402">
        <f>IF(AND(162&gt;=$NR$55,162&lt;=$NS$55),IF($NP$55="Single_Point",IF(162=$NR$55,$NN$55,0),IF($NP$55="Bell_Curve",$NN$55*(162-$NR$55+1)*($NS$55-162+1)/$NU$55,$NN$55/$NT$55)),0)</f>
        <v/>
      </c>
      <c r="FK55" s="402">
        <f>IF(AND(163&gt;=$NR$55,163&lt;=$NS$55),IF($NP$55="Single_Point",IF(163=$NR$55,$NN$55,0),IF($NP$55="Bell_Curve",$NN$55*(163-$NR$55+1)*($NS$55-163+1)/$NU$55,$NN$55/$NT$55)),0)</f>
        <v/>
      </c>
      <c r="FL55" s="402">
        <f>IF(AND(164&gt;=$NR$55,164&lt;=$NS$55),IF($NP$55="Single_Point",IF(164=$NR$55,$NN$55,0),IF($NP$55="Bell_Curve",$NN$55*(164-$NR$55+1)*($NS$55-164+1)/$NU$55,$NN$55/$NT$55)),0)</f>
        <v/>
      </c>
      <c r="FM55" s="402">
        <f>IF(AND(165&gt;=$NR$55,165&lt;=$NS$55),IF($NP$55="Single_Point",IF(165=$NR$55,$NN$55,0),IF($NP$55="Bell_Curve",$NN$55*(165-$NR$55+1)*($NS$55-165+1)/$NU$55,$NN$55/$NT$55)),0)</f>
        <v/>
      </c>
      <c r="FN55" s="402">
        <f>IF(AND(166&gt;=$NR$55,166&lt;=$NS$55),IF($NP$55="Single_Point",IF(166=$NR$55,$NN$55,0),IF($NP$55="Bell_Curve",$NN$55*(166-$NR$55+1)*($NS$55-166+1)/$NU$55,$NN$55/$NT$55)),0)</f>
        <v/>
      </c>
      <c r="FO55" s="402">
        <f>IF(AND(167&gt;=$NR$55,167&lt;=$NS$55),IF($NP$55="Single_Point",IF(167=$NR$55,$NN$55,0),IF($NP$55="Bell_Curve",$NN$55*(167-$NR$55+1)*($NS$55-167+1)/$NU$55,$NN$55/$NT$55)),0)</f>
        <v/>
      </c>
      <c r="FP55" s="402">
        <f>IF(AND(168&gt;=$NR$55,168&lt;=$NS$55),IF($NP$55="Single_Point",IF(168=$NR$55,$NN$55,0),IF($NP$55="Bell_Curve",$NN$55*(168-$NR$55+1)*($NS$55-168+1)/$NU$55,$NN$55/$NT$55)),0)</f>
        <v/>
      </c>
      <c r="FQ55" s="402">
        <f>IF(AND(169&gt;=$NR$55,169&lt;=$NS$55),IF($NP$55="Single_Point",IF(169=$NR$55,$NN$55,0),IF($NP$55="Bell_Curve",$NN$55*(169-$NR$55+1)*($NS$55-169+1)/$NU$55,$NN$55/$NT$55)),0)</f>
        <v/>
      </c>
      <c r="FR55" s="402">
        <f>IF(AND(170&gt;=$NR$55,170&lt;=$NS$55),IF($NP$55="Single_Point",IF(170=$NR$55,$NN$55,0),IF($NP$55="Bell_Curve",$NN$55*(170-$NR$55+1)*($NS$55-170+1)/$NU$55,$NN$55/$NT$55)),0)</f>
        <v/>
      </c>
      <c r="FS55" s="402">
        <f>IF(AND(171&gt;=$NR$55,171&lt;=$NS$55),IF($NP$55="Single_Point",IF(171=$NR$55,$NN$55,0),IF($NP$55="Bell_Curve",$NN$55*(171-$NR$55+1)*($NS$55-171+1)/$NU$55,$NN$55/$NT$55)),0)</f>
        <v/>
      </c>
      <c r="FT55" s="402">
        <f>IF(AND(172&gt;=$NR$55,172&lt;=$NS$55),IF($NP$55="Single_Point",IF(172=$NR$55,$NN$55,0),IF($NP$55="Bell_Curve",$NN$55*(172-$NR$55+1)*($NS$55-172+1)/$NU$55,$NN$55/$NT$55)),0)</f>
        <v/>
      </c>
      <c r="FU55" s="402">
        <f>IF(AND(173&gt;=$NR$55,173&lt;=$NS$55),IF($NP$55="Single_Point",IF(173=$NR$55,$NN$55,0),IF($NP$55="Bell_Curve",$NN$55*(173-$NR$55+1)*($NS$55-173+1)/$NU$55,$NN$55/$NT$55)),0)</f>
        <v/>
      </c>
      <c r="FV55" s="402">
        <f>IF(AND(174&gt;=$NR$55,174&lt;=$NS$55),IF($NP$55="Single_Point",IF(174=$NR$55,$NN$55,0),IF($NP$55="Bell_Curve",$NN$55*(174-$NR$55+1)*($NS$55-174+1)/$NU$55,$NN$55/$NT$55)),0)</f>
        <v/>
      </c>
      <c r="FW55" s="402">
        <f>IF(AND(175&gt;=$NR$55,175&lt;=$NS$55),IF($NP$55="Single_Point",IF(175=$NR$55,$NN$55,0),IF($NP$55="Bell_Curve",$NN$55*(175-$NR$55+1)*($NS$55-175+1)/$NU$55,$NN$55/$NT$55)),0)</f>
        <v/>
      </c>
      <c r="FX55" s="402">
        <f>IF(AND(176&gt;=$NR$55,176&lt;=$NS$55),IF($NP$55="Single_Point",IF(176=$NR$55,$NN$55,0),IF($NP$55="Bell_Curve",$NN$55*(176-$NR$55+1)*($NS$55-176+1)/$NU$55,$NN$55/$NT$55)),0)</f>
        <v/>
      </c>
      <c r="FY55" s="402">
        <f>IF(AND(177&gt;=$NR$55,177&lt;=$NS$55),IF($NP$55="Single_Point",IF(177=$NR$55,$NN$55,0),IF($NP$55="Bell_Curve",$NN$55*(177-$NR$55+1)*($NS$55-177+1)/$NU$55,$NN$55/$NT$55)),0)</f>
        <v/>
      </c>
      <c r="FZ55" s="402">
        <f>IF(AND(178&gt;=$NR$55,178&lt;=$NS$55),IF($NP$55="Single_Point",IF(178=$NR$55,$NN$55,0),IF($NP$55="Bell_Curve",$NN$55*(178-$NR$55+1)*($NS$55-178+1)/$NU$55,$NN$55/$NT$55)),0)</f>
        <v/>
      </c>
      <c r="GA55" s="402">
        <f>IF(AND(179&gt;=$NR$55,179&lt;=$NS$55),IF($NP$55="Single_Point",IF(179=$NR$55,$NN$55,0),IF($NP$55="Bell_Curve",$NN$55*(179-$NR$55+1)*($NS$55-179+1)/$NU$55,$NN$55/$NT$55)),0)</f>
        <v/>
      </c>
      <c r="GB55" s="402">
        <f>IF(AND(180&gt;=$NR$55,180&lt;=$NS$55),IF($NP$55="Single_Point",IF(180=$NR$55,$NN$55,0),IF($NP$55="Bell_Curve",$NN$55*(180-$NR$55+1)*($NS$55-180+1)/$NU$55,$NN$55/$NT$55)),0)</f>
        <v/>
      </c>
      <c r="GC55" s="402">
        <f>IF(AND(181&gt;=$NR$55,181&lt;=$NS$55),IF($NP$55="Single_Point",IF(181=$NR$55,$NN$55,0),IF($NP$55="Bell_Curve",$NN$55*(181-$NR$55+1)*($NS$55-181+1)/$NU$55,$NN$55/$NT$55)),0)</f>
        <v/>
      </c>
      <c r="GD55" s="402">
        <f>IF(AND(182&gt;=$NR$55,182&lt;=$NS$55),IF($NP$55="Single_Point",IF(182=$NR$55,$NN$55,0),IF($NP$55="Bell_Curve",$NN$55*(182-$NR$55+1)*($NS$55-182+1)/$NU$55,$NN$55/$NT$55)),0)</f>
        <v/>
      </c>
      <c r="GE55" s="402">
        <f>IF(AND(183&gt;=$NR$55,183&lt;=$NS$55),IF($NP$55="Single_Point",IF(183=$NR$55,$NN$55,0),IF($NP$55="Bell_Curve",$NN$55*(183-$NR$55+1)*($NS$55-183+1)/$NU$55,$NN$55/$NT$55)),0)</f>
        <v/>
      </c>
      <c r="GF55" s="402">
        <f>IF(AND(184&gt;=$NR$55,184&lt;=$NS$55),IF($NP$55="Single_Point",IF(184=$NR$55,$NN$55,0),IF($NP$55="Bell_Curve",$NN$55*(184-$NR$55+1)*($NS$55-184+1)/$NU$55,$NN$55/$NT$55)),0)</f>
        <v/>
      </c>
      <c r="GG55" s="402">
        <f>IF(AND(185&gt;=$NR$55,185&lt;=$NS$55),IF($NP$55="Single_Point",IF(185=$NR$55,$NN$55,0),IF($NP$55="Bell_Curve",$NN$55*(185-$NR$55+1)*($NS$55-185+1)/$NU$55,$NN$55/$NT$55)),0)</f>
        <v/>
      </c>
      <c r="GH55" s="402">
        <f>IF(AND(186&gt;=$NR$55,186&lt;=$NS$55),IF($NP$55="Single_Point",IF(186=$NR$55,$NN$55,0),IF($NP$55="Bell_Curve",$NN$55*(186-$NR$55+1)*($NS$55-186+1)/$NU$55,$NN$55/$NT$55)),0)</f>
        <v/>
      </c>
      <c r="GI55" s="402">
        <f>IF(AND(187&gt;=$NR$55,187&lt;=$NS$55),IF($NP$55="Single_Point",IF(187=$NR$55,$NN$55,0),IF($NP$55="Bell_Curve",$NN$55*(187-$NR$55+1)*($NS$55-187+1)/$NU$55,$NN$55/$NT$55)),0)</f>
        <v/>
      </c>
      <c r="GJ55" s="402">
        <f>IF(AND(188&gt;=$NR$55,188&lt;=$NS$55),IF($NP$55="Single_Point",IF(188=$NR$55,$NN$55,0),IF($NP$55="Bell_Curve",$NN$55*(188-$NR$55+1)*($NS$55-188+1)/$NU$55,$NN$55/$NT$55)),0)</f>
        <v/>
      </c>
      <c r="GK55" s="402">
        <f>IF(AND(189&gt;=$NR$55,189&lt;=$NS$55),IF($NP$55="Single_Point",IF(189=$NR$55,$NN$55,0),IF($NP$55="Bell_Curve",$NN$55*(189-$NR$55+1)*($NS$55-189+1)/$NU$55,$NN$55/$NT$55)),0)</f>
        <v/>
      </c>
      <c r="GL55" s="402">
        <f>IF(AND(190&gt;=$NR$55,190&lt;=$NS$55),IF($NP$55="Single_Point",IF(190=$NR$55,$NN$55,0),IF($NP$55="Bell_Curve",$NN$55*(190-$NR$55+1)*($NS$55-190+1)/$NU$55,$NN$55/$NT$55)),0)</f>
        <v/>
      </c>
      <c r="GM55" s="402">
        <f>IF(AND(191&gt;=$NR$55,191&lt;=$NS$55),IF($NP$55="Single_Point",IF(191=$NR$55,$NN$55,0),IF($NP$55="Bell_Curve",$NN$55*(191-$NR$55+1)*($NS$55-191+1)/$NU$55,$NN$55/$NT$55)),0)</f>
        <v/>
      </c>
      <c r="GN55" s="402">
        <f>IF(AND(192&gt;=$NR$55,192&lt;=$NS$55),IF($NP$55="Single_Point",IF(192=$NR$55,$NN$55,0),IF($NP$55="Bell_Curve",$NN$55*(192-$NR$55+1)*($NS$55-192+1)/$NU$55,$NN$55/$NT$55)),0)</f>
        <v/>
      </c>
      <c r="GO55" s="402">
        <f>IF(AND(193&gt;=$NR$55,193&lt;=$NS$55),IF($NP$55="Single_Point",IF(193=$NR$55,$NN$55,0),IF($NP$55="Bell_Curve",$NN$55*(193-$NR$55+1)*($NS$55-193+1)/$NU$55,$NN$55/$NT$55)),0)</f>
        <v/>
      </c>
      <c r="GP55" s="402">
        <f>IF(AND(194&gt;=$NR$55,194&lt;=$NS$55),IF($NP$55="Single_Point",IF(194=$NR$55,$NN$55,0),IF($NP$55="Bell_Curve",$NN$55*(194-$NR$55+1)*($NS$55-194+1)/$NU$55,$NN$55/$NT$55)),0)</f>
        <v/>
      </c>
      <c r="GQ55" s="402">
        <f>IF(AND(195&gt;=$NR$55,195&lt;=$NS$55),IF($NP$55="Single_Point",IF(195=$NR$55,$NN$55,0),IF($NP$55="Bell_Curve",$NN$55*(195-$NR$55+1)*($NS$55-195+1)/$NU$55,$NN$55/$NT$55)),0)</f>
        <v/>
      </c>
      <c r="GR55" s="402">
        <f>IF(AND(196&gt;=$NR$55,196&lt;=$NS$55),IF($NP$55="Single_Point",IF(196=$NR$55,$NN$55,0),IF($NP$55="Bell_Curve",$NN$55*(196-$NR$55+1)*($NS$55-196+1)/$NU$55,$NN$55/$NT$55)),0)</f>
        <v/>
      </c>
      <c r="GS55" s="402">
        <f>IF(AND(197&gt;=$NR$55,197&lt;=$NS$55),IF($NP$55="Single_Point",IF(197=$NR$55,$NN$55,0),IF($NP$55="Bell_Curve",$NN$55*(197-$NR$55+1)*($NS$55-197+1)/$NU$55,$NN$55/$NT$55)),0)</f>
        <v/>
      </c>
      <c r="GT55" s="402">
        <f>IF(AND(198&gt;=$NR$55,198&lt;=$NS$55),IF($NP$55="Single_Point",IF(198=$NR$55,$NN$55,0),IF($NP$55="Bell_Curve",$NN$55*(198-$NR$55+1)*($NS$55-198+1)/$NU$55,$NN$55/$NT$55)),0)</f>
        <v/>
      </c>
      <c r="GU55" s="402">
        <f>IF(AND(199&gt;=$NR$55,199&lt;=$NS$55),IF($NP$55="Single_Point",IF(199=$NR$55,$NN$55,0),IF($NP$55="Bell_Curve",$NN$55*(199-$NR$55+1)*($NS$55-199+1)/$NU$55,$NN$55/$NT$55)),0)</f>
        <v/>
      </c>
      <c r="GV55" s="402">
        <f>IF(AND(200&gt;=$NR$55,200&lt;=$NS$55),IF($NP$55="Single_Point",IF(200=$NR$55,$NN$55,0),IF($NP$55="Bell_Curve",$NN$55*(200-$NR$55+1)*($NS$55-200+1)/$NU$55,$NN$55/$NT$55)),0)</f>
        <v/>
      </c>
      <c r="GW55" s="402">
        <f>IF(AND(201&gt;=$NR$55,201&lt;=$NS$55),IF($NP$55="Single_Point",IF(201=$NR$55,$NN$55,0),IF($NP$55="Bell_Curve",$NN$55*(201-$NR$55+1)*($NS$55-201+1)/$NU$55,$NN$55/$NT$55)),0)</f>
        <v/>
      </c>
      <c r="GX55" s="402">
        <f>IF(AND(202&gt;=$NR$55,202&lt;=$NS$55),IF($NP$55="Single_Point",IF(202=$NR$55,$NN$55,0),IF($NP$55="Bell_Curve",$NN$55*(202-$NR$55+1)*($NS$55-202+1)/$NU$55,$NN$55/$NT$55)),0)</f>
        <v/>
      </c>
      <c r="GY55" s="402">
        <f>IF(AND(203&gt;=$NR$55,203&lt;=$NS$55),IF($NP$55="Single_Point",IF(203=$NR$55,$NN$55,0),IF($NP$55="Bell_Curve",$NN$55*(203-$NR$55+1)*($NS$55-203+1)/$NU$55,$NN$55/$NT$55)),0)</f>
        <v/>
      </c>
      <c r="GZ55" s="402">
        <f>IF(AND(204&gt;=$NR$55,204&lt;=$NS$55),IF($NP$55="Single_Point",IF(204=$NR$55,$NN$55,0),IF($NP$55="Bell_Curve",$NN$55*(204-$NR$55+1)*($NS$55-204+1)/$NU$55,$NN$55/$NT$55)),0)</f>
        <v/>
      </c>
      <c r="HA55" s="402">
        <f>IF(AND(205&gt;=$NR$55,205&lt;=$NS$55),IF($NP$55="Single_Point",IF(205=$NR$55,$NN$55,0),IF($NP$55="Bell_Curve",$NN$55*(205-$NR$55+1)*($NS$55-205+1)/$NU$55,$NN$55/$NT$55)),0)</f>
        <v/>
      </c>
      <c r="HB55" s="402">
        <f>IF(AND(206&gt;=$NR$55,206&lt;=$NS$55),IF($NP$55="Single_Point",IF(206=$NR$55,$NN$55,0),IF($NP$55="Bell_Curve",$NN$55*(206-$NR$55+1)*($NS$55-206+1)/$NU$55,$NN$55/$NT$55)),0)</f>
        <v/>
      </c>
      <c r="HC55" s="402">
        <f>IF(AND(207&gt;=$NR$55,207&lt;=$NS$55),IF($NP$55="Single_Point",IF(207=$NR$55,$NN$55,0),IF($NP$55="Bell_Curve",$NN$55*(207-$NR$55+1)*($NS$55-207+1)/$NU$55,$NN$55/$NT$55)),0)</f>
        <v/>
      </c>
      <c r="HD55" s="402">
        <f>IF(AND(208&gt;=$NR$55,208&lt;=$NS$55),IF($NP$55="Single_Point",IF(208=$NR$55,$NN$55,0),IF($NP$55="Bell_Curve",$NN$55*(208-$NR$55+1)*($NS$55-208+1)/$NU$55,$NN$55/$NT$55)),0)</f>
        <v/>
      </c>
      <c r="HE55" s="402">
        <f>IF(AND(209&gt;=$NR$55,209&lt;=$NS$55),IF($NP$55="Single_Point",IF(209=$NR$55,$NN$55,0),IF($NP$55="Bell_Curve",$NN$55*(209-$NR$55+1)*($NS$55-209+1)/$NU$55,$NN$55/$NT$55)),0)</f>
        <v/>
      </c>
      <c r="HF55" s="402">
        <f>IF(AND(210&gt;=$NR$55,210&lt;=$NS$55),IF($NP$55="Single_Point",IF(210=$NR$55,$NN$55,0),IF($NP$55="Bell_Curve",$NN$55*(210-$NR$55+1)*($NS$55-210+1)/$NU$55,$NN$55/$NT$55)),0)</f>
        <v/>
      </c>
      <c r="HG55" s="402">
        <f>IF(AND(211&gt;=$NR$55,211&lt;=$NS$55),IF($NP$55="Single_Point",IF(211=$NR$55,$NN$55,0),IF($NP$55="Bell_Curve",$NN$55*(211-$NR$55+1)*($NS$55-211+1)/$NU$55,$NN$55/$NT$55)),0)</f>
        <v/>
      </c>
      <c r="HH55" s="402">
        <f>IF(AND(212&gt;=$NR$55,212&lt;=$NS$55),IF($NP$55="Single_Point",IF(212=$NR$55,$NN$55,0),IF($NP$55="Bell_Curve",$NN$55*(212-$NR$55+1)*($NS$55-212+1)/$NU$55,$NN$55/$NT$55)),0)</f>
        <v/>
      </c>
      <c r="HI55" s="402">
        <f>IF(AND(213&gt;=$NR$55,213&lt;=$NS$55),IF($NP$55="Single_Point",IF(213=$NR$55,$NN$55,0),IF($NP$55="Bell_Curve",$NN$55*(213-$NR$55+1)*($NS$55-213+1)/$NU$55,$NN$55/$NT$55)),0)</f>
        <v/>
      </c>
      <c r="HJ55" s="402">
        <f>IF(AND(214&gt;=$NR$55,214&lt;=$NS$55),IF($NP$55="Single_Point",IF(214=$NR$55,$NN$55,0),IF($NP$55="Bell_Curve",$NN$55*(214-$NR$55+1)*($NS$55-214+1)/$NU$55,$NN$55/$NT$55)),0)</f>
        <v/>
      </c>
      <c r="HK55" s="402">
        <f>IF(AND(215&gt;=$NR$55,215&lt;=$NS$55),IF($NP$55="Single_Point",IF(215=$NR$55,$NN$55,0),IF($NP$55="Bell_Curve",$NN$55*(215-$NR$55+1)*($NS$55-215+1)/$NU$55,$NN$55/$NT$55)),0)</f>
        <v/>
      </c>
      <c r="HL55" s="402">
        <f>IF(AND(216&gt;=$NR$55,216&lt;=$NS$55),IF($NP$55="Single_Point",IF(216=$NR$55,$NN$55,0),IF($NP$55="Bell_Curve",$NN$55*(216-$NR$55+1)*($NS$55-216+1)/$NU$55,$NN$55/$NT$55)),0)</f>
        <v/>
      </c>
      <c r="HM55" s="402">
        <f>IF(AND(217&gt;=$NR$55,217&lt;=$NS$55),IF($NP$55="Single_Point",IF(217=$NR$55,$NN$55,0),IF($NP$55="Bell_Curve",$NN$55*(217-$NR$55+1)*($NS$55-217+1)/$NU$55,$NN$55/$NT$55)),0)</f>
        <v/>
      </c>
      <c r="HN55" s="402">
        <f>IF(AND(218&gt;=$NR$55,218&lt;=$NS$55),IF($NP$55="Single_Point",IF(218=$NR$55,$NN$55,0),IF($NP$55="Bell_Curve",$NN$55*(218-$NR$55+1)*($NS$55-218+1)/$NU$55,$NN$55/$NT$55)),0)</f>
        <v/>
      </c>
      <c r="HO55" s="402">
        <f>IF(AND(219&gt;=$NR$55,219&lt;=$NS$55),IF($NP$55="Single_Point",IF(219=$NR$55,$NN$55,0),IF($NP$55="Bell_Curve",$NN$55*(219-$NR$55+1)*($NS$55-219+1)/$NU$55,$NN$55/$NT$55)),0)</f>
        <v/>
      </c>
      <c r="HP55" s="402">
        <f>IF(AND(220&gt;=$NR$55,220&lt;=$NS$55),IF($NP$55="Single_Point",IF(220=$NR$55,$NN$55,0),IF($NP$55="Bell_Curve",$NN$55*(220-$NR$55+1)*($NS$55-220+1)/$NU$55,$NN$55/$NT$55)),0)</f>
        <v/>
      </c>
      <c r="HQ55" s="402">
        <f>IF(AND(221&gt;=$NR$55,221&lt;=$NS$55),IF($NP$55="Single_Point",IF(221=$NR$55,$NN$55,0),IF($NP$55="Bell_Curve",$NN$55*(221-$NR$55+1)*($NS$55-221+1)/$NU$55,$NN$55/$NT$55)),0)</f>
        <v/>
      </c>
      <c r="HR55" s="402">
        <f>IF(AND(222&gt;=$NR$55,222&lt;=$NS$55),IF($NP$55="Single_Point",IF(222=$NR$55,$NN$55,0),IF($NP$55="Bell_Curve",$NN$55*(222-$NR$55+1)*($NS$55-222+1)/$NU$55,$NN$55/$NT$55)),0)</f>
        <v/>
      </c>
      <c r="HS55" s="402">
        <f>IF(AND(223&gt;=$NR$55,223&lt;=$NS$55),IF($NP$55="Single_Point",IF(223=$NR$55,$NN$55,0),IF($NP$55="Bell_Curve",$NN$55*(223-$NR$55+1)*($NS$55-223+1)/$NU$55,$NN$55/$NT$55)),0)</f>
        <v/>
      </c>
      <c r="HT55" s="402">
        <f>IF(AND(224&gt;=$NR$55,224&lt;=$NS$55),IF($NP$55="Single_Point",IF(224=$NR$55,$NN$55,0),IF($NP$55="Bell_Curve",$NN$55*(224-$NR$55+1)*($NS$55-224+1)/$NU$55,$NN$55/$NT$55)),0)</f>
        <v/>
      </c>
      <c r="HU55" s="402">
        <f>IF(AND(225&gt;=$NR$55,225&lt;=$NS$55),IF($NP$55="Single_Point",IF(225=$NR$55,$NN$55,0),IF($NP$55="Bell_Curve",$NN$55*(225-$NR$55+1)*($NS$55-225+1)/$NU$55,$NN$55/$NT$55)),0)</f>
        <v/>
      </c>
      <c r="HV55" s="402">
        <f>IF(AND(226&gt;=$NR$55,226&lt;=$NS$55),IF($NP$55="Single_Point",IF(226=$NR$55,$NN$55,0),IF($NP$55="Bell_Curve",$NN$55*(226-$NR$55+1)*($NS$55-226+1)/$NU$55,$NN$55/$NT$55)),0)</f>
        <v/>
      </c>
      <c r="HW55" s="402">
        <f>IF(AND(227&gt;=$NR$55,227&lt;=$NS$55),IF($NP$55="Single_Point",IF(227=$NR$55,$NN$55,0),IF($NP$55="Bell_Curve",$NN$55*(227-$NR$55+1)*($NS$55-227+1)/$NU$55,$NN$55/$NT$55)),0)</f>
        <v/>
      </c>
      <c r="HX55" s="402">
        <f>IF(AND(228&gt;=$NR$55,228&lt;=$NS$55),IF($NP$55="Single_Point",IF(228=$NR$55,$NN$55,0),IF($NP$55="Bell_Curve",$NN$55*(228-$NR$55+1)*($NS$55-228+1)/$NU$55,$NN$55/$NT$55)),0)</f>
        <v/>
      </c>
      <c r="HY55" s="402">
        <f>IF(AND(229&gt;=$NR$55,229&lt;=$NS$55),IF($NP$55="Single_Point",IF(229=$NR$55,$NN$55,0),IF($NP$55="Bell_Curve",$NN$55*(229-$NR$55+1)*($NS$55-229+1)/$NU$55,$NN$55/$NT$55)),0)</f>
        <v/>
      </c>
      <c r="HZ55" s="402">
        <f>IF(AND(230&gt;=$NR$55,230&lt;=$NS$55),IF($NP$55="Single_Point",IF(230=$NR$55,$NN$55,0),IF($NP$55="Bell_Curve",$NN$55*(230-$NR$55+1)*($NS$55-230+1)/$NU$55,$NN$55/$NT$55)),0)</f>
        <v/>
      </c>
      <c r="IA55" s="402">
        <f>IF(AND(231&gt;=$NR$55,231&lt;=$NS$55),IF($NP$55="Single_Point",IF(231=$NR$55,$NN$55,0),IF($NP$55="Bell_Curve",$NN$55*(231-$NR$55+1)*($NS$55-231+1)/$NU$55,$NN$55/$NT$55)),0)</f>
        <v/>
      </c>
      <c r="IB55" s="402">
        <f>IF(AND(232&gt;=$NR$55,232&lt;=$NS$55),IF($NP$55="Single_Point",IF(232=$NR$55,$NN$55,0),IF($NP$55="Bell_Curve",$NN$55*(232-$NR$55+1)*($NS$55-232+1)/$NU$55,$NN$55/$NT$55)),0)</f>
        <v/>
      </c>
      <c r="IC55" s="402">
        <f>IF(AND(233&gt;=$NR$55,233&lt;=$NS$55),IF($NP$55="Single_Point",IF(233=$NR$55,$NN$55,0),IF($NP$55="Bell_Curve",$NN$55*(233-$NR$55+1)*($NS$55-233+1)/$NU$55,$NN$55/$NT$55)),0)</f>
        <v/>
      </c>
      <c r="ID55" s="402">
        <f>IF(AND(234&gt;=$NR$55,234&lt;=$NS$55),IF($NP$55="Single_Point",IF(234=$NR$55,$NN$55,0),IF($NP$55="Bell_Curve",$NN$55*(234-$NR$55+1)*($NS$55-234+1)/$NU$55,$NN$55/$NT$55)),0)</f>
        <v/>
      </c>
      <c r="IE55" s="402">
        <f>IF(AND(235&gt;=$NR$55,235&lt;=$NS$55),IF($NP$55="Single_Point",IF(235=$NR$55,$NN$55,0),IF($NP$55="Bell_Curve",$NN$55*(235-$NR$55+1)*($NS$55-235+1)/$NU$55,$NN$55/$NT$55)),0)</f>
        <v/>
      </c>
      <c r="IF55" s="402">
        <f>IF(AND(236&gt;=$NR$55,236&lt;=$NS$55),IF($NP$55="Single_Point",IF(236=$NR$55,$NN$55,0),IF($NP$55="Bell_Curve",$NN$55*(236-$NR$55+1)*($NS$55-236+1)/$NU$55,$NN$55/$NT$55)),0)</f>
        <v/>
      </c>
      <c r="IG55" s="402">
        <f>IF(AND(237&gt;=$NR$55,237&lt;=$NS$55),IF($NP$55="Single_Point",IF(237=$NR$55,$NN$55,0),IF($NP$55="Bell_Curve",$NN$55*(237-$NR$55+1)*($NS$55-237+1)/$NU$55,$NN$55/$NT$55)),0)</f>
        <v/>
      </c>
      <c r="IH55" s="402">
        <f>IF(AND(238&gt;=$NR$55,238&lt;=$NS$55),IF($NP$55="Single_Point",IF(238=$NR$55,$NN$55,0),IF($NP$55="Bell_Curve",$NN$55*(238-$NR$55+1)*($NS$55-238+1)/$NU$55,$NN$55/$NT$55)),0)</f>
        <v/>
      </c>
      <c r="II55" s="402">
        <f>IF(AND(239&gt;=$NR$55,239&lt;=$NS$55),IF($NP$55="Single_Point",IF(239=$NR$55,$NN$55,0),IF($NP$55="Bell_Curve",$NN$55*(239-$NR$55+1)*($NS$55-239+1)/$NU$55,$NN$55/$NT$55)),0)</f>
        <v/>
      </c>
      <c r="IJ55" s="402">
        <f>IF(AND(240&gt;=$NR$55,240&lt;=$NS$55),IF($NP$55="Single_Point",IF(240=$NR$55,$NN$55,0),IF($NP$55="Bell_Curve",$NN$55*(240-$NR$55+1)*($NS$55-240+1)/$NU$55,$NN$55/$NT$55)),0)</f>
        <v/>
      </c>
      <c r="IK55" s="402">
        <f>IF(AND(241&gt;=$NR$55,241&lt;=$NS$55),IF($NP$55="Single_Point",IF(241=$NR$55,$NN$55,0),IF($NP$55="Bell_Curve",$NN$55*(241-$NR$55+1)*($NS$55-241+1)/$NU$55,$NN$55/$NT$55)),0)</f>
        <v/>
      </c>
      <c r="IL55" s="402">
        <f>IF(AND(242&gt;=$NR$55,242&lt;=$NS$55),IF($NP$55="Single_Point",IF(242=$NR$55,$NN$55,0),IF($NP$55="Bell_Curve",$NN$55*(242-$NR$55+1)*($NS$55-242+1)/$NU$55,$NN$55/$NT$55)),0)</f>
        <v/>
      </c>
      <c r="IM55" s="402">
        <f>IF(AND(243&gt;=$NR$55,243&lt;=$NS$55),IF($NP$55="Single_Point",IF(243=$NR$55,$NN$55,0),IF($NP$55="Bell_Curve",$NN$55*(243-$NR$55+1)*($NS$55-243+1)/$NU$55,$NN$55/$NT$55)),0)</f>
        <v/>
      </c>
      <c r="IN55" s="402">
        <f>IF(AND(244&gt;=$NR$55,244&lt;=$NS$55),IF($NP$55="Single_Point",IF(244=$NR$55,$NN$55,0),IF($NP$55="Bell_Curve",$NN$55*(244-$NR$55+1)*($NS$55-244+1)/$NU$55,$NN$55/$NT$55)),0)</f>
        <v/>
      </c>
      <c r="IO55" s="402">
        <f>IF(AND(245&gt;=$NR$55,245&lt;=$NS$55),IF($NP$55="Single_Point",IF(245=$NR$55,$NN$55,0),IF($NP$55="Bell_Curve",$NN$55*(245-$NR$55+1)*($NS$55-245+1)/$NU$55,$NN$55/$NT$55)),0)</f>
        <v/>
      </c>
      <c r="IP55" s="402">
        <f>IF(AND(246&gt;=$NR$55,246&lt;=$NS$55),IF($NP$55="Single_Point",IF(246=$NR$55,$NN$55,0),IF($NP$55="Bell_Curve",$NN$55*(246-$NR$55+1)*($NS$55-246+1)/$NU$55,$NN$55/$NT$55)),0)</f>
        <v/>
      </c>
      <c r="IQ55" s="402">
        <f>IF(AND(247&gt;=$NR$55,247&lt;=$NS$55),IF($NP$55="Single_Point",IF(247=$NR$55,$NN$55,0),IF($NP$55="Bell_Curve",$NN$55*(247-$NR$55+1)*($NS$55-247+1)/$NU$55,$NN$55/$NT$55)),0)</f>
        <v/>
      </c>
      <c r="IR55" s="402">
        <f>IF(AND(248&gt;=$NR$55,248&lt;=$NS$55),IF($NP$55="Single_Point",IF(248=$NR$55,$NN$55,0),IF($NP$55="Bell_Curve",$NN$55*(248-$NR$55+1)*($NS$55-248+1)/$NU$55,$NN$55/$NT$55)),0)</f>
        <v/>
      </c>
      <c r="IS55" s="402">
        <f>IF(AND(249&gt;=$NR$55,249&lt;=$NS$55),IF($NP$55="Single_Point",IF(249=$NR$55,$NN$55,0),IF($NP$55="Bell_Curve",$NN$55*(249-$NR$55+1)*($NS$55-249+1)/$NU$55,$NN$55/$NT$55)),0)</f>
        <v/>
      </c>
      <c r="IT55" s="402">
        <f>IF(AND(250&gt;=$NR$55,250&lt;=$NS$55),IF($NP$55="Single_Point",IF(250=$NR$55,$NN$55,0),IF($NP$55="Bell_Curve",$NN$55*(250-$NR$55+1)*($NS$55-250+1)/$NU$55,$NN$55/$NT$55)),0)</f>
        <v/>
      </c>
      <c r="IU55" s="402">
        <f>IF(AND(251&gt;=$NR$55,251&lt;=$NS$55),IF($NP$55="Single_Point",IF(251=$NR$55,$NN$55,0),IF($NP$55="Bell_Curve",$NN$55*(251-$NR$55+1)*($NS$55-251+1)/$NU$55,$NN$55/$NT$55)),0)</f>
        <v/>
      </c>
      <c r="IV55" s="402">
        <f>IF(AND(252&gt;=$NR$55,252&lt;=$NS$55),IF($NP$55="Single_Point",IF(252=$NR$55,$NN$55,0),IF($NP$55="Bell_Curve",$NN$55*(252-$NR$55+1)*($NS$55-252+1)/$NU$55,$NN$55/$NT$55)),0)</f>
        <v/>
      </c>
      <c r="IW55" s="402">
        <f>IF(AND(253&gt;=$NR$55,253&lt;=$NS$55),IF($NP$55="Single_Point",IF(253=$NR$55,$NN$55,0),IF($NP$55="Bell_Curve",$NN$55*(253-$NR$55+1)*($NS$55-253+1)/$NU$55,$NN$55/$NT$55)),0)</f>
        <v/>
      </c>
      <c r="IX55" s="402">
        <f>IF(AND(254&gt;=$NR$55,254&lt;=$NS$55),IF($NP$55="Single_Point",IF(254=$NR$55,$NN$55,0),IF($NP$55="Bell_Curve",$NN$55*(254-$NR$55+1)*($NS$55-254+1)/$NU$55,$NN$55/$NT$55)),0)</f>
        <v/>
      </c>
      <c r="IY55" s="402">
        <f>IF(AND(255&gt;=$NR$55,255&lt;=$NS$55),IF($NP$55="Single_Point",IF(255=$NR$55,$NN$55,0),IF($NP$55="Bell_Curve",$NN$55*(255-$NR$55+1)*($NS$55-255+1)/$NU$55,$NN$55/$NT$55)),0)</f>
        <v/>
      </c>
      <c r="IZ55" s="402">
        <f>IF(AND(256&gt;=$NR$55,256&lt;=$NS$55),IF($NP$55="Single_Point",IF(256=$NR$55,$NN$55,0),IF($NP$55="Bell_Curve",$NN$55*(256-$NR$55+1)*($NS$55-256+1)/$NU$55,$NN$55/$NT$55)),0)</f>
        <v/>
      </c>
      <c r="JA55" s="402">
        <f>IF(AND(257&gt;=$NR$55,257&lt;=$NS$55),IF($NP$55="Single_Point",IF(257=$NR$55,$NN$55,0),IF($NP$55="Bell_Curve",$NN$55*(257-$NR$55+1)*($NS$55-257+1)/$NU$55,$NN$55/$NT$55)),0)</f>
        <v/>
      </c>
      <c r="JB55" s="402">
        <f>IF(AND(258&gt;=$NR$55,258&lt;=$NS$55),IF($NP$55="Single_Point",IF(258=$NR$55,$NN$55,0),IF($NP$55="Bell_Curve",$NN$55*(258-$NR$55+1)*($NS$55-258+1)/$NU$55,$NN$55/$NT$55)),0)</f>
        <v/>
      </c>
      <c r="JC55" s="402">
        <f>IF(AND(259&gt;=$NR$55,259&lt;=$NS$55),IF($NP$55="Single_Point",IF(259=$NR$55,$NN$55,0),IF($NP$55="Bell_Curve",$NN$55*(259-$NR$55+1)*($NS$55-259+1)/$NU$55,$NN$55/$NT$55)),0)</f>
        <v/>
      </c>
      <c r="JD55" s="402">
        <f>IF(AND(260&gt;=$NR$55,260&lt;=$NS$55),IF($NP$55="Single_Point",IF(260=$NR$55,$NN$55,0),IF($NP$55="Bell_Curve",$NN$55*(260-$NR$55+1)*($NS$55-260+1)/$NU$55,$NN$55/$NT$55)),0)</f>
        <v/>
      </c>
      <c r="JE55" s="402">
        <f>IF(AND(261&gt;=$NR$55,261&lt;=$NS$55),IF($NP$55="Single_Point",IF(261=$NR$55,$NN$55,0),IF($NP$55="Bell_Curve",$NN$55*(261-$NR$55+1)*($NS$55-261+1)/$NU$55,$NN$55/$NT$55)),0)</f>
        <v/>
      </c>
      <c r="JF55" s="402">
        <f>IF(AND(262&gt;=$NR$55,262&lt;=$NS$55),IF($NP$55="Single_Point",IF(262=$NR$55,$NN$55,0),IF($NP$55="Bell_Curve",$NN$55*(262-$NR$55+1)*($NS$55-262+1)/$NU$55,$NN$55/$NT$55)),0)</f>
        <v/>
      </c>
      <c r="JG55" s="402">
        <f>IF(AND(263&gt;=$NR$55,263&lt;=$NS$55),IF($NP$55="Single_Point",IF(263=$NR$55,$NN$55,0),IF($NP$55="Bell_Curve",$NN$55*(263-$NR$55+1)*($NS$55-263+1)/$NU$55,$NN$55/$NT$55)),0)</f>
        <v/>
      </c>
      <c r="JH55" s="402">
        <f>IF(AND(264&gt;=$NR$55,264&lt;=$NS$55),IF($NP$55="Single_Point",IF(264=$NR$55,$NN$55,0),IF($NP$55="Bell_Curve",$NN$55*(264-$NR$55+1)*($NS$55-264+1)/$NU$55,$NN$55/$NT$55)),0)</f>
        <v/>
      </c>
      <c r="JI55" s="402">
        <f>IF(AND(265&gt;=$NR$55,265&lt;=$NS$55),IF($NP$55="Single_Point",IF(265=$NR$55,$NN$55,0),IF($NP$55="Bell_Curve",$NN$55*(265-$NR$55+1)*($NS$55-265+1)/$NU$55,$NN$55/$NT$55)),0)</f>
        <v/>
      </c>
      <c r="JJ55" s="402">
        <f>IF(AND(266&gt;=$NR$55,266&lt;=$NS$55),IF($NP$55="Single_Point",IF(266=$NR$55,$NN$55,0),IF($NP$55="Bell_Curve",$NN$55*(266-$NR$55+1)*($NS$55-266+1)/$NU$55,$NN$55/$NT$55)),0)</f>
        <v/>
      </c>
      <c r="JK55" s="402">
        <f>IF(AND(267&gt;=$NR$55,267&lt;=$NS$55),IF($NP$55="Single_Point",IF(267=$NR$55,$NN$55,0),IF($NP$55="Bell_Curve",$NN$55*(267-$NR$55+1)*($NS$55-267+1)/$NU$55,$NN$55/$NT$55)),0)</f>
        <v/>
      </c>
      <c r="JL55" s="402">
        <f>IF(AND(268&gt;=$NR$55,268&lt;=$NS$55),IF($NP$55="Single_Point",IF(268=$NR$55,$NN$55,0),IF($NP$55="Bell_Curve",$NN$55*(268-$NR$55+1)*($NS$55-268+1)/$NU$55,$NN$55/$NT$55)),0)</f>
        <v/>
      </c>
      <c r="JM55" s="402">
        <f>IF(AND(269&gt;=$NR$55,269&lt;=$NS$55),IF($NP$55="Single_Point",IF(269=$NR$55,$NN$55,0),IF($NP$55="Bell_Curve",$NN$55*(269-$NR$55+1)*($NS$55-269+1)/$NU$55,$NN$55/$NT$55)),0)</f>
        <v/>
      </c>
      <c r="JN55" s="402">
        <f>IF(AND(270&gt;=$NR$55,270&lt;=$NS$55),IF($NP$55="Single_Point",IF(270=$NR$55,$NN$55,0),IF($NP$55="Bell_Curve",$NN$55*(270-$NR$55+1)*($NS$55-270+1)/$NU$55,$NN$55/$NT$55)),0)</f>
        <v/>
      </c>
      <c r="JO55" s="402">
        <f>IF(AND(271&gt;=$NR$55,271&lt;=$NS$55),IF($NP$55="Single_Point",IF(271=$NR$55,$NN$55,0),IF($NP$55="Bell_Curve",$NN$55*(271-$NR$55+1)*($NS$55-271+1)/$NU$55,$NN$55/$NT$55)),0)</f>
        <v/>
      </c>
      <c r="JP55" s="402">
        <f>IF(AND(272&gt;=$NR$55,272&lt;=$NS$55),IF($NP$55="Single_Point",IF(272=$NR$55,$NN$55,0),IF($NP$55="Bell_Curve",$NN$55*(272-$NR$55+1)*($NS$55-272+1)/$NU$55,$NN$55/$NT$55)),0)</f>
        <v/>
      </c>
      <c r="JQ55" s="402">
        <f>IF(AND(273&gt;=$NR$55,273&lt;=$NS$55),IF($NP$55="Single_Point",IF(273=$NR$55,$NN$55,0),IF($NP$55="Bell_Curve",$NN$55*(273-$NR$55+1)*($NS$55-273+1)/$NU$55,$NN$55/$NT$55)),0)</f>
        <v/>
      </c>
      <c r="JR55" s="402">
        <f>IF(AND(274&gt;=$NR$55,274&lt;=$NS$55),IF($NP$55="Single_Point",IF(274=$NR$55,$NN$55,0),IF($NP$55="Bell_Curve",$NN$55*(274-$NR$55+1)*($NS$55-274+1)/$NU$55,$NN$55/$NT$55)),0)</f>
        <v/>
      </c>
      <c r="JS55" s="402">
        <f>IF(AND(275&gt;=$NR$55,275&lt;=$NS$55),IF($NP$55="Single_Point",IF(275=$NR$55,$NN$55,0),IF($NP$55="Bell_Curve",$NN$55*(275-$NR$55+1)*($NS$55-275+1)/$NU$55,$NN$55/$NT$55)),0)</f>
        <v/>
      </c>
      <c r="JT55" s="402">
        <f>IF(AND(276&gt;=$NR$55,276&lt;=$NS$55),IF($NP$55="Single_Point",IF(276=$NR$55,$NN$55,0),IF($NP$55="Bell_Curve",$NN$55*(276-$NR$55+1)*($NS$55-276+1)/$NU$55,$NN$55/$NT$55)),0)</f>
        <v/>
      </c>
      <c r="JU55" s="402">
        <f>IF(AND(277&gt;=$NR$55,277&lt;=$NS$55),IF($NP$55="Single_Point",IF(277=$NR$55,$NN$55,0),IF($NP$55="Bell_Curve",$NN$55*(277-$NR$55+1)*($NS$55-277+1)/$NU$55,$NN$55/$NT$55)),0)</f>
        <v/>
      </c>
      <c r="JV55" s="402">
        <f>IF(AND(278&gt;=$NR$55,278&lt;=$NS$55),IF($NP$55="Single_Point",IF(278=$NR$55,$NN$55,0),IF($NP$55="Bell_Curve",$NN$55*(278-$NR$55+1)*($NS$55-278+1)/$NU$55,$NN$55/$NT$55)),0)</f>
        <v/>
      </c>
      <c r="JW55" s="402">
        <f>IF(AND(279&gt;=$NR$55,279&lt;=$NS$55),IF($NP$55="Single_Point",IF(279=$NR$55,$NN$55,0),IF($NP$55="Bell_Curve",$NN$55*(279-$NR$55+1)*($NS$55-279+1)/$NU$55,$NN$55/$NT$55)),0)</f>
        <v/>
      </c>
      <c r="JX55" s="402">
        <f>IF(AND(280&gt;=$NR$55,280&lt;=$NS$55),IF($NP$55="Single_Point",IF(280=$NR$55,$NN$55,0),IF($NP$55="Bell_Curve",$NN$55*(280-$NR$55+1)*($NS$55-280+1)/$NU$55,$NN$55/$NT$55)),0)</f>
        <v/>
      </c>
      <c r="JY55" s="402">
        <f>IF(AND(281&gt;=$NR$55,281&lt;=$NS$55),IF($NP$55="Single_Point",IF(281=$NR$55,$NN$55,0),IF($NP$55="Bell_Curve",$NN$55*(281-$NR$55+1)*($NS$55-281+1)/$NU$55,$NN$55/$NT$55)),0)</f>
        <v/>
      </c>
      <c r="JZ55" s="402">
        <f>IF(AND(282&gt;=$NR$55,282&lt;=$NS$55),IF($NP$55="Single_Point",IF(282=$NR$55,$NN$55,0),IF($NP$55="Bell_Curve",$NN$55*(282-$NR$55+1)*($NS$55-282+1)/$NU$55,$NN$55/$NT$55)),0)</f>
        <v/>
      </c>
      <c r="KA55" s="402">
        <f>IF(AND(283&gt;=$NR$55,283&lt;=$NS$55),IF($NP$55="Single_Point",IF(283=$NR$55,$NN$55,0),IF($NP$55="Bell_Curve",$NN$55*(283-$NR$55+1)*($NS$55-283+1)/$NU$55,$NN$55/$NT$55)),0)</f>
        <v/>
      </c>
      <c r="KB55" s="402">
        <f>IF(AND(284&gt;=$NR$55,284&lt;=$NS$55),IF($NP$55="Single_Point",IF(284=$NR$55,$NN$55,0),IF($NP$55="Bell_Curve",$NN$55*(284-$NR$55+1)*($NS$55-284+1)/$NU$55,$NN$55/$NT$55)),0)</f>
        <v/>
      </c>
      <c r="KC55" s="402">
        <f>IF(AND(285&gt;=$NR$55,285&lt;=$NS$55),IF($NP$55="Single_Point",IF(285=$NR$55,$NN$55,0),IF($NP$55="Bell_Curve",$NN$55*(285-$NR$55+1)*($NS$55-285+1)/$NU$55,$NN$55/$NT$55)),0)</f>
        <v/>
      </c>
      <c r="KD55" s="402">
        <f>IF(AND(286&gt;=$NR$55,286&lt;=$NS$55),IF($NP$55="Single_Point",IF(286=$NR$55,$NN$55,0),IF($NP$55="Bell_Curve",$NN$55*(286-$NR$55+1)*($NS$55-286+1)/$NU$55,$NN$55/$NT$55)),0)</f>
        <v/>
      </c>
      <c r="KE55" s="402">
        <f>IF(AND(287&gt;=$NR$55,287&lt;=$NS$55),IF($NP$55="Single_Point",IF(287=$NR$55,$NN$55,0),IF($NP$55="Bell_Curve",$NN$55*(287-$NR$55+1)*($NS$55-287+1)/$NU$55,$NN$55/$NT$55)),0)</f>
        <v/>
      </c>
      <c r="KF55" s="402">
        <f>IF(AND(288&gt;=$NR$55,288&lt;=$NS$55),IF($NP$55="Single_Point",IF(288=$NR$55,$NN$55,0),IF($NP$55="Bell_Curve",$NN$55*(288-$NR$55+1)*($NS$55-288+1)/$NU$55,$NN$55/$NT$55)),0)</f>
        <v/>
      </c>
      <c r="KG55" s="402">
        <f>IF(AND(289&gt;=$NR$55,289&lt;=$NS$55),IF($NP$55="Single_Point",IF(289=$NR$55,$NN$55,0),IF($NP$55="Bell_Curve",$NN$55*(289-$NR$55+1)*($NS$55-289+1)/$NU$55,$NN$55/$NT$55)),0)</f>
        <v/>
      </c>
      <c r="KH55" s="402">
        <f>IF(AND(290&gt;=$NR$55,290&lt;=$NS$55),IF($NP$55="Single_Point",IF(290=$NR$55,$NN$55,0),IF($NP$55="Bell_Curve",$NN$55*(290-$NR$55+1)*($NS$55-290+1)/$NU$55,$NN$55/$NT$55)),0)</f>
        <v/>
      </c>
      <c r="KI55" s="402">
        <f>IF(AND(291&gt;=$NR$55,291&lt;=$NS$55),IF($NP$55="Single_Point",IF(291=$NR$55,$NN$55,0),IF($NP$55="Bell_Curve",$NN$55*(291-$NR$55+1)*($NS$55-291+1)/$NU$55,$NN$55/$NT$55)),0)</f>
        <v/>
      </c>
      <c r="KJ55" s="402">
        <f>IF(AND(292&gt;=$NR$55,292&lt;=$NS$55),IF($NP$55="Single_Point",IF(292=$NR$55,$NN$55,0),IF($NP$55="Bell_Curve",$NN$55*(292-$NR$55+1)*($NS$55-292+1)/$NU$55,$NN$55/$NT$55)),0)</f>
        <v/>
      </c>
      <c r="KK55" s="402">
        <f>IF(AND(293&gt;=$NR$55,293&lt;=$NS$55),IF($NP$55="Single_Point",IF(293=$NR$55,$NN$55,0),IF($NP$55="Bell_Curve",$NN$55*(293-$NR$55+1)*($NS$55-293+1)/$NU$55,$NN$55/$NT$55)),0)</f>
        <v/>
      </c>
      <c r="KL55" s="402">
        <f>IF(AND(294&gt;=$NR$55,294&lt;=$NS$55),IF($NP$55="Single_Point",IF(294=$NR$55,$NN$55,0),IF($NP$55="Bell_Curve",$NN$55*(294-$NR$55+1)*($NS$55-294+1)/$NU$55,$NN$55/$NT$55)),0)</f>
        <v/>
      </c>
      <c r="KM55" s="402">
        <f>IF(AND(295&gt;=$NR$55,295&lt;=$NS$55),IF($NP$55="Single_Point",IF(295=$NR$55,$NN$55,0),IF($NP$55="Bell_Curve",$NN$55*(295-$NR$55+1)*($NS$55-295+1)/$NU$55,$NN$55/$NT$55)),0)</f>
        <v/>
      </c>
      <c r="KN55" s="402">
        <f>IF(AND(296&gt;=$NR$55,296&lt;=$NS$55),IF($NP$55="Single_Point",IF(296=$NR$55,$NN$55,0),IF($NP$55="Bell_Curve",$NN$55*(296-$NR$55+1)*($NS$55-296+1)/$NU$55,$NN$55/$NT$55)),0)</f>
        <v/>
      </c>
      <c r="KO55" s="402">
        <f>IF(AND(297&gt;=$NR$55,297&lt;=$NS$55),IF($NP$55="Single_Point",IF(297=$NR$55,$NN$55,0),IF($NP$55="Bell_Curve",$NN$55*(297-$NR$55+1)*($NS$55-297+1)/$NU$55,$NN$55/$NT$55)),0)</f>
        <v/>
      </c>
      <c r="KP55" s="402">
        <f>IF(AND(298&gt;=$NR$55,298&lt;=$NS$55),IF($NP$55="Single_Point",IF(298=$NR$55,$NN$55,0),IF($NP$55="Bell_Curve",$NN$55*(298-$NR$55+1)*($NS$55-298+1)/$NU$55,$NN$55/$NT$55)),0)</f>
        <v/>
      </c>
      <c r="KQ55" s="402">
        <f>IF(AND(299&gt;=$NR$55,299&lt;=$NS$55),IF($NP$55="Single_Point",IF(299=$NR$55,$NN$55,0),IF($NP$55="Bell_Curve",$NN$55*(299-$NR$55+1)*($NS$55-299+1)/$NU$55,$NN$55/$NT$55)),0)</f>
        <v/>
      </c>
      <c r="KR55" s="402">
        <f>IF(AND(300&gt;=$NR$55,300&lt;=$NS$55),IF($NP$55="Single_Point",IF(300=$NR$55,$NN$55,0),IF($NP$55="Bell_Curve",$NN$55*(300-$NR$55+1)*($NS$55-300+1)/$NU$55,$NN$55/$NT$55)),0)</f>
        <v/>
      </c>
      <c r="KS55" s="402">
        <f>IF(AND(301&gt;=$NR$55,301&lt;=$NS$55),IF($NP$55="Single_Point",IF(301=$NR$55,$NN$55,0),IF($NP$55="Bell_Curve",$NN$55*(301-$NR$55+1)*($NS$55-301+1)/$NU$55,$NN$55/$NT$55)),0)</f>
        <v/>
      </c>
      <c r="KT55" s="402">
        <f>IF(AND(302&gt;=$NR$55,302&lt;=$NS$55),IF($NP$55="Single_Point",IF(302=$NR$55,$NN$55,0),IF($NP$55="Bell_Curve",$NN$55*(302-$NR$55+1)*($NS$55-302+1)/$NU$55,$NN$55/$NT$55)),0)</f>
        <v/>
      </c>
      <c r="KU55" s="402">
        <f>IF(AND(303&gt;=$NR$55,303&lt;=$NS$55),IF($NP$55="Single_Point",IF(303=$NR$55,$NN$55,0),IF($NP$55="Bell_Curve",$NN$55*(303-$NR$55+1)*($NS$55-303+1)/$NU$55,$NN$55/$NT$55)),0)</f>
        <v/>
      </c>
      <c r="KV55" s="402">
        <f>IF(AND(304&gt;=$NR$55,304&lt;=$NS$55),IF($NP$55="Single_Point",IF(304=$NR$55,$NN$55,0),IF($NP$55="Bell_Curve",$NN$55*(304-$NR$55+1)*($NS$55-304+1)/$NU$55,$NN$55/$NT$55)),0)</f>
        <v/>
      </c>
      <c r="KW55" s="402">
        <f>IF(AND(305&gt;=$NR$55,305&lt;=$NS$55),IF($NP$55="Single_Point",IF(305=$NR$55,$NN$55,0),IF($NP$55="Bell_Curve",$NN$55*(305-$NR$55+1)*($NS$55-305+1)/$NU$55,$NN$55/$NT$55)),0)</f>
        <v/>
      </c>
      <c r="KX55" s="402">
        <f>IF(AND(306&gt;=$NR$55,306&lt;=$NS$55),IF($NP$55="Single_Point",IF(306=$NR$55,$NN$55,0),IF($NP$55="Bell_Curve",$NN$55*(306-$NR$55+1)*($NS$55-306+1)/$NU$55,$NN$55/$NT$55)),0)</f>
        <v/>
      </c>
      <c r="KY55" s="402">
        <f>IF(AND(307&gt;=$NR$55,307&lt;=$NS$55),IF($NP$55="Single_Point",IF(307=$NR$55,$NN$55,0),IF($NP$55="Bell_Curve",$NN$55*(307-$NR$55+1)*($NS$55-307+1)/$NU$55,$NN$55/$NT$55)),0)</f>
        <v/>
      </c>
      <c r="KZ55" s="402">
        <f>IF(AND(308&gt;=$NR$55,308&lt;=$NS$55),IF($NP$55="Single_Point",IF(308=$NR$55,$NN$55,0),IF($NP$55="Bell_Curve",$NN$55*(308-$NR$55+1)*($NS$55-308+1)/$NU$55,$NN$55/$NT$55)),0)</f>
        <v/>
      </c>
      <c r="LA55" s="402">
        <f>IF(AND(309&gt;=$NR$55,309&lt;=$NS$55),IF($NP$55="Single_Point",IF(309=$NR$55,$NN$55,0),IF($NP$55="Bell_Curve",$NN$55*(309-$NR$55+1)*($NS$55-309+1)/$NU$55,$NN$55/$NT$55)),0)</f>
        <v/>
      </c>
      <c r="LB55" s="402">
        <f>IF(AND(310&gt;=$NR$55,310&lt;=$NS$55),IF($NP$55="Single_Point",IF(310=$NR$55,$NN$55,0),IF($NP$55="Bell_Curve",$NN$55*(310-$NR$55+1)*($NS$55-310+1)/$NU$55,$NN$55/$NT$55)),0)</f>
        <v/>
      </c>
      <c r="LC55" s="402">
        <f>IF(AND(311&gt;=$NR$55,311&lt;=$NS$55),IF($NP$55="Single_Point",IF(311=$NR$55,$NN$55,0),IF($NP$55="Bell_Curve",$NN$55*(311-$NR$55+1)*($NS$55-311+1)/$NU$55,$NN$55/$NT$55)),0)</f>
        <v/>
      </c>
      <c r="LD55" s="402">
        <f>IF(AND(312&gt;=$NR$55,312&lt;=$NS$55),IF($NP$55="Single_Point",IF(312=$NR$55,$NN$55,0),IF($NP$55="Bell_Curve",$NN$55*(312-$NR$55+1)*($NS$55-312+1)/$NU$55,$NN$55/$NT$55)),0)</f>
        <v/>
      </c>
      <c r="LE55" s="402">
        <f>IF(AND(313&gt;=$NR$55,313&lt;=$NS$55),IF($NP$55="Single_Point",IF(313=$NR$55,$NN$55,0),IF($NP$55="Bell_Curve",$NN$55*(313-$NR$55+1)*($NS$55-313+1)/$NU$55,$NN$55/$NT$55)),0)</f>
        <v/>
      </c>
      <c r="LF55" s="402">
        <f>IF(AND(314&gt;=$NR$55,314&lt;=$NS$55),IF($NP$55="Single_Point",IF(314=$NR$55,$NN$55,0),IF($NP$55="Bell_Curve",$NN$55*(314-$NR$55+1)*($NS$55-314+1)/$NU$55,$NN$55/$NT$55)),0)</f>
        <v/>
      </c>
      <c r="LG55" s="402">
        <f>IF(AND(315&gt;=$NR$55,315&lt;=$NS$55),IF($NP$55="Single_Point",IF(315=$NR$55,$NN$55,0),IF($NP$55="Bell_Curve",$NN$55*(315-$NR$55+1)*($NS$55-315+1)/$NU$55,$NN$55/$NT$55)),0)</f>
        <v/>
      </c>
      <c r="LH55" s="402">
        <f>IF(AND(316&gt;=$NR$55,316&lt;=$NS$55),IF($NP$55="Single_Point",IF(316=$NR$55,$NN$55,0),IF($NP$55="Bell_Curve",$NN$55*(316-$NR$55+1)*($NS$55-316+1)/$NU$55,$NN$55/$NT$55)),0)</f>
        <v/>
      </c>
      <c r="LI55" s="402">
        <f>IF(AND(317&gt;=$NR$55,317&lt;=$NS$55),IF($NP$55="Single_Point",IF(317=$NR$55,$NN$55,0),IF($NP$55="Bell_Curve",$NN$55*(317-$NR$55+1)*($NS$55-317+1)/$NU$55,$NN$55/$NT$55)),0)</f>
        <v/>
      </c>
      <c r="LJ55" s="402">
        <f>IF(AND(318&gt;=$NR$55,318&lt;=$NS$55),IF($NP$55="Single_Point",IF(318=$NR$55,$NN$55,0),IF($NP$55="Bell_Curve",$NN$55*(318-$NR$55+1)*($NS$55-318+1)/$NU$55,$NN$55/$NT$55)),0)</f>
        <v/>
      </c>
      <c r="LK55" s="402">
        <f>IF(AND(319&gt;=$NR$55,319&lt;=$NS$55),IF($NP$55="Single_Point",IF(319=$NR$55,$NN$55,0),IF($NP$55="Bell_Curve",$NN$55*(319-$NR$55+1)*($NS$55-319+1)/$NU$55,$NN$55/$NT$55)),0)</f>
        <v/>
      </c>
      <c r="LL55" s="402">
        <f>IF(AND(320&gt;=$NR$55,320&lt;=$NS$55),IF($NP$55="Single_Point",IF(320=$NR$55,$NN$55,0),IF($NP$55="Bell_Curve",$NN$55*(320-$NR$55+1)*($NS$55-320+1)/$NU$55,$NN$55/$NT$55)),0)</f>
        <v/>
      </c>
      <c r="LM55" s="402">
        <f>IF(AND(321&gt;=$NR$55,321&lt;=$NS$55),IF($NP$55="Single_Point",IF(321=$NR$55,$NN$55,0),IF($NP$55="Bell_Curve",$NN$55*(321-$NR$55+1)*($NS$55-321+1)/$NU$55,$NN$55/$NT$55)),0)</f>
        <v/>
      </c>
      <c r="LN55" s="402">
        <f>IF(AND(322&gt;=$NR$55,322&lt;=$NS$55),IF($NP$55="Single_Point",IF(322=$NR$55,$NN$55,0),IF($NP$55="Bell_Curve",$NN$55*(322-$NR$55+1)*($NS$55-322+1)/$NU$55,$NN$55/$NT$55)),0)</f>
        <v/>
      </c>
      <c r="LO55" s="402">
        <f>IF(AND(323&gt;=$NR$55,323&lt;=$NS$55),IF($NP$55="Single_Point",IF(323=$NR$55,$NN$55,0),IF($NP$55="Bell_Curve",$NN$55*(323-$NR$55+1)*($NS$55-323+1)/$NU$55,$NN$55/$NT$55)),0)</f>
        <v/>
      </c>
      <c r="LP55" s="402">
        <f>IF(AND(324&gt;=$NR$55,324&lt;=$NS$55),IF($NP$55="Single_Point",IF(324=$NR$55,$NN$55,0),IF($NP$55="Bell_Curve",$NN$55*(324-$NR$55+1)*($NS$55-324+1)/$NU$55,$NN$55/$NT$55)),0)</f>
        <v/>
      </c>
      <c r="LQ55" s="402">
        <f>IF(AND(325&gt;=$NR$55,325&lt;=$NS$55),IF($NP$55="Single_Point",IF(325=$NR$55,$NN$55,0),IF($NP$55="Bell_Curve",$NN$55*(325-$NR$55+1)*($NS$55-325+1)/$NU$55,$NN$55/$NT$55)),0)</f>
        <v/>
      </c>
      <c r="LR55" s="402">
        <f>IF(AND(326&gt;=$NR$55,326&lt;=$NS$55),IF($NP$55="Single_Point",IF(326=$NR$55,$NN$55,0),IF($NP$55="Bell_Curve",$NN$55*(326-$NR$55+1)*($NS$55-326+1)/$NU$55,$NN$55/$NT$55)),0)</f>
        <v/>
      </c>
      <c r="LS55" s="402">
        <f>IF(AND(327&gt;=$NR$55,327&lt;=$NS$55),IF($NP$55="Single_Point",IF(327=$NR$55,$NN$55,0),IF($NP$55="Bell_Curve",$NN$55*(327-$NR$55+1)*($NS$55-327+1)/$NU$55,$NN$55/$NT$55)),0)</f>
        <v/>
      </c>
      <c r="LT55" s="402">
        <f>IF(AND(328&gt;=$NR$55,328&lt;=$NS$55),IF($NP$55="Single_Point",IF(328=$NR$55,$NN$55,0),IF($NP$55="Bell_Curve",$NN$55*(328-$NR$55+1)*($NS$55-328+1)/$NU$55,$NN$55/$NT$55)),0)</f>
        <v/>
      </c>
      <c r="LU55" s="402">
        <f>IF(AND(329&gt;=$NR$55,329&lt;=$NS$55),IF($NP$55="Single_Point",IF(329=$NR$55,$NN$55,0),IF($NP$55="Bell_Curve",$NN$55*(329-$NR$55+1)*($NS$55-329+1)/$NU$55,$NN$55/$NT$55)),0)</f>
        <v/>
      </c>
      <c r="LV55" s="402">
        <f>IF(AND(330&gt;=$NR$55,330&lt;=$NS$55),IF($NP$55="Single_Point",IF(330=$NR$55,$NN$55,0),IF($NP$55="Bell_Curve",$NN$55*(330-$NR$55+1)*($NS$55-330+1)/$NU$55,$NN$55/$NT$55)),0)</f>
        <v/>
      </c>
      <c r="LW55" s="402">
        <f>IF(AND(331&gt;=$NR$55,331&lt;=$NS$55),IF($NP$55="Single_Point",IF(331=$NR$55,$NN$55,0),IF($NP$55="Bell_Curve",$NN$55*(331-$NR$55+1)*($NS$55-331+1)/$NU$55,$NN$55/$NT$55)),0)</f>
        <v/>
      </c>
      <c r="LX55" s="402">
        <f>IF(AND(332&gt;=$NR$55,332&lt;=$NS$55),IF($NP$55="Single_Point",IF(332=$NR$55,$NN$55,0),IF($NP$55="Bell_Curve",$NN$55*(332-$NR$55+1)*($NS$55-332+1)/$NU$55,$NN$55/$NT$55)),0)</f>
        <v/>
      </c>
      <c r="LY55" s="402">
        <f>IF(AND(333&gt;=$NR$55,333&lt;=$NS$55),IF($NP$55="Single_Point",IF(333=$NR$55,$NN$55,0),IF($NP$55="Bell_Curve",$NN$55*(333-$NR$55+1)*($NS$55-333+1)/$NU$55,$NN$55/$NT$55)),0)</f>
        <v/>
      </c>
      <c r="LZ55" s="402">
        <f>IF(AND(334&gt;=$NR$55,334&lt;=$NS$55),IF($NP$55="Single_Point",IF(334=$NR$55,$NN$55,0),IF($NP$55="Bell_Curve",$NN$55*(334-$NR$55+1)*($NS$55-334+1)/$NU$55,$NN$55/$NT$55)),0)</f>
        <v/>
      </c>
      <c r="MA55" s="402">
        <f>IF(AND(335&gt;=$NR$55,335&lt;=$NS$55),IF($NP$55="Single_Point",IF(335=$NR$55,$NN$55,0),IF($NP$55="Bell_Curve",$NN$55*(335-$NR$55+1)*($NS$55-335+1)/$NU$55,$NN$55/$NT$55)),0)</f>
        <v/>
      </c>
      <c r="MB55" s="402">
        <f>IF(AND(336&gt;=$NR$55,336&lt;=$NS$55),IF($NP$55="Single_Point",IF(336=$NR$55,$NN$55,0),IF($NP$55="Bell_Curve",$NN$55*(336-$NR$55+1)*($NS$55-336+1)/$NU$55,$NN$55/$NT$55)),0)</f>
        <v/>
      </c>
      <c r="MC55" s="402">
        <f>IF(AND(337&gt;=$NR$55,337&lt;=$NS$55),IF($NP$55="Single_Point",IF(337=$NR$55,$NN$55,0),IF($NP$55="Bell_Curve",$NN$55*(337-$NR$55+1)*($NS$55-337+1)/$NU$55,$NN$55/$NT$55)),0)</f>
        <v/>
      </c>
      <c r="MD55" s="402">
        <f>IF(AND(338&gt;=$NR$55,338&lt;=$NS$55),IF($NP$55="Single_Point",IF(338=$NR$55,$NN$55,0),IF($NP$55="Bell_Curve",$NN$55*(338-$NR$55+1)*($NS$55-338+1)/$NU$55,$NN$55/$NT$55)),0)</f>
        <v/>
      </c>
      <c r="ME55" s="402">
        <f>IF(AND(339&gt;=$NR$55,339&lt;=$NS$55),IF($NP$55="Single_Point",IF(339=$NR$55,$NN$55,0),IF($NP$55="Bell_Curve",$NN$55*(339-$NR$55+1)*($NS$55-339+1)/$NU$55,$NN$55/$NT$55)),0)</f>
        <v/>
      </c>
      <c r="MF55" s="402">
        <f>IF(AND(340&gt;=$NR$55,340&lt;=$NS$55),IF($NP$55="Single_Point",IF(340=$NR$55,$NN$55,0),IF($NP$55="Bell_Curve",$NN$55*(340-$NR$55+1)*($NS$55-340+1)/$NU$55,$NN$55/$NT$55)),0)</f>
        <v/>
      </c>
      <c r="MG55" s="402">
        <f>IF(AND(341&gt;=$NR$55,341&lt;=$NS$55),IF($NP$55="Single_Point",IF(341=$NR$55,$NN$55,0),IF($NP$55="Bell_Curve",$NN$55*(341-$NR$55+1)*($NS$55-341+1)/$NU$55,$NN$55/$NT$55)),0)</f>
        <v/>
      </c>
      <c r="MH55" s="402">
        <f>IF(AND(342&gt;=$NR$55,342&lt;=$NS$55),IF($NP$55="Single_Point",IF(342=$NR$55,$NN$55,0),IF($NP$55="Bell_Curve",$NN$55*(342-$NR$55+1)*($NS$55-342+1)/$NU$55,$NN$55/$NT$55)),0)</f>
        <v/>
      </c>
      <c r="MI55" s="402">
        <f>IF(AND(343&gt;=$NR$55,343&lt;=$NS$55),IF($NP$55="Single_Point",IF(343=$NR$55,$NN$55,0),IF($NP$55="Bell_Curve",$NN$55*(343-$NR$55+1)*($NS$55-343+1)/$NU$55,$NN$55/$NT$55)),0)</f>
        <v/>
      </c>
      <c r="MJ55" s="402">
        <f>IF(AND(344&gt;=$NR$55,344&lt;=$NS$55),IF($NP$55="Single_Point",IF(344=$NR$55,$NN$55,0),IF($NP$55="Bell_Curve",$NN$55*(344-$NR$55+1)*($NS$55-344+1)/$NU$55,$NN$55/$NT$55)),0)</f>
        <v/>
      </c>
      <c r="MK55" s="402">
        <f>IF(AND(345&gt;=$NR$55,345&lt;=$NS$55),IF($NP$55="Single_Point",IF(345=$NR$55,$NN$55,0),IF($NP$55="Bell_Curve",$NN$55*(345-$NR$55+1)*($NS$55-345+1)/$NU$55,$NN$55/$NT$55)),0)</f>
        <v/>
      </c>
      <c r="ML55" s="402">
        <f>IF(AND(346&gt;=$NR$55,346&lt;=$NS$55),IF($NP$55="Single_Point",IF(346=$NR$55,$NN$55,0),IF($NP$55="Bell_Curve",$NN$55*(346-$NR$55+1)*($NS$55-346+1)/$NU$55,$NN$55/$NT$55)),0)</f>
        <v/>
      </c>
      <c r="MM55" s="402">
        <f>IF(AND(347&gt;=$NR$55,347&lt;=$NS$55),IF($NP$55="Single_Point",IF(347=$NR$55,$NN$55,0),IF($NP$55="Bell_Curve",$NN$55*(347-$NR$55+1)*($NS$55-347+1)/$NU$55,$NN$55/$NT$55)),0)</f>
        <v/>
      </c>
      <c r="MN55" s="402">
        <f>IF(AND(348&gt;=$NR$55,348&lt;=$NS$55),IF($NP$55="Single_Point",IF(348=$NR$55,$NN$55,0),IF($NP$55="Bell_Curve",$NN$55*(348-$NR$55+1)*($NS$55-348+1)/$NU$55,$NN$55/$NT$55)),0)</f>
        <v/>
      </c>
      <c r="MO55" s="402">
        <f>IF(AND(349&gt;=$NR$55,349&lt;=$NS$55),IF($NP$55="Single_Point",IF(349=$NR$55,$NN$55,0),IF($NP$55="Bell_Curve",$NN$55*(349-$NR$55+1)*($NS$55-349+1)/$NU$55,$NN$55/$NT$55)),0)</f>
        <v/>
      </c>
      <c r="MP55" s="402">
        <f>IF(AND(350&gt;=$NR$55,350&lt;=$NS$55),IF($NP$55="Single_Point",IF(350=$NR$55,$NN$55,0),IF($NP$55="Bell_Curve",$NN$55*(350-$NR$55+1)*($NS$55-350+1)/$NU$55,$NN$55/$NT$55)),0)</f>
        <v/>
      </c>
      <c r="MQ55" s="402">
        <f>IF(AND(351&gt;=$NR$55,351&lt;=$NS$55),IF($NP$55="Single_Point",IF(351=$NR$55,$NN$55,0),IF($NP$55="Bell_Curve",$NN$55*(351-$NR$55+1)*($NS$55-351+1)/$NU$55,$NN$55/$NT$55)),0)</f>
        <v/>
      </c>
      <c r="MR55" s="402">
        <f>IF(AND(352&gt;=$NR$55,352&lt;=$NS$55),IF($NP$55="Single_Point",IF(352=$NR$55,$NN$55,0),IF($NP$55="Bell_Curve",$NN$55*(352-$NR$55+1)*($NS$55-352+1)/$NU$55,$NN$55/$NT$55)),0)</f>
        <v/>
      </c>
      <c r="MS55" s="402">
        <f>IF(AND(353&gt;=$NR$55,353&lt;=$NS$55),IF($NP$55="Single_Point",IF(353=$NR$55,$NN$55,0),IF($NP$55="Bell_Curve",$NN$55*(353-$NR$55+1)*($NS$55-353+1)/$NU$55,$NN$55/$NT$55)),0)</f>
        <v/>
      </c>
      <c r="MT55" s="402">
        <f>IF(AND(354&gt;=$NR$55,354&lt;=$NS$55),IF($NP$55="Single_Point",IF(354=$NR$55,$NN$55,0),IF($NP$55="Bell_Curve",$NN$55*(354-$NR$55+1)*($NS$55-354+1)/$NU$55,$NN$55/$NT$55)),0)</f>
        <v/>
      </c>
      <c r="MU55" s="402">
        <f>IF(AND(355&gt;=$NR$55,355&lt;=$NS$55),IF($NP$55="Single_Point",IF(355=$NR$55,$NN$55,0),IF($NP$55="Bell_Curve",$NN$55*(355-$NR$55+1)*($NS$55-355+1)/$NU$55,$NN$55/$NT$55)),0)</f>
        <v/>
      </c>
      <c r="MV55" s="402">
        <f>IF(AND(356&gt;=$NR$55,356&lt;=$NS$55),IF($NP$55="Single_Point",IF(356=$NR$55,$NN$55,0),IF($NP$55="Bell_Curve",$NN$55*(356-$NR$55+1)*($NS$55-356+1)/$NU$55,$NN$55/$NT$55)),0)</f>
        <v/>
      </c>
      <c r="MW55" s="402">
        <f>IF(AND(357&gt;=$NR$55,357&lt;=$NS$55),IF($NP$55="Single_Point",IF(357=$NR$55,$NN$55,0),IF($NP$55="Bell_Curve",$NN$55*(357-$NR$55+1)*($NS$55-357+1)/$NU$55,$NN$55/$NT$55)),0)</f>
        <v/>
      </c>
      <c r="MX55" s="402">
        <f>IF(AND(358&gt;=$NR$55,358&lt;=$NS$55),IF($NP$55="Single_Point",IF(358=$NR$55,$NN$55,0),IF($NP$55="Bell_Curve",$NN$55*(358-$NR$55+1)*($NS$55-358+1)/$NU$55,$NN$55/$NT$55)),0)</f>
        <v/>
      </c>
      <c r="MY55" s="402">
        <f>IF(AND(359&gt;=$NR$55,359&lt;=$NS$55),IF($NP$55="Single_Point",IF(359=$NR$55,$NN$55,0),IF($NP$55="Bell_Curve",$NN$55*(359-$NR$55+1)*($NS$55-359+1)/$NU$55,$NN$55/$NT$55)),0)</f>
        <v/>
      </c>
      <c r="MZ55" s="402">
        <f>IF(AND(360&gt;=$NR$55,360&lt;=$NS$55),IF($NP$55="Single_Point",IF(360=$NR$55,$NN$55,0),IF($NP$55="Bell_Curve",$NN$55*(360-$NR$55+1)*($NS$55-360+1)/$NU$55,$NN$55/$NT$55)),0)</f>
        <v/>
      </c>
      <c r="NA55" s="402">
        <f>IF(AND(361&gt;=$NR$55,361&lt;=$NS$55),IF($NP$55="Single_Point",IF(361=$NR$55,$NN$55,0),IF($NP$55="Bell_Curve",$NN$55*(361-$NR$55+1)*($NS$55-361+1)/$NU$55,$NN$55/$NT$55)),0)</f>
        <v/>
      </c>
      <c r="NB55" s="402">
        <f>IF(AND(362&gt;=$NR$55,362&lt;=$NS$55),IF($NP$55="Single_Point",IF(362=$NR$55,$NN$55,0),IF($NP$55="Bell_Curve",$NN$55*(362-$NR$55+1)*($NS$55-362+1)/$NU$55,$NN$55/$NT$55)),0)</f>
        <v/>
      </c>
      <c r="NC55" s="402">
        <f>IF(AND(363&gt;=$NR$55,363&lt;=$NS$55),IF($NP$55="Single_Point",IF(363=$NR$55,$NN$55,0),IF($NP$55="Bell_Curve",$NN$55*(363-$NR$55+1)*($NS$55-363+1)/$NU$55,$NN$55/$NT$55)),0)</f>
        <v/>
      </c>
      <c r="ND55" s="402">
        <f>IF(AND(364&gt;=$NR$55,364&lt;=$NS$55),IF($NP$55="Single_Point",IF(364=$NR$55,$NN$55,0),IF($NP$55="Bell_Curve",$NN$55*(364-$NR$55+1)*($NS$55-364+1)/$NU$55,$NN$55/$NT$55)),0)</f>
        <v/>
      </c>
      <c r="NE55" s="402">
        <f>IF(AND(365&gt;=$NR$55,365&lt;=$NS$55),IF($NP$55="Single_Point",IF(365=$NR$55,$NN$55,0),IF($NP$55="Bell_Curve",$NN$55*(365-$NR$55+1)*($NS$55-365+1)/$NU$55,$NN$55/$NT$55)),0)</f>
        <v/>
      </c>
      <c r="NF55" s="402">
        <f>IF(AND(366&gt;=$NR$55,366&lt;=$NS$55),IF($NP$55="Single_Point",IF(366=$NR$55,$NN$55,0),IF($NP$55="Bell_Curve",$NN$55*(366-$NR$55+1)*($NS$55-366+1)/$NU$55,$NN$55/$NT$55)),0)</f>
        <v/>
      </c>
      <c r="NG55" s="402">
        <f>IF(AND(367&gt;=$NR$55,367&lt;=$NS$55),IF($NP$55="Single_Point",IF(367=$NR$55,$NN$55,0),IF($NP$55="Bell_Curve",$NN$55*(367-$NR$55+1)*($NS$55-367+1)/$NU$55,$NN$55/$NT$55)),0)</f>
        <v/>
      </c>
      <c r="NH55" s="402">
        <f>IF(AND(368&gt;=$NR$55,368&lt;=$NS$55),IF($NP$55="Single_Point",IF(368=$NR$55,$NN$55,0),IF($NP$55="Bell_Curve",$NN$55*(368-$NR$55+1)*($NS$55-368+1)/$NU$55,$NN$55/$NT$55)),0)</f>
        <v/>
      </c>
      <c r="NI55" s="402">
        <f>IF(AND(369&gt;=$NR$55,369&lt;=$NS$55),IF($NP$55="Single_Point",IF(369=$NR$55,$NN$55,0),IF($NP$55="Bell_Curve",$NN$55*(369-$NR$55+1)*($NS$55-369+1)/$NU$55,$NN$55/$NT$55)),0)</f>
        <v/>
      </c>
      <c r="NJ55" s="402">
        <f>IF(AND(370&gt;=$NR$55,370&lt;=$NS$55),IF($NP$55="Single_Point",IF(370=$NR$55,$NN$55,0),IF($NP$55="Bell_Curve",$NN$55*(370-$NR$55+1)*($NS$55-370+1)/$NU$55,$NN$55/$NT$55)),0)</f>
        <v/>
      </c>
      <c r="NK55" s="402">
        <f>IF(AND(371&gt;=$NR$55,371&lt;=$NS$55),IF($NP$55="Single_Point",IF(371=$NR$55,$NN$55,0),IF($NP$55="Bell_Curve",$NN$55*(371-$NR$55+1)*($NS$55-371+1)/$NU$55,$NN$55/$NT$55)),0)</f>
        <v/>
      </c>
      <c r="NL55" s="402">
        <f>IF(AND(372&gt;=$NR$55,372&lt;=$NS$55),IF($NP$55="Single_Point",IF(372=$NR$55,$NN$55,0),IF($NP$55="Bell_Curve",$NN$55*(372-$NR$55+1)*($NS$55-372+1)/$NU$55,$NN$55/$NT$55)),0)</f>
        <v/>
      </c>
      <c r="NM55">
        <f>Budget!C54</f>
        <v/>
      </c>
      <c r="NN55">
        <f>Budget!J54</f>
        <v/>
      </c>
      <c r="NO55">
        <f>Budget!G54</f>
        <v/>
      </c>
      <c r="NP55">
        <f>Budget!H54</f>
        <v/>
      </c>
      <c r="NQ55">
        <f>Budget!I54</f>
        <v/>
      </c>
      <c r="NR55">
        <f>MAX(1,MIN(372,INDEX(MilestoneStart,MATCH(NO55,MilestoneNames,0))+NQ55))</f>
        <v/>
      </c>
      <c r="NS55">
        <f>MAX(NR55,MIN(372,INDEX(MilestoneEnd,MATCH(NO55,MilestoneNames,0))+NQ55))</f>
        <v/>
      </c>
      <c r="NT55">
        <f>NS55-NR55+1</f>
        <v/>
      </c>
      <c r="NU55">
        <f>NT55*(NT55+1)*(NT55+2)/6</f>
        <v/>
      </c>
    </row>
    <row r="56">
      <c r="B56" s="316">
        <f>Budget!B55</f>
        <v/>
      </c>
      <c r="D56" s="402">
        <f>SUM(E56:NL56)</f>
        <v/>
      </c>
      <c r="E56" s="402">
        <f>IF(AND(1&gt;=$NR$56,1&lt;=$NS$56),IF($NP$56="Single_Point",IF(1=$NR$56,$NN$56,0),IF($NP$56="Bell_Curve",$NN$56*(1-$NR$56+1)*($NS$56-1+1)/$NU$56,$NN$56/$NT$56)),0)</f>
        <v/>
      </c>
      <c r="F56" s="402">
        <f>IF(AND(2&gt;=$NR$56,2&lt;=$NS$56),IF($NP$56="Single_Point",IF(2=$NR$56,$NN$56,0),IF($NP$56="Bell_Curve",$NN$56*(2-$NR$56+1)*($NS$56-2+1)/$NU$56,$NN$56/$NT$56)),0)</f>
        <v/>
      </c>
      <c r="G56" s="402">
        <f>IF(AND(3&gt;=$NR$56,3&lt;=$NS$56),IF($NP$56="Single_Point",IF(3=$NR$56,$NN$56,0),IF($NP$56="Bell_Curve",$NN$56*(3-$NR$56+1)*($NS$56-3+1)/$NU$56,$NN$56/$NT$56)),0)</f>
        <v/>
      </c>
      <c r="H56" s="402">
        <f>IF(AND(4&gt;=$NR$56,4&lt;=$NS$56),IF($NP$56="Single_Point",IF(4=$NR$56,$NN$56,0),IF($NP$56="Bell_Curve",$NN$56*(4-$NR$56+1)*($NS$56-4+1)/$NU$56,$NN$56/$NT$56)),0)</f>
        <v/>
      </c>
      <c r="I56" s="402">
        <f>IF(AND(5&gt;=$NR$56,5&lt;=$NS$56),IF($NP$56="Single_Point",IF(5=$NR$56,$NN$56,0),IF($NP$56="Bell_Curve",$NN$56*(5-$NR$56+1)*($NS$56-5+1)/$NU$56,$NN$56/$NT$56)),0)</f>
        <v/>
      </c>
      <c r="J56" s="402">
        <f>IF(AND(6&gt;=$NR$56,6&lt;=$NS$56),IF($NP$56="Single_Point",IF(6=$NR$56,$NN$56,0),IF($NP$56="Bell_Curve",$NN$56*(6-$NR$56+1)*($NS$56-6+1)/$NU$56,$NN$56/$NT$56)),0)</f>
        <v/>
      </c>
      <c r="K56" s="402">
        <f>IF(AND(7&gt;=$NR$56,7&lt;=$NS$56),IF($NP$56="Single_Point",IF(7=$NR$56,$NN$56,0),IF($NP$56="Bell_Curve",$NN$56*(7-$NR$56+1)*($NS$56-7+1)/$NU$56,$NN$56/$NT$56)),0)</f>
        <v/>
      </c>
      <c r="L56" s="402">
        <f>IF(AND(8&gt;=$NR$56,8&lt;=$NS$56),IF($NP$56="Single_Point",IF(8=$NR$56,$NN$56,0),IF($NP$56="Bell_Curve",$NN$56*(8-$NR$56+1)*($NS$56-8+1)/$NU$56,$NN$56/$NT$56)),0)</f>
        <v/>
      </c>
      <c r="M56" s="402">
        <f>IF(AND(9&gt;=$NR$56,9&lt;=$NS$56),IF($NP$56="Single_Point",IF(9=$NR$56,$NN$56,0),IF($NP$56="Bell_Curve",$NN$56*(9-$NR$56+1)*($NS$56-9+1)/$NU$56,$NN$56/$NT$56)),0)</f>
        <v/>
      </c>
      <c r="N56" s="402">
        <f>IF(AND(10&gt;=$NR$56,10&lt;=$NS$56),IF($NP$56="Single_Point",IF(10=$NR$56,$NN$56,0),IF($NP$56="Bell_Curve",$NN$56*(10-$NR$56+1)*($NS$56-10+1)/$NU$56,$NN$56/$NT$56)),0)</f>
        <v/>
      </c>
      <c r="O56" s="402">
        <f>IF(AND(11&gt;=$NR$56,11&lt;=$NS$56),IF($NP$56="Single_Point",IF(11=$NR$56,$NN$56,0),IF($NP$56="Bell_Curve",$NN$56*(11-$NR$56+1)*($NS$56-11+1)/$NU$56,$NN$56/$NT$56)),0)</f>
        <v/>
      </c>
      <c r="P56" s="402">
        <f>IF(AND(12&gt;=$NR$56,12&lt;=$NS$56),IF($NP$56="Single_Point",IF(12=$NR$56,$NN$56,0),IF($NP$56="Bell_Curve",$NN$56*(12-$NR$56+1)*($NS$56-12+1)/$NU$56,$NN$56/$NT$56)),0)</f>
        <v/>
      </c>
      <c r="Q56" s="402">
        <f>IF(AND(13&gt;=$NR$56,13&lt;=$NS$56),IF($NP$56="Single_Point",IF(13=$NR$56,$NN$56,0),IF($NP$56="Bell_Curve",$NN$56*(13-$NR$56+1)*($NS$56-13+1)/$NU$56,$NN$56/$NT$56)),0)</f>
        <v/>
      </c>
      <c r="R56" s="402">
        <f>IF(AND(14&gt;=$NR$56,14&lt;=$NS$56),IF($NP$56="Single_Point",IF(14=$NR$56,$NN$56,0),IF($NP$56="Bell_Curve",$NN$56*(14-$NR$56+1)*($NS$56-14+1)/$NU$56,$NN$56/$NT$56)),0)</f>
        <v/>
      </c>
      <c r="S56" s="402">
        <f>IF(AND(15&gt;=$NR$56,15&lt;=$NS$56),IF($NP$56="Single_Point",IF(15=$NR$56,$NN$56,0),IF($NP$56="Bell_Curve",$NN$56*(15-$NR$56+1)*($NS$56-15+1)/$NU$56,$NN$56/$NT$56)),0)</f>
        <v/>
      </c>
      <c r="T56" s="402">
        <f>IF(AND(16&gt;=$NR$56,16&lt;=$NS$56),IF($NP$56="Single_Point",IF(16=$NR$56,$NN$56,0),IF($NP$56="Bell_Curve",$NN$56*(16-$NR$56+1)*($NS$56-16+1)/$NU$56,$NN$56/$NT$56)),0)</f>
        <v/>
      </c>
      <c r="U56" s="402">
        <f>IF(AND(17&gt;=$NR$56,17&lt;=$NS$56),IF($NP$56="Single_Point",IF(17=$NR$56,$NN$56,0),IF($NP$56="Bell_Curve",$NN$56*(17-$NR$56+1)*($NS$56-17+1)/$NU$56,$NN$56/$NT$56)),0)</f>
        <v/>
      </c>
      <c r="V56" s="402">
        <f>IF(AND(18&gt;=$NR$56,18&lt;=$NS$56),IF($NP$56="Single_Point",IF(18=$NR$56,$NN$56,0),IF($NP$56="Bell_Curve",$NN$56*(18-$NR$56+1)*($NS$56-18+1)/$NU$56,$NN$56/$NT$56)),0)</f>
        <v/>
      </c>
      <c r="W56" s="402">
        <f>IF(AND(19&gt;=$NR$56,19&lt;=$NS$56),IF($NP$56="Single_Point",IF(19=$NR$56,$NN$56,0),IF($NP$56="Bell_Curve",$NN$56*(19-$NR$56+1)*($NS$56-19+1)/$NU$56,$NN$56/$NT$56)),0)</f>
        <v/>
      </c>
      <c r="X56" s="402">
        <f>IF(AND(20&gt;=$NR$56,20&lt;=$NS$56),IF($NP$56="Single_Point",IF(20=$NR$56,$NN$56,0),IF($NP$56="Bell_Curve",$NN$56*(20-$NR$56+1)*($NS$56-20+1)/$NU$56,$NN$56/$NT$56)),0)</f>
        <v/>
      </c>
      <c r="Y56" s="402">
        <f>IF(AND(21&gt;=$NR$56,21&lt;=$NS$56),IF($NP$56="Single_Point",IF(21=$NR$56,$NN$56,0),IF($NP$56="Bell_Curve",$NN$56*(21-$NR$56+1)*($NS$56-21+1)/$NU$56,$NN$56/$NT$56)),0)</f>
        <v/>
      </c>
      <c r="Z56" s="402">
        <f>IF(AND(22&gt;=$NR$56,22&lt;=$NS$56),IF($NP$56="Single_Point",IF(22=$NR$56,$NN$56,0),IF($NP$56="Bell_Curve",$NN$56*(22-$NR$56+1)*($NS$56-22+1)/$NU$56,$NN$56/$NT$56)),0)</f>
        <v/>
      </c>
      <c r="AA56" s="402">
        <f>IF(AND(23&gt;=$NR$56,23&lt;=$NS$56),IF($NP$56="Single_Point",IF(23=$NR$56,$NN$56,0),IF($NP$56="Bell_Curve",$NN$56*(23-$NR$56+1)*($NS$56-23+1)/$NU$56,$NN$56/$NT$56)),0)</f>
        <v/>
      </c>
      <c r="AB56" s="402">
        <f>IF(AND(24&gt;=$NR$56,24&lt;=$NS$56),IF($NP$56="Single_Point",IF(24=$NR$56,$NN$56,0),IF($NP$56="Bell_Curve",$NN$56*(24-$NR$56+1)*($NS$56-24+1)/$NU$56,$NN$56/$NT$56)),0)</f>
        <v/>
      </c>
      <c r="AC56" s="402">
        <f>IF(AND(25&gt;=$NR$56,25&lt;=$NS$56),IF($NP$56="Single_Point",IF(25=$NR$56,$NN$56,0),IF($NP$56="Bell_Curve",$NN$56*(25-$NR$56+1)*($NS$56-25+1)/$NU$56,$NN$56/$NT$56)),0)</f>
        <v/>
      </c>
      <c r="AD56" s="402">
        <f>IF(AND(26&gt;=$NR$56,26&lt;=$NS$56),IF($NP$56="Single_Point",IF(26=$NR$56,$NN$56,0),IF($NP$56="Bell_Curve",$NN$56*(26-$NR$56+1)*($NS$56-26+1)/$NU$56,$NN$56/$NT$56)),0)</f>
        <v/>
      </c>
      <c r="AE56" s="402">
        <f>IF(AND(27&gt;=$NR$56,27&lt;=$NS$56),IF($NP$56="Single_Point",IF(27=$NR$56,$NN$56,0),IF($NP$56="Bell_Curve",$NN$56*(27-$NR$56+1)*($NS$56-27+1)/$NU$56,$NN$56/$NT$56)),0)</f>
        <v/>
      </c>
      <c r="AF56" s="402">
        <f>IF(AND(28&gt;=$NR$56,28&lt;=$NS$56),IF($NP$56="Single_Point",IF(28=$NR$56,$NN$56,0),IF($NP$56="Bell_Curve",$NN$56*(28-$NR$56+1)*($NS$56-28+1)/$NU$56,$NN$56/$NT$56)),0)</f>
        <v/>
      </c>
      <c r="AG56" s="402">
        <f>IF(AND(29&gt;=$NR$56,29&lt;=$NS$56),IF($NP$56="Single_Point",IF(29=$NR$56,$NN$56,0),IF($NP$56="Bell_Curve",$NN$56*(29-$NR$56+1)*($NS$56-29+1)/$NU$56,$NN$56/$NT$56)),0)</f>
        <v/>
      </c>
      <c r="AH56" s="402">
        <f>IF(AND(30&gt;=$NR$56,30&lt;=$NS$56),IF($NP$56="Single_Point",IF(30=$NR$56,$NN$56,0),IF($NP$56="Bell_Curve",$NN$56*(30-$NR$56+1)*($NS$56-30+1)/$NU$56,$NN$56/$NT$56)),0)</f>
        <v/>
      </c>
      <c r="AI56" s="402">
        <f>IF(AND(31&gt;=$NR$56,31&lt;=$NS$56),IF($NP$56="Single_Point",IF(31=$NR$56,$NN$56,0),IF($NP$56="Bell_Curve",$NN$56*(31-$NR$56+1)*($NS$56-31+1)/$NU$56,$NN$56/$NT$56)),0)</f>
        <v/>
      </c>
      <c r="AJ56" s="402">
        <f>IF(AND(32&gt;=$NR$56,32&lt;=$NS$56),IF($NP$56="Single_Point",IF(32=$NR$56,$NN$56,0),IF($NP$56="Bell_Curve",$NN$56*(32-$NR$56+1)*($NS$56-32+1)/$NU$56,$NN$56/$NT$56)),0)</f>
        <v/>
      </c>
      <c r="AK56" s="402">
        <f>IF(AND(33&gt;=$NR$56,33&lt;=$NS$56),IF($NP$56="Single_Point",IF(33=$NR$56,$NN$56,0),IF($NP$56="Bell_Curve",$NN$56*(33-$NR$56+1)*($NS$56-33+1)/$NU$56,$NN$56/$NT$56)),0)</f>
        <v/>
      </c>
      <c r="AL56" s="402">
        <f>IF(AND(34&gt;=$NR$56,34&lt;=$NS$56),IF($NP$56="Single_Point",IF(34=$NR$56,$NN$56,0),IF($NP$56="Bell_Curve",$NN$56*(34-$NR$56+1)*($NS$56-34+1)/$NU$56,$NN$56/$NT$56)),0)</f>
        <v/>
      </c>
      <c r="AM56" s="402">
        <f>IF(AND(35&gt;=$NR$56,35&lt;=$NS$56),IF($NP$56="Single_Point",IF(35=$NR$56,$NN$56,0),IF($NP$56="Bell_Curve",$NN$56*(35-$NR$56+1)*($NS$56-35+1)/$NU$56,$NN$56/$NT$56)),0)</f>
        <v/>
      </c>
      <c r="AN56" s="402">
        <f>IF(AND(36&gt;=$NR$56,36&lt;=$NS$56),IF($NP$56="Single_Point",IF(36=$NR$56,$NN$56,0),IF($NP$56="Bell_Curve",$NN$56*(36-$NR$56+1)*($NS$56-36+1)/$NU$56,$NN$56/$NT$56)),0)</f>
        <v/>
      </c>
      <c r="AO56" s="402">
        <f>IF(AND(37&gt;=$NR$56,37&lt;=$NS$56),IF($NP$56="Single_Point",IF(37=$NR$56,$NN$56,0),IF($NP$56="Bell_Curve",$NN$56*(37-$NR$56+1)*($NS$56-37+1)/$NU$56,$NN$56/$NT$56)),0)</f>
        <v/>
      </c>
      <c r="AP56" s="402">
        <f>IF(AND(38&gt;=$NR$56,38&lt;=$NS$56),IF($NP$56="Single_Point",IF(38=$NR$56,$NN$56,0),IF($NP$56="Bell_Curve",$NN$56*(38-$NR$56+1)*($NS$56-38+1)/$NU$56,$NN$56/$NT$56)),0)</f>
        <v/>
      </c>
      <c r="AQ56" s="402">
        <f>IF(AND(39&gt;=$NR$56,39&lt;=$NS$56),IF($NP$56="Single_Point",IF(39=$NR$56,$NN$56,0),IF($NP$56="Bell_Curve",$NN$56*(39-$NR$56+1)*($NS$56-39+1)/$NU$56,$NN$56/$NT$56)),0)</f>
        <v/>
      </c>
      <c r="AR56" s="402">
        <f>IF(AND(40&gt;=$NR$56,40&lt;=$NS$56),IF($NP$56="Single_Point",IF(40=$NR$56,$NN$56,0),IF($NP$56="Bell_Curve",$NN$56*(40-$NR$56+1)*($NS$56-40+1)/$NU$56,$NN$56/$NT$56)),0)</f>
        <v/>
      </c>
      <c r="AS56" s="402">
        <f>IF(AND(41&gt;=$NR$56,41&lt;=$NS$56),IF($NP$56="Single_Point",IF(41=$NR$56,$NN$56,0),IF($NP$56="Bell_Curve",$NN$56*(41-$NR$56+1)*($NS$56-41+1)/$NU$56,$NN$56/$NT$56)),0)</f>
        <v/>
      </c>
      <c r="AT56" s="402">
        <f>IF(AND(42&gt;=$NR$56,42&lt;=$NS$56),IF($NP$56="Single_Point",IF(42=$NR$56,$NN$56,0),IF($NP$56="Bell_Curve",$NN$56*(42-$NR$56+1)*($NS$56-42+1)/$NU$56,$NN$56/$NT$56)),0)</f>
        <v/>
      </c>
      <c r="AU56" s="402">
        <f>IF(AND(43&gt;=$NR$56,43&lt;=$NS$56),IF($NP$56="Single_Point",IF(43=$NR$56,$NN$56,0),IF($NP$56="Bell_Curve",$NN$56*(43-$NR$56+1)*($NS$56-43+1)/$NU$56,$NN$56/$NT$56)),0)</f>
        <v/>
      </c>
      <c r="AV56" s="402">
        <f>IF(AND(44&gt;=$NR$56,44&lt;=$NS$56),IF($NP$56="Single_Point",IF(44=$NR$56,$NN$56,0),IF($NP$56="Bell_Curve",$NN$56*(44-$NR$56+1)*($NS$56-44+1)/$NU$56,$NN$56/$NT$56)),0)</f>
        <v/>
      </c>
      <c r="AW56" s="402">
        <f>IF(AND(45&gt;=$NR$56,45&lt;=$NS$56),IF($NP$56="Single_Point",IF(45=$NR$56,$NN$56,0),IF($NP$56="Bell_Curve",$NN$56*(45-$NR$56+1)*($NS$56-45+1)/$NU$56,$NN$56/$NT$56)),0)</f>
        <v/>
      </c>
      <c r="AX56" s="402">
        <f>IF(AND(46&gt;=$NR$56,46&lt;=$NS$56),IF($NP$56="Single_Point",IF(46=$NR$56,$NN$56,0),IF($NP$56="Bell_Curve",$NN$56*(46-$NR$56+1)*($NS$56-46+1)/$NU$56,$NN$56/$NT$56)),0)</f>
        <v/>
      </c>
      <c r="AY56" s="402">
        <f>IF(AND(47&gt;=$NR$56,47&lt;=$NS$56),IF($NP$56="Single_Point",IF(47=$NR$56,$NN$56,0),IF($NP$56="Bell_Curve",$NN$56*(47-$NR$56+1)*($NS$56-47+1)/$NU$56,$NN$56/$NT$56)),0)</f>
        <v/>
      </c>
      <c r="AZ56" s="402">
        <f>IF(AND(48&gt;=$NR$56,48&lt;=$NS$56),IF($NP$56="Single_Point",IF(48=$NR$56,$NN$56,0),IF($NP$56="Bell_Curve",$NN$56*(48-$NR$56+1)*($NS$56-48+1)/$NU$56,$NN$56/$NT$56)),0)</f>
        <v/>
      </c>
      <c r="BA56" s="402">
        <f>IF(AND(49&gt;=$NR$56,49&lt;=$NS$56),IF($NP$56="Single_Point",IF(49=$NR$56,$NN$56,0),IF($NP$56="Bell_Curve",$NN$56*(49-$NR$56+1)*($NS$56-49+1)/$NU$56,$NN$56/$NT$56)),0)</f>
        <v/>
      </c>
      <c r="BB56" s="402">
        <f>IF(AND(50&gt;=$NR$56,50&lt;=$NS$56),IF($NP$56="Single_Point",IF(50=$NR$56,$NN$56,0),IF($NP$56="Bell_Curve",$NN$56*(50-$NR$56+1)*($NS$56-50+1)/$NU$56,$NN$56/$NT$56)),0)</f>
        <v/>
      </c>
      <c r="BC56" s="402">
        <f>IF(AND(51&gt;=$NR$56,51&lt;=$NS$56),IF($NP$56="Single_Point",IF(51=$NR$56,$NN$56,0),IF($NP$56="Bell_Curve",$NN$56*(51-$NR$56+1)*($NS$56-51+1)/$NU$56,$NN$56/$NT$56)),0)</f>
        <v/>
      </c>
      <c r="BD56" s="402">
        <f>IF(AND(52&gt;=$NR$56,52&lt;=$NS$56),IF($NP$56="Single_Point",IF(52=$NR$56,$NN$56,0),IF($NP$56="Bell_Curve",$NN$56*(52-$NR$56+1)*($NS$56-52+1)/$NU$56,$NN$56/$NT$56)),0)</f>
        <v/>
      </c>
      <c r="BE56" s="402">
        <f>IF(AND(53&gt;=$NR$56,53&lt;=$NS$56),IF($NP$56="Single_Point",IF(53=$NR$56,$NN$56,0),IF($NP$56="Bell_Curve",$NN$56*(53-$NR$56+1)*($NS$56-53+1)/$NU$56,$NN$56/$NT$56)),0)</f>
        <v/>
      </c>
      <c r="BF56" s="402">
        <f>IF(AND(54&gt;=$NR$56,54&lt;=$NS$56),IF($NP$56="Single_Point",IF(54=$NR$56,$NN$56,0),IF($NP$56="Bell_Curve",$NN$56*(54-$NR$56+1)*($NS$56-54+1)/$NU$56,$NN$56/$NT$56)),0)</f>
        <v/>
      </c>
      <c r="BG56" s="402">
        <f>IF(AND(55&gt;=$NR$56,55&lt;=$NS$56),IF($NP$56="Single_Point",IF(55=$NR$56,$NN$56,0),IF($NP$56="Bell_Curve",$NN$56*(55-$NR$56+1)*($NS$56-55+1)/$NU$56,$NN$56/$NT$56)),0)</f>
        <v/>
      </c>
      <c r="BH56" s="402">
        <f>IF(AND(56&gt;=$NR$56,56&lt;=$NS$56),IF($NP$56="Single_Point",IF(56=$NR$56,$NN$56,0),IF($NP$56="Bell_Curve",$NN$56*(56-$NR$56+1)*($NS$56-56+1)/$NU$56,$NN$56/$NT$56)),0)</f>
        <v/>
      </c>
      <c r="BI56" s="402">
        <f>IF(AND(57&gt;=$NR$56,57&lt;=$NS$56),IF($NP$56="Single_Point",IF(57=$NR$56,$NN$56,0),IF($NP$56="Bell_Curve",$NN$56*(57-$NR$56+1)*($NS$56-57+1)/$NU$56,$NN$56/$NT$56)),0)</f>
        <v/>
      </c>
      <c r="BJ56" s="402">
        <f>IF(AND(58&gt;=$NR$56,58&lt;=$NS$56),IF($NP$56="Single_Point",IF(58=$NR$56,$NN$56,0),IF($NP$56="Bell_Curve",$NN$56*(58-$NR$56+1)*($NS$56-58+1)/$NU$56,$NN$56/$NT$56)),0)</f>
        <v/>
      </c>
      <c r="BK56" s="402">
        <f>IF(AND(59&gt;=$NR$56,59&lt;=$NS$56),IF($NP$56="Single_Point",IF(59=$NR$56,$NN$56,0),IF($NP$56="Bell_Curve",$NN$56*(59-$NR$56+1)*($NS$56-59+1)/$NU$56,$NN$56/$NT$56)),0)</f>
        <v/>
      </c>
      <c r="BL56" s="402">
        <f>IF(AND(60&gt;=$NR$56,60&lt;=$NS$56),IF($NP$56="Single_Point",IF(60=$NR$56,$NN$56,0),IF($NP$56="Bell_Curve",$NN$56*(60-$NR$56+1)*($NS$56-60+1)/$NU$56,$NN$56/$NT$56)),0)</f>
        <v/>
      </c>
      <c r="BM56" s="402">
        <f>IF(AND(61&gt;=$NR$56,61&lt;=$NS$56),IF($NP$56="Single_Point",IF(61=$NR$56,$NN$56,0),IF($NP$56="Bell_Curve",$NN$56*(61-$NR$56+1)*($NS$56-61+1)/$NU$56,$NN$56/$NT$56)),0)</f>
        <v/>
      </c>
      <c r="BN56" s="402">
        <f>IF(AND(62&gt;=$NR$56,62&lt;=$NS$56),IF($NP$56="Single_Point",IF(62=$NR$56,$NN$56,0),IF($NP$56="Bell_Curve",$NN$56*(62-$NR$56+1)*($NS$56-62+1)/$NU$56,$NN$56/$NT$56)),0)</f>
        <v/>
      </c>
      <c r="BO56" s="402">
        <f>IF(AND(63&gt;=$NR$56,63&lt;=$NS$56),IF($NP$56="Single_Point",IF(63=$NR$56,$NN$56,0),IF($NP$56="Bell_Curve",$NN$56*(63-$NR$56+1)*($NS$56-63+1)/$NU$56,$NN$56/$NT$56)),0)</f>
        <v/>
      </c>
      <c r="BP56" s="402">
        <f>IF(AND(64&gt;=$NR$56,64&lt;=$NS$56),IF($NP$56="Single_Point",IF(64=$NR$56,$NN$56,0),IF($NP$56="Bell_Curve",$NN$56*(64-$NR$56+1)*($NS$56-64+1)/$NU$56,$NN$56/$NT$56)),0)</f>
        <v/>
      </c>
      <c r="BQ56" s="402">
        <f>IF(AND(65&gt;=$NR$56,65&lt;=$NS$56),IF($NP$56="Single_Point",IF(65=$NR$56,$NN$56,0),IF($NP$56="Bell_Curve",$NN$56*(65-$NR$56+1)*($NS$56-65+1)/$NU$56,$NN$56/$NT$56)),0)</f>
        <v/>
      </c>
      <c r="BR56" s="402">
        <f>IF(AND(66&gt;=$NR$56,66&lt;=$NS$56),IF($NP$56="Single_Point",IF(66=$NR$56,$NN$56,0),IF($NP$56="Bell_Curve",$NN$56*(66-$NR$56+1)*($NS$56-66+1)/$NU$56,$NN$56/$NT$56)),0)</f>
        <v/>
      </c>
      <c r="BS56" s="402">
        <f>IF(AND(67&gt;=$NR$56,67&lt;=$NS$56),IF($NP$56="Single_Point",IF(67=$NR$56,$NN$56,0),IF($NP$56="Bell_Curve",$NN$56*(67-$NR$56+1)*($NS$56-67+1)/$NU$56,$NN$56/$NT$56)),0)</f>
        <v/>
      </c>
      <c r="BT56" s="402">
        <f>IF(AND(68&gt;=$NR$56,68&lt;=$NS$56),IF($NP$56="Single_Point",IF(68=$NR$56,$NN$56,0),IF($NP$56="Bell_Curve",$NN$56*(68-$NR$56+1)*($NS$56-68+1)/$NU$56,$NN$56/$NT$56)),0)</f>
        <v/>
      </c>
      <c r="BU56" s="402">
        <f>IF(AND(69&gt;=$NR$56,69&lt;=$NS$56),IF($NP$56="Single_Point",IF(69=$NR$56,$NN$56,0),IF($NP$56="Bell_Curve",$NN$56*(69-$NR$56+1)*($NS$56-69+1)/$NU$56,$NN$56/$NT$56)),0)</f>
        <v/>
      </c>
      <c r="BV56" s="402">
        <f>IF(AND(70&gt;=$NR$56,70&lt;=$NS$56),IF($NP$56="Single_Point",IF(70=$NR$56,$NN$56,0),IF($NP$56="Bell_Curve",$NN$56*(70-$NR$56+1)*($NS$56-70+1)/$NU$56,$NN$56/$NT$56)),0)</f>
        <v/>
      </c>
      <c r="BW56" s="402">
        <f>IF(AND(71&gt;=$NR$56,71&lt;=$NS$56),IF($NP$56="Single_Point",IF(71=$NR$56,$NN$56,0),IF($NP$56="Bell_Curve",$NN$56*(71-$NR$56+1)*($NS$56-71+1)/$NU$56,$NN$56/$NT$56)),0)</f>
        <v/>
      </c>
      <c r="BX56" s="402">
        <f>IF(AND(72&gt;=$NR$56,72&lt;=$NS$56),IF($NP$56="Single_Point",IF(72=$NR$56,$NN$56,0),IF($NP$56="Bell_Curve",$NN$56*(72-$NR$56+1)*($NS$56-72+1)/$NU$56,$NN$56/$NT$56)),0)</f>
        <v/>
      </c>
      <c r="BY56" s="402">
        <f>IF(AND(73&gt;=$NR$56,73&lt;=$NS$56),IF($NP$56="Single_Point",IF(73=$NR$56,$NN$56,0),IF($NP$56="Bell_Curve",$NN$56*(73-$NR$56+1)*($NS$56-73+1)/$NU$56,$NN$56/$NT$56)),0)</f>
        <v/>
      </c>
      <c r="BZ56" s="402">
        <f>IF(AND(74&gt;=$NR$56,74&lt;=$NS$56),IF($NP$56="Single_Point",IF(74=$NR$56,$NN$56,0),IF($NP$56="Bell_Curve",$NN$56*(74-$NR$56+1)*($NS$56-74+1)/$NU$56,$NN$56/$NT$56)),0)</f>
        <v/>
      </c>
      <c r="CA56" s="402">
        <f>IF(AND(75&gt;=$NR$56,75&lt;=$NS$56),IF($NP$56="Single_Point",IF(75=$NR$56,$NN$56,0),IF($NP$56="Bell_Curve",$NN$56*(75-$NR$56+1)*($NS$56-75+1)/$NU$56,$NN$56/$NT$56)),0)</f>
        <v/>
      </c>
      <c r="CB56" s="402">
        <f>IF(AND(76&gt;=$NR$56,76&lt;=$NS$56),IF($NP$56="Single_Point",IF(76=$NR$56,$NN$56,0),IF($NP$56="Bell_Curve",$NN$56*(76-$NR$56+1)*($NS$56-76+1)/$NU$56,$NN$56/$NT$56)),0)</f>
        <v/>
      </c>
      <c r="CC56" s="402">
        <f>IF(AND(77&gt;=$NR$56,77&lt;=$NS$56),IF($NP$56="Single_Point",IF(77=$NR$56,$NN$56,0),IF($NP$56="Bell_Curve",$NN$56*(77-$NR$56+1)*($NS$56-77+1)/$NU$56,$NN$56/$NT$56)),0)</f>
        <v/>
      </c>
      <c r="CD56" s="402">
        <f>IF(AND(78&gt;=$NR$56,78&lt;=$NS$56),IF($NP$56="Single_Point",IF(78=$NR$56,$NN$56,0),IF($NP$56="Bell_Curve",$NN$56*(78-$NR$56+1)*($NS$56-78+1)/$NU$56,$NN$56/$NT$56)),0)</f>
        <v/>
      </c>
      <c r="CE56" s="402">
        <f>IF(AND(79&gt;=$NR$56,79&lt;=$NS$56),IF($NP$56="Single_Point",IF(79=$NR$56,$NN$56,0),IF($NP$56="Bell_Curve",$NN$56*(79-$NR$56+1)*($NS$56-79+1)/$NU$56,$NN$56/$NT$56)),0)</f>
        <v/>
      </c>
      <c r="CF56" s="402">
        <f>IF(AND(80&gt;=$NR$56,80&lt;=$NS$56),IF($NP$56="Single_Point",IF(80=$NR$56,$NN$56,0),IF($NP$56="Bell_Curve",$NN$56*(80-$NR$56+1)*($NS$56-80+1)/$NU$56,$NN$56/$NT$56)),0)</f>
        <v/>
      </c>
      <c r="CG56" s="402">
        <f>IF(AND(81&gt;=$NR$56,81&lt;=$NS$56),IF($NP$56="Single_Point",IF(81=$NR$56,$NN$56,0),IF($NP$56="Bell_Curve",$NN$56*(81-$NR$56+1)*($NS$56-81+1)/$NU$56,$NN$56/$NT$56)),0)</f>
        <v/>
      </c>
      <c r="CH56" s="402">
        <f>IF(AND(82&gt;=$NR$56,82&lt;=$NS$56),IF($NP$56="Single_Point",IF(82=$NR$56,$NN$56,0),IF($NP$56="Bell_Curve",$NN$56*(82-$NR$56+1)*($NS$56-82+1)/$NU$56,$NN$56/$NT$56)),0)</f>
        <v/>
      </c>
      <c r="CI56" s="402">
        <f>IF(AND(83&gt;=$NR$56,83&lt;=$NS$56),IF($NP$56="Single_Point",IF(83=$NR$56,$NN$56,0),IF($NP$56="Bell_Curve",$NN$56*(83-$NR$56+1)*($NS$56-83+1)/$NU$56,$NN$56/$NT$56)),0)</f>
        <v/>
      </c>
      <c r="CJ56" s="402">
        <f>IF(AND(84&gt;=$NR$56,84&lt;=$NS$56),IF($NP$56="Single_Point",IF(84=$NR$56,$NN$56,0),IF($NP$56="Bell_Curve",$NN$56*(84-$NR$56+1)*($NS$56-84+1)/$NU$56,$NN$56/$NT$56)),0)</f>
        <v/>
      </c>
      <c r="CK56" s="402">
        <f>IF(AND(85&gt;=$NR$56,85&lt;=$NS$56),IF($NP$56="Single_Point",IF(85=$NR$56,$NN$56,0),IF($NP$56="Bell_Curve",$NN$56*(85-$NR$56+1)*($NS$56-85+1)/$NU$56,$NN$56/$NT$56)),0)</f>
        <v/>
      </c>
      <c r="CL56" s="402">
        <f>IF(AND(86&gt;=$NR$56,86&lt;=$NS$56),IF($NP$56="Single_Point",IF(86=$NR$56,$NN$56,0),IF($NP$56="Bell_Curve",$NN$56*(86-$NR$56+1)*($NS$56-86+1)/$NU$56,$NN$56/$NT$56)),0)</f>
        <v/>
      </c>
      <c r="CM56" s="402">
        <f>IF(AND(87&gt;=$NR$56,87&lt;=$NS$56),IF($NP$56="Single_Point",IF(87=$NR$56,$NN$56,0),IF($NP$56="Bell_Curve",$NN$56*(87-$NR$56+1)*($NS$56-87+1)/$NU$56,$NN$56/$NT$56)),0)</f>
        <v/>
      </c>
      <c r="CN56" s="402">
        <f>IF(AND(88&gt;=$NR$56,88&lt;=$NS$56),IF($NP$56="Single_Point",IF(88=$NR$56,$NN$56,0),IF($NP$56="Bell_Curve",$NN$56*(88-$NR$56+1)*($NS$56-88+1)/$NU$56,$NN$56/$NT$56)),0)</f>
        <v/>
      </c>
      <c r="CO56" s="402">
        <f>IF(AND(89&gt;=$NR$56,89&lt;=$NS$56),IF($NP$56="Single_Point",IF(89=$NR$56,$NN$56,0),IF($NP$56="Bell_Curve",$NN$56*(89-$NR$56+1)*($NS$56-89+1)/$NU$56,$NN$56/$NT$56)),0)</f>
        <v/>
      </c>
      <c r="CP56" s="402">
        <f>IF(AND(90&gt;=$NR$56,90&lt;=$NS$56),IF($NP$56="Single_Point",IF(90=$NR$56,$NN$56,0),IF($NP$56="Bell_Curve",$NN$56*(90-$NR$56+1)*($NS$56-90+1)/$NU$56,$NN$56/$NT$56)),0)</f>
        <v/>
      </c>
      <c r="CQ56" s="402">
        <f>IF(AND(91&gt;=$NR$56,91&lt;=$NS$56),IF($NP$56="Single_Point",IF(91=$NR$56,$NN$56,0),IF($NP$56="Bell_Curve",$NN$56*(91-$NR$56+1)*($NS$56-91+1)/$NU$56,$NN$56/$NT$56)),0)</f>
        <v/>
      </c>
      <c r="CR56" s="402">
        <f>IF(AND(92&gt;=$NR$56,92&lt;=$NS$56),IF($NP$56="Single_Point",IF(92=$NR$56,$NN$56,0),IF($NP$56="Bell_Curve",$NN$56*(92-$NR$56+1)*($NS$56-92+1)/$NU$56,$NN$56/$NT$56)),0)</f>
        <v/>
      </c>
      <c r="CS56" s="402">
        <f>IF(AND(93&gt;=$NR$56,93&lt;=$NS$56),IF($NP$56="Single_Point",IF(93=$NR$56,$NN$56,0),IF($NP$56="Bell_Curve",$NN$56*(93-$NR$56+1)*($NS$56-93+1)/$NU$56,$NN$56/$NT$56)),0)</f>
        <v/>
      </c>
      <c r="CT56" s="402">
        <f>IF(AND(94&gt;=$NR$56,94&lt;=$NS$56),IF($NP$56="Single_Point",IF(94=$NR$56,$NN$56,0),IF($NP$56="Bell_Curve",$NN$56*(94-$NR$56+1)*($NS$56-94+1)/$NU$56,$NN$56/$NT$56)),0)</f>
        <v/>
      </c>
      <c r="CU56" s="402">
        <f>IF(AND(95&gt;=$NR$56,95&lt;=$NS$56),IF($NP$56="Single_Point",IF(95=$NR$56,$NN$56,0),IF($NP$56="Bell_Curve",$NN$56*(95-$NR$56+1)*($NS$56-95+1)/$NU$56,$NN$56/$NT$56)),0)</f>
        <v/>
      </c>
      <c r="CV56" s="402">
        <f>IF(AND(96&gt;=$NR$56,96&lt;=$NS$56),IF($NP$56="Single_Point",IF(96=$NR$56,$NN$56,0),IF($NP$56="Bell_Curve",$NN$56*(96-$NR$56+1)*($NS$56-96+1)/$NU$56,$NN$56/$NT$56)),0)</f>
        <v/>
      </c>
      <c r="CW56" s="402">
        <f>IF(AND(97&gt;=$NR$56,97&lt;=$NS$56),IF($NP$56="Single_Point",IF(97=$NR$56,$NN$56,0),IF($NP$56="Bell_Curve",$NN$56*(97-$NR$56+1)*($NS$56-97+1)/$NU$56,$NN$56/$NT$56)),0)</f>
        <v/>
      </c>
      <c r="CX56" s="402">
        <f>IF(AND(98&gt;=$NR$56,98&lt;=$NS$56),IF($NP$56="Single_Point",IF(98=$NR$56,$NN$56,0),IF($NP$56="Bell_Curve",$NN$56*(98-$NR$56+1)*($NS$56-98+1)/$NU$56,$NN$56/$NT$56)),0)</f>
        <v/>
      </c>
      <c r="CY56" s="402">
        <f>IF(AND(99&gt;=$NR$56,99&lt;=$NS$56),IF($NP$56="Single_Point",IF(99=$NR$56,$NN$56,0),IF($NP$56="Bell_Curve",$NN$56*(99-$NR$56+1)*($NS$56-99+1)/$NU$56,$NN$56/$NT$56)),0)</f>
        <v/>
      </c>
      <c r="CZ56" s="402">
        <f>IF(AND(100&gt;=$NR$56,100&lt;=$NS$56),IF($NP$56="Single_Point",IF(100=$NR$56,$NN$56,0),IF($NP$56="Bell_Curve",$NN$56*(100-$NR$56+1)*($NS$56-100+1)/$NU$56,$NN$56/$NT$56)),0)</f>
        <v/>
      </c>
      <c r="DA56" s="402">
        <f>IF(AND(101&gt;=$NR$56,101&lt;=$NS$56),IF($NP$56="Single_Point",IF(101=$NR$56,$NN$56,0),IF($NP$56="Bell_Curve",$NN$56*(101-$NR$56+1)*($NS$56-101+1)/$NU$56,$NN$56/$NT$56)),0)</f>
        <v/>
      </c>
      <c r="DB56" s="402">
        <f>IF(AND(102&gt;=$NR$56,102&lt;=$NS$56),IF($NP$56="Single_Point",IF(102=$NR$56,$NN$56,0),IF($NP$56="Bell_Curve",$NN$56*(102-$NR$56+1)*($NS$56-102+1)/$NU$56,$NN$56/$NT$56)),0)</f>
        <v/>
      </c>
      <c r="DC56" s="402">
        <f>IF(AND(103&gt;=$NR$56,103&lt;=$NS$56),IF($NP$56="Single_Point",IF(103=$NR$56,$NN$56,0),IF($NP$56="Bell_Curve",$NN$56*(103-$NR$56+1)*($NS$56-103+1)/$NU$56,$NN$56/$NT$56)),0)</f>
        <v/>
      </c>
      <c r="DD56" s="402">
        <f>IF(AND(104&gt;=$NR$56,104&lt;=$NS$56),IF($NP$56="Single_Point",IF(104=$NR$56,$NN$56,0),IF($NP$56="Bell_Curve",$NN$56*(104-$NR$56+1)*($NS$56-104+1)/$NU$56,$NN$56/$NT$56)),0)</f>
        <v/>
      </c>
      <c r="DE56" s="402">
        <f>IF(AND(105&gt;=$NR$56,105&lt;=$NS$56),IF($NP$56="Single_Point",IF(105=$NR$56,$NN$56,0),IF($NP$56="Bell_Curve",$NN$56*(105-$NR$56+1)*($NS$56-105+1)/$NU$56,$NN$56/$NT$56)),0)</f>
        <v/>
      </c>
      <c r="DF56" s="402">
        <f>IF(AND(106&gt;=$NR$56,106&lt;=$NS$56),IF($NP$56="Single_Point",IF(106=$NR$56,$NN$56,0),IF($NP$56="Bell_Curve",$NN$56*(106-$NR$56+1)*($NS$56-106+1)/$NU$56,$NN$56/$NT$56)),0)</f>
        <v/>
      </c>
      <c r="DG56" s="402">
        <f>IF(AND(107&gt;=$NR$56,107&lt;=$NS$56),IF($NP$56="Single_Point",IF(107=$NR$56,$NN$56,0),IF($NP$56="Bell_Curve",$NN$56*(107-$NR$56+1)*($NS$56-107+1)/$NU$56,$NN$56/$NT$56)),0)</f>
        <v/>
      </c>
      <c r="DH56" s="402">
        <f>IF(AND(108&gt;=$NR$56,108&lt;=$NS$56),IF($NP$56="Single_Point",IF(108=$NR$56,$NN$56,0),IF($NP$56="Bell_Curve",$NN$56*(108-$NR$56+1)*($NS$56-108+1)/$NU$56,$NN$56/$NT$56)),0)</f>
        <v/>
      </c>
      <c r="DI56" s="402">
        <f>IF(AND(109&gt;=$NR$56,109&lt;=$NS$56),IF($NP$56="Single_Point",IF(109=$NR$56,$NN$56,0),IF($NP$56="Bell_Curve",$NN$56*(109-$NR$56+1)*($NS$56-109+1)/$NU$56,$NN$56/$NT$56)),0)</f>
        <v/>
      </c>
      <c r="DJ56" s="402">
        <f>IF(AND(110&gt;=$NR$56,110&lt;=$NS$56),IF($NP$56="Single_Point",IF(110=$NR$56,$NN$56,0),IF($NP$56="Bell_Curve",$NN$56*(110-$NR$56+1)*($NS$56-110+1)/$NU$56,$NN$56/$NT$56)),0)</f>
        <v/>
      </c>
      <c r="DK56" s="402">
        <f>IF(AND(111&gt;=$NR$56,111&lt;=$NS$56),IF($NP$56="Single_Point",IF(111=$NR$56,$NN$56,0),IF($NP$56="Bell_Curve",$NN$56*(111-$NR$56+1)*($NS$56-111+1)/$NU$56,$NN$56/$NT$56)),0)</f>
        <v/>
      </c>
      <c r="DL56" s="402">
        <f>IF(AND(112&gt;=$NR$56,112&lt;=$NS$56),IF($NP$56="Single_Point",IF(112=$NR$56,$NN$56,0),IF($NP$56="Bell_Curve",$NN$56*(112-$NR$56+1)*($NS$56-112+1)/$NU$56,$NN$56/$NT$56)),0)</f>
        <v/>
      </c>
      <c r="DM56" s="402">
        <f>IF(AND(113&gt;=$NR$56,113&lt;=$NS$56),IF($NP$56="Single_Point",IF(113=$NR$56,$NN$56,0),IF($NP$56="Bell_Curve",$NN$56*(113-$NR$56+1)*($NS$56-113+1)/$NU$56,$NN$56/$NT$56)),0)</f>
        <v/>
      </c>
      <c r="DN56" s="402">
        <f>IF(AND(114&gt;=$NR$56,114&lt;=$NS$56),IF($NP$56="Single_Point",IF(114=$NR$56,$NN$56,0),IF($NP$56="Bell_Curve",$NN$56*(114-$NR$56+1)*($NS$56-114+1)/$NU$56,$NN$56/$NT$56)),0)</f>
        <v/>
      </c>
      <c r="DO56" s="402">
        <f>IF(AND(115&gt;=$NR$56,115&lt;=$NS$56),IF($NP$56="Single_Point",IF(115=$NR$56,$NN$56,0),IF($NP$56="Bell_Curve",$NN$56*(115-$NR$56+1)*($NS$56-115+1)/$NU$56,$NN$56/$NT$56)),0)</f>
        <v/>
      </c>
      <c r="DP56" s="402">
        <f>IF(AND(116&gt;=$NR$56,116&lt;=$NS$56),IF($NP$56="Single_Point",IF(116=$NR$56,$NN$56,0),IF($NP$56="Bell_Curve",$NN$56*(116-$NR$56+1)*($NS$56-116+1)/$NU$56,$NN$56/$NT$56)),0)</f>
        <v/>
      </c>
      <c r="DQ56" s="402">
        <f>IF(AND(117&gt;=$NR$56,117&lt;=$NS$56),IF($NP$56="Single_Point",IF(117=$NR$56,$NN$56,0),IF($NP$56="Bell_Curve",$NN$56*(117-$NR$56+1)*($NS$56-117+1)/$NU$56,$NN$56/$NT$56)),0)</f>
        <v/>
      </c>
      <c r="DR56" s="402">
        <f>IF(AND(118&gt;=$NR$56,118&lt;=$NS$56),IF($NP$56="Single_Point",IF(118=$NR$56,$NN$56,0),IF($NP$56="Bell_Curve",$NN$56*(118-$NR$56+1)*($NS$56-118+1)/$NU$56,$NN$56/$NT$56)),0)</f>
        <v/>
      </c>
      <c r="DS56" s="402">
        <f>IF(AND(119&gt;=$NR$56,119&lt;=$NS$56),IF($NP$56="Single_Point",IF(119=$NR$56,$NN$56,0),IF($NP$56="Bell_Curve",$NN$56*(119-$NR$56+1)*($NS$56-119+1)/$NU$56,$NN$56/$NT$56)),0)</f>
        <v/>
      </c>
      <c r="DT56" s="402">
        <f>IF(AND(120&gt;=$NR$56,120&lt;=$NS$56),IF($NP$56="Single_Point",IF(120=$NR$56,$NN$56,0),IF($NP$56="Bell_Curve",$NN$56*(120-$NR$56+1)*($NS$56-120+1)/$NU$56,$NN$56/$NT$56)),0)</f>
        <v/>
      </c>
      <c r="DU56" s="402">
        <f>IF(AND(121&gt;=$NR$56,121&lt;=$NS$56),IF($NP$56="Single_Point",IF(121=$NR$56,$NN$56,0),IF($NP$56="Bell_Curve",$NN$56*(121-$NR$56+1)*($NS$56-121+1)/$NU$56,$NN$56/$NT$56)),0)</f>
        <v/>
      </c>
      <c r="DV56" s="402">
        <f>IF(AND(122&gt;=$NR$56,122&lt;=$NS$56),IF($NP$56="Single_Point",IF(122=$NR$56,$NN$56,0),IF($NP$56="Bell_Curve",$NN$56*(122-$NR$56+1)*($NS$56-122+1)/$NU$56,$NN$56/$NT$56)),0)</f>
        <v/>
      </c>
      <c r="DW56" s="402">
        <f>IF(AND(123&gt;=$NR$56,123&lt;=$NS$56),IF($NP$56="Single_Point",IF(123=$NR$56,$NN$56,0),IF($NP$56="Bell_Curve",$NN$56*(123-$NR$56+1)*($NS$56-123+1)/$NU$56,$NN$56/$NT$56)),0)</f>
        <v/>
      </c>
      <c r="DX56" s="402">
        <f>IF(AND(124&gt;=$NR$56,124&lt;=$NS$56),IF($NP$56="Single_Point",IF(124=$NR$56,$NN$56,0),IF($NP$56="Bell_Curve",$NN$56*(124-$NR$56+1)*($NS$56-124+1)/$NU$56,$NN$56/$NT$56)),0)</f>
        <v/>
      </c>
      <c r="DY56" s="402">
        <f>IF(AND(125&gt;=$NR$56,125&lt;=$NS$56),IF($NP$56="Single_Point",IF(125=$NR$56,$NN$56,0),IF($NP$56="Bell_Curve",$NN$56*(125-$NR$56+1)*($NS$56-125+1)/$NU$56,$NN$56/$NT$56)),0)</f>
        <v/>
      </c>
      <c r="DZ56" s="402">
        <f>IF(AND(126&gt;=$NR$56,126&lt;=$NS$56),IF($NP$56="Single_Point",IF(126=$NR$56,$NN$56,0),IF($NP$56="Bell_Curve",$NN$56*(126-$NR$56+1)*($NS$56-126+1)/$NU$56,$NN$56/$NT$56)),0)</f>
        <v/>
      </c>
      <c r="EA56" s="402">
        <f>IF(AND(127&gt;=$NR$56,127&lt;=$NS$56),IF($NP$56="Single_Point",IF(127=$NR$56,$NN$56,0),IF($NP$56="Bell_Curve",$NN$56*(127-$NR$56+1)*($NS$56-127+1)/$NU$56,$NN$56/$NT$56)),0)</f>
        <v/>
      </c>
      <c r="EB56" s="402">
        <f>IF(AND(128&gt;=$NR$56,128&lt;=$NS$56),IF($NP$56="Single_Point",IF(128=$NR$56,$NN$56,0),IF($NP$56="Bell_Curve",$NN$56*(128-$NR$56+1)*($NS$56-128+1)/$NU$56,$NN$56/$NT$56)),0)</f>
        <v/>
      </c>
      <c r="EC56" s="402">
        <f>IF(AND(129&gt;=$NR$56,129&lt;=$NS$56),IF($NP$56="Single_Point",IF(129=$NR$56,$NN$56,0),IF($NP$56="Bell_Curve",$NN$56*(129-$NR$56+1)*($NS$56-129+1)/$NU$56,$NN$56/$NT$56)),0)</f>
        <v/>
      </c>
      <c r="ED56" s="402">
        <f>IF(AND(130&gt;=$NR$56,130&lt;=$NS$56),IF($NP$56="Single_Point",IF(130=$NR$56,$NN$56,0),IF($NP$56="Bell_Curve",$NN$56*(130-$NR$56+1)*($NS$56-130+1)/$NU$56,$NN$56/$NT$56)),0)</f>
        <v/>
      </c>
      <c r="EE56" s="402">
        <f>IF(AND(131&gt;=$NR$56,131&lt;=$NS$56),IF($NP$56="Single_Point",IF(131=$NR$56,$NN$56,0),IF($NP$56="Bell_Curve",$NN$56*(131-$NR$56+1)*($NS$56-131+1)/$NU$56,$NN$56/$NT$56)),0)</f>
        <v/>
      </c>
      <c r="EF56" s="402">
        <f>IF(AND(132&gt;=$NR$56,132&lt;=$NS$56),IF($NP$56="Single_Point",IF(132=$NR$56,$NN$56,0),IF($NP$56="Bell_Curve",$NN$56*(132-$NR$56+1)*($NS$56-132+1)/$NU$56,$NN$56/$NT$56)),0)</f>
        <v/>
      </c>
      <c r="EG56" s="402">
        <f>IF(AND(133&gt;=$NR$56,133&lt;=$NS$56),IF($NP$56="Single_Point",IF(133=$NR$56,$NN$56,0),IF($NP$56="Bell_Curve",$NN$56*(133-$NR$56+1)*($NS$56-133+1)/$NU$56,$NN$56/$NT$56)),0)</f>
        <v/>
      </c>
      <c r="EH56" s="402">
        <f>IF(AND(134&gt;=$NR$56,134&lt;=$NS$56),IF($NP$56="Single_Point",IF(134=$NR$56,$NN$56,0),IF($NP$56="Bell_Curve",$NN$56*(134-$NR$56+1)*($NS$56-134+1)/$NU$56,$NN$56/$NT$56)),0)</f>
        <v/>
      </c>
      <c r="EI56" s="402">
        <f>IF(AND(135&gt;=$NR$56,135&lt;=$NS$56),IF($NP$56="Single_Point",IF(135=$NR$56,$NN$56,0),IF($NP$56="Bell_Curve",$NN$56*(135-$NR$56+1)*($NS$56-135+1)/$NU$56,$NN$56/$NT$56)),0)</f>
        <v/>
      </c>
      <c r="EJ56" s="402">
        <f>IF(AND(136&gt;=$NR$56,136&lt;=$NS$56),IF($NP$56="Single_Point",IF(136=$NR$56,$NN$56,0),IF($NP$56="Bell_Curve",$NN$56*(136-$NR$56+1)*($NS$56-136+1)/$NU$56,$NN$56/$NT$56)),0)</f>
        <v/>
      </c>
      <c r="EK56" s="402">
        <f>IF(AND(137&gt;=$NR$56,137&lt;=$NS$56),IF($NP$56="Single_Point",IF(137=$NR$56,$NN$56,0),IF($NP$56="Bell_Curve",$NN$56*(137-$NR$56+1)*($NS$56-137+1)/$NU$56,$NN$56/$NT$56)),0)</f>
        <v/>
      </c>
      <c r="EL56" s="402">
        <f>IF(AND(138&gt;=$NR$56,138&lt;=$NS$56),IF($NP$56="Single_Point",IF(138=$NR$56,$NN$56,0),IF($NP$56="Bell_Curve",$NN$56*(138-$NR$56+1)*($NS$56-138+1)/$NU$56,$NN$56/$NT$56)),0)</f>
        <v/>
      </c>
      <c r="EM56" s="402">
        <f>IF(AND(139&gt;=$NR$56,139&lt;=$NS$56),IF($NP$56="Single_Point",IF(139=$NR$56,$NN$56,0),IF($NP$56="Bell_Curve",$NN$56*(139-$NR$56+1)*($NS$56-139+1)/$NU$56,$NN$56/$NT$56)),0)</f>
        <v/>
      </c>
      <c r="EN56" s="402">
        <f>IF(AND(140&gt;=$NR$56,140&lt;=$NS$56),IF($NP$56="Single_Point",IF(140=$NR$56,$NN$56,0),IF($NP$56="Bell_Curve",$NN$56*(140-$NR$56+1)*($NS$56-140+1)/$NU$56,$NN$56/$NT$56)),0)</f>
        <v/>
      </c>
      <c r="EO56" s="402">
        <f>IF(AND(141&gt;=$NR$56,141&lt;=$NS$56),IF($NP$56="Single_Point",IF(141=$NR$56,$NN$56,0),IF($NP$56="Bell_Curve",$NN$56*(141-$NR$56+1)*($NS$56-141+1)/$NU$56,$NN$56/$NT$56)),0)</f>
        <v/>
      </c>
      <c r="EP56" s="402">
        <f>IF(AND(142&gt;=$NR$56,142&lt;=$NS$56),IF($NP$56="Single_Point",IF(142=$NR$56,$NN$56,0),IF($NP$56="Bell_Curve",$NN$56*(142-$NR$56+1)*($NS$56-142+1)/$NU$56,$NN$56/$NT$56)),0)</f>
        <v/>
      </c>
      <c r="EQ56" s="402">
        <f>IF(AND(143&gt;=$NR$56,143&lt;=$NS$56),IF($NP$56="Single_Point",IF(143=$NR$56,$NN$56,0),IF($NP$56="Bell_Curve",$NN$56*(143-$NR$56+1)*($NS$56-143+1)/$NU$56,$NN$56/$NT$56)),0)</f>
        <v/>
      </c>
      <c r="ER56" s="402">
        <f>IF(AND(144&gt;=$NR$56,144&lt;=$NS$56),IF($NP$56="Single_Point",IF(144=$NR$56,$NN$56,0),IF($NP$56="Bell_Curve",$NN$56*(144-$NR$56+1)*($NS$56-144+1)/$NU$56,$NN$56/$NT$56)),0)</f>
        <v/>
      </c>
      <c r="ES56" s="402">
        <f>IF(AND(145&gt;=$NR$56,145&lt;=$NS$56),IF($NP$56="Single_Point",IF(145=$NR$56,$NN$56,0),IF($NP$56="Bell_Curve",$NN$56*(145-$NR$56+1)*($NS$56-145+1)/$NU$56,$NN$56/$NT$56)),0)</f>
        <v/>
      </c>
      <c r="ET56" s="402">
        <f>IF(AND(146&gt;=$NR$56,146&lt;=$NS$56),IF($NP$56="Single_Point",IF(146=$NR$56,$NN$56,0),IF($NP$56="Bell_Curve",$NN$56*(146-$NR$56+1)*($NS$56-146+1)/$NU$56,$NN$56/$NT$56)),0)</f>
        <v/>
      </c>
      <c r="EU56" s="402">
        <f>IF(AND(147&gt;=$NR$56,147&lt;=$NS$56),IF($NP$56="Single_Point",IF(147=$NR$56,$NN$56,0),IF($NP$56="Bell_Curve",$NN$56*(147-$NR$56+1)*($NS$56-147+1)/$NU$56,$NN$56/$NT$56)),0)</f>
        <v/>
      </c>
      <c r="EV56" s="402">
        <f>IF(AND(148&gt;=$NR$56,148&lt;=$NS$56),IF($NP$56="Single_Point",IF(148=$NR$56,$NN$56,0),IF($NP$56="Bell_Curve",$NN$56*(148-$NR$56+1)*($NS$56-148+1)/$NU$56,$NN$56/$NT$56)),0)</f>
        <v/>
      </c>
      <c r="EW56" s="402">
        <f>IF(AND(149&gt;=$NR$56,149&lt;=$NS$56),IF($NP$56="Single_Point",IF(149=$NR$56,$NN$56,0),IF($NP$56="Bell_Curve",$NN$56*(149-$NR$56+1)*($NS$56-149+1)/$NU$56,$NN$56/$NT$56)),0)</f>
        <v/>
      </c>
      <c r="EX56" s="402">
        <f>IF(AND(150&gt;=$NR$56,150&lt;=$NS$56),IF($NP$56="Single_Point",IF(150=$NR$56,$NN$56,0),IF($NP$56="Bell_Curve",$NN$56*(150-$NR$56+1)*($NS$56-150+1)/$NU$56,$NN$56/$NT$56)),0)</f>
        <v/>
      </c>
      <c r="EY56" s="402">
        <f>IF(AND(151&gt;=$NR$56,151&lt;=$NS$56),IF($NP$56="Single_Point",IF(151=$NR$56,$NN$56,0),IF($NP$56="Bell_Curve",$NN$56*(151-$NR$56+1)*($NS$56-151+1)/$NU$56,$NN$56/$NT$56)),0)</f>
        <v/>
      </c>
      <c r="EZ56" s="402">
        <f>IF(AND(152&gt;=$NR$56,152&lt;=$NS$56),IF($NP$56="Single_Point",IF(152=$NR$56,$NN$56,0),IF($NP$56="Bell_Curve",$NN$56*(152-$NR$56+1)*($NS$56-152+1)/$NU$56,$NN$56/$NT$56)),0)</f>
        <v/>
      </c>
      <c r="FA56" s="402">
        <f>IF(AND(153&gt;=$NR$56,153&lt;=$NS$56),IF($NP$56="Single_Point",IF(153=$NR$56,$NN$56,0),IF($NP$56="Bell_Curve",$NN$56*(153-$NR$56+1)*($NS$56-153+1)/$NU$56,$NN$56/$NT$56)),0)</f>
        <v/>
      </c>
      <c r="FB56" s="402">
        <f>IF(AND(154&gt;=$NR$56,154&lt;=$NS$56),IF($NP$56="Single_Point",IF(154=$NR$56,$NN$56,0),IF($NP$56="Bell_Curve",$NN$56*(154-$NR$56+1)*($NS$56-154+1)/$NU$56,$NN$56/$NT$56)),0)</f>
        <v/>
      </c>
      <c r="FC56" s="402">
        <f>IF(AND(155&gt;=$NR$56,155&lt;=$NS$56),IF($NP$56="Single_Point",IF(155=$NR$56,$NN$56,0),IF($NP$56="Bell_Curve",$NN$56*(155-$NR$56+1)*($NS$56-155+1)/$NU$56,$NN$56/$NT$56)),0)</f>
        <v/>
      </c>
      <c r="FD56" s="402">
        <f>IF(AND(156&gt;=$NR$56,156&lt;=$NS$56),IF($NP$56="Single_Point",IF(156=$NR$56,$NN$56,0),IF($NP$56="Bell_Curve",$NN$56*(156-$NR$56+1)*($NS$56-156+1)/$NU$56,$NN$56/$NT$56)),0)</f>
        <v/>
      </c>
      <c r="FE56" s="402">
        <f>IF(AND(157&gt;=$NR$56,157&lt;=$NS$56),IF($NP$56="Single_Point",IF(157=$NR$56,$NN$56,0),IF($NP$56="Bell_Curve",$NN$56*(157-$NR$56+1)*($NS$56-157+1)/$NU$56,$NN$56/$NT$56)),0)</f>
        <v/>
      </c>
      <c r="FF56" s="402">
        <f>IF(AND(158&gt;=$NR$56,158&lt;=$NS$56),IF($NP$56="Single_Point",IF(158=$NR$56,$NN$56,0),IF($NP$56="Bell_Curve",$NN$56*(158-$NR$56+1)*($NS$56-158+1)/$NU$56,$NN$56/$NT$56)),0)</f>
        <v/>
      </c>
      <c r="FG56" s="402">
        <f>IF(AND(159&gt;=$NR$56,159&lt;=$NS$56),IF($NP$56="Single_Point",IF(159=$NR$56,$NN$56,0),IF($NP$56="Bell_Curve",$NN$56*(159-$NR$56+1)*($NS$56-159+1)/$NU$56,$NN$56/$NT$56)),0)</f>
        <v/>
      </c>
      <c r="FH56" s="402">
        <f>IF(AND(160&gt;=$NR$56,160&lt;=$NS$56),IF($NP$56="Single_Point",IF(160=$NR$56,$NN$56,0),IF($NP$56="Bell_Curve",$NN$56*(160-$NR$56+1)*($NS$56-160+1)/$NU$56,$NN$56/$NT$56)),0)</f>
        <v/>
      </c>
      <c r="FI56" s="402">
        <f>IF(AND(161&gt;=$NR$56,161&lt;=$NS$56),IF($NP$56="Single_Point",IF(161=$NR$56,$NN$56,0),IF($NP$56="Bell_Curve",$NN$56*(161-$NR$56+1)*($NS$56-161+1)/$NU$56,$NN$56/$NT$56)),0)</f>
        <v/>
      </c>
      <c r="FJ56" s="402">
        <f>IF(AND(162&gt;=$NR$56,162&lt;=$NS$56),IF($NP$56="Single_Point",IF(162=$NR$56,$NN$56,0),IF($NP$56="Bell_Curve",$NN$56*(162-$NR$56+1)*($NS$56-162+1)/$NU$56,$NN$56/$NT$56)),0)</f>
        <v/>
      </c>
      <c r="FK56" s="402">
        <f>IF(AND(163&gt;=$NR$56,163&lt;=$NS$56),IF($NP$56="Single_Point",IF(163=$NR$56,$NN$56,0),IF($NP$56="Bell_Curve",$NN$56*(163-$NR$56+1)*($NS$56-163+1)/$NU$56,$NN$56/$NT$56)),0)</f>
        <v/>
      </c>
      <c r="FL56" s="402">
        <f>IF(AND(164&gt;=$NR$56,164&lt;=$NS$56),IF($NP$56="Single_Point",IF(164=$NR$56,$NN$56,0),IF($NP$56="Bell_Curve",$NN$56*(164-$NR$56+1)*($NS$56-164+1)/$NU$56,$NN$56/$NT$56)),0)</f>
        <v/>
      </c>
      <c r="FM56" s="402">
        <f>IF(AND(165&gt;=$NR$56,165&lt;=$NS$56),IF($NP$56="Single_Point",IF(165=$NR$56,$NN$56,0),IF($NP$56="Bell_Curve",$NN$56*(165-$NR$56+1)*($NS$56-165+1)/$NU$56,$NN$56/$NT$56)),0)</f>
        <v/>
      </c>
      <c r="FN56" s="402">
        <f>IF(AND(166&gt;=$NR$56,166&lt;=$NS$56),IF($NP$56="Single_Point",IF(166=$NR$56,$NN$56,0),IF($NP$56="Bell_Curve",$NN$56*(166-$NR$56+1)*($NS$56-166+1)/$NU$56,$NN$56/$NT$56)),0)</f>
        <v/>
      </c>
      <c r="FO56" s="402">
        <f>IF(AND(167&gt;=$NR$56,167&lt;=$NS$56),IF($NP$56="Single_Point",IF(167=$NR$56,$NN$56,0),IF($NP$56="Bell_Curve",$NN$56*(167-$NR$56+1)*($NS$56-167+1)/$NU$56,$NN$56/$NT$56)),0)</f>
        <v/>
      </c>
      <c r="FP56" s="402">
        <f>IF(AND(168&gt;=$NR$56,168&lt;=$NS$56),IF($NP$56="Single_Point",IF(168=$NR$56,$NN$56,0),IF($NP$56="Bell_Curve",$NN$56*(168-$NR$56+1)*($NS$56-168+1)/$NU$56,$NN$56/$NT$56)),0)</f>
        <v/>
      </c>
      <c r="FQ56" s="402">
        <f>IF(AND(169&gt;=$NR$56,169&lt;=$NS$56),IF($NP$56="Single_Point",IF(169=$NR$56,$NN$56,0),IF($NP$56="Bell_Curve",$NN$56*(169-$NR$56+1)*($NS$56-169+1)/$NU$56,$NN$56/$NT$56)),0)</f>
        <v/>
      </c>
      <c r="FR56" s="402">
        <f>IF(AND(170&gt;=$NR$56,170&lt;=$NS$56),IF($NP$56="Single_Point",IF(170=$NR$56,$NN$56,0),IF($NP$56="Bell_Curve",$NN$56*(170-$NR$56+1)*($NS$56-170+1)/$NU$56,$NN$56/$NT$56)),0)</f>
        <v/>
      </c>
      <c r="FS56" s="402">
        <f>IF(AND(171&gt;=$NR$56,171&lt;=$NS$56),IF($NP$56="Single_Point",IF(171=$NR$56,$NN$56,0),IF($NP$56="Bell_Curve",$NN$56*(171-$NR$56+1)*($NS$56-171+1)/$NU$56,$NN$56/$NT$56)),0)</f>
        <v/>
      </c>
      <c r="FT56" s="402">
        <f>IF(AND(172&gt;=$NR$56,172&lt;=$NS$56),IF($NP$56="Single_Point",IF(172=$NR$56,$NN$56,0),IF($NP$56="Bell_Curve",$NN$56*(172-$NR$56+1)*($NS$56-172+1)/$NU$56,$NN$56/$NT$56)),0)</f>
        <v/>
      </c>
      <c r="FU56" s="402">
        <f>IF(AND(173&gt;=$NR$56,173&lt;=$NS$56),IF($NP$56="Single_Point",IF(173=$NR$56,$NN$56,0),IF($NP$56="Bell_Curve",$NN$56*(173-$NR$56+1)*($NS$56-173+1)/$NU$56,$NN$56/$NT$56)),0)</f>
        <v/>
      </c>
      <c r="FV56" s="402">
        <f>IF(AND(174&gt;=$NR$56,174&lt;=$NS$56),IF($NP$56="Single_Point",IF(174=$NR$56,$NN$56,0),IF($NP$56="Bell_Curve",$NN$56*(174-$NR$56+1)*($NS$56-174+1)/$NU$56,$NN$56/$NT$56)),0)</f>
        <v/>
      </c>
      <c r="FW56" s="402">
        <f>IF(AND(175&gt;=$NR$56,175&lt;=$NS$56),IF($NP$56="Single_Point",IF(175=$NR$56,$NN$56,0),IF($NP$56="Bell_Curve",$NN$56*(175-$NR$56+1)*($NS$56-175+1)/$NU$56,$NN$56/$NT$56)),0)</f>
        <v/>
      </c>
      <c r="FX56" s="402">
        <f>IF(AND(176&gt;=$NR$56,176&lt;=$NS$56),IF($NP$56="Single_Point",IF(176=$NR$56,$NN$56,0),IF($NP$56="Bell_Curve",$NN$56*(176-$NR$56+1)*($NS$56-176+1)/$NU$56,$NN$56/$NT$56)),0)</f>
        <v/>
      </c>
      <c r="FY56" s="402">
        <f>IF(AND(177&gt;=$NR$56,177&lt;=$NS$56),IF($NP$56="Single_Point",IF(177=$NR$56,$NN$56,0),IF($NP$56="Bell_Curve",$NN$56*(177-$NR$56+1)*($NS$56-177+1)/$NU$56,$NN$56/$NT$56)),0)</f>
        <v/>
      </c>
      <c r="FZ56" s="402">
        <f>IF(AND(178&gt;=$NR$56,178&lt;=$NS$56),IF($NP$56="Single_Point",IF(178=$NR$56,$NN$56,0),IF($NP$56="Bell_Curve",$NN$56*(178-$NR$56+1)*($NS$56-178+1)/$NU$56,$NN$56/$NT$56)),0)</f>
        <v/>
      </c>
      <c r="GA56" s="402">
        <f>IF(AND(179&gt;=$NR$56,179&lt;=$NS$56),IF($NP$56="Single_Point",IF(179=$NR$56,$NN$56,0),IF($NP$56="Bell_Curve",$NN$56*(179-$NR$56+1)*($NS$56-179+1)/$NU$56,$NN$56/$NT$56)),0)</f>
        <v/>
      </c>
      <c r="GB56" s="402">
        <f>IF(AND(180&gt;=$NR$56,180&lt;=$NS$56),IF($NP$56="Single_Point",IF(180=$NR$56,$NN$56,0),IF($NP$56="Bell_Curve",$NN$56*(180-$NR$56+1)*($NS$56-180+1)/$NU$56,$NN$56/$NT$56)),0)</f>
        <v/>
      </c>
      <c r="GC56" s="402">
        <f>IF(AND(181&gt;=$NR$56,181&lt;=$NS$56),IF($NP$56="Single_Point",IF(181=$NR$56,$NN$56,0),IF($NP$56="Bell_Curve",$NN$56*(181-$NR$56+1)*($NS$56-181+1)/$NU$56,$NN$56/$NT$56)),0)</f>
        <v/>
      </c>
      <c r="GD56" s="402">
        <f>IF(AND(182&gt;=$NR$56,182&lt;=$NS$56),IF($NP$56="Single_Point",IF(182=$NR$56,$NN$56,0),IF($NP$56="Bell_Curve",$NN$56*(182-$NR$56+1)*($NS$56-182+1)/$NU$56,$NN$56/$NT$56)),0)</f>
        <v/>
      </c>
      <c r="GE56" s="402">
        <f>IF(AND(183&gt;=$NR$56,183&lt;=$NS$56),IF($NP$56="Single_Point",IF(183=$NR$56,$NN$56,0),IF($NP$56="Bell_Curve",$NN$56*(183-$NR$56+1)*($NS$56-183+1)/$NU$56,$NN$56/$NT$56)),0)</f>
        <v/>
      </c>
      <c r="GF56" s="402">
        <f>IF(AND(184&gt;=$NR$56,184&lt;=$NS$56),IF($NP$56="Single_Point",IF(184=$NR$56,$NN$56,0),IF($NP$56="Bell_Curve",$NN$56*(184-$NR$56+1)*($NS$56-184+1)/$NU$56,$NN$56/$NT$56)),0)</f>
        <v/>
      </c>
      <c r="GG56" s="402">
        <f>IF(AND(185&gt;=$NR$56,185&lt;=$NS$56),IF($NP$56="Single_Point",IF(185=$NR$56,$NN$56,0),IF($NP$56="Bell_Curve",$NN$56*(185-$NR$56+1)*($NS$56-185+1)/$NU$56,$NN$56/$NT$56)),0)</f>
        <v/>
      </c>
      <c r="GH56" s="402">
        <f>IF(AND(186&gt;=$NR$56,186&lt;=$NS$56),IF($NP$56="Single_Point",IF(186=$NR$56,$NN$56,0),IF($NP$56="Bell_Curve",$NN$56*(186-$NR$56+1)*($NS$56-186+1)/$NU$56,$NN$56/$NT$56)),0)</f>
        <v/>
      </c>
      <c r="GI56" s="402">
        <f>IF(AND(187&gt;=$NR$56,187&lt;=$NS$56),IF($NP$56="Single_Point",IF(187=$NR$56,$NN$56,0),IF($NP$56="Bell_Curve",$NN$56*(187-$NR$56+1)*($NS$56-187+1)/$NU$56,$NN$56/$NT$56)),0)</f>
        <v/>
      </c>
      <c r="GJ56" s="402">
        <f>IF(AND(188&gt;=$NR$56,188&lt;=$NS$56),IF($NP$56="Single_Point",IF(188=$NR$56,$NN$56,0),IF($NP$56="Bell_Curve",$NN$56*(188-$NR$56+1)*($NS$56-188+1)/$NU$56,$NN$56/$NT$56)),0)</f>
        <v/>
      </c>
      <c r="GK56" s="402">
        <f>IF(AND(189&gt;=$NR$56,189&lt;=$NS$56),IF($NP$56="Single_Point",IF(189=$NR$56,$NN$56,0),IF($NP$56="Bell_Curve",$NN$56*(189-$NR$56+1)*($NS$56-189+1)/$NU$56,$NN$56/$NT$56)),0)</f>
        <v/>
      </c>
      <c r="GL56" s="402">
        <f>IF(AND(190&gt;=$NR$56,190&lt;=$NS$56),IF($NP$56="Single_Point",IF(190=$NR$56,$NN$56,0),IF($NP$56="Bell_Curve",$NN$56*(190-$NR$56+1)*($NS$56-190+1)/$NU$56,$NN$56/$NT$56)),0)</f>
        <v/>
      </c>
      <c r="GM56" s="402">
        <f>IF(AND(191&gt;=$NR$56,191&lt;=$NS$56),IF($NP$56="Single_Point",IF(191=$NR$56,$NN$56,0),IF($NP$56="Bell_Curve",$NN$56*(191-$NR$56+1)*($NS$56-191+1)/$NU$56,$NN$56/$NT$56)),0)</f>
        <v/>
      </c>
      <c r="GN56" s="402">
        <f>IF(AND(192&gt;=$NR$56,192&lt;=$NS$56),IF($NP$56="Single_Point",IF(192=$NR$56,$NN$56,0),IF($NP$56="Bell_Curve",$NN$56*(192-$NR$56+1)*($NS$56-192+1)/$NU$56,$NN$56/$NT$56)),0)</f>
        <v/>
      </c>
      <c r="GO56" s="402">
        <f>IF(AND(193&gt;=$NR$56,193&lt;=$NS$56),IF($NP$56="Single_Point",IF(193=$NR$56,$NN$56,0),IF($NP$56="Bell_Curve",$NN$56*(193-$NR$56+1)*($NS$56-193+1)/$NU$56,$NN$56/$NT$56)),0)</f>
        <v/>
      </c>
      <c r="GP56" s="402">
        <f>IF(AND(194&gt;=$NR$56,194&lt;=$NS$56),IF($NP$56="Single_Point",IF(194=$NR$56,$NN$56,0),IF($NP$56="Bell_Curve",$NN$56*(194-$NR$56+1)*($NS$56-194+1)/$NU$56,$NN$56/$NT$56)),0)</f>
        <v/>
      </c>
      <c r="GQ56" s="402">
        <f>IF(AND(195&gt;=$NR$56,195&lt;=$NS$56),IF($NP$56="Single_Point",IF(195=$NR$56,$NN$56,0),IF($NP$56="Bell_Curve",$NN$56*(195-$NR$56+1)*($NS$56-195+1)/$NU$56,$NN$56/$NT$56)),0)</f>
        <v/>
      </c>
      <c r="GR56" s="402">
        <f>IF(AND(196&gt;=$NR$56,196&lt;=$NS$56),IF($NP$56="Single_Point",IF(196=$NR$56,$NN$56,0),IF($NP$56="Bell_Curve",$NN$56*(196-$NR$56+1)*($NS$56-196+1)/$NU$56,$NN$56/$NT$56)),0)</f>
        <v/>
      </c>
      <c r="GS56" s="402">
        <f>IF(AND(197&gt;=$NR$56,197&lt;=$NS$56),IF($NP$56="Single_Point",IF(197=$NR$56,$NN$56,0),IF($NP$56="Bell_Curve",$NN$56*(197-$NR$56+1)*($NS$56-197+1)/$NU$56,$NN$56/$NT$56)),0)</f>
        <v/>
      </c>
      <c r="GT56" s="402">
        <f>IF(AND(198&gt;=$NR$56,198&lt;=$NS$56),IF($NP$56="Single_Point",IF(198=$NR$56,$NN$56,0),IF($NP$56="Bell_Curve",$NN$56*(198-$NR$56+1)*($NS$56-198+1)/$NU$56,$NN$56/$NT$56)),0)</f>
        <v/>
      </c>
      <c r="GU56" s="402">
        <f>IF(AND(199&gt;=$NR$56,199&lt;=$NS$56),IF($NP$56="Single_Point",IF(199=$NR$56,$NN$56,0),IF($NP$56="Bell_Curve",$NN$56*(199-$NR$56+1)*($NS$56-199+1)/$NU$56,$NN$56/$NT$56)),0)</f>
        <v/>
      </c>
      <c r="GV56" s="402">
        <f>IF(AND(200&gt;=$NR$56,200&lt;=$NS$56),IF($NP$56="Single_Point",IF(200=$NR$56,$NN$56,0),IF($NP$56="Bell_Curve",$NN$56*(200-$NR$56+1)*($NS$56-200+1)/$NU$56,$NN$56/$NT$56)),0)</f>
        <v/>
      </c>
      <c r="GW56" s="402">
        <f>IF(AND(201&gt;=$NR$56,201&lt;=$NS$56),IF($NP$56="Single_Point",IF(201=$NR$56,$NN$56,0),IF($NP$56="Bell_Curve",$NN$56*(201-$NR$56+1)*($NS$56-201+1)/$NU$56,$NN$56/$NT$56)),0)</f>
        <v/>
      </c>
      <c r="GX56" s="402">
        <f>IF(AND(202&gt;=$NR$56,202&lt;=$NS$56),IF($NP$56="Single_Point",IF(202=$NR$56,$NN$56,0),IF($NP$56="Bell_Curve",$NN$56*(202-$NR$56+1)*($NS$56-202+1)/$NU$56,$NN$56/$NT$56)),0)</f>
        <v/>
      </c>
      <c r="GY56" s="402">
        <f>IF(AND(203&gt;=$NR$56,203&lt;=$NS$56),IF($NP$56="Single_Point",IF(203=$NR$56,$NN$56,0),IF($NP$56="Bell_Curve",$NN$56*(203-$NR$56+1)*($NS$56-203+1)/$NU$56,$NN$56/$NT$56)),0)</f>
        <v/>
      </c>
      <c r="GZ56" s="402">
        <f>IF(AND(204&gt;=$NR$56,204&lt;=$NS$56),IF($NP$56="Single_Point",IF(204=$NR$56,$NN$56,0),IF($NP$56="Bell_Curve",$NN$56*(204-$NR$56+1)*($NS$56-204+1)/$NU$56,$NN$56/$NT$56)),0)</f>
        <v/>
      </c>
      <c r="HA56" s="402">
        <f>IF(AND(205&gt;=$NR$56,205&lt;=$NS$56),IF($NP$56="Single_Point",IF(205=$NR$56,$NN$56,0),IF($NP$56="Bell_Curve",$NN$56*(205-$NR$56+1)*($NS$56-205+1)/$NU$56,$NN$56/$NT$56)),0)</f>
        <v/>
      </c>
      <c r="HB56" s="402">
        <f>IF(AND(206&gt;=$NR$56,206&lt;=$NS$56),IF($NP$56="Single_Point",IF(206=$NR$56,$NN$56,0),IF($NP$56="Bell_Curve",$NN$56*(206-$NR$56+1)*($NS$56-206+1)/$NU$56,$NN$56/$NT$56)),0)</f>
        <v/>
      </c>
      <c r="HC56" s="402">
        <f>IF(AND(207&gt;=$NR$56,207&lt;=$NS$56),IF($NP$56="Single_Point",IF(207=$NR$56,$NN$56,0),IF($NP$56="Bell_Curve",$NN$56*(207-$NR$56+1)*($NS$56-207+1)/$NU$56,$NN$56/$NT$56)),0)</f>
        <v/>
      </c>
      <c r="HD56" s="402">
        <f>IF(AND(208&gt;=$NR$56,208&lt;=$NS$56),IF($NP$56="Single_Point",IF(208=$NR$56,$NN$56,0),IF($NP$56="Bell_Curve",$NN$56*(208-$NR$56+1)*($NS$56-208+1)/$NU$56,$NN$56/$NT$56)),0)</f>
        <v/>
      </c>
      <c r="HE56" s="402">
        <f>IF(AND(209&gt;=$NR$56,209&lt;=$NS$56),IF($NP$56="Single_Point",IF(209=$NR$56,$NN$56,0),IF($NP$56="Bell_Curve",$NN$56*(209-$NR$56+1)*($NS$56-209+1)/$NU$56,$NN$56/$NT$56)),0)</f>
        <v/>
      </c>
      <c r="HF56" s="402">
        <f>IF(AND(210&gt;=$NR$56,210&lt;=$NS$56),IF($NP$56="Single_Point",IF(210=$NR$56,$NN$56,0),IF($NP$56="Bell_Curve",$NN$56*(210-$NR$56+1)*($NS$56-210+1)/$NU$56,$NN$56/$NT$56)),0)</f>
        <v/>
      </c>
      <c r="HG56" s="402">
        <f>IF(AND(211&gt;=$NR$56,211&lt;=$NS$56),IF($NP$56="Single_Point",IF(211=$NR$56,$NN$56,0),IF($NP$56="Bell_Curve",$NN$56*(211-$NR$56+1)*($NS$56-211+1)/$NU$56,$NN$56/$NT$56)),0)</f>
        <v/>
      </c>
      <c r="HH56" s="402">
        <f>IF(AND(212&gt;=$NR$56,212&lt;=$NS$56),IF($NP$56="Single_Point",IF(212=$NR$56,$NN$56,0),IF($NP$56="Bell_Curve",$NN$56*(212-$NR$56+1)*($NS$56-212+1)/$NU$56,$NN$56/$NT$56)),0)</f>
        <v/>
      </c>
      <c r="HI56" s="402">
        <f>IF(AND(213&gt;=$NR$56,213&lt;=$NS$56),IF($NP$56="Single_Point",IF(213=$NR$56,$NN$56,0),IF($NP$56="Bell_Curve",$NN$56*(213-$NR$56+1)*($NS$56-213+1)/$NU$56,$NN$56/$NT$56)),0)</f>
        <v/>
      </c>
      <c r="HJ56" s="402">
        <f>IF(AND(214&gt;=$NR$56,214&lt;=$NS$56),IF($NP$56="Single_Point",IF(214=$NR$56,$NN$56,0),IF($NP$56="Bell_Curve",$NN$56*(214-$NR$56+1)*($NS$56-214+1)/$NU$56,$NN$56/$NT$56)),0)</f>
        <v/>
      </c>
      <c r="HK56" s="402">
        <f>IF(AND(215&gt;=$NR$56,215&lt;=$NS$56),IF($NP$56="Single_Point",IF(215=$NR$56,$NN$56,0),IF($NP$56="Bell_Curve",$NN$56*(215-$NR$56+1)*($NS$56-215+1)/$NU$56,$NN$56/$NT$56)),0)</f>
        <v/>
      </c>
      <c r="HL56" s="402">
        <f>IF(AND(216&gt;=$NR$56,216&lt;=$NS$56),IF($NP$56="Single_Point",IF(216=$NR$56,$NN$56,0),IF($NP$56="Bell_Curve",$NN$56*(216-$NR$56+1)*($NS$56-216+1)/$NU$56,$NN$56/$NT$56)),0)</f>
        <v/>
      </c>
      <c r="HM56" s="402">
        <f>IF(AND(217&gt;=$NR$56,217&lt;=$NS$56),IF($NP$56="Single_Point",IF(217=$NR$56,$NN$56,0),IF($NP$56="Bell_Curve",$NN$56*(217-$NR$56+1)*($NS$56-217+1)/$NU$56,$NN$56/$NT$56)),0)</f>
        <v/>
      </c>
      <c r="HN56" s="402">
        <f>IF(AND(218&gt;=$NR$56,218&lt;=$NS$56),IF($NP$56="Single_Point",IF(218=$NR$56,$NN$56,0),IF($NP$56="Bell_Curve",$NN$56*(218-$NR$56+1)*($NS$56-218+1)/$NU$56,$NN$56/$NT$56)),0)</f>
        <v/>
      </c>
      <c r="HO56" s="402">
        <f>IF(AND(219&gt;=$NR$56,219&lt;=$NS$56),IF($NP$56="Single_Point",IF(219=$NR$56,$NN$56,0),IF($NP$56="Bell_Curve",$NN$56*(219-$NR$56+1)*($NS$56-219+1)/$NU$56,$NN$56/$NT$56)),0)</f>
        <v/>
      </c>
      <c r="HP56" s="402">
        <f>IF(AND(220&gt;=$NR$56,220&lt;=$NS$56),IF($NP$56="Single_Point",IF(220=$NR$56,$NN$56,0),IF($NP$56="Bell_Curve",$NN$56*(220-$NR$56+1)*($NS$56-220+1)/$NU$56,$NN$56/$NT$56)),0)</f>
        <v/>
      </c>
      <c r="HQ56" s="402">
        <f>IF(AND(221&gt;=$NR$56,221&lt;=$NS$56),IF($NP$56="Single_Point",IF(221=$NR$56,$NN$56,0),IF($NP$56="Bell_Curve",$NN$56*(221-$NR$56+1)*($NS$56-221+1)/$NU$56,$NN$56/$NT$56)),0)</f>
        <v/>
      </c>
      <c r="HR56" s="402">
        <f>IF(AND(222&gt;=$NR$56,222&lt;=$NS$56),IF($NP$56="Single_Point",IF(222=$NR$56,$NN$56,0),IF($NP$56="Bell_Curve",$NN$56*(222-$NR$56+1)*($NS$56-222+1)/$NU$56,$NN$56/$NT$56)),0)</f>
        <v/>
      </c>
      <c r="HS56" s="402">
        <f>IF(AND(223&gt;=$NR$56,223&lt;=$NS$56),IF($NP$56="Single_Point",IF(223=$NR$56,$NN$56,0),IF($NP$56="Bell_Curve",$NN$56*(223-$NR$56+1)*($NS$56-223+1)/$NU$56,$NN$56/$NT$56)),0)</f>
        <v/>
      </c>
      <c r="HT56" s="402">
        <f>IF(AND(224&gt;=$NR$56,224&lt;=$NS$56),IF($NP$56="Single_Point",IF(224=$NR$56,$NN$56,0),IF($NP$56="Bell_Curve",$NN$56*(224-$NR$56+1)*($NS$56-224+1)/$NU$56,$NN$56/$NT$56)),0)</f>
        <v/>
      </c>
      <c r="HU56" s="402">
        <f>IF(AND(225&gt;=$NR$56,225&lt;=$NS$56),IF($NP$56="Single_Point",IF(225=$NR$56,$NN$56,0),IF($NP$56="Bell_Curve",$NN$56*(225-$NR$56+1)*($NS$56-225+1)/$NU$56,$NN$56/$NT$56)),0)</f>
        <v/>
      </c>
      <c r="HV56" s="402">
        <f>IF(AND(226&gt;=$NR$56,226&lt;=$NS$56),IF($NP$56="Single_Point",IF(226=$NR$56,$NN$56,0),IF($NP$56="Bell_Curve",$NN$56*(226-$NR$56+1)*($NS$56-226+1)/$NU$56,$NN$56/$NT$56)),0)</f>
        <v/>
      </c>
      <c r="HW56" s="402">
        <f>IF(AND(227&gt;=$NR$56,227&lt;=$NS$56),IF($NP$56="Single_Point",IF(227=$NR$56,$NN$56,0),IF($NP$56="Bell_Curve",$NN$56*(227-$NR$56+1)*($NS$56-227+1)/$NU$56,$NN$56/$NT$56)),0)</f>
        <v/>
      </c>
      <c r="HX56" s="402">
        <f>IF(AND(228&gt;=$NR$56,228&lt;=$NS$56),IF($NP$56="Single_Point",IF(228=$NR$56,$NN$56,0),IF($NP$56="Bell_Curve",$NN$56*(228-$NR$56+1)*($NS$56-228+1)/$NU$56,$NN$56/$NT$56)),0)</f>
        <v/>
      </c>
      <c r="HY56" s="402">
        <f>IF(AND(229&gt;=$NR$56,229&lt;=$NS$56),IF($NP$56="Single_Point",IF(229=$NR$56,$NN$56,0),IF($NP$56="Bell_Curve",$NN$56*(229-$NR$56+1)*($NS$56-229+1)/$NU$56,$NN$56/$NT$56)),0)</f>
        <v/>
      </c>
      <c r="HZ56" s="402">
        <f>IF(AND(230&gt;=$NR$56,230&lt;=$NS$56),IF($NP$56="Single_Point",IF(230=$NR$56,$NN$56,0),IF($NP$56="Bell_Curve",$NN$56*(230-$NR$56+1)*($NS$56-230+1)/$NU$56,$NN$56/$NT$56)),0)</f>
        <v/>
      </c>
      <c r="IA56" s="402">
        <f>IF(AND(231&gt;=$NR$56,231&lt;=$NS$56),IF($NP$56="Single_Point",IF(231=$NR$56,$NN$56,0),IF($NP$56="Bell_Curve",$NN$56*(231-$NR$56+1)*($NS$56-231+1)/$NU$56,$NN$56/$NT$56)),0)</f>
        <v/>
      </c>
      <c r="IB56" s="402">
        <f>IF(AND(232&gt;=$NR$56,232&lt;=$NS$56),IF($NP$56="Single_Point",IF(232=$NR$56,$NN$56,0),IF($NP$56="Bell_Curve",$NN$56*(232-$NR$56+1)*($NS$56-232+1)/$NU$56,$NN$56/$NT$56)),0)</f>
        <v/>
      </c>
      <c r="IC56" s="402">
        <f>IF(AND(233&gt;=$NR$56,233&lt;=$NS$56),IF($NP$56="Single_Point",IF(233=$NR$56,$NN$56,0),IF($NP$56="Bell_Curve",$NN$56*(233-$NR$56+1)*($NS$56-233+1)/$NU$56,$NN$56/$NT$56)),0)</f>
        <v/>
      </c>
      <c r="ID56" s="402">
        <f>IF(AND(234&gt;=$NR$56,234&lt;=$NS$56),IF($NP$56="Single_Point",IF(234=$NR$56,$NN$56,0),IF($NP$56="Bell_Curve",$NN$56*(234-$NR$56+1)*($NS$56-234+1)/$NU$56,$NN$56/$NT$56)),0)</f>
        <v/>
      </c>
      <c r="IE56" s="402">
        <f>IF(AND(235&gt;=$NR$56,235&lt;=$NS$56),IF($NP$56="Single_Point",IF(235=$NR$56,$NN$56,0),IF($NP$56="Bell_Curve",$NN$56*(235-$NR$56+1)*($NS$56-235+1)/$NU$56,$NN$56/$NT$56)),0)</f>
        <v/>
      </c>
      <c r="IF56" s="402">
        <f>IF(AND(236&gt;=$NR$56,236&lt;=$NS$56),IF($NP$56="Single_Point",IF(236=$NR$56,$NN$56,0),IF($NP$56="Bell_Curve",$NN$56*(236-$NR$56+1)*($NS$56-236+1)/$NU$56,$NN$56/$NT$56)),0)</f>
        <v/>
      </c>
      <c r="IG56" s="402">
        <f>IF(AND(237&gt;=$NR$56,237&lt;=$NS$56),IF($NP$56="Single_Point",IF(237=$NR$56,$NN$56,0),IF($NP$56="Bell_Curve",$NN$56*(237-$NR$56+1)*($NS$56-237+1)/$NU$56,$NN$56/$NT$56)),0)</f>
        <v/>
      </c>
      <c r="IH56" s="402">
        <f>IF(AND(238&gt;=$NR$56,238&lt;=$NS$56),IF($NP$56="Single_Point",IF(238=$NR$56,$NN$56,0),IF($NP$56="Bell_Curve",$NN$56*(238-$NR$56+1)*($NS$56-238+1)/$NU$56,$NN$56/$NT$56)),0)</f>
        <v/>
      </c>
      <c r="II56" s="402">
        <f>IF(AND(239&gt;=$NR$56,239&lt;=$NS$56),IF($NP$56="Single_Point",IF(239=$NR$56,$NN$56,0),IF($NP$56="Bell_Curve",$NN$56*(239-$NR$56+1)*($NS$56-239+1)/$NU$56,$NN$56/$NT$56)),0)</f>
        <v/>
      </c>
      <c r="IJ56" s="402">
        <f>IF(AND(240&gt;=$NR$56,240&lt;=$NS$56),IF($NP$56="Single_Point",IF(240=$NR$56,$NN$56,0),IF($NP$56="Bell_Curve",$NN$56*(240-$NR$56+1)*($NS$56-240+1)/$NU$56,$NN$56/$NT$56)),0)</f>
        <v/>
      </c>
      <c r="IK56" s="402">
        <f>IF(AND(241&gt;=$NR$56,241&lt;=$NS$56),IF($NP$56="Single_Point",IF(241=$NR$56,$NN$56,0),IF($NP$56="Bell_Curve",$NN$56*(241-$NR$56+1)*($NS$56-241+1)/$NU$56,$NN$56/$NT$56)),0)</f>
        <v/>
      </c>
      <c r="IL56" s="402">
        <f>IF(AND(242&gt;=$NR$56,242&lt;=$NS$56),IF($NP$56="Single_Point",IF(242=$NR$56,$NN$56,0),IF($NP$56="Bell_Curve",$NN$56*(242-$NR$56+1)*($NS$56-242+1)/$NU$56,$NN$56/$NT$56)),0)</f>
        <v/>
      </c>
      <c r="IM56" s="402">
        <f>IF(AND(243&gt;=$NR$56,243&lt;=$NS$56),IF($NP$56="Single_Point",IF(243=$NR$56,$NN$56,0),IF($NP$56="Bell_Curve",$NN$56*(243-$NR$56+1)*($NS$56-243+1)/$NU$56,$NN$56/$NT$56)),0)</f>
        <v/>
      </c>
      <c r="IN56" s="402">
        <f>IF(AND(244&gt;=$NR$56,244&lt;=$NS$56),IF($NP$56="Single_Point",IF(244=$NR$56,$NN$56,0),IF($NP$56="Bell_Curve",$NN$56*(244-$NR$56+1)*($NS$56-244+1)/$NU$56,$NN$56/$NT$56)),0)</f>
        <v/>
      </c>
      <c r="IO56" s="402">
        <f>IF(AND(245&gt;=$NR$56,245&lt;=$NS$56),IF($NP$56="Single_Point",IF(245=$NR$56,$NN$56,0),IF($NP$56="Bell_Curve",$NN$56*(245-$NR$56+1)*($NS$56-245+1)/$NU$56,$NN$56/$NT$56)),0)</f>
        <v/>
      </c>
      <c r="IP56" s="402">
        <f>IF(AND(246&gt;=$NR$56,246&lt;=$NS$56),IF($NP$56="Single_Point",IF(246=$NR$56,$NN$56,0),IF($NP$56="Bell_Curve",$NN$56*(246-$NR$56+1)*($NS$56-246+1)/$NU$56,$NN$56/$NT$56)),0)</f>
        <v/>
      </c>
      <c r="IQ56" s="402">
        <f>IF(AND(247&gt;=$NR$56,247&lt;=$NS$56),IF($NP$56="Single_Point",IF(247=$NR$56,$NN$56,0),IF($NP$56="Bell_Curve",$NN$56*(247-$NR$56+1)*($NS$56-247+1)/$NU$56,$NN$56/$NT$56)),0)</f>
        <v/>
      </c>
      <c r="IR56" s="402">
        <f>IF(AND(248&gt;=$NR$56,248&lt;=$NS$56),IF($NP$56="Single_Point",IF(248=$NR$56,$NN$56,0),IF($NP$56="Bell_Curve",$NN$56*(248-$NR$56+1)*($NS$56-248+1)/$NU$56,$NN$56/$NT$56)),0)</f>
        <v/>
      </c>
      <c r="IS56" s="402">
        <f>IF(AND(249&gt;=$NR$56,249&lt;=$NS$56),IF($NP$56="Single_Point",IF(249=$NR$56,$NN$56,0),IF($NP$56="Bell_Curve",$NN$56*(249-$NR$56+1)*($NS$56-249+1)/$NU$56,$NN$56/$NT$56)),0)</f>
        <v/>
      </c>
      <c r="IT56" s="402">
        <f>IF(AND(250&gt;=$NR$56,250&lt;=$NS$56),IF($NP$56="Single_Point",IF(250=$NR$56,$NN$56,0),IF($NP$56="Bell_Curve",$NN$56*(250-$NR$56+1)*($NS$56-250+1)/$NU$56,$NN$56/$NT$56)),0)</f>
        <v/>
      </c>
      <c r="IU56" s="402">
        <f>IF(AND(251&gt;=$NR$56,251&lt;=$NS$56),IF($NP$56="Single_Point",IF(251=$NR$56,$NN$56,0),IF($NP$56="Bell_Curve",$NN$56*(251-$NR$56+1)*($NS$56-251+1)/$NU$56,$NN$56/$NT$56)),0)</f>
        <v/>
      </c>
      <c r="IV56" s="402">
        <f>IF(AND(252&gt;=$NR$56,252&lt;=$NS$56),IF($NP$56="Single_Point",IF(252=$NR$56,$NN$56,0),IF($NP$56="Bell_Curve",$NN$56*(252-$NR$56+1)*($NS$56-252+1)/$NU$56,$NN$56/$NT$56)),0)</f>
        <v/>
      </c>
      <c r="IW56" s="402">
        <f>IF(AND(253&gt;=$NR$56,253&lt;=$NS$56),IF($NP$56="Single_Point",IF(253=$NR$56,$NN$56,0),IF($NP$56="Bell_Curve",$NN$56*(253-$NR$56+1)*($NS$56-253+1)/$NU$56,$NN$56/$NT$56)),0)</f>
        <v/>
      </c>
      <c r="IX56" s="402">
        <f>IF(AND(254&gt;=$NR$56,254&lt;=$NS$56),IF($NP$56="Single_Point",IF(254=$NR$56,$NN$56,0),IF($NP$56="Bell_Curve",$NN$56*(254-$NR$56+1)*($NS$56-254+1)/$NU$56,$NN$56/$NT$56)),0)</f>
        <v/>
      </c>
      <c r="IY56" s="402">
        <f>IF(AND(255&gt;=$NR$56,255&lt;=$NS$56),IF($NP$56="Single_Point",IF(255=$NR$56,$NN$56,0),IF($NP$56="Bell_Curve",$NN$56*(255-$NR$56+1)*($NS$56-255+1)/$NU$56,$NN$56/$NT$56)),0)</f>
        <v/>
      </c>
      <c r="IZ56" s="402">
        <f>IF(AND(256&gt;=$NR$56,256&lt;=$NS$56),IF($NP$56="Single_Point",IF(256=$NR$56,$NN$56,0),IF($NP$56="Bell_Curve",$NN$56*(256-$NR$56+1)*($NS$56-256+1)/$NU$56,$NN$56/$NT$56)),0)</f>
        <v/>
      </c>
      <c r="JA56" s="402">
        <f>IF(AND(257&gt;=$NR$56,257&lt;=$NS$56),IF($NP$56="Single_Point",IF(257=$NR$56,$NN$56,0),IF($NP$56="Bell_Curve",$NN$56*(257-$NR$56+1)*($NS$56-257+1)/$NU$56,$NN$56/$NT$56)),0)</f>
        <v/>
      </c>
      <c r="JB56" s="402">
        <f>IF(AND(258&gt;=$NR$56,258&lt;=$NS$56),IF($NP$56="Single_Point",IF(258=$NR$56,$NN$56,0),IF($NP$56="Bell_Curve",$NN$56*(258-$NR$56+1)*($NS$56-258+1)/$NU$56,$NN$56/$NT$56)),0)</f>
        <v/>
      </c>
      <c r="JC56" s="402">
        <f>IF(AND(259&gt;=$NR$56,259&lt;=$NS$56),IF($NP$56="Single_Point",IF(259=$NR$56,$NN$56,0),IF($NP$56="Bell_Curve",$NN$56*(259-$NR$56+1)*($NS$56-259+1)/$NU$56,$NN$56/$NT$56)),0)</f>
        <v/>
      </c>
      <c r="JD56" s="402">
        <f>IF(AND(260&gt;=$NR$56,260&lt;=$NS$56),IF($NP$56="Single_Point",IF(260=$NR$56,$NN$56,0),IF($NP$56="Bell_Curve",$NN$56*(260-$NR$56+1)*($NS$56-260+1)/$NU$56,$NN$56/$NT$56)),0)</f>
        <v/>
      </c>
      <c r="JE56" s="402">
        <f>IF(AND(261&gt;=$NR$56,261&lt;=$NS$56),IF($NP$56="Single_Point",IF(261=$NR$56,$NN$56,0),IF($NP$56="Bell_Curve",$NN$56*(261-$NR$56+1)*($NS$56-261+1)/$NU$56,$NN$56/$NT$56)),0)</f>
        <v/>
      </c>
      <c r="JF56" s="402">
        <f>IF(AND(262&gt;=$NR$56,262&lt;=$NS$56),IF($NP$56="Single_Point",IF(262=$NR$56,$NN$56,0),IF($NP$56="Bell_Curve",$NN$56*(262-$NR$56+1)*($NS$56-262+1)/$NU$56,$NN$56/$NT$56)),0)</f>
        <v/>
      </c>
      <c r="JG56" s="402">
        <f>IF(AND(263&gt;=$NR$56,263&lt;=$NS$56),IF($NP$56="Single_Point",IF(263=$NR$56,$NN$56,0),IF($NP$56="Bell_Curve",$NN$56*(263-$NR$56+1)*($NS$56-263+1)/$NU$56,$NN$56/$NT$56)),0)</f>
        <v/>
      </c>
      <c r="JH56" s="402">
        <f>IF(AND(264&gt;=$NR$56,264&lt;=$NS$56),IF($NP$56="Single_Point",IF(264=$NR$56,$NN$56,0),IF($NP$56="Bell_Curve",$NN$56*(264-$NR$56+1)*($NS$56-264+1)/$NU$56,$NN$56/$NT$56)),0)</f>
        <v/>
      </c>
      <c r="JI56" s="402">
        <f>IF(AND(265&gt;=$NR$56,265&lt;=$NS$56),IF($NP$56="Single_Point",IF(265=$NR$56,$NN$56,0),IF($NP$56="Bell_Curve",$NN$56*(265-$NR$56+1)*($NS$56-265+1)/$NU$56,$NN$56/$NT$56)),0)</f>
        <v/>
      </c>
      <c r="JJ56" s="402">
        <f>IF(AND(266&gt;=$NR$56,266&lt;=$NS$56),IF($NP$56="Single_Point",IF(266=$NR$56,$NN$56,0),IF($NP$56="Bell_Curve",$NN$56*(266-$NR$56+1)*($NS$56-266+1)/$NU$56,$NN$56/$NT$56)),0)</f>
        <v/>
      </c>
      <c r="JK56" s="402">
        <f>IF(AND(267&gt;=$NR$56,267&lt;=$NS$56),IF($NP$56="Single_Point",IF(267=$NR$56,$NN$56,0),IF($NP$56="Bell_Curve",$NN$56*(267-$NR$56+1)*($NS$56-267+1)/$NU$56,$NN$56/$NT$56)),0)</f>
        <v/>
      </c>
      <c r="JL56" s="402">
        <f>IF(AND(268&gt;=$NR$56,268&lt;=$NS$56),IF($NP$56="Single_Point",IF(268=$NR$56,$NN$56,0),IF($NP$56="Bell_Curve",$NN$56*(268-$NR$56+1)*($NS$56-268+1)/$NU$56,$NN$56/$NT$56)),0)</f>
        <v/>
      </c>
      <c r="JM56" s="402">
        <f>IF(AND(269&gt;=$NR$56,269&lt;=$NS$56),IF($NP$56="Single_Point",IF(269=$NR$56,$NN$56,0),IF($NP$56="Bell_Curve",$NN$56*(269-$NR$56+1)*($NS$56-269+1)/$NU$56,$NN$56/$NT$56)),0)</f>
        <v/>
      </c>
      <c r="JN56" s="402">
        <f>IF(AND(270&gt;=$NR$56,270&lt;=$NS$56),IF($NP$56="Single_Point",IF(270=$NR$56,$NN$56,0),IF($NP$56="Bell_Curve",$NN$56*(270-$NR$56+1)*($NS$56-270+1)/$NU$56,$NN$56/$NT$56)),0)</f>
        <v/>
      </c>
      <c r="JO56" s="402">
        <f>IF(AND(271&gt;=$NR$56,271&lt;=$NS$56),IF($NP$56="Single_Point",IF(271=$NR$56,$NN$56,0),IF($NP$56="Bell_Curve",$NN$56*(271-$NR$56+1)*($NS$56-271+1)/$NU$56,$NN$56/$NT$56)),0)</f>
        <v/>
      </c>
      <c r="JP56" s="402">
        <f>IF(AND(272&gt;=$NR$56,272&lt;=$NS$56),IF($NP$56="Single_Point",IF(272=$NR$56,$NN$56,0),IF($NP$56="Bell_Curve",$NN$56*(272-$NR$56+1)*($NS$56-272+1)/$NU$56,$NN$56/$NT$56)),0)</f>
        <v/>
      </c>
      <c r="JQ56" s="402">
        <f>IF(AND(273&gt;=$NR$56,273&lt;=$NS$56),IF($NP$56="Single_Point",IF(273=$NR$56,$NN$56,0),IF($NP$56="Bell_Curve",$NN$56*(273-$NR$56+1)*($NS$56-273+1)/$NU$56,$NN$56/$NT$56)),0)</f>
        <v/>
      </c>
      <c r="JR56" s="402">
        <f>IF(AND(274&gt;=$NR$56,274&lt;=$NS$56),IF($NP$56="Single_Point",IF(274=$NR$56,$NN$56,0),IF($NP$56="Bell_Curve",$NN$56*(274-$NR$56+1)*($NS$56-274+1)/$NU$56,$NN$56/$NT$56)),0)</f>
        <v/>
      </c>
      <c r="JS56" s="402">
        <f>IF(AND(275&gt;=$NR$56,275&lt;=$NS$56),IF($NP$56="Single_Point",IF(275=$NR$56,$NN$56,0),IF($NP$56="Bell_Curve",$NN$56*(275-$NR$56+1)*($NS$56-275+1)/$NU$56,$NN$56/$NT$56)),0)</f>
        <v/>
      </c>
      <c r="JT56" s="402">
        <f>IF(AND(276&gt;=$NR$56,276&lt;=$NS$56),IF($NP$56="Single_Point",IF(276=$NR$56,$NN$56,0),IF($NP$56="Bell_Curve",$NN$56*(276-$NR$56+1)*($NS$56-276+1)/$NU$56,$NN$56/$NT$56)),0)</f>
        <v/>
      </c>
      <c r="JU56" s="402">
        <f>IF(AND(277&gt;=$NR$56,277&lt;=$NS$56),IF($NP$56="Single_Point",IF(277=$NR$56,$NN$56,0),IF($NP$56="Bell_Curve",$NN$56*(277-$NR$56+1)*($NS$56-277+1)/$NU$56,$NN$56/$NT$56)),0)</f>
        <v/>
      </c>
      <c r="JV56" s="402">
        <f>IF(AND(278&gt;=$NR$56,278&lt;=$NS$56),IF($NP$56="Single_Point",IF(278=$NR$56,$NN$56,0),IF($NP$56="Bell_Curve",$NN$56*(278-$NR$56+1)*($NS$56-278+1)/$NU$56,$NN$56/$NT$56)),0)</f>
        <v/>
      </c>
      <c r="JW56" s="402">
        <f>IF(AND(279&gt;=$NR$56,279&lt;=$NS$56),IF($NP$56="Single_Point",IF(279=$NR$56,$NN$56,0),IF($NP$56="Bell_Curve",$NN$56*(279-$NR$56+1)*($NS$56-279+1)/$NU$56,$NN$56/$NT$56)),0)</f>
        <v/>
      </c>
      <c r="JX56" s="402">
        <f>IF(AND(280&gt;=$NR$56,280&lt;=$NS$56),IF($NP$56="Single_Point",IF(280=$NR$56,$NN$56,0),IF($NP$56="Bell_Curve",$NN$56*(280-$NR$56+1)*($NS$56-280+1)/$NU$56,$NN$56/$NT$56)),0)</f>
        <v/>
      </c>
      <c r="JY56" s="402">
        <f>IF(AND(281&gt;=$NR$56,281&lt;=$NS$56),IF($NP$56="Single_Point",IF(281=$NR$56,$NN$56,0),IF($NP$56="Bell_Curve",$NN$56*(281-$NR$56+1)*($NS$56-281+1)/$NU$56,$NN$56/$NT$56)),0)</f>
        <v/>
      </c>
      <c r="JZ56" s="402">
        <f>IF(AND(282&gt;=$NR$56,282&lt;=$NS$56),IF($NP$56="Single_Point",IF(282=$NR$56,$NN$56,0),IF($NP$56="Bell_Curve",$NN$56*(282-$NR$56+1)*($NS$56-282+1)/$NU$56,$NN$56/$NT$56)),0)</f>
        <v/>
      </c>
      <c r="KA56" s="402">
        <f>IF(AND(283&gt;=$NR$56,283&lt;=$NS$56),IF($NP$56="Single_Point",IF(283=$NR$56,$NN$56,0),IF($NP$56="Bell_Curve",$NN$56*(283-$NR$56+1)*($NS$56-283+1)/$NU$56,$NN$56/$NT$56)),0)</f>
        <v/>
      </c>
      <c r="KB56" s="402">
        <f>IF(AND(284&gt;=$NR$56,284&lt;=$NS$56),IF($NP$56="Single_Point",IF(284=$NR$56,$NN$56,0),IF($NP$56="Bell_Curve",$NN$56*(284-$NR$56+1)*($NS$56-284+1)/$NU$56,$NN$56/$NT$56)),0)</f>
        <v/>
      </c>
      <c r="KC56" s="402">
        <f>IF(AND(285&gt;=$NR$56,285&lt;=$NS$56),IF($NP$56="Single_Point",IF(285=$NR$56,$NN$56,0),IF($NP$56="Bell_Curve",$NN$56*(285-$NR$56+1)*($NS$56-285+1)/$NU$56,$NN$56/$NT$56)),0)</f>
        <v/>
      </c>
      <c r="KD56" s="402">
        <f>IF(AND(286&gt;=$NR$56,286&lt;=$NS$56),IF($NP$56="Single_Point",IF(286=$NR$56,$NN$56,0),IF($NP$56="Bell_Curve",$NN$56*(286-$NR$56+1)*($NS$56-286+1)/$NU$56,$NN$56/$NT$56)),0)</f>
        <v/>
      </c>
      <c r="KE56" s="402">
        <f>IF(AND(287&gt;=$NR$56,287&lt;=$NS$56),IF($NP$56="Single_Point",IF(287=$NR$56,$NN$56,0),IF($NP$56="Bell_Curve",$NN$56*(287-$NR$56+1)*($NS$56-287+1)/$NU$56,$NN$56/$NT$56)),0)</f>
        <v/>
      </c>
      <c r="KF56" s="402">
        <f>IF(AND(288&gt;=$NR$56,288&lt;=$NS$56),IF($NP$56="Single_Point",IF(288=$NR$56,$NN$56,0),IF($NP$56="Bell_Curve",$NN$56*(288-$NR$56+1)*($NS$56-288+1)/$NU$56,$NN$56/$NT$56)),0)</f>
        <v/>
      </c>
      <c r="KG56" s="402">
        <f>IF(AND(289&gt;=$NR$56,289&lt;=$NS$56),IF($NP$56="Single_Point",IF(289=$NR$56,$NN$56,0),IF($NP$56="Bell_Curve",$NN$56*(289-$NR$56+1)*($NS$56-289+1)/$NU$56,$NN$56/$NT$56)),0)</f>
        <v/>
      </c>
      <c r="KH56" s="402">
        <f>IF(AND(290&gt;=$NR$56,290&lt;=$NS$56),IF($NP$56="Single_Point",IF(290=$NR$56,$NN$56,0),IF($NP$56="Bell_Curve",$NN$56*(290-$NR$56+1)*($NS$56-290+1)/$NU$56,$NN$56/$NT$56)),0)</f>
        <v/>
      </c>
      <c r="KI56" s="402">
        <f>IF(AND(291&gt;=$NR$56,291&lt;=$NS$56),IF($NP$56="Single_Point",IF(291=$NR$56,$NN$56,0),IF($NP$56="Bell_Curve",$NN$56*(291-$NR$56+1)*($NS$56-291+1)/$NU$56,$NN$56/$NT$56)),0)</f>
        <v/>
      </c>
      <c r="KJ56" s="402">
        <f>IF(AND(292&gt;=$NR$56,292&lt;=$NS$56),IF($NP$56="Single_Point",IF(292=$NR$56,$NN$56,0),IF($NP$56="Bell_Curve",$NN$56*(292-$NR$56+1)*($NS$56-292+1)/$NU$56,$NN$56/$NT$56)),0)</f>
        <v/>
      </c>
      <c r="KK56" s="402">
        <f>IF(AND(293&gt;=$NR$56,293&lt;=$NS$56),IF($NP$56="Single_Point",IF(293=$NR$56,$NN$56,0),IF($NP$56="Bell_Curve",$NN$56*(293-$NR$56+1)*($NS$56-293+1)/$NU$56,$NN$56/$NT$56)),0)</f>
        <v/>
      </c>
      <c r="KL56" s="402">
        <f>IF(AND(294&gt;=$NR$56,294&lt;=$NS$56),IF($NP$56="Single_Point",IF(294=$NR$56,$NN$56,0),IF($NP$56="Bell_Curve",$NN$56*(294-$NR$56+1)*($NS$56-294+1)/$NU$56,$NN$56/$NT$56)),0)</f>
        <v/>
      </c>
      <c r="KM56" s="402">
        <f>IF(AND(295&gt;=$NR$56,295&lt;=$NS$56),IF($NP$56="Single_Point",IF(295=$NR$56,$NN$56,0),IF($NP$56="Bell_Curve",$NN$56*(295-$NR$56+1)*($NS$56-295+1)/$NU$56,$NN$56/$NT$56)),0)</f>
        <v/>
      </c>
      <c r="KN56" s="402">
        <f>IF(AND(296&gt;=$NR$56,296&lt;=$NS$56),IF($NP$56="Single_Point",IF(296=$NR$56,$NN$56,0),IF($NP$56="Bell_Curve",$NN$56*(296-$NR$56+1)*($NS$56-296+1)/$NU$56,$NN$56/$NT$56)),0)</f>
        <v/>
      </c>
      <c r="KO56" s="402">
        <f>IF(AND(297&gt;=$NR$56,297&lt;=$NS$56),IF($NP$56="Single_Point",IF(297=$NR$56,$NN$56,0),IF($NP$56="Bell_Curve",$NN$56*(297-$NR$56+1)*($NS$56-297+1)/$NU$56,$NN$56/$NT$56)),0)</f>
        <v/>
      </c>
      <c r="KP56" s="402">
        <f>IF(AND(298&gt;=$NR$56,298&lt;=$NS$56),IF($NP$56="Single_Point",IF(298=$NR$56,$NN$56,0),IF($NP$56="Bell_Curve",$NN$56*(298-$NR$56+1)*($NS$56-298+1)/$NU$56,$NN$56/$NT$56)),0)</f>
        <v/>
      </c>
      <c r="KQ56" s="402">
        <f>IF(AND(299&gt;=$NR$56,299&lt;=$NS$56),IF($NP$56="Single_Point",IF(299=$NR$56,$NN$56,0),IF($NP$56="Bell_Curve",$NN$56*(299-$NR$56+1)*($NS$56-299+1)/$NU$56,$NN$56/$NT$56)),0)</f>
        <v/>
      </c>
      <c r="KR56" s="402">
        <f>IF(AND(300&gt;=$NR$56,300&lt;=$NS$56),IF($NP$56="Single_Point",IF(300=$NR$56,$NN$56,0),IF($NP$56="Bell_Curve",$NN$56*(300-$NR$56+1)*($NS$56-300+1)/$NU$56,$NN$56/$NT$56)),0)</f>
        <v/>
      </c>
      <c r="KS56" s="402">
        <f>IF(AND(301&gt;=$NR$56,301&lt;=$NS$56),IF($NP$56="Single_Point",IF(301=$NR$56,$NN$56,0),IF($NP$56="Bell_Curve",$NN$56*(301-$NR$56+1)*($NS$56-301+1)/$NU$56,$NN$56/$NT$56)),0)</f>
        <v/>
      </c>
      <c r="KT56" s="402">
        <f>IF(AND(302&gt;=$NR$56,302&lt;=$NS$56),IF($NP$56="Single_Point",IF(302=$NR$56,$NN$56,0),IF($NP$56="Bell_Curve",$NN$56*(302-$NR$56+1)*($NS$56-302+1)/$NU$56,$NN$56/$NT$56)),0)</f>
        <v/>
      </c>
      <c r="KU56" s="402">
        <f>IF(AND(303&gt;=$NR$56,303&lt;=$NS$56),IF($NP$56="Single_Point",IF(303=$NR$56,$NN$56,0),IF($NP$56="Bell_Curve",$NN$56*(303-$NR$56+1)*($NS$56-303+1)/$NU$56,$NN$56/$NT$56)),0)</f>
        <v/>
      </c>
      <c r="KV56" s="402">
        <f>IF(AND(304&gt;=$NR$56,304&lt;=$NS$56),IF($NP$56="Single_Point",IF(304=$NR$56,$NN$56,0),IF($NP$56="Bell_Curve",$NN$56*(304-$NR$56+1)*($NS$56-304+1)/$NU$56,$NN$56/$NT$56)),0)</f>
        <v/>
      </c>
      <c r="KW56" s="402">
        <f>IF(AND(305&gt;=$NR$56,305&lt;=$NS$56),IF($NP$56="Single_Point",IF(305=$NR$56,$NN$56,0),IF($NP$56="Bell_Curve",$NN$56*(305-$NR$56+1)*($NS$56-305+1)/$NU$56,$NN$56/$NT$56)),0)</f>
        <v/>
      </c>
      <c r="KX56" s="402">
        <f>IF(AND(306&gt;=$NR$56,306&lt;=$NS$56),IF($NP$56="Single_Point",IF(306=$NR$56,$NN$56,0),IF($NP$56="Bell_Curve",$NN$56*(306-$NR$56+1)*($NS$56-306+1)/$NU$56,$NN$56/$NT$56)),0)</f>
        <v/>
      </c>
      <c r="KY56" s="402">
        <f>IF(AND(307&gt;=$NR$56,307&lt;=$NS$56),IF($NP$56="Single_Point",IF(307=$NR$56,$NN$56,0),IF($NP$56="Bell_Curve",$NN$56*(307-$NR$56+1)*($NS$56-307+1)/$NU$56,$NN$56/$NT$56)),0)</f>
        <v/>
      </c>
      <c r="KZ56" s="402">
        <f>IF(AND(308&gt;=$NR$56,308&lt;=$NS$56),IF($NP$56="Single_Point",IF(308=$NR$56,$NN$56,0),IF($NP$56="Bell_Curve",$NN$56*(308-$NR$56+1)*($NS$56-308+1)/$NU$56,$NN$56/$NT$56)),0)</f>
        <v/>
      </c>
      <c r="LA56" s="402">
        <f>IF(AND(309&gt;=$NR$56,309&lt;=$NS$56),IF($NP$56="Single_Point",IF(309=$NR$56,$NN$56,0),IF($NP$56="Bell_Curve",$NN$56*(309-$NR$56+1)*($NS$56-309+1)/$NU$56,$NN$56/$NT$56)),0)</f>
        <v/>
      </c>
      <c r="LB56" s="402">
        <f>IF(AND(310&gt;=$NR$56,310&lt;=$NS$56),IF($NP$56="Single_Point",IF(310=$NR$56,$NN$56,0),IF($NP$56="Bell_Curve",$NN$56*(310-$NR$56+1)*($NS$56-310+1)/$NU$56,$NN$56/$NT$56)),0)</f>
        <v/>
      </c>
      <c r="LC56" s="402">
        <f>IF(AND(311&gt;=$NR$56,311&lt;=$NS$56),IF($NP$56="Single_Point",IF(311=$NR$56,$NN$56,0),IF($NP$56="Bell_Curve",$NN$56*(311-$NR$56+1)*($NS$56-311+1)/$NU$56,$NN$56/$NT$56)),0)</f>
        <v/>
      </c>
      <c r="LD56" s="402">
        <f>IF(AND(312&gt;=$NR$56,312&lt;=$NS$56),IF($NP$56="Single_Point",IF(312=$NR$56,$NN$56,0),IF($NP$56="Bell_Curve",$NN$56*(312-$NR$56+1)*($NS$56-312+1)/$NU$56,$NN$56/$NT$56)),0)</f>
        <v/>
      </c>
      <c r="LE56" s="402">
        <f>IF(AND(313&gt;=$NR$56,313&lt;=$NS$56),IF($NP$56="Single_Point",IF(313=$NR$56,$NN$56,0),IF($NP$56="Bell_Curve",$NN$56*(313-$NR$56+1)*($NS$56-313+1)/$NU$56,$NN$56/$NT$56)),0)</f>
        <v/>
      </c>
      <c r="LF56" s="402">
        <f>IF(AND(314&gt;=$NR$56,314&lt;=$NS$56),IF($NP$56="Single_Point",IF(314=$NR$56,$NN$56,0),IF($NP$56="Bell_Curve",$NN$56*(314-$NR$56+1)*($NS$56-314+1)/$NU$56,$NN$56/$NT$56)),0)</f>
        <v/>
      </c>
      <c r="LG56" s="402">
        <f>IF(AND(315&gt;=$NR$56,315&lt;=$NS$56),IF($NP$56="Single_Point",IF(315=$NR$56,$NN$56,0),IF($NP$56="Bell_Curve",$NN$56*(315-$NR$56+1)*($NS$56-315+1)/$NU$56,$NN$56/$NT$56)),0)</f>
        <v/>
      </c>
      <c r="LH56" s="402">
        <f>IF(AND(316&gt;=$NR$56,316&lt;=$NS$56),IF($NP$56="Single_Point",IF(316=$NR$56,$NN$56,0),IF($NP$56="Bell_Curve",$NN$56*(316-$NR$56+1)*($NS$56-316+1)/$NU$56,$NN$56/$NT$56)),0)</f>
        <v/>
      </c>
      <c r="LI56" s="402">
        <f>IF(AND(317&gt;=$NR$56,317&lt;=$NS$56),IF($NP$56="Single_Point",IF(317=$NR$56,$NN$56,0),IF($NP$56="Bell_Curve",$NN$56*(317-$NR$56+1)*($NS$56-317+1)/$NU$56,$NN$56/$NT$56)),0)</f>
        <v/>
      </c>
      <c r="LJ56" s="402">
        <f>IF(AND(318&gt;=$NR$56,318&lt;=$NS$56),IF($NP$56="Single_Point",IF(318=$NR$56,$NN$56,0),IF($NP$56="Bell_Curve",$NN$56*(318-$NR$56+1)*($NS$56-318+1)/$NU$56,$NN$56/$NT$56)),0)</f>
        <v/>
      </c>
      <c r="LK56" s="402">
        <f>IF(AND(319&gt;=$NR$56,319&lt;=$NS$56),IF($NP$56="Single_Point",IF(319=$NR$56,$NN$56,0),IF($NP$56="Bell_Curve",$NN$56*(319-$NR$56+1)*($NS$56-319+1)/$NU$56,$NN$56/$NT$56)),0)</f>
        <v/>
      </c>
      <c r="LL56" s="402">
        <f>IF(AND(320&gt;=$NR$56,320&lt;=$NS$56),IF($NP$56="Single_Point",IF(320=$NR$56,$NN$56,0),IF($NP$56="Bell_Curve",$NN$56*(320-$NR$56+1)*($NS$56-320+1)/$NU$56,$NN$56/$NT$56)),0)</f>
        <v/>
      </c>
      <c r="LM56" s="402">
        <f>IF(AND(321&gt;=$NR$56,321&lt;=$NS$56),IF($NP$56="Single_Point",IF(321=$NR$56,$NN$56,0),IF($NP$56="Bell_Curve",$NN$56*(321-$NR$56+1)*($NS$56-321+1)/$NU$56,$NN$56/$NT$56)),0)</f>
        <v/>
      </c>
      <c r="LN56" s="402">
        <f>IF(AND(322&gt;=$NR$56,322&lt;=$NS$56),IF($NP$56="Single_Point",IF(322=$NR$56,$NN$56,0),IF($NP$56="Bell_Curve",$NN$56*(322-$NR$56+1)*($NS$56-322+1)/$NU$56,$NN$56/$NT$56)),0)</f>
        <v/>
      </c>
      <c r="LO56" s="402">
        <f>IF(AND(323&gt;=$NR$56,323&lt;=$NS$56),IF($NP$56="Single_Point",IF(323=$NR$56,$NN$56,0),IF($NP$56="Bell_Curve",$NN$56*(323-$NR$56+1)*($NS$56-323+1)/$NU$56,$NN$56/$NT$56)),0)</f>
        <v/>
      </c>
      <c r="LP56" s="402">
        <f>IF(AND(324&gt;=$NR$56,324&lt;=$NS$56),IF($NP$56="Single_Point",IF(324=$NR$56,$NN$56,0),IF($NP$56="Bell_Curve",$NN$56*(324-$NR$56+1)*($NS$56-324+1)/$NU$56,$NN$56/$NT$56)),0)</f>
        <v/>
      </c>
      <c r="LQ56" s="402">
        <f>IF(AND(325&gt;=$NR$56,325&lt;=$NS$56),IF($NP$56="Single_Point",IF(325=$NR$56,$NN$56,0),IF($NP$56="Bell_Curve",$NN$56*(325-$NR$56+1)*($NS$56-325+1)/$NU$56,$NN$56/$NT$56)),0)</f>
        <v/>
      </c>
      <c r="LR56" s="402">
        <f>IF(AND(326&gt;=$NR$56,326&lt;=$NS$56),IF($NP$56="Single_Point",IF(326=$NR$56,$NN$56,0),IF($NP$56="Bell_Curve",$NN$56*(326-$NR$56+1)*($NS$56-326+1)/$NU$56,$NN$56/$NT$56)),0)</f>
        <v/>
      </c>
      <c r="LS56" s="402">
        <f>IF(AND(327&gt;=$NR$56,327&lt;=$NS$56),IF($NP$56="Single_Point",IF(327=$NR$56,$NN$56,0),IF($NP$56="Bell_Curve",$NN$56*(327-$NR$56+1)*($NS$56-327+1)/$NU$56,$NN$56/$NT$56)),0)</f>
        <v/>
      </c>
      <c r="LT56" s="402">
        <f>IF(AND(328&gt;=$NR$56,328&lt;=$NS$56),IF($NP$56="Single_Point",IF(328=$NR$56,$NN$56,0),IF($NP$56="Bell_Curve",$NN$56*(328-$NR$56+1)*($NS$56-328+1)/$NU$56,$NN$56/$NT$56)),0)</f>
        <v/>
      </c>
      <c r="LU56" s="402">
        <f>IF(AND(329&gt;=$NR$56,329&lt;=$NS$56),IF($NP$56="Single_Point",IF(329=$NR$56,$NN$56,0),IF($NP$56="Bell_Curve",$NN$56*(329-$NR$56+1)*($NS$56-329+1)/$NU$56,$NN$56/$NT$56)),0)</f>
        <v/>
      </c>
      <c r="LV56" s="402">
        <f>IF(AND(330&gt;=$NR$56,330&lt;=$NS$56),IF($NP$56="Single_Point",IF(330=$NR$56,$NN$56,0),IF($NP$56="Bell_Curve",$NN$56*(330-$NR$56+1)*($NS$56-330+1)/$NU$56,$NN$56/$NT$56)),0)</f>
        <v/>
      </c>
      <c r="LW56" s="402">
        <f>IF(AND(331&gt;=$NR$56,331&lt;=$NS$56),IF($NP$56="Single_Point",IF(331=$NR$56,$NN$56,0),IF($NP$56="Bell_Curve",$NN$56*(331-$NR$56+1)*($NS$56-331+1)/$NU$56,$NN$56/$NT$56)),0)</f>
        <v/>
      </c>
      <c r="LX56" s="402">
        <f>IF(AND(332&gt;=$NR$56,332&lt;=$NS$56),IF($NP$56="Single_Point",IF(332=$NR$56,$NN$56,0),IF($NP$56="Bell_Curve",$NN$56*(332-$NR$56+1)*($NS$56-332+1)/$NU$56,$NN$56/$NT$56)),0)</f>
        <v/>
      </c>
      <c r="LY56" s="402">
        <f>IF(AND(333&gt;=$NR$56,333&lt;=$NS$56),IF($NP$56="Single_Point",IF(333=$NR$56,$NN$56,0),IF($NP$56="Bell_Curve",$NN$56*(333-$NR$56+1)*($NS$56-333+1)/$NU$56,$NN$56/$NT$56)),0)</f>
        <v/>
      </c>
      <c r="LZ56" s="402">
        <f>IF(AND(334&gt;=$NR$56,334&lt;=$NS$56),IF($NP$56="Single_Point",IF(334=$NR$56,$NN$56,0),IF($NP$56="Bell_Curve",$NN$56*(334-$NR$56+1)*($NS$56-334+1)/$NU$56,$NN$56/$NT$56)),0)</f>
        <v/>
      </c>
      <c r="MA56" s="402">
        <f>IF(AND(335&gt;=$NR$56,335&lt;=$NS$56),IF($NP$56="Single_Point",IF(335=$NR$56,$NN$56,0),IF($NP$56="Bell_Curve",$NN$56*(335-$NR$56+1)*($NS$56-335+1)/$NU$56,$NN$56/$NT$56)),0)</f>
        <v/>
      </c>
      <c r="MB56" s="402">
        <f>IF(AND(336&gt;=$NR$56,336&lt;=$NS$56),IF($NP$56="Single_Point",IF(336=$NR$56,$NN$56,0),IF($NP$56="Bell_Curve",$NN$56*(336-$NR$56+1)*($NS$56-336+1)/$NU$56,$NN$56/$NT$56)),0)</f>
        <v/>
      </c>
      <c r="MC56" s="402">
        <f>IF(AND(337&gt;=$NR$56,337&lt;=$NS$56),IF($NP$56="Single_Point",IF(337=$NR$56,$NN$56,0),IF($NP$56="Bell_Curve",$NN$56*(337-$NR$56+1)*($NS$56-337+1)/$NU$56,$NN$56/$NT$56)),0)</f>
        <v/>
      </c>
      <c r="MD56" s="402">
        <f>IF(AND(338&gt;=$NR$56,338&lt;=$NS$56),IF($NP$56="Single_Point",IF(338=$NR$56,$NN$56,0),IF($NP$56="Bell_Curve",$NN$56*(338-$NR$56+1)*($NS$56-338+1)/$NU$56,$NN$56/$NT$56)),0)</f>
        <v/>
      </c>
      <c r="ME56" s="402">
        <f>IF(AND(339&gt;=$NR$56,339&lt;=$NS$56),IF($NP$56="Single_Point",IF(339=$NR$56,$NN$56,0),IF($NP$56="Bell_Curve",$NN$56*(339-$NR$56+1)*($NS$56-339+1)/$NU$56,$NN$56/$NT$56)),0)</f>
        <v/>
      </c>
      <c r="MF56" s="402">
        <f>IF(AND(340&gt;=$NR$56,340&lt;=$NS$56),IF($NP$56="Single_Point",IF(340=$NR$56,$NN$56,0),IF($NP$56="Bell_Curve",$NN$56*(340-$NR$56+1)*($NS$56-340+1)/$NU$56,$NN$56/$NT$56)),0)</f>
        <v/>
      </c>
      <c r="MG56" s="402">
        <f>IF(AND(341&gt;=$NR$56,341&lt;=$NS$56),IF($NP$56="Single_Point",IF(341=$NR$56,$NN$56,0),IF($NP$56="Bell_Curve",$NN$56*(341-$NR$56+1)*($NS$56-341+1)/$NU$56,$NN$56/$NT$56)),0)</f>
        <v/>
      </c>
      <c r="MH56" s="402">
        <f>IF(AND(342&gt;=$NR$56,342&lt;=$NS$56),IF($NP$56="Single_Point",IF(342=$NR$56,$NN$56,0),IF($NP$56="Bell_Curve",$NN$56*(342-$NR$56+1)*($NS$56-342+1)/$NU$56,$NN$56/$NT$56)),0)</f>
        <v/>
      </c>
      <c r="MI56" s="402">
        <f>IF(AND(343&gt;=$NR$56,343&lt;=$NS$56),IF($NP$56="Single_Point",IF(343=$NR$56,$NN$56,0),IF($NP$56="Bell_Curve",$NN$56*(343-$NR$56+1)*($NS$56-343+1)/$NU$56,$NN$56/$NT$56)),0)</f>
        <v/>
      </c>
      <c r="MJ56" s="402">
        <f>IF(AND(344&gt;=$NR$56,344&lt;=$NS$56),IF($NP$56="Single_Point",IF(344=$NR$56,$NN$56,0),IF($NP$56="Bell_Curve",$NN$56*(344-$NR$56+1)*($NS$56-344+1)/$NU$56,$NN$56/$NT$56)),0)</f>
        <v/>
      </c>
      <c r="MK56" s="402">
        <f>IF(AND(345&gt;=$NR$56,345&lt;=$NS$56),IF($NP$56="Single_Point",IF(345=$NR$56,$NN$56,0),IF($NP$56="Bell_Curve",$NN$56*(345-$NR$56+1)*($NS$56-345+1)/$NU$56,$NN$56/$NT$56)),0)</f>
        <v/>
      </c>
      <c r="ML56" s="402">
        <f>IF(AND(346&gt;=$NR$56,346&lt;=$NS$56),IF($NP$56="Single_Point",IF(346=$NR$56,$NN$56,0),IF($NP$56="Bell_Curve",$NN$56*(346-$NR$56+1)*($NS$56-346+1)/$NU$56,$NN$56/$NT$56)),0)</f>
        <v/>
      </c>
      <c r="MM56" s="402">
        <f>IF(AND(347&gt;=$NR$56,347&lt;=$NS$56),IF($NP$56="Single_Point",IF(347=$NR$56,$NN$56,0),IF($NP$56="Bell_Curve",$NN$56*(347-$NR$56+1)*($NS$56-347+1)/$NU$56,$NN$56/$NT$56)),0)</f>
        <v/>
      </c>
      <c r="MN56" s="402">
        <f>IF(AND(348&gt;=$NR$56,348&lt;=$NS$56),IF($NP$56="Single_Point",IF(348=$NR$56,$NN$56,0),IF($NP$56="Bell_Curve",$NN$56*(348-$NR$56+1)*($NS$56-348+1)/$NU$56,$NN$56/$NT$56)),0)</f>
        <v/>
      </c>
      <c r="MO56" s="402">
        <f>IF(AND(349&gt;=$NR$56,349&lt;=$NS$56),IF($NP$56="Single_Point",IF(349=$NR$56,$NN$56,0),IF($NP$56="Bell_Curve",$NN$56*(349-$NR$56+1)*($NS$56-349+1)/$NU$56,$NN$56/$NT$56)),0)</f>
        <v/>
      </c>
      <c r="MP56" s="402">
        <f>IF(AND(350&gt;=$NR$56,350&lt;=$NS$56),IF($NP$56="Single_Point",IF(350=$NR$56,$NN$56,0),IF($NP$56="Bell_Curve",$NN$56*(350-$NR$56+1)*($NS$56-350+1)/$NU$56,$NN$56/$NT$56)),0)</f>
        <v/>
      </c>
      <c r="MQ56" s="402">
        <f>IF(AND(351&gt;=$NR$56,351&lt;=$NS$56),IF($NP$56="Single_Point",IF(351=$NR$56,$NN$56,0),IF($NP$56="Bell_Curve",$NN$56*(351-$NR$56+1)*($NS$56-351+1)/$NU$56,$NN$56/$NT$56)),0)</f>
        <v/>
      </c>
      <c r="MR56" s="402">
        <f>IF(AND(352&gt;=$NR$56,352&lt;=$NS$56),IF($NP$56="Single_Point",IF(352=$NR$56,$NN$56,0),IF($NP$56="Bell_Curve",$NN$56*(352-$NR$56+1)*($NS$56-352+1)/$NU$56,$NN$56/$NT$56)),0)</f>
        <v/>
      </c>
      <c r="MS56" s="402">
        <f>IF(AND(353&gt;=$NR$56,353&lt;=$NS$56),IF($NP$56="Single_Point",IF(353=$NR$56,$NN$56,0),IF($NP$56="Bell_Curve",$NN$56*(353-$NR$56+1)*($NS$56-353+1)/$NU$56,$NN$56/$NT$56)),0)</f>
        <v/>
      </c>
      <c r="MT56" s="402">
        <f>IF(AND(354&gt;=$NR$56,354&lt;=$NS$56),IF($NP$56="Single_Point",IF(354=$NR$56,$NN$56,0),IF($NP$56="Bell_Curve",$NN$56*(354-$NR$56+1)*($NS$56-354+1)/$NU$56,$NN$56/$NT$56)),0)</f>
        <v/>
      </c>
      <c r="MU56" s="402">
        <f>IF(AND(355&gt;=$NR$56,355&lt;=$NS$56),IF($NP$56="Single_Point",IF(355=$NR$56,$NN$56,0),IF($NP$56="Bell_Curve",$NN$56*(355-$NR$56+1)*($NS$56-355+1)/$NU$56,$NN$56/$NT$56)),0)</f>
        <v/>
      </c>
      <c r="MV56" s="402">
        <f>IF(AND(356&gt;=$NR$56,356&lt;=$NS$56),IF($NP$56="Single_Point",IF(356=$NR$56,$NN$56,0),IF($NP$56="Bell_Curve",$NN$56*(356-$NR$56+1)*($NS$56-356+1)/$NU$56,$NN$56/$NT$56)),0)</f>
        <v/>
      </c>
      <c r="MW56" s="402">
        <f>IF(AND(357&gt;=$NR$56,357&lt;=$NS$56),IF($NP$56="Single_Point",IF(357=$NR$56,$NN$56,0),IF($NP$56="Bell_Curve",$NN$56*(357-$NR$56+1)*($NS$56-357+1)/$NU$56,$NN$56/$NT$56)),0)</f>
        <v/>
      </c>
      <c r="MX56" s="402">
        <f>IF(AND(358&gt;=$NR$56,358&lt;=$NS$56),IF($NP$56="Single_Point",IF(358=$NR$56,$NN$56,0),IF($NP$56="Bell_Curve",$NN$56*(358-$NR$56+1)*($NS$56-358+1)/$NU$56,$NN$56/$NT$56)),0)</f>
        <v/>
      </c>
      <c r="MY56" s="402">
        <f>IF(AND(359&gt;=$NR$56,359&lt;=$NS$56),IF($NP$56="Single_Point",IF(359=$NR$56,$NN$56,0),IF($NP$56="Bell_Curve",$NN$56*(359-$NR$56+1)*($NS$56-359+1)/$NU$56,$NN$56/$NT$56)),0)</f>
        <v/>
      </c>
      <c r="MZ56" s="402">
        <f>IF(AND(360&gt;=$NR$56,360&lt;=$NS$56),IF($NP$56="Single_Point",IF(360=$NR$56,$NN$56,0),IF($NP$56="Bell_Curve",$NN$56*(360-$NR$56+1)*($NS$56-360+1)/$NU$56,$NN$56/$NT$56)),0)</f>
        <v/>
      </c>
      <c r="NA56" s="402">
        <f>IF(AND(361&gt;=$NR$56,361&lt;=$NS$56),IF($NP$56="Single_Point",IF(361=$NR$56,$NN$56,0),IF($NP$56="Bell_Curve",$NN$56*(361-$NR$56+1)*($NS$56-361+1)/$NU$56,$NN$56/$NT$56)),0)</f>
        <v/>
      </c>
      <c r="NB56" s="402">
        <f>IF(AND(362&gt;=$NR$56,362&lt;=$NS$56),IF($NP$56="Single_Point",IF(362=$NR$56,$NN$56,0),IF($NP$56="Bell_Curve",$NN$56*(362-$NR$56+1)*($NS$56-362+1)/$NU$56,$NN$56/$NT$56)),0)</f>
        <v/>
      </c>
      <c r="NC56" s="402">
        <f>IF(AND(363&gt;=$NR$56,363&lt;=$NS$56),IF($NP$56="Single_Point",IF(363=$NR$56,$NN$56,0),IF($NP$56="Bell_Curve",$NN$56*(363-$NR$56+1)*($NS$56-363+1)/$NU$56,$NN$56/$NT$56)),0)</f>
        <v/>
      </c>
      <c r="ND56" s="402">
        <f>IF(AND(364&gt;=$NR$56,364&lt;=$NS$56),IF($NP$56="Single_Point",IF(364=$NR$56,$NN$56,0),IF($NP$56="Bell_Curve",$NN$56*(364-$NR$56+1)*($NS$56-364+1)/$NU$56,$NN$56/$NT$56)),0)</f>
        <v/>
      </c>
      <c r="NE56" s="402">
        <f>IF(AND(365&gt;=$NR$56,365&lt;=$NS$56),IF($NP$56="Single_Point",IF(365=$NR$56,$NN$56,0),IF($NP$56="Bell_Curve",$NN$56*(365-$NR$56+1)*($NS$56-365+1)/$NU$56,$NN$56/$NT$56)),0)</f>
        <v/>
      </c>
      <c r="NF56" s="402">
        <f>IF(AND(366&gt;=$NR$56,366&lt;=$NS$56),IF($NP$56="Single_Point",IF(366=$NR$56,$NN$56,0),IF($NP$56="Bell_Curve",$NN$56*(366-$NR$56+1)*($NS$56-366+1)/$NU$56,$NN$56/$NT$56)),0)</f>
        <v/>
      </c>
      <c r="NG56" s="402">
        <f>IF(AND(367&gt;=$NR$56,367&lt;=$NS$56),IF($NP$56="Single_Point",IF(367=$NR$56,$NN$56,0),IF($NP$56="Bell_Curve",$NN$56*(367-$NR$56+1)*($NS$56-367+1)/$NU$56,$NN$56/$NT$56)),0)</f>
        <v/>
      </c>
      <c r="NH56" s="402">
        <f>IF(AND(368&gt;=$NR$56,368&lt;=$NS$56),IF($NP$56="Single_Point",IF(368=$NR$56,$NN$56,0),IF($NP$56="Bell_Curve",$NN$56*(368-$NR$56+1)*($NS$56-368+1)/$NU$56,$NN$56/$NT$56)),0)</f>
        <v/>
      </c>
      <c r="NI56" s="402">
        <f>IF(AND(369&gt;=$NR$56,369&lt;=$NS$56),IF($NP$56="Single_Point",IF(369=$NR$56,$NN$56,0),IF($NP$56="Bell_Curve",$NN$56*(369-$NR$56+1)*($NS$56-369+1)/$NU$56,$NN$56/$NT$56)),0)</f>
        <v/>
      </c>
      <c r="NJ56" s="402">
        <f>IF(AND(370&gt;=$NR$56,370&lt;=$NS$56),IF($NP$56="Single_Point",IF(370=$NR$56,$NN$56,0),IF($NP$56="Bell_Curve",$NN$56*(370-$NR$56+1)*($NS$56-370+1)/$NU$56,$NN$56/$NT$56)),0)</f>
        <v/>
      </c>
      <c r="NK56" s="402">
        <f>IF(AND(371&gt;=$NR$56,371&lt;=$NS$56),IF($NP$56="Single_Point",IF(371=$NR$56,$NN$56,0),IF($NP$56="Bell_Curve",$NN$56*(371-$NR$56+1)*($NS$56-371+1)/$NU$56,$NN$56/$NT$56)),0)</f>
        <v/>
      </c>
      <c r="NL56" s="402">
        <f>IF(AND(372&gt;=$NR$56,372&lt;=$NS$56),IF($NP$56="Single_Point",IF(372=$NR$56,$NN$56,0),IF($NP$56="Bell_Curve",$NN$56*(372-$NR$56+1)*($NS$56-372+1)/$NU$56,$NN$56/$NT$56)),0)</f>
        <v/>
      </c>
      <c r="NM56">
        <f>Budget!C55</f>
        <v/>
      </c>
      <c r="NN56">
        <f>Budget!J55</f>
        <v/>
      </c>
      <c r="NO56">
        <f>Budget!G55</f>
        <v/>
      </c>
      <c r="NP56">
        <f>Budget!H55</f>
        <v/>
      </c>
      <c r="NQ56">
        <f>Budget!I55</f>
        <v/>
      </c>
      <c r="NR56">
        <f>MAX(1,MIN(372,INDEX(MilestoneStart,MATCH(NO56,MilestoneNames,0))+NQ56))</f>
        <v/>
      </c>
      <c r="NS56">
        <f>MAX(NR56,MIN(372,INDEX(MilestoneEnd,MATCH(NO56,MilestoneNames,0))+NQ56))</f>
        <v/>
      </c>
      <c r="NT56">
        <f>NS56-NR56+1</f>
        <v/>
      </c>
      <c r="NU56">
        <f>NT56*(NT56+1)*(NT56+2)/6</f>
        <v/>
      </c>
    </row>
    <row r="57">
      <c r="B57" s="316">
        <f>Budget!B56</f>
        <v/>
      </c>
      <c r="D57" s="402">
        <f>SUM(E57:NL57)</f>
        <v/>
      </c>
      <c r="E57" s="402">
        <f>IF(AND(1&gt;=$NR$57,1&lt;=$NS$57),IF($NP$57="Single_Point",IF(1=$NR$57,$NN$57,0),IF($NP$57="Bell_Curve",$NN$57*(1-$NR$57+1)*($NS$57-1+1)/$NU$57,$NN$57/$NT$57)),0)</f>
        <v/>
      </c>
      <c r="F57" s="402">
        <f>IF(AND(2&gt;=$NR$57,2&lt;=$NS$57),IF($NP$57="Single_Point",IF(2=$NR$57,$NN$57,0),IF($NP$57="Bell_Curve",$NN$57*(2-$NR$57+1)*($NS$57-2+1)/$NU$57,$NN$57/$NT$57)),0)</f>
        <v/>
      </c>
      <c r="G57" s="402">
        <f>IF(AND(3&gt;=$NR$57,3&lt;=$NS$57),IF($NP$57="Single_Point",IF(3=$NR$57,$NN$57,0),IF($NP$57="Bell_Curve",$NN$57*(3-$NR$57+1)*($NS$57-3+1)/$NU$57,$NN$57/$NT$57)),0)</f>
        <v/>
      </c>
      <c r="H57" s="402">
        <f>IF(AND(4&gt;=$NR$57,4&lt;=$NS$57),IF($NP$57="Single_Point",IF(4=$NR$57,$NN$57,0),IF($NP$57="Bell_Curve",$NN$57*(4-$NR$57+1)*($NS$57-4+1)/$NU$57,$NN$57/$NT$57)),0)</f>
        <v/>
      </c>
      <c r="I57" s="402">
        <f>IF(AND(5&gt;=$NR$57,5&lt;=$NS$57),IF($NP$57="Single_Point",IF(5=$NR$57,$NN$57,0),IF($NP$57="Bell_Curve",$NN$57*(5-$NR$57+1)*($NS$57-5+1)/$NU$57,$NN$57/$NT$57)),0)</f>
        <v/>
      </c>
      <c r="J57" s="402">
        <f>IF(AND(6&gt;=$NR$57,6&lt;=$NS$57),IF($NP$57="Single_Point",IF(6=$NR$57,$NN$57,0),IF($NP$57="Bell_Curve",$NN$57*(6-$NR$57+1)*($NS$57-6+1)/$NU$57,$NN$57/$NT$57)),0)</f>
        <v/>
      </c>
      <c r="K57" s="402">
        <f>IF(AND(7&gt;=$NR$57,7&lt;=$NS$57),IF($NP$57="Single_Point",IF(7=$NR$57,$NN$57,0),IF($NP$57="Bell_Curve",$NN$57*(7-$NR$57+1)*($NS$57-7+1)/$NU$57,$NN$57/$NT$57)),0)</f>
        <v/>
      </c>
      <c r="L57" s="402">
        <f>IF(AND(8&gt;=$NR$57,8&lt;=$NS$57),IF($NP$57="Single_Point",IF(8=$NR$57,$NN$57,0),IF($NP$57="Bell_Curve",$NN$57*(8-$NR$57+1)*($NS$57-8+1)/$NU$57,$NN$57/$NT$57)),0)</f>
        <v/>
      </c>
      <c r="M57" s="402">
        <f>IF(AND(9&gt;=$NR$57,9&lt;=$NS$57),IF($NP$57="Single_Point",IF(9=$NR$57,$NN$57,0),IF($NP$57="Bell_Curve",$NN$57*(9-$NR$57+1)*($NS$57-9+1)/$NU$57,$NN$57/$NT$57)),0)</f>
        <v/>
      </c>
      <c r="N57" s="402">
        <f>IF(AND(10&gt;=$NR$57,10&lt;=$NS$57),IF($NP$57="Single_Point",IF(10=$NR$57,$NN$57,0),IF($NP$57="Bell_Curve",$NN$57*(10-$NR$57+1)*($NS$57-10+1)/$NU$57,$NN$57/$NT$57)),0)</f>
        <v/>
      </c>
      <c r="O57" s="402">
        <f>IF(AND(11&gt;=$NR$57,11&lt;=$NS$57),IF($NP$57="Single_Point",IF(11=$NR$57,$NN$57,0),IF($NP$57="Bell_Curve",$NN$57*(11-$NR$57+1)*($NS$57-11+1)/$NU$57,$NN$57/$NT$57)),0)</f>
        <v/>
      </c>
      <c r="P57" s="402">
        <f>IF(AND(12&gt;=$NR$57,12&lt;=$NS$57),IF($NP$57="Single_Point",IF(12=$NR$57,$NN$57,0),IF($NP$57="Bell_Curve",$NN$57*(12-$NR$57+1)*($NS$57-12+1)/$NU$57,$NN$57/$NT$57)),0)</f>
        <v/>
      </c>
      <c r="Q57" s="402">
        <f>IF(AND(13&gt;=$NR$57,13&lt;=$NS$57),IF($NP$57="Single_Point",IF(13=$NR$57,$NN$57,0),IF($NP$57="Bell_Curve",$NN$57*(13-$NR$57+1)*($NS$57-13+1)/$NU$57,$NN$57/$NT$57)),0)</f>
        <v/>
      </c>
      <c r="R57" s="402">
        <f>IF(AND(14&gt;=$NR$57,14&lt;=$NS$57),IF($NP$57="Single_Point",IF(14=$NR$57,$NN$57,0),IF($NP$57="Bell_Curve",$NN$57*(14-$NR$57+1)*($NS$57-14+1)/$NU$57,$NN$57/$NT$57)),0)</f>
        <v/>
      </c>
      <c r="S57" s="402">
        <f>IF(AND(15&gt;=$NR$57,15&lt;=$NS$57),IF($NP$57="Single_Point",IF(15=$NR$57,$NN$57,0),IF($NP$57="Bell_Curve",$NN$57*(15-$NR$57+1)*($NS$57-15+1)/$NU$57,$NN$57/$NT$57)),0)</f>
        <v/>
      </c>
      <c r="T57" s="402">
        <f>IF(AND(16&gt;=$NR$57,16&lt;=$NS$57),IF($NP$57="Single_Point",IF(16=$NR$57,$NN$57,0),IF($NP$57="Bell_Curve",$NN$57*(16-$NR$57+1)*($NS$57-16+1)/$NU$57,$NN$57/$NT$57)),0)</f>
        <v/>
      </c>
      <c r="U57" s="402">
        <f>IF(AND(17&gt;=$NR$57,17&lt;=$NS$57),IF($NP$57="Single_Point",IF(17=$NR$57,$NN$57,0),IF($NP$57="Bell_Curve",$NN$57*(17-$NR$57+1)*($NS$57-17+1)/$NU$57,$NN$57/$NT$57)),0)</f>
        <v/>
      </c>
      <c r="V57" s="402">
        <f>IF(AND(18&gt;=$NR$57,18&lt;=$NS$57),IF($NP$57="Single_Point",IF(18=$NR$57,$NN$57,0),IF($NP$57="Bell_Curve",$NN$57*(18-$NR$57+1)*($NS$57-18+1)/$NU$57,$NN$57/$NT$57)),0)</f>
        <v/>
      </c>
      <c r="W57" s="402">
        <f>IF(AND(19&gt;=$NR$57,19&lt;=$NS$57),IF($NP$57="Single_Point",IF(19=$NR$57,$NN$57,0),IF($NP$57="Bell_Curve",$NN$57*(19-$NR$57+1)*($NS$57-19+1)/$NU$57,$NN$57/$NT$57)),0)</f>
        <v/>
      </c>
      <c r="X57" s="402">
        <f>IF(AND(20&gt;=$NR$57,20&lt;=$NS$57),IF($NP$57="Single_Point",IF(20=$NR$57,$NN$57,0),IF($NP$57="Bell_Curve",$NN$57*(20-$NR$57+1)*($NS$57-20+1)/$NU$57,$NN$57/$NT$57)),0)</f>
        <v/>
      </c>
      <c r="Y57" s="402">
        <f>IF(AND(21&gt;=$NR$57,21&lt;=$NS$57),IF($NP$57="Single_Point",IF(21=$NR$57,$NN$57,0),IF($NP$57="Bell_Curve",$NN$57*(21-$NR$57+1)*($NS$57-21+1)/$NU$57,$NN$57/$NT$57)),0)</f>
        <v/>
      </c>
      <c r="Z57" s="402">
        <f>IF(AND(22&gt;=$NR$57,22&lt;=$NS$57),IF($NP$57="Single_Point",IF(22=$NR$57,$NN$57,0),IF($NP$57="Bell_Curve",$NN$57*(22-$NR$57+1)*($NS$57-22+1)/$NU$57,$NN$57/$NT$57)),0)</f>
        <v/>
      </c>
      <c r="AA57" s="402">
        <f>IF(AND(23&gt;=$NR$57,23&lt;=$NS$57),IF($NP$57="Single_Point",IF(23=$NR$57,$NN$57,0),IF($NP$57="Bell_Curve",$NN$57*(23-$NR$57+1)*($NS$57-23+1)/$NU$57,$NN$57/$NT$57)),0)</f>
        <v/>
      </c>
      <c r="AB57" s="402">
        <f>IF(AND(24&gt;=$NR$57,24&lt;=$NS$57),IF($NP$57="Single_Point",IF(24=$NR$57,$NN$57,0),IF($NP$57="Bell_Curve",$NN$57*(24-$NR$57+1)*($NS$57-24+1)/$NU$57,$NN$57/$NT$57)),0)</f>
        <v/>
      </c>
      <c r="AC57" s="402">
        <f>IF(AND(25&gt;=$NR$57,25&lt;=$NS$57),IF($NP$57="Single_Point",IF(25=$NR$57,$NN$57,0),IF($NP$57="Bell_Curve",$NN$57*(25-$NR$57+1)*($NS$57-25+1)/$NU$57,$NN$57/$NT$57)),0)</f>
        <v/>
      </c>
      <c r="AD57" s="402">
        <f>IF(AND(26&gt;=$NR$57,26&lt;=$NS$57),IF($NP$57="Single_Point",IF(26=$NR$57,$NN$57,0),IF($NP$57="Bell_Curve",$NN$57*(26-$NR$57+1)*($NS$57-26+1)/$NU$57,$NN$57/$NT$57)),0)</f>
        <v/>
      </c>
      <c r="AE57" s="402">
        <f>IF(AND(27&gt;=$NR$57,27&lt;=$NS$57),IF($NP$57="Single_Point",IF(27=$NR$57,$NN$57,0),IF($NP$57="Bell_Curve",$NN$57*(27-$NR$57+1)*($NS$57-27+1)/$NU$57,$NN$57/$NT$57)),0)</f>
        <v/>
      </c>
      <c r="AF57" s="402">
        <f>IF(AND(28&gt;=$NR$57,28&lt;=$NS$57),IF($NP$57="Single_Point",IF(28=$NR$57,$NN$57,0),IF($NP$57="Bell_Curve",$NN$57*(28-$NR$57+1)*($NS$57-28+1)/$NU$57,$NN$57/$NT$57)),0)</f>
        <v/>
      </c>
      <c r="AG57" s="402">
        <f>IF(AND(29&gt;=$NR$57,29&lt;=$NS$57),IF($NP$57="Single_Point",IF(29=$NR$57,$NN$57,0),IF($NP$57="Bell_Curve",$NN$57*(29-$NR$57+1)*($NS$57-29+1)/$NU$57,$NN$57/$NT$57)),0)</f>
        <v/>
      </c>
      <c r="AH57" s="402">
        <f>IF(AND(30&gt;=$NR$57,30&lt;=$NS$57),IF($NP$57="Single_Point",IF(30=$NR$57,$NN$57,0),IF($NP$57="Bell_Curve",$NN$57*(30-$NR$57+1)*($NS$57-30+1)/$NU$57,$NN$57/$NT$57)),0)</f>
        <v/>
      </c>
      <c r="AI57" s="402">
        <f>IF(AND(31&gt;=$NR$57,31&lt;=$NS$57),IF($NP$57="Single_Point",IF(31=$NR$57,$NN$57,0),IF($NP$57="Bell_Curve",$NN$57*(31-$NR$57+1)*($NS$57-31+1)/$NU$57,$NN$57/$NT$57)),0)</f>
        <v/>
      </c>
      <c r="AJ57" s="402">
        <f>IF(AND(32&gt;=$NR$57,32&lt;=$NS$57),IF($NP$57="Single_Point",IF(32=$NR$57,$NN$57,0),IF($NP$57="Bell_Curve",$NN$57*(32-$NR$57+1)*($NS$57-32+1)/$NU$57,$NN$57/$NT$57)),0)</f>
        <v/>
      </c>
      <c r="AK57" s="402">
        <f>IF(AND(33&gt;=$NR$57,33&lt;=$NS$57),IF($NP$57="Single_Point",IF(33=$NR$57,$NN$57,0),IF($NP$57="Bell_Curve",$NN$57*(33-$NR$57+1)*($NS$57-33+1)/$NU$57,$NN$57/$NT$57)),0)</f>
        <v/>
      </c>
      <c r="AL57" s="402">
        <f>IF(AND(34&gt;=$NR$57,34&lt;=$NS$57),IF($NP$57="Single_Point",IF(34=$NR$57,$NN$57,0),IF($NP$57="Bell_Curve",$NN$57*(34-$NR$57+1)*($NS$57-34+1)/$NU$57,$NN$57/$NT$57)),0)</f>
        <v/>
      </c>
      <c r="AM57" s="402">
        <f>IF(AND(35&gt;=$NR$57,35&lt;=$NS$57),IF($NP$57="Single_Point",IF(35=$NR$57,$NN$57,0),IF($NP$57="Bell_Curve",$NN$57*(35-$NR$57+1)*($NS$57-35+1)/$NU$57,$NN$57/$NT$57)),0)</f>
        <v/>
      </c>
      <c r="AN57" s="402">
        <f>IF(AND(36&gt;=$NR$57,36&lt;=$NS$57),IF($NP$57="Single_Point",IF(36=$NR$57,$NN$57,0),IF($NP$57="Bell_Curve",$NN$57*(36-$NR$57+1)*($NS$57-36+1)/$NU$57,$NN$57/$NT$57)),0)</f>
        <v/>
      </c>
      <c r="AO57" s="402">
        <f>IF(AND(37&gt;=$NR$57,37&lt;=$NS$57),IF($NP$57="Single_Point",IF(37=$NR$57,$NN$57,0),IF($NP$57="Bell_Curve",$NN$57*(37-$NR$57+1)*($NS$57-37+1)/$NU$57,$NN$57/$NT$57)),0)</f>
        <v/>
      </c>
      <c r="AP57" s="402">
        <f>IF(AND(38&gt;=$NR$57,38&lt;=$NS$57),IF($NP$57="Single_Point",IF(38=$NR$57,$NN$57,0),IF($NP$57="Bell_Curve",$NN$57*(38-$NR$57+1)*($NS$57-38+1)/$NU$57,$NN$57/$NT$57)),0)</f>
        <v/>
      </c>
      <c r="AQ57" s="402">
        <f>IF(AND(39&gt;=$NR$57,39&lt;=$NS$57),IF($NP$57="Single_Point",IF(39=$NR$57,$NN$57,0),IF($NP$57="Bell_Curve",$NN$57*(39-$NR$57+1)*($NS$57-39+1)/$NU$57,$NN$57/$NT$57)),0)</f>
        <v/>
      </c>
      <c r="AR57" s="402">
        <f>IF(AND(40&gt;=$NR$57,40&lt;=$NS$57),IF($NP$57="Single_Point",IF(40=$NR$57,$NN$57,0),IF($NP$57="Bell_Curve",$NN$57*(40-$NR$57+1)*($NS$57-40+1)/$NU$57,$NN$57/$NT$57)),0)</f>
        <v/>
      </c>
      <c r="AS57" s="402">
        <f>IF(AND(41&gt;=$NR$57,41&lt;=$NS$57),IF($NP$57="Single_Point",IF(41=$NR$57,$NN$57,0),IF($NP$57="Bell_Curve",$NN$57*(41-$NR$57+1)*($NS$57-41+1)/$NU$57,$NN$57/$NT$57)),0)</f>
        <v/>
      </c>
      <c r="AT57" s="402">
        <f>IF(AND(42&gt;=$NR$57,42&lt;=$NS$57),IF($NP$57="Single_Point",IF(42=$NR$57,$NN$57,0),IF($NP$57="Bell_Curve",$NN$57*(42-$NR$57+1)*($NS$57-42+1)/$NU$57,$NN$57/$NT$57)),0)</f>
        <v/>
      </c>
      <c r="AU57" s="402">
        <f>IF(AND(43&gt;=$NR$57,43&lt;=$NS$57),IF($NP$57="Single_Point",IF(43=$NR$57,$NN$57,0),IF($NP$57="Bell_Curve",$NN$57*(43-$NR$57+1)*($NS$57-43+1)/$NU$57,$NN$57/$NT$57)),0)</f>
        <v/>
      </c>
      <c r="AV57" s="402">
        <f>IF(AND(44&gt;=$NR$57,44&lt;=$NS$57),IF($NP$57="Single_Point",IF(44=$NR$57,$NN$57,0),IF($NP$57="Bell_Curve",$NN$57*(44-$NR$57+1)*($NS$57-44+1)/$NU$57,$NN$57/$NT$57)),0)</f>
        <v/>
      </c>
      <c r="AW57" s="402">
        <f>IF(AND(45&gt;=$NR$57,45&lt;=$NS$57),IF($NP$57="Single_Point",IF(45=$NR$57,$NN$57,0),IF($NP$57="Bell_Curve",$NN$57*(45-$NR$57+1)*($NS$57-45+1)/$NU$57,$NN$57/$NT$57)),0)</f>
        <v/>
      </c>
      <c r="AX57" s="402">
        <f>IF(AND(46&gt;=$NR$57,46&lt;=$NS$57),IF($NP$57="Single_Point",IF(46=$NR$57,$NN$57,0),IF($NP$57="Bell_Curve",$NN$57*(46-$NR$57+1)*($NS$57-46+1)/$NU$57,$NN$57/$NT$57)),0)</f>
        <v/>
      </c>
      <c r="AY57" s="402">
        <f>IF(AND(47&gt;=$NR$57,47&lt;=$NS$57),IF($NP$57="Single_Point",IF(47=$NR$57,$NN$57,0),IF($NP$57="Bell_Curve",$NN$57*(47-$NR$57+1)*($NS$57-47+1)/$NU$57,$NN$57/$NT$57)),0)</f>
        <v/>
      </c>
      <c r="AZ57" s="402">
        <f>IF(AND(48&gt;=$NR$57,48&lt;=$NS$57),IF($NP$57="Single_Point",IF(48=$NR$57,$NN$57,0),IF($NP$57="Bell_Curve",$NN$57*(48-$NR$57+1)*($NS$57-48+1)/$NU$57,$NN$57/$NT$57)),0)</f>
        <v/>
      </c>
      <c r="BA57" s="402">
        <f>IF(AND(49&gt;=$NR$57,49&lt;=$NS$57),IF($NP$57="Single_Point",IF(49=$NR$57,$NN$57,0),IF($NP$57="Bell_Curve",$NN$57*(49-$NR$57+1)*($NS$57-49+1)/$NU$57,$NN$57/$NT$57)),0)</f>
        <v/>
      </c>
      <c r="BB57" s="402">
        <f>IF(AND(50&gt;=$NR$57,50&lt;=$NS$57),IF($NP$57="Single_Point",IF(50=$NR$57,$NN$57,0),IF($NP$57="Bell_Curve",$NN$57*(50-$NR$57+1)*($NS$57-50+1)/$NU$57,$NN$57/$NT$57)),0)</f>
        <v/>
      </c>
      <c r="BC57" s="402">
        <f>IF(AND(51&gt;=$NR$57,51&lt;=$NS$57),IF($NP$57="Single_Point",IF(51=$NR$57,$NN$57,0),IF($NP$57="Bell_Curve",$NN$57*(51-$NR$57+1)*($NS$57-51+1)/$NU$57,$NN$57/$NT$57)),0)</f>
        <v/>
      </c>
      <c r="BD57" s="402">
        <f>IF(AND(52&gt;=$NR$57,52&lt;=$NS$57),IF($NP$57="Single_Point",IF(52=$NR$57,$NN$57,0),IF($NP$57="Bell_Curve",$NN$57*(52-$NR$57+1)*($NS$57-52+1)/$NU$57,$NN$57/$NT$57)),0)</f>
        <v/>
      </c>
      <c r="BE57" s="402">
        <f>IF(AND(53&gt;=$NR$57,53&lt;=$NS$57),IF($NP$57="Single_Point",IF(53=$NR$57,$NN$57,0),IF($NP$57="Bell_Curve",$NN$57*(53-$NR$57+1)*($NS$57-53+1)/$NU$57,$NN$57/$NT$57)),0)</f>
        <v/>
      </c>
      <c r="BF57" s="402">
        <f>IF(AND(54&gt;=$NR$57,54&lt;=$NS$57),IF($NP$57="Single_Point",IF(54=$NR$57,$NN$57,0),IF($NP$57="Bell_Curve",$NN$57*(54-$NR$57+1)*($NS$57-54+1)/$NU$57,$NN$57/$NT$57)),0)</f>
        <v/>
      </c>
      <c r="BG57" s="402">
        <f>IF(AND(55&gt;=$NR$57,55&lt;=$NS$57),IF($NP$57="Single_Point",IF(55=$NR$57,$NN$57,0),IF($NP$57="Bell_Curve",$NN$57*(55-$NR$57+1)*($NS$57-55+1)/$NU$57,$NN$57/$NT$57)),0)</f>
        <v/>
      </c>
      <c r="BH57" s="402">
        <f>IF(AND(56&gt;=$NR$57,56&lt;=$NS$57),IF($NP$57="Single_Point",IF(56=$NR$57,$NN$57,0),IF($NP$57="Bell_Curve",$NN$57*(56-$NR$57+1)*($NS$57-56+1)/$NU$57,$NN$57/$NT$57)),0)</f>
        <v/>
      </c>
      <c r="BI57" s="402">
        <f>IF(AND(57&gt;=$NR$57,57&lt;=$NS$57),IF($NP$57="Single_Point",IF(57=$NR$57,$NN$57,0),IF($NP$57="Bell_Curve",$NN$57*(57-$NR$57+1)*($NS$57-57+1)/$NU$57,$NN$57/$NT$57)),0)</f>
        <v/>
      </c>
      <c r="BJ57" s="402">
        <f>IF(AND(58&gt;=$NR$57,58&lt;=$NS$57),IF($NP$57="Single_Point",IF(58=$NR$57,$NN$57,0),IF($NP$57="Bell_Curve",$NN$57*(58-$NR$57+1)*($NS$57-58+1)/$NU$57,$NN$57/$NT$57)),0)</f>
        <v/>
      </c>
      <c r="BK57" s="402">
        <f>IF(AND(59&gt;=$NR$57,59&lt;=$NS$57),IF($NP$57="Single_Point",IF(59=$NR$57,$NN$57,0),IF($NP$57="Bell_Curve",$NN$57*(59-$NR$57+1)*($NS$57-59+1)/$NU$57,$NN$57/$NT$57)),0)</f>
        <v/>
      </c>
      <c r="BL57" s="402">
        <f>IF(AND(60&gt;=$NR$57,60&lt;=$NS$57),IF($NP$57="Single_Point",IF(60=$NR$57,$NN$57,0),IF($NP$57="Bell_Curve",$NN$57*(60-$NR$57+1)*($NS$57-60+1)/$NU$57,$NN$57/$NT$57)),0)</f>
        <v/>
      </c>
      <c r="BM57" s="402">
        <f>IF(AND(61&gt;=$NR$57,61&lt;=$NS$57),IF($NP$57="Single_Point",IF(61=$NR$57,$NN$57,0),IF($NP$57="Bell_Curve",$NN$57*(61-$NR$57+1)*($NS$57-61+1)/$NU$57,$NN$57/$NT$57)),0)</f>
        <v/>
      </c>
      <c r="BN57" s="402">
        <f>IF(AND(62&gt;=$NR$57,62&lt;=$NS$57),IF($NP$57="Single_Point",IF(62=$NR$57,$NN$57,0),IF($NP$57="Bell_Curve",$NN$57*(62-$NR$57+1)*($NS$57-62+1)/$NU$57,$NN$57/$NT$57)),0)</f>
        <v/>
      </c>
      <c r="BO57" s="402">
        <f>IF(AND(63&gt;=$NR$57,63&lt;=$NS$57),IF($NP$57="Single_Point",IF(63=$NR$57,$NN$57,0),IF($NP$57="Bell_Curve",$NN$57*(63-$NR$57+1)*($NS$57-63+1)/$NU$57,$NN$57/$NT$57)),0)</f>
        <v/>
      </c>
      <c r="BP57" s="402">
        <f>IF(AND(64&gt;=$NR$57,64&lt;=$NS$57),IF($NP$57="Single_Point",IF(64=$NR$57,$NN$57,0),IF($NP$57="Bell_Curve",$NN$57*(64-$NR$57+1)*($NS$57-64+1)/$NU$57,$NN$57/$NT$57)),0)</f>
        <v/>
      </c>
      <c r="BQ57" s="402">
        <f>IF(AND(65&gt;=$NR$57,65&lt;=$NS$57),IF($NP$57="Single_Point",IF(65=$NR$57,$NN$57,0),IF($NP$57="Bell_Curve",$NN$57*(65-$NR$57+1)*($NS$57-65+1)/$NU$57,$NN$57/$NT$57)),0)</f>
        <v/>
      </c>
      <c r="BR57" s="402">
        <f>IF(AND(66&gt;=$NR$57,66&lt;=$NS$57),IF($NP$57="Single_Point",IF(66=$NR$57,$NN$57,0),IF($NP$57="Bell_Curve",$NN$57*(66-$NR$57+1)*($NS$57-66+1)/$NU$57,$NN$57/$NT$57)),0)</f>
        <v/>
      </c>
      <c r="BS57" s="402">
        <f>IF(AND(67&gt;=$NR$57,67&lt;=$NS$57),IF($NP$57="Single_Point",IF(67=$NR$57,$NN$57,0),IF($NP$57="Bell_Curve",$NN$57*(67-$NR$57+1)*($NS$57-67+1)/$NU$57,$NN$57/$NT$57)),0)</f>
        <v/>
      </c>
      <c r="BT57" s="402">
        <f>IF(AND(68&gt;=$NR$57,68&lt;=$NS$57),IF($NP$57="Single_Point",IF(68=$NR$57,$NN$57,0),IF($NP$57="Bell_Curve",$NN$57*(68-$NR$57+1)*($NS$57-68+1)/$NU$57,$NN$57/$NT$57)),0)</f>
        <v/>
      </c>
      <c r="BU57" s="402">
        <f>IF(AND(69&gt;=$NR$57,69&lt;=$NS$57),IF($NP$57="Single_Point",IF(69=$NR$57,$NN$57,0),IF($NP$57="Bell_Curve",$NN$57*(69-$NR$57+1)*($NS$57-69+1)/$NU$57,$NN$57/$NT$57)),0)</f>
        <v/>
      </c>
      <c r="BV57" s="402">
        <f>IF(AND(70&gt;=$NR$57,70&lt;=$NS$57),IF($NP$57="Single_Point",IF(70=$NR$57,$NN$57,0),IF($NP$57="Bell_Curve",$NN$57*(70-$NR$57+1)*($NS$57-70+1)/$NU$57,$NN$57/$NT$57)),0)</f>
        <v/>
      </c>
      <c r="BW57" s="402">
        <f>IF(AND(71&gt;=$NR$57,71&lt;=$NS$57),IF($NP$57="Single_Point",IF(71=$NR$57,$NN$57,0),IF($NP$57="Bell_Curve",$NN$57*(71-$NR$57+1)*($NS$57-71+1)/$NU$57,$NN$57/$NT$57)),0)</f>
        <v/>
      </c>
      <c r="BX57" s="402">
        <f>IF(AND(72&gt;=$NR$57,72&lt;=$NS$57),IF($NP$57="Single_Point",IF(72=$NR$57,$NN$57,0),IF($NP$57="Bell_Curve",$NN$57*(72-$NR$57+1)*($NS$57-72+1)/$NU$57,$NN$57/$NT$57)),0)</f>
        <v/>
      </c>
      <c r="BY57" s="402">
        <f>IF(AND(73&gt;=$NR$57,73&lt;=$NS$57),IF($NP$57="Single_Point",IF(73=$NR$57,$NN$57,0),IF($NP$57="Bell_Curve",$NN$57*(73-$NR$57+1)*($NS$57-73+1)/$NU$57,$NN$57/$NT$57)),0)</f>
        <v/>
      </c>
      <c r="BZ57" s="402">
        <f>IF(AND(74&gt;=$NR$57,74&lt;=$NS$57),IF($NP$57="Single_Point",IF(74=$NR$57,$NN$57,0),IF($NP$57="Bell_Curve",$NN$57*(74-$NR$57+1)*($NS$57-74+1)/$NU$57,$NN$57/$NT$57)),0)</f>
        <v/>
      </c>
      <c r="CA57" s="402">
        <f>IF(AND(75&gt;=$NR$57,75&lt;=$NS$57),IF($NP$57="Single_Point",IF(75=$NR$57,$NN$57,0),IF($NP$57="Bell_Curve",$NN$57*(75-$NR$57+1)*($NS$57-75+1)/$NU$57,$NN$57/$NT$57)),0)</f>
        <v/>
      </c>
      <c r="CB57" s="402">
        <f>IF(AND(76&gt;=$NR$57,76&lt;=$NS$57),IF($NP$57="Single_Point",IF(76=$NR$57,$NN$57,0),IF($NP$57="Bell_Curve",$NN$57*(76-$NR$57+1)*($NS$57-76+1)/$NU$57,$NN$57/$NT$57)),0)</f>
        <v/>
      </c>
      <c r="CC57" s="402">
        <f>IF(AND(77&gt;=$NR$57,77&lt;=$NS$57),IF($NP$57="Single_Point",IF(77=$NR$57,$NN$57,0),IF($NP$57="Bell_Curve",$NN$57*(77-$NR$57+1)*($NS$57-77+1)/$NU$57,$NN$57/$NT$57)),0)</f>
        <v/>
      </c>
      <c r="CD57" s="402">
        <f>IF(AND(78&gt;=$NR$57,78&lt;=$NS$57),IF($NP$57="Single_Point",IF(78=$NR$57,$NN$57,0),IF($NP$57="Bell_Curve",$NN$57*(78-$NR$57+1)*($NS$57-78+1)/$NU$57,$NN$57/$NT$57)),0)</f>
        <v/>
      </c>
      <c r="CE57" s="402">
        <f>IF(AND(79&gt;=$NR$57,79&lt;=$NS$57),IF($NP$57="Single_Point",IF(79=$NR$57,$NN$57,0),IF($NP$57="Bell_Curve",$NN$57*(79-$NR$57+1)*($NS$57-79+1)/$NU$57,$NN$57/$NT$57)),0)</f>
        <v/>
      </c>
      <c r="CF57" s="402">
        <f>IF(AND(80&gt;=$NR$57,80&lt;=$NS$57),IF($NP$57="Single_Point",IF(80=$NR$57,$NN$57,0),IF($NP$57="Bell_Curve",$NN$57*(80-$NR$57+1)*($NS$57-80+1)/$NU$57,$NN$57/$NT$57)),0)</f>
        <v/>
      </c>
      <c r="CG57" s="402">
        <f>IF(AND(81&gt;=$NR$57,81&lt;=$NS$57),IF($NP$57="Single_Point",IF(81=$NR$57,$NN$57,0),IF($NP$57="Bell_Curve",$NN$57*(81-$NR$57+1)*($NS$57-81+1)/$NU$57,$NN$57/$NT$57)),0)</f>
        <v/>
      </c>
      <c r="CH57" s="402">
        <f>IF(AND(82&gt;=$NR$57,82&lt;=$NS$57),IF($NP$57="Single_Point",IF(82=$NR$57,$NN$57,0),IF($NP$57="Bell_Curve",$NN$57*(82-$NR$57+1)*($NS$57-82+1)/$NU$57,$NN$57/$NT$57)),0)</f>
        <v/>
      </c>
      <c r="CI57" s="402">
        <f>IF(AND(83&gt;=$NR$57,83&lt;=$NS$57),IF($NP$57="Single_Point",IF(83=$NR$57,$NN$57,0),IF($NP$57="Bell_Curve",$NN$57*(83-$NR$57+1)*($NS$57-83+1)/$NU$57,$NN$57/$NT$57)),0)</f>
        <v/>
      </c>
      <c r="CJ57" s="402">
        <f>IF(AND(84&gt;=$NR$57,84&lt;=$NS$57),IF($NP$57="Single_Point",IF(84=$NR$57,$NN$57,0),IF($NP$57="Bell_Curve",$NN$57*(84-$NR$57+1)*($NS$57-84+1)/$NU$57,$NN$57/$NT$57)),0)</f>
        <v/>
      </c>
      <c r="CK57" s="402">
        <f>IF(AND(85&gt;=$NR$57,85&lt;=$NS$57),IF($NP$57="Single_Point",IF(85=$NR$57,$NN$57,0),IF($NP$57="Bell_Curve",$NN$57*(85-$NR$57+1)*($NS$57-85+1)/$NU$57,$NN$57/$NT$57)),0)</f>
        <v/>
      </c>
      <c r="CL57" s="402">
        <f>IF(AND(86&gt;=$NR$57,86&lt;=$NS$57),IF($NP$57="Single_Point",IF(86=$NR$57,$NN$57,0),IF($NP$57="Bell_Curve",$NN$57*(86-$NR$57+1)*($NS$57-86+1)/$NU$57,$NN$57/$NT$57)),0)</f>
        <v/>
      </c>
      <c r="CM57" s="402">
        <f>IF(AND(87&gt;=$NR$57,87&lt;=$NS$57),IF($NP$57="Single_Point",IF(87=$NR$57,$NN$57,0),IF($NP$57="Bell_Curve",$NN$57*(87-$NR$57+1)*($NS$57-87+1)/$NU$57,$NN$57/$NT$57)),0)</f>
        <v/>
      </c>
      <c r="CN57" s="402">
        <f>IF(AND(88&gt;=$NR$57,88&lt;=$NS$57),IF($NP$57="Single_Point",IF(88=$NR$57,$NN$57,0),IF($NP$57="Bell_Curve",$NN$57*(88-$NR$57+1)*($NS$57-88+1)/$NU$57,$NN$57/$NT$57)),0)</f>
        <v/>
      </c>
      <c r="CO57" s="402">
        <f>IF(AND(89&gt;=$NR$57,89&lt;=$NS$57),IF($NP$57="Single_Point",IF(89=$NR$57,$NN$57,0),IF($NP$57="Bell_Curve",$NN$57*(89-$NR$57+1)*($NS$57-89+1)/$NU$57,$NN$57/$NT$57)),0)</f>
        <v/>
      </c>
      <c r="CP57" s="402">
        <f>IF(AND(90&gt;=$NR$57,90&lt;=$NS$57),IF($NP$57="Single_Point",IF(90=$NR$57,$NN$57,0),IF($NP$57="Bell_Curve",$NN$57*(90-$NR$57+1)*($NS$57-90+1)/$NU$57,$NN$57/$NT$57)),0)</f>
        <v/>
      </c>
      <c r="CQ57" s="402">
        <f>IF(AND(91&gt;=$NR$57,91&lt;=$NS$57),IF($NP$57="Single_Point",IF(91=$NR$57,$NN$57,0),IF($NP$57="Bell_Curve",$NN$57*(91-$NR$57+1)*($NS$57-91+1)/$NU$57,$NN$57/$NT$57)),0)</f>
        <v/>
      </c>
      <c r="CR57" s="402">
        <f>IF(AND(92&gt;=$NR$57,92&lt;=$NS$57),IF($NP$57="Single_Point",IF(92=$NR$57,$NN$57,0),IF($NP$57="Bell_Curve",$NN$57*(92-$NR$57+1)*($NS$57-92+1)/$NU$57,$NN$57/$NT$57)),0)</f>
        <v/>
      </c>
      <c r="CS57" s="402">
        <f>IF(AND(93&gt;=$NR$57,93&lt;=$NS$57),IF($NP$57="Single_Point",IF(93=$NR$57,$NN$57,0),IF($NP$57="Bell_Curve",$NN$57*(93-$NR$57+1)*($NS$57-93+1)/$NU$57,$NN$57/$NT$57)),0)</f>
        <v/>
      </c>
      <c r="CT57" s="402">
        <f>IF(AND(94&gt;=$NR$57,94&lt;=$NS$57),IF($NP$57="Single_Point",IF(94=$NR$57,$NN$57,0),IF($NP$57="Bell_Curve",$NN$57*(94-$NR$57+1)*($NS$57-94+1)/$NU$57,$NN$57/$NT$57)),0)</f>
        <v/>
      </c>
      <c r="CU57" s="402">
        <f>IF(AND(95&gt;=$NR$57,95&lt;=$NS$57),IF($NP$57="Single_Point",IF(95=$NR$57,$NN$57,0),IF($NP$57="Bell_Curve",$NN$57*(95-$NR$57+1)*($NS$57-95+1)/$NU$57,$NN$57/$NT$57)),0)</f>
        <v/>
      </c>
      <c r="CV57" s="402">
        <f>IF(AND(96&gt;=$NR$57,96&lt;=$NS$57),IF($NP$57="Single_Point",IF(96=$NR$57,$NN$57,0),IF($NP$57="Bell_Curve",$NN$57*(96-$NR$57+1)*($NS$57-96+1)/$NU$57,$NN$57/$NT$57)),0)</f>
        <v/>
      </c>
      <c r="CW57" s="402">
        <f>IF(AND(97&gt;=$NR$57,97&lt;=$NS$57),IF($NP$57="Single_Point",IF(97=$NR$57,$NN$57,0),IF($NP$57="Bell_Curve",$NN$57*(97-$NR$57+1)*($NS$57-97+1)/$NU$57,$NN$57/$NT$57)),0)</f>
        <v/>
      </c>
      <c r="CX57" s="402">
        <f>IF(AND(98&gt;=$NR$57,98&lt;=$NS$57),IF($NP$57="Single_Point",IF(98=$NR$57,$NN$57,0),IF($NP$57="Bell_Curve",$NN$57*(98-$NR$57+1)*($NS$57-98+1)/$NU$57,$NN$57/$NT$57)),0)</f>
        <v/>
      </c>
      <c r="CY57" s="402">
        <f>IF(AND(99&gt;=$NR$57,99&lt;=$NS$57),IF($NP$57="Single_Point",IF(99=$NR$57,$NN$57,0),IF($NP$57="Bell_Curve",$NN$57*(99-$NR$57+1)*($NS$57-99+1)/$NU$57,$NN$57/$NT$57)),0)</f>
        <v/>
      </c>
      <c r="CZ57" s="402">
        <f>IF(AND(100&gt;=$NR$57,100&lt;=$NS$57),IF($NP$57="Single_Point",IF(100=$NR$57,$NN$57,0),IF($NP$57="Bell_Curve",$NN$57*(100-$NR$57+1)*($NS$57-100+1)/$NU$57,$NN$57/$NT$57)),0)</f>
        <v/>
      </c>
      <c r="DA57" s="402">
        <f>IF(AND(101&gt;=$NR$57,101&lt;=$NS$57),IF($NP$57="Single_Point",IF(101=$NR$57,$NN$57,0),IF($NP$57="Bell_Curve",$NN$57*(101-$NR$57+1)*($NS$57-101+1)/$NU$57,$NN$57/$NT$57)),0)</f>
        <v/>
      </c>
      <c r="DB57" s="402">
        <f>IF(AND(102&gt;=$NR$57,102&lt;=$NS$57),IF($NP$57="Single_Point",IF(102=$NR$57,$NN$57,0),IF($NP$57="Bell_Curve",$NN$57*(102-$NR$57+1)*($NS$57-102+1)/$NU$57,$NN$57/$NT$57)),0)</f>
        <v/>
      </c>
      <c r="DC57" s="402">
        <f>IF(AND(103&gt;=$NR$57,103&lt;=$NS$57),IF($NP$57="Single_Point",IF(103=$NR$57,$NN$57,0),IF($NP$57="Bell_Curve",$NN$57*(103-$NR$57+1)*($NS$57-103+1)/$NU$57,$NN$57/$NT$57)),0)</f>
        <v/>
      </c>
      <c r="DD57" s="402">
        <f>IF(AND(104&gt;=$NR$57,104&lt;=$NS$57),IF($NP$57="Single_Point",IF(104=$NR$57,$NN$57,0),IF($NP$57="Bell_Curve",$NN$57*(104-$NR$57+1)*($NS$57-104+1)/$NU$57,$NN$57/$NT$57)),0)</f>
        <v/>
      </c>
      <c r="DE57" s="402">
        <f>IF(AND(105&gt;=$NR$57,105&lt;=$NS$57),IF($NP$57="Single_Point",IF(105=$NR$57,$NN$57,0),IF($NP$57="Bell_Curve",$NN$57*(105-$NR$57+1)*($NS$57-105+1)/$NU$57,$NN$57/$NT$57)),0)</f>
        <v/>
      </c>
      <c r="DF57" s="402">
        <f>IF(AND(106&gt;=$NR$57,106&lt;=$NS$57),IF($NP$57="Single_Point",IF(106=$NR$57,$NN$57,0),IF($NP$57="Bell_Curve",$NN$57*(106-$NR$57+1)*($NS$57-106+1)/$NU$57,$NN$57/$NT$57)),0)</f>
        <v/>
      </c>
      <c r="DG57" s="402">
        <f>IF(AND(107&gt;=$NR$57,107&lt;=$NS$57),IF($NP$57="Single_Point",IF(107=$NR$57,$NN$57,0),IF($NP$57="Bell_Curve",$NN$57*(107-$NR$57+1)*($NS$57-107+1)/$NU$57,$NN$57/$NT$57)),0)</f>
        <v/>
      </c>
      <c r="DH57" s="402">
        <f>IF(AND(108&gt;=$NR$57,108&lt;=$NS$57),IF($NP$57="Single_Point",IF(108=$NR$57,$NN$57,0),IF($NP$57="Bell_Curve",$NN$57*(108-$NR$57+1)*($NS$57-108+1)/$NU$57,$NN$57/$NT$57)),0)</f>
        <v/>
      </c>
      <c r="DI57" s="402">
        <f>IF(AND(109&gt;=$NR$57,109&lt;=$NS$57),IF($NP$57="Single_Point",IF(109=$NR$57,$NN$57,0),IF($NP$57="Bell_Curve",$NN$57*(109-$NR$57+1)*($NS$57-109+1)/$NU$57,$NN$57/$NT$57)),0)</f>
        <v/>
      </c>
      <c r="DJ57" s="402">
        <f>IF(AND(110&gt;=$NR$57,110&lt;=$NS$57),IF($NP$57="Single_Point",IF(110=$NR$57,$NN$57,0),IF($NP$57="Bell_Curve",$NN$57*(110-$NR$57+1)*($NS$57-110+1)/$NU$57,$NN$57/$NT$57)),0)</f>
        <v/>
      </c>
      <c r="DK57" s="402">
        <f>IF(AND(111&gt;=$NR$57,111&lt;=$NS$57),IF($NP$57="Single_Point",IF(111=$NR$57,$NN$57,0),IF($NP$57="Bell_Curve",$NN$57*(111-$NR$57+1)*($NS$57-111+1)/$NU$57,$NN$57/$NT$57)),0)</f>
        <v/>
      </c>
      <c r="DL57" s="402">
        <f>IF(AND(112&gt;=$NR$57,112&lt;=$NS$57),IF($NP$57="Single_Point",IF(112=$NR$57,$NN$57,0),IF($NP$57="Bell_Curve",$NN$57*(112-$NR$57+1)*($NS$57-112+1)/$NU$57,$NN$57/$NT$57)),0)</f>
        <v/>
      </c>
      <c r="DM57" s="402">
        <f>IF(AND(113&gt;=$NR$57,113&lt;=$NS$57),IF($NP$57="Single_Point",IF(113=$NR$57,$NN$57,0),IF($NP$57="Bell_Curve",$NN$57*(113-$NR$57+1)*($NS$57-113+1)/$NU$57,$NN$57/$NT$57)),0)</f>
        <v/>
      </c>
      <c r="DN57" s="402">
        <f>IF(AND(114&gt;=$NR$57,114&lt;=$NS$57),IF($NP$57="Single_Point",IF(114=$NR$57,$NN$57,0),IF($NP$57="Bell_Curve",$NN$57*(114-$NR$57+1)*($NS$57-114+1)/$NU$57,$NN$57/$NT$57)),0)</f>
        <v/>
      </c>
      <c r="DO57" s="402">
        <f>IF(AND(115&gt;=$NR$57,115&lt;=$NS$57),IF($NP$57="Single_Point",IF(115=$NR$57,$NN$57,0),IF($NP$57="Bell_Curve",$NN$57*(115-$NR$57+1)*($NS$57-115+1)/$NU$57,$NN$57/$NT$57)),0)</f>
        <v/>
      </c>
      <c r="DP57" s="402">
        <f>IF(AND(116&gt;=$NR$57,116&lt;=$NS$57),IF($NP$57="Single_Point",IF(116=$NR$57,$NN$57,0),IF($NP$57="Bell_Curve",$NN$57*(116-$NR$57+1)*($NS$57-116+1)/$NU$57,$NN$57/$NT$57)),0)</f>
        <v/>
      </c>
      <c r="DQ57" s="402">
        <f>IF(AND(117&gt;=$NR$57,117&lt;=$NS$57),IF($NP$57="Single_Point",IF(117=$NR$57,$NN$57,0),IF($NP$57="Bell_Curve",$NN$57*(117-$NR$57+1)*($NS$57-117+1)/$NU$57,$NN$57/$NT$57)),0)</f>
        <v/>
      </c>
      <c r="DR57" s="402">
        <f>IF(AND(118&gt;=$NR$57,118&lt;=$NS$57),IF($NP$57="Single_Point",IF(118=$NR$57,$NN$57,0),IF($NP$57="Bell_Curve",$NN$57*(118-$NR$57+1)*($NS$57-118+1)/$NU$57,$NN$57/$NT$57)),0)</f>
        <v/>
      </c>
      <c r="DS57" s="402">
        <f>IF(AND(119&gt;=$NR$57,119&lt;=$NS$57),IF($NP$57="Single_Point",IF(119=$NR$57,$NN$57,0),IF($NP$57="Bell_Curve",$NN$57*(119-$NR$57+1)*($NS$57-119+1)/$NU$57,$NN$57/$NT$57)),0)</f>
        <v/>
      </c>
      <c r="DT57" s="402">
        <f>IF(AND(120&gt;=$NR$57,120&lt;=$NS$57),IF($NP$57="Single_Point",IF(120=$NR$57,$NN$57,0),IF($NP$57="Bell_Curve",$NN$57*(120-$NR$57+1)*($NS$57-120+1)/$NU$57,$NN$57/$NT$57)),0)</f>
        <v/>
      </c>
      <c r="DU57" s="402">
        <f>IF(AND(121&gt;=$NR$57,121&lt;=$NS$57),IF($NP$57="Single_Point",IF(121=$NR$57,$NN$57,0),IF($NP$57="Bell_Curve",$NN$57*(121-$NR$57+1)*($NS$57-121+1)/$NU$57,$NN$57/$NT$57)),0)</f>
        <v/>
      </c>
      <c r="DV57" s="402">
        <f>IF(AND(122&gt;=$NR$57,122&lt;=$NS$57),IF($NP$57="Single_Point",IF(122=$NR$57,$NN$57,0),IF($NP$57="Bell_Curve",$NN$57*(122-$NR$57+1)*($NS$57-122+1)/$NU$57,$NN$57/$NT$57)),0)</f>
        <v/>
      </c>
      <c r="DW57" s="402">
        <f>IF(AND(123&gt;=$NR$57,123&lt;=$NS$57),IF($NP$57="Single_Point",IF(123=$NR$57,$NN$57,0),IF($NP$57="Bell_Curve",$NN$57*(123-$NR$57+1)*($NS$57-123+1)/$NU$57,$NN$57/$NT$57)),0)</f>
        <v/>
      </c>
      <c r="DX57" s="402">
        <f>IF(AND(124&gt;=$NR$57,124&lt;=$NS$57),IF($NP$57="Single_Point",IF(124=$NR$57,$NN$57,0),IF($NP$57="Bell_Curve",$NN$57*(124-$NR$57+1)*($NS$57-124+1)/$NU$57,$NN$57/$NT$57)),0)</f>
        <v/>
      </c>
      <c r="DY57" s="402">
        <f>IF(AND(125&gt;=$NR$57,125&lt;=$NS$57),IF($NP$57="Single_Point",IF(125=$NR$57,$NN$57,0),IF($NP$57="Bell_Curve",$NN$57*(125-$NR$57+1)*($NS$57-125+1)/$NU$57,$NN$57/$NT$57)),0)</f>
        <v/>
      </c>
      <c r="DZ57" s="402">
        <f>IF(AND(126&gt;=$NR$57,126&lt;=$NS$57),IF($NP$57="Single_Point",IF(126=$NR$57,$NN$57,0),IF($NP$57="Bell_Curve",$NN$57*(126-$NR$57+1)*($NS$57-126+1)/$NU$57,$NN$57/$NT$57)),0)</f>
        <v/>
      </c>
      <c r="EA57" s="402">
        <f>IF(AND(127&gt;=$NR$57,127&lt;=$NS$57),IF($NP$57="Single_Point",IF(127=$NR$57,$NN$57,0),IF($NP$57="Bell_Curve",$NN$57*(127-$NR$57+1)*($NS$57-127+1)/$NU$57,$NN$57/$NT$57)),0)</f>
        <v/>
      </c>
      <c r="EB57" s="402">
        <f>IF(AND(128&gt;=$NR$57,128&lt;=$NS$57),IF($NP$57="Single_Point",IF(128=$NR$57,$NN$57,0),IF($NP$57="Bell_Curve",$NN$57*(128-$NR$57+1)*($NS$57-128+1)/$NU$57,$NN$57/$NT$57)),0)</f>
        <v/>
      </c>
      <c r="EC57" s="402">
        <f>IF(AND(129&gt;=$NR$57,129&lt;=$NS$57),IF($NP$57="Single_Point",IF(129=$NR$57,$NN$57,0),IF($NP$57="Bell_Curve",$NN$57*(129-$NR$57+1)*($NS$57-129+1)/$NU$57,$NN$57/$NT$57)),0)</f>
        <v/>
      </c>
      <c r="ED57" s="402">
        <f>IF(AND(130&gt;=$NR$57,130&lt;=$NS$57),IF($NP$57="Single_Point",IF(130=$NR$57,$NN$57,0),IF($NP$57="Bell_Curve",$NN$57*(130-$NR$57+1)*($NS$57-130+1)/$NU$57,$NN$57/$NT$57)),0)</f>
        <v/>
      </c>
      <c r="EE57" s="402">
        <f>IF(AND(131&gt;=$NR$57,131&lt;=$NS$57),IF($NP$57="Single_Point",IF(131=$NR$57,$NN$57,0),IF($NP$57="Bell_Curve",$NN$57*(131-$NR$57+1)*($NS$57-131+1)/$NU$57,$NN$57/$NT$57)),0)</f>
        <v/>
      </c>
      <c r="EF57" s="402">
        <f>IF(AND(132&gt;=$NR$57,132&lt;=$NS$57),IF($NP$57="Single_Point",IF(132=$NR$57,$NN$57,0),IF($NP$57="Bell_Curve",$NN$57*(132-$NR$57+1)*($NS$57-132+1)/$NU$57,$NN$57/$NT$57)),0)</f>
        <v/>
      </c>
      <c r="EG57" s="402">
        <f>IF(AND(133&gt;=$NR$57,133&lt;=$NS$57),IF($NP$57="Single_Point",IF(133=$NR$57,$NN$57,0),IF($NP$57="Bell_Curve",$NN$57*(133-$NR$57+1)*($NS$57-133+1)/$NU$57,$NN$57/$NT$57)),0)</f>
        <v/>
      </c>
      <c r="EH57" s="402">
        <f>IF(AND(134&gt;=$NR$57,134&lt;=$NS$57),IF($NP$57="Single_Point",IF(134=$NR$57,$NN$57,0),IF($NP$57="Bell_Curve",$NN$57*(134-$NR$57+1)*($NS$57-134+1)/$NU$57,$NN$57/$NT$57)),0)</f>
        <v/>
      </c>
      <c r="EI57" s="402">
        <f>IF(AND(135&gt;=$NR$57,135&lt;=$NS$57),IF($NP$57="Single_Point",IF(135=$NR$57,$NN$57,0),IF($NP$57="Bell_Curve",$NN$57*(135-$NR$57+1)*($NS$57-135+1)/$NU$57,$NN$57/$NT$57)),0)</f>
        <v/>
      </c>
      <c r="EJ57" s="402">
        <f>IF(AND(136&gt;=$NR$57,136&lt;=$NS$57),IF($NP$57="Single_Point",IF(136=$NR$57,$NN$57,0),IF($NP$57="Bell_Curve",$NN$57*(136-$NR$57+1)*($NS$57-136+1)/$NU$57,$NN$57/$NT$57)),0)</f>
        <v/>
      </c>
      <c r="EK57" s="402">
        <f>IF(AND(137&gt;=$NR$57,137&lt;=$NS$57),IF($NP$57="Single_Point",IF(137=$NR$57,$NN$57,0),IF($NP$57="Bell_Curve",$NN$57*(137-$NR$57+1)*($NS$57-137+1)/$NU$57,$NN$57/$NT$57)),0)</f>
        <v/>
      </c>
      <c r="EL57" s="402">
        <f>IF(AND(138&gt;=$NR$57,138&lt;=$NS$57),IF($NP$57="Single_Point",IF(138=$NR$57,$NN$57,0),IF($NP$57="Bell_Curve",$NN$57*(138-$NR$57+1)*($NS$57-138+1)/$NU$57,$NN$57/$NT$57)),0)</f>
        <v/>
      </c>
      <c r="EM57" s="402">
        <f>IF(AND(139&gt;=$NR$57,139&lt;=$NS$57),IF($NP$57="Single_Point",IF(139=$NR$57,$NN$57,0),IF($NP$57="Bell_Curve",$NN$57*(139-$NR$57+1)*($NS$57-139+1)/$NU$57,$NN$57/$NT$57)),0)</f>
        <v/>
      </c>
      <c r="EN57" s="402">
        <f>IF(AND(140&gt;=$NR$57,140&lt;=$NS$57),IF($NP$57="Single_Point",IF(140=$NR$57,$NN$57,0),IF($NP$57="Bell_Curve",$NN$57*(140-$NR$57+1)*($NS$57-140+1)/$NU$57,$NN$57/$NT$57)),0)</f>
        <v/>
      </c>
      <c r="EO57" s="402">
        <f>IF(AND(141&gt;=$NR$57,141&lt;=$NS$57),IF($NP$57="Single_Point",IF(141=$NR$57,$NN$57,0),IF($NP$57="Bell_Curve",$NN$57*(141-$NR$57+1)*($NS$57-141+1)/$NU$57,$NN$57/$NT$57)),0)</f>
        <v/>
      </c>
      <c r="EP57" s="402">
        <f>IF(AND(142&gt;=$NR$57,142&lt;=$NS$57),IF($NP$57="Single_Point",IF(142=$NR$57,$NN$57,0),IF($NP$57="Bell_Curve",$NN$57*(142-$NR$57+1)*($NS$57-142+1)/$NU$57,$NN$57/$NT$57)),0)</f>
        <v/>
      </c>
      <c r="EQ57" s="402">
        <f>IF(AND(143&gt;=$NR$57,143&lt;=$NS$57),IF($NP$57="Single_Point",IF(143=$NR$57,$NN$57,0),IF($NP$57="Bell_Curve",$NN$57*(143-$NR$57+1)*($NS$57-143+1)/$NU$57,$NN$57/$NT$57)),0)</f>
        <v/>
      </c>
      <c r="ER57" s="402">
        <f>IF(AND(144&gt;=$NR$57,144&lt;=$NS$57),IF($NP$57="Single_Point",IF(144=$NR$57,$NN$57,0),IF($NP$57="Bell_Curve",$NN$57*(144-$NR$57+1)*($NS$57-144+1)/$NU$57,$NN$57/$NT$57)),0)</f>
        <v/>
      </c>
      <c r="ES57" s="402">
        <f>IF(AND(145&gt;=$NR$57,145&lt;=$NS$57),IF($NP$57="Single_Point",IF(145=$NR$57,$NN$57,0),IF($NP$57="Bell_Curve",$NN$57*(145-$NR$57+1)*($NS$57-145+1)/$NU$57,$NN$57/$NT$57)),0)</f>
        <v/>
      </c>
      <c r="ET57" s="402">
        <f>IF(AND(146&gt;=$NR$57,146&lt;=$NS$57),IF($NP$57="Single_Point",IF(146=$NR$57,$NN$57,0),IF($NP$57="Bell_Curve",$NN$57*(146-$NR$57+1)*($NS$57-146+1)/$NU$57,$NN$57/$NT$57)),0)</f>
        <v/>
      </c>
      <c r="EU57" s="402">
        <f>IF(AND(147&gt;=$NR$57,147&lt;=$NS$57),IF($NP$57="Single_Point",IF(147=$NR$57,$NN$57,0),IF($NP$57="Bell_Curve",$NN$57*(147-$NR$57+1)*($NS$57-147+1)/$NU$57,$NN$57/$NT$57)),0)</f>
        <v/>
      </c>
      <c r="EV57" s="402">
        <f>IF(AND(148&gt;=$NR$57,148&lt;=$NS$57),IF($NP$57="Single_Point",IF(148=$NR$57,$NN$57,0),IF($NP$57="Bell_Curve",$NN$57*(148-$NR$57+1)*($NS$57-148+1)/$NU$57,$NN$57/$NT$57)),0)</f>
        <v/>
      </c>
      <c r="EW57" s="402">
        <f>IF(AND(149&gt;=$NR$57,149&lt;=$NS$57),IF($NP$57="Single_Point",IF(149=$NR$57,$NN$57,0),IF($NP$57="Bell_Curve",$NN$57*(149-$NR$57+1)*($NS$57-149+1)/$NU$57,$NN$57/$NT$57)),0)</f>
        <v/>
      </c>
      <c r="EX57" s="402">
        <f>IF(AND(150&gt;=$NR$57,150&lt;=$NS$57),IF($NP$57="Single_Point",IF(150=$NR$57,$NN$57,0),IF($NP$57="Bell_Curve",$NN$57*(150-$NR$57+1)*($NS$57-150+1)/$NU$57,$NN$57/$NT$57)),0)</f>
        <v/>
      </c>
      <c r="EY57" s="402">
        <f>IF(AND(151&gt;=$NR$57,151&lt;=$NS$57),IF($NP$57="Single_Point",IF(151=$NR$57,$NN$57,0),IF($NP$57="Bell_Curve",$NN$57*(151-$NR$57+1)*($NS$57-151+1)/$NU$57,$NN$57/$NT$57)),0)</f>
        <v/>
      </c>
      <c r="EZ57" s="402">
        <f>IF(AND(152&gt;=$NR$57,152&lt;=$NS$57),IF($NP$57="Single_Point",IF(152=$NR$57,$NN$57,0),IF($NP$57="Bell_Curve",$NN$57*(152-$NR$57+1)*($NS$57-152+1)/$NU$57,$NN$57/$NT$57)),0)</f>
        <v/>
      </c>
      <c r="FA57" s="402">
        <f>IF(AND(153&gt;=$NR$57,153&lt;=$NS$57),IF($NP$57="Single_Point",IF(153=$NR$57,$NN$57,0),IF($NP$57="Bell_Curve",$NN$57*(153-$NR$57+1)*($NS$57-153+1)/$NU$57,$NN$57/$NT$57)),0)</f>
        <v/>
      </c>
      <c r="FB57" s="402">
        <f>IF(AND(154&gt;=$NR$57,154&lt;=$NS$57),IF($NP$57="Single_Point",IF(154=$NR$57,$NN$57,0),IF($NP$57="Bell_Curve",$NN$57*(154-$NR$57+1)*($NS$57-154+1)/$NU$57,$NN$57/$NT$57)),0)</f>
        <v/>
      </c>
      <c r="FC57" s="402">
        <f>IF(AND(155&gt;=$NR$57,155&lt;=$NS$57),IF($NP$57="Single_Point",IF(155=$NR$57,$NN$57,0),IF($NP$57="Bell_Curve",$NN$57*(155-$NR$57+1)*($NS$57-155+1)/$NU$57,$NN$57/$NT$57)),0)</f>
        <v/>
      </c>
      <c r="FD57" s="402">
        <f>IF(AND(156&gt;=$NR$57,156&lt;=$NS$57),IF($NP$57="Single_Point",IF(156=$NR$57,$NN$57,0),IF($NP$57="Bell_Curve",$NN$57*(156-$NR$57+1)*($NS$57-156+1)/$NU$57,$NN$57/$NT$57)),0)</f>
        <v/>
      </c>
      <c r="FE57" s="402">
        <f>IF(AND(157&gt;=$NR$57,157&lt;=$NS$57),IF($NP$57="Single_Point",IF(157=$NR$57,$NN$57,0),IF($NP$57="Bell_Curve",$NN$57*(157-$NR$57+1)*($NS$57-157+1)/$NU$57,$NN$57/$NT$57)),0)</f>
        <v/>
      </c>
      <c r="FF57" s="402">
        <f>IF(AND(158&gt;=$NR$57,158&lt;=$NS$57),IF($NP$57="Single_Point",IF(158=$NR$57,$NN$57,0),IF($NP$57="Bell_Curve",$NN$57*(158-$NR$57+1)*($NS$57-158+1)/$NU$57,$NN$57/$NT$57)),0)</f>
        <v/>
      </c>
      <c r="FG57" s="402">
        <f>IF(AND(159&gt;=$NR$57,159&lt;=$NS$57),IF($NP$57="Single_Point",IF(159=$NR$57,$NN$57,0),IF($NP$57="Bell_Curve",$NN$57*(159-$NR$57+1)*($NS$57-159+1)/$NU$57,$NN$57/$NT$57)),0)</f>
        <v/>
      </c>
      <c r="FH57" s="402">
        <f>IF(AND(160&gt;=$NR$57,160&lt;=$NS$57),IF($NP$57="Single_Point",IF(160=$NR$57,$NN$57,0),IF($NP$57="Bell_Curve",$NN$57*(160-$NR$57+1)*($NS$57-160+1)/$NU$57,$NN$57/$NT$57)),0)</f>
        <v/>
      </c>
      <c r="FI57" s="402">
        <f>IF(AND(161&gt;=$NR$57,161&lt;=$NS$57),IF($NP$57="Single_Point",IF(161=$NR$57,$NN$57,0),IF($NP$57="Bell_Curve",$NN$57*(161-$NR$57+1)*($NS$57-161+1)/$NU$57,$NN$57/$NT$57)),0)</f>
        <v/>
      </c>
      <c r="FJ57" s="402">
        <f>IF(AND(162&gt;=$NR$57,162&lt;=$NS$57),IF($NP$57="Single_Point",IF(162=$NR$57,$NN$57,0),IF($NP$57="Bell_Curve",$NN$57*(162-$NR$57+1)*($NS$57-162+1)/$NU$57,$NN$57/$NT$57)),0)</f>
        <v/>
      </c>
      <c r="FK57" s="402">
        <f>IF(AND(163&gt;=$NR$57,163&lt;=$NS$57),IF($NP$57="Single_Point",IF(163=$NR$57,$NN$57,0),IF($NP$57="Bell_Curve",$NN$57*(163-$NR$57+1)*($NS$57-163+1)/$NU$57,$NN$57/$NT$57)),0)</f>
        <v/>
      </c>
      <c r="FL57" s="402">
        <f>IF(AND(164&gt;=$NR$57,164&lt;=$NS$57),IF($NP$57="Single_Point",IF(164=$NR$57,$NN$57,0),IF($NP$57="Bell_Curve",$NN$57*(164-$NR$57+1)*($NS$57-164+1)/$NU$57,$NN$57/$NT$57)),0)</f>
        <v/>
      </c>
      <c r="FM57" s="402">
        <f>IF(AND(165&gt;=$NR$57,165&lt;=$NS$57),IF($NP$57="Single_Point",IF(165=$NR$57,$NN$57,0),IF($NP$57="Bell_Curve",$NN$57*(165-$NR$57+1)*($NS$57-165+1)/$NU$57,$NN$57/$NT$57)),0)</f>
        <v/>
      </c>
      <c r="FN57" s="402">
        <f>IF(AND(166&gt;=$NR$57,166&lt;=$NS$57),IF($NP$57="Single_Point",IF(166=$NR$57,$NN$57,0),IF($NP$57="Bell_Curve",$NN$57*(166-$NR$57+1)*($NS$57-166+1)/$NU$57,$NN$57/$NT$57)),0)</f>
        <v/>
      </c>
      <c r="FO57" s="402">
        <f>IF(AND(167&gt;=$NR$57,167&lt;=$NS$57),IF($NP$57="Single_Point",IF(167=$NR$57,$NN$57,0),IF($NP$57="Bell_Curve",$NN$57*(167-$NR$57+1)*($NS$57-167+1)/$NU$57,$NN$57/$NT$57)),0)</f>
        <v/>
      </c>
      <c r="FP57" s="402">
        <f>IF(AND(168&gt;=$NR$57,168&lt;=$NS$57),IF($NP$57="Single_Point",IF(168=$NR$57,$NN$57,0),IF($NP$57="Bell_Curve",$NN$57*(168-$NR$57+1)*($NS$57-168+1)/$NU$57,$NN$57/$NT$57)),0)</f>
        <v/>
      </c>
      <c r="FQ57" s="402">
        <f>IF(AND(169&gt;=$NR$57,169&lt;=$NS$57),IF($NP$57="Single_Point",IF(169=$NR$57,$NN$57,0),IF($NP$57="Bell_Curve",$NN$57*(169-$NR$57+1)*($NS$57-169+1)/$NU$57,$NN$57/$NT$57)),0)</f>
        <v/>
      </c>
      <c r="FR57" s="402">
        <f>IF(AND(170&gt;=$NR$57,170&lt;=$NS$57),IF($NP$57="Single_Point",IF(170=$NR$57,$NN$57,0),IF($NP$57="Bell_Curve",$NN$57*(170-$NR$57+1)*($NS$57-170+1)/$NU$57,$NN$57/$NT$57)),0)</f>
        <v/>
      </c>
      <c r="FS57" s="402">
        <f>IF(AND(171&gt;=$NR$57,171&lt;=$NS$57),IF($NP$57="Single_Point",IF(171=$NR$57,$NN$57,0),IF($NP$57="Bell_Curve",$NN$57*(171-$NR$57+1)*($NS$57-171+1)/$NU$57,$NN$57/$NT$57)),0)</f>
        <v/>
      </c>
      <c r="FT57" s="402">
        <f>IF(AND(172&gt;=$NR$57,172&lt;=$NS$57),IF($NP$57="Single_Point",IF(172=$NR$57,$NN$57,0),IF($NP$57="Bell_Curve",$NN$57*(172-$NR$57+1)*($NS$57-172+1)/$NU$57,$NN$57/$NT$57)),0)</f>
        <v/>
      </c>
      <c r="FU57" s="402">
        <f>IF(AND(173&gt;=$NR$57,173&lt;=$NS$57),IF($NP$57="Single_Point",IF(173=$NR$57,$NN$57,0),IF($NP$57="Bell_Curve",$NN$57*(173-$NR$57+1)*($NS$57-173+1)/$NU$57,$NN$57/$NT$57)),0)</f>
        <v/>
      </c>
      <c r="FV57" s="402">
        <f>IF(AND(174&gt;=$NR$57,174&lt;=$NS$57),IF($NP$57="Single_Point",IF(174=$NR$57,$NN$57,0),IF($NP$57="Bell_Curve",$NN$57*(174-$NR$57+1)*($NS$57-174+1)/$NU$57,$NN$57/$NT$57)),0)</f>
        <v/>
      </c>
      <c r="FW57" s="402">
        <f>IF(AND(175&gt;=$NR$57,175&lt;=$NS$57),IF($NP$57="Single_Point",IF(175=$NR$57,$NN$57,0),IF($NP$57="Bell_Curve",$NN$57*(175-$NR$57+1)*($NS$57-175+1)/$NU$57,$NN$57/$NT$57)),0)</f>
        <v/>
      </c>
      <c r="FX57" s="402">
        <f>IF(AND(176&gt;=$NR$57,176&lt;=$NS$57),IF($NP$57="Single_Point",IF(176=$NR$57,$NN$57,0),IF($NP$57="Bell_Curve",$NN$57*(176-$NR$57+1)*($NS$57-176+1)/$NU$57,$NN$57/$NT$57)),0)</f>
        <v/>
      </c>
      <c r="FY57" s="402">
        <f>IF(AND(177&gt;=$NR$57,177&lt;=$NS$57),IF($NP$57="Single_Point",IF(177=$NR$57,$NN$57,0),IF($NP$57="Bell_Curve",$NN$57*(177-$NR$57+1)*($NS$57-177+1)/$NU$57,$NN$57/$NT$57)),0)</f>
        <v/>
      </c>
      <c r="FZ57" s="402">
        <f>IF(AND(178&gt;=$NR$57,178&lt;=$NS$57),IF($NP$57="Single_Point",IF(178=$NR$57,$NN$57,0),IF($NP$57="Bell_Curve",$NN$57*(178-$NR$57+1)*($NS$57-178+1)/$NU$57,$NN$57/$NT$57)),0)</f>
        <v/>
      </c>
      <c r="GA57" s="402">
        <f>IF(AND(179&gt;=$NR$57,179&lt;=$NS$57),IF($NP$57="Single_Point",IF(179=$NR$57,$NN$57,0),IF($NP$57="Bell_Curve",$NN$57*(179-$NR$57+1)*($NS$57-179+1)/$NU$57,$NN$57/$NT$57)),0)</f>
        <v/>
      </c>
      <c r="GB57" s="402">
        <f>IF(AND(180&gt;=$NR$57,180&lt;=$NS$57),IF($NP$57="Single_Point",IF(180=$NR$57,$NN$57,0),IF($NP$57="Bell_Curve",$NN$57*(180-$NR$57+1)*($NS$57-180+1)/$NU$57,$NN$57/$NT$57)),0)</f>
        <v/>
      </c>
      <c r="GC57" s="402">
        <f>IF(AND(181&gt;=$NR$57,181&lt;=$NS$57),IF($NP$57="Single_Point",IF(181=$NR$57,$NN$57,0),IF($NP$57="Bell_Curve",$NN$57*(181-$NR$57+1)*($NS$57-181+1)/$NU$57,$NN$57/$NT$57)),0)</f>
        <v/>
      </c>
      <c r="GD57" s="402">
        <f>IF(AND(182&gt;=$NR$57,182&lt;=$NS$57),IF($NP$57="Single_Point",IF(182=$NR$57,$NN$57,0),IF($NP$57="Bell_Curve",$NN$57*(182-$NR$57+1)*($NS$57-182+1)/$NU$57,$NN$57/$NT$57)),0)</f>
        <v/>
      </c>
      <c r="GE57" s="402">
        <f>IF(AND(183&gt;=$NR$57,183&lt;=$NS$57),IF($NP$57="Single_Point",IF(183=$NR$57,$NN$57,0),IF($NP$57="Bell_Curve",$NN$57*(183-$NR$57+1)*($NS$57-183+1)/$NU$57,$NN$57/$NT$57)),0)</f>
        <v/>
      </c>
      <c r="GF57" s="402">
        <f>IF(AND(184&gt;=$NR$57,184&lt;=$NS$57),IF($NP$57="Single_Point",IF(184=$NR$57,$NN$57,0),IF($NP$57="Bell_Curve",$NN$57*(184-$NR$57+1)*($NS$57-184+1)/$NU$57,$NN$57/$NT$57)),0)</f>
        <v/>
      </c>
      <c r="GG57" s="402">
        <f>IF(AND(185&gt;=$NR$57,185&lt;=$NS$57),IF($NP$57="Single_Point",IF(185=$NR$57,$NN$57,0),IF($NP$57="Bell_Curve",$NN$57*(185-$NR$57+1)*($NS$57-185+1)/$NU$57,$NN$57/$NT$57)),0)</f>
        <v/>
      </c>
      <c r="GH57" s="402">
        <f>IF(AND(186&gt;=$NR$57,186&lt;=$NS$57),IF($NP$57="Single_Point",IF(186=$NR$57,$NN$57,0),IF($NP$57="Bell_Curve",$NN$57*(186-$NR$57+1)*($NS$57-186+1)/$NU$57,$NN$57/$NT$57)),0)</f>
        <v/>
      </c>
      <c r="GI57" s="402">
        <f>IF(AND(187&gt;=$NR$57,187&lt;=$NS$57),IF($NP$57="Single_Point",IF(187=$NR$57,$NN$57,0),IF($NP$57="Bell_Curve",$NN$57*(187-$NR$57+1)*($NS$57-187+1)/$NU$57,$NN$57/$NT$57)),0)</f>
        <v/>
      </c>
      <c r="GJ57" s="402">
        <f>IF(AND(188&gt;=$NR$57,188&lt;=$NS$57),IF($NP$57="Single_Point",IF(188=$NR$57,$NN$57,0),IF($NP$57="Bell_Curve",$NN$57*(188-$NR$57+1)*($NS$57-188+1)/$NU$57,$NN$57/$NT$57)),0)</f>
        <v/>
      </c>
      <c r="GK57" s="402">
        <f>IF(AND(189&gt;=$NR$57,189&lt;=$NS$57),IF($NP$57="Single_Point",IF(189=$NR$57,$NN$57,0),IF($NP$57="Bell_Curve",$NN$57*(189-$NR$57+1)*($NS$57-189+1)/$NU$57,$NN$57/$NT$57)),0)</f>
        <v/>
      </c>
      <c r="GL57" s="402">
        <f>IF(AND(190&gt;=$NR$57,190&lt;=$NS$57),IF($NP$57="Single_Point",IF(190=$NR$57,$NN$57,0),IF($NP$57="Bell_Curve",$NN$57*(190-$NR$57+1)*($NS$57-190+1)/$NU$57,$NN$57/$NT$57)),0)</f>
        <v/>
      </c>
      <c r="GM57" s="402">
        <f>IF(AND(191&gt;=$NR$57,191&lt;=$NS$57),IF($NP$57="Single_Point",IF(191=$NR$57,$NN$57,0),IF($NP$57="Bell_Curve",$NN$57*(191-$NR$57+1)*($NS$57-191+1)/$NU$57,$NN$57/$NT$57)),0)</f>
        <v/>
      </c>
      <c r="GN57" s="402">
        <f>IF(AND(192&gt;=$NR$57,192&lt;=$NS$57),IF($NP$57="Single_Point",IF(192=$NR$57,$NN$57,0),IF($NP$57="Bell_Curve",$NN$57*(192-$NR$57+1)*($NS$57-192+1)/$NU$57,$NN$57/$NT$57)),0)</f>
        <v/>
      </c>
      <c r="GO57" s="402">
        <f>IF(AND(193&gt;=$NR$57,193&lt;=$NS$57),IF($NP$57="Single_Point",IF(193=$NR$57,$NN$57,0),IF($NP$57="Bell_Curve",$NN$57*(193-$NR$57+1)*($NS$57-193+1)/$NU$57,$NN$57/$NT$57)),0)</f>
        <v/>
      </c>
      <c r="GP57" s="402">
        <f>IF(AND(194&gt;=$NR$57,194&lt;=$NS$57),IF($NP$57="Single_Point",IF(194=$NR$57,$NN$57,0),IF($NP$57="Bell_Curve",$NN$57*(194-$NR$57+1)*($NS$57-194+1)/$NU$57,$NN$57/$NT$57)),0)</f>
        <v/>
      </c>
      <c r="GQ57" s="402">
        <f>IF(AND(195&gt;=$NR$57,195&lt;=$NS$57),IF($NP$57="Single_Point",IF(195=$NR$57,$NN$57,0),IF($NP$57="Bell_Curve",$NN$57*(195-$NR$57+1)*($NS$57-195+1)/$NU$57,$NN$57/$NT$57)),0)</f>
        <v/>
      </c>
      <c r="GR57" s="402">
        <f>IF(AND(196&gt;=$NR$57,196&lt;=$NS$57),IF($NP$57="Single_Point",IF(196=$NR$57,$NN$57,0),IF($NP$57="Bell_Curve",$NN$57*(196-$NR$57+1)*($NS$57-196+1)/$NU$57,$NN$57/$NT$57)),0)</f>
        <v/>
      </c>
      <c r="GS57" s="402">
        <f>IF(AND(197&gt;=$NR$57,197&lt;=$NS$57),IF($NP$57="Single_Point",IF(197=$NR$57,$NN$57,0),IF($NP$57="Bell_Curve",$NN$57*(197-$NR$57+1)*($NS$57-197+1)/$NU$57,$NN$57/$NT$57)),0)</f>
        <v/>
      </c>
      <c r="GT57" s="402">
        <f>IF(AND(198&gt;=$NR$57,198&lt;=$NS$57),IF($NP$57="Single_Point",IF(198=$NR$57,$NN$57,0),IF($NP$57="Bell_Curve",$NN$57*(198-$NR$57+1)*($NS$57-198+1)/$NU$57,$NN$57/$NT$57)),0)</f>
        <v/>
      </c>
      <c r="GU57" s="402">
        <f>IF(AND(199&gt;=$NR$57,199&lt;=$NS$57),IF($NP$57="Single_Point",IF(199=$NR$57,$NN$57,0),IF($NP$57="Bell_Curve",$NN$57*(199-$NR$57+1)*($NS$57-199+1)/$NU$57,$NN$57/$NT$57)),0)</f>
        <v/>
      </c>
      <c r="GV57" s="402">
        <f>IF(AND(200&gt;=$NR$57,200&lt;=$NS$57),IF($NP$57="Single_Point",IF(200=$NR$57,$NN$57,0),IF($NP$57="Bell_Curve",$NN$57*(200-$NR$57+1)*($NS$57-200+1)/$NU$57,$NN$57/$NT$57)),0)</f>
        <v/>
      </c>
      <c r="GW57" s="402">
        <f>IF(AND(201&gt;=$NR$57,201&lt;=$NS$57),IF($NP$57="Single_Point",IF(201=$NR$57,$NN$57,0),IF($NP$57="Bell_Curve",$NN$57*(201-$NR$57+1)*($NS$57-201+1)/$NU$57,$NN$57/$NT$57)),0)</f>
        <v/>
      </c>
      <c r="GX57" s="402">
        <f>IF(AND(202&gt;=$NR$57,202&lt;=$NS$57),IF($NP$57="Single_Point",IF(202=$NR$57,$NN$57,0),IF($NP$57="Bell_Curve",$NN$57*(202-$NR$57+1)*($NS$57-202+1)/$NU$57,$NN$57/$NT$57)),0)</f>
        <v/>
      </c>
      <c r="GY57" s="402">
        <f>IF(AND(203&gt;=$NR$57,203&lt;=$NS$57),IF($NP$57="Single_Point",IF(203=$NR$57,$NN$57,0),IF($NP$57="Bell_Curve",$NN$57*(203-$NR$57+1)*($NS$57-203+1)/$NU$57,$NN$57/$NT$57)),0)</f>
        <v/>
      </c>
      <c r="GZ57" s="402">
        <f>IF(AND(204&gt;=$NR$57,204&lt;=$NS$57),IF($NP$57="Single_Point",IF(204=$NR$57,$NN$57,0),IF($NP$57="Bell_Curve",$NN$57*(204-$NR$57+1)*($NS$57-204+1)/$NU$57,$NN$57/$NT$57)),0)</f>
        <v/>
      </c>
      <c r="HA57" s="402">
        <f>IF(AND(205&gt;=$NR$57,205&lt;=$NS$57),IF($NP$57="Single_Point",IF(205=$NR$57,$NN$57,0),IF($NP$57="Bell_Curve",$NN$57*(205-$NR$57+1)*($NS$57-205+1)/$NU$57,$NN$57/$NT$57)),0)</f>
        <v/>
      </c>
      <c r="HB57" s="402">
        <f>IF(AND(206&gt;=$NR$57,206&lt;=$NS$57),IF($NP$57="Single_Point",IF(206=$NR$57,$NN$57,0),IF($NP$57="Bell_Curve",$NN$57*(206-$NR$57+1)*($NS$57-206+1)/$NU$57,$NN$57/$NT$57)),0)</f>
        <v/>
      </c>
      <c r="HC57" s="402">
        <f>IF(AND(207&gt;=$NR$57,207&lt;=$NS$57),IF($NP$57="Single_Point",IF(207=$NR$57,$NN$57,0),IF($NP$57="Bell_Curve",$NN$57*(207-$NR$57+1)*($NS$57-207+1)/$NU$57,$NN$57/$NT$57)),0)</f>
        <v/>
      </c>
      <c r="HD57" s="402">
        <f>IF(AND(208&gt;=$NR$57,208&lt;=$NS$57),IF($NP$57="Single_Point",IF(208=$NR$57,$NN$57,0),IF($NP$57="Bell_Curve",$NN$57*(208-$NR$57+1)*($NS$57-208+1)/$NU$57,$NN$57/$NT$57)),0)</f>
        <v/>
      </c>
      <c r="HE57" s="402">
        <f>IF(AND(209&gt;=$NR$57,209&lt;=$NS$57),IF($NP$57="Single_Point",IF(209=$NR$57,$NN$57,0),IF($NP$57="Bell_Curve",$NN$57*(209-$NR$57+1)*($NS$57-209+1)/$NU$57,$NN$57/$NT$57)),0)</f>
        <v/>
      </c>
      <c r="HF57" s="402">
        <f>IF(AND(210&gt;=$NR$57,210&lt;=$NS$57),IF($NP$57="Single_Point",IF(210=$NR$57,$NN$57,0),IF($NP$57="Bell_Curve",$NN$57*(210-$NR$57+1)*($NS$57-210+1)/$NU$57,$NN$57/$NT$57)),0)</f>
        <v/>
      </c>
      <c r="HG57" s="402">
        <f>IF(AND(211&gt;=$NR$57,211&lt;=$NS$57),IF($NP$57="Single_Point",IF(211=$NR$57,$NN$57,0),IF($NP$57="Bell_Curve",$NN$57*(211-$NR$57+1)*($NS$57-211+1)/$NU$57,$NN$57/$NT$57)),0)</f>
        <v/>
      </c>
      <c r="HH57" s="402">
        <f>IF(AND(212&gt;=$NR$57,212&lt;=$NS$57),IF($NP$57="Single_Point",IF(212=$NR$57,$NN$57,0),IF($NP$57="Bell_Curve",$NN$57*(212-$NR$57+1)*($NS$57-212+1)/$NU$57,$NN$57/$NT$57)),0)</f>
        <v/>
      </c>
      <c r="HI57" s="402">
        <f>IF(AND(213&gt;=$NR$57,213&lt;=$NS$57),IF($NP$57="Single_Point",IF(213=$NR$57,$NN$57,0),IF($NP$57="Bell_Curve",$NN$57*(213-$NR$57+1)*($NS$57-213+1)/$NU$57,$NN$57/$NT$57)),0)</f>
        <v/>
      </c>
      <c r="HJ57" s="402">
        <f>IF(AND(214&gt;=$NR$57,214&lt;=$NS$57),IF($NP$57="Single_Point",IF(214=$NR$57,$NN$57,0),IF($NP$57="Bell_Curve",$NN$57*(214-$NR$57+1)*($NS$57-214+1)/$NU$57,$NN$57/$NT$57)),0)</f>
        <v/>
      </c>
      <c r="HK57" s="402">
        <f>IF(AND(215&gt;=$NR$57,215&lt;=$NS$57),IF($NP$57="Single_Point",IF(215=$NR$57,$NN$57,0),IF($NP$57="Bell_Curve",$NN$57*(215-$NR$57+1)*($NS$57-215+1)/$NU$57,$NN$57/$NT$57)),0)</f>
        <v/>
      </c>
      <c r="HL57" s="402">
        <f>IF(AND(216&gt;=$NR$57,216&lt;=$NS$57),IF($NP$57="Single_Point",IF(216=$NR$57,$NN$57,0),IF($NP$57="Bell_Curve",$NN$57*(216-$NR$57+1)*($NS$57-216+1)/$NU$57,$NN$57/$NT$57)),0)</f>
        <v/>
      </c>
      <c r="HM57" s="402">
        <f>IF(AND(217&gt;=$NR$57,217&lt;=$NS$57),IF($NP$57="Single_Point",IF(217=$NR$57,$NN$57,0),IF($NP$57="Bell_Curve",$NN$57*(217-$NR$57+1)*($NS$57-217+1)/$NU$57,$NN$57/$NT$57)),0)</f>
        <v/>
      </c>
      <c r="HN57" s="402">
        <f>IF(AND(218&gt;=$NR$57,218&lt;=$NS$57),IF($NP$57="Single_Point",IF(218=$NR$57,$NN$57,0),IF($NP$57="Bell_Curve",$NN$57*(218-$NR$57+1)*($NS$57-218+1)/$NU$57,$NN$57/$NT$57)),0)</f>
        <v/>
      </c>
      <c r="HO57" s="402">
        <f>IF(AND(219&gt;=$NR$57,219&lt;=$NS$57),IF($NP$57="Single_Point",IF(219=$NR$57,$NN$57,0),IF($NP$57="Bell_Curve",$NN$57*(219-$NR$57+1)*($NS$57-219+1)/$NU$57,$NN$57/$NT$57)),0)</f>
        <v/>
      </c>
      <c r="HP57" s="402">
        <f>IF(AND(220&gt;=$NR$57,220&lt;=$NS$57),IF($NP$57="Single_Point",IF(220=$NR$57,$NN$57,0),IF($NP$57="Bell_Curve",$NN$57*(220-$NR$57+1)*($NS$57-220+1)/$NU$57,$NN$57/$NT$57)),0)</f>
        <v/>
      </c>
      <c r="HQ57" s="402">
        <f>IF(AND(221&gt;=$NR$57,221&lt;=$NS$57),IF($NP$57="Single_Point",IF(221=$NR$57,$NN$57,0),IF($NP$57="Bell_Curve",$NN$57*(221-$NR$57+1)*($NS$57-221+1)/$NU$57,$NN$57/$NT$57)),0)</f>
        <v/>
      </c>
      <c r="HR57" s="402">
        <f>IF(AND(222&gt;=$NR$57,222&lt;=$NS$57),IF($NP$57="Single_Point",IF(222=$NR$57,$NN$57,0),IF($NP$57="Bell_Curve",$NN$57*(222-$NR$57+1)*($NS$57-222+1)/$NU$57,$NN$57/$NT$57)),0)</f>
        <v/>
      </c>
      <c r="HS57" s="402">
        <f>IF(AND(223&gt;=$NR$57,223&lt;=$NS$57),IF($NP$57="Single_Point",IF(223=$NR$57,$NN$57,0),IF($NP$57="Bell_Curve",$NN$57*(223-$NR$57+1)*($NS$57-223+1)/$NU$57,$NN$57/$NT$57)),0)</f>
        <v/>
      </c>
      <c r="HT57" s="402">
        <f>IF(AND(224&gt;=$NR$57,224&lt;=$NS$57),IF($NP$57="Single_Point",IF(224=$NR$57,$NN$57,0),IF($NP$57="Bell_Curve",$NN$57*(224-$NR$57+1)*($NS$57-224+1)/$NU$57,$NN$57/$NT$57)),0)</f>
        <v/>
      </c>
      <c r="HU57" s="402">
        <f>IF(AND(225&gt;=$NR$57,225&lt;=$NS$57),IF($NP$57="Single_Point",IF(225=$NR$57,$NN$57,0),IF($NP$57="Bell_Curve",$NN$57*(225-$NR$57+1)*($NS$57-225+1)/$NU$57,$NN$57/$NT$57)),0)</f>
        <v/>
      </c>
      <c r="HV57" s="402">
        <f>IF(AND(226&gt;=$NR$57,226&lt;=$NS$57),IF($NP$57="Single_Point",IF(226=$NR$57,$NN$57,0),IF($NP$57="Bell_Curve",$NN$57*(226-$NR$57+1)*($NS$57-226+1)/$NU$57,$NN$57/$NT$57)),0)</f>
        <v/>
      </c>
      <c r="HW57" s="402">
        <f>IF(AND(227&gt;=$NR$57,227&lt;=$NS$57),IF($NP$57="Single_Point",IF(227=$NR$57,$NN$57,0),IF($NP$57="Bell_Curve",$NN$57*(227-$NR$57+1)*($NS$57-227+1)/$NU$57,$NN$57/$NT$57)),0)</f>
        <v/>
      </c>
      <c r="HX57" s="402">
        <f>IF(AND(228&gt;=$NR$57,228&lt;=$NS$57),IF($NP$57="Single_Point",IF(228=$NR$57,$NN$57,0),IF($NP$57="Bell_Curve",$NN$57*(228-$NR$57+1)*($NS$57-228+1)/$NU$57,$NN$57/$NT$57)),0)</f>
        <v/>
      </c>
      <c r="HY57" s="402">
        <f>IF(AND(229&gt;=$NR$57,229&lt;=$NS$57),IF($NP$57="Single_Point",IF(229=$NR$57,$NN$57,0),IF($NP$57="Bell_Curve",$NN$57*(229-$NR$57+1)*($NS$57-229+1)/$NU$57,$NN$57/$NT$57)),0)</f>
        <v/>
      </c>
      <c r="HZ57" s="402">
        <f>IF(AND(230&gt;=$NR$57,230&lt;=$NS$57),IF($NP$57="Single_Point",IF(230=$NR$57,$NN$57,0),IF($NP$57="Bell_Curve",$NN$57*(230-$NR$57+1)*($NS$57-230+1)/$NU$57,$NN$57/$NT$57)),0)</f>
        <v/>
      </c>
      <c r="IA57" s="402">
        <f>IF(AND(231&gt;=$NR$57,231&lt;=$NS$57),IF($NP$57="Single_Point",IF(231=$NR$57,$NN$57,0),IF($NP$57="Bell_Curve",$NN$57*(231-$NR$57+1)*($NS$57-231+1)/$NU$57,$NN$57/$NT$57)),0)</f>
        <v/>
      </c>
      <c r="IB57" s="402">
        <f>IF(AND(232&gt;=$NR$57,232&lt;=$NS$57),IF($NP$57="Single_Point",IF(232=$NR$57,$NN$57,0),IF($NP$57="Bell_Curve",$NN$57*(232-$NR$57+1)*($NS$57-232+1)/$NU$57,$NN$57/$NT$57)),0)</f>
        <v/>
      </c>
      <c r="IC57" s="402">
        <f>IF(AND(233&gt;=$NR$57,233&lt;=$NS$57),IF($NP$57="Single_Point",IF(233=$NR$57,$NN$57,0),IF($NP$57="Bell_Curve",$NN$57*(233-$NR$57+1)*($NS$57-233+1)/$NU$57,$NN$57/$NT$57)),0)</f>
        <v/>
      </c>
      <c r="ID57" s="402">
        <f>IF(AND(234&gt;=$NR$57,234&lt;=$NS$57),IF($NP$57="Single_Point",IF(234=$NR$57,$NN$57,0),IF($NP$57="Bell_Curve",$NN$57*(234-$NR$57+1)*($NS$57-234+1)/$NU$57,$NN$57/$NT$57)),0)</f>
        <v/>
      </c>
      <c r="IE57" s="402">
        <f>IF(AND(235&gt;=$NR$57,235&lt;=$NS$57),IF($NP$57="Single_Point",IF(235=$NR$57,$NN$57,0),IF($NP$57="Bell_Curve",$NN$57*(235-$NR$57+1)*($NS$57-235+1)/$NU$57,$NN$57/$NT$57)),0)</f>
        <v/>
      </c>
      <c r="IF57" s="402">
        <f>IF(AND(236&gt;=$NR$57,236&lt;=$NS$57),IF($NP$57="Single_Point",IF(236=$NR$57,$NN$57,0),IF($NP$57="Bell_Curve",$NN$57*(236-$NR$57+1)*($NS$57-236+1)/$NU$57,$NN$57/$NT$57)),0)</f>
        <v/>
      </c>
      <c r="IG57" s="402">
        <f>IF(AND(237&gt;=$NR$57,237&lt;=$NS$57),IF($NP$57="Single_Point",IF(237=$NR$57,$NN$57,0),IF($NP$57="Bell_Curve",$NN$57*(237-$NR$57+1)*($NS$57-237+1)/$NU$57,$NN$57/$NT$57)),0)</f>
        <v/>
      </c>
      <c r="IH57" s="402">
        <f>IF(AND(238&gt;=$NR$57,238&lt;=$NS$57),IF($NP$57="Single_Point",IF(238=$NR$57,$NN$57,0),IF($NP$57="Bell_Curve",$NN$57*(238-$NR$57+1)*($NS$57-238+1)/$NU$57,$NN$57/$NT$57)),0)</f>
        <v/>
      </c>
      <c r="II57" s="402">
        <f>IF(AND(239&gt;=$NR$57,239&lt;=$NS$57),IF($NP$57="Single_Point",IF(239=$NR$57,$NN$57,0),IF($NP$57="Bell_Curve",$NN$57*(239-$NR$57+1)*($NS$57-239+1)/$NU$57,$NN$57/$NT$57)),0)</f>
        <v/>
      </c>
      <c r="IJ57" s="402">
        <f>IF(AND(240&gt;=$NR$57,240&lt;=$NS$57),IF($NP$57="Single_Point",IF(240=$NR$57,$NN$57,0),IF($NP$57="Bell_Curve",$NN$57*(240-$NR$57+1)*($NS$57-240+1)/$NU$57,$NN$57/$NT$57)),0)</f>
        <v/>
      </c>
      <c r="IK57" s="402">
        <f>IF(AND(241&gt;=$NR$57,241&lt;=$NS$57),IF($NP$57="Single_Point",IF(241=$NR$57,$NN$57,0),IF($NP$57="Bell_Curve",$NN$57*(241-$NR$57+1)*($NS$57-241+1)/$NU$57,$NN$57/$NT$57)),0)</f>
        <v/>
      </c>
      <c r="IL57" s="402">
        <f>IF(AND(242&gt;=$NR$57,242&lt;=$NS$57),IF($NP$57="Single_Point",IF(242=$NR$57,$NN$57,0),IF($NP$57="Bell_Curve",$NN$57*(242-$NR$57+1)*($NS$57-242+1)/$NU$57,$NN$57/$NT$57)),0)</f>
        <v/>
      </c>
      <c r="IM57" s="402">
        <f>IF(AND(243&gt;=$NR$57,243&lt;=$NS$57),IF($NP$57="Single_Point",IF(243=$NR$57,$NN$57,0),IF($NP$57="Bell_Curve",$NN$57*(243-$NR$57+1)*($NS$57-243+1)/$NU$57,$NN$57/$NT$57)),0)</f>
        <v/>
      </c>
      <c r="IN57" s="402">
        <f>IF(AND(244&gt;=$NR$57,244&lt;=$NS$57),IF($NP$57="Single_Point",IF(244=$NR$57,$NN$57,0),IF($NP$57="Bell_Curve",$NN$57*(244-$NR$57+1)*($NS$57-244+1)/$NU$57,$NN$57/$NT$57)),0)</f>
        <v/>
      </c>
      <c r="IO57" s="402">
        <f>IF(AND(245&gt;=$NR$57,245&lt;=$NS$57),IF($NP$57="Single_Point",IF(245=$NR$57,$NN$57,0),IF($NP$57="Bell_Curve",$NN$57*(245-$NR$57+1)*($NS$57-245+1)/$NU$57,$NN$57/$NT$57)),0)</f>
        <v/>
      </c>
      <c r="IP57" s="402">
        <f>IF(AND(246&gt;=$NR$57,246&lt;=$NS$57),IF($NP$57="Single_Point",IF(246=$NR$57,$NN$57,0),IF($NP$57="Bell_Curve",$NN$57*(246-$NR$57+1)*($NS$57-246+1)/$NU$57,$NN$57/$NT$57)),0)</f>
        <v/>
      </c>
      <c r="IQ57" s="402">
        <f>IF(AND(247&gt;=$NR$57,247&lt;=$NS$57),IF($NP$57="Single_Point",IF(247=$NR$57,$NN$57,0),IF($NP$57="Bell_Curve",$NN$57*(247-$NR$57+1)*($NS$57-247+1)/$NU$57,$NN$57/$NT$57)),0)</f>
        <v/>
      </c>
      <c r="IR57" s="402">
        <f>IF(AND(248&gt;=$NR$57,248&lt;=$NS$57),IF($NP$57="Single_Point",IF(248=$NR$57,$NN$57,0),IF($NP$57="Bell_Curve",$NN$57*(248-$NR$57+1)*($NS$57-248+1)/$NU$57,$NN$57/$NT$57)),0)</f>
        <v/>
      </c>
      <c r="IS57" s="402">
        <f>IF(AND(249&gt;=$NR$57,249&lt;=$NS$57),IF($NP$57="Single_Point",IF(249=$NR$57,$NN$57,0),IF($NP$57="Bell_Curve",$NN$57*(249-$NR$57+1)*($NS$57-249+1)/$NU$57,$NN$57/$NT$57)),0)</f>
        <v/>
      </c>
      <c r="IT57" s="402">
        <f>IF(AND(250&gt;=$NR$57,250&lt;=$NS$57),IF($NP$57="Single_Point",IF(250=$NR$57,$NN$57,0),IF($NP$57="Bell_Curve",$NN$57*(250-$NR$57+1)*($NS$57-250+1)/$NU$57,$NN$57/$NT$57)),0)</f>
        <v/>
      </c>
      <c r="IU57" s="402">
        <f>IF(AND(251&gt;=$NR$57,251&lt;=$NS$57),IF($NP$57="Single_Point",IF(251=$NR$57,$NN$57,0),IF($NP$57="Bell_Curve",$NN$57*(251-$NR$57+1)*($NS$57-251+1)/$NU$57,$NN$57/$NT$57)),0)</f>
        <v/>
      </c>
      <c r="IV57" s="402">
        <f>IF(AND(252&gt;=$NR$57,252&lt;=$NS$57),IF($NP$57="Single_Point",IF(252=$NR$57,$NN$57,0),IF($NP$57="Bell_Curve",$NN$57*(252-$NR$57+1)*($NS$57-252+1)/$NU$57,$NN$57/$NT$57)),0)</f>
        <v/>
      </c>
      <c r="IW57" s="402">
        <f>IF(AND(253&gt;=$NR$57,253&lt;=$NS$57),IF($NP$57="Single_Point",IF(253=$NR$57,$NN$57,0),IF($NP$57="Bell_Curve",$NN$57*(253-$NR$57+1)*($NS$57-253+1)/$NU$57,$NN$57/$NT$57)),0)</f>
        <v/>
      </c>
      <c r="IX57" s="402">
        <f>IF(AND(254&gt;=$NR$57,254&lt;=$NS$57),IF($NP$57="Single_Point",IF(254=$NR$57,$NN$57,0),IF($NP$57="Bell_Curve",$NN$57*(254-$NR$57+1)*($NS$57-254+1)/$NU$57,$NN$57/$NT$57)),0)</f>
        <v/>
      </c>
      <c r="IY57" s="402">
        <f>IF(AND(255&gt;=$NR$57,255&lt;=$NS$57),IF($NP$57="Single_Point",IF(255=$NR$57,$NN$57,0),IF($NP$57="Bell_Curve",$NN$57*(255-$NR$57+1)*($NS$57-255+1)/$NU$57,$NN$57/$NT$57)),0)</f>
        <v/>
      </c>
      <c r="IZ57" s="402">
        <f>IF(AND(256&gt;=$NR$57,256&lt;=$NS$57),IF($NP$57="Single_Point",IF(256=$NR$57,$NN$57,0),IF($NP$57="Bell_Curve",$NN$57*(256-$NR$57+1)*($NS$57-256+1)/$NU$57,$NN$57/$NT$57)),0)</f>
        <v/>
      </c>
      <c r="JA57" s="402">
        <f>IF(AND(257&gt;=$NR$57,257&lt;=$NS$57),IF($NP$57="Single_Point",IF(257=$NR$57,$NN$57,0),IF($NP$57="Bell_Curve",$NN$57*(257-$NR$57+1)*($NS$57-257+1)/$NU$57,$NN$57/$NT$57)),0)</f>
        <v/>
      </c>
      <c r="JB57" s="402">
        <f>IF(AND(258&gt;=$NR$57,258&lt;=$NS$57),IF($NP$57="Single_Point",IF(258=$NR$57,$NN$57,0),IF($NP$57="Bell_Curve",$NN$57*(258-$NR$57+1)*($NS$57-258+1)/$NU$57,$NN$57/$NT$57)),0)</f>
        <v/>
      </c>
      <c r="JC57" s="402">
        <f>IF(AND(259&gt;=$NR$57,259&lt;=$NS$57),IF($NP$57="Single_Point",IF(259=$NR$57,$NN$57,0),IF($NP$57="Bell_Curve",$NN$57*(259-$NR$57+1)*($NS$57-259+1)/$NU$57,$NN$57/$NT$57)),0)</f>
        <v/>
      </c>
      <c r="JD57" s="402">
        <f>IF(AND(260&gt;=$NR$57,260&lt;=$NS$57),IF($NP$57="Single_Point",IF(260=$NR$57,$NN$57,0),IF($NP$57="Bell_Curve",$NN$57*(260-$NR$57+1)*($NS$57-260+1)/$NU$57,$NN$57/$NT$57)),0)</f>
        <v/>
      </c>
      <c r="JE57" s="402">
        <f>IF(AND(261&gt;=$NR$57,261&lt;=$NS$57),IF($NP$57="Single_Point",IF(261=$NR$57,$NN$57,0),IF($NP$57="Bell_Curve",$NN$57*(261-$NR$57+1)*($NS$57-261+1)/$NU$57,$NN$57/$NT$57)),0)</f>
        <v/>
      </c>
      <c r="JF57" s="402">
        <f>IF(AND(262&gt;=$NR$57,262&lt;=$NS$57),IF($NP$57="Single_Point",IF(262=$NR$57,$NN$57,0),IF($NP$57="Bell_Curve",$NN$57*(262-$NR$57+1)*($NS$57-262+1)/$NU$57,$NN$57/$NT$57)),0)</f>
        <v/>
      </c>
      <c r="JG57" s="402">
        <f>IF(AND(263&gt;=$NR$57,263&lt;=$NS$57),IF($NP$57="Single_Point",IF(263=$NR$57,$NN$57,0),IF($NP$57="Bell_Curve",$NN$57*(263-$NR$57+1)*($NS$57-263+1)/$NU$57,$NN$57/$NT$57)),0)</f>
        <v/>
      </c>
      <c r="JH57" s="402">
        <f>IF(AND(264&gt;=$NR$57,264&lt;=$NS$57),IF($NP$57="Single_Point",IF(264=$NR$57,$NN$57,0),IF($NP$57="Bell_Curve",$NN$57*(264-$NR$57+1)*($NS$57-264+1)/$NU$57,$NN$57/$NT$57)),0)</f>
        <v/>
      </c>
      <c r="JI57" s="402">
        <f>IF(AND(265&gt;=$NR$57,265&lt;=$NS$57),IF($NP$57="Single_Point",IF(265=$NR$57,$NN$57,0),IF($NP$57="Bell_Curve",$NN$57*(265-$NR$57+1)*($NS$57-265+1)/$NU$57,$NN$57/$NT$57)),0)</f>
        <v/>
      </c>
      <c r="JJ57" s="402">
        <f>IF(AND(266&gt;=$NR$57,266&lt;=$NS$57),IF($NP$57="Single_Point",IF(266=$NR$57,$NN$57,0),IF($NP$57="Bell_Curve",$NN$57*(266-$NR$57+1)*($NS$57-266+1)/$NU$57,$NN$57/$NT$57)),0)</f>
        <v/>
      </c>
      <c r="JK57" s="402">
        <f>IF(AND(267&gt;=$NR$57,267&lt;=$NS$57),IF($NP$57="Single_Point",IF(267=$NR$57,$NN$57,0),IF($NP$57="Bell_Curve",$NN$57*(267-$NR$57+1)*($NS$57-267+1)/$NU$57,$NN$57/$NT$57)),0)</f>
        <v/>
      </c>
      <c r="JL57" s="402">
        <f>IF(AND(268&gt;=$NR$57,268&lt;=$NS$57),IF($NP$57="Single_Point",IF(268=$NR$57,$NN$57,0),IF($NP$57="Bell_Curve",$NN$57*(268-$NR$57+1)*($NS$57-268+1)/$NU$57,$NN$57/$NT$57)),0)</f>
        <v/>
      </c>
      <c r="JM57" s="402">
        <f>IF(AND(269&gt;=$NR$57,269&lt;=$NS$57),IF($NP$57="Single_Point",IF(269=$NR$57,$NN$57,0),IF($NP$57="Bell_Curve",$NN$57*(269-$NR$57+1)*($NS$57-269+1)/$NU$57,$NN$57/$NT$57)),0)</f>
        <v/>
      </c>
      <c r="JN57" s="402">
        <f>IF(AND(270&gt;=$NR$57,270&lt;=$NS$57),IF($NP$57="Single_Point",IF(270=$NR$57,$NN$57,0),IF($NP$57="Bell_Curve",$NN$57*(270-$NR$57+1)*($NS$57-270+1)/$NU$57,$NN$57/$NT$57)),0)</f>
        <v/>
      </c>
      <c r="JO57" s="402">
        <f>IF(AND(271&gt;=$NR$57,271&lt;=$NS$57),IF($NP$57="Single_Point",IF(271=$NR$57,$NN$57,0),IF($NP$57="Bell_Curve",$NN$57*(271-$NR$57+1)*($NS$57-271+1)/$NU$57,$NN$57/$NT$57)),0)</f>
        <v/>
      </c>
      <c r="JP57" s="402">
        <f>IF(AND(272&gt;=$NR$57,272&lt;=$NS$57),IF($NP$57="Single_Point",IF(272=$NR$57,$NN$57,0),IF($NP$57="Bell_Curve",$NN$57*(272-$NR$57+1)*($NS$57-272+1)/$NU$57,$NN$57/$NT$57)),0)</f>
        <v/>
      </c>
      <c r="JQ57" s="402">
        <f>IF(AND(273&gt;=$NR$57,273&lt;=$NS$57),IF($NP$57="Single_Point",IF(273=$NR$57,$NN$57,0),IF($NP$57="Bell_Curve",$NN$57*(273-$NR$57+1)*($NS$57-273+1)/$NU$57,$NN$57/$NT$57)),0)</f>
        <v/>
      </c>
      <c r="JR57" s="402">
        <f>IF(AND(274&gt;=$NR$57,274&lt;=$NS$57),IF($NP$57="Single_Point",IF(274=$NR$57,$NN$57,0),IF($NP$57="Bell_Curve",$NN$57*(274-$NR$57+1)*($NS$57-274+1)/$NU$57,$NN$57/$NT$57)),0)</f>
        <v/>
      </c>
      <c r="JS57" s="402">
        <f>IF(AND(275&gt;=$NR$57,275&lt;=$NS$57),IF($NP$57="Single_Point",IF(275=$NR$57,$NN$57,0),IF($NP$57="Bell_Curve",$NN$57*(275-$NR$57+1)*($NS$57-275+1)/$NU$57,$NN$57/$NT$57)),0)</f>
        <v/>
      </c>
      <c r="JT57" s="402">
        <f>IF(AND(276&gt;=$NR$57,276&lt;=$NS$57),IF($NP$57="Single_Point",IF(276=$NR$57,$NN$57,0),IF($NP$57="Bell_Curve",$NN$57*(276-$NR$57+1)*($NS$57-276+1)/$NU$57,$NN$57/$NT$57)),0)</f>
        <v/>
      </c>
      <c r="JU57" s="402">
        <f>IF(AND(277&gt;=$NR$57,277&lt;=$NS$57),IF($NP$57="Single_Point",IF(277=$NR$57,$NN$57,0),IF($NP$57="Bell_Curve",$NN$57*(277-$NR$57+1)*($NS$57-277+1)/$NU$57,$NN$57/$NT$57)),0)</f>
        <v/>
      </c>
      <c r="JV57" s="402">
        <f>IF(AND(278&gt;=$NR$57,278&lt;=$NS$57),IF($NP$57="Single_Point",IF(278=$NR$57,$NN$57,0),IF($NP$57="Bell_Curve",$NN$57*(278-$NR$57+1)*($NS$57-278+1)/$NU$57,$NN$57/$NT$57)),0)</f>
        <v/>
      </c>
      <c r="JW57" s="402">
        <f>IF(AND(279&gt;=$NR$57,279&lt;=$NS$57),IF($NP$57="Single_Point",IF(279=$NR$57,$NN$57,0),IF($NP$57="Bell_Curve",$NN$57*(279-$NR$57+1)*($NS$57-279+1)/$NU$57,$NN$57/$NT$57)),0)</f>
        <v/>
      </c>
      <c r="JX57" s="402">
        <f>IF(AND(280&gt;=$NR$57,280&lt;=$NS$57),IF($NP$57="Single_Point",IF(280=$NR$57,$NN$57,0),IF($NP$57="Bell_Curve",$NN$57*(280-$NR$57+1)*($NS$57-280+1)/$NU$57,$NN$57/$NT$57)),0)</f>
        <v/>
      </c>
      <c r="JY57" s="402">
        <f>IF(AND(281&gt;=$NR$57,281&lt;=$NS$57),IF($NP$57="Single_Point",IF(281=$NR$57,$NN$57,0),IF($NP$57="Bell_Curve",$NN$57*(281-$NR$57+1)*($NS$57-281+1)/$NU$57,$NN$57/$NT$57)),0)</f>
        <v/>
      </c>
      <c r="JZ57" s="402">
        <f>IF(AND(282&gt;=$NR$57,282&lt;=$NS$57),IF($NP$57="Single_Point",IF(282=$NR$57,$NN$57,0),IF($NP$57="Bell_Curve",$NN$57*(282-$NR$57+1)*($NS$57-282+1)/$NU$57,$NN$57/$NT$57)),0)</f>
        <v/>
      </c>
      <c r="KA57" s="402">
        <f>IF(AND(283&gt;=$NR$57,283&lt;=$NS$57),IF($NP$57="Single_Point",IF(283=$NR$57,$NN$57,0),IF($NP$57="Bell_Curve",$NN$57*(283-$NR$57+1)*($NS$57-283+1)/$NU$57,$NN$57/$NT$57)),0)</f>
        <v/>
      </c>
      <c r="KB57" s="402">
        <f>IF(AND(284&gt;=$NR$57,284&lt;=$NS$57),IF($NP$57="Single_Point",IF(284=$NR$57,$NN$57,0),IF($NP$57="Bell_Curve",$NN$57*(284-$NR$57+1)*($NS$57-284+1)/$NU$57,$NN$57/$NT$57)),0)</f>
        <v/>
      </c>
      <c r="KC57" s="402">
        <f>IF(AND(285&gt;=$NR$57,285&lt;=$NS$57),IF($NP$57="Single_Point",IF(285=$NR$57,$NN$57,0),IF($NP$57="Bell_Curve",$NN$57*(285-$NR$57+1)*($NS$57-285+1)/$NU$57,$NN$57/$NT$57)),0)</f>
        <v/>
      </c>
      <c r="KD57" s="402">
        <f>IF(AND(286&gt;=$NR$57,286&lt;=$NS$57),IF($NP$57="Single_Point",IF(286=$NR$57,$NN$57,0),IF($NP$57="Bell_Curve",$NN$57*(286-$NR$57+1)*($NS$57-286+1)/$NU$57,$NN$57/$NT$57)),0)</f>
        <v/>
      </c>
      <c r="KE57" s="402">
        <f>IF(AND(287&gt;=$NR$57,287&lt;=$NS$57),IF($NP$57="Single_Point",IF(287=$NR$57,$NN$57,0),IF($NP$57="Bell_Curve",$NN$57*(287-$NR$57+1)*($NS$57-287+1)/$NU$57,$NN$57/$NT$57)),0)</f>
        <v/>
      </c>
      <c r="KF57" s="402">
        <f>IF(AND(288&gt;=$NR$57,288&lt;=$NS$57),IF($NP$57="Single_Point",IF(288=$NR$57,$NN$57,0),IF($NP$57="Bell_Curve",$NN$57*(288-$NR$57+1)*($NS$57-288+1)/$NU$57,$NN$57/$NT$57)),0)</f>
        <v/>
      </c>
      <c r="KG57" s="402">
        <f>IF(AND(289&gt;=$NR$57,289&lt;=$NS$57),IF($NP$57="Single_Point",IF(289=$NR$57,$NN$57,0),IF($NP$57="Bell_Curve",$NN$57*(289-$NR$57+1)*($NS$57-289+1)/$NU$57,$NN$57/$NT$57)),0)</f>
        <v/>
      </c>
      <c r="KH57" s="402">
        <f>IF(AND(290&gt;=$NR$57,290&lt;=$NS$57),IF($NP$57="Single_Point",IF(290=$NR$57,$NN$57,0),IF($NP$57="Bell_Curve",$NN$57*(290-$NR$57+1)*($NS$57-290+1)/$NU$57,$NN$57/$NT$57)),0)</f>
        <v/>
      </c>
      <c r="KI57" s="402">
        <f>IF(AND(291&gt;=$NR$57,291&lt;=$NS$57),IF($NP$57="Single_Point",IF(291=$NR$57,$NN$57,0),IF($NP$57="Bell_Curve",$NN$57*(291-$NR$57+1)*($NS$57-291+1)/$NU$57,$NN$57/$NT$57)),0)</f>
        <v/>
      </c>
      <c r="KJ57" s="402">
        <f>IF(AND(292&gt;=$NR$57,292&lt;=$NS$57),IF($NP$57="Single_Point",IF(292=$NR$57,$NN$57,0),IF($NP$57="Bell_Curve",$NN$57*(292-$NR$57+1)*($NS$57-292+1)/$NU$57,$NN$57/$NT$57)),0)</f>
        <v/>
      </c>
      <c r="KK57" s="402">
        <f>IF(AND(293&gt;=$NR$57,293&lt;=$NS$57),IF($NP$57="Single_Point",IF(293=$NR$57,$NN$57,0),IF($NP$57="Bell_Curve",$NN$57*(293-$NR$57+1)*($NS$57-293+1)/$NU$57,$NN$57/$NT$57)),0)</f>
        <v/>
      </c>
      <c r="KL57" s="402">
        <f>IF(AND(294&gt;=$NR$57,294&lt;=$NS$57),IF($NP$57="Single_Point",IF(294=$NR$57,$NN$57,0),IF($NP$57="Bell_Curve",$NN$57*(294-$NR$57+1)*($NS$57-294+1)/$NU$57,$NN$57/$NT$57)),0)</f>
        <v/>
      </c>
      <c r="KM57" s="402">
        <f>IF(AND(295&gt;=$NR$57,295&lt;=$NS$57),IF($NP$57="Single_Point",IF(295=$NR$57,$NN$57,0),IF($NP$57="Bell_Curve",$NN$57*(295-$NR$57+1)*($NS$57-295+1)/$NU$57,$NN$57/$NT$57)),0)</f>
        <v/>
      </c>
      <c r="KN57" s="402">
        <f>IF(AND(296&gt;=$NR$57,296&lt;=$NS$57),IF($NP$57="Single_Point",IF(296=$NR$57,$NN$57,0),IF($NP$57="Bell_Curve",$NN$57*(296-$NR$57+1)*($NS$57-296+1)/$NU$57,$NN$57/$NT$57)),0)</f>
        <v/>
      </c>
      <c r="KO57" s="402">
        <f>IF(AND(297&gt;=$NR$57,297&lt;=$NS$57),IF($NP$57="Single_Point",IF(297=$NR$57,$NN$57,0),IF($NP$57="Bell_Curve",$NN$57*(297-$NR$57+1)*($NS$57-297+1)/$NU$57,$NN$57/$NT$57)),0)</f>
        <v/>
      </c>
      <c r="KP57" s="402">
        <f>IF(AND(298&gt;=$NR$57,298&lt;=$NS$57),IF($NP$57="Single_Point",IF(298=$NR$57,$NN$57,0),IF($NP$57="Bell_Curve",$NN$57*(298-$NR$57+1)*($NS$57-298+1)/$NU$57,$NN$57/$NT$57)),0)</f>
        <v/>
      </c>
      <c r="KQ57" s="402">
        <f>IF(AND(299&gt;=$NR$57,299&lt;=$NS$57),IF($NP$57="Single_Point",IF(299=$NR$57,$NN$57,0),IF($NP$57="Bell_Curve",$NN$57*(299-$NR$57+1)*($NS$57-299+1)/$NU$57,$NN$57/$NT$57)),0)</f>
        <v/>
      </c>
      <c r="KR57" s="402">
        <f>IF(AND(300&gt;=$NR$57,300&lt;=$NS$57),IF($NP$57="Single_Point",IF(300=$NR$57,$NN$57,0),IF($NP$57="Bell_Curve",$NN$57*(300-$NR$57+1)*($NS$57-300+1)/$NU$57,$NN$57/$NT$57)),0)</f>
        <v/>
      </c>
      <c r="KS57" s="402">
        <f>IF(AND(301&gt;=$NR$57,301&lt;=$NS$57),IF($NP$57="Single_Point",IF(301=$NR$57,$NN$57,0),IF($NP$57="Bell_Curve",$NN$57*(301-$NR$57+1)*($NS$57-301+1)/$NU$57,$NN$57/$NT$57)),0)</f>
        <v/>
      </c>
      <c r="KT57" s="402">
        <f>IF(AND(302&gt;=$NR$57,302&lt;=$NS$57),IF($NP$57="Single_Point",IF(302=$NR$57,$NN$57,0),IF($NP$57="Bell_Curve",$NN$57*(302-$NR$57+1)*($NS$57-302+1)/$NU$57,$NN$57/$NT$57)),0)</f>
        <v/>
      </c>
      <c r="KU57" s="402">
        <f>IF(AND(303&gt;=$NR$57,303&lt;=$NS$57),IF($NP$57="Single_Point",IF(303=$NR$57,$NN$57,0),IF($NP$57="Bell_Curve",$NN$57*(303-$NR$57+1)*($NS$57-303+1)/$NU$57,$NN$57/$NT$57)),0)</f>
        <v/>
      </c>
      <c r="KV57" s="402">
        <f>IF(AND(304&gt;=$NR$57,304&lt;=$NS$57),IF($NP$57="Single_Point",IF(304=$NR$57,$NN$57,0),IF($NP$57="Bell_Curve",$NN$57*(304-$NR$57+1)*($NS$57-304+1)/$NU$57,$NN$57/$NT$57)),0)</f>
        <v/>
      </c>
      <c r="KW57" s="402">
        <f>IF(AND(305&gt;=$NR$57,305&lt;=$NS$57),IF($NP$57="Single_Point",IF(305=$NR$57,$NN$57,0),IF($NP$57="Bell_Curve",$NN$57*(305-$NR$57+1)*($NS$57-305+1)/$NU$57,$NN$57/$NT$57)),0)</f>
        <v/>
      </c>
      <c r="KX57" s="402">
        <f>IF(AND(306&gt;=$NR$57,306&lt;=$NS$57),IF($NP$57="Single_Point",IF(306=$NR$57,$NN$57,0),IF($NP$57="Bell_Curve",$NN$57*(306-$NR$57+1)*($NS$57-306+1)/$NU$57,$NN$57/$NT$57)),0)</f>
        <v/>
      </c>
      <c r="KY57" s="402">
        <f>IF(AND(307&gt;=$NR$57,307&lt;=$NS$57),IF($NP$57="Single_Point",IF(307=$NR$57,$NN$57,0),IF($NP$57="Bell_Curve",$NN$57*(307-$NR$57+1)*($NS$57-307+1)/$NU$57,$NN$57/$NT$57)),0)</f>
        <v/>
      </c>
      <c r="KZ57" s="402">
        <f>IF(AND(308&gt;=$NR$57,308&lt;=$NS$57),IF($NP$57="Single_Point",IF(308=$NR$57,$NN$57,0),IF($NP$57="Bell_Curve",$NN$57*(308-$NR$57+1)*($NS$57-308+1)/$NU$57,$NN$57/$NT$57)),0)</f>
        <v/>
      </c>
      <c r="LA57" s="402">
        <f>IF(AND(309&gt;=$NR$57,309&lt;=$NS$57),IF($NP$57="Single_Point",IF(309=$NR$57,$NN$57,0),IF($NP$57="Bell_Curve",$NN$57*(309-$NR$57+1)*($NS$57-309+1)/$NU$57,$NN$57/$NT$57)),0)</f>
        <v/>
      </c>
      <c r="LB57" s="402">
        <f>IF(AND(310&gt;=$NR$57,310&lt;=$NS$57),IF($NP$57="Single_Point",IF(310=$NR$57,$NN$57,0),IF($NP$57="Bell_Curve",$NN$57*(310-$NR$57+1)*($NS$57-310+1)/$NU$57,$NN$57/$NT$57)),0)</f>
        <v/>
      </c>
      <c r="LC57" s="402">
        <f>IF(AND(311&gt;=$NR$57,311&lt;=$NS$57),IF($NP$57="Single_Point",IF(311=$NR$57,$NN$57,0),IF($NP$57="Bell_Curve",$NN$57*(311-$NR$57+1)*($NS$57-311+1)/$NU$57,$NN$57/$NT$57)),0)</f>
        <v/>
      </c>
      <c r="LD57" s="402">
        <f>IF(AND(312&gt;=$NR$57,312&lt;=$NS$57),IF($NP$57="Single_Point",IF(312=$NR$57,$NN$57,0),IF($NP$57="Bell_Curve",$NN$57*(312-$NR$57+1)*($NS$57-312+1)/$NU$57,$NN$57/$NT$57)),0)</f>
        <v/>
      </c>
      <c r="LE57" s="402">
        <f>IF(AND(313&gt;=$NR$57,313&lt;=$NS$57),IF($NP$57="Single_Point",IF(313=$NR$57,$NN$57,0),IF($NP$57="Bell_Curve",$NN$57*(313-$NR$57+1)*($NS$57-313+1)/$NU$57,$NN$57/$NT$57)),0)</f>
        <v/>
      </c>
      <c r="LF57" s="402">
        <f>IF(AND(314&gt;=$NR$57,314&lt;=$NS$57),IF($NP$57="Single_Point",IF(314=$NR$57,$NN$57,0),IF($NP$57="Bell_Curve",$NN$57*(314-$NR$57+1)*($NS$57-314+1)/$NU$57,$NN$57/$NT$57)),0)</f>
        <v/>
      </c>
      <c r="LG57" s="402">
        <f>IF(AND(315&gt;=$NR$57,315&lt;=$NS$57),IF($NP$57="Single_Point",IF(315=$NR$57,$NN$57,0),IF($NP$57="Bell_Curve",$NN$57*(315-$NR$57+1)*($NS$57-315+1)/$NU$57,$NN$57/$NT$57)),0)</f>
        <v/>
      </c>
      <c r="LH57" s="402">
        <f>IF(AND(316&gt;=$NR$57,316&lt;=$NS$57),IF($NP$57="Single_Point",IF(316=$NR$57,$NN$57,0),IF($NP$57="Bell_Curve",$NN$57*(316-$NR$57+1)*($NS$57-316+1)/$NU$57,$NN$57/$NT$57)),0)</f>
        <v/>
      </c>
      <c r="LI57" s="402">
        <f>IF(AND(317&gt;=$NR$57,317&lt;=$NS$57),IF($NP$57="Single_Point",IF(317=$NR$57,$NN$57,0),IF($NP$57="Bell_Curve",$NN$57*(317-$NR$57+1)*($NS$57-317+1)/$NU$57,$NN$57/$NT$57)),0)</f>
        <v/>
      </c>
      <c r="LJ57" s="402">
        <f>IF(AND(318&gt;=$NR$57,318&lt;=$NS$57),IF($NP$57="Single_Point",IF(318=$NR$57,$NN$57,0),IF($NP$57="Bell_Curve",$NN$57*(318-$NR$57+1)*($NS$57-318+1)/$NU$57,$NN$57/$NT$57)),0)</f>
        <v/>
      </c>
      <c r="LK57" s="402">
        <f>IF(AND(319&gt;=$NR$57,319&lt;=$NS$57),IF($NP$57="Single_Point",IF(319=$NR$57,$NN$57,0),IF($NP$57="Bell_Curve",$NN$57*(319-$NR$57+1)*($NS$57-319+1)/$NU$57,$NN$57/$NT$57)),0)</f>
        <v/>
      </c>
      <c r="LL57" s="402">
        <f>IF(AND(320&gt;=$NR$57,320&lt;=$NS$57),IF($NP$57="Single_Point",IF(320=$NR$57,$NN$57,0),IF($NP$57="Bell_Curve",$NN$57*(320-$NR$57+1)*($NS$57-320+1)/$NU$57,$NN$57/$NT$57)),0)</f>
        <v/>
      </c>
      <c r="LM57" s="402">
        <f>IF(AND(321&gt;=$NR$57,321&lt;=$NS$57),IF($NP$57="Single_Point",IF(321=$NR$57,$NN$57,0),IF($NP$57="Bell_Curve",$NN$57*(321-$NR$57+1)*($NS$57-321+1)/$NU$57,$NN$57/$NT$57)),0)</f>
        <v/>
      </c>
      <c r="LN57" s="402">
        <f>IF(AND(322&gt;=$NR$57,322&lt;=$NS$57),IF($NP$57="Single_Point",IF(322=$NR$57,$NN$57,0),IF($NP$57="Bell_Curve",$NN$57*(322-$NR$57+1)*($NS$57-322+1)/$NU$57,$NN$57/$NT$57)),0)</f>
        <v/>
      </c>
      <c r="LO57" s="402">
        <f>IF(AND(323&gt;=$NR$57,323&lt;=$NS$57),IF($NP$57="Single_Point",IF(323=$NR$57,$NN$57,0),IF($NP$57="Bell_Curve",$NN$57*(323-$NR$57+1)*($NS$57-323+1)/$NU$57,$NN$57/$NT$57)),0)</f>
        <v/>
      </c>
      <c r="LP57" s="402">
        <f>IF(AND(324&gt;=$NR$57,324&lt;=$NS$57),IF($NP$57="Single_Point",IF(324=$NR$57,$NN$57,0),IF($NP$57="Bell_Curve",$NN$57*(324-$NR$57+1)*($NS$57-324+1)/$NU$57,$NN$57/$NT$57)),0)</f>
        <v/>
      </c>
      <c r="LQ57" s="402">
        <f>IF(AND(325&gt;=$NR$57,325&lt;=$NS$57),IF($NP$57="Single_Point",IF(325=$NR$57,$NN$57,0),IF($NP$57="Bell_Curve",$NN$57*(325-$NR$57+1)*($NS$57-325+1)/$NU$57,$NN$57/$NT$57)),0)</f>
        <v/>
      </c>
      <c r="LR57" s="402">
        <f>IF(AND(326&gt;=$NR$57,326&lt;=$NS$57),IF($NP$57="Single_Point",IF(326=$NR$57,$NN$57,0),IF($NP$57="Bell_Curve",$NN$57*(326-$NR$57+1)*($NS$57-326+1)/$NU$57,$NN$57/$NT$57)),0)</f>
        <v/>
      </c>
      <c r="LS57" s="402">
        <f>IF(AND(327&gt;=$NR$57,327&lt;=$NS$57),IF($NP$57="Single_Point",IF(327=$NR$57,$NN$57,0),IF($NP$57="Bell_Curve",$NN$57*(327-$NR$57+1)*($NS$57-327+1)/$NU$57,$NN$57/$NT$57)),0)</f>
        <v/>
      </c>
      <c r="LT57" s="402">
        <f>IF(AND(328&gt;=$NR$57,328&lt;=$NS$57),IF($NP$57="Single_Point",IF(328=$NR$57,$NN$57,0),IF($NP$57="Bell_Curve",$NN$57*(328-$NR$57+1)*($NS$57-328+1)/$NU$57,$NN$57/$NT$57)),0)</f>
        <v/>
      </c>
      <c r="LU57" s="402">
        <f>IF(AND(329&gt;=$NR$57,329&lt;=$NS$57),IF($NP$57="Single_Point",IF(329=$NR$57,$NN$57,0),IF($NP$57="Bell_Curve",$NN$57*(329-$NR$57+1)*($NS$57-329+1)/$NU$57,$NN$57/$NT$57)),0)</f>
        <v/>
      </c>
      <c r="LV57" s="402">
        <f>IF(AND(330&gt;=$NR$57,330&lt;=$NS$57),IF($NP$57="Single_Point",IF(330=$NR$57,$NN$57,0),IF($NP$57="Bell_Curve",$NN$57*(330-$NR$57+1)*($NS$57-330+1)/$NU$57,$NN$57/$NT$57)),0)</f>
        <v/>
      </c>
      <c r="LW57" s="402">
        <f>IF(AND(331&gt;=$NR$57,331&lt;=$NS$57),IF($NP$57="Single_Point",IF(331=$NR$57,$NN$57,0),IF($NP$57="Bell_Curve",$NN$57*(331-$NR$57+1)*($NS$57-331+1)/$NU$57,$NN$57/$NT$57)),0)</f>
        <v/>
      </c>
      <c r="LX57" s="402">
        <f>IF(AND(332&gt;=$NR$57,332&lt;=$NS$57),IF($NP$57="Single_Point",IF(332=$NR$57,$NN$57,0),IF($NP$57="Bell_Curve",$NN$57*(332-$NR$57+1)*($NS$57-332+1)/$NU$57,$NN$57/$NT$57)),0)</f>
        <v/>
      </c>
      <c r="LY57" s="402">
        <f>IF(AND(333&gt;=$NR$57,333&lt;=$NS$57),IF($NP$57="Single_Point",IF(333=$NR$57,$NN$57,0),IF($NP$57="Bell_Curve",$NN$57*(333-$NR$57+1)*($NS$57-333+1)/$NU$57,$NN$57/$NT$57)),0)</f>
        <v/>
      </c>
      <c r="LZ57" s="402">
        <f>IF(AND(334&gt;=$NR$57,334&lt;=$NS$57),IF($NP$57="Single_Point",IF(334=$NR$57,$NN$57,0),IF($NP$57="Bell_Curve",$NN$57*(334-$NR$57+1)*($NS$57-334+1)/$NU$57,$NN$57/$NT$57)),0)</f>
        <v/>
      </c>
      <c r="MA57" s="402">
        <f>IF(AND(335&gt;=$NR$57,335&lt;=$NS$57),IF($NP$57="Single_Point",IF(335=$NR$57,$NN$57,0),IF($NP$57="Bell_Curve",$NN$57*(335-$NR$57+1)*($NS$57-335+1)/$NU$57,$NN$57/$NT$57)),0)</f>
        <v/>
      </c>
      <c r="MB57" s="402">
        <f>IF(AND(336&gt;=$NR$57,336&lt;=$NS$57),IF($NP$57="Single_Point",IF(336=$NR$57,$NN$57,0),IF($NP$57="Bell_Curve",$NN$57*(336-$NR$57+1)*($NS$57-336+1)/$NU$57,$NN$57/$NT$57)),0)</f>
        <v/>
      </c>
      <c r="MC57" s="402">
        <f>IF(AND(337&gt;=$NR$57,337&lt;=$NS$57),IF($NP$57="Single_Point",IF(337=$NR$57,$NN$57,0),IF($NP$57="Bell_Curve",$NN$57*(337-$NR$57+1)*($NS$57-337+1)/$NU$57,$NN$57/$NT$57)),0)</f>
        <v/>
      </c>
      <c r="MD57" s="402">
        <f>IF(AND(338&gt;=$NR$57,338&lt;=$NS$57),IF($NP$57="Single_Point",IF(338=$NR$57,$NN$57,0),IF($NP$57="Bell_Curve",$NN$57*(338-$NR$57+1)*($NS$57-338+1)/$NU$57,$NN$57/$NT$57)),0)</f>
        <v/>
      </c>
      <c r="ME57" s="402">
        <f>IF(AND(339&gt;=$NR$57,339&lt;=$NS$57),IF($NP$57="Single_Point",IF(339=$NR$57,$NN$57,0),IF($NP$57="Bell_Curve",$NN$57*(339-$NR$57+1)*($NS$57-339+1)/$NU$57,$NN$57/$NT$57)),0)</f>
        <v/>
      </c>
      <c r="MF57" s="402">
        <f>IF(AND(340&gt;=$NR$57,340&lt;=$NS$57),IF($NP$57="Single_Point",IF(340=$NR$57,$NN$57,0),IF($NP$57="Bell_Curve",$NN$57*(340-$NR$57+1)*($NS$57-340+1)/$NU$57,$NN$57/$NT$57)),0)</f>
        <v/>
      </c>
      <c r="MG57" s="402">
        <f>IF(AND(341&gt;=$NR$57,341&lt;=$NS$57),IF($NP$57="Single_Point",IF(341=$NR$57,$NN$57,0),IF($NP$57="Bell_Curve",$NN$57*(341-$NR$57+1)*($NS$57-341+1)/$NU$57,$NN$57/$NT$57)),0)</f>
        <v/>
      </c>
      <c r="MH57" s="402">
        <f>IF(AND(342&gt;=$NR$57,342&lt;=$NS$57),IF($NP$57="Single_Point",IF(342=$NR$57,$NN$57,0),IF($NP$57="Bell_Curve",$NN$57*(342-$NR$57+1)*($NS$57-342+1)/$NU$57,$NN$57/$NT$57)),0)</f>
        <v/>
      </c>
      <c r="MI57" s="402">
        <f>IF(AND(343&gt;=$NR$57,343&lt;=$NS$57),IF($NP$57="Single_Point",IF(343=$NR$57,$NN$57,0),IF($NP$57="Bell_Curve",$NN$57*(343-$NR$57+1)*($NS$57-343+1)/$NU$57,$NN$57/$NT$57)),0)</f>
        <v/>
      </c>
      <c r="MJ57" s="402">
        <f>IF(AND(344&gt;=$NR$57,344&lt;=$NS$57),IF($NP$57="Single_Point",IF(344=$NR$57,$NN$57,0),IF($NP$57="Bell_Curve",$NN$57*(344-$NR$57+1)*($NS$57-344+1)/$NU$57,$NN$57/$NT$57)),0)</f>
        <v/>
      </c>
      <c r="MK57" s="402">
        <f>IF(AND(345&gt;=$NR$57,345&lt;=$NS$57),IF($NP$57="Single_Point",IF(345=$NR$57,$NN$57,0),IF($NP$57="Bell_Curve",$NN$57*(345-$NR$57+1)*($NS$57-345+1)/$NU$57,$NN$57/$NT$57)),0)</f>
        <v/>
      </c>
      <c r="ML57" s="402">
        <f>IF(AND(346&gt;=$NR$57,346&lt;=$NS$57),IF($NP$57="Single_Point",IF(346=$NR$57,$NN$57,0),IF($NP$57="Bell_Curve",$NN$57*(346-$NR$57+1)*($NS$57-346+1)/$NU$57,$NN$57/$NT$57)),0)</f>
        <v/>
      </c>
      <c r="MM57" s="402">
        <f>IF(AND(347&gt;=$NR$57,347&lt;=$NS$57),IF($NP$57="Single_Point",IF(347=$NR$57,$NN$57,0),IF($NP$57="Bell_Curve",$NN$57*(347-$NR$57+1)*($NS$57-347+1)/$NU$57,$NN$57/$NT$57)),0)</f>
        <v/>
      </c>
      <c r="MN57" s="402">
        <f>IF(AND(348&gt;=$NR$57,348&lt;=$NS$57),IF($NP$57="Single_Point",IF(348=$NR$57,$NN$57,0),IF($NP$57="Bell_Curve",$NN$57*(348-$NR$57+1)*($NS$57-348+1)/$NU$57,$NN$57/$NT$57)),0)</f>
        <v/>
      </c>
      <c r="MO57" s="402">
        <f>IF(AND(349&gt;=$NR$57,349&lt;=$NS$57),IF($NP$57="Single_Point",IF(349=$NR$57,$NN$57,0),IF($NP$57="Bell_Curve",$NN$57*(349-$NR$57+1)*($NS$57-349+1)/$NU$57,$NN$57/$NT$57)),0)</f>
        <v/>
      </c>
      <c r="MP57" s="402">
        <f>IF(AND(350&gt;=$NR$57,350&lt;=$NS$57),IF($NP$57="Single_Point",IF(350=$NR$57,$NN$57,0),IF($NP$57="Bell_Curve",$NN$57*(350-$NR$57+1)*($NS$57-350+1)/$NU$57,$NN$57/$NT$57)),0)</f>
        <v/>
      </c>
      <c r="MQ57" s="402">
        <f>IF(AND(351&gt;=$NR$57,351&lt;=$NS$57),IF($NP$57="Single_Point",IF(351=$NR$57,$NN$57,0),IF($NP$57="Bell_Curve",$NN$57*(351-$NR$57+1)*($NS$57-351+1)/$NU$57,$NN$57/$NT$57)),0)</f>
        <v/>
      </c>
      <c r="MR57" s="402">
        <f>IF(AND(352&gt;=$NR$57,352&lt;=$NS$57),IF($NP$57="Single_Point",IF(352=$NR$57,$NN$57,0),IF($NP$57="Bell_Curve",$NN$57*(352-$NR$57+1)*($NS$57-352+1)/$NU$57,$NN$57/$NT$57)),0)</f>
        <v/>
      </c>
      <c r="MS57" s="402">
        <f>IF(AND(353&gt;=$NR$57,353&lt;=$NS$57),IF($NP$57="Single_Point",IF(353=$NR$57,$NN$57,0),IF($NP$57="Bell_Curve",$NN$57*(353-$NR$57+1)*($NS$57-353+1)/$NU$57,$NN$57/$NT$57)),0)</f>
        <v/>
      </c>
      <c r="MT57" s="402">
        <f>IF(AND(354&gt;=$NR$57,354&lt;=$NS$57),IF($NP$57="Single_Point",IF(354=$NR$57,$NN$57,0),IF($NP$57="Bell_Curve",$NN$57*(354-$NR$57+1)*($NS$57-354+1)/$NU$57,$NN$57/$NT$57)),0)</f>
        <v/>
      </c>
      <c r="MU57" s="402">
        <f>IF(AND(355&gt;=$NR$57,355&lt;=$NS$57),IF($NP$57="Single_Point",IF(355=$NR$57,$NN$57,0),IF($NP$57="Bell_Curve",$NN$57*(355-$NR$57+1)*($NS$57-355+1)/$NU$57,$NN$57/$NT$57)),0)</f>
        <v/>
      </c>
      <c r="MV57" s="402">
        <f>IF(AND(356&gt;=$NR$57,356&lt;=$NS$57),IF($NP$57="Single_Point",IF(356=$NR$57,$NN$57,0),IF($NP$57="Bell_Curve",$NN$57*(356-$NR$57+1)*($NS$57-356+1)/$NU$57,$NN$57/$NT$57)),0)</f>
        <v/>
      </c>
      <c r="MW57" s="402">
        <f>IF(AND(357&gt;=$NR$57,357&lt;=$NS$57),IF($NP$57="Single_Point",IF(357=$NR$57,$NN$57,0),IF($NP$57="Bell_Curve",$NN$57*(357-$NR$57+1)*($NS$57-357+1)/$NU$57,$NN$57/$NT$57)),0)</f>
        <v/>
      </c>
      <c r="MX57" s="402">
        <f>IF(AND(358&gt;=$NR$57,358&lt;=$NS$57),IF($NP$57="Single_Point",IF(358=$NR$57,$NN$57,0),IF($NP$57="Bell_Curve",$NN$57*(358-$NR$57+1)*($NS$57-358+1)/$NU$57,$NN$57/$NT$57)),0)</f>
        <v/>
      </c>
      <c r="MY57" s="402">
        <f>IF(AND(359&gt;=$NR$57,359&lt;=$NS$57),IF($NP$57="Single_Point",IF(359=$NR$57,$NN$57,0),IF($NP$57="Bell_Curve",$NN$57*(359-$NR$57+1)*($NS$57-359+1)/$NU$57,$NN$57/$NT$57)),0)</f>
        <v/>
      </c>
      <c r="MZ57" s="402">
        <f>IF(AND(360&gt;=$NR$57,360&lt;=$NS$57),IF($NP$57="Single_Point",IF(360=$NR$57,$NN$57,0),IF($NP$57="Bell_Curve",$NN$57*(360-$NR$57+1)*($NS$57-360+1)/$NU$57,$NN$57/$NT$57)),0)</f>
        <v/>
      </c>
      <c r="NA57" s="402">
        <f>IF(AND(361&gt;=$NR$57,361&lt;=$NS$57),IF($NP$57="Single_Point",IF(361=$NR$57,$NN$57,0),IF($NP$57="Bell_Curve",$NN$57*(361-$NR$57+1)*($NS$57-361+1)/$NU$57,$NN$57/$NT$57)),0)</f>
        <v/>
      </c>
      <c r="NB57" s="402">
        <f>IF(AND(362&gt;=$NR$57,362&lt;=$NS$57),IF($NP$57="Single_Point",IF(362=$NR$57,$NN$57,0),IF($NP$57="Bell_Curve",$NN$57*(362-$NR$57+1)*($NS$57-362+1)/$NU$57,$NN$57/$NT$57)),0)</f>
        <v/>
      </c>
      <c r="NC57" s="402">
        <f>IF(AND(363&gt;=$NR$57,363&lt;=$NS$57),IF($NP$57="Single_Point",IF(363=$NR$57,$NN$57,0),IF($NP$57="Bell_Curve",$NN$57*(363-$NR$57+1)*($NS$57-363+1)/$NU$57,$NN$57/$NT$57)),0)</f>
        <v/>
      </c>
      <c r="ND57" s="402">
        <f>IF(AND(364&gt;=$NR$57,364&lt;=$NS$57),IF($NP$57="Single_Point",IF(364=$NR$57,$NN$57,0),IF($NP$57="Bell_Curve",$NN$57*(364-$NR$57+1)*($NS$57-364+1)/$NU$57,$NN$57/$NT$57)),0)</f>
        <v/>
      </c>
      <c r="NE57" s="402">
        <f>IF(AND(365&gt;=$NR$57,365&lt;=$NS$57),IF($NP$57="Single_Point",IF(365=$NR$57,$NN$57,0),IF($NP$57="Bell_Curve",$NN$57*(365-$NR$57+1)*($NS$57-365+1)/$NU$57,$NN$57/$NT$57)),0)</f>
        <v/>
      </c>
      <c r="NF57" s="402">
        <f>IF(AND(366&gt;=$NR$57,366&lt;=$NS$57),IF($NP$57="Single_Point",IF(366=$NR$57,$NN$57,0),IF($NP$57="Bell_Curve",$NN$57*(366-$NR$57+1)*($NS$57-366+1)/$NU$57,$NN$57/$NT$57)),0)</f>
        <v/>
      </c>
      <c r="NG57" s="402">
        <f>IF(AND(367&gt;=$NR$57,367&lt;=$NS$57),IF($NP$57="Single_Point",IF(367=$NR$57,$NN$57,0),IF($NP$57="Bell_Curve",$NN$57*(367-$NR$57+1)*($NS$57-367+1)/$NU$57,$NN$57/$NT$57)),0)</f>
        <v/>
      </c>
      <c r="NH57" s="402">
        <f>IF(AND(368&gt;=$NR$57,368&lt;=$NS$57),IF($NP$57="Single_Point",IF(368=$NR$57,$NN$57,0),IF($NP$57="Bell_Curve",$NN$57*(368-$NR$57+1)*($NS$57-368+1)/$NU$57,$NN$57/$NT$57)),0)</f>
        <v/>
      </c>
      <c r="NI57" s="402">
        <f>IF(AND(369&gt;=$NR$57,369&lt;=$NS$57),IF($NP$57="Single_Point",IF(369=$NR$57,$NN$57,0),IF($NP$57="Bell_Curve",$NN$57*(369-$NR$57+1)*($NS$57-369+1)/$NU$57,$NN$57/$NT$57)),0)</f>
        <v/>
      </c>
      <c r="NJ57" s="402">
        <f>IF(AND(370&gt;=$NR$57,370&lt;=$NS$57),IF($NP$57="Single_Point",IF(370=$NR$57,$NN$57,0),IF($NP$57="Bell_Curve",$NN$57*(370-$NR$57+1)*($NS$57-370+1)/$NU$57,$NN$57/$NT$57)),0)</f>
        <v/>
      </c>
      <c r="NK57" s="402">
        <f>IF(AND(371&gt;=$NR$57,371&lt;=$NS$57),IF($NP$57="Single_Point",IF(371=$NR$57,$NN$57,0),IF($NP$57="Bell_Curve",$NN$57*(371-$NR$57+1)*($NS$57-371+1)/$NU$57,$NN$57/$NT$57)),0)</f>
        <v/>
      </c>
      <c r="NL57" s="402">
        <f>IF(AND(372&gt;=$NR$57,372&lt;=$NS$57),IF($NP$57="Single_Point",IF(372=$NR$57,$NN$57,0),IF($NP$57="Bell_Curve",$NN$57*(372-$NR$57+1)*($NS$57-372+1)/$NU$57,$NN$57/$NT$57)),0)</f>
        <v/>
      </c>
      <c r="NM57">
        <f>Budget!C56</f>
        <v/>
      </c>
      <c r="NN57">
        <f>Budget!J56</f>
        <v/>
      </c>
      <c r="NO57">
        <f>Budget!G56</f>
        <v/>
      </c>
      <c r="NP57">
        <f>Budget!H56</f>
        <v/>
      </c>
      <c r="NQ57">
        <f>Budget!I56</f>
        <v/>
      </c>
      <c r="NR57">
        <f>MAX(1,MIN(372,INDEX(MilestoneStart,MATCH(NO57,MilestoneNames,0))+NQ57))</f>
        <v/>
      </c>
      <c r="NS57">
        <f>MAX(NR57,MIN(372,INDEX(MilestoneEnd,MATCH(NO57,MilestoneNames,0))+NQ57))</f>
        <v/>
      </c>
      <c r="NT57">
        <f>NS57-NR57+1</f>
        <v/>
      </c>
      <c r="NU57">
        <f>NT57*(NT57+1)*(NT57+2)/6</f>
        <v/>
      </c>
    </row>
    <row r="58">
      <c r="B58" s="316">
        <f>Budget!B57</f>
        <v/>
      </c>
      <c r="D58" s="402">
        <f>SUM(E58:NL58)</f>
        <v/>
      </c>
      <c r="E58" s="402">
        <f>IF(AND(1&gt;=$NR$58,1&lt;=$NS$58),IF($NP$58="Single_Point",IF(1=$NR$58,$NN$58,0),IF($NP$58="Bell_Curve",$NN$58*(1-$NR$58+1)*($NS$58-1+1)/$NU$58,$NN$58/$NT$58)),0)</f>
        <v/>
      </c>
      <c r="F58" s="402">
        <f>IF(AND(2&gt;=$NR$58,2&lt;=$NS$58),IF($NP$58="Single_Point",IF(2=$NR$58,$NN$58,0),IF($NP$58="Bell_Curve",$NN$58*(2-$NR$58+1)*($NS$58-2+1)/$NU$58,$NN$58/$NT$58)),0)</f>
        <v/>
      </c>
      <c r="G58" s="402">
        <f>IF(AND(3&gt;=$NR$58,3&lt;=$NS$58),IF($NP$58="Single_Point",IF(3=$NR$58,$NN$58,0),IF($NP$58="Bell_Curve",$NN$58*(3-$NR$58+1)*($NS$58-3+1)/$NU$58,$NN$58/$NT$58)),0)</f>
        <v/>
      </c>
      <c r="H58" s="402">
        <f>IF(AND(4&gt;=$NR$58,4&lt;=$NS$58),IF($NP$58="Single_Point",IF(4=$NR$58,$NN$58,0),IF($NP$58="Bell_Curve",$NN$58*(4-$NR$58+1)*($NS$58-4+1)/$NU$58,$NN$58/$NT$58)),0)</f>
        <v/>
      </c>
      <c r="I58" s="402">
        <f>IF(AND(5&gt;=$NR$58,5&lt;=$NS$58),IF($NP$58="Single_Point",IF(5=$NR$58,$NN$58,0),IF($NP$58="Bell_Curve",$NN$58*(5-$NR$58+1)*($NS$58-5+1)/$NU$58,$NN$58/$NT$58)),0)</f>
        <v/>
      </c>
      <c r="J58" s="402">
        <f>IF(AND(6&gt;=$NR$58,6&lt;=$NS$58),IF($NP$58="Single_Point",IF(6=$NR$58,$NN$58,0),IF($NP$58="Bell_Curve",$NN$58*(6-$NR$58+1)*($NS$58-6+1)/$NU$58,$NN$58/$NT$58)),0)</f>
        <v/>
      </c>
      <c r="K58" s="402">
        <f>IF(AND(7&gt;=$NR$58,7&lt;=$NS$58),IF($NP$58="Single_Point",IF(7=$NR$58,$NN$58,0),IF($NP$58="Bell_Curve",$NN$58*(7-$NR$58+1)*($NS$58-7+1)/$NU$58,$NN$58/$NT$58)),0)</f>
        <v/>
      </c>
      <c r="L58" s="402">
        <f>IF(AND(8&gt;=$NR$58,8&lt;=$NS$58),IF($NP$58="Single_Point",IF(8=$NR$58,$NN$58,0),IF($NP$58="Bell_Curve",$NN$58*(8-$NR$58+1)*($NS$58-8+1)/$NU$58,$NN$58/$NT$58)),0)</f>
        <v/>
      </c>
      <c r="M58" s="402">
        <f>IF(AND(9&gt;=$NR$58,9&lt;=$NS$58),IF($NP$58="Single_Point",IF(9=$NR$58,$NN$58,0),IF($NP$58="Bell_Curve",$NN$58*(9-$NR$58+1)*($NS$58-9+1)/$NU$58,$NN$58/$NT$58)),0)</f>
        <v/>
      </c>
      <c r="N58" s="402">
        <f>IF(AND(10&gt;=$NR$58,10&lt;=$NS$58),IF($NP$58="Single_Point",IF(10=$NR$58,$NN$58,0),IF($NP$58="Bell_Curve",$NN$58*(10-$NR$58+1)*($NS$58-10+1)/$NU$58,$NN$58/$NT$58)),0)</f>
        <v/>
      </c>
      <c r="O58" s="402">
        <f>IF(AND(11&gt;=$NR$58,11&lt;=$NS$58),IF($NP$58="Single_Point",IF(11=$NR$58,$NN$58,0),IF($NP$58="Bell_Curve",$NN$58*(11-$NR$58+1)*($NS$58-11+1)/$NU$58,$NN$58/$NT$58)),0)</f>
        <v/>
      </c>
      <c r="P58" s="402">
        <f>IF(AND(12&gt;=$NR$58,12&lt;=$NS$58),IF($NP$58="Single_Point",IF(12=$NR$58,$NN$58,0),IF($NP$58="Bell_Curve",$NN$58*(12-$NR$58+1)*($NS$58-12+1)/$NU$58,$NN$58/$NT$58)),0)</f>
        <v/>
      </c>
      <c r="Q58" s="402">
        <f>IF(AND(13&gt;=$NR$58,13&lt;=$NS$58),IF($NP$58="Single_Point",IF(13=$NR$58,$NN$58,0),IF($NP$58="Bell_Curve",$NN$58*(13-$NR$58+1)*($NS$58-13+1)/$NU$58,$NN$58/$NT$58)),0)</f>
        <v/>
      </c>
      <c r="R58" s="402">
        <f>IF(AND(14&gt;=$NR$58,14&lt;=$NS$58),IF($NP$58="Single_Point",IF(14=$NR$58,$NN$58,0),IF($NP$58="Bell_Curve",$NN$58*(14-$NR$58+1)*($NS$58-14+1)/$NU$58,$NN$58/$NT$58)),0)</f>
        <v/>
      </c>
      <c r="S58" s="402">
        <f>IF(AND(15&gt;=$NR$58,15&lt;=$NS$58),IF($NP$58="Single_Point",IF(15=$NR$58,$NN$58,0),IF($NP$58="Bell_Curve",$NN$58*(15-$NR$58+1)*($NS$58-15+1)/$NU$58,$NN$58/$NT$58)),0)</f>
        <v/>
      </c>
      <c r="T58" s="402">
        <f>IF(AND(16&gt;=$NR$58,16&lt;=$NS$58),IF($NP$58="Single_Point",IF(16=$NR$58,$NN$58,0),IF($NP$58="Bell_Curve",$NN$58*(16-$NR$58+1)*($NS$58-16+1)/$NU$58,$NN$58/$NT$58)),0)</f>
        <v/>
      </c>
      <c r="U58" s="402">
        <f>IF(AND(17&gt;=$NR$58,17&lt;=$NS$58),IF($NP$58="Single_Point",IF(17=$NR$58,$NN$58,0),IF($NP$58="Bell_Curve",$NN$58*(17-$NR$58+1)*($NS$58-17+1)/$NU$58,$NN$58/$NT$58)),0)</f>
        <v/>
      </c>
      <c r="V58" s="402">
        <f>IF(AND(18&gt;=$NR$58,18&lt;=$NS$58),IF($NP$58="Single_Point",IF(18=$NR$58,$NN$58,0),IF($NP$58="Bell_Curve",$NN$58*(18-$NR$58+1)*($NS$58-18+1)/$NU$58,$NN$58/$NT$58)),0)</f>
        <v/>
      </c>
      <c r="W58" s="402">
        <f>IF(AND(19&gt;=$NR$58,19&lt;=$NS$58),IF($NP$58="Single_Point",IF(19=$NR$58,$NN$58,0),IF($NP$58="Bell_Curve",$NN$58*(19-$NR$58+1)*($NS$58-19+1)/$NU$58,$NN$58/$NT$58)),0)</f>
        <v/>
      </c>
      <c r="X58" s="402">
        <f>IF(AND(20&gt;=$NR$58,20&lt;=$NS$58),IF($NP$58="Single_Point",IF(20=$NR$58,$NN$58,0),IF($NP$58="Bell_Curve",$NN$58*(20-$NR$58+1)*($NS$58-20+1)/$NU$58,$NN$58/$NT$58)),0)</f>
        <v/>
      </c>
      <c r="Y58" s="402">
        <f>IF(AND(21&gt;=$NR$58,21&lt;=$NS$58),IF($NP$58="Single_Point",IF(21=$NR$58,$NN$58,0),IF($NP$58="Bell_Curve",$NN$58*(21-$NR$58+1)*($NS$58-21+1)/$NU$58,$NN$58/$NT$58)),0)</f>
        <v/>
      </c>
      <c r="Z58" s="402">
        <f>IF(AND(22&gt;=$NR$58,22&lt;=$NS$58),IF($NP$58="Single_Point",IF(22=$NR$58,$NN$58,0),IF($NP$58="Bell_Curve",$NN$58*(22-$NR$58+1)*($NS$58-22+1)/$NU$58,$NN$58/$NT$58)),0)</f>
        <v/>
      </c>
      <c r="AA58" s="402">
        <f>IF(AND(23&gt;=$NR$58,23&lt;=$NS$58),IF($NP$58="Single_Point",IF(23=$NR$58,$NN$58,0),IF($NP$58="Bell_Curve",$NN$58*(23-$NR$58+1)*($NS$58-23+1)/$NU$58,$NN$58/$NT$58)),0)</f>
        <v/>
      </c>
      <c r="AB58" s="402">
        <f>IF(AND(24&gt;=$NR$58,24&lt;=$NS$58),IF($NP$58="Single_Point",IF(24=$NR$58,$NN$58,0),IF($NP$58="Bell_Curve",$NN$58*(24-$NR$58+1)*($NS$58-24+1)/$NU$58,$NN$58/$NT$58)),0)</f>
        <v/>
      </c>
      <c r="AC58" s="402">
        <f>IF(AND(25&gt;=$NR$58,25&lt;=$NS$58),IF($NP$58="Single_Point",IF(25=$NR$58,$NN$58,0),IF($NP$58="Bell_Curve",$NN$58*(25-$NR$58+1)*($NS$58-25+1)/$NU$58,$NN$58/$NT$58)),0)</f>
        <v/>
      </c>
      <c r="AD58" s="402">
        <f>IF(AND(26&gt;=$NR$58,26&lt;=$NS$58),IF($NP$58="Single_Point",IF(26=$NR$58,$NN$58,0),IF($NP$58="Bell_Curve",$NN$58*(26-$NR$58+1)*($NS$58-26+1)/$NU$58,$NN$58/$NT$58)),0)</f>
        <v/>
      </c>
      <c r="AE58" s="402">
        <f>IF(AND(27&gt;=$NR$58,27&lt;=$NS$58),IF($NP$58="Single_Point",IF(27=$NR$58,$NN$58,0),IF($NP$58="Bell_Curve",$NN$58*(27-$NR$58+1)*($NS$58-27+1)/$NU$58,$NN$58/$NT$58)),0)</f>
        <v/>
      </c>
      <c r="AF58" s="402">
        <f>IF(AND(28&gt;=$NR$58,28&lt;=$NS$58),IF($NP$58="Single_Point",IF(28=$NR$58,$NN$58,0),IF($NP$58="Bell_Curve",$NN$58*(28-$NR$58+1)*($NS$58-28+1)/$NU$58,$NN$58/$NT$58)),0)</f>
        <v/>
      </c>
      <c r="AG58" s="402">
        <f>IF(AND(29&gt;=$NR$58,29&lt;=$NS$58),IF($NP$58="Single_Point",IF(29=$NR$58,$NN$58,0),IF($NP$58="Bell_Curve",$NN$58*(29-$NR$58+1)*($NS$58-29+1)/$NU$58,$NN$58/$NT$58)),0)</f>
        <v/>
      </c>
      <c r="AH58" s="402">
        <f>IF(AND(30&gt;=$NR$58,30&lt;=$NS$58),IF($NP$58="Single_Point",IF(30=$NR$58,$NN$58,0),IF($NP$58="Bell_Curve",$NN$58*(30-$NR$58+1)*($NS$58-30+1)/$NU$58,$NN$58/$NT$58)),0)</f>
        <v/>
      </c>
      <c r="AI58" s="402">
        <f>IF(AND(31&gt;=$NR$58,31&lt;=$NS$58),IF($NP$58="Single_Point",IF(31=$NR$58,$NN$58,0),IF($NP$58="Bell_Curve",$NN$58*(31-$NR$58+1)*($NS$58-31+1)/$NU$58,$NN$58/$NT$58)),0)</f>
        <v/>
      </c>
      <c r="AJ58" s="402">
        <f>IF(AND(32&gt;=$NR$58,32&lt;=$NS$58),IF($NP$58="Single_Point",IF(32=$NR$58,$NN$58,0),IF($NP$58="Bell_Curve",$NN$58*(32-$NR$58+1)*($NS$58-32+1)/$NU$58,$NN$58/$NT$58)),0)</f>
        <v/>
      </c>
      <c r="AK58" s="402">
        <f>IF(AND(33&gt;=$NR$58,33&lt;=$NS$58),IF($NP$58="Single_Point",IF(33=$NR$58,$NN$58,0),IF($NP$58="Bell_Curve",$NN$58*(33-$NR$58+1)*($NS$58-33+1)/$NU$58,$NN$58/$NT$58)),0)</f>
        <v/>
      </c>
      <c r="AL58" s="402">
        <f>IF(AND(34&gt;=$NR$58,34&lt;=$NS$58),IF($NP$58="Single_Point",IF(34=$NR$58,$NN$58,0),IF($NP$58="Bell_Curve",$NN$58*(34-$NR$58+1)*($NS$58-34+1)/$NU$58,$NN$58/$NT$58)),0)</f>
        <v/>
      </c>
      <c r="AM58" s="402">
        <f>IF(AND(35&gt;=$NR$58,35&lt;=$NS$58),IF($NP$58="Single_Point",IF(35=$NR$58,$NN$58,0),IF($NP$58="Bell_Curve",$NN$58*(35-$NR$58+1)*($NS$58-35+1)/$NU$58,$NN$58/$NT$58)),0)</f>
        <v/>
      </c>
      <c r="AN58" s="402">
        <f>IF(AND(36&gt;=$NR$58,36&lt;=$NS$58),IF($NP$58="Single_Point",IF(36=$NR$58,$NN$58,0),IF($NP$58="Bell_Curve",$NN$58*(36-$NR$58+1)*($NS$58-36+1)/$NU$58,$NN$58/$NT$58)),0)</f>
        <v/>
      </c>
      <c r="AO58" s="402">
        <f>IF(AND(37&gt;=$NR$58,37&lt;=$NS$58),IF($NP$58="Single_Point",IF(37=$NR$58,$NN$58,0),IF($NP$58="Bell_Curve",$NN$58*(37-$NR$58+1)*($NS$58-37+1)/$NU$58,$NN$58/$NT$58)),0)</f>
        <v/>
      </c>
      <c r="AP58" s="402">
        <f>IF(AND(38&gt;=$NR$58,38&lt;=$NS$58),IF($NP$58="Single_Point",IF(38=$NR$58,$NN$58,0),IF($NP$58="Bell_Curve",$NN$58*(38-$NR$58+1)*($NS$58-38+1)/$NU$58,$NN$58/$NT$58)),0)</f>
        <v/>
      </c>
      <c r="AQ58" s="402">
        <f>IF(AND(39&gt;=$NR$58,39&lt;=$NS$58),IF($NP$58="Single_Point",IF(39=$NR$58,$NN$58,0),IF($NP$58="Bell_Curve",$NN$58*(39-$NR$58+1)*($NS$58-39+1)/$NU$58,$NN$58/$NT$58)),0)</f>
        <v/>
      </c>
      <c r="AR58" s="402">
        <f>IF(AND(40&gt;=$NR$58,40&lt;=$NS$58),IF($NP$58="Single_Point",IF(40=$NR$58,$NN$58,0),IF($NP$58="Bell_Curve",$NN$58*(40-$NR$58+1)*($NS$58-40+1)/$NU$58,$NN$58/$NT$58)),0)</f>
        <v/>
      </c>
      <c r="AS58" s="402">
        <f>IF(AND(41&gt;=$NR$58,41&lt;=$NS$58),IF($NP$58="Single_Point",IF(41=$NR$58,$NN$58,0),IF($NP$58="Bell_Curve",$NN$58*(41-$NR$58+1)*($NS$58-41+1)/$NU$58,$NN$58/$NT$58)),0)</f>
        <v/>
      </c>
      <c r="AT58" s="402">
        <f>IF(AND(42&gt;=$NR$58,42&lt;=$NS$58),IF($NP$58="Single_Point",IF(42=$NR$58,$NN$58,0),IF($NP$58="Bell_Curve",$NN$58*(42-$NR$58+1)*($NS$58-42+1)/$NU$58,$NN$58/$NT$58)),0)</f>
        <v/>
      </c>
      <c r="AU58" s="402">
        <f>IF(AND(43&gt;=$NR$58,43&lt;=$NS$58),IF($NP$58="Single_Point",IF(43=$NR$58,$NN$58,0),IF($NP$58="Bell_Curve",$NN$58*(43-$NR$58+1)*($NS$58-43+1)/$NU$58,$NN$58/$NT$58)),0)</f>
        <v/>
      </c>
      <c r="AV58" s="402">
        <f>IF(AND(44&gt;=$NR$58,44&lt;=$NS$58),IF($NP$58="Single_Point",IF(44=$NR$58,$NN$58,0),IF($NP$58="Bell_Curve",$NN$58*(44-$NR$58+1)*($NS$58-44+1)/$NU$58,$NN$58/$NT$58)),0)</f>
        <v/>
      </c>
      <c r="AW58" s="402">
        <f>IF(AND(45&gt;=$NR$58,45&lt;=$NS$58),IF($NP$58="Single_Point",IF(45=$NR$58,$NN$58,0),IF($NP$58="Bell_Curve",$NN$58*(45-$NR$58+1)*($NS$58-45+1)/$NU$58,$NN$58/$NT$58)),0)</f>
        <v/>
      </c>
      <c r="AX58" s="402">
        <f>IF(AND(46&gt;=$NR$58,46&lt;=$NS$58),IF($NP$58="Single_Point",IF(46=$NR$58,$NN$58,0),IF($NP$58="Bell_Curve",$NN$58*(46-$NR$58+1)*($NS$58-46+1)/$NU$58,$NN$58/$NT$58)),0)</f>
        <v/>
      </c>
      <c r="AY58" s="402">
        <f>IF(AND(47&gt;=$NR$58,47&lt;=$NS$58),IF($NP$58="Single_Point",IF(47=$NR$58,$NN$58,0),IF($NP$58="Bell_Curve",$NN$58*(47-$NR$58+1)*($NS$58-47+1)/$NU$58,$NN$58/$NT$58)),0)</f>
        <v/>
      </c>
      <c r="AZ58" s="402">
        <f>IF(AND(48&gt;=$NR$58,48&lt;=$NS$58),IF($NP$58="Single_Point",IF(48=$NR$58,$NN$58,0),IF($NP$58="Bell_Curve",$NN$58*(48-$NR$58+1)*($NS$58-48+1)/$NU$58,$NN$58/$NT$58)),0)</f>
        <v/>
      </c>
      <c r="BA58" s="402">
        <f>IF(AND(49&gt;=$NR$58,49&lt;=$NS$58),IF($NP$58="Single_Point",IF(49=$NR$58,$NN$58,0),IF($NP$58="Bell_Curve",$NN$58*(49-$NR$58+1)*($NS$58-49+1)/$NU$58,$NN$58/$NT$58)),0)</f>
        <v/>
      </c>
      <c r="BB58" s="402">
        <f>IF(AND(50&gt;=$NR$58,50&lt;=$NS$58),IF($NP$58="Single_Point",IF(50=$NR$58,$NN$58,0),IF($NP$58="Bell_Curve",$NN$58*(50-$NR$58+1)*($NS$58-50+1)/$NU$58,$NN$58/$NT$58)),0)</f>
        <v/>
      </c>
      <c r="BC58" s="402">
        <f>IF(AND(51&gt;=$NR$58,51&lt;=$NS$58),IF($NP$58="Single_Point",IF(51=$NR$58,$NN$58,0),IF($NP$58="Bell_Curve",$NN$58*(51-$NR$58+1)*($NS$58-51+1)/$NU$58,$NN$58/$NT$58)),0)</f>
        <v/>
      </c>
      <c r="BD58" s="402">
        <f>IF(AND(52&gt;=$NR$58,52&lt;=$NS$58),IF($NP$58="Single_Point",IF(52=$NR$58,$NN$58,0),IF($NP$58="Bell_Curve",$NN$58*(52-$NR$58+1)*($NS$58-52+1)/$NU$58,$NN$58/$NT$58)),0)</f>
        <v/>
      </c>
      <c r="BE58" s="402">
        <f>IF(AND(53&gt;=$NR$58,53&lt;=$NS$58),IF($NP$58="Single_Point",IF(53=$NR$58,$NN$58,0),IF($NP$58="Bell_Curve",$NN$58*(53-$NR$58+1)*($NS$58-53+1)/$NU$58,$NN$58/$NT$58)),0)</f>
        <v/>
      </c>
      <c r="BF58" s="402">
        <f>IF(AND(54&gt;=$NR$58,54&lt;=$NS$58),IF($NP$58="Single_Point",IF(54=$NR$58,$NN$58,0),IF($NP$58="Bell_Curve",$NN$58*(54-$NR$58+1)*($NS$58-54+1)/$NU$58,$NN$58/$NT$58)),0)</f>
        <v/>
      </c>
      <c r="BG58" s="402">
        <f>IF(AND(55&gt;=$NR$58,55&lt;=$NS$58),IF($NP$58="Single_Point",IF(55=$NR$58,$NN$58,0),IF($NP$58="Bell_Curve",$NN$58*(55-$NR$58+1)*($NS$58-55+1)/$NU$58,$NN$58/$NT$58)),0)</f>
        <v/>
      </c>
      <c r="BH58" s="402">
        <f>IF(AND(56&gt;=$NR$58,56&lt;=$NS$58),IF($NP$58="Single_Point",IF(56=$NR$58,$NN$58,0),IF($NP$58="Bell_Curve",$NN$58*(56-$NR$58+1)*($NS$58-56+1)/$NU$58,$NN$58/$NT$58)),0)</f>
        <v/>
      </c>
      <c r="BI58" s="402">
        <f>IF(AND(57&gt;=$NR$58,57&lt;=$NS$58),IF($NP$58="Single_Point",IF(57=$NR$58,$NN$58,0),IF($NP$58="Bell_Curve",$NN$58*(57-$NR$58+1)*($NS$58-57+1)/$NU$58,$NN$58/$NT$58)),0)</f>
        <v/>
      </c>
      <c r="BJ58" s="402">
        <f>IF(AND(58&gt;=$NR$58,58&lt;=$NS$58),IF($NP$58="Single_Point",IF(58=$NR$58,$NN$58,0),IF($NP$58="Bell_Curve",$NN$58*(58-$NR$58+1)*($NS$58-58+1)/$NU$58,$NN$58/$NT$58)),0)</f>
        <v/>
      </c>
      <c r="BK58" s="402">
        <f>IF(AND(59&gt;=$NR$58,59&lt;=$NS$58),IF($NP$58="Single_Point",IF(59=$NR$58,$NN$58,0),IF($NP$58="Bell_Curve",$NN$58*(59-$NR$58+1)*($NS$58-59+1)/$NU$58,$NN$58/$NT$58)),0)</f>
        <v/>
      </c>
      <c r="BL58" s="402">
        <f>IF(AND(60&gt;=$NR$58,60&lt;=$NS$58),IF($NP$58="Single_Point",IF(60=$NR$58,$NN$58,0),IF($NP$58="Bell_Curve",$NN$58*(60-$NR$58+1)*($NS$58-60+1)/$NU$58,$NN$58/$NT$58)),0)</f>
        <v/>
      </c>
      <c r="BM58" s="402">
        <f>IF(AND(61&gt;=$NR$58,61&lt;=$NS$58),IF($NP$58="Single_Point",IF(61=$NR$58,$NN$58,0),IF($NP$58="Bell_Curve",$NN$58*(61-$NR$58+1)*($NS$58-61+1)/$NU$58,$NN$58/$NT$58)),0)</f>
        <v/>
      </c>
      <c r="BN58" s="402">
        <f>IF(AND(62&gt;=$NR$58,62&lt;=$NS$58),IF($NP$58="Single_Point",IF(62=$NR$58,$NN$58,0),IF($NP$58="Bell_Curve",$NN$58*(62-$NR$58+1)*($NS$58-62+1)/$NU$58,$NN$58/$NT$58)),0)</f>
        <v/>
      </c>
      <c r="BO58" s="402">
        <f>IF(AND(63&gt;=$NR$58,63&lt;=$NS$58),IF($NP$58="Single_Point",IF(63=$NR$58,$NN$58,0),IF($NP$58="Bell_Curve",$NN$58*(63-$NR$58+1)*($NS$58-63+1)/$NU$58,$NN$58/$NT$58)),0)</f>
        <v/>
      </c>
      <c r="BP58" s="402">
        <f>IF(AND(64&gt;=$NR$58,64&lt;=$NS$58),IF($NP$58="Single_Point",IF(64=$NR$58,$NN$58,0),IF($NP$58="Bell_Curve",$NN$58*(64-$NR$58+1)*($NS$58-64+1)/$NU$58,$NN$58/$NT$58)),0)</f>
        <v/>
      </c>
      <c r="BQ58" s="402">
        <f>IF(AND(65&gt;=$NR$58,65&lt;=$NS$58),IF($NP$58="Single_Point",IF(65=$NR$58,$NN$58,0),IF($NP$58="Bell_Curve",$NN$58*(65-$NR$58+1)*($NS$58-65+1)/$NU$58,$NN$58/$NT$58)),0)</f>
        <v/>
      </c>
      <c r="BR58" s="402">
        <f>IF(AND(66&gt;=$NR$58,66&lt;=$NS$58),IF($NP$58="Single_Point",IF(66=$NR$58,$NN$58,0),IF($NP$58="Bell_Curve",$NN$58*(66-$NR$58+1)*($NS$58-66+1)/$NU$58,$NN$58/$NT$58)),0)</f>
        <v/>
      </c>
      <c r="BS58" s="402">
        <f>IF(AND(67&gt;=$NR$58,67&lt;=$NS$58),IF($NP$58="Single_Point",IF(67=$NR$58,$NN$58,0),IF($NP$58="Bell_Curve",$NN$58*(67-$NR$58+1)*($NS$58-67+1)/$NU$58,$NN$58/$NT$58)),0)</f>
        <v/>
      </c>
      <c r="BT58" s="402">
        <f>IF(AND(68&gt;=$NR$58,68&lt;=$NS$58),IF($NP$58="Single_Point",IF(68=$NR$58,$NN$58,0),IF($NP$58="Bell_Curve",$NN$58*(68-$NR$58+1)*($NS$58-68+1)/$NU$58,$NN$58/$NT$58)),0)</f>
        <v/>
      </c>
      <c r="BU58" s="402">
        <f>IF(AND(69&gt;=$NR$58,69&lt;=$NS$58),IF($NP$58="Single_Point",IF(69=$NR$58,$NN$58,0),IF($NP$58="Bell_Curve",$NN$58*(69-$NR$58+1)*($NS$58-69+1)/$NU$58,$NN$58/$NT$58)),0)</f>
        <v/>
      </c>
      <c r="BV58" s="402">
        <f>IF(AND(70&gt;=$NR$58,70&lt;=$NS$58),IF($NP$58="Single_Point",IF(70=$NR$58,$NN$58,0),IF($NP$58="Bell_Curve",$NN$58*(70-$NR$58+1)*($NS$58-70+1)/$NU$58,$NN$58/$NT$58)),0)</f>
        <v/>
      </c>
      <c r="BW58" s="402">
        <f>IF(AND(71&gt;=$NR$58,71&lt;=$NS$58),IF($NP$58="Single_Point",IF(71=$NR$58,$NN$58,0),IF($NP$58="Bell_Curve",$NN$58*(71-$NR$58+1)*($NS$58-71+1)/$NU$58,$NN$58/$NT$58)),0)</f>
        <v/>
      </c>
      <c r="BX58" s="402">
        <f>IF(AND(72&gt;=$NR$58,72&lt;=$NS$58),IF($NP$58="Single_Point",IF(72=$NR$58,$NN$58,0),IF($NP$58="Bell_Curve",$NN$58*(72-$NR$58+1)*($NS$58-72+1)/$NU$58,$NN$58/$NT$58)),0)</f>
        <v/>
      </c>
      <c r="BY58" s="402">
        <f>IF(AND(73&gt;=$NR$58,73&lt;=$NS$58),IF($NP$58="Single_Point",IF(73=$NR$58,$NN$58,0),IF($NP$58="Bell_Curve",$NN$58*(73-$NR$58+1)*($NS$58-73+1)/$NU$58,$NN$58/$NT$58)),0)</f>
        <v/>
      </c>
      <c r="BZ58" s="402">
        <f>IF(AND(74&gt;=$NR$58,74&lt;=$NS$58),IF($NP$58="Single_Point",IF(74=$NR$58,$NN$58,0),IF($NP$58="Bell_Curve",$NN$58*(74-$NR$58+1)*($NS$58-74+1)/$NU$58,$NN$58/$NT$58)),0)</f>
        <v/>
      </c>
      <c r="CA58" s="402">
        <f>IF(AND(75&gt;=$NR$58,75&lt;=$NS$58),IF($NP$58="Single_Point",IF(75=$NR$58,$NN$58,0),IF($NP$58="Bell_Curve",$NN$58*(75-$NR$58+1)*($NS$58-75+1)/$NU$58,$NN$58/$NT$58)),0)</f>
        <v/>
      </c>
      <c r="CB58" s="402">
        <f>IF(AND(76&gt;=$NR$58,76&lt;=$NS$58),IF($NP$58="Single_Point",IF(76=$NR$58,$NN$58,0),IF($NP$58="Bell_Curve",$NN$58*(76-$NR$58+1)*($NS$58-76+1)/$NU$58,$NN$58/$NT$58)),0)</f>
        <v/>
      </c>
      <c r="CC58" s="402">
        <f>IF(AND(77&gt;=$NR$58,77&lt;=$NS$58),IF($NP$58="Single_Point",IF(77=$NR$58,$NN$58,0),IF($NP$58="Bell_Curve",$NN$58*(77-$NR$58+1)*($NS$58-77+1)/$NU$58,$NN$58/$NT$58)),0)</f>
        <v/>
      </c>
      <c r="CD58" s="402">
        <f>IF(AND(78&gt;=$NR$58,78&lt;=$NS$58),IF($NP$58="Single_Point",IF(78=$NR$58,$NN$58,0),IF($NP$58="Bell_Curve",$NN$58*(78-$NR$58+1)*($NS$58-78+1)/$NU$58,$NN$58/$NT$58)),0)</f>
        <v/>
      </c>
      <c r="CE58" s="402">
        <f>IF(AND(79&gt;=$NR$58,79&lt;=$NS$58),IF($NP$58="Single_Point",IF(79=$NR$58,$NN$58,0),IF($NP$58="Bell_Curve",$NN$58*(79-$NR$58+1)*($NS$58-79+1)/$NU$58,$NN$58/$NT$58)),0)</f>
        <v/>
      </c>
      <c r="CF58" s="402">
        <f>IF(AND(80&gt;=$NR$58,80&lt;=$NS$58),IF($NP$58="Single_Point",IF(80=$NR$58,$NN$58,0),IF($NP$58="Bell_Curve",$NN$58*(80-$NR$58+1)*($NS$58-80+1)/$NU$58,$NN$58/$NT$58)),0)</f>
        <v/>
      </c>
      <c r="CG58" s="402">
        <f>IF(AND(81&gt;=$NR$58,81&lt;=$NS$58),IF($NP$58="Single_Point",IF(81=$NR$58,$NN$58,0),IF($NP$58="Bell_Curve",$NN$58*(81-$NR$58+1)*($NS$58-81+1)/$NU$58,$NN$58/$NT$58)),0)</f>
        <v/>
      </c>
      <c r="CH58" s="402">
        <f>IF(AND(82&gt;=$NR$58,82&lt;=$NS$58),IF($NP$58="Single_Point",IF(82=$NR$58,$NN$58,0),IF($NP$58="Bell_Curve",$NN$58*(82-$NR$58+1)*($NS$58-82+1)/$NU$58,$NN$58/$NT$58)),0)</f>
        <v/>
      </c>
      <c r="CI58" s="402">
        <f>IF(AND(83&gt;=$NR$58,83&lt;=$NS$58),IF($NP$58="Single_Point",IF(83=$NR$58,$NN$58,0),IF($NP$58="Bell_Curve",$NN$58*(83-$NR$58+1)*($NS$58-83+1)/$NU$58,$NN$58/$NT$58)),0)</f>
        <v/>
      </c>
      <c r="CJ58" s="402">
        <f>IF(AND(84&gt;=$NR$58,84&lt;=$NS$58),IF($NP$58="Single_Point",IF(84=$NR$58,$NN$58,0),IF($NP$58="Bell_Curve",$NN$58*(84-$NR$58+1)*($NS$58-84+1)/$NU$58,$NN$58/$NT$58)),0)</f>
        <v/>
      </c>
      <c r="CK58" s="402">
        <f>IF(AND(85&gt;=$NR$58,85&lt;=$NS$58),IF($NP$58="Single_Point",IF(85=$NR$58,$NN$58,0),IF($NP$58="Bell_Curve",$NN$58*(85-$NR$58+1)*($NS$58-85+1)/$NU$58,$NN$58/$NT$58)),0)</f>
        <v/>
      </c>
      <c r="CL58" s="402">
        <f>IF(AND(86&gt;=$NR$58,86&lt;=$NS$58),IF($NP$58="Single_Point",IF(86=$NR$58,$NN$58,0),IF($NP$58="Bell_Curve",$NN$58*(86-$NR$58+1)*($NS$58-86+1)/$NU$58,$NN$58/$NT$58)),0)</f>
        <v/>
      </c>
      <c r="CM58" s="402">
        <f>IF(AND(87&gt;=$NR$58,87&lt;=$NS$58),IF($NP$58="Single_Point",IF(87=$NR$58,$NN$58,0),IF($NP$58="Bell_Curve",$NN$58*(87-$NR$58+1)*($NS$58-87+1)/$NU$58,$NN$58/$NT$58)),0)</f>
        <v/>
      </c>
      <c r="CN58" s="402">
        <f>IF(AND(88&gt;=$NR$58,88&lt;=$NS$58),IF($NP$58="Single_Point",IF(88=$NR$58,$NN$58,0),IF($NP$58="Bell_Curve",$NN$58*(88-$NR$58+1)*($NS$58-88+1)/$NU$58,$NN$58/$NT$58)),0)</f>
        <v/>
      </c>
      <c r="CO58" s="402">
        <f>IF(AND(89&gt;=$NR$58,89&lt;=$NS$58),IF($NP$58="Single_Point",IF(89=$NR$58,$NN$58,0),IF($NP$58="Bell_Curve",$NN$58*(89-$NR$58+1)*($NS$58-89+1)/$NU$58,$NN$58/$NT$58)),0)</f>
        <v/>
      </c>
      <c r="CP58" s="402">
        <f>IF(AND(90&gt;=$NR$58,90&lt;=$NS$58),IF($NP$58="Single_Point",IF(90=$NR$58,$NN$58,0),IF($NP$58="Bell_Curve",$NN$58*(90-$NR$58+1)*($NS$58-90+1)/$NU$58,$NN$58/$NT$58)),0)</f>
        <v/>
      </c>
      <c r="CQ58" s="402">
        <f>IF(AND(91&gt;=$NR$58,91&lt;=$NS$58),IF($NP$58="Single_Point",IF(91=$NR$58,$NN$58,0),IF($NP$58="Bell_Curve",$NN$58*(91-$NR$58+1)*($NS$58-91+1)/$NU$58,$NN$58/$NT$58)),0)</f>
        <v/>
      </c>
      <c r="CR58" s="402">
        <f>IF(AND(92&gt;=$NR$58,92&lt;=$NS$58),IF($NP$58="Single_Point",IF(92=$NR$58,$NN$58,0),IF($NP$58="Bell_Curve",$NN$58*(92-$NR$58+1)*($NS$58-92+1)/$NU$58,$NN$58/$NT$58)),0)</f>
        <v/>
      </c>
      <c r="CS58" s="402">
        <f>IF(AND(93&gt;=$NR$58,93&lt;=$NS$58),IF($NP$58="Single_Point",IF(93=$NR$58,$NN$58,0),IF($NP$58="Bell_Curve",$NN$58*(93-$NR$58+1)*($NS$58-93+1)/$NU$58,$NN$58/$NT$58)),0)</f>
        <v/>
      </c>
      <c r="CT58" s="402">
        <f>IF(AND(94&gt;=$NR$58,94&lt;=$NS$58),IF($NP$58="Single_Point",IF(94=$NR$58,$NN$58,0),IF($NP$58="Bell_Curve",$NN$58*(94-$NR$58+1)*($NS$58-94+1)/$NU$58,$NN$58/$NT$58)),0)</f>
        <v/>
      </c>
      <c r="CU58" s="402">
        <f>IF(AND(95&gt;=$NR$58,95&lt;=$NS$58),IF($NP$58="Single_Point",IF(95=$NR$58,$NN$58,0),IF($NP$58="Bell_Curve",$NN$58*(95-$NR$58+1)*($NS$58-95+1)/$NU$58,$NN$58/$NT$58)),0)</f>
        <v/>
      </c>
      <c r="CV58" s="402">
        <f>IF(AND(96&gt;=$NR$58,96&lt;=$NS$58),IF($NP$58="Single_Point",IF(96=$NR$58,$NN$58,0),IF($NP$58="Bell_Curve",$NN$58*(96-$NR$58+1)*($NS$58-96+1)/$NU$58,$NN$58/$NT$58)),0)</f>
        <v/>
      </c>
      <c r="CW58" s="402">
        <f>IF(AND(97&gt;=$NR$58,97&lt;=$NS$58),IF($NP$58="Single_Point",IF(97=$NR$58,$NN$58,0),IF($NP$58="Bell_Curve",$NN$58*(97-$NR$58+1)*($NS$58-97+1)/$NU$58,$NN$58/$NT$58)),0)</f>
        <v/>
      </c>
      <c r="CX58" s="402">
        <f>IF(AND(98&gt;=$NR$58,98&lt;=$NS$58),IF($NP$58="Single_Point",IF(98=$NR$58,$NN$58,0),IF($NP$58="Bell_Curve",$NN$58*(98-$NR$58+1)*($NS$58-98+1)/$NU$58,$NN$58/$NT$58)),0)</f>
        <v/>
      </c>
      <c r="CY58" s="402">
        <f>IF(AND(99&gt;=$NR$58,99&lt;=$NS$58),IF($NP$58="Single_Point",IF(99=$NR$58,$NN$58,0),IF($NP$58="Bell_Curve",$NN$58*(99-$NR$58+1)*($NS$58-99+1)/$NU$58,$NN$58/$NT$58)),0)</f>
        <v/>
      </c>
      <c r="CZ58" s="402">
        <f>IF(AND(100&gt;=$NR$58,100&lt;=$NS$58),IF($NP$58="Single_Point",IF(100=$NR$58,$NN$58,0),IF($NP$58="Bell_Curve",$NN$58*(100-$NR$58+1)*($NS$58-100+1)/$NU$58,$NN$58/$NT$58)),0)</f>
        <v/>
      </c>
      <c r="DA58" s="402">
        <f>IF(AND(101&gt;=$NR$58,101&lt;=$NS$58),IF($NP$58="Single_Point",IF(101=$NR$58,$NN$58,0),IF($NP$58="Bell_Curve",$NN$58*(101-$NR$58+1)*($NS$58-101+1)/$NU$58,$NN$58/$NT$58)),0)</f>
        <v/>
      </c>
      <c r="DB58" s="402">
        <f>IF(AND(102&gt;=$NR$58,102&lt;=$NS$58),IF($NP$58="Single_Point",IF(102=$NR$58,$NN$58,0),IF($NP$58="Bell_Curve",$NN$58*(102-$NR$58+1)*($NS$58-102+1)/$NU$58,$NN$58/$NT$58)),0)</f>
        <v/>
      </c>
      <c r="DC58" s="402">
        <f>IF(AND(103&gt;=$NR$58,103&lt;=$NS$58),IF($NP$58="Single_Point",IF(103=$NR$58,$NN$58,0),IF($NP$58="Bell_Curve",$NN$58*(103-$NR$58+1)*($NS$58-103+1)/$NU$58,$NN$58/$NT$58)),0)</f>
        <v/>
      </c>
      <c r="DD58" s="402">
        <f>IF(AND(104&gt;=$NR$58,104&lt;=$NS$58),IF($NP$58="Single_Point",IF(104=$NR$58,$NN$58,0),IF($NP$58="Bell_Curve",$NN$58*(104-$NR$58+1)*($NS$58-104+1)/$NU$58,$NN$58/$NT$58)),0)</f>
        <v/>
      </c>
      <c r="DE58" s="402">
        <f>IF(AND(105&gt;=$NR$58,105&lt;=$NS$58),IF($NP$58="Single_Point",IF(105=$NR$58,$NN$58,0),IF($NP$58="Bell_Curve",$NN$58*(105-$NR$58+1)*($NS$58-105+1)/$NU$58,$NN$58/$NT$58)),0)</f>
        <v/>
      </c>
      <c r="DF58" s="402">
        <f>IF(AND(106&gt;=$NR$58,106&lt;=$NS$58),IF($NP$58="Single_Point",IF(106=$NR$58,$NN$58,0),IF($NP$58="Bell_Curve",$NN$58*(106-$NR$58+1)*($NS$58-106+1)/$NU$58,$NN$58/$NT$58)),0)</f>
        <v/>
      </c>
      <c r="DG58" s="402">
        <f>IF(AND(107&gt;=$NR$58,107&lt;=$NS$58),IF($NP$58="Single_Point",IF(107=$NR$58,$NN$58,0),IF($NP$58="Bell_Curve",$NN$58*(107-$NR$58+1)*($NS$58-107+1)/$NU$58,$NN$58/$NT$58)),0)</f>
        <v/>
      </c>
      <c r="DH58" s="402">
        <f>IF(AND(108&gt;=$NR$58,108&lt;=$NS$58),IF($NP$58="Single_Point",IF(108=$NR$58,$NN$58,0),IF($NP$58="Bell_Curve",$NN$58*(108-$NR$58+1)*($NS$58-108+1)/$NU$58,$NN$58/$NT$58)),0)</f>
        <v/>
      </c>
      <c r="DI58" s="402">
        <f>IF(AND(109&gt;=$NR$58,109&lt;=$NS$58),IF($NP$58="Single_Point",IF(109=$NR$58,$NN$58,0),IF($NP$58="Bell_Curve",$NN$58*(109-$NR$58+1)*($NS$58-109+1)/$NU$58,$NN$58/$NT$58)),0)</f>
        <v/>
      </c>
      <c r="DJ58" s="402">
        <f>IF(AND(110&gt;=$NR$58,110&lt;=$NS$58),IF($NP$58="Single_Point",IF(110=$NR$58,$NN$58,0),IF($NP$58="Bell_Curve",$NN$58*(110-$NR$58+1)*($NS$58-110+1)/$NU$58,$NN$58/$NT$58)),0)</f>
        <v/>
      </c>
      <c r="DK58" s="402">
        <f>IF(AND(111&gt;=$NR$58,111&lt;=$NS$58),IF($NP$58="Single_Point",IF(111=$NR$58,$NN$58,0),IF($NP$58="Bell_Curve",$NN$58*(111-$NR$58+1)*($NS$58-111+1)/$NU$58,$NN$58/$NT$58)),0)</f>
        <v/>
      </c>
      <c r="DL58" s="402">
        <f>IF(AND(112&gt;=$NR$58,112&lt;=$NS$58),IF($NP$58="Single_Point",IF(112=$NR$58,$NN$58,0),IF($NP$58="Bell_Curve",$NN$58*(112-$NR$58+1)*($NS$58-112+1)/$NU$58,$NN$58/$NT$58)),0)</f>
        <v/>
      </c>
      <c r="DM58" s="402">
        <f>IF(AND(113&gt;=$NR$58,113&lt;=$NS$58),IF($NP$58="Single_Point",IF(113=$NR$58,$NN$58,0),IF($NP$58="Bell_Curve",$NN$58*(113-$NR$58+1)*($NS$58-113+1)/$NU$58,$NN$58/$NT$58)),0)</f>
        <v/>
      </c>
      <c r="DN58" s="402">
        <f>IF(AND(114&gt;=$NR$58,114&lt;=$NS$58),IF($NP$58="Single_Point",IF(114=$NR$58,$NN$58,0),IF($NP$58="Bell_Curve",$NN$58*(114-$NR$58+1)*($NS$58-114+1)/$NU$58,$NN$58/$NT$58)),0)</f>
        <v/>
      </c>
      <c r="DO58" s="402">
        <f>IF(AND(115&gt;=$NR$58,115&lt;=$NS$58),IF($NP$58="Single_Point",IF(115=$NR$58,$NN$58,0),IF($NP$58="Bell_Curve",$NN$58*(115-$NR$58+1)*($NS$58-115+1)/$NU$58,$NN$58/$NT$58)),0)</f>
        <v/>
      </c>
      <c r="DP58" s="402">
        <f>IF(AND(116&gt;=$NR$58,116&lt;=$NS$58),IF($NP$58="Single_Point",IF(116=$NR$58,$NN$58,0),IF($NP$58="Bell_Curve",$NN$58*(116-$NR$58+1)*($NS$58-116+1)/$NU$58,$NN$58/$NT$58)),0)</f>
        <v/>
      </c>
      <c r="DQ58" s="402">
        <f>IF(AND(117&gt;=$NR$58,117&lt;=$NS$58),IF($NP$58="Single_Point",IF(117=$NR$58,$NN$58,0),IF($NP$58="Bell_Curve",$NN$58*(117-$NR$58+1)*($NS$58-117+1)/$NU$58,$NN$58/$NT$58)),0)</f>
        <v/>
      </c>
      <c r="DR58" s="402">
        <f>IF(AND(118&gt;=$NR$58,118&lt;=$NS$58),IF($NP$58="Single_Point",IF(118=$NR$58,$NN$58,0),IF($NP$58="Bell_Curve",$NN$58*(118-$NR$58+1)*($NS$58-118+1)/$NU$58,$NN$58/$NT$58)),0)</f>
        <v/>
      </c>
      <c r="DS58" s="402">
        <f>IF(AND(119&gt;=$NR$58,119&lt;=$NS$58),IF($NP$58="Single_Point",IF(119=$NR$58,$NN$58,0),IF($NP$58="Bell_Curve",$NN$58*(119-$NR$58+1)*($NS$58-119+1)/$NU$58,$NN$58/$NT$58)),0)</f>
        <v/>
      </c>
      <c r="DT58" s="402">
        <f>IF(AND(120&gt;=$NR$58,120&lt;=$NS$58),IF($NP$58="Single_Point",IF(120=$NR$58,$NN$58,0),IF($NP$58="Bell_Curve",$NN$58*(120-$NR$58+1)*($NS$58-120+1)/$NU$58,$NN$58/$NT$58)),0)</f>
        <v/>
      </c>
      <c r="DU58" s="402">
        <f>IF(AND(121&gt;=$NR$58,121&lt;=$NS$58),IF($NP$58="Single_Point",IF(121=$NR$58,$NN$58,0),IF($NP$58="Bell_Curve",$NN$58*(121-$NR$58+1)*($NS$58-121+1)/$NU$58,$NN$58/$NT$58)),0)</f>
        <v/>
      </c>
      <c r="DV58" s="402">
        <f>IF(AND(122&gt;=$NR$58,122&lt;=$NS$58),IF($NP$58="Single_Point",IF(122=$NR$58,$NN$58,0),IF($NP$58="Bell_Curve",$NN$58*(122-$NR$58+1)*($NS$58-122+1)/$NU$58,$NN$58/$NT$58)),0)</f>
        <v/>
      </c>
      <c r="DW58" s="402">
        <f>IF(AND(123&gt;=$NR$58,123&lt;=$NS$58),IF($NP$58="Single_Point",IF(123=$NR$58,$NN$58,0),IF($NP$58="Bell_Curve",$NN$58*(123-$NR$58+1)*($NS$58-123+1)/$NU$58,$NN$58/$NT$58)),0)</f>
        <v/>
      </c>
      <c r="DX58" s="402">
        <f>IF(AND(124&gt;=$NR$58,124&lt;=$NS$58),IF($NP$58="Single_Point",IF(124=$NR$58,$NN$58,0),IF($NP$58="Bell_Curve",$NN$58*(124-$NR$58+1)*($NS$58-124+1)/$NU$58,$NN$58/$NT$58)),0)</f>
        <v/>
      </c>
      <c r="DY58" s="402">
        <f>IF(AND(125&gt;=$NR$58,125&lt;=$NS$58),IF($NP$58="Single_Point",IF(125=$NR$58,$NN$58,0),IF($NP$58="Bell_Curve",$NN$58*(125-$NR$58+1)*($NS$58-125+1)/$NU$58,$NN$58/$NT$58)),0)</f>
        <v/>
      </c>
      <c r="DZ58" s="402">
        <f>IF(AND(126&gt;=$NR$58,126&lt;=$NS$58),IF($NP$58="Single_Point",IF(126=$NR$58,$NN$58,0),IF($NP$58="Bell_Curve",$NN$58*(126-$NR$58+1)*($NS$58-126+1)/$NU$58,$NN$58/$NT$58)),0)</f>
        <v/>
      </c>
      <c r="EA58" s="402">
        <f>IF(AND(127&gt;=$NR$58,127&lt;=$NS$58),IF($NP$58="Single_Point",IF(127=$NR$58,$NN$58,0),IF($NP$58="Bell_Curve",$NN$58*(127-$NR$58+1)*($NS$58-127+1)/$NU$58,$NN$58/$NT$58)),0)</f>
        <v/>
      </c>
      <c r="EB58" s="402">
        <f>IF(AND(128&gt;=$NR$58,128&lt;=$NS$58),IF($NP$58="Single_Point",IF(128=$NR$58,$NN$58,0),IF($NP$58="Bell_Curve",$NN$58*(128-$NR$58+1)*($NS$58-128+1)/$NU$58,$NN$58/$NT$58)),0)</f>
        <v/>
      </c>
      <c r="EC58" s="402">
        <f>IF(AND(129&gt;=$NR$58,129&lt;=$NS$58),IF($NP$58="Single_Point",IF(129=$NR$58,$NN$58,0),IF($NP$58="Bell_Curve",$NN$58*(129-$NR$58+1)*($NS$58-129+1)/$NU$58,$NN$58/$NT$58)),0)</f>
        <v/>
      </c>
      <c r="ED58" s="402">
        <f>IF(AND(130&gt;=$NR$58,130&lt;=$NS$58),IF($NP$58="Single_Point",IF(130=$NR$58,$NN$58,0),IF($NP$58="Bell_Curve",$NN$58*(130-$NR$58+1)*($NS$58-130+1)/$NU$58,$NN$58/$NT$58)),0)</f>
        <v/>
      </c>
      <c r="EE58" s="402">
        <f>IF(AND(131&gt;=$NR$58,131&lt;=$NS$58),IF($NP$58="Single_Point",IF(131=$NR$58,$NN$58,0),IF($NP$58="Bell_Curve",$NN$58*(131-$NR$58+1)*($NS$58-131+1)/$NU$58,$NN$58/$NT$58)),0)</f>
        <v/>
      </c>
      <c r="EF58" s="402">
        <f>IF(AND(132&gt;=$NR$58,132&lt;=$NS$58),IF($NP$58="Single_Point",IF(132=$NR$58,$NN$58,0),IF($NP$58="Bell_Curve",$NN$58*(132-$NR$58+1)*($NS$58-132+1)/$NU$58,$NN$58/$NT$58)),0)</f>
        <v/>
      </c>
      <c r="EG58" s="402">
        <f>IF(AND(133&gt;=$NR$58,133&lt;=$NS$58),IF($NP$58="Single_Point",IF(133=$NR$58,$NN$58,0),IF($NP$58="Bell_Curve",$NN$58*(133-$NR$58+1)*($NS$58-133+1)/$NU$58,$NN$58/$NT$58)),0)</f>
        <v/>
      </c>
      <c r="EH58" s="402">
        <f>IF(AND(134&gt;=$NR$58,134&lt;=$NS$58),IF($NP$58="Single_Point",IF(134=$NR$58,$NN$58,0),IF($NP$58="Bell_Curve",$NN$58*(134-$NR$58+1)*($NS$58-134+1)/$NU$58,$NN$58/$NT$58)),0)</f>
        <v/>
      </c>
      <c r="EI58" s="402">
        <f>IF(AND(135&gt;=$NR$58,135&lt;=$NS$58),IF($NP$58="Single_Point",IF(135=$NR$58,$NN$58,0),IF($NP$58="Bell_Curve",$NN$58*(135-$NR$58+1)*($NS$58-135+1)/$NU$58,$NN$58/$NT$58)),0)</f>
        <v/>
      </c>
      <c r="EJ58" s="402">
        <f>IF(AND(136&gt;=$NR$58,136&lt;=$NS$58),IF($NP$58="Single_Point",IF(136=$NR$58,$NN$58,0),IF($NP$58="Bell_Curve",$NN$58*(136-$NR$58+1)*($NS$58-136+1)/$NU$58,$NN$58/$NT$58)),0)</f>
        <v/>
      </c>
      <c r="EK58" s="402">
        <f>IF(AND(137&gt;=$NR$58,137&lt;=$NS$58),IF($NP$58="Single_Point",IF(137=$NR$58,$NN$58,0),IF($NP$58="Bell_Curve",$NN$58*(137-$NR$58+1)*($NS$58-137+1)/$NU$58,$NN$58/$NT$58)),0)</f>
        <v/>
      </c>
      <c r="EL58" s="402">
        <f>IF(AND(138&gt;=$NR$58,138&lt;=$NS$58),IF($NP$58="Single_Point",IF(138=$NR$58,$NN$58,0),IF($NP$58="Bell_Curve",$NN$58*(138-$NR$58+1)*($NS$58-138+1)/$NU$58,$NN$58/$NT$58)),0)</f>
        <v/>
      </c>
      <c r="EM58" s="402">
        <f>IF(AND(139&gt;=$NR$58,139&lt;=$NS$58),IF($NP$58="Single_Point",IF(139=$NR$58,$NN$58,0),IF($NP$58="Bell_Curve",$NN$58*(139-$NR$58+1)*($NS$58-139+1)/$NU$58,$NN$58/$NT$58)),0)</f>
        <v/>
      </c>
      <c r="EN58" s="402">
        <f>IF(AND(140&gt;=$NR$58,140&lt;=$NS$58),IF($NP$58="Single_Point",IF(140=$NR$58,$NN$58,0),IF($NP$58="Bell_Curve",$NN$58*(140-$NR$58+1)*($NS$58-140+1)/$NU$58,$NN$58/$NT$58)),0)</f>
        <v/>
      </c>
      <c r="EO58" s="402">
        <f>IF(AND(141&gt;=$NR$58,141&lt;=$NS$58),IF($NP$58="Single_Point",IF(141=$NR$58,$NN$58,0),IF($NP$58="Bell_Curve",$NN$58*(141-$NR$58+1)*($NS$58-141+1)/$NU$58,$NN$58/$NT$58)),0)</f>
        <v/>
      </c>
      <c r="EP58" s="402">
        <f>IF(AND(142&gt;=$NR$58,142&lt;=$NS$58),IF($NP$58="Single_Point",IF(142=$NR$58,$NN$58,0),IF($NP$58="Bell_Curve",$NN$58*(142-$NR$58+1)*($NS$58-142+1)/$NU$58,$NN$58/$NT$58)),0)</f>
        <v/>
      </c>
      <c r="EQ58" s="402">
        <f>IF(AND(143&gt;=$NR$58,143&lt;=$NS$58),IF($NP$58="Single_Point",IF(143=$NR$58,$NN$58,0),IF($NP$58="Bell_Curve",$NN$58*(143-$NR$58+1)*($NS$58-143+1)/$NU$58,$NN$58/$NT$58)),0)</f>
        <v/>
      </c>
      <c r="ER58" s="402">
        <f>IF(AND(144&gt;=$NR$58,144&lt;=$NS$58),IF($NP$58="Single_Point",IF(144=$NR$58,$NN$58,0),IF($NP$58="Bell_Curve",$NN$58*(144-$NR$58+1)*($NS$58-144+1)/$NU$58,$NN$58/$NT$58)),0)</f>
        <v/>
      </c>
      <c r="ES58" s="402">
        <f>IF(AND(145&gt;=$NR$58,145&lt;=$NS$58),IF($NP$58="Single_Point",IF(145=$NR$58,$NN$58,0),IF($NP$58="Bell_Curve",$NN$58*(145-$NR$58+1)*($NS$58-145+1)/$NU$58,$NN$58/$NT$58)),0)</f>
        <v/>
      </c>
      <c r="ET58" s="402">
        <f>IF(AND(146&gt;=$NR$58,146&lt;=$NS$58),IF($NP$58="Single_Point",IF(146=$NR$58,$NN$58,0),IF($NP$58="Bell_Curve",$NN$58*(146-$NR$58+1)*($NS$58-146+1)/$NU$58,$NN$58/$NT$58)),0)</f>
        <v/>
      </c>
      <c r="EU58" s="402">
        <f>IF(AND(147&gt;=$NR$58,147&lt;=$NS$58),IF($NP$58="Single_Point",IF(147=$NR$58,$NN$58,0),IF($NP$58="Bell_Curve",$NN$58*(147-$NR$58+1)*($NS$58-147+1)/$NU$58,$NN$58/$NT$58)),0)</f>
        <v/>
      </c>
      <c r="EV58" s="402">
        <f>IF(AND(148&gt;=$NR$58,148&lt;=$NS$58),IF($NP$58="Single_Point",IF(148=$NR$58,$NN$58,0),IF($NP$58="Bell_Curve",$NN$58*(148-$NR$58+1)*($NS$58-148+1)/$NU$58,$NN$58/$NT$58)),0)</f>
        <v/>
      </c>
      <c r="EW58" s="402">
        <f>IF(AND(149&gt;=$NR$58,149&lt;=$NS$58),IF($NP$58="Single_Point",IF(149=$NR$58,$NN$58,0),IF($NP$58="Bell_Curve",$NN$58*(149-$NR$58+1)*($NS$58-149+1)/$NU$58,$NN$58/$NT$58)),0)</f>
        <v/>
      </c>
      <c r="EX58" s="402">
        <f>IF(AND(150&gt;=$NR$58,150&lt;=$NS$58),IF($NP$58="Single_Point",IF(150=$NR$58,$NN$58,0),IF($NP$58="Bell_Curve",$NN$58*(150-$NR$58+1)*($NS$58-150+1)/$NU$58,$NN$58/$NT$58)),0)</f>
        <v/>
      </c>
      <c r="EY58" s="402">
        <f>IF(AND(151&gt;=$NR$58,151&lt;=$NS$58),IF($NP$58="Single_Point",IF(151=$NR$58,$NN$58,0),IF($NP$58="Bell_Curve",$NN$58*(151-$NR$58+1)*($NS$58-151+1)/$NU$58,$NN$58/$NT$58)),0)</f>
        <v/>
      </c>
      <c r="EZ58" s="402">
        <f>IF(AND(152&gt;=$NR$58,152&lt;=$NS$58),IF($NP$58="Single_Point",IF(152=$NR$58,$NN$58,0),IF($NP$58="Bell_Curve",$NN$58*(152-$NR$58+1)*($NS$58-152+1)/$NU$58,$NN$58/$NT$58)),0)</f>
        <v/>
      </c>
      <c r="FA58" s="402">
        <f>IF(AND(153&gt;=$NR$58,153&lt;=$NS$58),IF($NP$58="Single_Point",IF(153=$NR$58,$NN$58,0),IF($NP$58="Bell_Curve",$NN$58*(153-$NR$58+1)*($NS$58-153+1)/$NU$58,$NN$58/$NT$58)),0)</f>
        <v/>
      </c>
      <c r="FB58" s="402">
        <f>IF(AND(154&gt;=$NR$58,154&lt;=$NS$58),IF($NP$58="Single_Point",IF(154=$NR$58,$NN$58,0),IF($NP$58="Bell_Curve",$NN$58*(154-$NR$58+1)*($NS$58-154+1)/$NU$58,$NN$58/$NT$58)),0)</f>
        <v/>
      </c>
      <c r="FC58" s="402">
        <f>IF(AND(155&gt;=$NR$58,155&lt;=$NS$58),IF($NP$58="Single_Point",IF(155=$NR$58,$NN$58,0),IF($NP$58="Bell_Curve",$NN$58*(155-$NR$58+1)*($NS$58-155+1)/$NU$58,$NN$58/$NT$58)),0)</f>
        <v/>
      </c>
      <c r="FD58" s="402">
        <f>IF(AND(156&gt;=$NR$58,156&lt;=$NS$58),IF($NP$58="Single_Point",IF(156=$NR$58,$NN$58,0),IF($NP$58="Bell_Curve",$NN$58*(156-$NR$58+1)*($NS$58-156+1)/$NU$58,$NN$58/$NT$58)),0)</f>
        <v/>
      </c>
      <c r="FE58" s="402">
        <f>IF(AND(157&gt;=$NR$58,157&lt;=$NS$58),IF($NP$58="Single_Point",IF(157=$NR$58,$NN$58,0),IF($NP$58="Bell_Curve",$NN$58*(157-$NR$58+1)*($NS$58-157+1)/$NU$58,$NN$58/$NT$58)),0)</f>
        <v/>
      </c>
      <c r="FF58" s="402">
        <f>IF(AND(158&gt;=$NR$58,158&lt;=$NS$58),IF($NP$58="Single_Point",IF(158=$NR$58,$NN$58,0),IF($NP$58="Bell_Curve",$NN$58*(158-$NR$58+1)*($NS$58-158+1)/$NU$58,$NN$58/$NT$58)),0)</f>
        <v/>
      </c>
      <c r="FG58" s="402">
        <f>IF(AND(159&gt;=$NR$58,159&lt;=$NS$58),IF($NP$58="Single_Point",IF(159=$NR$58,$NN$58,0),IF($NP$58="Bell_Curve",$NN$58*(159-$NR$58+1)*($NS$58-159+1)/$NU$58,$NN$58/$NT$58)),0)</f>
        <v/>
      </c>
      <c r="FH58" s="402">
        <f>IF(AND(160&gt;=$NR$58,160&lt;=$NS$58),IF($NP$58="Single_Point",IF(160=$NR$58,$NN$58,0),IF($NP$58="Bell_Curve",$NN$58*(160-$NR$58+1)*($NS$58-160+1)/$NU$58,$NN$58/$NT$58)),0)</f>
        <v/>
      </c>
      <c r="FI58" s="402">
        <f>IF(AND(161&gt;=$NR$58,161&lt;=$NS$58),IF($NP$58="Single_Point",IF(161=$NR$58,$NN$58,0),IF($NP$58="Bell_Curve",$NN$58*(161-$NR$58+1)*($NS$58-161+1)/$NU$58,$NN$58/$NT$58)),0)</f>
        <v/>
      </c>
      <c r="FJ58" s="402">
        <f>IF(AND(162&gt;=$NR$58,162&lt;=$NS$58),IF($NP$58="Single_Point",IF(162=$NR$58,$NN$58,0),IF($NP$58="Bell_Curve",$NN$58*(162-$NR$58+1)*($NS$58-162+1)/$NU$58,$NN$58/$NT$58)),0)</f>
        <v/>
      </c>
      <c r="FK58" s="402">
        <f>IF(AND(163&gt;=$NR$58,163&lt;=$NS$58),IF($NP$58="Single_Point",IF(163=$NR$58,$NN$58,0),IF($NP$58="Bell_Curve",$NN$58*(163-$NR$58+1)*($NS$58-163+1)/$NU$58,$NN$58/$NT$58)),0)</f>
        <v/>
      </c>
      <c r="FL58" s="402">
        <f>IF(AND(164&gt;=$NR$58,164&lt;=$NS$58),IF($NP$58="Single_Point",IF(164=$NR$58,$NN$58,0),IF($NP$58="Bell_Curve",$NN$58*(164-$NR$58+1)*($NS$58-164+1)/$NU$58,$NN$58/$NT$58)),0)</f>
        <v/>
      </c>
      <c r="FM58" s="402">
        <f>IF(AND(165&gt;=$NR$58,165&lt;=$NS$58),IF($NP$58="Single_Point",IF(165=$NR$58,$NN$58,0),IF($NP$58="Bell_Curve",$NN$58*(165-$NR$58+1)*($NS$58-165+1)/$NU$58,$NN$58/$NT$58)),0)</f>
        <v/>
      </c>
      <c r="FN58" s="402">
        <f>IF(AND(166&gt;=$NR$58,166&lt;=$NS$58),IF($NP$58="Single_Point",IF(166=$NR$58,$NN$58,0),IF($NP$58="Bell_Curve",$NN$58*(166-$NR$58+1)*($NS$58-166+1)/$NU$58,$NN$58/$NT$58)),0)</f>
        <v/>
      </c>
      <c r="FO58" s="402">
        <f>IF(AND(167&gt;=$NR$58,167&lt;=$NS$58),IF($NP$58="Single_Point",IF(167=$NR$58,$NN$58,0),IF($NP$58="Bell_Curve",$NN$58*(167-$NR$58+1)*($NS$58-167+1)/$NU$58,$NN$58/$NT$58)),0)</f>
        <v/>
      </c>
      <c r="FP58" s="402">
        <f>IF(AND(168&gt;=$NR$58,168&lt;=$NS$58),IF($NP$58="Single_Point",IF(168=$NR$58,$NN$58,0),IF($NP$58="Bell_Curve",$NN$58*(168-$NR$58+1)*($NS$58-168+1)/$NU$58,$NN$58/$NT$58)),0)</f>
        <v/>
      </c>
      <c r="FQ58" s="402">
        <f>IF(AND(169&gt;=$NR$58,169&lt;=$NS$58),IF($NP$58="Single_Point",IF(169=$NR$58,$NN$58,0),IF($NP$58="Bell_Curve",$NN$58*(169-$NR$58+1)*($NS$58-169+1)/$NU$58,$NN$58/$NT$58)),0)</f>
        <v/>
      </c>
      <c r="FR58" s="402">
        <f>IF(AND(170&gt;=$NR$58,170&lt;=$NS$58),IF($NP$58="Single_Point",IF(170=$NR$58,$NN$58,0),IF($NP$58="Bell_Curve",$NN$58*(170-$NR$58+1)*($NS$58-170+1)/$NU$58,$NN$58/$NT$58)),0)</f>
        <v/>
      </c>
      <c r="FS58" s="402">
        <f>IF(AND(171&gt;=$NR$58,171&lt;=$NS$58),IF($NP$58="Single_Point",IF(171=$NR$58,$NN$58,0),IF($NP$58="Bell_Curve",$NN$58*(171-$NR$58+1)*($NS$58-171+1)/$NU$58,$NN$58/$NT$58)),0)</f>
        <v/>
      </c>
      <c r="FT58" s="402">
        <f>IF(AND(172&gt;=$NR$58,172&lt;=$NS$58),IF($NP$58="Single_Point",IF(172=$NR$58,$NN$58,0),IF($NP$58="Bell_Curve",$NN$58*(172-$NR$58+1)*($NS$58-172+1)/$NU$58,$NN$58/$NT$58)),0)</f>
        <v/>
      </c>
      <c r="FU58" s="402">
        <f>IF(AND(173&gt;=$NR$58,173&lt;=$NS$58),IF($NP$58="Single_Point",IF(173=$NR$58,$NN$58,0),IF($NP$58="Bell_Curve",$NN$58*(173-$NR$58+1)*($NS$58-173+1)/$NU$58,$NN$58/$NT$58)),0)</f>
        <v/>
      </c>
      <c r="FV58" s="402">
        <f>IF(AND(174&gt;=$NR$58,174&lt;=$NS$58),IF($NP$58="Single_Point",IF(174=$NR$58,$NN$58,0),IF($NP$58="Bell_Curve",$NN$58*(174-$NR$58+1)*($NS$58-174+1)/$NU$58,$NN$58/$NT$58)),0)</f>
        <v/>
      </c>
      <c r="FW58" s="402">
        <f>IF(AND(175&gt;=$NR$58,175&lt;=$NS$58),IF($NP$58="Single_Point",IF(175=$NR$58,$NN$58,0),IF($NP$58="Bell_Curve",$NN$58*(175-$NR$58+1)*($NS$58-175+1)/$NU$58,$NN$58/$NT$58)),0)</f>
        <v/>
      </c>
      <c r="FX58" s="402">
        <f>IF(AND(176&gt;=$NR$58,176&lt;=$NS$58),IF($NP$58="Single_Point",IF(176=$NR$58,$NN$58,0),IF($NP$58="Bell_Curve",$NN$58*(176-$NR$58+1)*($NS$58-176+1)/$NU$58,$NN$58/$NT$58)),0)</f>
        <v/>
      </c>
      <c r="FY58" s="402">
        <f>IF(AND(177&gt;=$NR$58,177&lt;=$NS$58),IF($NP$58="Single_Point",IF(177=$NR$58,$NN$58,0),IF($NP$58="Bell_Curve",$NN$58*(177-$NR$58+1)*($NS$58-177+1)/$NU$58,$NN$58/$NT$58)),0)</f>
        <v/>
      </c>
      <c r="FZ58" s="402">
        <f>IF(AND(178&gt;=$NR$58,178&lt;=$NS$58),IF($NP$58="Single_Point",IF(178=$NR$58,$NN$58,0),IF($NP$58="Bell_Curve",$NN$58*(178-$NR$58+1)*($NS$58-178+1)/$NU$58,$NN$58/$NT$58)),0)</f>
        <v/>
      </c>
      <c r="GA58" s="402">
        <f>IF(AND(179&gt;=$NR$58,179&lt;=$NS$58),IF($NP$58="Single_Point",IF(179=$NR$58,$NN$58,0),IF($NP$58="Bell_Curve",$NN$58*(179-$NR$58+1)*($NS$58-179+1)/$NU$58,$NN$58/$NT$58)),0)</f>
        <v/>
      </c>
      <c r="GB58" s="402">
        <f>IF(AND(180&gt;=$NR$58,180&lt;=$NS$58),IF($NP$58="Single_Point",IF(180=$NR$58,$NN$58,0),IF($NP$58="Bell_Curve",$NN$58*(180-$NR$58+1)*($NS$58-180+1)/$NU$58,$NN$58/$NT$58)),0)</f>
        <v/>
      </c>
      <c r="GC58" s="402">
        <f>IF(AND(181&gt;=$NR$58,181&lt;=$NS$58),IF($NP$58="Single_Point",IF(181=$NR$58,$NN$58,0),IF($NP$58="Bell_Curve",$NN$58*(181-$NR$58+1)*($NS$58-181+1)/$NU$58,$NN$58/$NT$58)),0)</f>
        <v/>
      </c>
      <c r="GD58" s="402">
        <f>IF(AND(182&gt;=$NR$58,182&lt;=$NS$58),IF($NP$58="Single_Point",IF(182=$NR$58,$NN$58,0),IF($NP$58="Bell_Curve",$NN$58*(182-$NR$58+1)*($NS$58-182+1)/$NU$58,$NN$58/$NT$58)),0)</f>
        <v/>
      </c>
      <c r="GE58" s="402">
        <f>IF(AND(183&gt;=$NR$58,183&lt;=$NS$58),IF($NP$58="Single_Point",IF(183=$NR$58,$NN$58,0),IF($NP$58="Bell_Curve",$NN$58*(183-$NR$58+1)*($NS$58-183+1)/$NU$58,$NN$58/$NT$58)),0)</f>
        <v/>
      </c>
      <c r="GF58" s="402">
        <f>IF(AND(184&gt;=$NR$58,184&lt;=$NS$58),IF($NP$58="Single_Point",IF(184=$NR$58,$NN$58,0),IF($NP$58="Bell_Curve",$NN$58*(184-$NR$58+1)*($NS$58-184+1)/$NU$58,$NN$58/$NT$58)),0)</f>
        <v/>
      </c>
      <c r="GG58" s="402">
        <f>IF(AND(185&gt;=$NR$58,185&lt;=$NS$58),IF($NP$58="Single_Point",IF(185=$NR$58,$NN$58,0),IF($NP$58="Bell_Curve",$NN$58*(185-$NR$58+1)*($NS$58-185+1)/$NU$58,$NN$58/$NT$58)),0)</f>
        <v/>
      </c>
      <c r="GH58" s="402">
        <f>IF(AND(186&gt;=$NR$58,186&lt;=$NS$58),IF($NP$58="Single_Point",IF(186=$NR$58,$NN$58,0),IF($NP$58="Bell_Curve",$NN$58*(186-$NR$58+1)*($NS$58-186+1)/$NU$58,$NN$58/$NT$58)),0)</f>
        <v/>
      </c>
      <c r="GI58" s="402">
        <f>IF(AND(187&gt;=$NR$58,187&lt;=$NS$58),IF($NP$58="Single_Point",IF(187=$NR$58,$NN$58,0),IF($NP$58="Bell_Curve",$NN$58*(187-$NR$58+1)*($NS$58-187+1)/$NU$58,$NN$58/$NT$58)),0)</f>
        <v/>
      </c>
      <c r="GJ58" s="402">
        <f>IF(AND(188&gt;=$NR$58,188&lt;=$NS$58),IF($NP$58="Single_Point",IF(188=$NR$58,$NN$58,0),IF($NP$58="Bell_Curve",$NN$58*(188-$NR$58+1)*($NS$58-188+1)/$NU$58,$NN$58/$NT$58)),0)</f>
        <v/>
      </c>
      <c r="GK58" s="402">
        <f>IF(AND(189&gt;=$NR$58,189&lt;=$NS$58),IF($NP$58="Single_Point",IF(189=$NR$58,$NN$58,0),IF($NP$58="Bell_Curve",$NN$58*(189-$NR$58+1)*($NS$58-189+1)/$NU$58,$NN$58/$NT$58)),0)</f>
        <v/>
      </c>
      <c r="GL58" s="402">
        <f>IF(AND(190&gt;=$NR$58,190&lt;=$NS$58),IF($NP$58="Single_Point",IF(190=$NR$58,$NN$58,0),IF($NP$58="Bell_Curve",$NN$58*(190-$NR$58+1)*($NS$58-190+1)/$NU$58,$NN$58/$NT$58)),0)</f>
        <v/>
      </c>
      <c r="GM58" s="402">
        <f>IF(AND(191&gt;=$NR$58,191&lt;=$NS$58),IF($NP$58="Single_Point",IF(191=$NR$58,$NN$58,0),IF($NP$58="Bell_Curve",$NN$58*(191-$NR$58+1)*($NS$58-191+1)/$NU$58,$NN$58/$NT$58)),0)</f>
        <v/>
      </c>
      <c r="GN58" s="402">
        <f>IF(AND(192&gt;=$NR$58,192&lt;=$NS$58),IF($NP$58="Single_Point",IF(192=$NR$58,$NN$58,0),IF($NP$58="Bell_Curve",$NN$58*(192-$NR$58+1)*($NS$58-192+1)/$NU$58,$NN$58/$NT$58)),0)</f>
        <v/>
      </c>
      <c r="GO58" s="402">
        <f>IF(AND(193&gt;=$NR$58,193&lt;=$NS$58),IF($NP$58="Single_Point",IF(193=$NR$58,$NN$58,0),IF($NP$58="Bell_Curve",$NN$58*(193-$NR$58+1)*($NS$58-193+1)/$NU$58,$NN$58/$NT$58)),0)</f>
        <v/>
      </c>
      <c r="GP58" s="402">
        <f>IF(AND(194&gt;=$NR$58,194&lt;=$NS$58),IF($NP$58="Single_Point",IF(194=$NR$58,$NN$58,0),IF($NP$58="Bell_Curve",$NN$58*(194-$NR$58+1)*($NS$58-194+1)/$NU$58,$NN$58/$NT$58)),0)</f>
        <v/>
      </c>
      <c r="GQ58" s="402">
        <f>IF(AND(195&gt;=$NR$58,195&lt;=$NS$58),IF($NP$58="Single_Point",IF(195=$NR$58,$NN$58,0),IF($NP$58="Bell_Curve",$NN$58*(195-$NR$58+1)*($NS$58-195+1)/$NU$58,$NN$58/$NT$58)),0)</f>
        <v/>
      </c>
      <c r="GR58" s="402">
        <f>IF(AND(196&gt;=$NR$58,196&lt;=$NS$58),IF($NP$58="Single_Point",IF(196=$NR$58,$NN$58,0),IF($NP$58="Bell_Curve",$NN$58*(196-$NR$58+1)*($NS$58-196+1)/$NU$58,$NN$58/$NT$58)),0)</f>
        <v/>
      </c>
      <c r="GS58" s="402">
        <f>IF(AND(197&gt;=$NR$58,197&lt;=$NS$58),IF($NP$58="Single_Point",IF(197=$NR$58,$NN$58,0),IF($NP$58="Bell_Curve",$NN$58*(197-$NR$58+1)*($NS$58-197+1)/$NU$58,$NN$58/$NT$58)),0)</f>
        <v/>
      </c>
      <c r="GT58" s="402">
        <f>IF(AND(198&gt;=$NR$58,198&lt;=$NS$58),IF($NP$58="Single_Point",IF(198=$NR$58,$NN$58,0),IF($NP$58="Bell_Curve",$NN$58*(198-$NR$58+1)*($NS$58-198+1)/$NU$58,$NN$58/$NT$58)),0)</f>
        <v/>
      </c>
      <c r="GU58" s="402">
        <f>IF(AND(199&gt;=$NR$58,199&lt;=$NS$58),IF($NP$58="Single_Point",IF(199=$NR$58,$NN$58,0),IF($NP$58="Bell_Curve",$NN$58*(199-$NR$58+1)*($NS$58-199+1)/$NU$58,$NN$58/$NT$58)),0)</f>
        <v/>
      </c>
      <c r="GV58" s="402">
        <f>IF(AND(200&gt;=$NR$58,200&lt;=$NS$58),IF($NP$58="Single_Point",IF(200=$NR$58,$NN$58,0),IF($NP$58="Bell_Curve",$NN$58*(200-$NR$58+1)*($NS$58-200+1)/$NU$58,$NN$58/$NT$58)),0)</f>
        <v/>
      </c>
      <c r="GW58" s="402">
        <f>IF(AND(201&gt;=$NR$58,201&lt;=$NS$58),IF($NP$58="Single_Point",IF(201=$NR$58,$NN$58,0),IF($NP$58="Bell_Curve",$NN$58*(201-$NR$58+1)*($NS$58-201+1)/$NU$58,$NN$58/$NT$58)),0)</f>
        <v/>
      </c>
      <c r="GX58" s="402">
        <f>IF(AND(202&gt;=$NR$58,202&lt;=$NS$58),IF($NP$58="Single_Point",IF(202=$NR$58,$NN$58,0),IF($NP$58="Bell_Curve",$NN$58*(202-$NR$58+1)*($NS$58-202+1)/$NU$58,$NN$58/$NT$58)),0)</f>
        <v/>
      </c>
      <c r="GY58" s="402">
        <f>IF(AND(203&gt;=$NR$58,203&lt;=$NS$58),IF($NP$58="Single_Point",IF(203=$NR$58,$NN$58,0),IF($NP$58="Bell_Curve",$NN$58*(203-$NR$58+1)*($NS$58-203+1)/$NU$58,$NN$58/$NT$58)),0)</f>
        <v/>
      </c>
      <c r="GZ58" s="402">
        <f>IF(AND(204&gt;=$NR$58,204&lt;=$NS$58),IF($NP$58="Single_Point",IF(204=$NR$58,$NN$58,0),IF($NP$58="Bell_Curve",$NN$58*(204-$NR$58+1)*($NS$58-204+1)/$NU$58,$NN$58/$NT$58)),0)</f>
        <v/>
      </c>
      <c r="HA58" s="402">
        <f>IF(AND(205&gt;=$NR$58,205&lt;=$NS$58),IF($NP$58="Single_Point",IF(205=$NR$58,$NN$58,0),IF($NP$58="Bell_Curve",$NN$58*(205-$NR$58+1)*($NS$58-205+1)/$NU$58,$NN$58/$NT$58)),0)</f>
        <v/>
      </c>
      <c r="HB58" s="402">
        <f>IF(AND(206&gt;=$NR$58,206&lt;=$NS$58),IF($NP$58="Single_Point",IF(206=$NR$58,$NN$58,0),IF($NP$58="Bell_Curve",$NN$58*(206-$NR$58+1)*($NS$58-206+1)/$NU$58,$NN$58/$NT$58)),0)</f>
        <v/>
      </c>
      <c r="HC58" s="402">
        <f>IF(AND(207&gt;=$NR$58,207&lt;=$NS$58),IF($NP$58="Single_Point",IF(207=$NR$58,$NN$58,0),IF($NP$58="Bell_Curve",$NN$58*(207-$NR$58+1)*($NS$58-207+1)/$NU$58,$NN$58/$NT$58)),0)</f>
        <v/>
      </c>
      <c r="HD58" s="402">
        <f>IF(AND(208&gt;=$NR$58,208&lt;=$NS$58),IF($NP$58="Single_Point",IF(208=$NR$58,$NN$58,0),IF($NP$58="Bell_Curve",$NN$58*(208-$NR$58+1)*($NS$58-208+1)/$NU$58,$NN$58/$NT$58)),0)</f>
        <v/>
      </c>
      <c r="HE58" s="402">
        <f>IF(AND(209&gt;=$NR$58,209&lt;=$NS$58),IF($NP$58="Single_Point",IF(209=$NR$58,$NN$58,0),IF($NP$58="Bell_Curve",$NN$58*(209-$NR$58+1)*($NS$58-209+1)/$NU$58,$NN$58/$NT$58)),0)</f>
        <v/>
      </c>
      <c r="HF58" s="402">
        <f>IF(AND(210&gt;=$NR$58,210&lt;=$NS$58),IF($NP$58="Single_Point",IF(210=$NR$58,$NN$58,0),IF($NP$58="Bell_Curve",$NN$58*(210-$NR$58+1)*($NS$58-210+1)/$NU$58,$NN$58/$NT$58)),0)</f>
        <v/>
      </c>
      <c r="HG58" s="402">
        <f>IF(AND(211&gt;=$NR$58,211&lt;=$NS$58),IF($NP$58="Single_Point",IF(211=$NR$58,$NN$58,0),IF($NP$58="Bell_Curve",$NN$58*(211-$NR$58+1)*($NS$58-211+1)/$NU$58,$NN$58/$NT$58)),0)</f>
        <v/>
      </c>
      <c r="HH58" s="402">
        <f>IF(AND(212&gt;=$NR$58,212&lt;=$NS$58),IF($NP$58="Single_Point",IF(212=$NR$58,$NN$58,0),IF($NP$58="Bell_Curve",$NN$58*(212-$NR$58+1)*($NS$58-212+1)/$NU$58,$NN$58/$NT$58)),0)</f>
        <v/>
      </c>
      <c r="HI58" s="402">
        <f>IF(AND(213&gt;=$NR$58,213&lt;=$NS$58),IF($NP$58="Single_Point",IF(213=$NR$58,$NN$58,0),IF($NP$58="Bell_Curve",$NN$58*(213-$NR$58+1)*($NS$58-213+1)/$NU$58,$NN$58/$NT$58)),0)</f>
        <v/>
      </c>
      <c r="HJ58" s="402">
        <f>IF(AND(214&gt;=$NR$58,214&lt;=$NS$58),IF($NP$58="Single_Point",IF(214=$NR$58,$NN$58,0),IF($NP$58="Bell_Curve",$NN$58*(214-$NR$58+1)*($NS$58-214+1)/$NU$58,$NN$58/$NT$58)),0)</f>
        <v/>
      </c>
      <c r="HK58" s="402">
        <f>IF(AND(215&gt;=$NR$58,215&lt;=$NS$58),IF($NP$58="Single_Point",IF(215=$NR$58,$NN$58,0),IF($NP$58="Bell_Curve",$NN$58*(215-$NR$58+1)*($NS$58-215+1)/$NU$58,$NN$58/$NT$58)),0)</f>
        <v/>
      </c>
      <c r="HL58" s="402">
        <f>IF(AND(216&gt;=$NR$58,216&lt;=$NS$58),IF($NP$58="Single_Point",IF(216=$NR$58,$NN$58,0),IF($NP$58="Bell_Curve",$NN$58*(216-$NR$58+1)*($NS$58-216+1)/$NU$58,$NN$58/$NT$58)),0)</f>
        <v/>
      </c>
      <c r="HM58" s="402">
        <f>IF(AND(217&gt;=$NR$58,217&lt;=$NS$58),IF($NP$58="Single_Point",IF(217=$NR$58,$NN$58,0),IF($NP$58="Bell_Curve",$NN$58*(217-$NR$58+1)*($NS$58-217+1)/$NU$58,$NN$58/$NT$58)),0)</f>
        <v/>
      </c>
      <c r="HN58" s="402">
        <f>IF(AND(218&gt;=$NR$58,218&lt;=$NS$58),IF($NP$58="Single_Point",IF(218=$NR$58,$NN$58,0),IF($NP$58="Bell_Curve",$NN$58*(218-$NR$58+1)*($NS$58-218+1)/$NU$58,$NN$58/$NT$58)),0)</f>
        <v/>
      </c>
      <c r="HO58" s="402">
        <f>IF(AND(219&gt;=$NR$58,219&lt;=$NS$58),IF($NP$58="Single_Point",IF(219=$NR$58,$NN$58,0),IF($NP$58="Bell_Curve",$NN$58*(219-$NR$58+1)*($NS$58-219+1)/$NU$58,$NN$58/$NT$58)),0)</f>
        <v/>
      </c>
      <c r="HP58" s="402">
        <f>IF(AND(220&gt;=$NR$58,220&lt;=$NS$58),IF($NP$58="Single_Point",IF(220=$NR$58,$NN$58,0),IF($NP$58="Bell_Curve",$NN$58*(220-$NR$58+1)*($NS$58-220+1)/$NU$58,$NN$58/$NT$58)),0)</f>
        <v/>
      </c>
      <c r="HQ58" s="402">
        <f>IF(AND(221&gt;=$NR$58,221&lt;=$NS$58),IF($NP$58="Single_Point",IF(221=$NR$58,$NN$58,0),IF($NP$58="Bell_Curve",$NN$58*(221-$NR$58+1)*($NS$58-221+1)/$NU$58,$NN$58/$NT$58)),0)</f>
        <v/>
      </c>
      <c r="HR58" s="402">
        <f>IF(AND(222&gt;=$NR$58,222&lt;=$NS$58),IF($NP$58="Single_Point",IF(222=$NR$58,$NN$58,0),IF($NP$58="Bell_Curve",$NN$58*(222-$NR$58+1)*($NS$58-222+1)/$NU$58,$NN$58/$NT$58)),0)</f>
        <v/>
      </c>
      <c r="HS58" s="402">
        <f>IF(AND(223&gt;=$NR$58,223&lt;=$NS$58),IF($NP$58="Single_Point",IF(223=$NR$58,$NN$58,0),IF($NP$58="Bell_Curve",$NN$58*(223-$NR$58+1)*($NS$58-223+1)/$NU$58,$NN$58/$NT$58)),0)</f>
        <v/>
      </c>
      <c r="HT58" s="402">
        <f>IF(AND(224&gt;=$NR$58,224&lt;=$NS$58),IF($NP$58="Single_Point",IF(224=$NR$58,$NN$58,0),IF($NP$58="Bell_Curve",$NN$58*(224-$NR$58+1)*($NS$58-224+1)/$NU$58,$NN$58/$NT$58)),0)</f>
        <v/>
      </c>
      <c r="HU58" s="402">
        <f>IF(AND(225&gt;=$NR$58,225&lt;=$NS$58),IF($NP$58="Single_Point",IF(225=$NR$58,$NN$58,0),IF($NP$58="Bell_Curve",$NN$58*(225-$NR$58+1)*($NS$58-225+1)/$NU$58,$NN$58/$NT$58)),0)</f>
        <v/>
      </c>
      <c r="HV58" s="402">
        <f>IF(AND(226&gt;=$NR$58,226&lt;=$NS$58),IF($NP$58="Single_Point",IF(226=$NR$58,$NN$58,0),IF($NP$58="Bell_Curve",$NN$58*(226-$NR$58+1)*($NS$58-226+1)/$NU$58,$NN$58/$NT$58)),0)</f>
        <v/>
      </c>
      <c r="HW58" s="402">
        <f>IF(AND(227&gt;=$NR$58,227&lt;=$NS$58),IF($NP$58="Single_Point",IF(227=$NR$58,$NN$58,0),IF($NP$58="Bell_Curve",$NN$58*(227-$NR$58+1)*($NS$58-227+1)/$NU$58,$NN$58/$NT$58)),0)</f>
        <v/>
      </c>
      <c r="HX58" s="402">
        <f>IF(AND(228&gt;=$NR$58,228&lt;=$NS$58),IF($NP$58="Single_Point",IF(228=$NR$58,$NN$58,0),IF($NP$58="Bell_Curve",$NN$58*(228-$NR$58+1)*($NS$58-228+1)/$NU$58,$NN$58/$NT$58)),0)</f>
        <v/>
      </c>
      <c r="HY58" s="402">
        <f>IF(AND(229&gt;=$NR$58,229&lt;=$NS$58),IF($NP$58="Single_Point",IF(229=$NR$58,$NN$58,0),IF($NP$58="Bell_Curve",$NN$58*(229-$NR$58+1)*($NS$58-229+1)/$NU$58,$NN$58/$NT$58)),0)</f>
        <v/>
      </c>
      <c r="HZ58" s="402">
        <f>IF(AND(230&gt;=$NR$58,230&lt;=$NS$58),IF($NP$58="Single_Point",IF(230=$NR$58,$NN$58,0),IF($NP$58="Bell_Curve",$NN$58*(230-$NR$58+1)*($NS$58-230+1)/$NU$58,$NN$58/$NT$58)),0)</f>
        <v/>
      </c>
      <c r="IA58" s="402">
        <f>IF(AND(231&gt;=$NR$58,231&lt;=$NS$58),IF($NP$58="Single_Point",IF(231=$NR$58,$NN$58,0),IF($NP$58="Bell_Curve",$NN$58*(231-$NR$58+1)*($NS$58-231+1)/$NU$58,$NN$58/$NT$58)),0)</f>
        <v/>
      </c>
      <c r="IB58" s="402">
        <f>IF(AND(232&gt;=$NR$58,232&lt;=$NS$58),IF($NP$58="Single_Point",IF(232=$NR$58,$NN$58,0),IF($NP$58="Bell_Curve",$NN$58*(232-$NR$58+1)*($NS$58-232+1)/$NU$58,$NN$58/$NT$58)),0)</f>
        <v/>
      </c>
      <c r="IC58" s="402">
        <f>IF(AND(233&gt;=$NR$58,233&lt;=$NS$58),IF($NP$58="Single_Point",IF(233=$NR$58,$NN$58,0),IF($NP$58="Bell_Curve",$NN$58*(233-$NR$58+1)*($NS$58-233+1)/$NU$58,$NN$58/$NT$58)),0)</f>
        <v/>
      </c>
      <c r="ID58" s="402">
        <f>IF(AND(234&gt;=$NR$58,234&lt;=$NS$58),IF($NP$58="Single_Point",IF(234=$NR$58,$NN$58,0),IF($NP$58="Bell_Curve",$NN$58*(234-$NR$58+1)*($NS$58-234+1)/$NU$58,$NN$58/$NT$58)),0)</f>
        <v/>
      </c>
      <c r="IE58" s="402">
        <f>IF(AND(235&gt;=$NR$58,235&lt;=$NS$58),IF($NP$58="Single_Point",IF(235=$NR$58,$NN$58,0),IF($NP$58="Bell_Curve",$NN$58*(235-$NR$58+1)*($NS$58-235+1)/$NU$58,$NN$58/$NT$58)),0)</f>
        <v/>
      </c>
      <c r="IF58" s="402">
        <f>IF(AND(236&gt;=$NR$58,236&lt;=$NS$58),IF($NP$58="Single_Point",IF(236=$NR$58,$NN$58,0),IF($NP$58="Bell_Curve",$NN$58*(236-$NR$58+1)*($NS$58-236+1)/$NU$58,$NN$58/$NT$58)),0)</f>
        <v/>
      </c>
      <c r="IG58" s="402">
        <f>IF(AND(237&gt;=$NR$58,237&lt;=$NS$58),IF($NP$58="Single_Point",IF(237=$NR$58,$NN$58,0),IF($NP$58="Bell_Curve",$NN$58*(237-$NR$58+1)*($NS$58-237+1)/$NU$58,$NN$58/$NT$58)),0)</f>
        <v/>
      </c>
      <c r="IH58" s="402">
        <f>IF(AND(238&gt;=$NR$58,238&lt;=$NS$58),IF($NP$58="Single_Point",IF(238=$NR$58,$NN$58,0),IF($NP$58="Bell_Curve",$NN$58*(238-$NR$58+1)*($NS$58-238+1)/$NU$58,$NN$58/$NT$58)),0)</f>
        <v/>
      </c>
      <c r="II58" s="402">
        <f>IF(AND(239&gt;=$NR$58,239&lt;=$NS$58),IF($NP$58="Single_Point",IF(239=$NR$58,$NN$58,0),IF($NP$58="Bell_Curve",$NN$58*(239-$NR$58+1)*($NS$58-239+1)/$NU$58,$NN$58/$NT$58)),0)</f>
        <v/>
      </c>
      <c r="IJ58" s="402">
        <f>IF(AND(240&gt;=$NR$58,240&lt;=$NS$58),IF($NP$58="Single_Point",IF(240=$NR$58,$NN$58,0),IF($NP$58="Bell_Curve",$NN$58*(240-$NR$58+1)*($NS$58-240+1)/$NU$58,$NN$58/$NT$58)),0)</f>
        <v/>
      </c>
      <c r="IK58" s="402">
        <f>IF(AND(241&gt;=$NR$58,241&lt;=$NS$58),IF($NP$58="Single_Point",IF(241=$NR$58,$NN$58,0),IF($NP$58="Bell_Curve",$NN$58*(241-$NR$58+1)*($NS$58-241+1)/$NU$58,$NN$58/$NT$58)),0)</f>
        <v/>
      </c>
      <c r="IL58" s="402">
        <f>IF(AND(242&gt;=$NR$58,242&lt;=$NS$58),IF($NP$58="Single_Point",IF(242=$NR$58,$NN$58,0),IF($NP$58="Bell_Curve",$NN$58*(242-$NR$58+1)*($NS$58-242+1)/$NU$58,$NN$58/$NT$58)),0)</f>
        <v/>
      </c>
      <c r="IM58" s="402">
        <f>IF(AND(243&gt;=$NR$58,243&lt;=$NS$58),IF($NP$58="Single_Point",IF(243=$NR$58,$NN$58,0),IF($NP$58="Bell_Curve",$NN$58*(243-$NR$58+1)*($NS$58-243+1)/$NU$58,$NN$58/$NT$58)),0)</f>
        <v/>
      </c>
      <c r="IN58" s="402">
        <f>IF(AND(244&gt;=$NR$58,244&lt;=$NS$58),IF($NP$58="Single_Point",IF(244=$NR$58,$NN$58,0),IF($NP$58="Bell_Curve",$NN$58*(244-$NR$58+1)*($NS$58-244+1)/$NU$58,$NN$58/$NT$58)),0)</f>
        <v/>
      </c>
      <c r="IO58" s="402">
        <f>IF(AND(245&gt;=$NR$58,245&lt;=$NS$58),IF($NP$58="Single_Point",IF(245=$NR$58,$NN$58,0),IF($NP$58="Bell_Curve",$NN$58*(245-$NR$58+1)*($NS$58-245+1)/$NU$58,$NN$58/$NT$58)),0)</f>
        <v/>
      </c>
      <c r="IP58" s="402">
        <f>IF(AND(246&gt;=$NR$58,246&lt;=$NS$58),IF($NP$58="Single_Point",IF(246=$NR$58,$NN$58,0),IF($NP$58="Bell_Curve",$NN$58*(246-$NR$58+1)*($NS$58-246+1)/$NU$58,$NN$58/$NT$58)),0)</f>
        <v/>
      </c>
      <c r="IQ58" s="402">
        <f>IF(AND(247&gt;=$NR$58,247&lt;=$NS$58),IF($NP$58="Single_Point",IF(247=$NR$58,$NN$58,0),IF($NP$58="Bell_Curve",$NN$58*(247-$NR$58+1)*($NS$58-247+1)/$NU$58,$NN$58/$NT$58)),0)</f>
        <v/>
      </c>
      <c r="IR58" s="402">
        <f>IF(AND(248&gt;=$NR$58,248&lt;=$NS$58),IF($NP$58="Single_Point",IF(248=$NR$58,$NN$58,0),IF($NP$58="Bell_Curve",$NN$58*(248-$NR$58+1)*($NS$58-248+1)/$NU$58,$NN$58/$NT$58)),0)</f>
        <v/>
      </c>
      <c r="IS58" s="402">
        <f>IF(AND(249&gt;=$NR$58,249&lt;=$NS$58),IF($NP$58="Single_Point",IF(249=$NR$58,$NN$58,0),IF($NP$58="Bell_Curve",$NN$58*(249-$NR$58+1)*($NS$58-249+1)/$NU$58,$NN$58/$NT$58)),0)</f>
        <v/>
      </c>
      <c r="IT58" s="402">
        <f>IF(AND(250&gt;=$NR$58,250&lt;=$NS$58),IF($NP$58="Single_Point",IF(250=$NR$58,$NN$58,0),IF($NP$58="Bell_Curve",$NN$58*(250-$NR$58+1)*($NS$58-250+1)/$NU$58,$NN$58/$NT$58)),0)</f>
        <v/>
      </c>
      <c r="IU58" s="402">
        <f>IF(AND(251&gt;=$NR$58,251&lt;=$NS$58),IF($NP$58="Single_Point",IF(251=$NR$58,$NN$58,0),IF($NP$58="Bell_Curve",$NN$58*(251-$NR$58+1)*($NS$58-251+1)/$NU$58,$NN$58/$NT$58)),0)</f>
        <v/>
      </c>
      <c r="IV58" s="402">
        <f>IF(AND(252&gt;=$NR$58,252&lt;=$NS$58),IF($NP$58="Single_Point",IF(252=$NR$58,$NN$58,0),IF($NP$58="Bell_Curve",$NN$58*(252-$NR$58+1)*($NS$58-252+1)/$NU$58,$NN$58/$NT$58)),0)</f>
        <v/>
      </c>
      <c r="IW58" s="402">
        <f>IF(AND(253&gt;=$NR$58,253&lt;=$NS$58),IF($NP$58="Single_Point",IF(253=$NR$58,$NN$58,0),IF($NP$58="Bell_Curve",$NN$58*(253-$NR$58+1)*($NS$58-253+1)/$NU$58,$NN$58/$NT$58)),0)</f>
        <v/>
      </c>
      <c r="IX58" s="402">
        <f>IF(AND(254&gt;=$NR$58,254&lt;=$NS$58),IF($NP$58="Single_Point",IF(254=$NR$58,$NN$58,0),IF($NP$58="Bell_Curve",$NN$58*(254-$NR$58+1)*($NS$58-254+1)/$NU$58,$NN$58/$NT$58)),0)</f>
        <v/>
      </c>
      <c r="IY58" s="402">
        <f>IF(AND(255&gt;=$NR$58,255&lt;=$NS$58),IF($NP$58="Single_Point",IF(255=$NR$58,$NN$58,0),IF($NP$58="Bell_Curve",$NN$58*(255-$NR$58+1)*($NS$58-255+1)/$NU$58,$NN$58/$NT$58)),0)</f>
        <v/>
      </c>
      <c r="IZ58" s="402">
        <f>IF(AND(256&gt;=$NR$58,256&lt;=$NS$58),IF($NP$58="Single_Point",IF(256=$NR$58,$NN$58,0),IF($NP$58="Bell_Curve",$NN$58*(256-$NR$58+1)*($NS$58-256+1)/$NU$58,$NN$58/$NT$58)),0)</f>
        <v/>
      </c>
      <c r="JA58" s="402">
        <f>IF(AND(257&gt;=$NR$58,257&lt;=$NS$58),IF($NP$58="Single_Point",IF(257=$NR$58,$NN$58,0),IF($NP$58="Bell_Curve",$NN$58*(257-$NR$58+1)*($NS$58-257+1)/$NU$58,$NN$58/$NT$58)),0)</f>
        <v/>
      </c>
      <c r="JB58" s="402">
        <f>IF(AND(258&gt;=$NR$58,258&lt;=$NS$58),IF($NP$58="Single_Point",IF(258=$NR$58,$NN$58,0),IF($NP$58="Bell_Curve",$NN$58*(258-$NR$58+1)*($NS$58-258+1)/$NU$58,$NN$58/$NT$58)),0)</f>
        <v/>
      </c>
      <c r="JC58" s="402">
        <f>IF(AND(259&gt;=$NR$58,259&lt;=$NS$58),IF($NP$58="Single_Point",IF(259=$NR$58,$NN$58,0),IF($NP$58="Bell_Curve",$NN$58*(259-$NR$58+1)*($NS$58-259+1)/$NU$58,$NN$58/$NT$58)),0)</f>
        <v/>
      </c>
      <c r="JD58" s="402">
        <f>IF(AND(260&gt;=$NR$58,260&lt;=$NS$58),IF($NP$58="Single_Point",IF(260=$NR$58,$NN$58,0),IF($NP$58="Bell_Curve",$NN$58*(260-$NR$58+1)*($NS$58-260+1)/$NU$58,$NN$58/$NT$58)),0)</f>
        <v/>
      </c>
      <c r="JE58" s="402">
        <f>IF(AND(261&gt;=$NR$58,261&lt;=$NS$58),IF($NP$58="Single_Point",IF(261=$NR$58,$NN$58,0),IF($NP$58="Bell_Curve",$NN$58*(261-$NR$58+1)*($NS$58-261+1)/$NU$58,$NN$58/$NT$58)),0)</f>
        <v/>
      </c>
      <c r="JF58" s="402">
        <f>IF(AND(262&gt;=$NR$58,262&lt;=$NS$58),IF($NP$58="Single_Point",IF(262=$NR$58,$NN$58,0),IF($NP$58="Bell_Curve",$NN$58*(262-$NR$58+1)*($NS$58-262+1)/$NU$58,$NN$58/$NT$58)),0)</f>
        <v/>
      </c>
      <c r="JG58" s="402">
        <f>IF(AND(263&gt;=$NR$58,263&lt;=$NS$58),IF($NP$58="Single_Point",IF(263=$NR$58,$NN$58,0),IF($NP$58="Bell_Curve",$NN$58*(263-$NR$58+1)*($NS$58-263+1)/$NU$58,$NN$58/$NT$58)),0)</f>
        <v/>
      </c>
      <c r="JH58" s="402">
        <f>IF(AND(264&gt;=$NR$58,264&lt;=$NS$58),IF($NP$58="Single_Point",IF(264=$NR$58,$NN$58,0),IF($NP$58="Bell_Curve",$NN$58*(264-$NR$58+1)*($NS$58-264+1)/$NU$58,$NN$58/$NT$58)),0)</f>
        <v/>
      </c>
      <c r="JI58" s="402">
        <f>IF(AND(265&gt;=$NR$58,265&lt;=$NS$58),IF($NP$58="Single_Point",IF(265=$NR$58,$NN$58,0),IF($NP$58="Bell_Curve",$NN$58*(265-$NR$58+1)*($NS$58-265+1)/$NU$58,$NN$58/$NT$58)),0)</f>
        <v/>
      </c>
      <c r="JJ58" s="402">
        <f>IF(AND(266&gt;=$NR$58,266&lt;=$NS$58),IF($NP$58="Single_Point",IF(266=$NR$58,$NN$58,0),IF($NP$58="Bell_Curve",$NN$58*(266-$NR$58+1)*($NS$58-266+1)/$NU$58,$NN$58/$NT$58)),0)</f>
        <v/>
      </c>
      <c r="JK58" s="402">
        <f>IF(AND(267&gt;=$NR$58,267&lt;=$NS$58),IF($NP$58="Single_Point",IF(267=$NR$58,$NN$58,0),IF($NP$58="Bell_Curve",$NN$58*(267-$NR$58+1)*($NS$58-267+1)/$NU$58,$NN$58/$NT$58)),0)</f>
        <v/>
      </c>
      <c r="JL58" s="402">
        <f>IF(AND(268&gt;=$NR$58,268&lt;=$NS$58),IF($NP$58="Single_Point",IF(268=$NR$58,$NN$58,0),IF($NP$58="Bell_Curve",$NN$58*(268-$NR$58+1)*($NS$58-268+1)/$NU$58,$NN$58/$NT$58)),0)</f>
        <v/>
      </c>
      <c r="JM58" s="402">
        <f>IF(AND(269&gt;=$NR$58,269&lt;=$NS$58),IF($NP$58="Single_Point",IF(269=$NR$58,$NN$58,0),IF($NP$58="Bell_Curve",$NN$58*(269-$NR$58+1)*($NS$58-269+1)/$NU$58,$NN$58/$NT$58)),0)</f>
        <v/>
      </c>
      <c r="JN58" s="402">
        <f>IF(AND(270&gt;=$NR$58,270&lt;=$NS$58),IF($NP$58="Single_Point",IF(270=$NR$58,$NN$58,0),IF($NP$58="Bell_Curve",$NN$58*(270-$NR$58+1)*($NS$58-270+1)/$NU$58,$NN$58/$NT$58)),0)</f>
        <v/>
      </c>
      <c r="JO58" s="402">
        <f>IF(AND(271&gt;=$NR$58,271&lt;=$NS$58),IF($NP$58="Single_Point",IF(271=$NR$58,$NN$58,0),IF($NP$58="Bell_Curve",$NN$58*(271-$NR$58+1)*($NS$58-271+1)/$NU$58,$NN$58/$NT$58)),0)</f>
        <v/>
      </c>
      <c r="JP58" s="402">
        <f>IF(AND(272&gt;=$NR$58,272&lt;=$NS$58),IF($NP$58="Single_Point",IF(272=$NR$58,$NN$58,0),IF($NP$58="Bell_Curve",$NN$58*(272-$NR$58+1)*($NS$58-272+1)/$NU$58,$NN$58/$NT$58)),0)</f>
        <v/>
      </c>
      <c r="JQ58" s="402">
        <f>IF(AND(273&gt;=$NR$58,273&lt;=$NS$58),IF($NP$58="Single_Point",IF(273=$NR$58,$NN$58,0),IF($NP$58="Bell_Curve",$NN$58*(273-$NR$58+1)*($NS$58-273+1)/$NU$58,$NN$58/$NT$58)),0)</f>
        <v/>
      </c>
      <c r="JR58" s="402">
        <f>IF(AND(274&gt;=$NR$58,274&lt;=$NS$58),IF($NP$58="Single_Point",IF(274=$NR$58,$NN$58,0),IF($NP$58="Bell_Curve",$NN$58*(274-$NR$58+1)*($NS$58-274+1)/$NU$58,$NN$58/$NT$58)),0)</f>
        <v/>
      </c>
      <c r="JS58" s="402">
        <f>IF(AND(275&gt;=$NR$58,275&lt;=$NS$58),IF($NP$58="Single_Point",IF(275=$NR$58,$NN$58,0),IF($NP$58="Bell_Curve",$NN$58*(275-$NR$58+1)*($NS$58-275+1)/$NU$58,$NN$58/$NT$58)),0)</f>
        <v/>
      </c>
      <c r="JT58" s="402">
        <f>IF(AND(276&gt;=$NR$58,276&lt;=$NS$58),IF($NP$58="Single_Point",IF(276=$NR$58,$NN$58,0),IF($NP$58="Bell_Curve",$NN$58*(276-$NR$58+1)*($NS$58-276+1)/$NU$58,$NN$58/$NT$58)),0)</f>
        <v/>
      </c>
      <c r="JU58" s="402">
        <f>IF(AND(277&gt;=$NR$58,277&lt;=$NS$58),IF($NP$58="Single_Point",IF(277=$NR$58,$NN$58,0),IF($NP$58="Bell_Curve",$NN$58*(277-$NR$58+1)*($NS$58-277+1)/$NU$58,$NN$58/$NT$58)),0)</f>
        <v/>
      </c>
      <c r="JV58" s="402">
        <f>IF(AND(278&gt;=$NR$58,278&lt;=$NS$58),IF($NP$58="Single_Point",IF(278=$NR$58,$NN$58,0),IF($NP$58="Bell_Curve",$NN$58*(278-$NR$58+1)*($NS$58-278+1)/$NU$58,$NN$58/$NT$58)),0)</f>
        <v/>
      </c>
      <c r="JW58" s="402">
        <f>IF(AND(279&gt;=$NR$58,279&lt;=$NS$58),IF($NP$58="Single_Point",IF(279=$NR$58,$NN$58,0),IF($NP$58="Bell_Curve",$NN$58*(279-$NR$58+1)*($NS$58-279+1)/$NU$58,$NN$58/$NT$58)),0)</f>
        <v/>
      </c>
      <c r="JX58" s="402">
        <f>IF(AND(280&gt;=$NR$58,280&lt;=$NS$58),IF($NP$58="Single_Point",IF(280=$NR$58,$NN$58,0),IF($NP$58="Bell_Curve",$NN$58*(280-$NR$58+1)*($NS$58-280+1)/$NU$58,$NN$58/$NT$58)),0)</f>
        <v/>
      </c>
      <c r="JY58" s="402">
        <f>IF(AND(281&gt;=$NR$58,281&lt;=$NS$58),IF($NP$58="Single_Point",IF(281=$NR$58,$NN$58,0),IF($NP$58="Bell_Curve",$NN$58*(281-$NR$58+1)*($NS$58-281+1)/$NU$58,$NN$58/$NT$58)),0)</f>
        <v/>
      </c>
      <c r="JZ58" s="402">
        <f>IF(AND(282&gt;=$NR$58,282&lt;=$NS$58),IF($NP$58="Single_Point",IF(282=$NR$58,$NN$58,0),IF($NP$58="Bell_Curve",$NN$58*(282-$NR$58+1)*($NS$58-282+1)/$NU$58,$NN$58/$NT$58)),0)</f>
        <v/>
      </c>
      <c r="KA58" s="402">
        <f>IF(AND(283&gt;=$NR$58,283&lt;=$NS$58),IF($NP$58="Single_Point",IF(283=$NR$58,$NN$58,0),IF($NP$58="Bell_Curve",$NN$58*(283-$NR$58+1)*($NS$58-283+1)/$NU$58,$NN$58/$NT$58)),0)</f>
        <v/>
      </c>
      <c r="KB58" s="402">
        <f>IF(AND(284&gt;=$NR$58,284&lt;=$NS$58),IF($NP$58="Single_Point",IF(284=$NR$58,$NN$58,0),IF($NP$58="Bell_Curve",$NN$58*(284-$NR$58+1)*($NS$58-284+1)/$NU$58,$NN$58/$NT$58)),0)</f>
        <v/>
      </c>
      <c r="KC58" s="402">
        <f>IF(AND(285&gt;=$NR$58,285&lt;=$NS$58),IF($NP$58="Single_Point",IF(285=$NR$58,$NN$58,0),IF($NP$58="Bell_Curve",$NN$58*(285-$NR$58+1)*($NS$58-285+1)/$NU$58,$NN$58/$NT$58)),0)</f>
        <v/>
      </c>
      <c r="KD58" s="402">
        <f>IF(AND(286&gt;=$NR$58,286&lt;=$NS$58),IF($NP$58="Single_Point",IF(286=$NR$58,$NN$58,0),IF($NP$58="Bell_Curve",$NN$58*(286-$NR$58+1)*($NS$58-286+1)/$NU$58,$NN$58/$NT$58)),0)</f>
        <v/>
      </c>
      <c r="KE58" s="402">
        <f>IF(AND(287&gt;=$NR$58,287&lt;=$NS$58),IF($NP$58="Single_Point",IF(287=$NR$58,$NN$58,0),IF($NP$58="Bell_Curve",$NN$58*(287-$NR$58+1)*($NS$58-287+1)/$NU$58,$NN$58/$NT$58)),0)</f>
        <v/>
      </c>
      <c r="KF58" s="402">
        <f>IF(AND(288&gt;=$NR$58,288&lt;=$NS$58),IF($NP$58="Single_Point",IF(288=$NR$58,$NN$58,0),IF($NP$58="Bell_Curve",$NN$58*(288-$NR$58+1)*($NS$58-288+1)/$NU$58,$NN$58/$NT$58)),0)</f>
        <v/>
      </c>
      <c r="KG58" s="402">
        <f>IF(AND(289&gt;=$NR$58,289&lt;=$NS$58),IF($NP$58="Single_Point",IF(289=$NR$58,$NN$58,0),IF($NP$58="Bell_Curve",$NN$58*(289-$NR$58+1)*($NS$58-289+1)/$NU$58,$NN$58/$NT$58)),0)</f>
        <v/>
      </c>
      <c r="KH58" s="402">
        <f>IF(AND(290&gt;=$NR$58,290&lt;=$NS$58),IF($NP$58="Single_Point",IF(290=$NR$58,$NN$58,0),IF($NP$58="Bell_Curve",$NN$58*(290-$NR$58+1)*($NS$58-290+1)/$NU$58,$NN$58/$NT$58)),0)</f>
        <v/>
      </c>
      <c r="KI58" s="402">
        <f>IF(AND(291&gt;=$NR$58,291&lt;=$NS$58),IF($NP$58="Single_Point",IF(291=$NR$58,$NN$58,0),IF($NP$58="Bell_Curve",$NN$58*(291-$NR$58+1)*($NS$58-291+1)/$NU$58,$NN$58/$NT$58)),0)</f>
        <v/>
      </c>
      <c r="KJ58" s="402">
        <f>IF(AND(292&gt;=$NR$58,292&lt;=$NS$58),IF($NP$58="Single_Point",IF(292=$NR$58,$NN$58,0),IF($NP$58="Bell_Curve",$NN$58*(292-$NR$58+1)*($NS$58-292+1)/$NU$58,$NN$58/$NT$58)),0)</f>
        <v/>
      </c>
      <c r="KK58" s="402">
        <f>IF(AND(293&gt;=$NR$58,293&lt;=$NS$58),IF($NP$58="Single_Point",IF(293=$NR$58,$NN$58,0),IF($NP$58="Bell_Curve",$NN$58*(293-$NR$58+1)*($NS$58-293+1)/$NU$58,$NN$58/$NT$58)),0)</f>
        <v/>
      </c>
      <c r="KL58" s="402">
        <f>IF(AND(294&gt;=$NR$58,294&lt;=$NS$58),IF($NP$58="Single_Point",IF(294=$NR$58,$NN$58,0),IF($NP$58="Bell_Curve",$NN$58*(294-$NR$58+1)*($NS$58-294+1)/$NU$58,$NN$58/$NT$58)),0)</f>
        <v/>
      </c>
      <c r="KM58" s="402">
        <f>IF(AND(295&gt;=$NR$58,295&lt;=$NS$58),IF($NP$58="Single_Point",IF(295=$NR$58,$NN$58,0),IF($NP$58="Bell_Curve",$NN$58*(295-$NR$58+1)*($NS$58-295+1)/$NU$58,$NN$58/$NT$58)),0)</f>
        <v/>
      </c>
      <c r="KN58" s="402">
        <f>IF(AND(296&gt;=$NR$58,296&lt;=$NS$58),IF($NP$58="Single_Point",IF(296=$NR$58,$NN$58,0),IF($NP$58="Bell_Curve",$NN$58*(296-$NR$58+1)*($NS$58-296+1)/$NU$58,$NN$58/$NT$58)),0)</f>
        <v/>
      </c>
      <c r="KO58" s="402">
        <f>IF(AND(297&gt;=$NR$58,297&lt;=$NS$58),IF($NP$58="Single_Point",IF(297=$NR$58,$NN$58,0),IF($NP$58="Bell_Curve",$NN$58*(297-$NR$58+1)*($NS$58-297+1)/$NU$58,$NN$58/$NT$58)),0)</f>
        <v/>
      </c>
      <c r="KP58" s="402">
        <f>IF(AND(298&gt;=$NR$58,298&lt;=$NS$58),IF($NP$58="Single_Point",IF(298=$NR$58,$NN$58,0),IF($NP$58="Bell_Curve",$NN$58*(298-$NR$58+1)*($NS$58-298+1)/$NU$58,$NN$58/$NT$58)),0)</f>
        <v/>
      </c>
      <c r="KQ58" s="402">
        <f>IF(AND(299&gt;=$NR$58,299&lt;=$NS$58),IF($NP$58="Single_Point",IF(299=$NR$58,$NN$58,0),IF($NP$58="Bell_Curve",$NN$58*(299-$NR$58+1)*($NS$58-299+1)/$NU$58,$NN$58/$NT$58)),0)</f>
        <v/>
      </c>
      <c r="KR58" s="402">
        <f>IF(AND(300&gt;=$NR$58,300&lt;=$NS$58),IF($NP$58="Single_Point",IF(300=$NR$58,$NN$58,0),IF($NP$58="Bell_Curve",$NN$58*(300-$NR$58+1)*($NS$58-300+1)/$NU$58,$NN$58/$NT$58)),0)</f>
        <v/>
      </c>
      <c r="KS58" s="402">
        <f>IF(AND(301&gt;=$NR$58,301&lt;=$NS$58),IF($NP$58="Single_Point",IF(301=$NR$58,$NN$58,0),IF($NP$58="Bell_Curve",$NN$58*(301-$NR$58+1)*($NS$58-301+1)/$NU$58,$NN$58/$NT$58)),0)</f>
        <v/>
      </c>
      <c r="KT58" s="402">
        <f>IF(AND(302&gt;=$NR$58,302&lt;=$NS$58),IF($NP$58="Single_Point",IF(302=$NR$58,$NN$58,0),IF($NP$58="Bell_Curve",$NN$58*(302-$NR$58+1)*($NS$58-302+1)/$NU$58,$NN$58/$NT$58)),0)</f>
        <v/>
      </c>
      <c r="KU58" s="402">
        <f>IF(AND(303&gt;=$NR$58,303&lt;=$NS$58),IF($NP$58="Single_Point",IF(303=$NR$58,$NN$58,0),IF($NP$58="Bell_Curve",$NN$58*(303-$NR$58+1)*($NS$58-303+1)/$NU$58,$NN$58/$NT$58)),0)</f>
        <v/>
      </c>
      <c r="KV58" s="402">
        <f>IF(AND(304&gt;=$NR$58,304&lt;=$NS$58),IF($NP$58="Single_Point",IF(304=$NR$58,$NN$58,0),IF($NP$58="Bell_Curve",$NN$58*(304-$NR$58+1)*($NS$58-304+1)/$NU$58,$NN$58/$NT$58)),0)</f>
        <v/>
      </c>
      <c r="KW58" s="402">
        <f>IF(AND(305&gt;=$NR$58,305&lt;=$NS$58),IF($NP$58="Single_Point",IF(305=$NR$58,$NN$58,0),IF($NP$58="Bell_Curve",$NN$58*(305-$NR$58+1)*($NS$58-305+1)/$NU$58,$NN$58/$NT$58)),0)</f>
        <v/>
      </c>
      <c r="KX58" s="402">
        <f>IF(AND(306&gt;=$NR$58,306&lt;=$NS$58),IF($NP$58="Single_Point",IF(306=$NR$58,$NN$58,0),IF($NP$58="Bell_Curve",$NN$58*(306-$NR$58+1)*($NS$58-306+1)/$NU$58,$NN$58/$NT$58)),0)</f>
        <v/>
      </c>
      <c r="KY58" s="402">
        <f>IF(AND(307&gt;=$NR$58,307&lt;=$NS$58),IF($NP$58="Single_Point",IF(307=$NR$58,$NN$58,0),IF($NP$58="Bell_Curve",$NN$58*(307-$NR$58+1)*($NS$58-307+1)/$NU$58,$NN$58/$NT$58)),0)</f>
        <v/>
      </c>
      <c r="KZ58" s="402">
        <f>IF(AND(308&gt;=$NR$58,308&lt;=$NS$58),IF($NP$58="Single_Point",IF(308=$NR$58,$NN$58,0),IF($NP$58="Bell_Curve",$NN$58*(308-$NR$58+1)*($NS$58-308+1)/$NU$58,$NN$58/$NT$58)),0)</f>
        <v/>
      </c>
      <c r="LA58" s="402">
        <f>IF(AND(309&gt;=$NR$58,309&lt;=$NS$58),IF($NP$58="Single_Point",IF(309=$NR$58,$NN$58,0),IF($NP$58="Bell_Curve",$NN$58*(309-$NR$58+1)*($NS$58-309+1)/$NU$58,$NN$58/$NT$58)),0)</f>
        <v/>
      </c>
      <c r="LB58" s="402">
        <f>IF(AND(310&gt;=$NR$58,310&lt;=$NS$58),IF($NP$58="Single_Point",IF(310=$NR$58,$NN$58,0),IF($NP$58="Bell_Curve",$NN$58*(310-$NR$58+1)*($NS$58-310+1)/$NU$58,$NN$58/$NT$58)),0)</f>
        <v/>
      </c>
      <c r="LC58" s="402">
        <f>IF(AND(311&gt;=$NR$58,311&lt;=$NS$58),IF($NP$58="Single_Point",IF(311=$NR$58,$NN$58,0),IF($NP$58="Bell_Curve",$NN$58*(311-$NR$58+1)*($NS$58-311+1)/$NU$58,$NN$58/$NT$58)),0)</f>
        <v/>
      </c>
      <c r="LD58" s="402">
        <f>IF(AND(312&gt;=$NR$58,312&lt;=$NS$58),IF($NP$58="Single_Point",IF(312=$NR$58,$NN$58,0),IF($NP$58="Bell_Curve",$NN$58*(312-$NR$58+1)*($NS$58-312+1)/$NU$58,$NN$58/$NT$58)),0)</f>
        <v/>
      </c>
      <c r="LE58" s="402">
        <f>IF(AND(313&gt;=$NR$58,313&lt;=$NS$58),IF($NP$58="Single_Point",IF(313=$NR$58,$NN$58,0),IF($NP$58="Bell_Curve",$NN$58*(313-$NR$58+1)*($NS$58-313+1)/$NU$58,$NN$58/$NT$58)),0)</f>
        <v/>
      </c>
      <c r="LF58" s="402">
        <f>IF(AND(314&gt;=$NR$58,314&lt;=$NS$58),IF($NP$58="Single_Point",IF(314=$NR$58,$NN$58,0),IF($NP$58="Bell_Curve",$NN$58*(314-$NR$58+1)*($NS$58-314+1)/$NU$58,$NN$58/$NT$58)),0)</f>
        <v/>
      </c>
      <c r="LG58" s="402">
        <f>IF(AND(315&gt;=$NR$58,315&lt;=$NS$58),IF($NP$58="Single_Point",IF(315=$NR$58,$NN$58,0),IF($NP$58="Bell_Curve",$NN$58*(315-$NR$58+1)*($NS$58-315+1)/$NU$58,$NN$58/$NT$58)),0)</f>
        <v/>
      </c>
      <c r="LH58" s="402">
        <f>IF(AND(316&gt;=$NR$58,316&lt;=$NS$58),IF($NP$58="Single_Point",IF(316=$NR$58,$NN$58,0),IF($NP$58="Bell_Curve",$NN$58*(316-$NR$58+1)*($NS$58-316+1)/$NU$58,$NN$58/$NT$58)),0)</f>
        <v/>
      </c>
      <c r="LI58" s="402">
        <f>IF(AND(317&gt;=$NR$58,317&lt;=$NS$58),IF($NP$58="Single_Point",IF(317=$NR$58,$NN$58,0),IF($NP$58="Bell_Curve",$NN$58*(317-$NR$58+1)*($NS$58-317+1)/$NU$58,$NN$58/$NT$58)),0)</f>
        <v/>
      </c>
      <c r="LJ58" s="402">
        <f>IF(AND(318&gt;=$NR$58,318&lt;=$NS$58),IF($NP$58="Single_Point",IF(318=$NR$58,$NN$58,0),IF($NP$58="Bell_Curve",$NN$58*(318-$NR$58+1)*($NS$58-318+1)/$NU$58,$NN$58/$NT$58)),0)</f>
        <v/>
      </c>
      <c r="LK58" s="402">
        <f>IF(AND(319&gt;=$NR$58,319&lt;=$NS$58),IF($NP$58="Single_Point",IF(319=$NR$58,$NN$58,0),IF($NP$58="Bell_Curve",$NN$58*(319-$NR$58+1)*($NS$58-319+1)/$NU$58,$NN$58/$NT$58)),0)</f>
        <v/>
      </c>
      <c r="LL58" s="402">
        <f>IF(AND(320&gt;=$NR$58,320&lt;=$NS$58),IF($NP$58="Single_Point",IF(320=$NR$58,$NN$58,0),IF($NP$58="Bell_Curve",$NN$58*(320-$NR$58+1)*($NS$58-320+1)/$NU$58,$NN$58/$NT$58)),0)</f>
        <v/>
      </c>
      <c r="LM58" s="402">
        <f>IF(AND(321&gt;=$NR$58,321&lt;=$NS$58),IF($NP$58="Single_Point",IF(321=$NR$58,$NN$58,0),IF($NP$58="Bell_Curve",$NN$58*(321-$NR$58+1)*($NS$58-321+1)/$NU$58,$NN$58/$NT$58)),0)</f>
        <v/>
      </c>
      <c r="LN58" s="402">
        <f>IF(AND(322&gt;=$NR$58,322&lt;=$NS$58),IF($NP$58="Single_Point",IF(322=$NR$58,$NN$58,0),IF($NP$58="Bell_Curve",$NN$58*(322-$NR$58+1)*($NS$58-322+1)/$NU$58,$NN$58/$NT$58)),0)</f>
        <v/>
      </c>
      <c r="LO58" s="402">
        <f>IF(AND(323&gt;=$NR$58,323&lt;=$NS$58),IF($NP$58="Single_Point",IF(323=$NR$58,$NN$58,0),IF($NP$58="Bell_Curve",$NN$58*(323-$NR$58+1)*($NS$58-323+1)/$NU$58,$NN$58/$NT$58)),0)</f>
        <v/>
      </c>
      <c r="LP58" s="402">
        <f>IF(AND(324&gt;=$NR$58,324&lt;=$NS$58),IF($NP$58="Single_Point",IF(324=$NR$58,$NN$58,0),IF($NP$58="Bell_Curve",$NN$58*(324-$NR$58+1)*($NS$58-324+1)/$NU$58,$NN$58/$NT$58)),0)</f>
        <v/>
      </c>
      <c r="LQ58" s="402">
        <f>IF(AND(325&gt;=$NR$58,325&lt;=$NS$58),IF($NP$58="Single_Point",IF(325=$NR$58,$NN$58,0),IF($NP$58="Bell_Curve",$NN$58*(325-$NR$58+1)*($NS$58-325+1)/$NU$58,$NN$58/$NT$58)),0)</f>
        <v/>
      </c>
      <c r="LR58" s="402">
        <f>IF(AND(326&gt;=$NR$58,326&lt;=$NS$58),IF($NP$58="Single_Point",IF(326=$NR$58,$NN$58,0),IF($NP$58="Bell_Curve",$NN$58*(326-$NR$58+1)*($NS$58-326+1)/$NU$58,$NN$58/$NT$58)),0)</f>
        <v/>
      </c>
      <c r="LS58" s="402">
        <f>IF(AND(327&gt;=$NR$58,327&lt;=$NS$58),IF($NP$58="Single_Point",IF(327=$NR$58,$NN$58,0),IF($NP$58="Bell_Curve",$NN$58*(327-$NR$58+1)*($NS$58-327+1)/$NU$58,$NN$58/$NT$58)),0)</f>
        <v/>
      </c>
      <c r="LT58" s="402">
        <f>IF(AND(328&gt;=$NR$58,328&lt;=$NS$58),IF($NP$58="Single_Point",IF(328=$NR$58,$NN$58,0),IF($NP$58="Bell_Curve",$NN$58*(328-$NR$58+1)*($NS$58-328+1)/$NU$58,$NN$58/$NT$58)),0)</f>
        <v/>
      </c>
      <c r="LU58" s="402">
        <f>IF(AND(329&gt;=$NR$58,329&lt;=$NS$58),IF($NP$58="Single_Point",IF(329=$NR$58,$NN$58,0),IF($NP$58="Bell_Curve",$NN$58*(329-$NR$58+1)*($NS$58-329+1)/$NU$58,$NN$58/$NT$58)),0)</f>
        <v/>
      </c>
      <c r="LV58" s="402">
        <f>IF(AND(330&gt;=$NR$58,330&lt;=$NS$58),IF($NP$58="Single_Point",IF(330=$NR$58,$NN$58,0),IF($NP$58="Bell_Curve",$NN$58*(330-$NR$58+1)*($NS$58-330+1)/$NU$58,$NN$58/$NT$58)),0)</f>
        <v/>
      </c>
      <c r="LW58" s="402">
        <f>IF(AND(331&gt;=$NR$58,331&lt;=$NS$58),IF($NP$58="Single_Point",IF(331=$NR$58,$NN$58,0),IF($NP$58="Bell_Curve",$NN$58*(331-$NR$58+1)*($NS$58-331+1)/$NU$58,$NN$58/$NT$58)),0)</f>
        <v/>
      </c>
      <c r="LX58" s="402">
        <f>IF(AND(332&gt;=$NR$58,332&lt;=$NS$58),IF($NP$58="Single_Point",IF(332=$NR$58,$NN$58,0),IF($NP$58="Bell_Curve",$NN$58*(332-$NR$58+1)*($NS$58-332+1)/$NU$58,$NN$58/$NT$58)),0)</f>
        <v/>
      </c>
      <c r="LY58" s="402">
        <f>IF(AND(333&gt;=$NR$58,333&lt;=$NS$58),IF($NP$58="Single_Point",IF(333=$NR$58,$NN$58,0),IF($NP$58="Bell_Curve",$NN$58*(333-$NR$58+1)*($NS$58-333+1)/$NU$58,$NN$58/$NT$58)),0)</f>
        <v/>
      </c>
      <c r="LZ58" s="402">
        <f>IF(AND(334&gt;=$NR$58,334&lt;=$NS$58),IF($NP$58="Single_Point",IF(334=$NR$58,$NN$58,0),IF($NP$58="Bell_Curve",$NN$58*(334-$NR$58+1)*($NS$58-334+1)/$NU$58,$NN$58/$NT$58)),0)</f>
        <v/>
      </c>
      <c r="MA58" s="402">
        <f>IF(AND(335&gt;=$NR$58,335&lt;=$NS$58),IF($NP$58="Single_Point",IF(335=$NR$58,$NN$58,0),IF($NP$58="Bell_Curve",$NN$58*(335-$NR$58+1)*($NS$58-335+1)/$NU$58,$NN$58/$NT$58)),0)</f>
        <v/>
      </c>
      <c r="MB58" s="402">
        <f>IF(AND(336&gt;=$NR$58,336&lt;=$NS$58),IF($NP$58="Single_Point",IF(336=$NR$58,$NN$58,0),IF($NP$58="Bell_Curve",$NN$58*(336-$NR$58+1)*($NS$58-336+1)/$NU$58,$NN$58/$NT$58)),0)</f>
        <v/>
      </c>
      <c r="MC58" s="402">
        <f>IF(AND(337&gt;=$NR$58,337&lt;=$NS$58),IF($NP$58="Single_Point",IF(337=$NR$58,$NN$58,0),IF($NP$58="Bell_Curve",$NN$58*(337-$NR$58+1)*($NS$58-337+1)/$NU$58,$NN$58/$NT$58)),0)</f>
        <v/>
      </c>
      <c r="MD58" s="402">
        <f>IF(AND(338&gt;=$NR$58,338&lt;=$NS$58),IF($NP$58="Single_Point",IF(338=$NR$58,$NN$58,0),IF($NP$58="Bell_Curve",$NN$58*(338-$NR$58+1)*($NS$58-338+1)/$NU$58,$NN$58/$NT$58)),0)</f>
        <v/>
      </c>
      <c r="ME58" s="402">
        <f>IF(AND(339&gt;=$NR$58,339&lt;=$NS$58),IF($NP$58="Single_Point",IF(339=$NR$58,$NN$58,0),IF($NP$58="Bell_Curve",$NN$58*(339-$NR$58+1)*($NS$58-339+1)/$NU$58,$NN$58/$NT$58)),0)</f>
        <v/>
      </c>
      <c r="MF58" s="402">
        <f>IF(AND(340&gt;=$NR$58,340&lt;=$NS$58),IF($NP$58="Single_Point",IF(340=$NR$58,$NN$58,0),IF($NP$58="Bell_Curve",$NN$58*(340-$NR$58+1)*($NS$58-340+1)/$NU$58,$NN$58/$NT$58)),0)</f>
        <v/>
      </c>
      <c r="MG58" s="402">
        <f>IF(AND(341&gt;=$NR$58,341&lt;=$NS$58),IF($NP$58="Single_Point",IF(341=$NR$58,$NN$58,0),IF($NP$58="Bell_Curve",$NN$58*(341-$NR$58+1)*($NS$58-341+1)/$NU$58,$NN$58/$NT$58)),0)</f>
        <v/>
      </c>
      <c r="MH58" s="402">
        <f>IF(AND(342&gt;=$NR$58,342&lt;=$NS$58),IF($NP$58="Single_Point",IF(342=$NR$58,$NN$58,0),IF($NP$58="Bell_Curve",$NN$58*(342-$NR$58+1)*($NS$58-342+1)/$NU$58,$NN$58/$NT$58)),0)</f>
        <v/>
      </c>
      <c r="MI58" s="402">
        <f>IF(AND(343&gt;=$NR$58,343&lt;=$NS$58),IF($NP$58="Single_Point",IF(343=$NR$58,$NN$58,0),IF($NP$58="Bell_Curve",$NN$58*(343-$NR$58+1)*($NS$58-343+1)/$NU$58,$NN$58/$NT$58)),0)</f>
        <v/>
      </c>
      <c r="MJ58" s="402">
        <f>IF(AND(344&gt;=$NR$58,344&lt;=$NS$58),IF($NP$58="Single_Point",IF(344=$NR$58,$NN$58,0),IF($NP$58="Bell_Curve",$NN$58*(344-$NR$58+1)*($NS$58-344+1)/$NU$58,$NN$58/$NT$58)),0)</f>
        <v/>
      </c>
      <c r="MK58" s="402">
        <f>IF(AND(345&gt;=$NR$58,345&lt;=$NS$58),IF($NP$58="Single_Point",IF(345=$NR$58,$NN$58,0),IF($NP$58="Bell_Curve",$NN$58*(345-$NR$58+1)*($NS$58-345+1)/$NU$58,$NN$58/$NT$58)),0)</f>
        <v/>
      </c>
      <c r="ML58" s="402">
        <f>IF(AND(346&gt;=$NR$58,346&lt;=$NS$58),IF($NP$58="Single_Point",IF(346=$NR$58,$NN$58,0),IF($NP$58="Bell_Curve",$NN$58*(346-$NR$58+1)*($NS$58-346+1)/$NU$58,$NN$58/$NT$58)),0)</f>
        <v/>
      </c>
      <c r="MM58" s="402">
        <f>IF(AND(347&gt;=$NR$58,347&lt;=$NS$58),IF($NP$58="Single_Point",IF(347=$NR$58,$NN$58,0),IF($NP$58="Bell_Curve",$NN$58*(347-$NR$58+1)*($NS$58-347+1)/$NU$58,$NN$58/$NT$58)),0)</f>
        <v/>
      </c>
      <c r="MN58" s="402">
        <f>IF(AND(348&gt;=$NR$58,348&lt;=$NS$58),IF($NP$58="Single_Point",IF(348=$NR$58,$NN$58,0),IF($NP$58="Bell_Curve",$NN$58*(348-$NR$58+1)*($NS$58-348+1)/$NU$58,$NN$58/$NT$58)),0)</f>
        <v/>
      </c>
      <c r="MO58" s="402">
        <f>IF(AND(349&gt;=$NR$58,349&lt;=$NS$58),IF($NP$58="Single_Point",IF(349=$NR$58,$NN$58,0),IF($NP$58="Bell_Curve",$NN$58*(349-$NR$58+1)*($NS$58-349+1)/$NU$58,$NN$58/$NT$58)),0)</f>
        <v/>
      </c>
      <c r="MP58" s="402">
        <f>IF(AND(350&gt;=$NR$58,350&lt;=$NS$58),IF($NP$58="Single_Point",IF(350=$NR$58,$NN$58,0),IF($NP$58="Bell_Curve",$NN$58*(350-$NR$58+1)*($NS$58-350+1)/$NU$58,$NN$58/$NT$58)),0)</f>
        <v/>
      </c>
      <c r="MQ58" s="402">
        <f>IF(AND(351&gt;=$NR$58,351&lt;=$NS$58),IF($NP$58="Single_Point",IF(351=$NR$58,$NN$58,0),IF($NP$58="Bell_Curve",$NN$58*(351-$NR$58+1)*($NS$58-351+1)/$NU$58,$NN$58/$NT$58)),0)</f>
        <v/>
      </c>
      <c r="MR58" s="402">
        <f>IF(AND(352&gt;=$NR$58,352&lt;=$NS$58),IF($NP$58="Single_Point",IF(352=$NR$58,$NN$58,0),IF($NP$58="Bell_Curve",$NN$58*(352-$NR$58+1)*($NS$58-352+1)/$NU$58,$NN$58/$NT$58)),0)</f>
        <v/>
      </c>
      <c r="MS58" s="402">
        <f>IF(AND(353&gt;=$NR$58,353&lt;=$NS$58),IF($NP$58="Single_Point",IF(353=$NR$58,$NN$58,0),IF($NP$58="Bell_Curve",$NN$58*(353-$NR$58+1)*($NS$58-353+1)/$NU$58,$NN$58/$NT$58)),0)</f>
        <v/>
      </c>
      <c r="MT58" s="402">
        <f>IF(AND(354&gt;=$NR$58,354&lt;=$NS$58),IF($NP$58="Single_Point",IF(354=$NR$58,$NN$58,0),IF($NP$58="Bell_Curve",$NN$58*(354-$NR$58+1)*($NS$58-354+1)/$NU$58,$NN$58/$NT$58)),0)</f>
        <v/>
      </c>
      <c r="MU58" s="402">
        <f>IF(AND(355&gt;=$NR$58,355&lt;=$NS$58),IF($NP$58="Single_Point",IF(355=$NR$58,$NN$58,0),IF($NP$58="Bell_Curve",$NN$58*(355-$NR$58+1)*($NS$58-355+1)/$NU$58,$NN$58/$NT$58)),0)</f>
        <v/>
      </c>
      <c r="MV58" s="402">
        <f>IF(AND(356&gt;=$NR$58,356&lt;=$NS$58),IF($NP$58="Single_Point",IF(356=$NR$58,$NN$58,0),IF($NP$58="Bell_Curve",$NN$58*(356-$NR$58+1)*($NS$58-356+1)/$NU$58,$NN$58/$NT$58)),0)</f>
        <v/>
      </c>
      <c r="MW58" s="402">
        <f>IF(AND(357&gt;=$NR$58,357&lt;=$NS$58),IF($NP$58="Single_Point",IF(357=$NR$58,$NN$58,0),IF($NP$58="Bell_Curve",$NN$58*(357-$NR$58+1)*($NS$58-357+1)/$NU$58,$NN$58/$NT$58)),0)</f>
        <v/>
      </c>
      <c r="MX58" s="402">
        <f>IF(AND(358&gt;=$NR$58,358&lt;=$NS$58),IF($NP$58="Single_Point",IF(358=$NR$58,$NN$58,0),IF($NP$58="Bell_Curve",$NN$58*(358-$NR$58+1)*($NS$58-358+1)/$NU$58,$NN$58/$NT$58)),0)</f>
        <v/>
      </c>
      <c r="MY58" s="402">
        <f>IF(AND(359&gt;=$NR$58,359&lt;=$NS$58),IF($NP$58="Single_Point",IF(359=$NR$58,$NN$58,0),IF($NP$58="Bell_Curve",$NN$58*(359-$NR$58+1)*($NS$58-359+1)/$NU$58,$NN$58/$NT$58)),0)</f>
        <v/>
      </c>
      <c r="MZ58" s="402">
        <f>IF(AND(360&gt;=$NR$58,360&lt;=$NS$58),IF($NP$58="Single_Point",IF(360=$NR$58,$NN$58,0),IF($NP$58="Bell_Curve",$NN$58*(360-$NR$58+1)*($NS$58-360+1)/$NU$58,$NN$58/$NT$58)),0)</f>
        <v/>
      </c>
      <c r="NA58" s="402">
        <f>IF(AND(361&gt;=$NR$58,361&lt;=$NS$58),IF($NP$58="Single_Point",IF(361=$NR$58,$NN$58,0),IF($NP$58="Bell_Curve",$NN$58*(361-$NR$58+1)*($NS$58-361+1)/$NU$58,$NN$58/$NT$58)),0)</f>
        <v/>
      </c>
      <c r="NB58" s="402">
        <f>IF(AND(362&gt;=$NR$58,362&lt;=$NS$58),IF($NP$58="Single_Point",IF(362=$NR$58,$NN$58,0),IF($NP$58="Bell_Curve",$NN$58*(362-$NR$58+1)*($NS$58-362+1)/$NU$58,$NN$58/$NT$58)),0)</f>
        <v/>
      </c>
      <c r="NC58" s="402">
        <f>IF(AND(363&gt;=$NR$58,363&lt;=$NS$58),IF($NP$58="Single_Point",IF(363=$NR$58,$NN$58,0),IF($NP$58="Bell_Curve",$NN$58*(363-$NR$58+1)*($NS$58-363+1)/$NU$58,$NN$58/$NT$58)),0)</f>
        <v/>
      </c>
      <c r="ND58" s="402">
        <f>IF(AND(364&gt;=$NR$58,364&lt;=$NS$58),IF($NP$58="Single_Point",IF(364=$NR$58,$NN$58,0),IF($NP$58="Bell_Curve",$NN$58*(364-$NR$58+1)*($NS$58-364+1)/$NU$58,$NN$58/$NT$58)),0)</f>
        <v/>
      </c>
      <c r="NE58" s="402">
        <f>IF(AND(365&gt;=$NR$58,365&lt;=$NS$58),IF($NP$58="Single_Point",IF(365=$NR$58,$NN$58,0),IF($NP$58="Bell_Curve",$NN$58*(365-$NR$58+1)*($NS$58-365+1)/$NU$58,$NN$58/$NT$58)),0)</f>
        <v/>
      </c>
      <c r="NF58" s="402">
        <f>IF(AND(366&gt;=$NR$58,366&lt;=$NS$58),IF($NP$58="Single_Point",IF(366=$NR$58,$NN$58,0),IF($NP$58="Bell_Curve",$NN$58*(366-$NR$58+1)*($NS$58-366+1)/$NU$58,$NN$58/$NT$58)),0)</f>
        <v/>
      </c>
      <c r="NG58" s="402">
        <f>IF(AND(367&gt;=$NR$58,367&lt;=$NS$58),IF($NP$58="Single_Point",IF(367=$NR$58,$NN$58,0),IF($NP$58="Bell_Curve",$NN$58*(367-$NR$58+1)*($NS$58-367+1)/$NU$58,$NN$58/$NT$58)),0)</f>
        <v/>
      </c>
      <c r="NH58" s="402">
        <f>IF(AND(368&gt;=$NR$58,368&lt;=$NS$58),IF($NP$58="Single_Point",IF(368=$NR$58,$NN$58,0),IF($NP$58="Bell_Curve",$NN$58*(368-$NR$58+1)*($NS$58-368+1)/$NU$58,$NN$58/$NT$58)),0)</f>
        <v/>
      </c>
      <c r="NI58" s="402">
        <f>IF(AND(369&gt;=$NR$58,369&lt;=$NS$58),IF($NP$58="Single_Point",IF(369=$NR$58,$NN$58,0),IF($NP$58="Bell_Curve",$NN$58*(369-$NR$58+1)*($NS$58-369+1)/$NU$58,$NN$58/$NT$58)),0)</f>
        <v/>
      </c>
      <c r="NJ58" s="402">
        <f>IF(AND(370&gt;=$NR$58,370&lt;=$NS$58),IF($NP$58="Single_Point",IF(370=$NR$58,$NN$58,0),IF($NP$58="Bell_Curve",$NN$58*(370-$NR$58+1)*($NS$58-370+1)/$NU$58,$NN$58/$NT$58)),0)</f>
        <v/>
      </c>
      <c r="NK58" s="402">
        <f>IF(AND(371&gt;=$NR$58,371&lt;=$NS$58),IF($NP$58="Single_Point",IF(371=$NR$58,$NN$58,0),IF($NP$58="Bell_Curve",$NN$58*(371-$NR$58+1)*($NS$58-371+1)/$NU$58,$NN$58/$NT$58)),0)</f>
        <v/>
      </c>
      <c r="NL58" s="402">
        <f>IF(AND(372&gt;=$NR$58,372&lt;=$NS$58),IF($NP$58="Single_Point",IF(372=$NR$58,$NN$58,0),IF($NP$58="Bell_Curve",$NN$58*(372-$NR$58+1)*($NS$58-372+1)/$NU$58,$NN$58/$NT$58)),0)</f>
        <v/>
      </c>
      <c r="NM58">
        <f>Budget!C57</f>
        <v/>
      </c>
      <c r="NN58">
        <f>Budget!J57</f>
        <v/>
      </c>
      <c r="NO58">
        <f>Budget!G57</f>
        <v/>
      </c>
      <c r="NP58">
        <f>Budget!H57</f>
        <v/>
      </c>
      <c r="NQ58">
        <f>Budget!I57</f>
        <v/>
      </c>
      <c r="NR58">
        <f>MAX(1,MIN(372,INDEX(MilestoneStart,MATCH(NO58,MilestoneNames,0))+NQ58))</f>
        <v/>
      </c>
      <c r="NS58">
        <f>MAX(NR58,MIN(372,INDEX(MilestoneEnd,MATCH(NO58,MilestoneNames,0))+NQ58))</f>
        <v/>
      </c>
      <c r="NT58">
        <f>NS58-NR58+1</f>
        <v/>
      </c>
      <c r="NU58">
        <f>NT58*(NT58+1)*(NT58+2)/6</f>
        <v/>
      </c>
    </row>
    <row r="59">
      <c r="B59" s="316">
        <f>Budget!B58</f>
        <v/>
      </c>
      <c r="D59" s="402">
        <f>SUM(E59:NL59)</f>
        <v/>
      </c>
      <c r="E59" s="402">
        <f>IF(AND(1&gt;=$NR$59,1&lt;=$NS$59),IF($NP$59="Single_Point",IF(1=$NR$59,$NN$59,0),IF($NP$59="Bell_Curve",$NN$59*(1-$NR$59+1)*($NS$59-1+1)/$NU$59,$NN$59/$NT$59)),0)</f>
        <v/>
      </c>
      <c r="F59" s="402">
        <f>IF(AND(2&gt;=$NR$59,2&lt;=$NS$59),IF($NP$59="Single_Point",IF(2=$NR$59,$NN$59,0),IF($NP$59="Bell_Curve",$NN$59*(2-$NR$59+1)*($NS$59-2+1)/$NU$59,$NN$59/$NT$59)),0)</f>
        <v/>
      </c>
      <c r="G59" s="402">
        <f>IF(AND(3&gt;=$NR$59,3&lt;=$NS$59),IF($NP$59="Single_Point",IF(3=$NR$59,$NN$59,0),IF($NP$59="Bell_Curve",$NN$59*(3-$NR$59+1)*($NS$59-3+1)/$NU$59,$NN$59/$NT$59)),0)</f>
        <v/>
      </c>
      <c r="H59" s="402">
        <f>IF(AND(4&gt;=$NR$59,4&lt;=$NS$59),IF($NP$59="Single_Point",IF(4=$NR$59,$NN$59,0),IF($NP$59="Bell_Curve",$NN$59*(4-$NR$59+1)*($NS$59-4+1)/$NU$59,$NN$59/$NT$59)),0)</f>
        <v/>
      </c>
      <c r="I59" s="402">
        <f>IF(AND(5&gt;=$NR$59,5&lt;=$NS$59),IF($NP$59="Single_Point",IF(5=$NR$59,$NN$59,0),IF($NP$59="Bell_Curve",$NN$59*(5-$NR$59+1)*($NS$59-5+1)/$NU$59,$NN$59/$NT$59)),0)</f>
        <v/>
      </c>
      <c r="J59" s="402">
        <f>IF(AND(6&gt;=$NR$59,6&lt;=$NS$59),IF($NP$59="Single_Point",IF(6=$NR$59,$NN$59,0),IF($NP$59="Bell_Curve",$NN$59*(6-$NR$59+1)*($NS$59-6+1)/$NU$59,$NN$59/$NT$59)),0)</f>
        <v/>
      </c>
      <c r="K59" s="402">
        <f>IF(AND(7&gt;=$NR$59,7&lt;=$NS$59),IF($NP$59="Single_Point",IF(7=$NR$59,$NN$59,0),IF($NP$59="Bell_Curve",$NN$59*(7-$NR$59+1)*($NS$59-7+1)/$NU$59,$NN$59/$NT$59)),0)</f>
        <v/>
      </c>
      <c r="L59" s="402">
        <f>IF(AND(8&gt;=$NR$59,8&lt;=$NS$59),IF($NP$59="Single_Point",IF(8=$NR$59,$NN$59,0),IF($NP$59="Bell_Curve",$NN$59*(8-$NR$59+1)*($NS$59-8+1)/$NU$59,$NN$59/$NT$59)),0)</f>
        <v/>
      </c>
      <c r="M59" s="402">
        <f>IF(AND(9&gt;=$NR$59,9&lt;=$NS$59),IF($NP$59="Single_Point",IF(9=$NR$59,$NN$59,0),IF($NP$59="Bell_Curve",$NN$59*(9-$NR$59+1)*($NS$59-9+1)/$NU$59,$NN$59/$NT$59)),0)</f>
        <v/>
      </c>
      <c r="N59" s="402">
        <f>IF(AND(10&gt;=$NR$59,10&lt;=$NS$59),IF($NP$59="Single_Point",IF(10=$NR$59,$NN$59,0),IF($NP$59="Bell_Curve",$NN$59*(10-$NR$59+1)*($NS$59-10+1)/$NU$59,$NN$59/$NT$59)),0)</f>
        <v/>
      </c>
      <c r="O59" s="402">
        <f>IF(AND(11&gt;=$NR$59,11&lt;=$NS$59),IF($NP$59="Single_Point",IF(11=$NR$59,$NN$59,0),IF($NP$59="Bell_Curve",$NN$59*(11-$NR$59+1)*($NS$59-11+1)/$NU$59,$NN$59/$NT$59)),0)</f>
        <v/>
      </c>
      <c r="P59" s="402">
        <f>IF(AND(12&gt;=$NR$59,12&lt;=$NS$59),IF($NP$59="Single_Point",IF(12=$NR$59,$NN$59,0),IF($NP$59="Bell_Curve",$NN$59*(12-$NR$59+1)*($NS$59-12+1)/$NU$59,$NN$59/$NT$59)),0)</f>
        <v/>
      </c>
      <c r="Q59" s="402">
        <f>IF(AND(13&gt;=$NR$59,13&lt;=$NS$59),IF($NP$59="Single_Point",IF(13=$NR$59,$NN$59,0),IF($NP$59="Bell_Curve",$NN$59*(13-$NR$59+1)*($NS$59-13+1)/$NU$59,$NN$59/$NT$59)),0)</f>
        <v/>
      </c>
      <c r="R59" s="402">
        <f>IF(AND(14&gt;=$NR$59,14&lt;=$NS$59),IF($NP$59="Single_Point",IF(14=$NR$59,$NN$59,0),IF($NP$59="Bell_Curve",$NN$59*(14-$NR$59+1)*($NS$59-14+1)/$NU$59,$NN$59/$NT$59)),0)</f>
        <v/>
      </c>
      <c r="S59" s="402">
        <f>IF(AND(15&gt;=$NR$59,15&lt;=$NS$59),IF($NP$59="Single_Point",IF(15=$NR$59,$NN$59,0),IF($NP$59="Bell_Curve",$NN$59*(15-$NR$59+1)*($NS$59-15+1)/$NU$59,$NN$59/$NT$59)),0)</f>
        <v/>
      </c>
      <c r="T59" s="402">
        <f>IF(AND(16&gt;=$NR$59,16&lt;=$NS$59),IF($NP$59="Single_Point",IF(16=$NR$59,$NN$59,0),IF($NP$59="Bell_Curve",$NN$59*(16-$NR$59+1)*($NS$59-16+1)/$NU$59,$NN$59/$NT$59)),0)</f>
        <v/>
      </c>
      <c r="U59" s="402">
        <f>IF(AND(17&gt;=$NR$59,17&lt;=$NS$59),IF($NP$59="Single_Point",IF(17=$NR$59,$NN$59,0),IF($NP$59="Bell_Curve",$NN$59*(17-$NR$59+1)*($NS$59-17+1)/$NU$59,$NN$59/$NT$59)),0)</f>
        <v/>
      </c>
      <c r="V59" s="402">
        <f>IF(AND(18&gt;=$NR$59,18&lt;=$NS$59),IF($NP$59="Single_Point",IF(18=$NR$59,$NN$59,0),IF($NP$59="Bell_Curve",$NN$59*(18-$NR$59+1)*($NS$59-18+1)/$NU$59,$NN$59/$NT$59)),0)</f>
        <v/>
      </c>
      <c r="W59" s="402">
        <f>IF(AND(19&gt;=$NR$59,19&lt;=$NS$59),IF($NP$59="Single_Point",IF(19=$NR$59,$NN$59,0),IF($NP$59="Bell_Curve",$NN$59*(19-$NR$59+1)*($NS$59-19+1)/$NU$59,$NN$59/$NT$59)),0)</f>
        <v/>
      </c>
      <c r="X59" s="402">
        <f>IF(AND(20&gt;=$NR$59,20&lt;=$NS$59),IF($NP$59="Single_Point",IF(20=$NR$59,$NN$59,0),IF($NP$59="Bell_Curve",$NN$59*(20-$NR$59+1)*($NS$59-20+1)/$NU$59,$NN$59/$NT$59)),0)</f>
        <v/>
      </c>
      <c r="Y59" s="402">
        <f>IF(AND(21&gt;=$NR$59,21&lt;=$NS$59),IF($NP$59="Single_Point",IF(21=$NR$59,$NN$59,0),IF($NP$59="Bell_Curve",$NN$59*(21-$NR$59+1)*($NS$59-21+1)/$NU$59,$NN$59/$NT$59)),0)</f>
        <v/>
      </c>
      <c r="Z59" s="402">
        <f>IF(AND(22&gt;=$NR$59,22&lt;=$NS$59),IF($NP$59="Single_Point",IF(22=$NR$59,$NN$59,0),IF($NP$59="Bell_Curve",$NN$59*(22-$NR$59+1)*($NS$59-22+1)/$NU$59,$NN$59/$NT$59)),0)</f>
        <v/>
      </c>
      <c r="AA59" s="402">
        <f>IF(AND(23&gt;=$NR$59,23&lt;=$NS$59),IF($NP$59="Single_Point",IF(23=$NR$59,$NN$59,0),IF($NP$59="Bell_Curve",$NN$59*(23-$NR$59+1)*($NS$59-23+1)/$NU$59,$NN$59/$NT$59)),0)</f>
        <v/>
      </c>
      <c r="AB59" s="402">
        <f>IF(AND(24&gt;=$NR$59,24&lt;=$NS$59),IF($NP$59="Single_Point",IF(24=$NR$59,$NN$59,0),IF($NP$59="Bell_Curve",$NN$59*(24-$NR$59+1)*($NS$59-24+1)/$NU$59,$NN$59/$NT$59)),0)</f>
        <v/>
      </c>
      <c r="AC59" s="402">
        <f>IF(AND(25&gt;=$NR$59,25&lt;=$NS$59),IF($NP$59="Single_Point",IF(25=$NR$59,$NN$59,0),IF($NP$59="Bell_Curve",$NN$59*(25-$NR$59+1)*($NS$59-25+1)/$NU$59,$NN$59/$NT$59)),0)</f>
        <v/>
      </c>
      <c r="AD59" s="402">
        <f>IF(AND(26&gt;=$NR$59,26&lt;=$NS$59),IF($NP$59="Single_Point",IF(26=$NR$59,$NN$59,0),IF($NP$59="Bell_Curve",$NN$59*(26-$NR$59+1)*($NS$59-26+1)/$NU$59,$NN$59/$NT$59)),0)</f>
        <v/>
      </c>
      <c r="AE59" s="402">
        <f>IF(AND(27&gt;=$NR$59,27&lt;=$NS$59),IF($NP$59="Single_Point",IF(27=$NR$59,$NN$59,0),IF($NP$59="Bell_Curve",$NN$59*(27-$NR$59+1)*($NS$59-27+1)/$NU$59,$NN$59/$NT$59)),0)</f>
        <v/>
      </c>
      <c r="AF59" s="402">
        <f>IF(AND(28&gt;=$NR$59,28&lt;=$NS$59),IF($NP$59="Single_Point",IF(28=$NR$59,$NN$59,0),IF($NP$59="Bell_Curve",$NN$59*(28-$NR$59+1)*($NS$59-28+1)/$NU$59,$NN$59/$NT$59)),0)</f>
        <v/>
      </c>
      <c r="AG59" s="402">
        <f>IF(AND(29&gt;=$NR$59,29&lt;=$NS$59),IF($NP$59="Single_Point",IF(29=$NR$59,$NN$59,0),IF($NP$59="Bell_Curve",$NN$59*(29-$NR$59+1)*($NS$59-29+1)/$NU$59,$NN$59/$NT$59)),0)</f>
        <v/>
      </c>
      <c r="AH59" s="402">
        <f>IF(AND(30&gt;=$NR$59,30&lt;=$NS$59),IF($NP$59="Single_Point",IF(30=$NR$59,$NN$59,0),IF($NP$59="Bell_Curve",$NN$59*(30-$NR$59+1)*($NS$59-30+1)/$NU$59,$NN$59/$NT$59)),0)</f>
        <v/>
      </c>
      <c r="AI59" s="402">
        <f>IF(AND(31&gt;=$NR$59,31&lt;=$NS$59),IF($NP$59="Single_Point",IF(31=$NR$59,$NN$59,0),IF($NP$59="Bell_Curve",$NN$59*(31-$NR$59+1)*($NS$59-31+1)/$NU$59,$NN$59/$NT$59)),0)</f>
        <v/>
      </c>
      <c r="AJ59" s="402">
        <f>IF(AND(32&gt;=$NR$59,32&lt;=$NS$59),IF($NP$59="Single_Point",IF(32=$NR$59,$NN$59,0),IF($NP$59="Bell_Curve",$NN$59*(32-$NR$59+1)*($NS$59-32+1)/$NU$59,$NN$59/$NT$59)),0)</f>
        <v/>
      </c>
      <c r="AK59" s="402">
        <f>IF(AND(33&gt;=$NR$59,33&lt;=$NS$59),IF($NP$59="Single_Point",IF(33=$NR$59,$NN$59,0),IF($NP$59="Bell_Curve",$NN$59*(33-$NR$59+1)*($NS$59-33+1)/$NU$59,$NN$59/$NT$59)),0)</f>
        <v/>
      </c>
      <c r="AL59" s="402">
        <f>IF(AND(34&gt;=$NR$59,34&lt;=$NS$59),IF($NP$59="Single_Point",IF(34=$NR$59,$NN$59,0),IF($NP$59="Bell_Curve",$NN$59*(34-$NR$59+1)*($NS$59-34+1)/$NU$59,$NN$59/$NT$59)),0)</f>
        <v/>
      </c>
      <c r="AM59" s="402">
        <f>IF(AND(35&gt;=$NR$59,35&lt;=$NS$59),IF($NP$59="Single_Point",IF(35=$NR$59,$NN$59,0),IF($NP$59="Bell_Curve",$NN$59*(35-$NR$59+1)*($NS$59-35+1)/$NU$59,$NN$59/$NT$59)),0)</f>
        <v/>
      </c>
      <c r="AN59" s="402">
        <f>IF(AND(36&gt;=$NR$59,36&lt;=$NS$59),IF($NP$59="Single_Point",IF(36=$NR$59,$NN$59,0),IF($NP$59="Bell_Curve",$NN$59*(36-$NR$59+1)*($NS$59-36+1)/$NU$59,$NN$59/$NT$59)),0)</f>
        <v/>
      </c>
      <c r="AO59" s="402">
        <f>IF(AND(37&gt;=$NR$59,37&lt;=$NS$59),IF($NP$59="Single_Point",IF(37=$NR$59,$NN$59,0),IF($NP$59="Bell_Curve",$NN$59*(37-$NR$59+1)*($NS$59-37+1)/$NU$59,$NN$59/$NT$59)),0)</f>
        <v/>
      </c>
      <c r="AP59" s="402">
        <f>IF(AND(38&gt;=$NR$59,38&lt;=$NS$59),IF($NP$59="Single_Point",IF(38=$NR$59,$NN$59,0),IF($NP$59="Bell_Curve",$NN$59*(38-$NR$59+1)*($NS$59-38+1)/$NU$59,$NN$59/$NT$59)),0)</f>
        <v/>
      </c>
      <c r="AQ59" s="402">
        <f>IF(AND(39&gt;=$NR$59,39&lt;=$NS$59),IF($NP$59="Single_Point",IF(39=$NR$59,$NN$59,0),IF($NP$59="Bell_Curve",$NN$59*(39-$NR$59+1)*($NS$59-39+1)/$NU$59,$NN$59/$NT$59)),0)</f>
        <v/>
      </c>
      <c r="AR59" s="402">
        <f>IF(AND(40&gt;=$NR$59,40&lt;=$NS$59),IF($NP$59="Single_Point",IF(40=$NR$59,$NN$59,0),IF($NP$59="Bell_Curve",$NN$59*(40-$NR$59+1)*($NS$59-40+1)/$NU$59,$NN$59/$NT$59)),0)</f>
        <v/>
      </c>
      <c r="AS59" s="402">
        <f>IF(AND(41&gt;=$NR$59,41&lt;=$NS$59),IF($NP$59="Single_Point",IF(41=$NR$59,$NN$59,0),IF($NP$59="Bell_Curve",$NN$59*(41-$NR$59+1)*($NS$59-41+1)/$NU$59,$NN$59/$NT$59)),0)</f>
        <v/>
      </c>
      <c r="AT59" s="402">
        <f>IF(AND(42&gt;=$NR$59,42&lt;=$NS$59),IF($NP$59="Single_Point",IF(42=$NR$59,$NN$59,0),IF($NP$59="Bell_Curve",$NN$59*(42-$NR$59+1)*($NS$59-42+1)/$NU$59,$NN$59/$NT$59)),0)</f>
        <v/>
      </c>
      <c r="AU59" s="402">
        <f>IF(AND(43&gt;=$NR$59,43&lt;=$NS$59),IF($NP$59="Single_Point",IF(43=$NR$59,$NN$59,0),IF($NP$59="Bell_Curve",$NN$59*(43-$NR$59+1)*($NS$59-43+1)/$NU$59,$NN$59/$NT$59)),0)</f>
        <v/>
      </c>
      <c r="AV59" s="402">
        <f>IF(AND(44&gt;=$NR$59,44&lt;=$NS$59),IF($NP$59="Single_Point",IF(44=$NR$59,$NN$59,0),IF($NP$59="Bell_Curve",$NN$59*(44-$NR$59+1)*($NS$59-44+1)/$NU$59,$NN$59/$NT$59)),0)</f>
        <v/>
      </c>
      <c r="AW59" s="402">
        <f>IF(AND(45&gt;=$NR$59,45&lt;=$NS$59),IF($NP$59="Single_Point",IF(45=$NR$59,$NN$59,0),IF($NP$59="Bell_Curve",$NN$59*(45-$NR$59+1)*($NS$59-45+1)/$NU$59,$NN$59/$NT$59)),0)</f>
        <v/>
      </c>
      <c r="AX59" s="402">
        <f>IF(AND(46&gt;=$NR$59,46&lt;=$NS$59),IF($NP$59="Single_Point",IF(46=$NR$59,$NN$59,0),IF($NP$59="Bell_Curve",$NN$59*(46-$NR$59+1)*($NS$59-46+1)/$NU$59,$NN$59/$NT$59)),0)</f>
        <v/>
      </c>
      <c r="AY59" s="402">
        <f>IF(AND(47&gt;=$NR$59,47&lt;=$NS$59),IF($NP$59="Single_Point",IF(47=$NR$59,$NN$59,0),IF($NP$59="Bell_Curve",$NN$59*(47-$NR$59+1)*($NS$59-47+1)/$NU$59,$NN$59/$NT$59)),0)</f>
        <v/>
      </c>
      <c r="AZ59" s="402">
        <f>IF(AND(48&gt;=$NR$59,48&lt;=$NS$59),IF($NP$59="Single_Point",IF(48=$NR$59,$NN$59,0),IF($NP$59="Bell_Curve",$NN$59*(48-$NR$59+1)*($NS$59-48+1)/$NU$59,$NN$59/$NT$59)),0)</f>
        <v/>
      </c>
      <c r="BA59" s="402">
        <f>IF(AND(49&gt;=$NR$59,49&lt;=$NS$59),IF($NP$59="Single_Point",IF(49=$NR$59,$NN$59,0),IF($NP$59="Bell_Curve",$NN$59*(49-$NR$59+1)*($NS$59-49+1)/$NU$59,$NN$59/$NT$59)),0)</f>
        <v/>
      </c>
      <c r="BB59" s="402">
        <f>IF(AND(50&gt;=$NR$59,50&lt;=$NS$59),IF($NP$59="Single_Point",IF(50=$NR$59,$NN$59,0),IF($NP$59="Bell_Curve",$NN$59*(50-$NR$59+1)*($NS$59-50+1)/$NU$59,$NN$59/$NT$59)),0)</f>
        <v/>
      </c>
      <c r="BC59" s="402">
        <f>IF(AND(51&gt;=$NR$59,51&lt;=$NS$59),IF($NP$59="Single_Point",IF(51=$NR$59,$NN$59,0),IF($NP$59="Bell_Curve",$NN$59*(51-$NR$59+1)*($NS$59-51+1)/$NU$59,$NN$59/$NT$59)),0)</f>
        <v/>
      </c>
      <c r="BD59" s="402">
        <f>IF(AND(52&gt;=$NR$59,52&lt;=$NS$59),IF($NP$59="Single_Point",IF(52=$NR$59,$NN$59,0),IF($NP$59="Bell_Curve",$NN$59*(52-$NR$59+1)*($NS$59-52+1)/$NU$59,$NN$59/$NT$59)),0)</f>
        <v/>
      </c>
      <c r="BE59" s="402">
        <f>IF(AND(53&gt;=$NR$59,53&lt;=$NS$59),IF($NP$59="Single_Point",IF(53=$NR$59,$NN$59,0),IF($NP$59="Bell_Curve",$NN$59*(53-$NR$59+1)*($NS$59-53+1)/$NU$59,$NN$59/$NT$59)),0)</f>
        <v/>
      </c>
      <c r="BF59" s="402">
        <f>IF(AND(54&gt;=$NR$59,54&lt;=$NS$59),IF($NP$59="Single_Point",IF(54=$NR$59,$NN$59,0),IF($NP$59="Bell_Curve",$NN$59*(54-$NR$59+1)*($NS$59-54+1)/$NU$59,$NN$59/$NT$59)),0)</f>
        <v/>
      </c>
      <c r="BG59" s="402">
        <f>IF(AND(55&gt;=$NR$59,55&lt;=$NS$59),IF($NP$59="Single_Point",IF(55=$NR$59,$NN$59,0),IF($NP$59="Bell_Curve",$NN$59*(55-$NR$59+1)*($NS$59-55+1)/$NU$59,$NN$59/$NT$59)),0)</f>
        <v/>
      </c>
      <c r="BH59" s="402">
        <f>IF(AND(56&gt;=$NR$59,56&lt;=$NS$59),IF($NP$59="Single_Point",IF(56=$NR$59,$NN$59,0),IF($NP$59="Bell_Curve",$NN$59*(56-$NR$59+1)*($NS$59-56+1)/$NU$59,$NN$59/$NT$59)),0)</f>
        <v/>
      </c>
      <c r="BI59" s="402">
        <f>IF(AND(57&gt;=$NR$59,57&lt;=$NS$59),IF($NP$59="Single_Point",IF(57=$NR$59,$NN$59,0),IF($NP$59="Bell_Curve",$NN$59*(57-$NR$59+1)*($NS$59-57+1)/$NU$59,$NN$59/$NT$59)),0)</f>
        <v/>
      </c>
      <c r="BJ59" s="402">
        <f>IF(AND(58&gt;=$NR$59,58&lt;=$NS$59),IF($NP$59="Single_Point",IF(58=$NR$59,$NN$59,0),IF($NP$59="Bell_Curve",$NN$59*(58-$NR$59+1)*($NS$59-58+1)/$NU$59,$NN$59/$NT$59)),0)</f>
        <v/>
      </c>
      <c r="BK59" s="402">
        <f>IF(AND(59&gt;=$NR$59,59&lt;=$NS$59),IF($NP$59="Single_Point",IF(59=$NR$59,$NN$59,0),IF($NP$59="Bell_Curve",$NN$59*(59-$NR$59+1)*($NS$59-59+1)/$NU$59,$NN$59/$NT$59)),0)</f>
        <v/>
      </c>
      <c r="BL59" s="402">
        <f>IF(AND(60&gt;=$NR$59,60&lt;=$NS$59),IF($NP$59="Single_Point",IF(60=$NR$59,$NN$59,0),IF($NP$59="Bell_Curve",$NN$59*(60-$NR$59+1)*($NS$59-60+1)/$NU$59,$NN$59/$NT$59)),0)</f>
        <v/>
      </c>
      <c r="BM59" s="402">
        <f>IF(AND(61&gt;=$NR$59,61&lt;=$NS$59),IF($NP$59="Single_Point",IF(61=$NR$59,$NN$59,0),IF($NP$59="Bell_Curve",$NN$59*(61-$NR$59+1)*($NS$59-61+1)/$NU$59,$NN$59/$NT$59)),0)</f>
        <v/>
      </c>
      <c r="BN59" s="402">
        <f>IF(AND(62&gt;=$NR$59,62&lt;=$NS$59),IF($NP$59="Single_Point",IF(62=$NR$59,$NN$59,0),IF($NP$59="Bell_Curve",$NN$59*(62-$NR$59+1)*($NS$59-62+1)/$NU$59,$NN$59/$NT$59)),0)</f>
        <v/>
      </c>
      <c r="BO59" s="402">
        <f>IF(AND(63&gt;=$NR$59,63&lt;=$NS$59),IF($NP$59="Single_Point",IF(63=$NR$59,$NN$59,0),IF($NP$59="Bell_Curve",$NN$59*(63-$NR$59+1)*($NS$59-63+1)/$NU$59,$NN$59/$NT$59)),0)</f>
        <v/>
      </c>
      <c r="BP59" s="402">
        <f>IF(AND(64&gt;=$NR$59,64&lt;=$NS$59),IF($NP$59="Single_Point",IF(64=$NR$59,$NN$59,0),IF($NP$59="Bell_Curve",$NN$59*(64-$NR$59+1)*($NS$59-64+1)/$NU$59,$NN$59/$NT$59)),0)</f>
        <v/>
      </c>
      <c r="BQ59" s="402">
        <f>IF(AND(65&gt;=$NR$59,65&lt;=$NS$59),IF($NP$59="Single_Point",IF(65=$NR$59,$NN$59,0),IF($NP$59="Bell_Curve",$NN$59*(65-$NR$59+1)*($NS$59-65+1)/$NU$59,$NN$59/$NT$59)),0)</f>
        <v/>
      </c>
      <c r="BR59" s="402">
        <f>IF(AND(66&gt;=$NR$59,66&lt;=$NS$59),IF($NP$59="Single_Point",IF(66=$NR$59,$NN$59,0),IF($NP$59="Bell_Curve",$NN$59*(66-$NR$59+1)*($NS$59-66+1)/$NU$59,$NN$59/$NT$59)),0)</f>
        <v/>
      </c>
      <c r="BS59" s="402">
        <f>IF(AND(67&gt;=$NR$59,67&lt;=$NS$59),IF($NP$59="Single_Point",IF(67=$NR$59,$NN$59,0),IF($NP$59="Bell_Curve",$NN$59*(67-$NR$59+1)*($NS$59-67+1)/$NU$59,$NN$59/$NT$59)),0)</f>
        <v/>
      </c>
      <c r="BT59" s="402">
        <f>IF(AND(68&gt;=$NR$59,68&lt;=$NS$59),IF($NP$59="Single_Point",IF(68=$NR$59,$NN$59,0),IF($NP$59="Bell_Curve",$NN$59*(68-$NR$59+1)*($NS$59-68+1)/$NU$59,$NN$59/$NT$59)),0)</f>
        <v/>
      </c>
      <c r="BU59" s="402">
        <f>IF(AND(69&gt;=$NR$59,69&lt;=$NS$59),IF($NP$59="Single_Point",IF(69=$NR$59,$NN$59,0),IF($NP$59="Bell_Curve",$NN$59*(69-$NR$59+1)*($NS$59-69+1)/$NU$59,$NN$59/$NT$59)),0)</f>
        <v/>
      </c>
      <c r="BV59" s="402">
        <f>IF(AND(70&gt;=$NR$59,70&lt;=$NS$59),IF($NP$59="Single_Point",IF(70=$NR$59,$NN$59,0),IF($NP$59="Bell_Curve",$NN$59*(70-$NR$59+1)*($NS$59-70+1)/$NU$59,$NN$59/$NT$59)),0)</f>
        <v/>
      </c>
      <c r="BW59" s="402">
        <f>IF(AND(71&gt;=$NR$59,71&lt;=$NS$59),IF($NP$59="Single_Point",IF(71=$NR$59,$NN$59,0),IF($NP$59="Bell_Curve",$NN$59*(71-$NR$59+1)*($NS$59-71+1)/$NU$59,$NN$59/$NT$59)),0)</f>
        <v/>
      </c>
      <c r="BX59" s="402">
        <f>IF(AND(72&gt;=$NR$59,72&lt;=$NS$59),IF($NP$59="Single_Point",IF(72=$NR$59,$NN$59,0),IF($NP$59="Bell_Curve",$NN$59*(72-$NR$59+1)*($NS$59-72+1)/$NU$59,$NN$59/$NT$59)),0)</f>
        <v/>
      </c>
      <c r="BY59" s="402">
        <f>IF(AND(73&gt;=$NR$59,73&lt;=$NS$59),IF($NP$59="Single_Point",IF(73=$NR$59,$NN$59,0),IF($NP$59="Bell_Curve",$NN$59*(73-$NR$59+1)*($NS$59-73+1)/$NU$59,$NN$59/$NT$59)),0)</f>
        <v/>
      </c>
      <c r="BZ59" s="402">
        <f>IF(AND(74&gt;=$NR$59,74&lt;=$NS$59),IF($NP$59="Single_Point",IF(74=$NR$59,$NN$59,0),IF($NP$59="Bell_Curve",$NN$59*(74-$NR$59+1)*($NS$59-74+1)/$NU$59,$NN$59/$NT$59)),0)</f>
        <v/>
      </c>
      <c r="CA59" s="402">
        <f>IF(AND(75&gt;=$NR$59,75&lt;=$NS$59),IF($NP$59="Single_Point",IF(75=$NR$59,$NN$59,0),IF($NP$59="Bell_Curve",$NN$59*(75-$NR$59+1)*($NS$59-75+1)/$NU$59,$NN$59/$NT$59)),0)</f>
        <v/>
      </c>
      <c r="CB59" s="402">
        <f>IF(AND(76&gt;=$NR$59,76&lt;=$NS$59),IF($NP$59="Single_Point",IF(76=$NR$59,$NN$59,0),IF($NP$59="Bell_Curve",$NN$59*(76-$NR$59+1)*($NS$59-76+1)/$NU$59,$NN$59/$NT$59)),0)</f>
        <v/>
      </c>
      <c r="CC59" s="402">
        <f>IF(AND(77&gt;=$NR$59,77&lt;=$NS$59),IF($NP$59="Single_Point",IF(77=$NR$59,$NN$59,0),IF($NP$59="Bell_Curve",$NN$59*(77-$NR$59+1)*($NS$59-77+1)/$NU$59,$NN$59/$NT$59)),0)</f>
        <v/>
      </c>
      <c r="CD59" s="402">
        <f>IF(AND(78&gt;=$NR$59,78&lt;=$NS$59),IF($NP$59="Single_Point",IF(78=$NR$59,$NN$59,0),IF($NP$59="Bell_Curve",$NN$59*(78-$NR$59+1)*($NS$59-78+1)/$NU$59,$NN$59/$NT$59)),0)</f>
        <v/>
      </c>
      <c r="CE59" s="402">
        <f>IF(AND(79&gt;=$NR$59,79&lt;=$NS$59),IF($NP$59="Single_Point",IF(79=$NR$59,$NN$59,0),IF($NP$59="Bell_Curve",$NN$59*(79-$NR$59+1)*($NS$59-79+1)/$NU$59,$NN$59/$NT$59)),0)</f>
        <v/>
      </c>
      <c r="CF59" s="402">
        <f>IF(AND(80&gt;=$NR$59,80&lt;=$NS$59),IF($NP$59="Single_Point",IF(80=$NR$59,$NN$59,0),IF($NP$59="Bell_Curve",$NN$59*(80-$NR$59+1)*($NS$59-80+1)/$NU$59,$NN$59/$NT$59)),0)</f>
        <v/>
      </c>
      <c r="CG59" s="402">
        <f>IF(AND(81&gt;=$NR$59,81&lt;=$NS$59),IF($NP$59="Single_Point",IF(81=$NR$59,$NN$59,0),IF($NP$59="Bell_Curve",$NN$59*(81-$NR$59+1)*($NS$59-81+1)/$NU$59,$NN$59/$NT$59)),0)</f>
        <v/>
      </c>
      <c r="CH59" s="402">
        <f>IF(AND(82&gt;=$NR$59,82&lt;=$NS$59),IF($NP$59="Single_Point",IF(82=$NR$59,$NN$59,0),IF($NP$59="Bell_Curve",$NN$59*(82-$NR$59+1)*($NS$59-82+1)/$NU$59,$NN$59/$NT$59)),0)</f>
        <v/>
      </c>
      <c r="CI59" s="402">
        <f>IF(AND(83&gt;=$NR$59,83&lt;=$NS$59),IF($NP$59="Single_Point",IF(83=$NR$59,$NN$59,0),IF($NP$59="Bell_Curve",$NN$59*(83-$NR$59+1)*($NS$59-83+1)/$NU$59,$NN$59/$NT$59)),0)</f>
        <v/>
      </c>
      <c r="CJ59" s="402">
        <f>IF(AND(84&gt;=$NR$59,84&lt;=$NS$59),IF($NP$59="Single_Point",IF(84=$NR$59,$NN$59,0),IF($NP$59="Bell_Curve",$NN$59*(84-$NR$59+1)*($NS$59-84+1)/$NU$59,$NN$59/$NT$59)),0)</f>
        <v/>
      </c>
      <c r="CK59" s="402">
        <f>IF(AND(85&gt;=$NR$59,85&lt;=$NS$59),IF($NP$59="Single_Point",IF(85=$NR$59,$NN$59,0),IF($NP$59="Bell_Curve",$NN$59*(85-$NR$59+1)*($NS$59-85+1)/$NU$59,$NN$59/$NT$59)),0)</f>
        <v/>
      </c>
      <c r="CL59" s="402">
        <f>IF(AND(86&gt;=$NR$59,86&lt;=$NS$59),IF($NP$59="Single_Point",IF(86=$NR$59,$NN$59,0),IF($NP$59="Bell_Curve",$NN$59*(86-$NR$59+1)*($NS$59-86+1)/$NU$59,$NN$59/$NT$59)),0)</f>
        <v/>
      </c>
      <c r="CM59" s="402">
        <f>IF(AND(87&gt;=$NR$59,87&lt;=$NS$59),IF($NP$59="Single_Point",IF(87=$NR$59,$NN$59,0),IF($NP$59="Bell_Curve",$NN$59*(87-$NR$59+1)*($NS$59-87+1)/$NU$59,$NN$59/$NT$59)),0)</f>
        <v/>
      </c>
      <c r="CN59" s="402">
        <f>IF(AND(88&gt;=$NR$59,88&lt;=$NS$59),IF($NP$59="Single_Point",IF(88=$NR$59,$NN$59,0),IF($NP$59="Bell_Curve",$NN$59*(88-$NR$59+1)*($NS$59-88+1)/$NU$59,$NN$59/$NT$59)),0)</f>
        <v/>
      </c>
      <c r="CO59" s="402">
        <f>IF(AND(89&gt;=$NR$59,89&lt;=$NS$59),IF($NP$59="Single_Point",IF(89=$NR$59,$NN$59,0),IF($NP$59="Bell_Curve",$NN$59*(89-$NR$59+1)*($NS$59-89+1)/$NU$59,$NN$59/$NT$59)),0)</f>
        <v/>
      </c>
      <c r="CP59" s="402">
        <f>IF(AND(90&gt;=$NR$59,90&lt;=$NS$59),IF($NP$59="Single_Point",IF(90=$NR$59,$NN$59,0),IF($NP$59="Bell_Curve",$NN$59*(90-$NR$59+1)*($NS$59-90+1)/$NU$59,$NN$59/$NT$59)),0)</f>
        <v/>
      </c>
      <c r="CQ59" s="402">
        <f>IF(AND(91&gt;=$NR$59,91&lt;=$NS$59),IF($NP$59="Single_Point",IF(91=$NR$59,$NN$59,0),IF($NP$59="Bell_Curve",$NN$59*(91-$NR$59+1)*($NS$59-91+1)/$NU$59,$NN$59/$NT$59)),0)</f>
        <v/>
      </c>
      <c r="CR59" s="402">
        <f>IF(AND(92&gt;=$NR$59,92&lt;=$NS$59),IF($NP$59="Single_Point",IF(92=$NR$59,$NN$59,0),IF($NP$59="Bell_Curve",$NN$59*(92-$NR$59+1)*($NS$59-92+1)/$NU$59,$NN$59/$NT$59)),0)</f>
        <v/>
      </c>
      <c r="CS59" s="402">
        <f>IF(AND(93&gt;=$NR$59,93&lt;=$NS$59),IF($NP$59="Single_Point",IF(93=$NR$59,$NN$59,0),IF($NP$59="Bell_Curve",$NN$59*(93-$NR$59+1)*($NS$59-93+1)/$NU$59,$NN$59/$NT$59)),0)</f>
        <v/>
      </c>
      <c r="CT59" s="402">
        <f>IF(AND(94&gt;=$NR$59,94&lt;=$NS$59),IF($NP$59="Single_Point",IF(94=$NR$59,$NN$59,0),IF($NP$59="Bell_Curve",$NN$59*(94-$NR$59+1)*($NS$59-94+1)/$NU$59,$NN$59/$NT$59)),0)</f>
        <v/>
      </c>
      <c r="CU59" s="402">
        <f>IF(AND(95&gt;=$NR$59,95&lt;=$NS$59),IF($NP$59="Single_Point",IF(95=$NR$59,$NN$59,0),IF($NP$59="Bell_Curve",$NN$59*(95-$NR$59+1)*($NS$59-95+1)/$NU$59,$NN$59/$NT$59)),0)</f>
        <v/>
      </c>
      <c r="CV59" s="402">
        <f>IF(AND(96&gt;=$NR$59,96&lt;=$NS$59),IF($NP$59="Single_Point",IF(96=$NR$59,$NN$59,0),IF($NP$59="Bell_Curve",$NN$59*(96-$NR$59+1)*($NS$59-96+1)/$NU$59,$NN$59/$NT$59)),0)</f>
        <v/>
      </c>
      <c r="CW59" s="402">
        <f>IF(AND(97&gt;=$NR$59,97&lt;=$NS$59),IF($NP$59="Single_Point",IF(97=$NR$59,$NN$59,0),IF($NP$59="Bell_Curve",$NN$59*(97-$NR$59+1)*($NS$59-97+1)/$NU$59,$NN$59/$NT$59)),0)</f>
        <v/>
      </c>
      <c r="CX59" s="402">
        <f>IF(AND(98&gt;=$NR$59,98&lt;=$NS$59),IF($NP$59="Single_Point",IF(98=$NR$59,$NN$59,0),IF($NP$59="Bell_Curve",$NN$59*(98-$NR$59+1)*($NS$59-98+1)/$NU$59,$NN$59/$NT$59)),0)</f>
        <v/>
      </c>
      <c r="CY59" s="402">
        <f>IF(AND(99&gt;=$NR$59,99&lt;=$NS$59),IF($NP$59="Single_Point",IF(99=$NR$59,$NN$59,0),IF($NP$59="Bell_Curve",$NN$59*(99-$NR$59+1)*($NS$59-99+1)/$NU$59,$NN$59/$NT$59)),0)</f>
        <v/>
      </c>
      <c r="CZ59" s="402">
        <f>IF(AND(100&gt;=$NR$59,100&lt;=$NS$59),IF($NP$59="Single_Point",IF(100=$NR$59,$NN$59,0),IF($NP$59="Bell_Curve",$NN$59*(100-$NR$59+1)*($NS$59-100+1)/$NU$59,$NN$59/$NT$59)),0)</f>
        <v/>
      </c>
      <c r="DA59" s="402">
        <f>IF(AND(101&gt;=$NR$59,101&lt;=$NS$59),IF($NP$59="Single_Point",IF(101=$NR$59,$NN$59,0),IF($NP$59="Bell_Curve",$NN$59*(101-$NR$59+1)*($NS$59-101+1)/$NU$59,$NN$59/$NT$59)),0)</f>
        <v/>
      </c>
      <c r="DB59" s="402">
        <f>IF(AND(102&gt;=$NR$59,102&lt;=$NS$59),IF($NP$59="Single_Point",IF(102=$NR$59,$NN$59,0),IF($NP$59="Bell_Curve",$NN$59*(102-$NR$59+1)*($NS$59-102+1)/$NU$59,$NN$59/$NT$59)),0)</f>
        <v/>
      </c>
      <c r="DC59" s="402">
        <f>IF(AND(103&gt;=$NR$59,103&lt;=$NS$59),IF($NP$59="Single_Point",IF(103=$NR$59,$NN$59,0),IF($NP$59="Bell_Curve",$NN$59*(103-$NR$59+1)*($NS$59-103+1)/$NU$59,$NN$59/$NT$59)),0)</f>
        <v/>
      </c>
      <c r="DD59" s="402">
        <f>IF(AND(104&gt;=$NR$59,104&lt;=$NS$59),IF($NP$59="Single_Point",IF(104=$NR$59,$NN$59,0),IF($NP$59="Bell_Curve",$NN$59*(104-$NR$59+1)*($NS$59-104+1)/$NU$59,$NN$59/$NT$59)),0)</f>
        <v/>
      </c>
      <c r="DE59" s="402">
        <f>IF(AND(105&gt;=$NR$59,105&lt;=$NS$59),IF($NP$59="Single_Point",IF(105=$NR$59,$NN$59,0),IF($NP$59="Bell_Curve",$NN$59*(105-$NR$59+1)*($NS$59-105+1)/$NU$59,$NN$59/$NT$59)),0)</f>
        <v/>
      </c>
      <c r="DF59" s="402">
        <f>IF(AND(106&gt;=$NR$59,106&lt;=$NS$59),IF($NP$59="Single_Point",IF(106=$NR$59,$NN$59,0),IF($NP$59="Bell_Curve",$NN$59*(106-$NR$59+1)*($NS$59-106+1)/$NU$59,$NN$59/$NT$59)),0)</f>
        <v/>
      </c>
      <c r="DG59" s="402">
        <f>IF(AND(107&gt;=$NR$59,107&lt;=$NS$59),IF($NP$59="Single_Point",IF(107=$NR$59,$NN$59,0),IF($NP$59="Bell_Curve",$NN$59*(107-$NR$59+1)*($NS$59-107+1)/$NU$59,$NN$59/$NT$59)),0)</f>
        <v/>
      </c>
      <c r="DH59" s="402">
        <f>IF(AND(108&gt;=$NR$59,108&lt;=$NS$59),IF($NP$59="Single_Point",IF(108=$NR$59,$NN$59,0),IF($NP$59="Bell_Curve",$NN$59*(108-$NR$59+1)*($NS$59-108+1)/$NU$59,$NN$59/$NT$59)),0)</f>
        <v/>
      </c>
      <c r="DI59" s="402">
        <f>IF(AND(109&gt;=$NR$59,109&lt;=$NS$59),IF($NP$59="Single_Point",IF(109=$NR$59,$NN$59,0),IF($NP$59="Bell_Curve",$NN$59*(109-$NR$59+1)*($NS$59-109+1)/$NU$59,$NN$59/$NT$59)),0)</f>
        <v/>
      </c>
      <c r="DJ59" s="402">
        <f>IF(AND(110&gt;=$NR$59,110&lt;=$NS$59),IF($NP$59="Single_Point",IF(110=$NR$59,$NN$59,0),IF($NP$59="Bell_Curve",$NN$59*(110-$NR$59+1)*($NS$59-110+1)/$NU$59,$NN$59/$NT$59)),0)</f>
        <v/>
      </c>
      <c r="DK59" s="402">
        <f>IF(AND(111&gt;=$NR$59,111&lt;=$NS$59),IF($NP$59="Single_Point",IF(111=$NR$59,$NN$59,0),IF($NP$59="Bell_Curve",$NN$59*(111-$NR$59+1)*($NS$59-111+1)/$NU$59,$NN$59/$NT$59)),0)</f>
        <v/>
      </c>
      <c r="DL59" s="402">
        <f>IF(AND(112&gt;=$NR$59,112&lt;=$NS$59),IF($NP$59="Single_Point",IF(112=$NR$59,$NN$59,0),IF($NP$59="Bell_Curve",$NN$59*(112-$NR$59+1)*($NS$59-112+1)/$NU$59,$NN$59/$NT$59)),0)</f>
        <v/>
      </c>
      <c r="DM59" s="402">
        <f>IF(AND(113&gt;=$NR$59,113&lt;=$NS$59),IF($NP$59="Single_Point",IF(113=$NR$59,$NN$59,0),IF($NP$59="Bell_Curve",$NN$59*(113-$NR$59+1)*($NS$59-113+1)/$NU$59,$NN$59/$NT$59)),0)</f>
        <v/>
      </c>
      <c r="DN59" s="402">
        <f>IF(AND(114&gt;=$NR$59,114&lt;=$NS$59),IF($NP$59="Single_Point",IF(114=$NR$59,$NN$59,0),IF($NP$59="Bell_Curve",$NN$59*(114-$NR$59+1)*($NS$59-114+1)/$NU$59,$NN$59/$NT$59)),0)</f>
        <v/>
      </c>
      <c r="DO59" s="402">
        <f>IF(AND(115&gt;=$NR$59,115&lt;=$NS$59),IF($NP$59="Single_Point",IF(115=$NR$59,$NN$59,0),IF($NP$59="Bell_Curve",$NN$59*(115-$NR$59+1)*($NS$59-115+1)/$NU$59,$NN$59/$NT$59)),0)</f>
        <v/>
      </c>
      <c r="DP59" s="402">
        <f>IF(AND(116&gt;=$NR$59,116&lt;=$NS$59),IF($NP$59="Single_Point",IF(116=$NR$59,$NN$59,0),IF($NP$59="Bell_Curve",$NN$59*(116-$NR$59+1)*($NS$59-116+1)/$NU$59,$NN$59/$NT$59)),0)</f>
        <v/>
      </c>
      <c r="DQ59" s="402">
        <f>IF(AND(117&gt;=$NR$59,117&lt;=$NS$59),IF($NP$59="Single_Point",IF(117=$NR$59,$NN$59,0),IF($NP$59="Bell_Curve",$NN$59*(117-$NR$59+1)*($NS$59-117+1)/$NU$59,$NN$59/$NT$59)),0)</f>
        <v/>
      </c>
      <c r="DR59" s="402">
        <f>IF(AND(118&gt;=$NR$59,118&lt;=$NS$59),IF($NP$59="Single_Point",IF(118=$NR$59,$NN$59,0),IF($NP$59="Bell_Curve",$NN$59*(118-$NR$59+1)*($NS$59-118+1)/$NU$59,$NN$59/$NT$59)),0)</f>
        <v/>
      </c>
      <c r="DS59" s="402">
        <f>IF(AND(119&gt;=$NR$59,119&lt;=$NS$59),IF($NP$59="Single_Point",IF(119=$NR$59,$NN$59,0),IF($NP$59="Bell_Curve",$NN$59*(119-$NR$59+1)*($NS$59-119+1)/$NU$59,$NN$59/$NT$59)),0)</f>
        <v/>
      </c>
      <c r="DT59" s="402">
        <f>IF(AND(120&gt;=$NR$59,120&lt;=$NS$59),IF($NP$59="Single_Point",IF(120=$NR$59,$NN$59,0),IF($NP$59="Bell_Curve",$NN$59*(120-$NR$59+1)*($NS$59-120+1)/$NU$59,$NN$59/$NT$59)),0)</f>
        <v/>
      </c>
      <c r="DU59" s="402">
        <f>IF(AND(121&gt;=$NR$59,121&lt;=$NS$59),IF($NP$59="Single_Point",IF(121=$NR$59,$NN$59,0),IF($NP$59="Bell_Curve",$NN$59*(121-$NR$59+1)*($NS$59-121+1)/$NU$59,$NN$59/$NT$59)),0)</f>
        <v/>
      </c>
      <c r="DV59" s="402">
        <f>IF(AND(122&gt;=$NR$59,122&lt;=$NS$59),IF($NP$59="Single_Point",IF(122=$NR$59,$NN$59,0),IF($NP$59="Bell_Curve",$NN$59*(122-$NR$59+1)*($NS$59-122+1)/$NU$59,$NN$59/$NT$59)),0)</f>
        <v/>
      </c>
      <c r="DW59" s="402">
        <f>IF(AND(123&gt;=$NR$59,123&lt;=$NS$59),IF($NP$59="Single_Point",IF(123=$NR$59,$NN$59,0),IF($NP$59="Bell_Curve",$NN$59*(123-$NR$59+1)*($NS$59-123+1)/$NU$59,$NN$59/$NT$59)),0)</f>
        <v/>
      </c>
      <c r="DX59" s="402">
        <f>IF(AND(124&gt;=$NR$59,124&lt;=$NS$59),IF($NP$59="Single_Point",IF(124=$NR$59,$NN$59,0),IF($NP$59="Bell_Curve",$NN$59*(124-$NR$59+1)*($NS$59-124+1)/$NU$59,$NN$59/$NT$59)),0)</f>
        <v/>
      </c>
      <c r="DY59" s="402">
        <f>IF(AND(125&gt;=$NR$59,125&lt;=$NS$59),IF($NP$59="Single_Point",IF(125=$NR$59,$NN$59,0),IF($NP$59="Bell_Curve",$NN$59*(125-$NR$59+1)*($NS$59-125+1)/$NU$59,$NN$59/$NT$59)),0)</f>
        <v/>
      </c>
      <c r="DZ59" s="402">
        <f>IF(AND(126&gt;=$NR$59,126&lt;=$NS$59),IF($NP$59="Single_Point",IF(126=$NR$59,$NN$59,0),IF($NP$59="Bell_Curve",$NN$59*(126-$NR$59+1)*($NS$59-126+1)/$NU$59,$NN$59/$NT$59)),0)</f>
        <v/>
      </c>
      <c r="EA59" s="402">
        <f>IF(AND(127&gt;=$NR$59,127&lt;=$NS$59),IF($NP$59="Single_Point",IF(127=$NR$59,$NN$59,0),IF($NP$59="Bell_Curve",$NN$59*(127-$NR$59+1)*($NS$59-127+1)/$NU$59,$NN$59/$NT$59)),0)</f>
        <v/>
      </c>
      <c r="EB59" s="402">
        <f>IF(AND(128&gt;=$NR$59,128&lt;=$NS$59),IF($NP$59="Single_Point",IF(128=$NR$59,$NN$59,0),IF($NP$59="Bell_Curve",$NN$59*(128-$NR$59+1)*($NS$59-128+1)/$NU$59,$NN$59/$NT$59)),0)</f>
        <v/>
      </c>
      <c r="EC59" s="402">
        <f>IF(AND(129&gt;=$NR$59,129&lt;=$NS$59),IF($NP$59="Single_Point",IF(129=$NR$59,$NN$59,0),IF($NP$59="Bell_Curve",$NN$59*(129-$NR$59+1)*($NS$59-129+1)/$NU$59,$NN$59/$NT$59)),0)</f>
        <v/>
      </c>
      <c r="ED59" s="402">
        <f>IF(AND(130&gt;=$NR$59,130&lt;=$NS$59),IF($NP$59="Single_Point",IF(130=$NR$59,$NN$59,0),IF($NP$59="Bell_Curve",$NN$59*(130-$NR$59+1)*($NS$59-130+1)/$NU$59,$NN$59/$NT$59)),0)</f>
        <v/>
      </c>
      <c r="EE59" s="402">
        <f>IF(AND(131&gt;=$NR$59,131&lt;=$NS$59),IF($NP$59="Single_Point",IF(131=$NR$59,$NN$59,0),IF($NP$59="Bell_Curve",$NN$59*(131-$NR$59+1)*($NS$59-131+1)/$NU$59,$NN$59/$NT$59)),0)</f>
        <v/>
      </c>
      <c r="EF59" s="402">
        <f>IF(AND(132&gt;=$NR$59,132&lt;=$NS$59),IF($NP$59="Single_Point",IF(132=$NR$59,$NN$59,0),IF($NP$59="Bell_Curve",$NN$59*(132-$NR$59+1)*($NS$59-132+1)/$NU$59,$NN$59/$NT$59)),0)</f>
        <v/>
      </c>
      <c r="EG59" s="402">
        <f>IF(AND(133&gt;=$NR$59,133&lt;=$NS$59),IF($NP$59="Single_Point",IF(133=$NR$59,$NN$59,0),IF($NP$59="Bell_Curve",$NN$59*(133-$NR$59+1)*($NS$59-133+1)/$NU$59,$NN$59/$NT$59)),0)</f>
        <v/>
      </c>
      <c r="EH59" s="402">
        <f>IF(AND(134&gt;=$NR$59,134&lt;=$NS$59),IF($NP$59="Single_Point",IF(134=$NR$59,$NN$59,0),IF($NP$59="Bell_Curve",$NN$59*(134-$NR$59+1)*($NS$59-134+1)/$NU$59,$NN$59/$NT$59)),0)</f>
        <v/>
      </c>
      <c r="EI59" s="402">
        <f>IF(AND(135&gt;=$NR$59,135&lt;=$NS$59),IF($NP$59="Single_Point",IF(135=$NR$59,$NN$59,0),IF($NP$59="Bell_Curve",$NN$59*(135-$NR$59+1)*($NS$59-135+1)/$NU$59,$NN$59/$NT$59)),0)</f>
        <v/>
      </c>
      <c r="EJ59" s="402">
        <f>IF(AND(136&gt;=$NR$59,136&lt;=$NS$59),IF($NP$59="Single_Point",IF(136=$NR$59,$NN$59,0),IF($NP$59="Bell_Curve",$NN$59*(136-$NR$59+1)*($NS$59-136+1)/$NU$59,$NN$59/$NT$59)),0)</f>
        <v/>
      </c>
      <c r="EK59" s="402">
        <f>IF(AND(137&gt;=$NR$59,137&lt;=$NS$59),IF($NP$59="Single_Point",IF(137=$NR$59,$NN$59,0),IF($NP$59="Bell_Curve",$NN$59*(137-$NR$59+1)*($NS$59-137+1)/$NU$59,$NN$59/$NT$59)),0)</f>
        <v/>
      </c>
      <c r="EL59" s="402">
        <f>IF(AND(138&gt;=$NR$59,138&lt;=$NS$59),IF($NP$59="Single_Point",IF(138=$NR$59,$NN$59,0),IF($NP$59="Bell_Curve",$NN$59*(138-$NR$59+1)*($NS$59-138+1)/$NU$59,$NN$59/$NT$59)),0)</f>
        <v/>
      </c>
      <c r="EM59" s="402">
        <f>IF(AND(139&gt;=$NR$59,139&lt;=$NS$59),IF($NP$59="Single_Point",IF(139=$NR$59,$NN$59,0),IF($NP$59="Bell_Curve",$NN$59*(139-$NR$59+1)*($NS$59-139+1)/$NU$59,$NN$59/$NT$59)),0)</f>
        <v/>
      </c>
      <c r="EN59" s="402">
        <f>IF(AND(140&gt;=$NR$59,140&lt;=$NS$59),IF($NP$59="Single_Point",IF(140=$NR$59,$NN$59,0),IF($NP$59="Bell_Curve",$NN$59*(140-$NR$59+1)*($NS$59-140+1)/$NU$59,$NN$59/$NT$59)),0)</f>
        <v/>
      </c>
      <c r="EO59" s="402">
        <f>IF(AND(141&gt;=$NR$59,141&lt;=$NS$59),IF($NP$59="Single_Point",IF(141=$NR$59,$NN$59,0),IF($NP$59="Bell_Curve",$NN$59*(141-$NR$59+1)*($NS$59-141+1)/$NU$59,$NN$59/$NT$59)),0)</f>
        <v/>
      </c>
      <c r="EP59" s="402">
        <f>IF(AND(142&gt;=$NR$59,142&lt;=$NS$59),IF($NP$59="Single_Point",IF(142=$NR$59,$NN$59,0),IF($NP$59="Bell_Curve",$NN$59*(142-$NR$59+1)*($NS$59-142+1)/$NU$59,$NN$59/$NT$59)),0)</f>
        <v/>
      </c>
      <c r="EQ59" s="402">
        <f>IF(AND(143&gt;=$NR$59,143&lt;=$NS$59),IF($NP$59="Single_Point",IF(143=$NR$59,$NN$59,0),IF($NP$59="Bell_Curve",$NN$59*(143-$NR$59+1)*($NS$59-143+1)/$NU$59,$NN$59/$NT$59)),0)</f>
        <v/>
      </c>
      <c r="ER59" s="402">
        <f>IF(AND(144&gt;=$NR$59,144&lt;=$NS$59),IF($NP$59="Single_Point",IF(144=$NR$59,$NN$59,0),IF($NP$59="Bell_Curve",$NN$59*(144-$NR$59+1)*($NS$59-144+1)/$NU$59,$NN$59/$NT$59)),0)</f>
        <v/>
      </c>
      <c r="ES59" s="402">
        <f>IF(AND(145&gt;=$NR$59,145&lt;=$NS$59),IF($NP$59="Single_Point",IF(145=$NR$59,$NN$59,0),IF($NP$59="Bell_Curve",$NN$59*(145-$NR$59+1)*($NS$59-145+1)/$NU$59,$NN$59/$NT$59)),0)</f>
        <v/>
      </c>
      <c r="ET59" s="402">
        <f>IF(AND(146&gt;=$NR$59,146&lt;=$NS$59),IF($NP$59="Single_Point",IF(146=$NR$59,$NN$59,0),IF($NP$59="Bell_Curve",$NN$59*(146-$NR$59+1)*($NS$59-146+1)/$NU$59,$NN$59/$NT$59)),0)</f>
        <v/>
      </c>
      <c r="EU59" s="402">
        <f>IF(AND(147&gt;=$NR$59,147&lt;=$NS$59),IF($NP$59="Single_Point",IF(147=$NR$59,$NN$59,0),IF($NP$59="Bell_Curve",$NN$59*(147-$NR$59+1)*($NS$59-147+1)/$NU$59,$NN$59/$NT$59)),0)</f>
        <v/>
      </c>
      <c r="EV59" s="402">
        <f>IF(AND(148&gt;=$NR$59,148&lt;=$NS$59),IF($NP$59="Single_Point",IF(148=$NR$59,$NN$59,0),IF($NP$59="Bell_Curve",$NN$59*(148-$NR$59+1)*($NS$59-148+1)/$NU$59,$NN$59/$NT$59)),0)</f>
        <v/>
      </c>
      <c r="EW59" s="402">
        <f>IF(AND(149&gt;=$NR$59,149&lt;=$NS$59),IF($NP$59="Single_Point",IF(149=$NR$59,$NN$59,0),IF($NP$59="Bell_Curve",$NN$59*(149-$NR$59+1)*($NS$59-149+1)/$NU$59,$NN$59/$NT$59)),0)</f>
        <v/>
      </c>
      <c r="EX59" s="402">
        <f>IF(AND(150&gt;=$NR$59,150&lt;=$NS$59),IF($NP$59="Single_Point",IF(150=$NR$59,$NN$59,0),IF($NP$59="Bell_Curve",$NN$59*(150-$NR$59+1)*($NS$59-150+1)/$NU$59,$NN$59/$NT$59)),0)</f>
        <v/>
      </c>
      <c r="EY59" s="402">
        <f>IF(AND(151&gt;=$NR$59,151&lt;=$NS$59),IF($NP$59="Single_Point",IF(151=$NR$59,$NN$59,0),IF($NP$59="Bell_Curve",$NN$59*(151-$NR$59+1)*($NS$59-151+1)/$NU$59,$NN$59/$NT$59)),0)</f>
        <v/>
      </c>
      <c r="EZ59" s="402">
        <f>IF(AND(152&gt;=$NR$59,152&lt;=$NS$59),IF($NP$59="Single_Point",IF(152=$NR$59,$NN$59,0),IF($NP$59="Bell_Curve",$NN$59*(152-$NR$59+1)*($NS$59-152+1)/$NU$59,$NN$59/$NT$59)),0)</f>
        <v/>
      </c>
      <c r="FA59" s="402">
        <f>IF(AND(153&gt;=$NR$59,153&lt;=$NS$59),IF($NP$59="Single_Point",IF(153=$NR$59,$NN$59,0),IF($NP$59="Bell_Curve",$NN$59*(153-$NR$59+1)*($NS$59-153+1)/$NU$59,$NN$59/$NT$59)),0)</f>
        <v/>
      </c>
      <c r="FB59" s="402">
        <f>IF(AND(154&gt;=$NR$59,154&lt;=$NS$59),IF($NP$59="Single_Point",IF(154=$NR$59,$NN$59,0),IF($NP$59="Bell_Curve",$NN$59*(154-$NR$59+1)*($NS$59-154+1)/$NU$59,$NN$59/$NT$59)),0)</f>
        <v/>
      </c>
      <c r="FC59" s="402">
        <f>IF(AND(155&gt;=$NR$59,155&lt;=$NS$59),IF($NP$59="Single_Point",IF(155=$NR$59,$NN$59,0),IF($NP$59="Bell_Curve",$NN$59*(155-$NR$59+1)*($NS$59-155+1)/$NU$59,$NN$59/$NT$59)),0)</f>
        <v/>
      </c>
      <c r="FD59" s="402">
        <f>IF(AND(156&gt;=$NR$59,156&lt;=$NS$59),IF($NP$59="Single_Point",IF(156=$NR$59,$NN$59,0),IF($NP$59="Bell_Curve",$NN$59*(156-$NR$59+1)*($NS$59-156+1)/$NU$59,$NN$59/$NT$59)),0)</f>
        <v/>
      </c>
      <c r="FE59" s="402">
        <f>IF(AND(157&gt;=$NR$59,157&lt;=$NS$59),IF($NP$59="Single_Point",IF(157=$NR$59,$NN$59,0),IF($NP$59="Bell_Curve",$NN$59*(157-$NR$59+1)*($NS$59-157+1)/$NU$59,$NN$59/$NT$59)),0)</f>
        <v/>
      </c>
      <c r="FF59" s="402">
        <f>IF(AND(158&gt;=$NR$59,158&lt;=$NS$59),IF($NP$59="Single_Point",IF(158=$NR$59,$NN$59,0),IF($NP$59="Bell_Curve",$NN$59*(158-$NR$59+1)*($NS$59-158+1)/$NU$59,$NN$59/$NT$59)),0)</f>
        <v/>
      </c>
      <c r="FG59" s="402">
        <f>IF(AND(159&gt;=$NR$59,159&lt;=$NS$59),IF($NP$59="Single_Point",IF(159=$NR$59,$NN$59,0),IF($NP$59="Bell_Curve",$NN$59*(159-$NR$59+1)*($NS$59-159+1)/$NU$59,$NN$59/$NT$59)),0)</f>
        <v/>
      </c>
      <c r="FH59" s="402">
        <f>IF(AND(160&gt;=$NR$59,160&lt;=$NS$59),IF($NP$59="Single_Point",IF(160=$NR$59,$NN$59,0),IF($NP$59="Bell_Curve",$NN$59*(160-$NR$59+1)*($NS$59-160+1)/$NU$59,$NN$59/$NT$59)),0)</f>
        <v/>
      </c>
      <c r="FI59" s="402">
        <f>IF(AND(161&gt;=$NR$59,161&lt;=$NS$59),IF($NP$59="Single_Point",IF(161=$NR$59,$NN$59,0),IF($NP$59="Bell_Curve",$NN$59*(161-$NR$59+1)*($NS$59-161+1)/$NU$59,$NN$59/$NT$59)),0)</f>
        <v/>
      </c>
      <c r="FJ59" s="402">
        <f>IF(AND(162&gt;=$NR$59,162&lt;=$NS$59),IF($NP$59="Single_Point",IF(162=$NR$59,$NN$59,0),IF($NP$59="Bell_Curve",$NN$59*(162-$NR$59+1)*($NS$59-162+1)/$NU$59,$NN$59/$NT$59)),0)</f>
        <v/>
      </c>
      <c r="FK59" s="402">
        <f>IF(AND(163&gt;=$NR$59,163&lt;=$NS$59),IF($NP$59="Single_Point",IF(163=$NR$59,$NN$59,0),IF($NP$59="Bell_Curve",$NN$59*(163-$NR$59+1)*($NS$59-163+1)/$NU$59,$NN$59/$NT$59)),0)</f>
        <v/>
      </c>
      <c r="FL59" s="402">
        <f>IF(AND(164&gt;=$NR$59,164&lt;=$NS$59),IF($NP$59="Single_Point",IF(164=$NR$59,$NN$59,0),IF($NP$59="Bell_Curve",$NN$59*(164-$NR$59+1)*($NS$59-164+1)/$NU$59,$NN$59/$NT$59)),0)</f>
        <v/>
      </c>
      <c r="FM59" s="402">
        <f>IF(AND(165&gt;=$NR$59,165&lt;=$NS$59),IF($NP$59="Single_Point",IF(165=$NR$59,$NN$59,0),IF($NP$59="Bell_Curve",$NN$59*(165-$NR$59+1)*($NS$59-165+1)/$NU$59,$NN$59/$NT$59)),0)</f>
        <v/>
      </c>
      <c r="FN59" s="402">
        <f>IF(AND(166&gt;=$NR$59,166&lt;=$NS$59),IF($NP$59="Single_Point",IF(166=$NR$59,$NN$59,0),IF($NP$59="Bell_Curve",$NN$59*(166-$NR$59+1)*($NS$59-166+1)/$NU$59,$NN$59/$NT$59)),0)</f>
        <v/>
      </c>
      <c r="FO59" s="402">
        <f>IF(AND(167&gt;=$NR$59,167&lt;=$NS$59),IF($NP$59="Single_Point",IF(167=$NR$59,$NN$59,0),IF($NP$59="Bell_Curve",$NN$59*(167-$NR$59+1)*($NS$59-167+1)/$NU$59,$NN$59/$NT$59)),0)</f>
        <v/>
      </c>
      <c r="FP59" s="402">
        <f>IF(AND(168&gt;=$NR$59,168&lt;=$NS$59),IF($NP$59="Single_Point",IF(168=$NR$59,$NN$59,0),IF($NP$59="Bell_Curve",$NN$59*(168-$NR$59+1)*($NS$59-168+1)/$NU$59,$NN$59/$NT$59)),0)</f>
        <v/>
      </c>
      <c r="FQ59" s="402">
        <f>IF(AND(169&gt;=$NR$59,169&lt;=$NS$59),IF($NP$59="Single_Point",IF(169=$NR$59,$NN$59,0),IF($NP$59="Bell_Curve",$NN$59*(169-$NR$59+1)*($NS$59-169+1)/$NU$59,$NN$59/$NT$59)),0)</f>
        <v/>
      </c>
      <c r="FR59" s="402">
        <f>IF(AND(170&gt;=$NR$59,170&lt;=$NS$59),IF($NP$59="Single_Point",IF(170=$NR$59,$NN$59,0),IF($NP$59="Bell_Curve",$NN$59*(170-$NR$59+1)*($NS$59-170+1)/$NU$59,$NN$59/$NT$59)),0)</f>
        <v/>
      </c>
      <c r="FS59" s="402">
        <f>IF(AND(171&gt;=$NR$59,171&lt;=$NS$59),IF($NP$59="Single_Point",IF(171=$NR$59,$NN$59,0),IF($NP$59="Bell_Curve",$NN$59*(171-$NR$59+1)*($NS$59-171+1)/$NU$59,$NN$59/$NT$59)),0)</f>
        <v/>
      </c>
      <c r="FT59" s="402">
        <f>IF(AND(172&gt;=$NR$59,172&lt;=$NS$59),IF($NP$59="Single_Point",IF(172=$NR$59,$NN$59,0),IF($NP$59="Bell_Curve",$NN$59*(172-$NR$59+1)*($NS$59-172+1)/$NU$59,$NN$59/$NT$59)),0)</f>
        <v/>
      </c>
      <c r="FU59" s="402">
        <f>IF(AND(173&gt;=$NR$59,173&lt;=$NS$59),IF($NP$59="Single_Point",IF(173=$NR$59,$NN$59,0),IF($NP$59="Bell_Curve",$NN$59*(173-$NR$59+1)*($NS$59-173+1)/$NU$59,$NN$59/$NT$59)),0)</f>
        <v/>
      </c>
      <c r="FV59" s="402">
        <f>IF(AND(174&gt;=$NR$59,174&lt;=$NS$59),IF($NP$59="Single_Point",IF(174=$NR$59,$NN$59,0),IF($NP$59="Bell_Curve",$NN$59*(174-$NR$59+1)*($NS$59-174+1)/$NU$59,$NN$59/$NT$59)),0)</f>
        <v/>
      </c>
      <c r="FW59" s="402">
        <f>IF(AND(175&gt;=$NR$59,175&lt;=$NS$59),IF($NP$59="Single_Point",IF(175=$NR$59,$NN$59,0),IF($NP$59="Bell_Curve",$NN$59*(175-$NR$59+1)*($NS$59-175+1)/$NU$59,$NN$59/$NT$59)),0)</f>
        <v/>
      </c>
      <c r="FX59" s="402">
        <f>IF(AND(176&gt;=$NR$59,176&lt;=$NS$59),IF($NP$59="Single_Point",IF(176=$NR$59,$NN$59,0),IF($NP$59="Bell_Curve",$NN$59*(176-$NR$59+1)*($NS$59-176+1)/$NU$59,$NN$59/$NT$59)),0)</f>
        <v/>
      </c>
      <c r="FY59" s="402">
        <f>IF(AND(177&gt;=$NR$59,177&lt;=$NS$59),IF($NP$59="Single_Point",IF(177=$NR$59,$NN$59,0),IF($NP$59="Bell_Curve",$NN$59*(177-$NR$59+1)*($NS$59-177+1)/$NU$59,$NN$59/$NT$59)),0)</f>
        <v/>
      </c>
      <c r="FZ59" s="402">
        <f>IF(AND(178&gt;=$NR$59,178&lt;=$NS$59),IF($NP$59="Single_Point",IF(178=$NR$59,$NN$59,0),IF($NP$59="Bell_Curve",$NN$59*(178-$NR$59+1)*($NS$59-178+1)/$NU$59,$NN$59/$NT$59)),0)</f>
        <v/>
      </c>
      <c r="GA59" s="402">
        <f>IF(AND(179&gt;=$NR$59,179&lt;=$NS$59),IF($NP$59="Single_Point",IF(179=$NR$59,$NN$59,0),IF($NP$59="Bell_Curve",$NN$59*(179-$NR$59+1)*($NS$59-179+1)/$NU$59,$NN$59/$NT$59)),0)</f>
        <v/>
      </c>
      <c r="GB59" s="402">
        <f>IF(AND(180&gt;=$NR$59,180&lt;=$NS$59),IF($NP$59="Single_Point",IF(180=$NR$59,$NN$59,0),IF($NP$59="Bell_Curve",$NN$59*(180-$NR$59+1)*($NS$59-180+1)/$NU$59,$NN$59/$NT$59)),0)</f>
        <v/>
      </c>
      <c r="GC59" s="402">
        <f>IF(AND(181&gt;=$NR$59,181&lt;=$NS$59),IF($NP$59="Single_Point",IF(181=$NR$59,$NN$59,0),IF($NP$59="Bell_Curve",$NN$59*(181-$NR$59+1)*($NS$59-181+1)/$NU$59,$NN$59/$NT$59)),0)</f>
        <v/>
      </c>
      <c r="GD59" s="402">
        <f>IF(AND(182&gt;=$NR$59,182&lt;=$NS$59),IF($NP$59="Single_Point",IF(182=$NR$59,$NN$59,0),IF($NP$59="Bell_Curve",$NN$59*(182-$NR$59+1)*($NS$59-182+1)/$NU$59,$NN$59/$NT$59)),0)</f>
        <v/>
      </c>
      <c r="GE59" s="402">
        <f>IF(AND(183&gt;=$NR$59,183&lt;=$NS$59),IF($NP$59="Single_Point",IF(183=$NR$59,$NN$59,0),IF($NP$59="Bell_Curve",$NN$59*(183-$NR$59+1)*($NS$59-183+1)/$NU$59,$NN$59/$NT$59)),0)</f>
        <v/>
      </c>
      <c r="GF59" s="402">
        <f>IF(AND(184&gt;=$NR$59,184&lt;=$NS$59),IF($NP$59="Single_Point",IF(184=$NR$59,$NN$59,0),IF($NP$59="Bell_Curve",$NN$59*(184-$NR$59+1)*($NS$59-184+1)/$NU$59,$NN$59/$NT$59)),0)</f>
        <v/>
      </c>
      <c r="GG59" s="402">
        <f>IF(AND(185&gt;=$NR$59,185&lt;=$NS$59),IF($NP$59="Single_Point",IF(185=$NR$59,$NN$59,0),IF($NP$59="Bell_Curve",$NN$59*(185-$NR$59+1)*($NS$59-185+1)/$NU$59,$NN$59/$NT$59)),0)</f>
        <v/>
      </c>
      <c r="GH59" s="402">
        <f>IF(AND(186&gt;=$NR$59,186&lt;=$NS$59),IF($NP$59="Single_Point",IF(186=$NR$59,$NN$59,0),IF($NP$59="Bell_Curve",$NN$59*(186-$NR$59+1)*($NS$59-186+1)/$NU$59,$NN$59/$NT$59)),0)</f>
        <v/>
      </c>
      <c r="GI59" s="402">
        <f>IF(AND(187&gt;=$NR$59,187&lt;=$NS$59),IF($NP$59="Single_Point",IF(187=$NR$59,$NN$59,0),IF($NP$59="Bell_Curve",$NN$59*(187-$NR$59+1)*($NS$59-187+1)/$NU$59,$NN$59/$NT$59)),0)</f>
        <v/>
      </c>
      <c r="GJ59" s="402">
        <f>IF(AND(188&gt;=$NR$59,188&lt;=$NS$59),IF($NP$59="Single_Point",IF(188=$NR$59,$NN$59,0),IF($NP$59="Bell_Curve",$NN$59*(188-$NR$59+1)*($NS$59-188+1)/$NU$59,$NN$59/$NT$59)),0)</f>
        <v/>
      </c>
      <c r="GK59" s="402">
        <f>IF(AND(189&gt;=$NR$59,189&lt;=$NS$59),IF($NP$59="Single_Point",IF(189=$NR$59,$NN$59,0),IF($NP$59="Bell_Curve",$NN$59*(189-$NR$59+1)*($NS$59-189+1)/$NU$59,$NN$59/$NT$59)),0)</f>
        <v/>
      </c>
      <c r="GL59" s="402">
        <f>IF(AND(190&gt;=$NR$59,190&lt;=$NS$59),IF($NP$59="Single_Point",IF(190=$NR$59,$NN$59,0),IF($NP$59="Bell_Curve",$NN$59*(190-$NR$59+1)*($NS$59-190+1)/$NU$59,$NN$59/$NT$59)),0)</f>
        <v/>
      </c>
      <c r="GM59" s="402">
        <f>IF(AND(191&gt;=$NR$59,191&lt;=$NS$59),IF($NP$59="Single_Point",IF(191=$NR$59,$NN$59,0),IF($NP$59="Bell_Curve",$NN$59*(191-$NR$59+1)*($NS$59-191+1)/$NU$59,$NN$59/$NT$59)),0)</f>
        <v/>
      </c>
      <c r="GN59" s="402">
        <f>IF(AND(192&gt;=$NR$59,192&lt;=$NS$59),IF($NP$59="Single_Point",IF(192=$NR$59,$NN$59,0),IF($NP$59="Bell_Curve",$NN$59*(192-$NR$59+1)*($NS$59-192+1)/$NU$59,$NN$59/$NT$59)),0)</f>
        <v/>
      </c>
      <c r="GO59" s="402">
        <f>IF(AND(193&gt;=$NR$59,193&lt;=$NS$59),IF($NP$59="Single_Point",IF(193=$NR$59,$NN$59,0),IF($NP$59="Bell_Curve",$NN$59*(193-$NR$59+1)*($NS$59-193+1)/$NU$59,$NN$59/$NT$59)),0)</f>
        <v/>
      </c>
      <c r="GP59" s="402">
        <f>IF(AND(194&gt;=$NR$59,194&lt;=$NS$59),IF($NP$59="Single_Point",IF(194=$NR$59,$NN$59,0),IF($NP$59="Bell_Curve",$NN$59*(194-$NR$59+1)*($NS$59-194+1)/$NU$59,$NN$59/$NT$59)),0)</f>
        <v/>
      </c>
      <c r="GQ59" s="402">
        <f>IF(AND(195&gt;=$NR$59,195&lt;=$NS$59),IF($NP$59="Single_Point",IF(195=$NR$59,$NN$59,0),IF($NP$59="Bell_Curve",$NN$59*(195-$NR$59+1)*($NS$59-195+1)/$NU$59,$NN$59/$NT$59)),0)</f>
        <v/>
      </c>
      <c r="GR59" s="402">
        <f>IF(AND(196&gt;=$NR$59,196&lt;=$NS$59),IF($NP$59="Single_Point",IF(196=$NR$59,$NN$59,0),IF($NP$59="Bell_Curve",$NN$59*(196-$NR$59+1)*($NS$59-196+1)/$NU$59,$NN$59/$NT$59)),0)</f>
        <v/>
      </c>
      <c r="GS59" s="402">
        <f>IF(AND(197&gt;=$NR$59,197&lt;=$NS$59),IF($NP$59="Single_Point",IF(197=$NR$59,$NN$59,0),IF($NP$59="Bell_Curve",$NN$59*(197-$NR$59+1)*($NS$59-197+1)/$NU$59,$NN$59/$NT$59)),0)</f>
        <v/>
      </c>
      <c r="GT59" s="402">
        <f>IF(AND(198&gt;=$NR$59,198&lt;=$NS$59),IF($NP$59="Single_Point",IF(198=$NR$59,$NN$59,0),IF($NP$59="Bell_Curve",$NN$59*(198-$NR$59+1)*($NS$59-198+1)/$NU$59,$NN$59/$NT$59)),0)</f>
        <v/>
      </c>
      <c r="GU59" s="402">
        <f>IF(AND(199&gt;=$NR$59,199&lt;=$NS$59),IF($NP$59="Single_Point",IF(199=$NR$59,$NN$59,0),IF($NP$59="Bell_Curve",$NN$59*(199-$NR$59+1)*($NS$59-199+1)/$NU$59,$NN$59/$NT$59)),0)</f>
        <v/>
      </c>
      <c r="GV59" s="402">
        <f>IF(AND(200&gt;=$NR$59,200&lt;=$NS$59),IF($NP$59="Single_Point",IF(200=$NR$59,$NN$59,0),IF($NP$59="Bell_Curve",$NN$59*(200-$NR$59+1)*($NS$59-200+1)/$NU$59,$NN$59/$NT$59)),0)</f>
        <v/>
      </c>
      <c r="GW59" s="402">
        <f>IF(AND(201&gt;=$NR$59,201&lt;=$NS$59),IF($NP$59="Single_Point",IF(201=$NR$59,$NN$59,0),IF($NP$59="Bell_Curve",$NN$59*(201-$NR$59+1)*($NS$59-201+1)/$NU$59,$NN$59/$NT$59)),0)</f>
        <v/>
      </c>
      <c r="GX59" s="402">
        <f>IF(AND(202&gt;=$NR$59,202&lt;=$NS$59),IF($NP$59="Single_Point",IF(202=$NR$59,$NN$59,0),IF($NP$59="Bell_Curve",$NN$59*(202-$NR$59+1)*($NS$59-202+1)/$NU$59,$NN$59/$NT$59)),0)</f>
        <v/>
      </c>
      <c r="GY59" s="402">
        <f>IF(AND(203&gt;=$NR$59,203&lt;=$NS$59),IF($NP$59="Single_Point",IF(203=$NR$59,$NN$59,0),IF($NP$59="Bell_Curve",$NN$59*(203-$NR$59+1)*($NS$59-203+1)/$NU$59,$NN$59/$NT$59)),0)</f>
        <v/>
      </c>
      <c r="GZ59" s="402">
        <f>IF(AND(204&gt;=$NR$59,204&lt;=$NS$59),IF($NP$59="Single_Point",IF(204=$NR$59,$NN$59,0),IF($NP$59="Bell_Curve",$NN$59*(204-$NR$59+1)*($NS$59-204+1)/$NU$59,$NN$59/$NT$59)),0)</f>
        <v/>
      </c>
      <c r="HA59" s="402">
        <f>IF(AND(205&gt;=$NR$59,205&lt;=$NS$59),IF($NP$59="Single_Point",IF(205=$NR$59,$NN$59,0),IF($NP$59="Bell_Curve",$NN$59*(205-$NR$59+1)*($NS$59-205+1)/$NU$59,$NN$59/$NT$59)),0)</f>
        <v/>
      </c>
      <c r="HB59" s="402">
        <f>IF(AND(206&gt;=$NR$59,206&lt;=$NS$59),IF($NP$59="Single_Point",IF(206=$NR$59,$NN$59,0),IF($NP$59="Bell_Curve",$NN$59*(206-$NR$59+1)*($NS$59-206+1)/$NU$59,$NN$59/$NT$59)),0)</f>
        <v/>
      </c>
      <c r="HC59" s="402">
        <f>IF(AND(207&gt;=$NR$59,207&lt;=$NS$59),IF($NP$59="Single_Point",IF(207=$NR$59,$NN$59,0),IF($NP$59="Bell_Curve",$NN$59*(207-$NR$59+1)*($NS$59-207+1)/$NU$59,$NN$59/$NT$59)),0)</f>
        <v/>
      </c>
      <c r="HD59" s="402">
        <f>IF(AND(208&gt;=$NR$59,208&lt;=$NS$59),IF($NP$59="Single_Point",IF(208=$NR$59,$NN$59,0),IF($NP$59="Bell_Curve",$NN$59*(208-$NR$59+1)*($NS$59-208+1)/$NU$59,$NN$59/$NT$59)),0)</f>
        <v/>
      </c>
      <c r="HE59" s="402">
        <f>IF(AND(209&gt;=$NR$59,209&lt;=$NS$59),IF($NP$59="Single_Point",IF(209=$NR$59,$NN$59,0),IF($NP$59="Bell_Curve",$NN$59*(209-$NR$59+1)*($NS$59-209+1)/$NU$59,$NN$59/$NT$59)),0)</f>
        <v/>
      </c>
      <c r="HF59" s="402">
        <f>IF(AND(210&gt;=$NR$59,210&lt;=$NS$59),IF($NP$59="Single_Point",IF(210=$NR$59,$NN$59,0),IF($NP$59="Bell_Curve",$NN$59*(210-$NR$59+1)*($NS$59-210+1)/$NU$59,$NN$59/$NT$59)),0)</f>
        <v/>
      </c>
      <c r="HG59" s="402">
        <f>IF(AND(211&gt;=$NR$59,211&lt;=$NS$59),IF($NP$59="Single_Point",IF(211=$NR$59,$NN$59,0),IF($NP$59="Bell_Curve",$NN$59*(211-$NR$59+1)*($NS$59-211+1)/$NU$59,$NN$59/$NT$59)),0)</f>
        <v/>
      </c>
      <c r="HH59" s="402">
        <f>IF(AND(212&gt;=$NR$59,212&lt;=$NS$59),IF($NP$59="Single_Point",IF(212=$NR$59,$NN$59,0),IF($NP$59="Bell_Curve",$NN$59*(212-$NR$59+1)*($NS$59-212+1)/$NU$59,$NN$59/$NT$59)),0)</f>
        <v/>
      </c>
      <c r="HI59" s="402">
        <f>IF(AND(213&gt;=$NR$59,213&lt;=$NS$59),IF($NP$59="Single_Point",IF(213=$NR$59,$NN$59,0),IF($NP$59="Bell_Curve",$NN$59*(213-$NR$59+1)*($NS$59-213+1)/$NU$59,$NN$59/$NT$59)),0)</f>
        <v/>
      </c>
      <c r="HJ59" s="402">
        <f>IF(AND(214&gt;=$NR$59,214&lt;=$NS$59),IF($NP$59="Single_Point",IF(214=$NR$59,$NN$59,0),IF($NP$59="Bell_Curve",$NN$59*(214-$NR$59+1)*($NS$59-214+1)/$NU$59,$NN$59/$NT$59)),0)</f>
        <v/>
      </c>
      <c r="HK59" s="402">
        <f>IF(AND(215&gt;=$NR$59,215&lt;=$NS$59),IF($NP$59="Single_Point",IF(215=$NR$59,$NN$59,0),IF($NP$59="Bell_Curve",$NN$59*(215-$NR$59+1)*($NS$59-215+1)/$NU$59,$NN$59/$NT$59)),0)</f>
        <v/>
      </c>
      <c r="HL59" s="402">
        <f>IF(AND(216&gt;=$NR$59,216&lt;=$NS$59),IF($NP$59="Single_Point",IF(216=$NR$59,$NN$59,0),IF($NP$59="Bell_Curve",$NN$59*(216-$NR$59+1)*($NS$59-216+1)/$NU$59,$NN$59/$NT$59)),0)</f>
        <v/>
      </c>
      <c r="HM59" s="402">
        <f>IF(AND(217&gt;=$NR$59,217&lt;=$NS$59),IF($NP$59="Single_Point",IF(217=$NR$59,$NN$59,0),IF($NP$59="Bell_Curve",$NN$59*(217-$NR$59+1)*($NS$59-217+1)/$NU$59,$NN$59/$NT$59)),0)</f>
        <v/>
      </c>
      <c r="HN59" s="402">
        <f>IF(AND(218&gt;=$NR$59,218&lt;=$NS$59),IF($NP$59="Single_Point",IF(218=$NR$59,$NN$59,0),IF($NP$59="Bell_Curve",$NN$59*(218-$NR$59+1)*($NS$59-218+1)/$NU$59,$NN$59/$NT$59)),0)</f>
        <v/>
      </c>
      <c r="HO59" s="402">
        <f>IF(AND(219&gt;=$NR$59,219&lt;=$NS$59),IF($NP$59="Single_Point",IF(219=$NR$59,$NN$59,0),IF($NP$59="Bell_Curve",$NN$59*(219-$NR$59+1)*($NS$59-219+1)/$NU$59,$NN$59/$NT$59)),0)</f>
        <v/>
      </c>
      <c r="HP59" s="402">
        <f>IF(AND(220&gt;=$NR$59,220&lt;=$NS$59),IF($NP$59="Single_Point",IF(220=$NR$59,$NN$59,0),IF($NP$59="Bell_Curve",$NN$59*(220-$NR$59+1)*($NS$59-220+1)/$NU$59,$NN$59/$NT$59)),0)</f>
        <v/>
      </c>
      <c r="HQ59" s="402">
        <f>IF(AND(221&gt;=$NR$59,221&lt;=$NS$59),IF($NP$59="Single_Point",IF(221=$NR$59,$NN$59,0),IF($NP$59="Bell_Curve",$NN$59*(221-$NR$59+1)*($NS$59-221+1)/$NU$59,$NN$59/$NT$59)),0)</f>
        <v/>
      </c>
      <c r="HR59" s="402">
        <f>IF(AND(222&gt;=$NR$59,222&lt;=$NS$59),IF($NP$59="Single_Point",IF(222=$NR$59,$NN$59,0),IF($NP$59="Bell_Curve",$NN$59*(222-$NR$59+1)*($NS$59-222+1)/$NU$59,$NN$59/$NT$59)),0)</f>
        <v/>
      </c>
      <c r="HS59" s="402">
        <f>IF(AND(223&gt;=$NR$59,223&lt;=$NS$59),IF($NP$59="Single_Point",IF(223=$NR$59,$NN$59,0),IF($NP$59="Bell_Curve",$NN$59*(223-$NR$59+1)*($NS$59-223+1)/$NU$59,$NN$59/$NT$59)),0)</f>
        <v/>
      </c>
      <c r="HT59" s="402">
        <f>IF(AND(224&gt;=$NR$59,224&lt;=$NS$59),IF($NP$59="Single_Point",IF(224=$NR$59,$NN$59,0),IF($NP$59="Bell_Curve",$NN$59*(224-$NR$59+1)*($NS$59-224+1)/$NU$59,$NN$59/$NT$59)),0)</f>
        <v/>
      </c>
      <c r="HU59" s="402">
        <f>IF(AND(225&gt;=$NR$59,225&lt;=$NS$59),IF($NP$59="Single_Point",IF(225=$NR$59,$NN$59,0),IF($NP$59="Bell_Curve",$NN$59*(225-$NR$59+1)*($NS$59-225+1)/$NU$59,$NN$59/$NT$59)),0)</f>
        <v/>
      </c>
      <c r="HV59" s="402">
        <f>IF(AND(226&gt;=$NR$59,226&lt;=$NS$59),IF($NP$59="Single_Point",IF(226=$NR$59,$NN$59,0),IF($NP$59="Bell_Curve",$NN$59*(226-$NR$59+1)*($NS$59-226+1)/$NU$59,$NN$59/$NT$59)),0)</f>
        <v/>
      </c>
      <c r="HW59" s="402">
        <f>IF(AND(227&gt;=$NR$59,227&lt;=$NS$59),IF($NP$59="Single_Point",IF(227=$NR$59,$NN$59,0),IF($NP$59="Bell_Curve",$NN$59*(227-$NR$59+1)*($NS$59-227+1)/$NU$59,$NN$59/$NT$59)),0)</f>
        <v/>
      </c>
      <c r="HX59" s="402">
        <f>IF(AND(228&gt;=$NR$59,228&lt;=$NS$59),IF($NP$59="Single_Point",IF(228=$NR$59,$NN$59,0),IF($NP$59="Bell_Curve",$NN$59*(228-$NR$59+1)*($NS$59-228+1)/$NU$59,$NN$59/$NT$59)),0)</f>
        <v/>
      </c>
      <c r="HY59" s="402">
        <f>IF(AND(229&gt;=$NR$59,229&lt;=$NS$59),IF($NP$59="Single_Point",IF(229=$NR$59,$NN$59,0),IF($NP$59="Bell_Curve",$NN$59*(229-$NR$59+1)*($NS$59-229+1)/$NU$59,$NN$59/$NT$59)),0)</f>
        <v/>
      </c>
      <c r="HZ59" s="402">
        <f>IF(AND(230&gt;=$NR$59,230&lt;=$NS$59),IF($NP$59="Single_Point",IF(230=$NR$59,$NN$59,0),IF($NP$59="Bell_Curve",$NN$59*(230-$NR$59+1)*($NS$59-230+1)/$NU$59,$NN$59/$NT$59)),0)</f>
        <v/>
      </c>
      <c r="IA59" s="402">
        <f>IF(AND(231&gt;=$NR$59,231&lt;=$NS$59),IF($NP$59="Single_Point",IF(231=$NR$59,$NN$59,0),IF($NP$59="Bell_Curve",$NN$59*(231-$NR$59+1)*($NS$59-231+1)/$NU$59,$NN$59/$NT$59)),0)</f>
        <v/>
      </c>
      <c r="IB59" s="402">
        <f>IF(AND(232&gt;=$NR$59,232&lt;=$NS$59),IF($NP$59="Single_Point",IF(232=$NR$59,$NN$59,0),IF($NP$59="Bell_Curve",$NN$59*(232-$NR$59+1)*($NS$59-232+1)/$NU$59,$NN$59/$NT$59)),0)</f>
        <v/>
      </c>
      <c r="IC59" s="402">
        <f>IF(AND(233&gt;=$NR$59,233&lt;=$NS$59),IF($NP$59="Single_Point",IF(233=$NR$59,$NN$59,0),IF($NP$59="Bell_Curve",$NN$59*(233-$NR$59+1)*($NS$59-233+1)/$NU$59,$NN$59/$NT$59)),0)</f>
        <v/>
      </c>
      <c r="ID59" s="402">
        <f>IF(AND(234&gt;=$NR$59,234&lt;=$NS$59),IF($NP$59="Single_Point",IF(234=$NR$59,$NN$59,0),IF($NP$59="Bell_Curve",$NN$59*(234-$NR$59+1)*($NS$59-234+1)/$NU$59,$NN$59/$NT$59)),0)</f>
        <v/>
      </c>
      <c r="IE59" s="402">
        <f>IF(AND(235&gt;=$NR$59,235&lt;=$NS$59),IF($NP$59="Single_Point",IF(235=$NR$59,$NN$59,0),IF($NP$59="Bell_Curve",$NN$59*(235-$NR$59+1)*($NS$59-235+1)/$NU$59,$NN$59/$NT$59)),0)</f>
        <v/>
      </c>
      <c r="IF59" s="402">
        <f>IF(AND(236&gt;=$NR$59,236&lt;=$NS$59),IF($NP$59="Single_Point",IF(236=$NR$59,$NN$59,0),IF($NP$59="Bell_Curve",$NN$59*(236-$NR$59+1)*($NS$59-236+1)/$NU$59,$NN$59/$NT$59)),0)</f>
        <v/>
      </c>
      <c r="IG59" s="402">
        <f>IF(AND(237&gt;=$NR$59,237&lt;=$NS$59),IF($NP$59="Single_Point",IF(237=$NR$59,$NN$59,0),IF($NP$59="Bell_Curve",$NN$59*(237-$NR$59+1)*($NS$59-237+1)/$NU$59,$NN$59/$NT$59)),0)</f>
        <v/>
      </c>
      <c r="IH59" s="402">
        <f>IF(AND(238&gt;=$NR$59,238&lt;=$NS$59),IF($NP$59="Single_Point",IF(238=$NR$59,$NN$59,0),IF($NP$59="Bell_Curve",$NN$59*(238-$NR$59+1)*($NS$59-238+1)/$NU$59,$NN$59/$NT$59)),0)</f>
        <v/>
      </c>
      <c r="II59" s="402">
        <f>IF(AND(239&gt;=$NR$59,239&lt;=$NS$59),IF($NP$59="Single_Point",IF(239=$NR$59,$NN$59,0),IF($NP$59="Bell_Curve",$NN$59*(239-$NR$59+1)*($NS$59-239+1)/$NU$59,$NN$59/$NT$59)),0)</f>
        <v/>
      </c>
      <c r="IJ59" s="402">
        <f>IF(AND(240&gt;=$NR$59,240&lt;=$NS$59),IF($NP$59="Single_Point",IF(240=$NR$59,$NN$59,0),IF($NP$59="Bell_Curve",$NN$59*(240-$NR$59+1)*($NS$59-240+1)/$NU$59,$NN$59/$NT$59)),0)</f>
        <v/>
      </c>
      <c r="IK59" s="402">
        <f>IF(AND(241&gt;=$NR$59,241&lt;=$NS$59),IF($NP$59="Single_Point",IF(241=$NR$59,$NN$59,0),IF($NP$59="Bell_Curve",$NN$59*(241-$NR$59+1)*($NS$59-241+1)/$NU$59,$NN$59/$NT$59)),0)</f>
        <v/>
      </c>
      <c r="IL59" s="402">
        <f>IF(AND(242&gt;=$NR$59,242&lt;=$NS$59),IF($NP$59="Single_Point",IF(242=$NR$59,$NN$59,0),IF($NP$59="Bell_Curve",$NN$59*(242-$NR$59+1)*($NS$59-242+1)/$NU$59,$NN$59/$NT$59)),0)</f>
        <v/>
      </c>
      <c r="IM59" s="402">
        <f>IF(AND(243&gt;=$NR$59,243&lt;=$NS$59),IF($NP$59="Single_Point",IF(243=$NR$59,$NN$59,0),IF($NP$59="Bell_Curve",$NN$59*(243-$NR$59+1)*($NS$59-243+1)/$NU$59,$NN$59/$NT$59)),0)</f>
        <v/>
      </c>
      <c r="IN59" s="402">
        <f>IF(AND(244&gt;=$NR$59,244&lt;=$NS$59),IF($NP$59="Single_Point",IF(244=$NR$59,$NN$59,0),IF($NP$59="Bell_Curve",$NN$59*(244-$NR$59+1)*($NS$59-244+1)/$NU$59,$NN$59/$NT$59)),0)</f>
        <v/>
      </c>
      <c r="IO59" s="402">
        <f>IF(AND(245&gt;=$NR$59,245&lt;=$NS$59),IF($NP$59="Single_Point",IF(245=$NR$59,$NN$59,0),IF($NP$59="Bell_Curve",$NN$59*(245-$NR$59+1)*($NS$59-245+1)/$NU$59,$NN$59/$NT$59)),0)</f>
        <v/>
      </c>
      <c r="IP59" s="402">
        <f>IF(AND(246&gt;=$NR$59,246&lt;=$NS$59),IF($NP$59="Single_Point",IF(246=$NR$59,$NN$59,0),IF($NP$59="Bell_Curve",$NN$59*(246-$NR$59+1)*($NS$59-246+1)/$NU$59,$NN$59/$NT$59)),0)</f>
        <v/>
      </c>
      <c r="IQ59" s="402">
        <f>IF(AND(247&gt;=$NR$59,247&lt;=$NS$59),IF($NP$59="Single_Point",IF(247=$NR$59,$NN$59,0),IF($NP$59="Bell_Curve",$NN$59*(247-$NR$59+1)*($NS$59-247+1)/$NU$59,$NN$59/$NT$59)),0)</f>
        <v/>
      </c>
      <c r="IR59" s="402">
        <f>IF(AND(248&gt;=$NR$59,248&lt;=$NS$59),IF($NP$59="Single_Point",IF(248=$NR$59,$NN$59,0),IF($NP$59="Bell_Curve",$NN$59*(248-$NR$59+1)*($NS$59-248+1)/$NU$59,$NN$59/$NT$59)),0)</f>
        <v/>
      </c>
      <c r="IS59" s="402">
        <f>IF(AND(249&gt;=$NR$59,249&lt;=$NS$59),IF($NP$59="Single_Point",IF(249=$NR$59,$NN$59,0),IF($NP$59="Bell_Curve",$NN$59*(249-$NR$59+1)*($NS$59-249+1)/$NU$59,$NN$59/$NT$59)),0)</f>
        <v/>
      </c>
      <c r="IT59" s="402">
        <f>IF(AND(250&gt;=$NR$59,250&lt;=$NS$59),IF($NP$59="Single_Point",IF(250=$NR$59,$NN$59,0),IF($NP$59="Bell_Curve",$NN$59*(250-$NR$59+1)*($NS$59-250+1)/$NU$59,$NN$59/$NT$59)),0)</f>
        <v/>
      </c>
      <c r="IU59" s="402">
        <f>IF(AND(251&gt;=$NR$59,251&lt;=$NS$59),IF($NP$59="Single_Point",IF(251=$NR$59,$NN$59,0),IF($NP$59="Bell_Curve",$NN$59*(251-$NR$59+1)*($NS$59-251+1)/$NU$59,$NN$59/$NT$59)),0)</f>
        <v/>
      </c>
      <c r="IV59" s="402">
        <f>IF(AND(252&gt;=$NR$59,252&lt;=$NS$59),IF($NP$59="Single_Point",IF(252=$NR$59,$NN$59,0),IF($NP$59="Bell_Curve",$NN$59*(252-$NR$59+1)*($NS$59-252+1)/$NU$59,$NN$59/$NT$59)),0)</f>
        <v/>
      </c>
      <c r="IW59" s="402">
        <f>IF(AND(253&gt;=$NR$59,253&lt;=$NS$59),IF($NP$59="Single_Point",IF(253=$NR$59,$NN$59,0),IF($NP$59="Bell_Curve",$NN$59*(253-$NR$59+1)*($NS$59-253+1)/$NU$59,$NN$59/$NT$59)),0)</f>
        <v/>
      </c>
      <c r="IX59" s="402">
        <f>IF(AND(254&gt;=$NR$59,254&lt;=$NS$59),IF($NP$59="Single_Point",IF(254=$NR$59,$NN$59,0),IF($NP$59="Bell_Curve",$NN$59*(254-$NR$59+1)*($NS$59-254+1)/$NU$59,$NN$59/$NT$59)),0)</f>
        <v/>
      </c>
      <c r="IY59" s="402">
        <f>IF(AND(255&gt;=$NR$59,255&lt;=$NS$59),IF($NP$59="Single_Point",IF(255=$NR$59,$NN$59,0),IF($NP$59="Bell_Curve",$NN$59*(255-$NR$59+1)*($NS$59-255+1)/$NU$59,$NN$59/$NT$59)),0)</f>
        <v/>
      </c>
      <c r="IZ59" s="402">
        <f>IF(AND(256&gt;=$NR$59,256&lt;=$NS$59),IF($NP$59="Single_Point",IF(256=$NR$59,$NN$59,0),IF($NP$59="Bell_Curve",$NN$59*(256-$NR$59+1)*($NS$59-256+1)/$NU$59,$NN$59/$NT$59)),0)</f>
        <v/>
      </c>
      <c r="JA59" s="402">
        <f>IF(AND(257&gt;=$NR$59,257&lt;=$NS$59),IF($NP$59="Single_Point",IF(257=$NR$59,$NN$59,0),IF($NP$59="Bell_Curve",$NN$59*(257-$NR$59+1)*($NS$59-257+1)/$NU$59,$NN$59/$NT$59)),0)</f>
        <v/>
      </c>
      <c r="JB59" s="402">
        <f>IF(AND(258&gt;=$NR$59,258&lt;=$NS$59),IF($NP$59="Single_Point",IF(258=$NR$59,$NN$59,0),IF($NP$59="Bell_Curve",$NN$59*(258-$NR$59+1)*($NS$59-258+1)/$NU$59,$NN$59/$NT$59)),0)</f>
        <v/>
      </c>
      <c r="JC59" s="402">
        <f>IF(AND(259&gt;=$NR$59,259&lt;=$NS$59),IF($NP$59="Single_Point",IF(259=$NR$59,$NN$59,0),IF($NP$59="Bell_Curve",$NN$59*(259-$NR$59+1)*($NS$59-259+1)/$NU$59,$NN$59/$NT$59)),0)</f>
        <v/>
      </c>
      <c r="JD59" s="402">
        <f>IF(AND(260&gt;=$NR$59,260&lt;=$NS$59),IF($NP$59="Single_Point",IF(260=$NR$59,$NN$59,0),IF($NP$59="Bell_Curve",$NN$59*(260-$NR$59+1)*($NS$59-260+1)/$NU$59,$NN$59/$NT$59)),0)</f>
        <v/>
      </c>
      <c r="JE59" s="402">
        <f>IF(AND(261&gt;=$NR$59,261&lt;=$NS$59),IF($NP$59="Single_Point",IF(261=$NR$59,$NN$59,0),IF($NP$59="Bell_Curve",$NN$59*(261-$NR$59+1)*($NS$59-261+1)/$NU$59,$NN$59/$NT$59)),0)</f>
        <v/>
      </c>
      <c r="JF59" s="402">
        <f>IF(AND(262&gt;=$NR$59,262&lt;=$NS$59),IF($NP$59="Single_Point",IF(262=$NR$59,$NN$59,0),IF($NP$59="Bell_Curve",$NN$59*(262-$NR$59+1)*($NS$59-262+1)/$NU$59,$NN$59/$NT$59)),0)</f>
        <v/>
      </c>
      <c r="JG59" s="402">
        <f>IF(AND(263&gt;=$NR$59,263&lt;=$NS$59),IF($NP$59="Single_Point",IF(263=$NR$59,$NN$59,0),IF($NP$59="Bell_Curve",$NN$59*(263-$NR$59+1)*($NS$59-263+1)/$NU$59,$NN$59/$NT$59)),0)</f>
        <v/>
      </c>
      <c r="JH59" s="402">
        <f>IF(AND(264&gt;=$NR$59,264&lt;=$NS$59),IF($NP$59="Single_Point",IF(264=$NR$59,$NN$59,0),IF($NP$59="Bell_Curve",$NN$59*(264-$NR$59+1)*($NS$59-264+1)/$NU$59,$NN$59/$NT$59)),0)</f>
        <v/>
      </c>
      <c r="JI59" s="402">
        <f>IF(AND(265&gt;=$NR$59,265&lt;=$NS$59),IF($NP$59="Single_Point",IF(265=$NR$59,$NN$59,0),IF($NP$59="Bell_Curve",$NN$59*(265-$NR$59+1)*($NS$59-265+1)/$NU$59,$NN$59/$NT$59)),0)</f>
        <v/>
      </c>
      <c r="JJ59" s="402">
        <f>IF(AND(266&gt;=$NR$59,266&lt;=$NS$59),IF($NP$59="Single_Point",IF(266=$NR$59,$NN$59,0),IF($NP$59="Bell_Curve",$NN$59*(266-$NR$59+1)*($NS$59-266+1)/$NU$59,$NN$59/$NT$59)),0)</f>
        <v/>
      </c>
      <c r="JK59" s="402">
        <f>IF(AND(267&gt;=$NR$59,267&lt;=$NS$59),IF($NP$59="Single_Point",IF(267=$NR$59,$NN$59,0),IF($NP$59="Bell_Curve",$NN$59*(267-$NR$59+1)*($NS$59-267+1)/$NU$59,$NN$59/$NT$59)),0)</f>
        <v/>
      </c>
      <c r="JL59" s="402">
        <f>IF(AND(268&gt;=$NR$59,268&lt;=$NS$59),IF($NP$59="Single_Point",IF(268=$NR$59,$NN$59,0),IF($NP$59="Bell_Curve",$NN$59*(268-$NR$59+1)*($NS$59-268+1)/$NU$59,$NN$59/$NT$59)),0)</f>
        <v/>
      </c>
      <c r="JM59" s="402">
        <f>IF(AND(269&gt;=$NR$59,269&lt;=$NS$59),IF($NP$59="Single_Point",IF(269=$NR$59,$NN$59,0),IF($NP$59="Bell_Curve",$NN$59*(269-$NR$59+1)*($NS$59-269+1)/$NU$59,$NN$59/$NT$59)),0)</f>
        <v/>
      </c>
      <c r="JN59" s="402">
        <f>IF(AND(270&gt;=$NR$59,270&lt;=$NS$59),IF($NP$59="Single_Point",IF(270=$NR$59,$NN$59,0),IF($NP$59="Bell_Curve",$NN$59*(270-$NR$59+1)*($NS$59-270+1)/$NU$59,$NN$59/$NT$59)),0)</f>
        <v/>
      </c>
      <c r="JO59" s="402">
        <f>IF(AND(271&gt;=$NR$59,271&lt;=$NS$59),IF($NP$59="Single_Point",IF(271=$NR$59,$NN$59,0),IF($NP$59="Bell_Curve",$NN$59*(271-$NR$59+1)*($NS$59-271+1)/$NU$59,$NN$59/$NT$59)),0)</f>
        <v/>
      </c>
      <c r="JP59" s="402">
        <f>IF(AND(272&gt;=$NR$59,272&lt;=$NS$59),IF($NP$59="Single_Point",IF(272=$NR$59,$NN$59,0),IF($NP$59="Bell_Curve",$NN$59*(272-$NR$59+1)*($NS$59-272+1)/$NU$59,$NN$59/$NT$59)),0)</f>
        <v/>
      </c>
      <c r="JQ59" s="402">
        <f>IF(AND(273&gt;=$NR$59,273&lt;=$NS$59),IF($NP$59="Single_Point",IF(273=$NR$59,$NN$59,0),IF($NP$59="Bell_Curve",$NN$59*(273-$NR$59+1)*($NS$59-273+1)/$NU$59,$NN$59/$NT$59)),0)</f>
        <v/>
      </c>
      <c r="JR59" s="402">
        <f>IF(AND(274&gt;=$NR$59,274&lt;=$NS$59),IF($NP$59="Single_Point",IF(274=$NR$59,$NN$59,0),IF($NP$59="Bell_Curve",$NN$59*(274-$NR$59+1)*($NS$59-274+1)/$NU$59,$NN$59/$NT$59)),0)</f>
        <v/>
      </c>
      <c r="JS59" s="402">
        <f>IF(AND(275&gt;=$NR$59,275&lt;=$NS$59),IF($NP$59="Single_Point",IF(275=$NR$59,$NN$59,0),IF($NP$59="Bell_Curve",$NN$59*(275-$NR$59+1)*($NS$59-275+1)/$NU$59,$NN$59/$NT$59)),0)</f>
        <v/>
      </c>
      <c r="JT59" s="402">
        <f>IF(AND(276&gt;=$NR$59,276&lt;=$NS$59),IF($NP$59="Single_Point",IF(276=$NR$59,$NN$59,0),IF($NP$59="Bell_Curve",$NN$59*(276-$NR$59+1)*($NS$59-276+1)/$NU$59,$NN$59/$NT$59)),0)</f>
        <v/>
      </c>
      <c r="JU59" s="402">
        <f>IF(AND(277&gt;=$NR$59,277&lt;=$NS$59),IF($NP$59="Single_Point",IF(277=$NR$59,$NN$59,0),IF($NP$59="Bell_Curve",$NN$59*(277-$NR$59+1)*($NS$59-277+1)/$NU$59,$NN$59/$NT$59)),0)</f>
        <v/>
      </c>
      <c r="JV59" s="402">
        <f>IF(AND(278&gt;=$NR$59,278&lt;=$NS$59),IF($NP$59="Single_Point",IF(278=$NR$59,$NN$59,0),IF($NP$59="Bell_Curve",$NN$59*(278-$NR$59+1)*($NS$59-278+1)/$NU$59,$NN$59/$NT$59)),0)</f>
        <v/>
      </c>
      <c r="JW59" s="402">
        <f>IF(AND(279&gt;=$NR$59,279&lt;=$NS$59),IF($NP$59="Single_Point",IF(279=$NR$59,$NN$59,0),IF($NP$59="Bell_Curve",$NN$59*(279-$NR$59+1)*($NS$59-279+1)/$NU$59,$NN$59/$NT$59)),0)</f>
        <v/>
      </c>
      <c r="JX59" s="402">
        <f>IF(AND(280&gt;=$NR$59,280&lt;=$NS$59),IF($NP$59="Single_Point",IF(280=$NR$59,$NN$59,0),IF($NP$59="Bell_Curve",$NN$59*(280-$NR$59+1)*($NS$59-280+1)/$NU$59,$NN$59/$NT$59)),0)</f>
        <v/>
      </c>
      <c r="JY59" s="402">
        <f>IF(AND(281&gt;=$NR$59,281&lt;=$NS$59),IF($NP$59="Single_Point",IF(281=$NR$59,$NN$59,0),IF($NP$59="Bell_Curve",$NN$59*(281-$NR$59+1)*($NS$59-281+1)/$NU$59,$NN$59/$NT$59)),0)</f>
        <v/>
      </c>
      <c r="JZ59" s="402">
        <f>IF(AND(282&gt;=$NR$59,282&lt;=$NS$59),IF($NP$59="Single_Point",IF(282=$NR$59,$NN$59,0),IF($NP$59="Bell_Curve",$NN$59*(282-$NR$59+1)*($NS$59-282+1)/$NU$59,$NN$59/$NT$59)),0)</f>
        <v/>
      </c>
      <c r="KA59" s="402">
        <f>IF(AND(283&gt;=$NR$59,283&lt;=$NS$59),IF($NP$59="Single_Point",IF(283=$NR$59,$NN$59,0),IF($NP$59="Bell_Curve",$NN$59*(283-$NR$59+1)*($NS$59-283+1)/$NU$59,$NN$59/$NT$59)),0)</f>
        <v/>
      </c>
      <c r="KB59" s="402">
        <f>IF(AND(284&gt;=$NR$59,284&lt;=$NS$59),IF($NP$59="Single_Point",IF(284=$NR$59,$NN$59,0),IF($NP$59="Bell_Curve",$NN$59*(284-$NR$59+1)*($NS$59-284+1)/$NU$59,$NN$59/$NT$59)),0)</f>
        <v/>
      </c>
      <c r="KC59" s="402">
        <f>IF(AND(285&gt;=$NR$59,285&lt;=$NS$59),IF($NP$59="Single_Point",IF(285=$NR$59,$NN$59,0),IF($NP$59="Bell_Curve",$NN$59*(285-$NR$59+1)*($NS$59-285+1)/$NU$59,$NN$59/$NT$59)),0)</f>
        <v/>
      </c>
      <c r="KD59" s="402">
        <f>IF(AND(286&gt;=$NR$59,286&lt;=$NS$59),IF($NP$59="Single_Point",IF(286=$NR$59,$NN$59,0),IF($NP$59="Bell_Curve",$NN$59*(286-$NR$59+1)*($NS$59-286+1)/$NU$59,$NN$59/$NT$59)),0)</f>
        <v/>
      </c>
      <c r="KE59" s="402">
        <f>IF(AND(287&gt;=$NR$59,287&lt;=$NS$59),IF($NP$59="Single_Point",IF(287=$NR$59,$NN$59,0),IF($NP$59="Bell_Curve",$NN$59*(287-$NR$59+1)*($NS$59-287+1)/$NU$59,$NN$59/$NT$59)),0)</f>
        <v/>
      </c>
      <c r="KF59" s="402">
        <f>IF(AND(288&gt;=$NR$59,288&lt;=$NS$59),IF($NP$59="Single_Point",IF(288=$NR$59,$NN$59,0),IF($NP$59="Bell_Curve",$NN$59*(288-$NR$59+1)*($NS$59-288+1)/$NU$59,$NN$59/$NT$59)),0)</f>
        <v/>
      </c>
      <c r="KG59" s="402">
        <f>IF(AND(289&gt;=$NR$59,289&lt;=$NS$59),IF($NP$59="Single_Point",IF(289=$NR$59,$NN$59,0),IF($NP$59="Bell_Curve",$NN$59*(289-$NR$59+1)*($NS$59-289+1)/$NU$59,$NN$59/$NT$59)),0)</f>
        <v/>
      </c>
      <c r="KH59" s="402">
        <f>IF(AND(290&gt;=$NR$59,290&lt;=$NS$59),IF($NP$59="Single_Point",IF(290=$NR$59,$NN$59,0),IF($NP$59="Bell_Curve",$NN$59*(290-$NR$59+1)*($NS$59-290+1)/$NU$59,$NN$59/$NT$59)),0)</f>
        <v/>
      </c>
      <c r="KI59" s="402">
        <f>IF(AND(291&gt;=$NR$59,291&lt;=$NS$59),IF($NP$59="Single_Point",IF(291=$NR$59,$NN$59,0),IF($NP$59="Bell_Curve",$NN$59*(291-$NR$59+1)*($NS$59-291+1)/$NU$59,$NN$59/$NT$59)),0)</f>
        <v/>
      </c>
      <c r="KJ59" s="402">
        <f>IF(AND(292&gt;=$NR$59,292&lt;=$NS$59),IF($NP$59="Single_Point",IF(292=$NR$59,$NN$59,0),IF($NP$59="Bell_Curve",$NN$59*(292-$NR$59+1)*($NS$59-292+1)/$NU$59,$NN$59/$NT$59)),0)</f>
        <v/>
      </c>
      <c r="KK59" s="402">
        <f>IF(AND(293&gt;=$NR$59,293&lt;=$NS$59),IF($NP$59="Single_Point",IF(293=$NR$59,$NN$59,0),IF($NP$59="Bell_Curve",$NN$59*(293-$NR$59+1)*($NS$59-293+1)/$NU$59,$NN$59/$NT$59)),0)</f>
        <v/>
      </c>
      <c r="KL59" s="402">
        <f>IF(AND(294&gt;=$NR$59,294&lt;=$NS$59),IF($NP$59="Single_Point",IF(294=$NR$59,$NN$59,0),IF($NP$59="Bell_Curve",$NN$59*(294-$NR$59+1)*($NS$59-294+1)/$NU$59,$NN$59/$NT$59)),0)</f>
        <v/>
      </c>
      <c r="KM59" s="402">
        <f>IF(AND(295&gt;=$NR$59,295&lt;=$NS$59),IF($NP$59="Single_Point",IF(295=$NR$59,$NN$59,0),IF($NP$59="Bell_Curve",$NN$59*(295-$NR$59+1)*($NS$59-295+1)/$NU$59,$NN$59/$NT$59)),0)</f>
        <v/>
      </c>
      <c r="KN59" s="402">
        <f>IF(AND(296&gt;=$NR$59,296&lt;=$NS$59),IF($NP$59="Single_Point",IF(296=$NR$59,$NN$59,0),IF($NP$59="Bell_Curve",$NN$59*(296-$NR$59+1)*($NS$59-296+1)/$NU$59,$NN$59/$NT$59)),0)</f>
        <v/>
      </c>
      <c r="KO59" s="402">
        <f>IF(AND(297&gt;=$NR$59,297&lt;=$NS$59),IF($NP$59="Single_Point",IF(297=$NR$59,$NN$59,0),IF($NP$59="Bell_Curve",$NN$59*(297-$NR$59+1)*($NS$59-297+1)/$NU$59,$NN$59/$NT$59)),0)</f>
        <v/>
      </c>
      <c r="KP59" s="402">
        <f>IF(AND(298&gt;=$NR$59,298&lt;=$NS$59),IF($NP$59="Single_Point",IF(298=$NR$59,$NN$59,0),IF($NP$59="Bell_Curve",$NN$59*(298-$NR$59+1)*($NS$59-298+1)/$NU$59,$NN$59/$NT$59)),0)</f>
        <v/>
      </c>
      <c r="KQ59" s="402">
        <f>IF(AND(299&gt;=$NR$59,299&lt;=$NS$59),IF($NP$59="Single_Point",IF(299=$NR$59,$NN$59,0),IF($NP$59="Bell_Curve",$NN$59*(299-$NR$59+1)*($NS$59-299+1)/$NU$59,$NN$59/$NT$59)),0)</f>
        <v/>
      </c>
      <c r="KR59" s="402">
        <f>IF(AND(300&gt;=$NR$59,300&lt;=$NS$59),IF($NP$59="Single_Point",IF(300=$NR$59,$NN$59,0),IF($NP$59="Bell_Curve",$NN$59*(300-$NR$59+1)*($NS$59-300+1)/$NU$59,$NN$59/$NT$59)),0)</f>
        <v/>
      </c>
      <c r="KS59" s="402">
        <f>IF(AND(301&gt;=$NR$59,301&lt;=$NS$59),IF($NP$59="Single_Point",IF(301=$NR$59,$NN$59,0),IF($NP$59="Bell_Curve",$NN$59*(301-$NR$59+1)*($NS$59-301+1)/$NU$59,$NN$59/$NT$59)),0)</f>
        <v/>
      </c>
      <c r="KT59" s="402">
        <f>IF(AND(302&gt;=$NR$59,302&lt;=$NS$59),IF($NP$59="Single_Point",IF(302=$NR$59,$NN$59,0),IF($NP$59="Bell_Curve",$NN$59*(302-$NR$59+1)*($NS$59-302+1)/$NU$59,$NN$59/$NT$59)),0)</f>
        <v/>
      </c>
      <c r="KU59" s="402">
        <f>IF(AND(303&gt;=$NR$59,303&lt;=$NS$59),IF($NP$59="Single_Point",IF(303=$NR$59,$NN$59,0),IF($NP$59="Bell_Curve",$NN$59*(303-$NR$59+1)*($NS$59-303+1)/$NU$59,$NN$59/$NT$59)),0)</f>
        <v/>
      </c>
      <c r="KV59" s="402">
        <f>IF(AND(304&gt;=$NR$59,304&lt;=$NS$59),IF($NP$59="Single_Point",IF(304=$NR$59,$NN$59,0),IF($NP$59="Bell_Curve",$NN$59*(304-$NR$59+1)*($NS$59-304+1)/$NU$59,$NN$59/$NT$59)),0)</f>
        <v/>
      </c>
      <c r="KW59" s="402">
        <f>IF(AND(305&gt;=$NR$59,305&lt;=$NS$59),IF($NP$59="Single_Point",IF(305=$NR$59,$NN$59,0),IF($NP$59="Bell_Curve",$NN$59*(305-$NR$59+1)*($NS$59-305+1)/$NU$59,$NN$59/$NT$59)),0)</f>
        <v/>
      </c>
      <c r="KX59" s="402">
        <f>IF(AND(306&gt;=$NR$59,306&lt;=$NS$59),IF($NP$59="Single_Point",IF(306=$NR$59,$NN$59,0),IF($NP$59="Bell_Curve",$NN$59*(306-$NR$59+1)*($NS$59-306+1)/$NU$59,$NN$59/$NT$59)),0)</f>
        <v/>
      </c>
      <c r="KY59" s="402">
        <f>IF(AND(307&gt;=$NR$59,307&lt;=$NS$59),IF($NP$59="Single_Point",IF(307=$NR$59,$NN$59,0),IF($NP$59="Bell_Curve",$NN$59*(307-$NR$59+1)*($NS$59-307+1)/$NU$59,$NN$59/$NT$59)),0)</f>
        <v/>
      </c>
      <c r="KZ59" s="402">
        <f>IF(AND(308&gt;=$NR$59,308&lt;=$NS$59),IF($NP$59="Single_Point",IF(308=$NR$59,$NN$59,0),IF($NP$59="Bell_Curve",$NN$59*(308-$NR$59+1)*($NS$59-308+1)/$NU$59,$NN$59/$NT$59)),0)</f>
        <v/>
      </c>
      <c r="LA59" s="402">
        <f>IF(AND(309&gt;=$NR$59,309&lt;=$NS$59),IF($NP$59="Single_Point",IF(309=$NR$59,$NN$59,0),IF($NP$59="Bell_Curve",$NN$59*(309-$NR$59+1)*($NS$59-309+1)/$NU$59,$NN$59/$NT$59)),0)</f>
        <v/>
      </c>
      <c r="LB59" s="402">
        <f>IF(AND(310&gt;=$NR$59,310&lt;=$NS$59),IF($NP$59="Single_Point",IF(310=$NR$59,$NN$59,0),IF($NP$59="Bell_Curve",$NN$59*(310-$NR$59+1)*($NS$59-310+1)/$NU$59,$NN$59/$NT$59)),0)</f>
        <v/>
      </c>
      <c r="LC59" s="402">
        <f>IF(AND(311&gt;=$NR$59,311&lt;=$NS$59),IF($NP$59="Single_Point",IF(311=$NR$59,$NN$59,0),IF($NP$59="Bell_Curve",$NN$59*(311-$NR$59+1)*($NS$59-311+1)/$NU$59,$NN$59/$NT$59)),0)</f>
        <v/>
      </c>
      <c r="LD59" s="402">
        <f>IF(AND(312&gt;=$NR$59,312&lt;=$NS$59),IF($NP$59="Single_Point",IF(312=$NR$59,$NN$59,0),IF($NP$59="Bell_Curve",$NN$59*(312-$NR$59+1)*($NS$59-312+1)/$NU$59,$NN$59/$NT$59)),0)</f>
        <v/>
      </c>
      <c r="LE59" s="402">
        <f>IF(AND(313&gt;=$NR$59,313&lt;=$NS$59),IF($NP$59="Single_Point",IF(313=$NR$59,$NN$59,0),IF($NP$59="Bell_Curve",$NN$59*(313-$NR$59+1)*($NS$59-313+1)/$NU$59,$NN$59/$NT$59)),0)</f>
        <v/>
      </c>
      <c r="LF59" s="402">
        <f>IF(AND(314&gt;=$NR$59,314&lt;=$NS$59),IF($NP$59="Single_Point",IF(314=$NR$59,$NN$59,0),IF($NP$59="Bell_Curve",$NN$59*(314-$NR$59+1)*($NS$59-314+1)/$NU$59,$NN$59/$NT$59)),0)</f>
        <v/>
      </c>
      <c r="LG59" s="402">
        <f>IF(AND(315&gt;=$NR$59,315&lt;=$NS$59),IF($NP$59="Single_Point",IF(315=$NR$59,$NN$59,0),IF($NP$59="Bell_Curve",$NN$59*(315-$NR$59+1)*($NS$59-315+1)/$NU$59,$NN$59/$NT$59)),0)</f>
        <v/>
      </c>
      <c r="LH59" s="402">
        <f>IF(AND(316&gt;=$NR$59,316&lt;=$NS$59),IF($NP$59="Single_Point",IF(316=$NR$59,$NN$59,0),IF($NP$59="Bell_Curve",$NN$59*(316-$NR$59+1)*($NS$59-316+1)/$NU$59,$NN$59/$NT$59)),0)</f>
        <v/>
      </c>
      <c r="LI59" s="402">
        <f>IF(AND(317&gt;=$NR$59,317&lt;=$NS$59),IF($NP$59="Single_Point",IF(317=$NR$59,$NN$59,0),IF($NP$59="Bell_Curve",$NN$59*(317-$NR$59+1)*($NS$59-317+1)/$NU$59,$NN$59/$NT$59)),0)</f>
        <v/>
      </c>
      <c r="LJ59" s="402">
        <f>IF(AND(318&gt;=$NR$59,318&lt;=$NS$59),IF($NP$59="Single_Point",IF(318=$NR$59,$NN$59,0),IF($NP$59="Bell_Curve",$NN$59*(318-$NR$59+1)*($NS$59-318+1)/$NU$59,$NN$59/$NT$59)),0)</f>
        <v/>
      </c>
      <c r="LK59" s="402">
        <f>IF(AND(319&gt;=$NR$59,319&lt;=$NS$59),IF($NP$59="Single_Point",IF(319=$NR$59,$NN$59,0),IF($NP$59="Bell_Curve",$NN$59*(319-$NR$59+1)*($NS$59-319+1)/$NU$59,$NN$59/$NT$59)),0)</f>
        <v/>
      </c>
      <c r="LL59" s="402">
        <f>IF(AND(320&gt;=$NR$59,320&lt;=$NS$59),IF($NP$59="Single_Point",IF(320=$NR$59,$NN$59,0),IF($NP$59="Bell_Curve",$NN$59*(320-$NR$59+1)*($NS$59-320+1)/$NU$59,$NN$59/$NT$59)),0)</f>
        <v/>
      </c>
      <c r="LM59" s="402">
        <f>IF(AND(321&gt;=$NR$59,321&lt;=$NS$59),IF($NP$59="Single_Point",IF(321=$NR$59,$NN$59,0),IF($NP$59="Bell_Curve",$NN$59*(321-$NR$59+1)*($NS$59-321+1)/$NU$59,$NN$59/$NT$59)),0)</f>
        <v/>
      </c>
      <c r="LN59" s="402">
        <f>IF(AND(322&gt;=$NR$59,322&lt;=$NS$59),IF($NP$59="Single_Point",IF(322=$NR$59,$NN$59,0),IF($NP$59="Bell_Curve",$NN$59*(322-$NR$59+1)*($NS$59-322+1)/$NU$59,$NN$59/$NT$59)),0)</f>
        <v/>
      </c>
      <c r="LO59" s="402">
        <f>IF(AND(323&gt;=$NR$59,323&lt;=$NS$59),IF($NP$59="Single_Point",IF(323=$NR$59,$NN$59,0),IF($NP$59="Bell_Curve",$NN$59*(323-$NR$59+1)*($NS$59-323+1)/$NU$59,$NN$59/$NT$59)),0)</f>
        <v/>
      </c>
      <c r="LP59" s="402">
        <f>IF(AND(324&gt;=$NR$59,324&lt;=$NS$59),IF($NP$59="Single_Point",IF(324=$NR$59,$NN$59,0),IF($NP$59="Bell_Curve",$NN$59*(324-$NR$59+1)*($NS$59-324+1)/$NU$59,$NN$59/$NT$59)),0)</f>
        <v/>
      </c>
      <c r="LQ59" s="402">
        <f>IF(AND(325&gt;=$NR$59,325&lt;=$NS$59),IF($NP$59="Single_Point",IF(325=$NR$59,$NN$59,0),IF($NP$59="Bell_Curve",$NN$59*(325-$NR$59+1)*($NS$59-325+1)/$NU$59,$NN$59/$NT$59)),0)</f>
        <v/>
      </c>
      <c r="LR59" s="402">
        <f>IF(AND(326&gt;=$NR$59,326&lt;=$NS$59),IF($NP$59="Single_Point",IF(326=$NR$59,$NN$59,0),IF($NP$59="Bell_Curve",$NN$59*(326-$NR$59+1)*($NS$59-326+1)/$NU$59,$NN$59/$NT$59)),0)</f>
        <v/>
      </c>
      <c r="LS59" s="402">
        <f>IF(AND(327&gt;=$NR$59,327&lt;=$NS$59),IF($NP$59="Single_Point",IF(327=$NR$59,$NN$59,0),IF($NP$59="Bell_Curve",$NN$59*(327-$NR$59+1)*($NS$59-327+1)/$NU$59,$NN$59/$NT$59)),0)</f>
        <v/>
      </c>
      <c r="LT59" s="402">
        <f>IF(AND(328&gt;=$NR$59,328&lt;=$NS$59),IF($NP$59="Single_Point",IF(328=$NR$59,$NN$59,0),IF($NP$59="Bell_Curve",$NN$59*(328-$NR$59+1)*($NS$59-328+1)/$NU$59,$NN$59/$NT$59)),0)</f>
        <v/>
      </c>
      <c r="LU59" s="402">
        <f>IF(AND(329&gt;=$NR$59,329&lt;=$NS$59),IF($NP$59="Single_Point",IF(329=$NR$59,$NN$59,0),IF($NP$59="Bell_Curve",$NN$59*(329-$NR$59+1)*($NS$59-329+1)/$NU$59,$NN$59/$NT$59)),0)</f>
        <v/>
      </c>
      <c r="LV59" s="402">
        <f>IF(AND(330&gt;=$NR$59,330&lt;=$NS$59),IF($NP$59="Single_Point",IF(330=$NR$59,$NN$59,0),IF($NP$59="Bell_Curve",$NN$59*(330-$NR$59+1)*($NS$59-330+1)/$NU$59,$NN$59/$NT$59)),0)</f>
        <v/>
      </c>
      <c r="LW59" s="402">
        <f>IF(AND(331&gt;=$NR$59,331&lt;=$NS$59),IF($NP$59="Single_Point",IF(331=$NR$59,$NN$59,0),IF($NP$59="Bell_Curve",$NN$59*(331-$NR$59+1)*($NS$59-331+1)/$NU$59,$NN$59/$NT$59)),0)</f>
        <v/>
      </c>
      <c r="LX59" s="402">
        <f>IF(AND(332&gt;=$NR$59,332&lt;=$NS$59),IF($NP$59="Single_Point",IF(332=$NR$59,$NN$59,0),IF($NP$59="Bell_Curve",$NN$59*(332-$NR$59+1)*($NS$59-332+1)/$NU$59,$NN$59/$NT$59)),0)</f>
        <v/>
      </c>
      <c r="LY59" s="402">
        <f>IF(AND(333&gt;=$NR$59,333&lt;=$NS$59),IF($NP$59="Single_Point",IF(333=$NR$59,$NN$59,0),IF($NP$59="Bell_Curve",$NN$59*(333-$NR$59+1)*($NS$59-333+1)/$NU$59,$NN$59/$NT$59)),0)</f>
        <v/>
      </c>
      <c r="LZ59" s="402">
        <f>IF(AND(334&gt;=$NR$59,334&lt;=$NS$59),IF($NP$59="Single_Point",IF(334=$NR$59,$NN$59,0),IF($NP$59="Bell_Curve",$NN$59*(334-$NR$59+1)*($NS$59-334+1)/$NU$59,$NN$59/$NT$59)),0)</f>
        <v/>
      </c>
      <c r="MA59" s="402">
        <f>IF(AND(335&gt;=$NR$59,335&lt;=$NS$59),IF($NP$59="Single_Point",IF(335=$NR$59,$NN$59,0),IF($NP$59="Bell_Curve",$NN$59*(335-$NR$59+1)*($NS$59-335+1)/$NU$59,$NN$59/$NT$59)),0)</f>
        <v/>
      </c>
      <c r="MB59" s="402">
        <f>IF(AND(336&gt;=$NR$59,336&lt;=$NS$59),IF($NP$59="Single_Point",IF(336=$NR$59,$NN$59,0),IF($NP$59="Bell_Curve",$NN$59*(336-$NR$59+1)*($NS$59-336+1)/$NU$59,$NN$59/$NT$59)),0)</f>
        <v/>
      </c>
      <c r="MC59" s="402">
        <f>IF(AND(337&gt;=$NR$59,337&lt;=$NS$59),IF($NP$59="Single_Point",IF(337=$NR$59,$NN$59,0),IF($NP$59="Bell_Curve",$NN$59*(337-$NR$59+1)*($NS$59-337+1)/$NU$59,$NN$59/$NT$59)),0)</f>
        <v/>
      </c>
      <c r="MD59" s="402">
        <f>IF(AND(338&gt;=$NR$59,338&lt;=$NS$59),IF($NP$59="Single_Point",IF(338=$NR$59,$NN$59,0),IF($NP$59="Bell_Curve",$NN$59*(338-$NR$59+1)*($NS$59-338+1)/$NU$59,$NN$59/$NT$59)),0)</f>
        <v/>
      </c>
      <c r="ME59" s="402">
        <f>IF(AND(339&gt;=$NR$59,339&lt;=$NS$59),IF($NP$59="Single_Point",IF(339=$NR$59,$NN$59,0),IF($NP$59="Bell_Curve",$NN$59*(339-$NR$59+1)*($NS$59-339+1)/$NU$59,$NN$59/$NT$59)),0)</f>
        <v/>
      </c>
      <c r="MF59" s="402">
        <f>IF(AND(340&gt;=$NR$59,340&lt;=$NS$59),IF($NP$59="Single_Point",IF(340=$NR$59,$NN$59,0),IF($NP$59="Bell_Curve",$NN$59*(340-$NR$59+1)*($NS$59-340+1)/$NU$59,$NN$59/$NT$59)),0)</f>
        <v/>
      </c>
      <c r="MG59" s="402">
        <f>IF(AND(341&gt;=$NR$59,341&lt;=$NS$59),IF($NP$59="Single_Point",IF(341=$NR$59,$NN$59,0),IF($NP$59="Bell_Curve",$NN$59*(341-$NR$59+1)*($NS$59-341+1)/$NU$59,$NN$59/$NT$59)),0)</f>
        <v/>
      </c>
      <c r="MH59" s="402">
        <f>IF(AND(342&gt;=$NR$59,342&lt;=$NS$59),IF($NP$59="Single_Point",IF(342=$NR$59,$NN$59,0),IF($NP$59="Bell_Curve",$NN$59*(342-$NR$59+1)*($NS$59-342+1)/$NU$59,$NN$59/$NT$59)),0)</f>
        <v/>
      </c>
      <c r="MI59" s="402">
        <f>IF(AND(343&gt;=$NR$59,343&lt;=$NS$59),IF($NP$59="Single_Point",IF(343=$NR$59,$NN$59,0),IF($NP$59="Bell_Curve",$NN$59*(343-$NR$59+1)*($NS$59-343+1)/$NU$59,$NN$59/$NT$59)),0)</f>
        <v/>
      </c>
      <c r="MJ59" s="402">
        <f>IF(AND(344&gt;=$NR$59,344&lt;=$NS$59),IF($NP$59="Single_Point",IF(344=$NR$59,$NN$59,0),IF($NP$59="Bell_Curve",$NN$59*(344-$NR$59+1)*($NS$59-344+1)/$NU$59,$NN$59/$NT$59)),0)</f>
        <v/>
      </c>
      <c r="MK59" s="402">
        <f>IF(AND(345&gt;=$NR$59,345&lt;=$NS$59),IF($NP$59="Single_Point",IF(345=$NR$59,$NN$59,0),IF($NP$59="Bell_Curve",$NN$59*(345-$NR$59+1)*($NS$59-345+1)/$NU$59,$NN$59/$NT$59)),0)</f>
        <v/>
      </c>
      <c r="ML59" s="402">
        <f>IF(AND(346&gt;=$NR$59,346&lt;=$NS$59),IF($NP$59="Single_Point",IF(346=$NR$59,$NN$59,0),IF($NP$59="Bell_Curve",$NN$59*(346-$NR$59+1)*($NS$59-346+1)/$NU$59,$NN$59/$NT$59)),0)</f>
        <v/>
      </c>
      <c r="MM59" s="402">
        <f>IF(AND(347&gt;=$NR$59,347&lt;=$NS$59),IF($NP$59="Single_Point",IF(347=$NR$59,$NN$59,0),IF($NP$59="Bell_Curve",$NN$59*(347-$NR$59+1)*($NS$59-347+1)/$NU$59,$NN$59/$NT$59)),0)</f>
        <v/>
      </c>
      <c r="MN59" s="402">
        <f>IF(AND(348&gt;=$NR$59,348&lt;=$NS$59),IF($NP$59="Single_Point",IF(348=$NR$59,$NN$59,0),IF($NP$59="Bell_Curve",$NN$59*(348-$NR$59+1)*($NS$59-348+1)/$NU$59,$NN$59/$NT$59)),0)</f>
        <v/>
      </c>
      <c r="MO59" s="402">
        <f>IF(AND(349&gt;=$NR$59,349&lt;=$NS$59),IF($NP$59="Single_Point",IF(349=$NR$59,$NN$59,0),IF($NP$59="Bell_Curve",$NN$59*(349-$NR$59+1)*($NS$59-349+1)/$NU$59,$NN$59/$NT$59)),0)</f>
        <v/>
      </c>
      <c r="MP59" s="402">
        <f>IF(AND(350&gt;=$NR$59,350&lt;=$NS$59),IF($NP$59="Single_Point",IF(350=$NR$59,$NN$59,0),IF($NP$59="Bell_Curve",$NN$59*(350-$NR$59+1)*($NS$59-350+1)/$NU$59,$NN$59/$NT$59)),0)</f>
        <v/>
      </c>
      <c r="MQ59" s="402">
        <f>IF(AND(351&gt;=$NR$59,351&lt;=$NS$59),IF($NP$59="Single_Point",IF(351=$NR$59,$NN$59,0),IF($NP$59="Bell_Curve",$NN$59*(351-$NR$59+1)*($NS$59-351+1)/$NU$59,$NN$59/$NT$59)),0)</f>
        <v/>
      </c>
      <c r="MR59" s="402">
        <f>IF(AND(352&gt;=$NR$59,352&lt;=$NS$59),IF($NP$59="Single_Point",IF(352=$NR$59,$NN$59,0),IF($NP$59="Bell_Curve",$NN$59*(352-$NR$59+1)*($NS$59-352+1)/$NU$59,$NN$59/$NT$59)),0)</f>
        <v/>
      </c>
      <c r="MS59" s="402">
        <f>IF(AND(353&gt;=$NR$59,353&lt;=$NS$59),IF($NP$59="Single_Point",IF(353=$NR$59,$NN$59,0),IF($NP$59="Bell_Curve",$NN$59*(353-$NR$59+1)*($NS$59-353+1)/$NU$59,$NN$59/$NT$59)),0)</f>
        <v/>
      </c>
      <c r="MT59" s="402">
        <f>IF(AND(354&gt;=$NR$59,354&lt;=$NS$59),IF($NP$59="Single_Point",IF(354=$NR$59,$NN$59,0),IF($NP$59="Bell_Curve",$NN$59*(354-$NR$59+1)*($NS$59-354+1)/$NU$59,$NN$59/$NT$59)),0)</f>
        <v/>
      </c>
      <c r="MU59" s="402">
        <f>IF(AND(355&gt;=$NR$59,355&lt;=$NS$59),IF($NP$59="Single_Point",IF(355=$NR$59,$NN$59,0),IF($NP$59="Bell_Curve",$NN$59*(355-$NR$59+1)*($NS$59-355+1)/$NU$59,$NN$59/$NT$59)),0)</f>
        <v/>
      </c>
      <c r="MV59" s="402">
        <f>IF(AND(356&gt;=$NR$59,356&lt;=$NS$59),IF($NP$59="Single_Point",IF(356=$NR$59,$NN$59,0),IF($NP$59="Bell_Curve",$NN$59*(356-$NR$59+1)*($NS$59-356+1)/$NU$59,$NN$59/$NT$59)),0)</f>
        <v/>
      </c>
      <c r="MW59" s="402">
        <f>IF(AND(357&gt;=$NR$59,357&lt;=$NS$59),IF($NP$59="Single_Point",IF(357=$NR$59,$NN$59,0),IF($NP$59="Bell_Curve",$NN$59*(357-$NR$59+1)*($NS$59-357+1)/$NU$59,$NN$59/$NT$59)),0)</f>
        <v/>
      </c>
      <c r="MX59" s="402">
        <f>IF(AND(358&gt;=$NR$59,358&lt;=$NS$59),IF($NP$59="Single_Point",IF(358=$NR$59,$NN$59,0),IF($NP$59="Bell_Curve",$NN$59*(358-$NR$59+1)*($NS$59-358+1)/$NU$59,$NN$59/$NT$59)),0)</f>
        <v/>
      </c>
      <c r="MY59" s="402">
        <f>IF(AND(359&gt;=$NR$59,359&lt;=$NS$59),IF($NP$59="Single_Point",IF(359=$NR$59,$NN$59,0),IF($NP$59="Bell_Curve",$NN$59*(359-$NR$59+1)*($NS$59-359+1)/$NU$59,$NN$59/$NT$59)),0)</f>
        <v/>
      </c>
      <c r="MZ59" s="402">
        <f>IF(AND(360&gt;=$NR$59,360&lt;=$NS$59),IF($NP$59="Single_Point",IF(360=$NR$59,$NN$59,0),IF($NP$59="Bell_Curve",$NN$59*(360-$NR$59+1)*($NS$59-360+1)/$NU$59,$NN$59/$NT$59)),0)</f>
        <v/>
      </c>
      <c r="NA59" s="402">
        <f>IF(AND(361&gt;=$NR$59,361&lt;=$NS$59),IF($NP$59="Single_Point",IF(361=$NR$59,$NN$59,0),IF($NP$59="Bell_Curve",$NN$59*(361-$NR$59+1)*($NS$59-361+1)/$NU$59,$NN$59/$NT$59)),0)</f>
        <v/>
      </c>
      <c r="NB59" s="402">
        <f>IF(AND(362&gt;=$NR$59,362&lt;=$NS$59),IF($NP$59="Single_Point",IF(362=$NR$59,$NN$59,0),IF($NP$59="Bell_Curve",$NN$59*(362-$NR$59+1)*($NS$59-362+1)/$NU$59,$NN$59/$NT$59)),0)</f>
        <v/>
      </c>
      <c r="NC59" s="402">
        <f>IF(AND(363&gt;=$NR$59,363&lt;=$NS$59),IF($NP$59="Single_Point",IF(363=$NR$59,$NN$59,0),IF($NP$59="Bell_Curve",$NN$59*(363-$NR$59+1)*($NS$59-363+1)/$NU$59,$NN$59/$NT$59)),0)</f>
        <v/>
      </c>
      <c r="ND59" s="402">
        <f>IF(AND(364&gt;=$NR$59,364&lt;=$NS$59),IF($NP$59="Single_Point",IF(364=$NR$59,$NN$59,0),IF($NP$59="Bell_Curve",$NN$59*(364-$NR$59+1)*($NS$59-364+1)/$NU$59,$NN$59/$NT$59)),0)</f>
        <v/>
      </c>
      <c r="NE59" s="402">
        <f>IF(AND(365&gt;=$NR$59,365&lt;=$NS$59),IF($NP$59="Single_Point",IF(365=$NR$59,$NN$59,0),IF($NP$59="Bell_Curve",$NN$59*(365-$NR$59+1)*($NS$59-365+1)/$NU$59,$NN$59/$NT$59)),0)</f>
        <v/>
      </c>
      <c r="NF59" s="402">
        <f>IF(AND(366&gt;=$NR$59,366&lt;=$NS$59),IF($NP$59="Single_Point",IF(366=$NR$59,$NN$59,0),IF($NP$59="Bell_Curve",$NN$59*(366-$NR$59+1)*($NS$59-366+1)/$NU$59,$NN$59/$NT$59)),0)</f>
        <v/>
      </c>
      <c r="NG59" s="402">
        <f>IF(AND(367&gt;=$NR$59,367&lt;=$NS$59),IF($NP$59="Single_Point",IF(367=$NR$59,$NN$59,0),IF($NP$59="Bell_Curve",$NN$59*(367-$NR$59+1)*($NS$59-367+1)/$NU$59,$NN$59/$NT$59)),0)</f>
        <v/>
      </c>
      <c r="NH59" s="402">
        <f>IF(AND(368&gt;=$NR$59,368&lt;=$NS$59),IF($NP$59="Single_Point",IF(368=$NR$59,$NN$59,0),IF($NP$59="Bell_Curve",$NN$59*(368-$NR$59+1)*($NS$59-368+1)/$NU$59,$NN$59/$NT$59)),0)</f>
        <v/>
      </c>
      <c r="NI59" s="402">
        <f>IF(AND(369&gt;=$NR$59,369&lt;=$NS$59),IF($NP$59="Single_Point",IF(369=$NR$59,$NN$59,0),IF($NP$59="Bell_Curve",$NN$59*(369-$NR$59+1)*($NS$59-369+1)/$NU$59,$NN$59/$NT$59)),0)</f>
        <v/>
      </c>
      <c r="NJ59" s="402">
        <f>IF(AND(370&gt;=$NR$59,370&lt;=$NS$59),IF($NP$59="Single_Point",IF(370=$NR$59,$NN$59,0),IF($NP$59="Bell_Curve",$NN$59*(370-$NR$59+1)*($NS$59-370+1)/$NU$59,$NN$59/$NT$59)),0)</f>
        <v/>
      </c>
      <c r="NK59" s="402">
        <f>IF(AND(371&gt;=$NR$59,371&lt;=$NS$59),IF($NP$59="Single_Point",IF(371=$NR$59,$NN$59,0),IF($NP$59="Bell_Curve",$NN$59*(371-$NR$59+1)*($NS$59-371+1)/$NU$59,$NN$59/$NT$59)),0)</f>
        <v/>
      </c>
      <c r="NL59" s="402">
        <f>IF(AND(372&gt;=$NR$59,372&lt;=$NS$59),IF($NP$59="Single_Point",IF(372=$NR$59,$NN$59,0),IF($NP$59="Bell_Curve",$NN$59*(372-$NR$59+1)*($NS$59-372+1)/$NU$59,$NN$59/$NT$59)),0)</f>
        <v/>
      </c>
      <c r="NM59">
        <f>Budget!C58</f>
        <v/>
      </c>
      <c r="NN59">
        <f>Budget!J58</f>
        <v/>
      </c>
      <c r="NO59">
        <f>Budget!G58</f>
        <v/>
      </c>
      <c r="NP59">
        <f>Budget!H58</f>
        <v/>
      </c>
      <c r="NQ59">
        <f>Budget!I58</f>
        <v/>
      </c>
      <c r="NR59">
        <f>MAX(1,MIN(372,INDEX(MilestoneStart,MATCH(NO59,MilestoneNames,0))+NQ59))</f>
        <v/>
      </c>
      <c r="NS59">
        <f>MAX(NR59,MIN(372,INDEX(MilestoneEnd,MATCH(NO59,MilestoneNames,0))+NQ59))</f>
        <v/>
      </c>
      <c r="NT59">
        <f>NS59-NR59+1</f>
        <v/>
      </c>
      <c r="NU59">
        <f>NT59*(NT59+1)*(NT59+2)/6</f>
        <v/>
      </c>
    </row>
    <row r="60">
      <c r="B60" s="316">
        <f>Budget!B59</f>
        <v/>
      </c>
      <c r="D60" s="402">
        <f>SUM(E60:NL60)</f>
        <v/>
      </c>
      <c r="E60" s="402">
        <f>IF(AND(1&gt;=$NR$60,1&lt;=$NS$60),IF($NP$60="Single_Point",IF(1=$NR$60,$NN$60,0),IF($NP$60="Bell_Curve",$NN$60*(1-$NR$60+1)*($NS$60-1+1)/$NU$60,$NN$60/$NT$60)),0)</f>
        <v/>
      </c>
      <c r="F60" s="402">
        <f>IF(AND(2&gt;=$NR$60,2&lt;=$NS$60),IF($NP$60="Single_Point",IF(2=$NR$60,$NN$60,0),IF($NP$60="Bell_Curve",$NN$60*(2-$NR$60+1)*($NS$60-2+1)/$NU$60,$NN$60/$NT$60)),0)</f>
        <v/>
      </c>
      <c r="G60" s="402">
        <f>IF(AND(3&gt;=$NR$60,3&lt;=$NS$60),IF($NP$60="Single_Point",IF(3=$NR$60,$NN$60,0),IF($NP$60="Bell_Curve",$NN$60*(3-$NR$60+1)*($NS$60-3+1)/$NU$60,$NN$60/$NT$60)),0)</f>
        <v/>
      </c>
      <c r="H60" s="402">
        <f>IF(AND(4&gt;=$NR$60,4&lt;=$NS$60),IF($NP$60="Single_Point",IF(4=$NR$60,$NN$60,0),IF($NP$60="Bell_Curve",$NN$60*(4-$NR$60+1)*($NS$60-4+1)/$NU$60,$NN$60/$NT$60)),0)</f>
        <v/>
      </c>
      <c r="I60" s="402">
        <f>IF(AND(5&gt;=$NR$60,5&lt;=$NS$60),IF($NP$60="Single_Point",IF(5=$NR$60,$NN$60,0),IF($NP$60="Bell_Curve",$NN$60*(5-$NR$60+1)*($NS$60-5+1)/$NU$60,$NN$60/$NT$60)),0)</f>
        <v/>
      </c>
      <c r="J60" s="402">
        <f>IF(AND(6&gt;=$NR$60,6&lt;=$NS$60),IF($NP$60="Single_Point",IF(6=$NR$60,$NN$60,0),IF($NP$60="Bell_Curve",$NN$60*(6-$NR$60+1)*($NS$60-6+1)/$NU$60,$NN$60/$NT$60)),0)</f>
        <v/>
      </c>
      <c r="K60" s="402">
        <f>IF(AND(7&gt;=$NR$60,7&lt;=$NS$60),IF($NP$60="Single_Point",IF(7=$NR$60,$NN$60,0),IF($NP$60="Bell_Curve",$NN$60*(7-$NR$60+1)*($NS$60-7+1)/$NU$60,$NN$60/$NT$60)),0)</f>
        <v/>
      </c>
      <c r="L60" s="402">
        <f>IF(AND(8&gt;=$NR$60,8&lt;=$NS$60),IF($NP$60="Single_Point",IF(8=$NR$60,$NN$60,0),IF($NP$60="Bell_Curve",$NN$60*(8-$NR$60+1)*($NS$60-8+1)/$NU$60,$NN$60/$NT$60)),0)</f>
        <v/>
      </c>
      <c r="M60" s="402">
        <f>IF(AND(9&gt;=$NR$60,9&lt;=$NS$60),IF($NP$60="Single_Point",IF(9=$NR$60,$NN$60,0),IF($NP$60="Bell_Curve",$NN$60*(9-$NR$60+1)*($NS$60-9+1)/$NU$60,$NN$60/$NT$60)),0)</f>
        <v/>
      </c>
      <c r="N60" s="402">
        <f>IF(AND(10&gt;=$NR$60,10&lt;=$NS$60),IF($NP$60="Single_Point",IF(10=$NR$60,$NN$60,0),IF($NP$60="Bell_Curve",$NN$60*(10-$NR$60+1)*($NS$60-10+1)/$NU$60,$NN$60/$NT$60)),0)</f>
        <v/>
      </c>
      <c r="O60" s="402">
        <f>IF(AND(11&gt;=$NR$60,11&lt;=$NS$60),IF($NP$60="Single_Point",IF(11=$NR$60,$NN$60,0),IF($NP$60="Bell_Curve",$NN$60*(11-$NR$60+1)*($NS$60-11+1)/$NU$60,$NN$60/$NT$60)),0)</f>
        <v/>
      </c>
      <c r="P60" s="402">
        <f>IF(AND(12&gt;=$NR$60,12&lt;=$NS$60),IF($NP$60="Single_Point",IF(12=$NR$60,$NN$60,0),IF($NP$60="Bell_Curve",$NN$60*(12-$NR$60+1)*($NS$60-12+1)/$NU$60,$NN$60/$NT$60)),0)</f>
        <v/>
      </c>
      <c r="Q60" s="402">
        <f>IF(AND(13&gt;=$NR$60,13&lt;=$NS$60),IF($NP$60="Single_Point",IF(13=$NR$60,$NN$60,0),IF($NP$60="Bell_Curve",$NN$60*(13-$NR$60+1)*($NS$60-13+1)/$NU$60,$NN$60/$NT$60)),0)</f>
        <v/>
      </c>
      <c r="R60" s="402">
        <f>IF(AND(14&gt;=$NR$60,14&lt;=$NS$60),IF($NP$60="Single_Point",IF(14=$NR$60,$NN$60,0),IF($NP$60="Bell_Curve",$NN$60*(14-$NR$60+1)*($NS$60-14+1)/$NU$60,$NN$60/$NT$60)),0)</f>
        <v/>
      </c>
      <c r="S60" s="402">
        <f>IF(AND(15&gt;=$NR$60,15&lt;=$NS$60),IF($NP$60="Single_Point",IF(15=$NR$60,$NN$60,0),IF($NP$60="Bell_Curve",$NN$60*(15-$NR$60+1)*($NS$60-15+1)/$NU$60,$NN$60/$NT$60)),0)</f>
        <v/>
      </c>
      <c r="T60" s="402">
        <f>IF(AND(16&gt;=$NR$60,16&lt;=$NS$60),IF($NP$60="Single_Point",IF(16=$NR$60,$NN$60,0),IF($NP$60="Bell_Curve",$NN$60*(16-$NR$60+1)*($NS$60-16+1)/$NU$60,$NN$60/$NT$60)),0)</f>
        <v/>
      </c>
      <c r="U60" s="402">
        <f>IF(AND(17&gt;=$NR$60,17&lt;=$NS$60),IF($NP$60="Single_Point",IF(17=$NR$60,$NN$60,0),IF($NP$60="Bell_Curve",$NN$60*(17-$NR$60+1)*($NS$60-17+1)/$NU$60,$NN$60/$NT$60)),0)</f>
        <v/>
      </c>
      <c r="V60" s="402">
        <f>IF(AND(18&gt;=$NR$60,18&lt;=$NS$60),IF($NP$60="Single_Point",IF(18=$NR$60,$NN$60,0),IF($NP$60="Bell_Curve",$NN$60*(18-$NR$60+1)*($NS$60-18+1)/$NU$60,$NN$60/$NT$60)),0)</f>
        <v/>
      </c>
      <c r="W60" s="402">
        <f>IF(AND(19&gt;=$NR$60,19&lt;=$NS$60),IF($NP$60="Single_Point",IF(19=$NR$60,$NN$60,0),IF($NP$60="Bell_Curve",$NN$60*(19-$NR$60+1)*($NS$60-19+1)/$NU$60,$NN$60/$NT$60)),0)</f>
        <v/>
      </c>
      <c r="X60" s="402">
        <f>IF(AND(20&gt;=$NR$60,20&lt;=$NS$60),IF($NP$60="Single_Point",IF(20=$NR$60,$NN$60,0),IF($NP$60="Bell_Curve",$NN$60*(20-$NR$60+1)*($NS$60-20+1)/$NU$60,$NN$60/$NT$60)),0)</f>
        <v/>
      </c>
      <c r="Y60" s="402">
        <f>IF(AND(21&gt;=$NR$60,21&lt;=$NS$60),IF($NP$60="Single_Point",IF(21=$NR$60,$NN$60,0),IF($NP$60="Bell_Curve",$NN$60*(21-$NR$60+1)*($NS$60-21+1)/$NU$60,$NN$60/$NT$60)),0)</f>
        <v/>
      </c>
      <c r="Z60" s="402">
        <f>IF(AND(22&gt;=$NR$60,22&lt;=$NS$60),IF($NP$60="Single_Point",IF(22=$NR$60,$NN$60,0),IF($NP$60="Bell_Curve",$NN$60*(22-$NR$60+1)*($NS$60-22+1)/$NU$60,$NN$60/$NT$60)),0)</f>
        <v/>
      </c>
      <c r="AA60" s="402">
        <f>IF(AND(23&gt;=$NR$60,23&lt;=$NS$60),IF($NP$60="Single_Point",IF(23=$NR$60,$NN$60,0),IF($NP$60="Bell_Curve",$NN$60*(23-$NR$60+1)*($NS$60-23+1)/$NU$60,$NN$60/$NT$60)),0)</f>
        <v/>
      </c>
      <c r="AB60" s="402">
        <f>IF(AND(24&gt;=$NR$60,24&lt;=$NS$60),IF($NP$60="Single_Point",IF(24=$NR$60,$NN$60,0),IF($NP$60="Bell_Curve",$NN$60*(24-$NR$60+1)*($NS$60-24+1)/$NU$60,$NN$60/$NT$60)),0)</f>
        <v/>
      </c>
      <c r="AC60" s="402">
        <f>IF(AND(25&gt;=$NR$60,25&lt;=$NS$60),IF($NP$60="Single_Point",IF(25=$NR$60,$NN$60,0),IF($NP$60="Bell_Curve",$NN$60*(25-$NR$60+1)*($NS$60-25+1)/$NU$60,$NN$60/$NT$60)),0)</f>
        <v/>
      </c>
      <c r="AD60" s="402">
        <f>IF(AND(26&gt;=$NR$60,26&lt;=$NS$60),IF($NP$60="Single_Point",IF(26=$NR$60,$NN$60,0),IF($NP$60="Bell_Curve",$NN$60*(26-$NR$60+1)*($NS$60-26+1)/$NU$60,$NN$60/$NT$60)),0)</f>
        <v/>
      </c>
      <c r="AE60" s="402">
        <f>IF(AND(27&gt;=$NR$60,27&lt;=$NS$60),IF($NP$60="Single_Point",IF(27=$NR$60,$NN$60,0),IF($NP$60="Bell_Curve",$NN$60*(27-$NR$60+1)*($NS$60-27+1)/$NU$60,$NN$60/$NT$60)),0)</f>
        <v/>
      </c>
      <c r="AF60" s="402">
        <f>IF(AND(28&gt;=$NR$60,28&lt;=$NS$60),IF($NP$60="Single_Point",IF(28=$NR$60,$NN$60,0),IF($NP$60="Bell_Curve",$NN$60*(28-$NR$60+1)*($NS$60-28+1)/$NU$60,$NN$60/$NT$60)),0)</f>
        <v/>
      </c>
      <c r="AG60" s="402">
        <f>IF(AND(29&gt;=$NR$60,29&lt;=$NS$60),IF($NP$60="Single_Point",IF(29=$NR$60,$NN$60,0),IF($NP$60="Bell_Curve",$NN$60*(29-$NR$60+1)*($NS$60-29+1)/$NU$60,$NN$60/$NT$60)),0)</f>
        <v/>
      </c>
      <c r="AH60" s="402">
        <f>IF(AND(30&gt;=$NR$60,30&lt;=$NS$60),IF($NP$60="Single_Point",IF(30=$NR$60,$NN$60,0),IF($NP$60="Bell_Curve",$NN$60*(30-$NR$60+1)*($NS$60-30+1)/$NU$60,$NN$60/$NT$60)),0)</f>
        <v/>
      </c>
      <c r="AI60" s="402">
        <f>IF(AND(31&gt;=$NR$60,31&lt;=$NS$60),IF($NP$60="Single_Point",IF(31=$NR$60,$NN$60,0),IF($NP$60="Bell_Curve",$NN$60*(31-$NR$60+1)*($NS$60-31+1)/$NU$60,$NN$60/$NT$60)),0)</f>
        <v/>
      </c>
      <c r="AJ60" s="402">
        <f>IF(AND(32&gt;=$NR$60,32&lt;=$NS$60),IF($NP$60="Single_Point",IF(32=$NR$60,$NN$60,0),IF($NP$60="Bell_Curve",$NN$60*(32-$NR$60+1)*($NS$60-32+1)/$NU$60,$NN$60/$NT$60)),0)</f>
        <v/>
      </c>
      <c r="AK60" s="402">
        <f>IF(AND(33&gt;=$NR$60,33&lt;=$NS$60),IF($NP$60="Single_Point",IF(33=$NR$60,$NN$60,0),IF($NP$60="Bell_Curve",$NN$60*(33-$NR$60+1)*($NS$60-33+1)/$NU$60,$NN$60/$NT$60)),0)</f>
        <v/>
      </c>
      <c r="AL60" s="402">
        <f>IF(AND(34&gt;=$NR$60,34&lt;=$NS$60),IF($NP$60="Single_Point",IF(34=$NR$60,$NN$60,0),IF($NP$60="Bell_Curve",$NN$60*(34-$NR$60+1)*($NS$60-34+1)/$NU$60,$NN$60/$NT$60)),0)</f>
        <v/>
      </c>
      <c r="AM60" s="402">
        <f>IF(AND(35&gt;=$NR$60,35&lt;=$NS$60),IF($NP$60="Single_Point",IF(35=$NR$60,$NN$60,0),IF($NP$60="Bell_Curve",$NN$60*(35-$NR$60+1)*($NS$60-35+1)/$NU$60,$NN$60/$NT$60)),0)</f>
        <v/>
      </c>
      <c r="AN60" s="402">
        <f>IF(AND(36&gt;=$NR$60,36&lt;=$NS$60),IF($NP$60="Single_Point",IF(36=$NR$60,$NN$60,0),IF($NP$60="Bell_Curve",$NN$60*(36-$NR$60+1)*($NS$60-36+1)/$NU$60,$NN$60/$NT$60)),0)</f>
        <v/>
      </c>
      <c r="AO60" s="402">
        <f>IF(AND(37&gt;=$NR$60,37&lt;=$NS$60),IF($NP$60="Single_Point",IF(37=$NR$60,$NN$60,0),IF($NP$60="Bell_Curve",$NN$60*(37-$NR$60+1)*($NS$60-37+1)/$NU$60,$NN$60/$NT$60)),0)</f>
        <v/>
      </c>
      <c r="AP60" s="402">
        <f>IF(AND(38&gt;=$NR$60,38&lt;=$NS$60),IF($NP$60="Single_Point",IF(38=$NR$60,$NN$60,0),IF($NP$60="Bell_Curve",$NN$60*(38-$NR$60+1)*($NS$60-38+1)/$NU$60,$NN$60/$NT$60)),0)</f>
        <v/>
      </c>
      <c r="AQ60" s="402">
        <f>IF(AND(39&gt;=$NR$60,39&lt;=$NS$60),IF($NP$60="Single_Point",IF(39=$NR$60,$NN$60,0),IF($NP$60="Bell_Curve",$NN$60*(39-$NR$60+1)*($NS$60-39+1)/$NU$60,$NN$60/$NT$60)),0)</f>
        <v/>
      </c>
      <c r="AR60" s="402">
        <f>IF(AND(40&gt;=$NR$60,40&lt;=$NS$60),IF($NP$60="Single_Point",IF(40=$NR$60,$NN$60,0),IF($NP$60="Bell_Curve",$NN$60*(40-$NR$60+1)*($NS$60-40+1)/$NU$60,$NN$60/$NT$60)),0)</f>
        <v/>
      </c>
      <c r="AS60" s="402">
        <f>IF(AND(41&gt;=$NR$60,41&lt;=$NS$60),IF($NP$60="Single_Point",IF(41=$NR$60,$NN$60,0),IF($NP$60="Bell_Curve",$NN$60*(41-$NR$60+1)*($NS$60-41+1)/$NU$60,$NN$60/$NT$60)),0)</f>
        <v/>
      </c>
      <c r="AT60" s="402">
        <f>IF(AND(42&gt;=$NR$60,42&lt;=$NS$60),IF($NP$60="Single_Point",IF(42=$NR$60,$NN$60,0),IF($NP$60="Bell_Curve",$NN$60*(42-$NR$60+1)*($NS$60-42+1)/$NU$60,$NN$60/$NT$60)),0)</f>
        <v/>
      </c>
      <c r="AU60" s="402">
        <f>IF(AND(43&gt;=$NR$60,43&lt;=$NS$60),IF($NP$60="Single_Point",IF(43=$NR$60,$NN$60,0),IF($NP$60="Bell_Curve",$NN$60*(43-$NR$60+1)*($NS$60-43+1)/$NU$60,$NN$60/$NT$60)),0)</f>
        <v/>
      </c>
      <c r="AV60" s="402">
        <f>IF(AND(44&gt;=$NR$60,44&lt;=$NS$60),IF($NP$60="Single_Point",IF(44=$NR$60,$NN$60,0),IF($NP$60="Bell_Curve",$NN$60*(44-$NR$60+1)*($NS$60-44+1)/$NU$60,$NN$60/$NT$60)),0)</f>
        <v/>
      </c>
      <c r="AW60" s="402">
        <f>IF(AND(45&gt;=$NR$60,45&lt;=$NS$60),IF($NP$60="Single_Point",IF(45=$NR$60,$NN$60,0),IF($NP$60="Bell_Curve",$NN$60*(45-$NR$60+1)*($NS$60-45+1)/$NU$60,$NN$60/$NT$60)),0)</f>
        <v/>
      </c>
      <c r="AX60" s="402">
        <f>IF(AND(46&gt;=$NR$60,46&lt;=$NS$60),IF($NP$60="Single_Point",IF(46=$NR$60,$NN$60,0),IF($NP$60="Bell_Curve",$NN$60*(46-$NR$60+1)*($NS$60-46+1)/$NU$60,$NN$60/$NT$60)),0)</f>
        <v/>
      </c>
      <c r="AY60" s="402">
        <f>IF(AND(47&gt;=$NR$60,47&lt;=$NS$60),IF($NP$60="Single_Point",IF(47=$NR$60,$NN$60,0),IF($NP$60="Bell_Curve",$NN$60*(47-$NR$60+1)*($NS$60-47+1)/$NU$60,$NN$60/$NT$60)),0)</f>
        <v/>
      </c>
      <c r="AZ60" s="402">
        <f>IF(AND(48&gt;=$NR$60,48&lt;=$NS$60),IF($NP$60="Single_Point",IF(48=$NR$60,$NN$60,0),IF($NP$60="Bell_Curve",$NN$60*(48-$NR$60+1)*($NS$60-48+1)/$NU$60,$NN$60/$NT$60)),0)</f>
        <v/>
      </c>
      <c r="BA60" s="402">
        <f>IF(AND(49&gt;=$NR$60,49&lt;=$NS$60),IF($NP$60="Single_Point",IF(49=$NR$60,$NN$60,0),IF($NP$60="Bell_Curve",$NN$60*(49-$NR$60+1)*($NS$60-49+1)/$NU$60,$NN$60/$NT$60)),0)</f>
        <v/>
      </c>
      <c r="BB60" s="402">
        <f>IF(AND(50&gt;=$NR$60,50&lt;=$NS$60),IF($NP$60="Single_Point",IF(50=$NR$60,$NN$60,0),IF($NP$60="Bell_Curve",$NN$60*(50-$NR$60+1)*($NS$60-50+1)/$NU$60,$NN$60/$NT$60)),0)</f>
        <v/>
      </c>
      <c r="BC60" s="402">
        <f>IF(AND(51&gt;=$NR$60,51&lt;=$NS$60),IF($NP$60="Single_Point",IF(51=$NR$60,$NN$60,0),IF($NP$60="Bell_Curve",$NN$60*(51-$NR$60+1)*($NS$60-51+1)/$NU$60,$NN$60/$NT$60)),0)</f>
        <v/>
      </c>
      <c r="BD60" s="402">
        <f>IF(AND(52&gt;=$NR$60,52&lt;=$NS$60),IF($NP$60="Single_Point",IF(52=$NR$60,$NN$60,0),IF($NP$60="Bell_Curve",$NN$60*(52-$NR$60+1)*($NS$60-52+1)/$NU$60,$NN$60/$NT$60)),0)</f>
        <v/>
      </c>
      <c r="BE60" s="402">
        <f>IF(AND(53&gt;=$NR$60,53&lt;=$NS$60),IF($NP$60="Single_Point",IF(53=$NR$60,$NN$60,0),IF($NP$60="Bell_Curve",$NN$60*(53-$NR$60+1)*($NS$60-53+1)/$NU$60,$NN$60/$NT$60)),0)</f>
        <v/>
      </c>
      <c r="BF60" s="402">
        <f>IF(AND(54&gt;=$NR$60,54&lt;=$NS$60),IF($NP$60="Single_Point",IF(54=$NR$60,$NN$60,0),IF($NP$60="Bell_Curve",$NN$60*(54-$NR$60+1)*($NS$60-54+1)/$NU$60,$NN$60/$NT$60)),0)</f>
        <v/>
      </c>
      <c r="BG60" s="402">
        <f>IF(AND(55&gt;=$NR$60,55&lt;=$NS$60),IF($NP$60="Single_Point",IF(55=$NR$60,$NN$60,0),IF($NP$60="Bell_Curve",$NN$60*(55-$NR$60+1)*($NS$60-55+1)/$NU$60,$NN$60/$NT$60)),0)</f>
        <v/>
      </c>
      <c r="BH60" s="402">
        <f>IF(AND(56&gt;=$NR$60,56&lt;=$NS$60),IF($NP$60="Single_Point",IF(56=$NR$60,$NN$60,0),IF($NP$60="Bell_Curve",$NN$60*(56-$NR$60+1)*($NS$60-56+1)/$NU$60,$NN$60/$NT$60)),0)</f>
        <v/>
      </c>
      <c r="BI60" s="402">
        <f>IF(AND(57&gt;=$NR$60,57&lt;=$NS$60),IF($NP$60="Single_Point",IF(57=$NR$60,$NN$60,0),IF($NP$60="Bell_Curve",$NN$60*(57-$NR$60+1)*($NS$60-57+1)/$NU$60,$NN$60/$NT$60)),0)</f>
        <v/>
      </c>
      <c r="BJ60" s="402">
        <f>IF(AND(58&gt;=$NR$60,58&lt;=$NS$60),IF($NP$60="Single_Point",IF(58=$NR$60,$NN$60,0),IF($NP$60="Bell_Curve",$NN$60*(58-$NR$60+1)*($NS$60-58+1)/$NU$60,$NN$60/$NT$60)),0)</f>
        <v/>
      </c>
      <c r="BK60" s="402">
        <f>IF(AND(59&gt;=$NR$60,59&lt;=$NS$60),IF($NP$60="Single_Point",IF(59=$NR$60,$NN$60,0),IF($NP$60="Bell_Curve",$NN$60*(59-$NR$60+1)*($NS$60-59+1)/$NU$60,$NN$60/$NT$60)),0)</f>
        <v/>
      </c>
      <c r="BL60" s="402">
        <f>IF(AND(60&gt;=$NR$60,60&lt;=$NS$60),IF($NP$60="Single_Point",IF(60=$NR$60,$NN$60,0),IF($NP$60="Bell_Curve",$NN$60*(60-$NR$60+1)*($NS$60-60+1)/$NU$60,$NN$60/$NT$60)),0)</f>
        <v/>
      </c>
      <c r="BM60" s="402">
        <f>IF(AND(61&gt;=$NR$60,61&lt;=$NS$60),IF($NP$60="Single_Point",IF(61=$NR$60,$NN$60,0),IF($NP$60="Bell_Curve",$NN$60*(61-$NR$60+1)*($NS$60-61+1)/$NU$60,$NN$60/$NT$60)),0)</f>
        <v/>
      </c>
      <c r="BN60" s="402">
        <f>IF(AND(62&gt;=$NR$60,62&lt;=$NS$60),IF($NP$60="Single_Point",IF(62=$NR$60,$NN$60,0),IF($NP$60="Bell_Curve",$NN$60*(62-$NR$60+1)*($NS$60-62+1)/$NU$60,$NN$60/$NT$60)),0)</f>
        <v/>
      </c>
      <c r="BO60" s="402">
        <f>IF(AND(63&gt;=$NR$60,63&lt;=$NS$60),IF($NP$60="Single_Point",IF(63=$NR$60,$NN$60,0),IF($NP$60="Bell_Curve",$NN$60*(63-$NR$60+1)*($NS$60-63+1)/$NU$60,$NN$60/$NT$60)),0)</f>
        <v/>
      </c>
      <c r="BP60" s="402">
        <f>IF(AND(64&gt;=$NR$60,64&lt;=$NS$60),IF($NP$60="Single_Point",IF(64=$NR$60,$NN$60,0),IF($NP$60="Bell_Curve",$NN$60*(64-$NR$60+1)*($NS$60-64+1)/$NU$60,$NN$60/$NT$60)),0)</f>
        <v/>
      </c>
      <c r="BQ60" s="402">
        <f>IF(AND(65&gt;=$NR$60,65&lt;=$NS$60),IF($NP$60="Single_Point",IF(65=$NR$60,$NN$60,0),IF($NP$60="Bell_Curve",$NN$60*(65-$NR$60+1)*($NS$60-65+1)/$NU$60,$NN$60/$NT$60)),0)</f>
        <v/>
      </c>
      <c r="BR60" s="402">
        <f>IF(AND(66&gt;=$NR$60,66&lt;=$NS$60),IF($NP$60="Single_Point",IF(66=$NR$60,$NN$60,0),IF($NP$60="Bell_Curve",$NN$60*(66-$NR$60+1)*($NS$60-66+1)/$NU$60,$NN$60/$NT$60)),0)</f>
        <v/>
      </c>
      <c r="BS60" s="402">
        <f>IF(AND(67&gt;=$NR$60,67&lt;=$NS$60),IF($NP$60="Single_Point",IF(67=$NR$60,$NN$60,0),IF($NP$60="Bell_Curve",$NN$60*(67-$NR$60+1)*($NS$60-67+1)/$NU$60,$NN$60/$NT$60)),0)</f>
        <v/>
      </c>
      <c r="BT60" s="402">
        <f>IF(AND(68&gt;=$NR$60,68&lt;=$NS$60),IF($NP$60="Single_Point",IF(68=$NR$60,$NN$60,0),IF($NP$60="Bell_Curve",$NN$60*(68-$NR$60+1)*($NS$60-68+1)/$NU$60,$NN$60/$NT$60)),0)</f>
        <v/>
      </c>
      <c r="BU60" s="402">
        <f>IF(AND(69&gt;=$NR$60,69&lt;=$NS$60),IF($NP$60="Single_Point",IF(69=$NR$60,$NN$60,0),IF($NP$60="Bell_Curve",$NN$60*(69-$NR$60+1)*($NS$60-69+1)/$NU$60,$NN$60/$NT$60)),0)</f>
        <v/>
      </c>
      <c r="BV60" s="402">
        <f>IF(AND(70&gt;=$NR$60,70&lt;=$NS$60),IF($NP$60="Single_Point",IF(70=$NR$60,$NN$60,0),IF($NP$60="Bell_Curve",$NN$60*(70-$NR$60+1)*($NS$60-70+1)/$NU$60,$NN$60/$NT$60)),0)</f>
        <v/>
      </c>
      <c r="BW60" s="402">
        <f>IF(AND(71&gt;=$NR$60,71&lt;=$NS$60),IF($NP$60="Single_Point",IF(71=$NR$60,$NN$60,0),IF($NP$60="Bell_Curve",$NN$60*(71-$NR$60+1)*($NS$60-71+1)/$NU$60,$NN$60/$NT$60)),0)</f>
        <v/>
      </c>
      <c r="BX60" s="402">
        <f>IF(AND(72&gt;=$NR$60,72&lt;=$NS$60),IF($NP$60="Single_Point",IF(72=$NR$60,$NN$60,0),IF($NP$60="Bell_Curve",$NN$60*(72-$NR$60+1)*($NS$60-72+1)/$NU$60,$NN$60/$NT$60)),0)</f>
        <v/>
      </c>
      <c r="BY60" s="402">
        <f>IF(AND(73&gt;=$NR$60,73&lt;=$NS$60),IF($NP$60="Single_Point",IF(73=$NR$60,$NN$60,0),IF($NP$60="Bell_Curve",$NN$60*(73-$NR$60+1)*($NS$60-73+1)/$NU$60,$NN$60/$NT$60)),0)</f>
        <v/>
      </c>
      <c r="BZ60" s="402">
        <f>IF(AND(74&gt;=$NR$60,74&lt;=$NS$60),IF($NP$60="Single_Point",IF(74=$NR$60,$NN$60,0),IF($NP$60="Bell_Curve",$NN$60*(74-$NR$60+1)*($NS$60-74+1)/$NU$60,$NN$60/$NT$60)),0)</f>
        <v/>
      </c>
      <c r="CA60" s="402">
        <f>IF(AND(75&gt;=$NR$60,75&lt;=$NS$60),IF($NP$60="Single_Point",IF(75=$NR$60,$NN$60,0),IF($NP$60="Bell_Curve",$NN$60*(75-$NR$60+1)*($NS$60-75+1)/$NU$60,$NN$60/$NT$60)),0)</f>
        <v/>
      </c>
      <c r="CB60" s="402">
        <f>IF(AND(76&gt;=$NR$60,76&lt;=$NS$60),IF($NP$60="Single_Point",IF(76=$NR$60,$NN$60,0),IF($NP$60="Bell_Curve",$NN$60*(76-$NR$60+1)*($NS$60-76+1)/$NU$60,$NN$60/$NT$60)),0)</f>
        <v/>
      </c>
      <c r="CC60" s="402">
        <f>IF(AND(77&gt;=$NR$60,77&lt;=$NS$60),IF($NP$60="Single_Point",IF(77=$NR$60,$NN$60,0),IF($NP$60="Bell_Curve",$NN$60*(77-$NR$60+1)*($NS$60-77+1)/$NU$60,$NN$60/$NT$60)),0)</f>
        <v/>
      </c>
      <c r="CD60" s="402">
        <f>IF(AND(78&gt;=$NR$60,78&lt;=$NS$60),IF($NP$60="Single_Point",IF(78=$NR$60,$NN$60,0),IF($NP$60="Bell_Curve",$NN$60*(78-$NR$60+1)*($NS$60-78+1)/$NU$60,$NN$60/$NT$60)),0)</f>
        <v/>
      </c>
      <c r="CE60" s="402">
        <f>IF(AND(79&gt;=$NR$60,79&lt;=$NS$60),IF($NP$60="Single_Point",IF(79=$NR$60,$NN$60,0),IF($NP$60="Bell_Curve",$NN$60*(79-$NR$60+1)*($NS$60-79+1)/$NU$60,$NN$60/$NT$60)),0)</f>
        <v/>
      </c>
      <c r="CF60" s="402">
        <f>IF(AND(80&gt;=$NR$60,80&lt;=$NS$60),IF($NP$60="Single_Point",IF(80=$NR$60,$NN$60,0),IF($NP$60="Bell_Curve",$NN$60*(80-$NR$60+1)*($NS$60-80+1)/$NU$60,$NN$60/$NT$60)),0)</f>
        <v/>
      </c>
      <c r="CG60" s="402">
        <f>IF(AND(81&gt;=$NR$60,81&lt;=$NS$60),IF($NP$60="Single_Point",IF(81=$NR$60,$NN$60,0),IF($NP$60="Bell_Curve",$NN$60*(81-$NR$60+1)*($NS$60-81+1)/$NU$60,$NN$60/$NT$60)),0)</f>
        <v/>
      </c>
      <c r="CH60" s="402">
        <f>IF(AND(82&gt;=$NR$60,82&lt;=$NS$60),IF($NP$60="Single_Point",IF(82=$NR$60,$NN$60,0),IF($NP$60="Bell_Curve",$NN$60*(82-$NR$60+1)*($NS$60-82+1)/$NU$60,$NN$60/$NT$60)),0)</f>
        <v/>
      </c>
      <c r="CI60" s="402">
        <f>IF(AND(83&gt;=$NR$60,83&lt;=$NS$60),IF($NP$60="Single_Point",IF(83=$NR$60,$NN$60,0),IF($NP$60="Bell_Curve",$NN$60*(83-$NR$60+1)*($NS$60-83+1)/$NU$60,$NN$60/$NT$60)),0)</f>
        <v/>
      </c>
      <c r="CJ60" s="402">
        <f>IF(AND(84&gt;=$NR$60,84&lt;=$NS$60),IF($NP$60="Single_Point",IF(84=$NR$60,$NN$60,0),IF($NP$60="Bell_Curve",$NN$60*(84-$NR$60+1)*($NS$60-84+1)/$NU$60,$NN$60/$NT$60)),0)</f>
        <v/>
      </c>
      <c r="CK60" s="402">
        <f>IF(AND(85&gt;=$NR$60,85&lt;=$NS$60),IF($NP$60="Single_Point",IF(85=$NR$60,$NN$60,0),IF($NP$60="Bell_Curve",$NN$60*(85-$NR$60+1)*($NS$60-85+1)/$NU$60,$NN$60/$NT$60)),0)</f>
        <v/>
      </c>
      <c r="CL60" s="402">
        <f>IF(AND(86&gt;=$NR$60,86&lt;=$NS$60),IF($NP$60="Single_Point",IF(86=$NR$60,$NN$60,0),IF($NP$60="Bell_Curve",$NN$60*(86-$NR$60+1)*($NS$60-86+1)/$NU$60,$NN$60/$NT$60)),0)</f>
        <v/>
      </c>
      <c r="CM60" s="402">
        <f>IF(AND(87&gt;=$NR$60,87&lt;=$NS$60),IF($NP$60="Single_Point",IF(87=$NR$60,$NN$60,0),IF($NP$60="Bell_Curve",$NN$60*(87-$NR$60+1)*($NS$60-87+1)/$NU$60,$NN$60/$NT$60)),0)</f>
        <v/>
      </c>
      <c r="CN60" s="402">
        <f>IF(AND(88&gt;=$NR$60,88&lt;=$NS$60),IF($NP$60="Single_Point",IF(88=$NR$60,$NN$60,0),IF($NP$60="Bell_Curve",$NN$60*(88-$NR$60+1)*($NS$60-88+1)/$NU$60,$NN$60/$NT$60)),0)</f>
        <v/>
      </c>
      <c r="CO60" s="402">
        <f>IF(AND(89&gt;=$NR$60,89&lt;=$NS$60),IF($NP$60="Single_Point",IF(89=$NR$60,$NN$60,0),IF($NP$60="Bell_Curve",$NN$60*(89-$NR$60+1)*($NS$60-89+1)/$NU$60,$NN$60/$NT$60)),0)</f>
        <v/>
      </c>
      <c r="CP60" s="402">
        <f>IF(AND(90&gt;=$NR$60,90&lt;=$NS$60),IF($NP$60="Single_Point",IF(90=$NR$60,$NN$60,0),IF($NP$60="Bell_Curve",$NN$60*(90-$NR$60+1)*($NS$60-90+1)/$NU$60,$NN$60/$NT$60)),0)</f>
        <v/>
      </c>
      <c r="CQ60" s="402">
        <f>IF(AND(91&gt;=$NR$60,91&lt;=$NS$60),IF($NP$60="Single_Point",IF(91=$NR$60,$NN$60,0),IF($NP$60="Bell_Curve",$NN$60*(91-$NR$60+1)*($NS$60-91+1)/$NU$60,$NN$60/$NT$60)),0)</f>
        <v/>
      </c>
      <c r="CR60" s="402">
        <f>IF(AND(92&gt;=$NR$60,92&lt;=$NS$60),IF($NP$60="Single_Point",IF(92=$NR$60,$NN$60,0),IF($NP$60="Bell_Curve",$NN$60*(92-$NR$60+1)*($NS$60-92+1)/$NU$60,$NN$60/$NT$60)),0)</f>
        <v/>
      </c>
      <c r="CS60" s="402">
        <f>IF(AND(93&gt;=$NR$60,93&lt;=$NS$60),IF($NP$60="Single_Point",IF(93=$NR$60,$NN$60,0),IF($NP$60="Bell_Curve",$NN$60*(93-$NR$60+1)*($NS$60-93+1)/$NU$60,$NN$60/$NT$60)),0)</f>
        <v/>
      </c>
      <c r="CT60" s="402">
        <f>IF(AND(94&gt;=$NR$60,94&lt;=$NS$60),IF($NP$60="Single_Point",IF(94=$NR$60,$NN$60,0),IF($NP$60="Bell_Curve",$NN$60*(94-$NR$60+1)*($NS$60-94+1)/$NU$60,$NN$60/$NT$60)),0)</f>
        <v/>
      </c>
      <c r="CU60" s="402">
        <f>IF(AND(95&gt;=$NR$60,95&lt;=$NS$60),IF($NP$60="Single_Point",IF(95=$NR$60,$NN$60,0),IF($NP$60="Bell_Curve",$NN$60*(95-$NR$60+1)*($NS$60-95+1)/$NU$60,$NN$60/$NT$60)),0)</f>
        <v/>
      </c>
      <c r="CV60" s="402">
        <f>IF(AND(96&gt;=$NR$60,96&lt;=$NS$60),IF($NP$60="Single_Point",IF(96=$NR$60,$NN$60,0),IF($NP$60="Bell_Curve",$NN$60*(96-$NR$60+1)*($NS$60-96+1)/$NU$60,$NN$60/$NT$60)),0)</f>
        <v/>
      </c>
      <c r="CW60" s="402">
        <f>IF(AND(97&gt;=$NR$60,97&lt;=$NS$60),IF($NP$60="Single_Point",IF(97=$NR$60,$NN$60,0),IF($NP$60="Bell_Curve",$NN$60*(97-$NR$60+1)*($NS$60-97+1)/$NU$60,$NN$60/$NT$60)),0)</f>
        <v/>
      </c>
      <c r="CX60" s="402">
        <f>IF(AND(98&gt;=$NR$60,98&lt;=$NS$60),IF($NP$60="Single_Point",IF(98=$NR$60,$NN$60,0),IF($NP$60="Bell_Curve",$NN$60*(98-$NR$60+1)*($NS$60-98+1)/$NU$60,$NN$60/$NT$60)),0)</f>
        <v/>
      </c>
      <c r="CY60" s="402">
        <f>IF(AND(99&gt;=$NR$60,99&lt;=$NS$60),IF($NP$60="Single_Point",IF(99=$NR$60,$NN$60,0),IF($NP$60="Bell_Curve",$NN$60*(99-$NR$60+1)*($NS$60-99+1)/$NU$60,$NN$60/$NT$60)),0)</f>
        <v/>
      </c>
      <c r="CZ60" s="402">
        <f>IF(AND(100&gt;=$NR$60,100&lt;=$NS$60),IF($NP$60="Single_Point",IF(100=$NR$60,$NN$60,0),IF($NP$60="Bell_Curve",$NN$60*(100-$NR$60+1)*($NS$60-100+1)/$NU$60,$NN$60/$NT$60)),0)</f>
        <v/>
      </c>
      <c r="DA60" s="402">
        <f>IF(AND(101&gt;=$NR$60,101&lt;=$NS$60),IF($NP$60="Single_Point",IF(101=$NR$60,$NN$60,0),IF($NP$60="Bell_Curve",$NN$60*(101-$NR$60+1)*($NS$60-101+1)/$NU$60,$NN$60/$NT$60)),0)</f>
        <v/>
      </c>
      <c r="DB60" s="402">
        <f>IF(AND(102&gt;=$NR$60,102&lt;=$NS$60),IF($NP$60="Single_Point",IF(102=$NR$60,$NN$60,0),IF($NP$60="Bell_Curve",$NN$60*(102-$NR$60+1)*($NS$60-102+1)/$NU$60,$NN$60/$NT$60)),0)</f>
        <v/>
      </c>
      <c r="DC60" s="402">
        <f>IF(AND(103&gt;=$NR$60,103&lt;=$NS$60),IF($NP$60="Single_Point",IF(103=$NR$60,$NN$60,0),IF($NP$60="Bell_Curve",$NN$60*(103-$NR$60+1)*($NS$60-103+1)/$NU$60,$NN$60/$NT$60)),0)</f>
        <v/>
      </c>
      <c r="DD60" s="402">
        <f>IF(AND(104&gt;=$NR$60,104&lt;=$NS$60),IF($NP$60="Single_Point",IF(104=$NR$60,$NN$60,0),IF($NP$60="Bell_Curve",$NN$60*(104-$NR$60+1)*($NS$60-104+1)/$NU$60,$NN$60/$NT$60)),0)</f>
        <v/>
      </c>
      <c r="DE60" s="402">
        <f>IF(AND(105&gt;=$NR$60,105&lt;=$NS$60),IF($NP$60="Single_Point",IF(105=$NR$60,$NN$60,0),IF($NP$60="Bell_Curve",$NN$60*(105-$NR$60+1)*($NS$60-105+1)/$NU$60,$NN$60/$NT$60)),0)</f>
        <v/>
      </c>
      <c r="DF60" s="402">
        <f>IF(AND(106&gt;=$NR$60,106&lt;=$NS$60),IF($NP$60="Single_Point",IF(106=$NR$60,$NN$60,0),IF($NP$60="Bell_Curve",$NN$60*(106-$NR$60+1)*($NS$60-106+1)/$NU$60,$NN$60/$NT$60)),0)</f>
        <v/>
      </c>
      <c r="DG60" s="402">
        <f>IF(AND(107&gt;=$NR$60,107&lt;=$NS$60),IF($NP$60="Single_Point",IF(107=$NR$60,$NN$60,0),IF($NP$60="Bell_Curve",$NN$60*(107-$NR$60+1)*($NS$60-107+1)/$NU$60,$NN$60/$NT$60)),0)</f>
        <v/>
      </c>
      <c r="DH60" s="402">
        <f>IF(AND(108&gt;=$NR$60,108&lt;=$NS$60),IF($NP$60="Single_Point",IF(108=$NR$60,$NN$60,0),IF($NP$60="Bell_Curve",$NN$60*(108-$NR$60+1)*($NS$60-108+1)/$NU$60,$NN$60/$NT$60)),0)</f>
        <v/>
      </c>
      <c r="DI60" s="402">
        <f>IF(AND(109&gt;=$NR$60,109&lt;=$NS$60),IF($NP$60="Single_Point",IF(109=$NR$60,$NN$60,0),IF($NP$60="Bell_Curve",$NN$60*(109-$NR$60+1)*($NS$60-109+1)/$NU$60,$NN$60/$NT$60)),0)</f>
        <v/>
      </c>
      <c r="DJ60" s="402">
        <f>IF(AND(110&gt;=$NR$60,110&lt;=$NS$60),IF($NP$60="Single_Point",IF(110=$NR$60,$NN$60,0),IF($NP$60="Bell_Curve",$NN$60*(110-$NR$60+1)*($NS$60-110+1)/$NU$60,$NN$60/$NT$60)),0)</f>
        <v/>
      </c>
      <c r="DK60" s="402">
        <f>IF(AND(111&gt;=$NR$60,111&lt;=$NS$60),IF($NP$60="Single_Point",IF(111=$NR$60,$NN$60,0),IF($NP$60="Bell_Curve",$NN$60*(111-$NR$60+1)*($NS$60-111+1)/$NU$60,$NN$60/$NT$60)),0)</f>
        <v/>
      </c>
      <c r="DL60" s="402">
        <f>IF(AND(112&gt;=$NR$60,112&lt;=$NS$60),IF($NP$60="Single_Point",IF(112=$NR$60,$NN$60,0),IF($NP$60="Bell_Curve",$NN$60*(112-$NR$60+1)*($NS$60-112+1)/$NU$60,$NN$60/$NT$60)),0)</f>
        <v/>
      </c>
      <c r="DM60" s="402">
        <f>IF(AND(113&gt;=$NR$60,113&lt;=$NS$60),IF($NP$60="Single_Point",IF(113=$NR$60,$NN$60,0),IF($NP$60="Bell_Curve",$NN$60*(113-$NR$60+1)*($NS$60-113+1)/$NU$60,$NN$60/$NT$60)),0)</f>
        <v/>
      </c>
      <c r="DN60" s="402">
        <f>IF(AND(114&gt;=$NR$60,114&lt;=$NS$60),IF($NP$60="Single_Point",IF(114=$NR$60,$NN$60,0),IF($NP$60="Bell_Curve",$NN$60*(114-$NR$60+1)*($NS$60-114+1)/$NU$60,$NN$60/$NT$60)),0)</f>
        <v/>
      </c>
      <c r="DO60" s="402">
        <f>IF(AND(115&gt;=$NR$60,115&lt;=$NS$60),IF($NP$60="Single_Point",IF(115=$NR$60,$NN$60,0),IF($NP$60="Bell_Curve",$NN$60*(115-$NR$60+1)*($NS$60-115+1)/$NU$60,$NN$60/$NT$60)),0)</f>
        <v/>
      </c>
      <c r="DP60" s="402">
        <f>IF(AND(116&gt;=$NR$60,116&lt;=$NS$60),IF($NP$60="Single_Point",IF(116=$NR$60,$NN$60,0),IF($NP$60="Bell_Curve",$NN$60*(116-$NR$60+1)*($NS$60-116+1)/$NU$60,$NN$60/$NT$60)),0)</f>
        <v/>
      </c>
      <c r="DQ60" s="402">
        <f>IF(AND(117&gt;=$NR$60,117&lt;=$NS$60),IF($NP$60="Single_Point",IF(117=$NR$60,$NN$60,0),IF($NP$60="Bell_Curve",$NN$60*(117-$NR$60+1)*($NS$60-117+1)/$NU$60,$NN$60/$NT$60)),0)</f>
        <v/>
      </c>
      <c r="DR60" s="402">
        <f>IF(AND(118&gt;=$NR$60,118&lt;=$NS$60),IF($NP$60="Single_Point",IF(118=$NR$60,$NN$60,0),IF($NP$60="Bell_Curve",$NN$60*(118-$NR$60+1)*($NS$60-118+1)/$NU$60,$NN$60/$NT$60)),0)</f>
        <v/>
      </c>
      <c r="DS60" s="402">
        <f>IF(AND(119&gt;=$NR$60,119&lt;=$NS$60),IF($NP$60="Single_Point",IF(119=$NR$60,$NN$60,0),IF($NP$60="Bell_Curve",$NN$60*(119-$NR$60+1)*($NS$60-119+1)/$NU$60,$NN$60/$NT$60)),0)</f>
        <v/>
      </c>
      <c r="DT60" s="402">
        <f>IF(AND(120&gt;=$NR$60,120&lt;=$NS$60),IF($NP$60="Single_Point",IF(120=$NR$60,$NN$60,0),IF($NP$60="Bell_Curve",$NN$60*(120-$NR$60+1)*($NS$60-120+1)/$NU$60,$NN$60/$NT$60)),0)</f>
        <v/>
      </c>
      <c r="DU60" s="402">
        <f>IF(AND(121&gt;=$NR$60,121&lt;=$NS$60),IF($NP$60="Single_Point",IF(121=$NR$60,$NN$60,0),IF($NP$60="Bell_Curve",$NN$60*(121-$NR$60+1)*($NS$60-121+1)/$NU$60,$NN$60/$NT$60)),0)</f>
        <v/>
      </c>
      <c r="DV60" s="402">
        <f>IF(AND(122&gt;=$NR$60,122&lt;=$NS$60),IF($NP$60="Single_Point",IF(122=$NR$60,$NN$60,0),IF($NP$60="Bell_Curve",$NN$60*(122-$NR$60+1)*($NS$60-122+1)/$NU$60,$NN$60/$NT$60)),0)</f>
        <v/>
      </c>
      <c r="DW60" s="402">
        <f>IF(AND(123&gt;=$NR$60,123&lt;=$NS$60),IF($NP$60="Single_Point",IF(123=$NR$60,$NN$60,0),IF($NP$60="Bell_Curve",$NN$60*(123-$NR$60+1)*($NS$60-123+1)/$NU$60,$NN$60/$NT$60)),0)</f>
        <v/>
      </c>
      <c r="DX60" s="402">
        <f>IF(AND(124&gt;=$NR$60,124&lt;=$NS$60),IF($NP$60="Single_Point",IF(124=$NR$60,$NN$60,0),IF($NP$60="Bell_Curve",$NN$60*(124-$NR$60+1)*($NS$60-124+1)/$NU$60,$NN$60/$NT$60)),0)</f>
        <v/>
      </c>
      <c r="DY60" s="402">
        <f>IF(AND(125&gt;=$NR$60,125&lt;=$NS$60),IF($NP$60="Single_Point",IF(125=$NR$60,$NN$60,0),IF($NP$60="Bell_Curve",$NN$60*(125-$NR$60+1)*($NS$60-125+1)/$NU$60,$NN$60/$NT$60)),0)</f>
        <v/>
      </c>
      <c r="DZ60" s="402">
        <f>IF(AND(126&gt;=$NR$60,126&lt;=$NS$60),IF($NP$60="Single_Point",IF(126=$NR$60,$NN$60,0),IF($NP$60="Bell_Curve",$NN$60*(126-$NR$60+1)*($NS$60-126+1)/$NU$60,$NN$60/$NT$60)),0)</f>
        <v/>
      </c>
      <c r="EA60" s="402">
        <f>IF(AND(127&gt;=$NR$60,127&lt;=$NS$60),IF($NP$60="Single_Point",IF(127=$NR$60,$NN$60,0),IF($NP$60="Bell_Curve",$NN$60*(127-$NR$60+1)*($NS$60-127+1)/$NU$60,$NN$60/$NT$60)),0)</f>
        <v/>
      </c>
      <c r="EB60" s="402">
        <f>IF(AND(128&gt;=$NR$60,128&lt;=$NS$60),IF($NP$60="Single_Point",IF(128=$NR$60,$NN$60,0),IF($NP$60="Bell_Curve",$NN$60*(128-$NR$60+1)*($NS$60-128+1)/$NU$60,$NN$60/$NT$60)),0)</f>
        <v/>
      </c>
      <c r="EC60" s="402">
        <f>IF(AND(129&gt;=$NR$60,129&lt;=$NS$60),IF($NP$60="Single_Point",IF(129=$NR$60,$NN$60,0),IF($NP$60="Bell_Curve",$NN$60*(129-$NR$60+1)*($NS$60-129+1)/$NU$60,$NN$60/$NT$60)),0)</f>
        <v/>
      </c>
      <c r="ED60" s="402">
        <f>IF(AND(130&gt;=$NR$60,130&lt;=$NS$60),IF($NP$60="Single_Point",IF(130=$NR$60,$NN$60,0),IF($NP$60="Bell_Curve",$NN$60*(130-$NR$60+1)*($NS$60-130+1)/$NU$60,$NN$60/$NT$60)),0)</f>
        <v/>
      </c>
      <c r="EE60" s="402">
        <f>IF(AND(131&gt;=$NR$60,131&lt;=$NS$60),IF($NP$60="Single_Point",IF(131=$NR$60,$NN$60,0),IF($NP$60="Bell_Curve",$NN$60*(131-$NR$60+1)*($NS$60-131+1)/$NU$60,$NN$60/$NT$60)),0)</f>
        <v/>
      </c>
      <c r="EF60" s="402">
        <f>IF(AND(132&gt;=$NR$60,132&lt;=$NS$60),IF($NP$60="Single_Point",IF(132=$NR$60,$NN$60,0),IF($NP$60="Bell_Curve",$NN$60*(132-$NR$60+1)*($NS$60-132+1)/$NU$60,$NN$60/$NT$60)),0)</f>
        <v/>
      </c>
      <c r="EG60" s="402">
        <f>IF(AND(133&gt;=$NR$60,133&lt;=$NS$60),IF($NP$60="Single_Point",IF(133=$NR$60,$NN$60,0),IF($NP$60="Bell_Curve",$NN$60*(133-$NR$60+1)*($NS$60-133+1)/$NU$60,$NN$60/$NT$60)),0)</f>
        <v/>
      </c>
      <c r="EH60" s="402">
        <f>IF(AND(134&gt;=$NR$60,134&lt;=$NS$60),IF($NP$60="Single_Point",IF(134=$NR$60,$NN$60,0),IF($NP$60="Bell_Curve",$NN$60*(134-$NR$60+1)*($NS$60-134+1)/$NU$60,$NN$60/$NT$60)),0)</f>
        <v/>
      </c>
      <c r="EI60" s="402">
        <f>IF(AND(135&gt;=$NR$60,135&lt;=$NS$60),IF($NP$60="Single_Point",IF(135=$NR$60,$NN$60,0),IF($NP$60="Bell_Curve",$NN$60*(135-$NR$60+1)*($NS$60-135+1)/$NU$60,$NN$60/$NT$60)),0)</f>
        <v/>
      </c>
      <c r="EJ60" s="402">
        <f>IF(AND(136&gt;=$NR$60,136&lt;=$NS$60),IF($NP$60="Single_Point",IF(136=$NR$60,$NN$60,0),IF($NP$60="Bell_Curve",$NN$60*(136-$NR$60+1)*($NS$60-136+1)/$NU$60,$NN$60/$NT$60)),0)</f>
        <v/>
      </c>
      <c r="EK60" s="402">
        <f>IF(AND(137&gt;=$NR$60,137&lt;=$NS$60),IF($NP$60="Single_Point",IF(137=$NR$60,$NN$60,0),IF($NP$60="Bell_Curve",$NN$60*(137-$NR$60+1)*($NS$60-137+1)/$NU$60,$NN$60/$NT$60)),0)</f>
        <v/>
      </c>
      <c r="EL60" s="402">
        <f>IF(AND(138&gt;=$NR$60,138&lt;=$NS$60),IF($NP$60="Single_Point",IF(138=$NR$60,$NN$60,0),IF($NP$60="Bell_Curve",$NN$60*(138-$NR$60+1)*($NS$60-138+1)/$NU$60,$NN$60/$NT$60)),0)</f>
        <v/>
      </c>
      <c r="EM60" s="402">
        <f>IF(AND(139&gt;=$NR$60,139&lt;=$NS$60),IF($NP$60="Single_Point",IF(139=$NR$60,$NN$60,0),IF($NP$60="Bell_Curve",$NN$60*(139-$NR$60+1)*($NS$60-139+1)/$NU$60,$NN$60/$NT$60)),0)</f>
        <v/>
      </c>
      <c r="EN60" s="402">
        <f>IF(AND(140&gt;=$NR$60,140&lt;=$NS$60),IF($NP$60="Single_Point",IF(140=$NR$60,$NN$60,0),IF($NP$60="Bell_Curve",$NN$60*(140-$NR$60+1)*($NS$60-140+1)/$NU$60,$NN$60/$NT$60)),0)</f>
        <v/>
      </c>
      <c r="EO60" s="402">
        <f>IF(AND(141&gt;=$NR$60,141&lt;=$NS$60),IF($NP$60="Single_Point",IF(141=$NR$60,$NN$60,0),IF($NP$60="Bell_Curve",$NN$60*(141-$NR$60+1)*($NS$60-141+1)/$NU$60,$NN$60/$NT$60)),0)</f>
        <v/>
      </c>
      <c r="EP60" s="402">
        <f>IF(AND(142&gt;=$NR$60,142&lt;=$NS$60),IF($NP$60="Single_Point",IF(142=$NR$60,$NN$60,0),IF($NP$60="Bell_Curve",$NN$60*(142-$NR$60+1)*($NS$60-142+1)/$NU$60,$NN$60/$NT$60)),0)</f>
        <v/>
      </c>
      <c r="EQ60" s="402">
        <f>IF(AND(143&gt;=$NR$60,143&lt;=$NS$60),IF($NP$60="Single_Point",IF(143=$NR$60,$NN$60,0),IF($NP$60="Bell_Curve",$NN$60*(143-$NR$60+1)*($NS$60-143+1)/$NU$60,$NN$60/$NT$60)),0)</f>
        <v/>
      </c>
      <c r="ER60" s="402">
        <f>IF(AND(144&gt;=$NR$60,144&lt;=$NS$60),IF($NP$60="Single_Point",IF(144=$NR$60,$NN$60,0),IF($NP$60="Bell_Curve",$NN$60*(144-$NR$60+1)*($NS$60-144+1)/$NU$60,$NN$60/$NT$60)),0)</f>
        <v/>
      </c>
      <c r="ES60" s="402">
        <f>IF(AND(145&gt;=$NR$60,145&lt;=$NS$60),IF($NP$60="Single_Point",IF(145=$NR$60,$NN$60,0),IF($NP$60="Bell_Curve",$NN$60*(145-$NR$60+1)*($NS$60-145+1)/$NU$60,$NN$60/$NT$60)),0)</f>
        <v/>
      </c>
      <c r="ET60" s="402">
        <f>IF(AND(146&gt;=$NR$60,146&lt;=$NS$60),IF($NP$60="Single_Point",IF(146=$NR$60,$NN$60,0),IF($NP$60="Bell_Curve",$NN$60*(146-$NR$60+1)*($NS$60-146+1)/$NU$60,$NN$60/$NT$60)),0)</f>
        <v/>
      </c>
      <c r="EU60" s="402">
        <f>IF(AND(147&gt;=$NR$60,147&lt;=$NS$60),IF($NP$60="Single_Point",IF(147=$NR$60,$NN$60,0),IF($NP$60="Bell_Curve",$NN$60*(147-$NR$60+1)*($NS$60-147+1)/$NU$60,$NN$60/$NT$60)),0)</f>
        <v/>
      </c>
      <c r="EV60" s="402">
        <f>IF(AND(148&gt;=$NR$60,148&lt;=$NS$60),IF($NP$60="Single_Point",IF(148=$NR$60,$NN$60,0),IF($NP$60="Bell_Curve",$NN$60*(148-$NR$60+1)*($NS$60-148+1)/$NU$60,$NN$60/$NT$60)),0)</f>
        <v/>
      </c>
      <c r="EW60" s="402">
        <f>IF(AND(149&gt;=$NR$60,149&lt;=$NS$60),IF($NP$60="Single_Point",IF(149=$NR$60,$NN$60,0),IF($NP$60="Bell_Curve",$NN$60*(149-$NR$60+1)*($NS$60-149+1)/$NU$60,$NN$60/$NT$60)),0)</f>
        <v/>
      </c>
      <c r="EX60" s="402">
        <f>IF(AND(150&gt;=$NR$60,150&lt;=$NS$60),IF($NP$60="Single_Point",IF(150=$NR$60,$NN$60,0),IF($NP$60="Bell_Curve",$NN$60*(150-$NR$60+1)*($NS$60-150+1)/$NU$60,$NN$60/$NT$60)),0)</f>
        <v/>
      </c>
      <c r="EY60" s="402">
        <f>IF(AND(151&gt;=$NR$60,151&lt;=$NS$60),IF($NP$60="Single_Point",IF(151=$NR$60,$NN$60,0),IF($NP$60="Bell_Curve",$NN$60*(151-$NR$60+1)*($NS$60-151+1)/$NU$60,$NN$60/$NT$60)),0)</f>
        <v/>
      </c>
      <c r="EZ60" s="402">
        <f>IF(AND(152&gt;=$NR$60,152&lt;=$NS$60),IF($NP$60="Single_Point",IF(152=$NR$60,$NN$60,0),IF($NP$60="Bell_Curve",$NN$60*(152-$NR$60+1)*($NS$60-152+1)/$NU$60,$NN$60/$NT$60)),0)</f>
        <v/>
      </c>
      <c r="FA60" s="402">
        <f>IF(AND(153&gt;=$NR$60,153&lt;=$NS$60),IF($NP$60="Single_Point",IF(153=$NR$60,$NN$60,0),IF($NP$60="Bell_Curve",$NN$60*(153-$NR$60+1)*($NS$60-153+1)/$NU$60,$NN$60/$NT$60)),0)</f>
        <v/>
      </c>
      <c r="FB60" s="402">
        <f>IF(AND(154&gt;=$NR$60,154&lt;=$NS$60),IF($NP$60="Single_Point",IF(154=$NR$60,$NN$60,0),IF($NP$60="Bell_Curve",$NN$60*(154-$NR$60+1)*($NS$60-154+1)/$NU$60,$NN$60/$NT$60)),0)</f>
        <v/>
      </c>
      <c r="FC60" s="402">
        <f>IF(AND(155&gt;=$NR$60,155&lt;=$NS$60),IF($NP$60="Single_Point",IF(155=$NR$60,$NN$60,0),IF($NP$60="Bell_Curve",$NN$60*(155-$NR$60+1)*($NS$60-155+1)/$NU$60,$NN$60/$NT$60)),0)</f>
        <v/>
      </c>
      <c r="FD60" s="402">
        <f>IF(AND(156&gt;=$NR$60,156&lt;=$NS$60),IF($NP$60="Single_Point",IF(156=$NR$60,$NN$60,0),IF($NP$60="Bell_Curve",$NN$60*(156-$NR$60+1)*($NS$60-156+1)/$NU$60,$NN$60/$NT$60)),0)</f>
        <v/>
      </c>
      <c r="FE60" s="402">
        <f>IF(AND(157&gt;=$NR$60,157&lt;=$NS$60),IF($NP$60="Single_Point",IF(157=$NR$60,$NN$60,0),IF($NP$60="Bell_Curve",$NN$60*(157-$NR$60+1)*($NS$60-157+1)/$NU$60,$NN$60/$NT$60)),0)</f>
        <v/>
      </c>
      <c r="FF60" s="402">
        <f>IF(AND(158&gt;=$NR$60,158&lt;=$NS$60),IF($NP$60="Single_Point",IF(158=$NR$60,$NN$60,0),IF($NP$60="Bell_Curve",$NN$60*(158-$NR$60+1)*($NS$60-158+1)/$NU$60,$NN$60/$NT$60)),0)</f>
        <v/>
      </c>
      <c r="FG60" s="402">
        <f>IF(AND(159&gt;=$NR$60,159&lt;=$NS$60),IF($NP$60="Single_Point",IF(159=$NR$60,$NN$60,0),IF($NP$60="Bell_Curve",$NN$60*(159-$NR$60+1)*($NS$60-159+1)/$NU$60,$NN$60/$NT$60)),0)</f>
        <v/>
      </c>
      <c r="FH60" s="402">
        <f>IF(AND(160&gt;=$NR$60,160&lt;=$NS$60),IF($NP$60="Single_Point",IF(160=$NR$60,$NN$60,0),IF($NP$60="Bell_Curve",$NN$60*(160-$NR$60+1)*($NS$60-160+1)/$NU$60,$NN$60/$NT$60)),0)</f>
        <v/>
      </c>
      <c r="FI60" s="402">
        <f>IF(AND(161&gt;=$NR$60,161&lt;=$NS$60),IF($NP$60="Single_Point",IF(161=$NR$60,$NN$60,0),IF($NP$60="Bell_Curve",$NN$60*(161-$NR$60+1)*($NS$60-161+1)/$NU$60,$NN$60/$NT$60)),0)</f>
        <v/>
      </c>
      <c r="FJ60" s="402">
        <f>IF(AND(162&gt;=$NR$60,162&lt;=$NS$60),IF($NP$60="Single_Point",IF(162=$NR$60,$NN$60,0),IF($NP$60="Bell_Curve",$NN$60*(162-$NR$60+1)*($NS$60-162+1)/$NU$60,$NN$60/$NT$60)),0)</f>
        <v/>
      </c>
      <c r="FK60" s="402">
        <f>IF(AND(163&gt;=$NR$60,163&lt;=$NS$60),IF($NP$60="Single_Point",IF(163=$NR$60,$NN$60,0),IF($NP$60="Bell_Curve",$NN$60*(163-$NR$60+1)*($NS$60-163+1)/$NU$60,$NN$60/$NT$60)),0)</f>
        <v/>
      </c>
      <c r="FL60" s="402">
        <f>IF(AND(164&gt;=$NR$60,164&lt;=$NS$60),IF($NP$60="Single_Point",IF(164=$NR$60,$NN$60,0),IF($NP$60="Bell_Curve",$NN$60*(164-$NR$60+1)*($NS$60-164+1)/$NU$60,$NN$60/$NT$60)),0)</f>
        <v/>
      </c>
      <c r="FM60" s="402">
        <f>IF(AND(165&gt;=$NR$60,165&lt;=$NS$60),IF($NP$60="Single_Point",IF(165=$NR$60,$NN$60,0),IF($NP$60="Bell_Curve",$NN$60*(165-$NR$60+1)*($NS$60-165+1)/$NU$60,$NN$60/$NT$60)),0)</f>
        <v/>
      </c>
      <c r="FN60" s="402">
        <f>IF(AND(166&gt;=$NR$60,166&lt;=$NS$60),IF($NP$60="Single_Point",IF(166=$NR$60,$NN$60,0),IF($NP$60="Bell_Curve",$NN$60*(166-$NR$60+1)*($NS$60-166+1)/$NU$60,$NN$60/$NT$60)),0)</f>
        <v/>
      </c>
      <c r="FO60" s="402">
        <f>IF(AND(167&gt;=$NR$60,167&lt;=$NS$60),IF($NP$60="Single_Point",IF(167=$NR$60,$NN$60,0),IF($NP$60="Bell_Curve",$NN$60*(167-$NR$60+1)*($NS$60-167+1)/$NU$60,$NN$60/$NT$60)),0)</f>
        <v/>
      </c>
      <c r="FP60" s="402">
        <f>IF(AND(168&gt;=$NR$60,168&lt;=$NS$60),IF($NP$60="Single_Point",IF(168=$NR$60,$NN$60,0),IF($NP$60="Bell_Curve",$NN$60*(168-$NR$60+1)*($NS$60-168+1)/$NU$60,$NN$60/$NT$60)),0)</f>
        <v/>
      </c>
      <c r="FQ60" s="402">
        <f>IF(AND(169&gt;=$NR$60,169&lt;=$NS$60),IF($NP$60="Single_Point",IF(169=$NR$60,$NN$60,0),IF($NP$60="Bell_Curve",$NN$60*(169-$NR$60+1)*($NS$60-169+1)/$NU$60,$NN$60/$NT$60)),0)</f>
        <v/>
      </c>
      <c r="FR60" s="402">
        <f>IF(AND(170&gt;=$NR$60,170&lt;=$NS$60),IF($NP$60="Single_Point",IF(170=$NR$60,$NN$60,0),IF($NP$60="Bell_Curve",$NN$60*(170-$NR$60+1)*($NS$60-170+1)/$NU$60,$NN$60/$NT$60)),0)</f>
        <v/>
      </c>
      <c r="FS60" s="402">
        <f>IF(AND(171&gt;=$NR$60,171&lt;=$NS$60),IF($NP$60="Single_Point",IF(171=$NR$60,$NN$60,0),IF($NP$60="Bell_Curve",$NN$60*(171-$NR$60+1)*($NS$60-171+1)/$NU$60,$NN$60/$NT$60)),0)</f>
        <v/>
      </c>
      <c r="FT60" s="402">
        <f>IF(AND(172&gt;=$NR$60,172&lt;=$NS$60),IF($NP$60="Single_Point",IF(172=$NR$60,$NN$60,0),IF($NP$60="Bell_Curve",$NN$60*(172-$NR$60+1)*($NS$60-172+1)/$NU$60,$NN$60/$NT$60)),0)</f>
        <v/>
      </c>
      <c r="FU60" s="402">
        <f>IF(AND(173&gt;=$NR$60,173&lt;=$NS$60),IF($NP$60="Single_Point",IF(173=$NR$60,$NN$60,0),IF($NP$60="Bell_Curve",$NN$60*(173-$NR$60+1)*($NS$60-173+1)/$NU$60,$NN$60/$NT$60)),0)</f>
        <v/>
      </c>
      <c r="FV60" s="402">
        <f>IF(AND(174&gt;=$NR$60,174&lt;=$NS$60),IF($NP$60="Single_Point",IF(174=$NR$60,$NN$60,0),IF($NP$60="Bell_Curve",$NN$60*(174-$NR$60+1)*($NS$60-174+1)/$NU$60,$NN$60/$NT$60)),0)</f>
        <v/>
      </c>
      <c r="FW60" s="402">
        <f>IF(AND(175&gt;=$NR$60,175&lt;=$NS$60),IF($NP$60="Single_Point",IF(175=$NR$60,$NN$60,0),IF($NP$60="Bell_Curve",$NN$60*(175-$NR$60+1)*($NS$60-175+1)/$NU$60,$NN$60/$NT$60)),0)</f>
        <v/>
      </c>
      <c r="FX60" s="402">
        <f>IF(AND(176&gt;=$NR$60,176&lt;=$NS$60),IF($NP$60="Single_Point",IF(176=$NR$60,$NN$60,0),IF($NP$60="Bell_Curve",$NN$60*(176-$NR$60+1)*($NS$60-176+1)/$NU$60,$NN$60/$NT$60)),0)</f>
        <v/>
      </c>
      <c r="FY60" s="402">
        <f>IF(AND(177&gt;=$NR$60,177&lt;=$NS$60),IF($NP$60="Single_Point",IF(177=$NR$60,$NN$60,0),IF($NP$60="Bell_Curve",$NN$60*(177-$NR$60+1)*($NS$60-177+1)/$NU$60,$NN$60/$NT$60)),0)</f>
        <v/>
      </c>
      <c r="FZ60" s="402">
        <f>IF(AND(178&gt;=$NR$60,178&lt;=$NS$60),IF($NP$60="Single_Point",IF(178=$NR$60,$NN$60,0),IF($NP$60="Bell_Curve",$NN$60*(178-$NR$60+1)*($NS$60-178+1)/$NU$60,$NN$60/$NT$60)),0)</f>
        <v/>
      </c>
      <c r="GA60" s="402">
        <f>IF(AND(179&gt;=$NR$60,179&lt;=$NS$60),IF($NP$60="Single_Point",IF(179=$NR$60,$NN$60,0),IF($NP$60="Bell_Curve",$NN$60*(179-$NR$60+1)*($NS$60-179+1)/$NU$60,$NN$60/$NT$60)),0)</f>
        <v/>
      </c>
      <c r="GB60" s="402">
        <f>IF(AND(180&gt;=$NR$60,180&lt;=$NS$60),IF($NP$60="Single_Point",IF(180=$NR$60,$NN$60,0),IF($NP$60="Bell_Curve",$NN$60*(180-$NR$60+1)*($NS$60-180+1)/$NU$60,$NN$60/$NT$60)),0)</f>
        <v/>
      </c>
      <c r="GC60" s="402">
        <f>IF(AND(181&gt;=$NR$60,181&lt;=$NS$60),IF($NP$60="Single_Point",IF(181=$NR$60,$NN$60,0),IF($NP$60="Bell_Curve",$NN$60*(181-$NR$60+1)*($NS$60-181+1)/$NU$60,$NN$60/$NT$60)),0)</f>
        <v/>
      </c>
      <c r="GD60" s="402">
        <f>IF(AND(182&gt;=$NR$60,182&lt;=$NS$60),IF($NP$60="Single_Point",IF(182=$NR$60,$NN$60,0),IF($NP$60="Bell_Curve",$NN$60*(182-$NR$60+1)*($NS$60-182+1)/$NU$60,$NN$60/$NT$60)),0)</f>
        <v/>
      </c>
      <c r="GE60" s="402">
        <f>IF(AND(183&gt;=$NR$60,183&lt;=$NS$60),IF($NP$60="Single_Point",IF(183=$NR$60,$NN$60,0),IF($NP$60="Bell_Curve",$NN$60*(183-$NR$60+1)*($NS$60-183+1)/$NU$60,$NN$60/$NT$60)),0)</f>
        <v/>
      </c>
      <c r="GF60" s="402">
        <f>IF(AND(184&gt;=$NR$60,184&lt;=$NS$60),IF($NP$60="Single_Point",IF(184=$NR$60,$NN$60,0),IF($NP$60="Bell_Curve",$NN$60*(184-$NR$60+1)*($NS$60-184+1)/$NU$60,$NN$60/$NT$60)),0)</f>
        <v/>
      </c>
      <c r="GG60" s="402">
        <f>IF(AND(185&gt;=$NR$60,185&lt;=$NS$60),IF($NP$60="Single_Point",IF(185=$NR$60,$NN$60,0),IF($NP$60="Bell_Curve",$NN$60*(185-$NR$60+1)*($NS$60-185+1)/$NU$60,$NN$60/$NT$60)),0)</f>
        <v/>
      </c>
      <c r="GH60" s="402">
        <f>IF(AND(186&gt;=$NR$60,186&lt;=$NS$60),IF($NP$60="Single_Point",IF(186=$NR$60,$NN$60,0),IF($NP$60="Bell_Curve",$NN$60*(186-$NR$60+1)*($NS$60-186+1)/$NU$60,$NN$60/$NT$60)),0)</f>
        <v/>
      </c>
      <c r="GI60" s="402">
        <f>IF(AND(187&gt;=$NR$60,187&lt;=$NS$60),IF($NP$60="Single_Point",IF(187=$NR$60,$NN$60,0),IF($NP$60="Bell_Curve",$NN$60*(187-$NR$60+1)*($NS$60-187+1)/$NU$60,$NN$60/$NT$60)),0)</f>
        <v/>
      </c>
      <c r="GJ60" s="402">
        <f>IF(AND(188&gt;=$NR$60,188&lt;=$NS$60),IF($NP$60="Single_Point",IF(188=$NR$60,$NN$60,0),IF($NP$60="Bell_Curve",$NN$60*(188-$NR$60+1)*($NS$60-188+1)/$NU$60,$NN$60/$NT$60)),0)</f>
        <v/>
      </c>
      <c r="GK60" s="402">
        <f>IF(AND(189&gt;=$NR$60,189&lt;=$NS$60),IF($NP$60="Single_Point",IF(189=$NR$60,$NN$60,0),IF($NP$60="Bell_Curve",$NN$60*(189-$NR$60+1)*($NS$60-189+1)/$NU$60,$NN$60/$NT$60)),0)</f>
        <v/>
      </c>
      <c r="GL60" s="402">
        <f>IF(AND(190&gt;=$NR$60,190&lt;=$NS$60),IF($NP$60="Single_Point",IF(190=$NR$60,$NN$60,0),IF($NP$60="Bell_Curve",$NN$60*(190-$NR$60+1)*($NS$60-190+1)/$NU$60,$NN$60/$NT$60)),0)</f>
        <v/>
      </c>
      <c r="GM60" s="402">
        <f>IF(AND(191&gt;=$NR$60,191&lt;=$NS$60),IF($NP$60="Single_Point",IF(191=$NR$60,$NN$60,0),IF($NP$60="Bell_Curve",$NN$60*(191-$NR$60+1)*($NS$60-191+1)/$NU$60,$NN$60/$NT$60)),0)</f>
        <v/>
      </c>
      <c r="GN60" s="402">
        <f>IF(AND(192&gt;=$NR$60,192&lt;=$NS$60),IF($NP$60="Single_Point",IF(192=$NR$60,$NN$60,0),IF($NP$60="Bell_Curve",$NN$60*(192-$NR$60+1)*($NS$60-192+1)/$NU$60,$NN$60/$NT$60)),0)</f>
        <v/>
      </c>
      <c r="GO60" s="402">
        <f>IF(AND(193&gt;=$NR$60,193&lt;=$NS$60),IF($NP$60="Single_Point",IF(193=$NR$60,$NN$60,0),IF($NP$60="Bell_Curve",$NN$60*(193-$NR$60+1)*($NS$60-193+1)/$NU$60,$NN$60/$NT$60)),0)</f>
        <v/>
      </c>
      <c r="GP60" s="402">
        <f>IF(AND(194&gt;=$NR$60,194&lt;=$NS$60),IF($NP$60="Single_Point",IF(194=$NR$60,$NN$60,0),IF($NP$60="Bell_Curve",$NN$60*(194-$NR$60+1)*($NS$60-194+1)/$NU$60,$NN$60/$NT$60)),0)</f>
        <v/>
      </c>
      <c r="GQ60" s="402">
        <f>IF(AND(195&gt;=$NR$60,195&lt;=$NS$60),IF($NP$60="Single_Point",IF(195=$NR$60,$NN$60,0),IF($NP$60="Bell_Curve",$NN$60*(195-$NR$60+1)*($NS$60-195+1)/$NU$60,$NN$60/$NT$60)),0)</f>
        <v/>
      </c>
      <c r="GR60" s="402">
        <f>IF(AND(196&gt;=$NR$60,196&lt;=$NS$60),IF($NP$60="Single_Point",IF(196=$NR$60,$NN$60,0),IF($NP$60="Bell_Curve",$NN$60*(196-$NR$60+1)*($NS$60-196+1)/$NU$60,$NN$60/$NT$60)),0)</f>
        <v/>
      </c>
      <c r="GS60" s="402">
        <f>IF(AND(197&gt;=$NR$60,197&lt;=$NS$60),IF($NP$60="Single_Point",IF(197=$NR$60,$NN$60,0),IF($NP$60="Bell_Curve",$NN$60*(197-$NR$60+1)*($NS$60-197+1)/$NU$60,$NN$60/$NT$60)),0)</f>
        <v/>
      </c>
      <c r="GT60" s="402">
        <f>IF(AND(198&gt;=$NR$60,198&lt;=$NS$60),IF($NP$60="Single_Point",IF(198=$NR$60,$NN$60,0),IF($NP$60="Bell_Curve",$NN$60*(198-$NR$60+1)*($NS$60-198+1)/$NU$60,$NN$60/$NT$60)),0)</f>
        <v/>
      </c>
      <c r="GU60" s="402">
        <f>IF(AND(199&gt;=$NR$60,199&lt;=$NS$60),IF($NP$60="Single_Point",IF(199=$NR$60,$NN$60,0),IF($NP$60="Bell_Curve",$NN$60*(199-$NR$60+1)*($NS$60-199+1)/$NU$60,$NN$60/$NT$60)),0)</f>
        <v/>
      </c>
      <c r="GV60" s="402">
        <f>IF(AND(200&gt;=$NR$60,200&lt;=$NS$60),IF($NP$60="Single_Point",IF(200=$NR$60,$NN$60,0),IF($NP$60="Bell_Curve",$NN$60*(200-$NR$60+1)*($NS$60-200+1)/$NU$60,$NN$60/$NT$60)),0)</f>
        <v/>
      </c>
      <c r="GW60" s="402">
        <f>IF(AND(201&gt;=$NR$60,201&lt;=$NS$60),IF($NP$60="Single_Point",IF(201=$NR$60,$NN$60,0),IF($NP$60="Bell_Curve",$NN$60*(201-$NR$60+1)*($NS$60-201+1)/$NU$60,$NN$60/$NT$60)),0)</f>
        <v/>
      </c>
      <c r="GX60" s="402">
        <f>IF(AND(202&gt;=$NR$60,202&lt;=$NS$60),IF($NP$60="Single_Point",IF(202=$NR$60,$NN$60,0),IF($NP$60="Bell_Curve",$NN$60*(202-$NR$60+1)*($NS$60-202+1)/$NU$60,$NN$60/$NT$60)),0)</f>
        <v/>
      </c>
      <c r="GY60" s="402">
        <f>IF(AND(203&gt;=$NR$60,203&lt;=$NS$60),IF($NP$60="Single_Point",IF(203=$NR$60,$NN$60,0),IF($NP$60="Bell_Curve",$NN$60*(203-$NR$60+1)*($NS$60-203+1)/$NU$60,$NN$60/$NT$60)),0)</f>
        <v/>
      </c>
      <c r="GZ60" s="402">
        <f>IF(AND(204&gt;=$NR$60,204&lt;=$NS$60),IF($NP$60="Single_Point",IF(204=$NR$60,$NN$60,0),IF($NP$60="Bell_Curve",$NN$60*(204-$NR$60+1)*($NS$60-204+1)/$NU$60,$NN$60/$NT$60)),0)</f>
        <v/>
      </c>
      <c r="HA60" s="402">
        <f>IF(AND(205&gt;=$NR$60,205&lt;=$NS$60),IF($NP$60="Single_Point",IF(205=$NR$60,$NN$60,0),IF($NP$60="Bell_Curve",$NN$60*(205-$NR$60+1)*($NS$60-205+1)/$NU$60,$NN$60/$NT$60)),0)</f>
        <v/>
      </c>
      <c r="HB60" s="402">
        <f>IF(AND(206&gt;=$NR$60,206&lt;=$NS$60),IF($NP$60="Single_Point",IF(206=$NR$60,$NN$60,0),IF($NP$60="Bell_Curve",$NN$60*(206-$NR$60+1)*($NS$60-206+1)/$NU$60,$NN$60/$NT$60)),0)</f>
        <v/>
      </c>
      <c r="HC60" s="402">
        <f>IF(AND(207&gt;=$NR$60,207&lt;=$NS$60),IF($NP$60="Single_Point",IF(207=$NR$60,$NN$60,0),IF($NP$60="Bell_Curve",$NN$60*(207-$NR$60+1)*($NS$60-207+1)/$NU$60,$NN$60/$NT$60)),0)</f>
        <v/>
      </c>
      <c r="HD60" s="402">
        <f>IF(AND(208&gt;=$NR$60,208&lt;=$NS$60),IF($NP$60="Single_Point",IF(208=$NR$60,$NN$60,0),IF($NP$60="Bell_Curve",$NN$60*(208-$NR$60+1)*($NS$60-208+1)/$NU$60,$NN$60/$NT$60)),0)</f>
        <v/>
      </c>
      <c r="HE60" s="402">
        <f>IF(AND(209&gt;=$NR$60,209&lt;=$NS$60),IF($NP$60="Single_Point",IF(209=$NR$60,$NN$60,0),IF($NP$60="Bell_Curve",$NN$60*(209-$NR$60+1)*($NS$60-209+1)/$NU$60,$NN$60/$NT$60)),0)</f>
        <v/>
      </c>
      <c r="HF60" s="402">
        <f>IF(AND(210&gt;=$NR$60,210&lt;=$NS$60),IF($NP$60="Single_Point",IF(210=$NR$60,$NN$60,0),IF($NP$60="Bell_Curve",$NN$60*(210-$NR$60+1)*($NS$60-210+1)/$NU$60,$NN$60/$NT$60)),0)</f>
        <v/>
      </c>
      <c r="HG60" s="402">
        <f>IF(AND(211&gt;=$NR$60,211&lt;=$NS$60),IF($NP$60="Single_Point",IF(211=$NR$60,$NN$60,0),IF($NP$60="Bell_Curve",$NN$60*(211-$NR$60+1)*($NS$60-211+1)/$NU$60,$NN$60/$NT$60)),0)</f>
        <v/>
      </c>
      <c r="HH60" s="402">
        <f>IF(AND(212&gt;=$NR$60,212&lt;=$NS$60),IF($NP$60="Single_Point",IF(212=$NR$60,$NN$60,0),IF($NP$60="Bell_Curve",$NN$60*(212-$NR$60+1)*($NS$60-212+1)/$NU$60,$NN$60/$NT$60)),0)</f>
        <v/>
      </c>
      <c r="HI60" s="402">
        <f>IF(AND(213&gt;=$NR$60,213&lt;=$NS$60),IF($NP$60="Single_Point",IF(213=$NR$60,$NN$60,0),IF($NP$60="Bell_Curve",$NN$60*(213-$NR$60+1)*($NS$60-213+1)/$NU$60,$NN$60/$NT$60)),0)</f>
        <v/>
      </c>
      <c r="HJ60" s="402">
        <f>IF(AND(214&gt;=$NR$60,214&lt;=$NS$60),IF($NP$60="Single_Point",IF(214=$NR$60,$NN$60,0),IF($NP$60="Bell_Curve",$NN$60*(214-$NR$60+1)*($NS$60-214+1)/$NU$60,$NN$60/$NT$60)),0)</f>
        <v/>
      </c>
      <c r="HK60" s="402">
        <f>IF(AND(215&gt;=$NR$60,215&lt;=$NS$60),IF($NP$60="Single_Point",IF(215=$NR$60,$NN$60,0),IF($NP$60="Bell_Curve",$NN$60*(215-$NR$60+1)*($NS$60-215+1)/$NU$60,$NN$60/$NT$60)),0)</f>
        <v/>
      </c>
      <c r="HL60" s="402">
        <f>IF(AND(216&gt;=$NR$60,216&lt;=$NS$60),IF($NP$60="Single_Point",IF(216=$NR$60,$NN$60,0),IF($NP$60="Bell_Curve",$NN$60*(216-$NR$60+1)*($NS$60-216+1)/$NU$60,$NN$60/$NT$60)),0)</f>
        <v/>
      </c>
      <c r="HM60" s="402">
        <f>IF(AND(217&gt;=$NR$60,217&lt;=$NS$60),IF($NP$60="Single_Point",IF(217=$NR$60,$NN$60,0),IF($NP$60="Bell_Curve",$NN$60*(217-$NR$60+1)*($NS$60-217+1)/$NU$60,$NN$60/$NT$60)),0)</f>
        <v/>
      </c>
      <c r="HN60" s="402">
        <f>IF(AND(218&gt;=$NR$60,218&lt;=$NS$60),IF($NP$60="Single_Point",IF(218=$NR$60,$NN$60,0),IF($NP$60="Bell_Curve",$NN$60*(218-$NR$60+1)*($NS$60-218+1)/$NU$60,$NN$60/$NT$60)),0)</f>
        <v/>
      </c>
      <c r="HO60" s="402">
        <f>IF(AND(219&gt;=$NR$60,219&lt;=$NS$60),IF($NP$60="Single_Point",IF(219=$NR$60,$NN$60,0),IF($NP$60="Bell_Curve",$NN$60*(219-$NR$60+1)*($NS$60-219+1)/$NU$60,$NN$60/$NT$60)),0)</f>
        <v/>
      </c>
      <c r="HP60" s="402">
        <f>IF(AND(220&gt;=$NR$60,220&lt;=$NS$60),IF($NP$60="Single_Point",IF(220=$NR$60,$NN$60,0),IF($NP$60="Bell_Curve",$NN$60*(220-$NR$60+1)*($NS$60-220+1)/$NU$60,$NN$60/$NT$60)),0)</f>
        <v/>
      </c>
      <c r="HQ60" s="402">
        <f>IF(AND(221&gt;=$NR$60,221&lt;=$NS$60),IF($NP$60="Single_Point",IF(221=$NR$60,$NN$60,0),IF($NP$60="Bell_Curve",$NN$60*(221-$NR$60+1)*($NS$60-221+1)/$NU$60,$NN$60/$NT$60)),0)</f>
        <v/>
      </c>
      <c r="HR60" s="402">
        <f>IF(AND(222&gt;=$NR$60,222&lt;=$NS$60),IF($NP$60="Single_Point",IF(222=$NR$60,$NN$60,0),IF($NP$60="Bell_Curve",$NN$60*(222-$NR$60+1)*($NS$60-222+1)/$NU$60,$NN$60/$NT$60)),0)</f>
        <v/>
      </c>
      <c r="HS60" s="402">
        <f>IF(AND(223&gt;=$NR$60,223&lt;=$NS$60),IF($NP$60="Single_Point",IF(223=$NR$60,$NN$60,0),IF($NP$60="Bell_Curve",$NN$60*(223-$NR$60+1)*($NS$60-223+1)/$NU$60,$NN$60/$NT$60)),0)</f>
        <v/>
      </c>
      <c r="HT60" s="402">
        <f>IF(AND(224&gt;=$NR$60,224&lt;=$NS$60),IF($NP$60="Single_Point",IF(224=$NR$60,$NN$60,0),IF($NP$60="Bell_Curve",$NN$60*(224-$NR$60+1)*($NS$60-224+1)/$NU$60,$NN$60/$NT$60)),0)</f>
        <v/>
      </c>
      <c r="HU60" s="402">
        <f>IF(AND(225&gt;=$NR$60,225&lt;=$NS$60),IF($NP$60="Single_Point",IF(225=$NR$60,$NN$60,0),IF($NP$60="Bell_Curve",$NN$60*(225-$NR$60+1)*($NS$60-225+1)/$NU$60,$NN$60/$NT$60)),0)</f>
        <v/>
      </c>
      <c r="HV60" s="402">
        <f>IF(AND(226&gt;=$NR$60,226&lt;=$NS$60),IF($NP$60="Single_Point",IF(226=$NR$60,$NN$60,0),IF($NP$60="Bell_Curve",$NN$60*(226-$NR$60+1)*($NS$60-226+1)/$NU$60,$NN$60/$NT$60)),0)</f>
        <v/>
      </c>
      <c r="HW60" s="402">
        <f>IF(AND(227&gt;=$NR$60,227&lt;=$NS$60),IF($NP$60="Single_Point",IF(227=$NR$60,$NN$60,0),IF($NP$60="Bell_Curve",$NN$60*(227-$NR$60+1)*($NS$60-227+1)/$NU$60,$NN$60/$NT$60)),0)</f>
        <v/>
      </c>
      <c r="HX60" s="402">
        <f>IF(AND(228&gt;=$NR$60,228&lt;=$NS$60),IF($NP$60="Single_Point",IF(228=$NR$60,$NN$60,0),IF($NP$60="Bell_Curve",$NN$60*(228-$NR$60+1)*($NS$60-228+1)/$NU$60,$NN$60/$NT$60)),0)</f>
        <v/>
      </c>
      <c r="HY60" s="402">
        <f>IF(AND(229&gt;=$NR$60,229&lt;=$NS$60),IF($NP$60="Single_Point",IF(229=$NR$60,$NN$60,0),IF($NP$60="Bell_Curve",$NN$60*(229-$NR$60+1)*($NS$60-229+1)/$NU$60,$NN$60/$NT$60)),0)</f>
        <v/>
      </c>
      <c r="HZ60" s="402">
        <f>IF(AND(230&gt;=$NR$60,230&lt;=$NS$60),IF($NP$60="Single_Point",IF(230=$NR$60,$NN$60,0),IF($NP$60="Bell_Curve",$NN$60*(230-$NR$60+1)*($NS$60-230+1)/$NU$60,$NN$60/$NT$60)),0)</f>
        <v/>
      </c>
      <c r="IA60" s="402">
        <f>IF(AND(231&gt;=$NR$60,231&lt;=$NS$60),IF($NP$60="Single_Point",IF(231=$NR$60,$NN$60,0),IF($NP$60="Bell_Curve",$NN$60*(231-$NR$60+1)*($NS$60-231+1)/$NU$60,$NN$60/$NT$60)),0)</f>
        <v/>
      </c>
      <c r="IB60" s="402">
        <f>IF(AND(232&gt;=$NR$60,232&lt;=$NS$60),IF($NP$60="Single_Point",IF(232=$NR$60,$NN$60,0),IF($NP$60="Bell_Curve",$NN$60*(232-$NR$60+1)*($NS$60-232+1)/$NU$60,$NN$60/$NT$60)),0)</f>
        <v/>
      </c>
      <c r="IC60" s="402">
        <f>IF(AND(233&gt;=$NR$60,233&lt;=$NS$60),IF($NP$60="Single_Point",IF(233=$NR$60,$NN$60,0),IF($NP$60="Bell_Curve",$NN$60*(233-$NR$60+1)*($NS$60-233+1)/$NU$60,$NN$60/$NT$60)),0)</f>
        <v/>
      </c>
      <c r="ID60" s="402">
        <f>IF(AND(234&gt;=$NR$60,234&lt;=$NS$60),IF($NP$60="Single_Point",IF(234=$NR$60,$NN$60,0),IF($NP$60="Bell_Curve",$NN$60*(234-$NR$60+1)*($NS$60-234+1)/$NU$60,$NN$60/$NT$60)),0)</f>
        <v/>
      </c>
      <c r="IE60" s="402">
        <f>IF(AND(235&gt;=$NR$60,235&lt;=$NS$60),IF($NP$60="Single_Point",IF(235=$NR$60,$NN$60,0),IF($NP$60="Bell_Curve",$NN$60*(235-$NR$60+1)*($NS$60-235+1)/$NU$60,$NN$60/$NT$60)),0)</f>
        <v/>
      </c>
      <c r="IF60" s="402">
        <f>IF(AND(236&gt;=$NR$60,236&lt;=$NS$60),IF($NP$60="Single_Point",IF(236=$NR$60,$NN$60,0),IF($NP$60="Bell_Curve",$NN$60*(236-$NR$60+1)*($NS$60-236+1)/$NU$60,$NN$60/$NT$60)),0)</f>
        <v/>
      </c>
      <c r="IG60" s="402">
        <f>IF(AND(237&gt;=$NR$60,237&lt;=$NS$60),IF($NP$60="Single_Point",IF(237=$NR$60,$NN$60,0),IF($NP$60="Bell_Curve",$NN$60*(237-$NR$60+1)*($NS$60-237+1)/$NU$60,$NN$60/$NT$60)),0)</f>
        <v/>
      </c>
      <c r="IH60" s="402">
        <f>IF(AND(238&gt;=$NR$60,238&lt;=$NS$60),IF($NP$60="Single_Point",IF(238=$NR$60,$NN$60,0),IF($NP$60="Bell_Curve",$NN$60*(238-$NR$60+1)*($NS$60-238+1)/$NU$60,$NN$60/$NT$60)),0)</f>
        <v/>
      </c>
      <c r="II60" s="402">
        <f>IF(AND(239&gt;=$NR$60,239&lt;=$NS$60),IF($NP$60="Single_Point",IF(239=$NR$60,$NN$60,0),IF($NP$60="Bell_Curve",$NN$60*(239-$NR$60+1)*($NS$60-239+1)/$NU$60,$NN$60/$NT$60)),0)</f>
        <v/>
      </c>
      <c r="IJ60" s="402">
        <f>IF(AND(240&gt;=$NR$60,240&lt;=$NS$60),IF($NP$60="Single_Point",IF(240=$NR$60,$NN$60,0),IF($NP$60="Bell_Curve",$NN$60*(240-$NR$60+1)*($NS$60-240+1)/$NU$60,$NN$60/$NT$60)),0)</f>
        <v/>
      </c>
      <c r="IK60" s="402">
        <f>IF(AND(241&gt;=$NR$60,241&lt;=$NS$60),IF($NP$60="Single_Point",IF(241=$NR$60,$NN$60,0),IF($NP$60="Bell_Curve",$NN$60*(241-$NR$60+1)*($NS$60-241+1)/$NU$60,$NN$60/$NT$60)),0)</f>
        <v/>
      </c>
      <c r="IL60" s="402">
        <f>IF(AND(242&gt;=$NR$60,242&lt;=$NS$60),IF($NP$60="Single_Point",IF(242=$NR$60,$NN$60,0),IF($NP$60="Bell_Curve",$NN$60*(242-$NR$60+1)*($NS$60-242+1)/$NU$60,$NN$60/$NT$60)),0)</f>
        <v/>
      </c>
      <c r="IM60" s="402">
        <f>IF(AND(243&gt;=$NR$60,243&lt;=$NS$60),IF($NP$60="Single_Point",IF(243=$NR$60,$NN$60,0),IF($NP$60="Bell_Curve",$NN$60*(243-$NR$60+1)*($NS$60-243+1)/$NU$60,$NN$60/$NT$60)),0)</f>
        <v/>
      </c>
      <c r="IN60" s="402">
        <f>IF(AND(244&gt;=$NR$60,244&lt;=$NS$60),IF($NP$60="Single_Point",IF(244=$NR$60,$NN$60,0),IF($NP$60="Bell_Curve",$NN$60*(244-$NR$60+1)*($NS$60-244+1)/$NU$60,$NN$60/$NT$60)),0)</f>
        <v/>
      </c>
      <c r="IO60" s="402">
        <f>IF(AND(245&gt;=$NR$60,245&lt;=$NS$60),IF($NP$60="Single_Point",IF(245=$NR$60,$NN$60,0),IF($NP$60="Bell_Curve",$NN$60*(245-$NR$60+1)*($NS$60-245+1)/$NU$60,$NN$60/$NT$60)),0)</f>
        <v/>
      </c>
      <c r="IP60" s="402">
        <f>IF(AND(246&gt;=$NR$60,246&lt;=$NS$60),IF($NP$60="Single_Point",IF(246=$NR$60,$NN$60,0),IF($NP$60="Bell_Curve",$NN$60*(246-$NR$60+1)*($NS$60-246+1)/$NU$60,$NN$60/$NT$60)),0)</f>
        <v/>
      </c>
      <c r="IQ60" s="402">
        <f>IF(AND(247&gt;=$NR$60,247&lt;=$NS$60),IF($NP$60="Single_Point",IF(247=$NR$60,$NN$60,0),IF($NP$60="Bell_Curve",$NN$60*(247-$NR$60+1)*($NS$60-247+1)/$NU$60,$NN$60/$NT$60)),0)</f>
        <v/>
      </c>
      <c r="IR60" s="402">
        <f>IF(AND(248&gt;=$NR$60,248&lt;=$NS$60),IF($NP$60="Single_Point",IF(248=$NR$60,$NN$60,0),IF($NP$60="Bell_Curve",$NN$60*(248-$NR$60+1)*($NS$60-248+1)/$NU$60,$NN$60/$NT$60)),0)</f>
        <v/>
      </c>
      <c r="IS60" s="402">
        <f>IF(AND(249&gt;=$NR$60,249&lt;=$NS$60),IF($NP$60="Single_Point",IF(249=$NR$60,$NN$60,0),IF($NP$60="Bell_Curve",$NN$60*(249-$NR$60+1)*($NS$60-249+1)/$NU$60,$NN$60/$NT$60)),0)</f>
        <v/>
      </c>
      <c r="IT60" s="402">
        <f>IF(AND(250&gt;=$NR$60,250&lt;=$NS$60),IF($NP$60="Single_Point",IF(250=$NR$60,$NN$60,0),IF($NP$60="Bell_Curve",$NN$60*(250-$NR$60+1)*($NS$60-250+1)/$NU$60,$NN$60/$NT$60)),0)</f>
        <v/>
      </c>
      <c r="IU60" s="402">
        <f>IF(AND(251&gt;=$NR$60,251&lt;=$NS$60),IF($NP$60="Single_Point",IF(251=$NR$60,$NN$60,0),IF($NP$60="Bell_Curve",$NN$60*(251-$NR$60+1)*($NS$60-251+1)/$NU$60,$NN$60/$NT$60)),0)</f>
        <v/>
      </c>
      <c r="IV60" s="402">
        <f>IF(AND(252&gt;=$NR$60,252&lt;=$NS$60),IF($NP$60="Single_Point",IF(252=$NR$60,$NN$60,0),IF($NP$60="Bell_Curve",$NN$60*(252-$NR$60+1)*($NS$60-252+1)/$NU$60,$NN$60/$NT$60)),0)</f>
        <v/>
      </c>
      <c r="IW60" s="402">
        <f>IF(AND(253&gt;=$NR$60,253&lt;=$NS$60),IF($NP$60="Single_Point",IF(253=$NR$60,$NN$60,0),IF($NP$60="Bell_Curve",$NN$60*(253-$NR$60+1)*($NS$60-253+1)/$NU$60,$NN$60/$NT$60)),0)</f>
        <v/>
      </c>
      <c r="IX60" s="402">
        <f>IF(AND(254&gt;=$NR$60,254&lt;=$NS$60),IF($NP$60="Single_Point",IF(254=$NR$60,$NN$60,0),IF($NP$60="Bell_Curve",$NN$60*(254-$NR$60+1)*($NS$60-254+1)/$NU$60,$NN$60/$NT$60)),0)</f>
        <v/>
      </c>
      <c r="IY60" s="402">
        <f>IF(AND(255&gt;=$NR$60,255&lt;=$NS$60),IF($NP$60="Single_Point",IF(255=$NR$60,$NN$60,0),IF($NP$60="Bell_Curve",$NN$60*(255-$NR$60+1)*($NS$60-255+1)/$NU$60,$NN$60/$NT$60)),0)</f>
        <v/>
      </c>
      <c r="IZ60" s="402">
        <f>IF(AND(256&gt;=$NR$60,256&lt;=$NS$60),IF($NP$60="Single_Point",IF(256=$NR$60,$NN$60,0),IF($NP$60="Bell_Curve",$NN$60*(256-$NR$60+1)*($NS$60-256+1)/$NU$60,$NN$60/$NT$60)),0)</f>
        <v/>
      </c>
      <c r="JA60" s="402">
        <f>IF(AND(257&gt;=$NR$60,257&lt;=$NS$60),IF($NP$60="Single_Point",IF(257=$NR$60,$NN$60,0),IF($NP$60="Bell_Curve",$NN$60*(257-$NR$60+1)*($NS$60-257+1)/$NU$60,$NN$60/$NT$60)),0)</f>
        <v/>
      </c>
      <c r="JB60" s="402">
        <f>IF(AND(258&gt;=$NR$60,258&lt;=$NS$60),IF($NP$60="Single_Point",IF(258=$NR$60,$NN$60,0),IF($NP$60="Bell_Curve",$NN$60*(258-$NR$60+1)*($NS$60-258+1)/$NU$60,$NN$60/$NT$60)),0)</f>
        <v/>
      </c>
      <c r="JC60" s="402">
        <f>IF(AND(259&gt;=$NR$60,259&lt;=$NS$60),IF($NP$60="Single_Point",IF(259=$NR$60,$NN$60,0),IF($NP$60="Bell_Curve",$NN$60*(259-$NR$60+1)*($NS$60-259+1)/$NU$60,$NN$60/$NT$60)),0)</f>
        <v/>
      </c>
      <c r="JD60" s="402">
        <f>IF(AND(260&gt;=$NR$60,260&lt;=$NS$60),IF($NP$60="Single_Point",IF(260=$NR$60,$NN$60,0),IF($NP$60="Bell_Curve",$NN$60*(260-$NR$60+1)*($NS$60-260+1)/$NU$60,$NN$60/$NT$60)),0)</f>
        <v/>
      </c>
      <c r="JE60" s="402">
        <f>IF(AND(261&gt;=$NR$60,261&lt;=$NS$60),IF($NP$60="Single_Point",IF(261=$NR$60,$NN$60,0),IF($NP$60="Bell_Curve",$NN$60*(261-$NR$60+1)*($NS$60-261+1)/$NU$60,$NN$60/$NT$60)),0)</f>
        <v/>
      </c>
      <c r="JF60" s="402">
        <f>IF(AND(262&gt;=$NR$60,262&lt;=$NS$60),IF($NP$60="Single_Point",IF(262=$NR$60,$NN$60,0),IF($NP$60="Bell_Curve",$NN$60*(262-$NR$60+1)*($NS$60-262+1)/$NU$60,$NN$60/$NT$60)),0)</f>
        <v/>
      </c>
      <c r="JG60" s="402">
        <f>IF(AND(263&gt;=$NR$60,263&lt;=$NS$60),IF($NP$60="Single_Point",IF(263=$NR$60,$NN$60,0),IF($NP$60="Bell_Curve",$NN$60*(263-$NR$60+1)*($NS$60-263+1)/$NU$60,$NN$60/$NT$60)),0)</f>
        <v/>
      </c>
      <c r="JH60" s="402">
        <f>IF(AND(264&gt;=$NR$60,264&lt;=$NS$60),IF($NP$60="Single_Point",IF(264=$NR$60,$NN$60,0),IF($NP$60="Bell_Curve",$NN$60*(264-$NR$60+1)*($NS$60-264+1)/$NU$60,$NN$60/$NT$60)),0)</f>
        <v/>
      </c>
      <c r="JI60" s="402">
        <f>IF(AND(265&gt;=$NR$60,265&lt;=$NS$60),IF($NP$60="Single_Point",IF(265=$NR$60,$NN$60,0),IF($NP$60="Bell_Curve",$NN$60*(265-$NR$60+1)*($NS$60-265+1)/$NU$60,$NN$60/$NT$60)),0)</f>
        <v/>
      </c>
      <c r="JJ60" s="402">
        <f>IF(AND(266&gt;=$NR$60,266&lt;=$NS$60),IF($NP$60="Single_Point",IF(266=$NR$60,$NN$60,0),IF($NP$60="Bell_Curve",$NN$60*(266-$NR$60+1)*($NS$60-266+1)/$NU$60,$NN$60/$NT$60)),0)</f>
        <v/>
      </c>
      <c r="JK60" s="402">
        <f>IF(AND(267&gt;=$NR$60,267&lt;=$NS$60),IF($NP$60="Single_Point",IF(267=$NR$60,$NN$60,0),IF($NP$60="Bell_Curve",$NN$60*(267-$NR$60+1)*($NS$60-267+1)/$NU$60,$NN$60/$NT$60)),0)</f>
        <v/>
      </c>
      <c r="JL60" s="402">
        <f>IF(AND(268&gt;=$NR$60,268&lt;=$NS$60),IF($NP$60="Single_Point",IF(268=$NR$60,$NN$60,0),IF($NP$60="Bell_Curve",$NN$60*(268-$NR$60+1)*($NS$60-268+1)/$NU$60,$NN$60/$NT$60)),0)</f>
        <v/>
      </c>
      <c r="JM60" s="402">
        <f>IF(AND(269&gt;=$NR$60,269&lt;=$NS$60),IF($NP$60="Single_Point",IF(269=$NR$60,$NN$60,0),IF($NP$60="Bell_Curve",$NN$60*(269-$NR$60+1)*($NS$60-269+1)/$NU$60,$NN$60/$NT$60)),0)</f>
        <v/>
      </c>
      <c r="JN60" s="402">
        <f>IF(AND(270&gt;=$NR$60,270&lt;=$NS$60),IF($NP$60="Single_Point",IF(270=$NR$60,$NN$60,0),IF($NP$60="Bell_Curve",$NN$60*(270-$NR$60+1)*($NS$60-270+1)/$NU$60,$NN$60/$NT$60)),0)</f>
        <v/>
      </c>
      <c r="JO60" s="402">
        <f>IF(AND(271&gt;=$NR$60,271&lt;=$NS$60),IF($NP$60="Single_Point",IF(271=$NR$60,$NN$60,0),IF($NP$60="Bell_Curve",$NN$60*(271-$NR$60+1)*($NS$60-271+1)/$NU$60,$NN$60/$NT$60)),0)</f>
        <v/>
      </c>
      <c r="JP60" s="402">
        <f>IF(AND(272&gt;=$NR$60,272&lt;=$NS$60),IF($NP$60="Single_Point",IF(272=$NR$60,$NN$60,0),IF($NP$60="Bell_Curve",$NN$60*(272-$NR$60+1)*($NS$60-272+1)/$NU$60,$NN$60/$NT$60)),0)</f>
        <v/>
      </c>
      <c r="JQ60" s="402">
        <f>IF(AND(273&gt;=$NR$60,273&lt;=$NS$60),IF($NP$60="Single_Point",IF(273=$NR$60,$NN$60,0),IF($NP$60="Bell_Curve",$NN$60*(273-$NR$60+1)*($NS$60-273+1)/$NU$60,$NN$60/$NT$60)),0)</f>
        <v/>
      </c>
      <c r="JR60" s="402">
        <f>IF(AND(274&gt;=$NR$60,274&lt;=$NS$60),IF($NP$60="Single_Point",IF(274=$NR$60,$NN$60,0),IF($NP$60="Bell_Curve",$NN$60*(274-$NR$60+1)*($NS$60-274+1)/$NU$60,$NN$60/$NT$60)),0)</f>
        <v/>
      </c>
      <c r="JS60" s="402">
        <f>IF(AND(275&gt;=$NR$60,275&lt;=$NS$60),IF($NP$60="Single_Point",IF(275=$NR$60,$NN$60,0),IF($NP$60="Bell_Curve",$NN$60*(275-$NR$60+1)*($NS$60-275+1)/$NU$60,$NN$60/$NT$60)),0)</f>
        <v/>
      </c>
      <c r="JT60" s="402">
        <f>IF(AND(276&gt;=$NR$60,276&lt;=$NS$60),IF($NP$60="Single_Point",IF(276=$NR$60,$NN$60,0),IF($NP$60="Bell_Curve",$NN$60*(276-$NR$60+1)*($NS$60-276+1)/$NU$60,$NN$60/$NT$60)),0)</f>
        <v/>
      </c>
      <c r="JU60" s="402">
        <f>IF(AND(277&gt;=$NR$60,277&lt;=$NS$60),IF($NP$60="Single_Point",IF(277=$NR$60,$NN$60,0),IF($NP$60="Bell_Curve",$NN$60*(277-$NR$60+1)*($NS$60-277+1)/$NU$60,$NN$60/$NT$60)),0)</f>
        <v/>
      </c>
      <c r="JV60" s="402">
        <f>IF(AND(278&gt;=$NR$60,278&lt;=$NS$60),IF($NP$60="Single_Point",IF(278=$NR$60,$NN$60,0),IF($NP$60="Bell_Curve",$NN$60*(278-$NR$60+1)*($NS$60-278+1)/$NU$60,$NN$60/$NT$60)),0)</f>
        <v/>
      </c>
      <c r="JW60" s="402">
        <f>IF(AND(279&gt;=$NR$60,279&lt;=$NS$60),IF($NP$60="Single_Point",IF(279=$NR$60,$NN$60,0),IF($NP$60="Bell_Curve",$NN$60*(279-$NR$60+1)*($NS$60-279+1)/$NU$60,$NN$60/$NT$60)),0)</f>
        <v/>
      </c>
      <c r="JX60" s="402">
        <f>IF(AND(280&gt;=$NR$60,280&lt;=$NS$60),IF($NP$60="Single_Point",IF(280=$NR$60,$NN$60,0),IF($NP$60="Bell_Curve",$NN$60*(280-$NR$60+1)*($NS$60-280+1)/$NU$60,$NN$60/$NT$60)),0)</f>
        <v/>
      </c>
      <c r="JY60" s="402">
        <f>IF(AND(281&gt;=$NR$60,281&lt;=$NS$60),IF($NP$60="Single_Point",IF(281=$NR$60,$NN$60,0),IF($NP$60="Bell_Curve",$NN$60*(281-$NR$60+1)*($NS$60-281+1)/$NU$60,$NN$60/$NT$60)),0)</f>
        <v/>
      </c>
      <c r="JZ60" s="402">
        <f>IF(AND(282&gt;=$NR$60,282&lt;=$NS$60),IF($NP$60="Single_Point",IF(282=$NR$60,$NN$60,0),IF($NP$60="Bell_Curve",$NN$60*(282-$NR$60+1)*($NS$60-282+1)/$NU$60,$NN$60/$NT$60)),0)</f>
        <v/>
      </c>
      <c r="KA60" s="402">
        <f>IF(AND(283&gt;=$NR$60,283&lt;=$NS$60),IF($NP$60="Single_Point",IF(283=$NR$60,$NN$60,0),IF($NP$60="Bell_Curve",$NN$60*(283-$NR$60+1)*($NS$60-283+1)/$NU$60,$NN$60/$NT$60)),0)</f>
        <v/>
      </c>
      <c r="KB60" s="402">
        <f>IF(AND(284&gt;=$NR$60,284&lt;=$NS$60),IF($NP$60="Single_Point",IF(284=$NR$60,$NN$60,0),IF($NP$60="Bell_Curve",$NN$60*(284-$NR$60+1)*($NS$60-284+1)/$NU$60,$NN$60/$NT$60)),0)</f>
        <v/>
      </c>
      <c r="KC60" s="402">
        <f>IF(AND(285&gt;=$NR$60,285&lt;=$NS$60),IF($NP$60="Single_Point",IF(285=$NR$60,$NN$60,0),IF($NP$60="Bell_Curve",$NN$60*(285-$NR$60+1)*($NS$60-285+1)/$NU$60,$NN$60/$NT$60)),0)</f>
        <v/>
      </c>
      <c r="KD60" s="402">
        <f>IF(AND(286&gt;=$NR$60,286&lt;=$NS$60),IF($NP$60="Single_Point",IF(286=$NR$60,$NN$60,0),IF($NP$60="Bell_Curve",$NN$60*(286-$NR$60+1)*($NS$60-286+1)/$NU$60,$NN$60/$NT$60)),0)</f>
        <v/>
      </c>
      <c r="KE60" s="402">
        <f>IF(AND(287&gt;=$NR$60,287&lt;=$NS$60),IF($NP$60="Single_Point",IF(287=$NR$60,$NN$60,0),IF($NP$60="Bell_Curve",$NN$60*(287-$NR$60+1)*($NS$60-287+1)/$NU$60,$NN$60/$NT$60)),0)</f>
        <v/>
      </c>
      <c r="KF60" s="402">
        <f>IF(AND(288&gt;=$NR$60,288&lt;=$NS$60),IF($NP$60="Single_Point",IF(288=$NR$60,$NN$60,0),IF($NP$60="Bell_Curve",$NN$60*(288-$NR$60+1)*($NS$60-288+1)/$NU$60,$NN$60/$NT$60)),0)</f>
        <v/>
      </c>
      <c r="KG60" s="402">
        <f>IF(AND(289&gt;=$NR$60,289&lt;=$NS$60),IF($NP$60="Single_Point",IF(289=$NR$60,$NN$60,0),IF($NP$60="Bell_Curve",$NN$60*(289-$NR$60+1)*($NS$60-289+1)/$NU$60,$NN$60/$NT$60)),0)</f>
        <v/>
      </c>
      <c r="KH60" s="402">
        <f>IF(AND(290&gt;=$NR$60,290&lt;=$NS$60),IF($NP$60="Single_Point",IF(290=$NR$60,$NN$60,0),IF($NP$60="Bell_Curve",$NN$60*(290-$NR$60+1)*($NS$60-290+1)/$NU$60,$NN$60/$NT$60)),0)</f>
        <v/>
      </c>
      <c r="KI60" s="402">
        <f>IF(AND(291&gt;=$NR$60,291&lt;=$NS$60),IF($NP$60="Single_Point",IF(291=$NR$60,$NN$60,0),IF($NP$60="Bell_Curve",$NN$60*(291-$NR$60+1)*($NS$60-291+1)/$NU$60,$NN$60/$NT$60)),0)</f>
        <v/>
      </c>
      <c r="KJ60" s="402">
        <f>IF(AND(292&gt;=$NR$60,292&lt;=$NS$60),IF($NP$60="Single_Point",IF(292=$NR$60,$NN$60,0),IF($NP$60="Bell_Curve",$NN$60*(292-$NR$60+1)*($NS$60-292+1)/$NU$60,$NN$60/$NT$60)),0)</f>
        <v/>
      </c>
      <c r="KK60" s="402">
        <f>IF(AND(293&gt;=$NR$60,293&lt;=$NS$60),IF($NP$60="Single_Point",IF(293=$NR$60,$NN$60,0),IF($NP$60="Bell_Curve",$NN$60*(293-$NR$60+1)*($NS$60-293+1)/$NU$60,$NN$60/$NT$60)),0)</f>
        <v/>
      </c>
      <c r="KL60" s="402">
        <f>IF(AND(294&gt;=$NR$60,294&lt;=$NS$60),IF($NP$60="Single_Point",IF(294=$NR$60,$NN$60,0),IF($NP$60="Bell_Curve",$NN$60*(294-$NR$60+1)*($NS$60-294+1)/$NU$60,$NN$60/$NT$60)),0)</f>
        <v/>
      </c>
      <c r="KM60" s="402">
        <f>IF(AND(295&gt;=$NR$60,295&lt;=$NS$60),IF($NP$60="Single_Point",IF(295=$NR$60,$NN$60,0),IF($NP$60="Bell_Curve",$NN$60*(295-$NR$60+1)*($NS$60-295+1)/$NU$60,$NN$60/$NT$60)),0)</f>
        <v/>
      </c>
      <c r="KN60" s="402">
        <f>IF(AND(296&gt;=$NR$60,296&lt;=$NS$60),IF($NP$60="Single_Point",IF(296=$NR$60,$NN$60,0),IF($NP$60="Bell_Curve",$NN$60*(296-$NR$60+1)*($NS$60-296+1)/$NU$60,$NN$60/$NT$60)),0)</f>
        <v/>
      </c>
      <c r="KO60" s="402">
        <f>IF(AND(297&gt;=$NR$60,297&lt;=$NS$60),IF($NP$60="Single_Point",IF(297=$NR$60,$NN$60,0),IF($NP$60="Bell_Curve",$NN$60*(297-$NR$60+1)*($NS$60-297+1)/$NU$60,$NN$60/$NT$60)),0)</f>
        <v/>
      </c>
      <c r="KP60" s="402">
        <f>IF(AND(298&gt;=$NR$60,298&lt;=$NS$60),IF($NP$60="Single_Point",IF(298=$NR$60,$NN$60,0),IF($NP$60="Bell_Curve",$NN$60*(298-$NR$60+1)*($NS$60-298+1)/$NU$60,$NN$60/$NT$60)),0)</f>
        <v/>
      </c>
      <c r="KQ60" s="402">
        <f>IF(AND(299&gt;=$NR$60,299&lt;=$NS$60),IF($NP$60="Single_Point",IF(299=$NR$60,$NN$60,0),IF($NP$60="Bell_Curve",$NN$60*(299-$NR$60+1)*($NS$60-299+1)/$NU$60,$NN$60/$NT$60)),0)</f>
        <v/>
      </c>
      <c r="KR60" s="402">
        <f>IF(AND(300&gt;=$NR$60,300&lt;=$NS$60),IF($NP$60="Single_Point",IF(300=$NR$60,$NN$60,0),IF($NP$60="Bell_Curve",$NN$60*(300-$NR$60+1)*($NS$60-300+1)/$NU$60,$NN$60/$NT$60)),0)</f>
        <v/>
      </c>
      <c r="KS60" s="402">
        <f>IF(AND(301&gt;=$NR$60,301&lt;=$NS$60),IF($NP$60="Single_Point",IF(301=$NR$60,$NN$60,0),IF($NP$60="Bell_Curve",$NN$60*(301-$NR$60+1)*($NS$60-301+1)/$NU$60,$NN$60/$NT$60)),0)</f>
        <v/>
      </c>
      <c r="KT60" s="402">
        <f>IF(AND(302&gt;=$NR$60,302&lt;=$NS$60),IF($NP$60="Single_Point",IF(302=$NR$60,$NN$60,0),IF($NP$60="Bell_Curve",$NN$60*(302-$NR$60+1)*($NS$60-302+1)/$NU$60,$NN$60/$NT$60)),0)</f>
        <v/>
      </c>
      <c r="KU60" s="402">
        <f>IF(AND(303&gt;=$NR$60,303&lt;=$NS$60),IF($NP$60="Single_Point",IF(303=$NR$60,$NN$60,0),IF($NP$60="Bell_Curve",$NN$60*(303-$NR$60+1)*($NS$60-303+1)/$NU$60,$NN$60/$NT$60)),0)</f>
        <v/>
      </c>
      <c r="KV60" s="402">
        <f>IF(AND(304&gt;=$NR$60,304&lt;=$NS$60),IF($NP$60="Single_Point",IF(304=$NR$60,$NN$60,0),IF($NP$60="Bell_Curve",$NN$60*(304-$NR$60+1)*($NS$60-304+1)/$NU$60,$NN$60/$NT$60)),0)</f>
        <v/>
      </c>
      <c r="KW60" s="402">
        <f>IF(AND(305&gt;=$NR$60,305&lt;=$NS$60),IF($NP$60="Single_Point",IF(305=$NR$60,$NN$60,0),IF($NP$60="Bell_Curve",$NN$60*(305-$NR$60+1)*($NS$60-305+1)/$NU$60,$NN$60/$NT$60)),0)</f>
        <v/>
      </c>
      <c r="KX60" s="402">
        <f>IF(AND(306&gt;=$NR$60,306&lt;=$NS$60),IF($NP$60="Single_Point",IF(306=$NR$60,$NN$60,0),IF($NP$60="Bell_Curve",$NN$60*(306-$NR$60+1)*($NS$60-306+1)/$NU$60,$NN$60/$NT$60)),0)</f>
        <v/>
      </c>
      <c r="KY60" s="402">
        <f>IF(AND(307&gt;=$NR$60,307&lt;=$NS$60),IF($NP$60="Single_Point",IF(307=$NR$60,$NN$60,0),IF($NP$60="Bell_Curve",$NN$60*(307-$NR$60+1)*($NS$60-307+1)/$NU$60,$NN$60/$NT$60)),0)</f>
        <v/>
      </c>
      <c r="KZ60" s="402">
        <f>IF(AND(308&gt;=$NR$60,308&lt;=$NS$60),IF($NP$60="Single_Point",IF(308=$NR$60,$NN$60,0),IF($NP$60="Bell_Curve",$NN$60*(308-$NR$60+1)*($NS$60-308+1)/$NU$60,$NN$60/$NT$60)),0)</f>
        <v/>
      </c>
      <c r="LA60" s="402">
        <f>IF(AND(309&gt;=$NR$60,309&lt;=$NS$60),IF($NP$60="Single_Point",IF(309=$NR$60,$NN$60,0),IF($NP$60="Bell_Curve",$NN$60*(309-$NR$60+1)*($NS$60-309+1)/$NU$60,$NN$60/$NT$60)),0)</f>
        <v/>
      </c>
      <c r="LB60" s="402">
        <f>IF(AND(310&gt;=$NR$60,310&lt;=$NS$60),IF($NP$60="Single_Point",IF(310=$NR$60,$NN$60,0),IF($NP$60="Bell_Curve",$NN$60*(310-$NR$60+1)*($NS$60-310+1)/$NU$60,$NN$60/$NT$60)),0)</f>
        <v/>
      </c>
      <c r="LC60" s="402">
        <f>IF(AND(311&gt;=$NR$60,311&lt;=$NS$60),IF($NP$60="Single_Point",IF(311=$NR$60,$NN$60,0),IF($NP$60="Bell_Curve",$NN$60*(311-$NR$60+1)*($NS$60-311+1)/$NU$60,$NN$60/$NT$60)),0)</f>
        <v/>
      </c>
      <c r="LD60" s="402">
        <f>IF(AND(312&gt;=$NR$60,312&lt;=$NS$60),IF($NP$60="Single_Point",IF(312=$NR$60,$NN$60,0),IF($NP$60="Bell_Curve",$NN$60*(312-$NR$60+1)*($NS$60-312+1)/$NU$60,$NN$60/$NT$60)),0)</f>
        <v/>
      </c>
      <c r="LE60" s="402">
        <f>IF(AND(313&gt;=$NR$60,313&lt;=$NS$60),IF($NP$60="Single_Point",IF(313=$NR$60,$NN$60,0),IF($NP$60="Bell_Curve",$NN$60*(313-$NR$60+1)*($NS$60-313+1)/$NU$60,$NN$60/$NT$60)),0)</f>
        <v/>
      </c>
      <c r="LF60" s="402">
        <f>IF(AND(314&gt;=$NR$60,314&lt;=$NS$60),IF($NP$60="Single_Point",IF(314=$NR$60,$NN$60,0),IF($NP$60="Bell_Curve",$NN$60*(314-$NR$60+1)*($NS$60-314+1)/$NU$60,$NN$60/$NT$60)),0)</f>
        <v/>
      </c>
      <c r="LG60" s="402">
        <f>IF(AND(315&gt;=$NR$60,315&lt;=$NS$60),IF($NP$60="Single_Point",IF(315=$NR$60,$NN$60,0),IF($NP$60="Bell_Curve",$NN$60*(315-$NR$60+1)*($NS$60-315+1)/$NU$60,$NN$60/$NT$60)),0)</f>
        <v/>
      </c>
      <c r="LH60" s="402">
        <f>IF(AND(316&gt;=$NR$60,316&lt;=$NS$60),IF($NP$60="Single_Point",IF(316=$NR$60,$NN$60,0),IF($NP$60="Bell_Curve",$NN$60*(316-$NR$60+1)*($NS$60-316+1)/$NU$60,$NN$60/$NT$60)),0)</f>
        <v/>
      </c>
      <c r="LI60" s="402">
        <f>IF(AND(317&gt;=$NR$60,317&lt;=$NS$60),IF($NP$60="Single_Point",IF(317=$NR$60,$NN$60,0),IF($NP$60="Bell_Curve",$NN$60*(317-$NR$60+1)*($NS$60-317+1)/$NU$60,$NN$60/$NT$60)),0)</f>
        <v/>
      </c>
      <c r="LJ60" s="402">
        <f>IF(AND(318&gt;=$NR$60,318&lt;=$NS$60),IF($NP$60="Single_Point",IF(318=$NR$60,$NN$60,0),IF($NP$60="Bell_Curve",$NN$60*(318-$NR$60+1)*($NS$60-318+1)/$NU$60,$NN$60/$NT$60)),0)</f>
        <v/>
      </c>
      <c r="LK60" s="402">
        <f>IF(AND(319&gt;=$NR$60,319&lt;=$NS$60),IF($NP$60="Single_Point",IF(319=$NR$60,$NN$60,0),IF($NP$60="Bell_Curve",$NN$60*(319-$NR$60+1)*($NS$60-319+1)/$NU$60,$NN$60/$NT$60)),0)</f>
        <v/>
      </c>
      <c r="LL60" s="402">
        <f>IF(AND(320&gt;=$NR$60,320&lt;=$NS$60),IF($NP$60="Single_Point",IF(320=$NR$60,$NN$60,0),IF($NP$60="Bell_Curve",$NN$60*(320-$NR$60+1)*($NS$60-320+1)/$NU$60,$NN$60/$NT$60)),0)</f>
        <v/>
      </c>
      <c r="LM60" s="402">
        <f>IF(AND(321&gt;=$NR$60,321&lt;=$NS$60),IF($NP$60="Single_Point",IF(321=$NR$60,$NN$60,0),IF($NP$60="Bell_Curve",$NN$60*(321-$NR$60+1)*($NS$60-321+1)/$NU$60,$NN$60/$NT$60)),0)</f>
        <v/>
      </c>
      <c r="LN60" s="402">
        <f>IF(AND(322&gt;=$NR$60,322&lt;=$NS$60),IF($NP$60="Single_Point",IF(322=$NR$60,$NN$60,0),IF($NP$60="Bell_Curve",$NN$60*(322-$NR$60+1)*($NS$60-322+1)/$NU$60,$NN$60/$NT$60)),0)</f>
        <v/>
      </c>
      <c r="LO60" s="402">
        <f>IF(AND(323&gt;=$NR$60,323&lt;=$NS$60),IF($NP$60="Single_Point",IF(323=$NR$60,$NN$60,0),IF($NP$60="Bell_Curve",$NN$60*(323-$NR$60+1)*($NS$60-323+1)/$NU$60,$NN$60/$NT$60)),0)</f>
        <v/>
      </c>
      <c r="LP60" s="402">
        <f>IF(AND(324&gt;=$NR$60,324&lt;=$NS$60),IF($NP$60="Single_Point",IF(324=$NR$60,$NN$60,0),IF($NP$60="Bell_Curve",$NN$60*(324-$NR$60+1)*($NS$60-324+1)/$NU$60,$NN$60/$NT$60)),0)</f>
        <v/>
      </c>
      <c r="LQ60" s="402">
        <f>IF(AND(325&gt;=$NR$60,325&lt;=$NS$60),IF($NP$60="Single_Point",IF(325=$NR$60,$NN$60,0),IF($NP$60="Bell_Curve",$NN$60*(325-$NR$60+1)*($NS$60-325+1)/$NU$60,$NN$60/$NT$60)),0)</f>
        <v/>
      </c>
      <c r="LR60" s="402">
        <f>IF(AND(326&gt;=$NR$60,326&lt;=$NS$60),IF($NP$60="Single_Point",IF(326=$NR$60,$NN$60,0),IF($NP$60="Bell_Curve",$NN$60*(326-$NR$60+1)*($NS$60-326+1)/$NU$60,$NN$60/$NT$60)),0)</f>
        <v/>
      </c>
      <c r="LS60" s="402">
        <f>IF(AND(327&gt;=$NR$60,327&lt;=$NS$60),IF($NP$60="Single_Point",IF(327=$NR$60,$NN$60,0),IF($NP$60="Bell_Curve",$NN$60*(327-$NR$60+1)*($NS$60-327+1)/$NU$60,$NN$60/$NT$60)),0)</f>
        <v/>
      </c>
      <c r="LT60" s="402">
        <f>IF(AND(328&gt;=$NR$60,328&lt;=$NS$60),IF($NP$60="Single_Point",IF(328=$NR$60,$NN$60,0),IF($NP$60="Bell_Curve",$NN$60*(328-$NR$60+1)*($NS$60-328+1)/$NU$60,$NN$60/$NT$60)),0)</f>
        <v/>
      </c>
      <c r="LU60" s="402">
        <f>IF(AND(329&gt;=$NR$60,329&lt;=$NS$60),IF($NP$60="Single_Point",IF(329=$NR$60,$NN$60,0),IF($NP$60="Bell_Curve",$NN$60*(329-$NR$60+1)*($NS$60-329+1)/$NU$60,$NN$60/$NT$60)),0)</f>
        <v/>
      </c>
      <c r="LV60" s="402">
        <f>IF(AND(330&gt;=$NR$60,330&lt;=$NS$60),IF($NP$60="Single_Point",IF(330=$NR$60,$NN$60,0),IF($NP$60="Bell_Curve",$NN$60*(330-$NR$60+1)*($NS$60-330+1)/$NU$60,$NN$60/$NT$60)),0)</f>
        <v/>
      </c>
      <c r="LW60" s="402">
        <f>IF(AND(331&gt;=$NR$60,331&lt;=$NS$60),IF($NP$60="Single_Point",IF(331=$NR$60,$NN$60,0),IF($NP$60="Bell_Curve",$NN$60*(331-$NR$60+1)*($NS$60-331+1)/$NU$60,$NN$60/$NT$60)),0)</f>
        <v/>
      </c>
      <c r="LX60" s="402">
        <f>IF(AND(332&gt;=$NR$60,332&lt;=$NS$60),IF($NP$60="Single_Point",IF(332=$NR$60,$NN$60,0),IF($NP$60="Bell_Curve",$NN$60*(332-$NR$60+1)*($NS$60-332+1)/$NU$60,$NN$60/$NT$60)),0)</f>
        <v/>
      </c>
      <c r="LY60" s="402">
        <f>IF(AND(333&gt;=$NR$60,333&lt;=$NS$60),IF($NP$60="Single_Point",IF(333=$NR$60,$NN$60,0),IF($NP$60="Bell_Curve",$NN$60*(333-$NR$60+1)*($NS$60-333+1)/$NU$60,$NN$60/$NT$60)),0)</f>
        <v/>
      </c>
      <c r="LZ60" s="402">
        <f>IF(AND(334&gt;=$NR$60,334&lt;=$NS$60),IF($NP$60="Single_Point",IF(334=$NR$60,$NN$60,0),IF($NP$60="Bell_Curve",$NN$60*(334-$NR$60+1)*($NS$60-334+1)/$NU$60,$NN$60/$NT$60)),0)</f>
        <v/>
      </c>
      <c r="MA60" s="402">
        <f>IF(AND(335&gt;=$NR$60,335&lt;=$NS$60),IF($NP$60="Single_Point",IF(335=$NR$60,$NN$60,0),IF($NP$60="Bell_Curve",$NN$60*(335-$NR$60+1)*($NS$60-335+1)/$NU$60,$NN$60/$NT$60)),0)</f>
        <v/>
      </c>
      <c r="MB60" s="402">
        <f>IF(AND(336&gt;=$NR$60,336&lt;=$NS$60),IF($NP$60="Single_Point",IF(336=$NR$60,$NN$60,0),IF($NP$60="Bell_Curve",$NN$60*(336-$NR$60+1)*($NS$60-336+1)/$NU$60,$NN$60/$NT$60)),0)</f>
        <v/>
      </c>
      <c r="MC60" s="402">
        <f>IF(AND(337&gt;=$NR$60,337&lt;=$NS$60),IF($NP$60="Single_Point",IF(337=$NR$60,$NN$60,0),IF($NP$60="Bell_Curve",$NN$60*(337-$NR$60+1)*($NS$60-337+1)/$NU$60,$NN$60/$NT$60)),0)</f>
        <v/>
      </c>
      <c r="MD60" s="402">
        <f>IF(AND(338&gt;=$NR$60,338&lt;=$NS$60),IF($NP$60="Single_Point",IF(338=$NR$60,$NN$60,0),IF($NP$60="Bell_Curve",$NN$60*(338-$NR$60+1)*($NS$60-338+1)/$NU$60,$NN$60/$NT$60)),0)</f>
        <v/>
      </c>
      <c r="ME60" s="402">
        <f>IF(AND(339&gt;=$NR$60,339&lt;=$NS$60),IF($NP$60="Single_Point",IF(339=$NR$60,$NN$60,0),IF($NP$60="Bell_Curve",$NN$60*(339-$NR$60+1)*($NS$60-339+1)/$NU$60,$NN$60/$NT$60)),0)</f>
        <v/>
      </c>
      <c r="MF60" s="402">
        <f>IF(AND(340&gt;=$NR$60,340&lt;=$NS$60),IF($NP$60="Single_Point",IF(340=$NR$60,$NN$60,0),IF($NP$60="Bell_Curve",$NN$60*(340-$NR$60+1)*($NS$60-340+1)/$NU$60,$NN$60/$NT$60)),0)</f>
        <v/>
      </c>
      <c r="MG60" s="402">
        <f>IF(AND(341&gt;=$NR$60,341&lt;=$NS$60),IF($NP$60="Single_Point",IF(341=$NR$60,$NN$60,0),IF($NP$60="Bell_Curve",$NN$60*(341-$NR$60+1)*($NS$60-341+1)/$NU$60,$NN$60/$NT$60)),0)</f>
        <v/>
      </c>
      <c r="MH60" s="402">
        <f>IF(AND(342&gt;=$NR$60,342&lt;=$NS$60),IF($NP$60="Single_Point",IF(342=$NR$60,$NN$60,0),IF($NP$60="Bell_Curve",$NN$60*(342-$NR$60+1)*($NS$60-342+1)/$NU$60,$NN$60/$NT$60)),0)</f>
        <v/>
      </c>
      <c r="MI60" s="402">
        <f>IF(AND(343&gt;=$NR$60,343&lt;=$NS$60),IF($NP$60="Single_Point",IF(343=$NR$60,$NN$60,0),IF($NP$60="Bell_Curve",$NN$60*(343-$NR$60+1)*($NS$60-343+1)/$NU$60,$NN$60/$NT$60)),0)</f>
        <v/>
      </c>
      <c r="MJ60" s="402">
        <f>IF(AND(344&gt;=$NR$60,344&lt;=$NS$60),IF($NP$60="Single_Point",IF(344=$NR$60,$NN$60,0),IF($NP$60="Bell_Curve",$NN$60*(344-$NR$60+1)*($NS$60-344+1)/$NU$60,$NN$60/$NT$60)),0)</f>
        <v/>
      </c>
      <c r="MK60" s="402">
        <f>IF(AND(345&gt;=$NR$60,345&lt;=$NS$60),IF($NP$60="Single_Point",IF(345=$NR$60,$NN$60,0),IF($NP$60="Bell_Curve",$NN$60*(345-$NR$60+1)*($NS$60-345+1)/$NU$60,$NN$60/$NT$60)),0)</f>
        <v/>
      </c>
      <c r="ML60" s="402">
        <f>IF(AND(346&gt;=$NR$60,346&lt;=$NS$60),IF($NP$60="Single_Point",IF(346=$NR$60,$NN$60,0),IF($NP$60="Bell_Curve",$NN$60*(346-$NR$60+1)*($NS$60-346+1)/$NU$60,$NN$60/$NT$60)),0)</f>
        <v/>
      </c>
      <c r="MM60" s="402">
        <f>IF(AND(347&gt;=$NR$60,347&lt;=$NS$60),IF($NP$60="Single_Point",IF(347=$NR$60,$NN$60,0),IF($NP$60="Bell_Curve",$NN$60*(347-$NR$60+1)*($NS$60-347+1)/$NU$60,$NN$60/$NT$60)),0)</f>
        <v/>
      </c>
      <c r="MN60" s="402">
        <f>IF(AND(348&gt;=$NR$60,348&lt;=$NS$60),IF($NP$60="Single_Point",IF(348=$NR$60,$NN$60,0),IF($NP$60="Bell_Curve",$NN$60*(348-$NR$60+1)*($NS$60-348+1)/$NU$60,$NN$60/$NT$60)),0)</f>
        <v/>
      </c>
      <c r="MO60" s="402">
        <f>IF(AND(349&gt;=$NR$60,349&lt;=$NS$60),IF($NP$60="Single_Point",IF(349=$NR$60,$NN$60,0),IF($NP$60="Bell_Curve",$NN$60*(349-$NR$60+1)*($NS$60-349+1)/$NU$60,$NN$60/$NT$60)),0)</f>
        <v/>
      </c>
      <c r="MP60" s="402">
        <f>IF(AND(350&gt;=$NR$60,350&lt;=$NS$60),IF($NP$60="Single_Point",IF(350=$NR$60,$NN$60,0),IF($NP$60="Bell_Curve",$NN$60*(350-$NR$60+1)*($NS$60-350+1)/$NU$60,$NN$60/$NT$60)),0)</f>
        <v/>
      </c>
      <c r="MQ60" s="402">
        <f>IF(AND(351&gt;=$NR$60,351&lt;=$NS$60),IF($NP$60="Single_Point",IF(351=$NR$60,$NN$60,0),IF($NP$60="Bell_Curve",$NN$60*(351-$NR$60+1)*($NS$60-351+1)/$NU$60,$NN$60/$NT$60)),0)</f>
        <v/>
      </c>
      <c r="MR60" s="402">
        <f>IF(AND(352&gt;=$NR$60,352&lt;=$NS$60),IF($NP$60="Single_Point",IF(352=$NR$60,$NN$60,0),IF($NP$60="Bell_Curve",$NN$60*(352-$NR$60+1)*($NS$60-352+1)/$NU$60,$NN$60/$NT$60)),0)</f>
        <v/>
      </c>
      <c r="MS60" s="402">
        <f>IF(AND(353&gt;=$NR$60,353&lt;=$NS$60),IF($NP$60="Single_Point",IF(353=$NR$60,$NN$60,0),IF($NP$60="Bell_Curve",$NN$60*(353-$NR$60+1)*($NS$60-353+1)/$NU$60,$NN$60/$NT$60)),0)</f>
        <v/>
      </c>
      <c r="MT60" s="402">
        <f>IF(AND(354&gt;=$NR$60,354&lt;=$NS$60),IF($NP$60="Single_Point",IF(354=$NR$60,$NN$60,0),IF($NP$60="Bell_Curve",$NN$60*(354-$NR$60+1)*($NS$60-354+1)/$NU$60,$NN$60/$NT$60)),0)</f>
        <v/>
      </c>
      <c r="MU60" s="402">
        <f>IF(AND(355&gt;=$NR$60,355&lt;=$NS$60),IF($NP$60="Single_Point",IF(355=$NR$60,$NN$60,0),IF($NP$60="Bell_Curve",$NN$60*(355-$NR$60+1)*($NS$60-355+1)/$NU$60,$NN$60/$NT$60)),0)</f>
        <v/>
      </c>
      <c r="MV60" s="402">
        <f>IF(AND(356&gt;=$NR$60,356&lt;=$NS$60),IF($NP$60="Single_Point",IF(356=$NR$60,$NN$60,0),IF($NP$60="Bell_Curve",$NN$60*(356-$NR$60+1)*($NS$60-356+1)/$NU$60,$NN$60/$NT$60)),0)</f>
        <v/>
      </c>
      <c r="MW60" s="402">
        <f>IF(AND(357&gt;=$NR$60,357&lt;=$NS$60),IF($NP$60="Single_Point",IF(357=$NR$60,$NN$60,0),IF($NP$60="Bell_Curve",$NN$60*(357-$NR$60+1)*($NS$60-357+1)/$NU$60,$NN$60/$NT$60)),0)</f>
        <v/>
      </c>
      <c r="MX60" s="402">
        <f>IF(AND(358&gt;=$NR$60,358&lt;=$NS$60),IF($NP$60="Single_Point",IF(358=$NR$60,$NN$60,0),IF($NP$60="Bell_Curve",$NN$60*(358-$NR$60+1)*($NS$60-358+1)/$NU$60,$NN$60/$NT$60)),0)</f>
        <v/>
      </c>
      <c r="MY60" s="402">
        <f>IF(AND(359&gt;=$NR$60,359&lt;=$NS$60),IF($NP$60="Single_Point",IF(359=$NR$60,$NN$60,0),IF($NP$60="Bell_Curve",$NN$60*(359-$NR$60+1)*($NS$60-359+1)/$NU$60,$NN$60/$NT$60)),0)</f>
        <v/>
      </c>
      <c r="MZ60" s="402">
        <f>IF(AND(360&gt;=$NR$60,360&lt;=$NS$60),IF($NP$60="Single_Point",IF(360=$NR$60,$NN$60,0),IF($NP$60="Bell_Curve",$NN$60*(360-$NR$60+1)*($NS$60-360+1)/$NU$60,$NN$60/$NT$60)),0)</f>
        <v/>
      </c>
      <c r="NA60" s="402">
        <f>IF(AND(361&gt;=$NR$60,361&lt;=$NS$60),IF($NP$60="Single_Point",IF(361=$NR$60,$NN$60,0),IF($NP$60="Bell_Curve",$NN$60*(361-$NR$60+1)*($NS$60-361+1)/$NU$60,$NN$60/$NT$60)),0)</f>
        <v/>
      </c>
      <c r="NB60" s="402">
        <f>IF(AND(362&gt;=$NR$60,362&lt;=$NS$60),IF($NP$60="Single_Point",IF(362=$NR$60,$NN$60,0),IF($NP$60="Bell_Curve",$NN$60*(362-$NR$60+1)*($NS$60-362+1)/$NU$60,$NN$60/$NT$60)),0)</f>
        <v/>
      </c>
      <c r="NC60" s="402">
        <f>IF(AND(363&gt;=$NR$60,363&lt;=$NS$60),IF($NP$60="Single_Point",IF(363=$NR$60,$NN$60,0),IF($NP$60="Bell_Curve",$NN$60*(363-$NR$60+1)*($NS$60-363+1)/$NU$60,$NN$60/$NT$60)),0)</f>
        <v/>
      </c>
      <c r="ND60" s="402">
        <f>IF(AND(364&gt;=$NR$60,364&lt;=$NS$60),IF($NP$60="Single_Point",IF(364=$NR$60,$NN$60,0),IF($NP$60="Bell_Curve",$NN$60*(364-$NR$60+1)*($NS$60-364+1)/$NU$60,$NN$60/$NT$60)),0)</f>
        <v/>
      </c>
      <c r="NE60" s="402">
        <f>IF(AND(365&gt;=$NR$60,365&lt;=$NS$60),IF($NP$60="Single_Point",IF(365=$NR$60,$NN$60,0),IF($NP$60="Bell_Curve",$NN$60*(365-$NR$60+1)*($NS$60-365+1)/$NU$60,$NN$60/$NT$60)),0)</f>
        <v/>
      </c>
      <c r="NF60" s="402">
        <f>IF(AND(366&gt;=$NR$60,366&lt;=$NS$60),IF($NP$60="Single_Point",IF(366=$NR$60,$NN$60,0),IF($NP$60="Bell_Curve",$NN$60*(366-$NR$60+1)*($NS$60-366+1)/$NU$60,$NN$60/$NT$60)),0)</f>
        <v/>
      </c>
      <c r="NG60" s="402">
        <f>IF(AND(367&gt;=$NR$60,367&lt;=$NS$60),IF($NP$60="Single_Point",IF(367=$NR$60,$NN$60,0),IF($NP$60="Bell_Curve",$NN$60*(367-$NR$60+1)*($NS$60-367+1)/$NU$60,$NN$60/$NT$60)),0)</f>
        <v/>
      </c>
      <c r="NH60" s="402">
        <f>IF(AND(368&gt;=$NR$60,368&lt;=$NS$60),IF($NP$60="Single_Point",IF(368=$NR$60,$NN$60,0),IF($NP$60="Bell_Curve",$NN$60*(368-$NR$60+1)*($NS$60-368+1)/$NU$60,$NN$60/$NT$60)),0)</f>
        <v/>
      </c>
      <c r="NI60" s="402">
        <f>IF(AND(369&gt;=$NR$60,369&lt;=$NS$60),IF($NP$60="Single_Point",IF(369=$NR$60,$NN$60,0),IF($NP$60="Bell_Curve",$NN$60*(369-$NR$60+1)*($NS$60-369+1)/$NU$60,$NN$60/$NT$60)),0)</f>
        <v/>
      </c>
      <c r="NJ60" s="402">
        <f>IF(AND(370&gt;=$NR$60,370&lt;=$NS$60),IF($NP$60="Single_Point",IF(370=$NR$60,$NN$60,0),IF($NP$60="Bell_Curve",$NN$60*(370-$NR$60+1)*($NS$60-370+1)/$NU$60,$NN$60/$NT$60)),0)</f>
        <v/>
      </c>
      <c r="NK60" s="402">
        <f>IF(AND(371&gt;=$NR$60,371&lt;=$NS$60),IF($NP$60="Single_Point",IF(371=$NR$60,$NN$60,0),IF($NP$60="Bell_Curve",$NN$60*(371-$NR$60+1)*($NS$60-371+1)/$NU$60,$NN$60/$NT$60)),0)</f>
        <v/>
      </c>
      <c r="NL60" s="402">
        <f>IF(AND(372&gt;=$NR$60,372&lt;=$NS$60),IF($NP$60="Single_Point",IF(372=$NR$60,$NN$60,0),IF($NP$60="Bell_Curve",$NN$60*(372-$NR$60+1)*($NS$60-372+1)/$NU$60,$NN$60/$NT$60)),0)</f>
        <v/>
      </c>
      <c r="NM60">
        <f>Budget!C59</f>
        <v/>
      </c>
      <c r="NN60">
        <f>Budget!J59</f>
        <v/>
      </c>
      <c r="NO60">
        <f>Budget!G59</f>
        <v/>
      </c>
      <c r="NP60">
        <f>Budget!H59</f>
        <v/>
      </c>
      <c r="NQ60">
        <f>Budget!I59</f>
        <v/>
      </c>
      <c r="NR60">
        <f>MAX(1,MIN(372,INDEX(MilestoneStart,MATCH(NO60,MilestoneNames,0))+NQ60))</f>
        <v/>
      </c>
      <c r="NS60">
        <f>MAX(NR60,MIN(372,INDEX(MilestoneEnd,MATCH(NO60,MilestoneNames,0))+NQ60))</f>
        <v/>
      </c>
      <c r="NT60">
        <f>NS60-NR60+1</f>
        <v/>
      </c>
      <c r="NU60">
        <f>NT60*(NT60+1)*(NT60+2)/6</f>
        <v/>
      </c>
    </row>
    <row r="61">
      <c r="B61" s="316">
        <f>Budget!B60</f>
        <v/>
      </c>
      <c r="D61" s="402">
        <f>SUM(E61:NL61)</f>
        <v/>
      </c>
      <c r="E61" s="402">
        <f>IF(AND(1&gt;=$NR$61,1&lt;=$NS$61),IF($NP$61="Single_Point",IF(1=$NR$61,$NN$61,0),IF($NP$61="Bell_Curve",$NN$61*(1-$NR$61+1)*($NS$61-1+1)/$NU$61,$NN$61/$NT$61)),0)</f>
        <v/>
      </c>
      <c r="F61" s="402">
        <f>IF(AND(2&gt;=$NR$61,2&lt;=$NS$61),IF($NP$61="Single_Point",IF(2=$NR$61,$NN$61,0),IF($NP$61="Bell_Curve",$NN$61*(2-$NR$61+1)*($NS$61-2+1)/$NU$61,$NN$61/$NT$61)),0)</f>
        <v/>
      </c>
      <c r="G61" s="402">
        <f>IF(AND(3&gt;=$NR$61,3&lt;=$NS$61),IF($NP$61="Single_Point",IF(3=$NR$61,$NN$61,0),IF($NP$61="Bell_Curve",$NN$61*(3-$NR$61+1)*($NS$61-3+1)/$NU$61,$NN$61/$NT$61)),0)</f>
        <v/>
      </c>
      <c r="H61" s="402">
        <f>IF(AND(4&gt;=$NR$61,4&lt;=$NS$61),IF($NP$61="Single_Point",IF(4=$NR$61,$NN$61,0),IF($NP$61="Bell_Curve",$NN$61*(4-$NR$61+1)*($NS$61-4+1)/$NU$61,$NN$61/$NT$61)),0)</f>
        <v/>
      </c>
      <c r="I61" s="402">
        <f>IF(AND(5&gt;=$NR$61,5&lt;=$NS$61),IF($NP$61="Single_Point",IF(5=$NR$61,$NN$61,0),IF($NP$61="Bell_Curve",$NN$61*(5-$NR$61+1)*($NS$61-5+1)/$NU$61,$NN$61/$NT$61)),0)</f>
        <v/>
      </c>
      <c r="J61" s="402">
        <f>IF(AND(6&gt;=$NR$61,6&lt;=$NS$61),IF($NP$61="Single_Point",IF(6=$NR$61,$NN$61,0),IF($NP$61="Bell_Curve",$NN$61*(6-$NR$61+1)*($NS$61-6+1)/$NU$61,$NN$61/$NT$61)),0)</f>
        <v/>
      </c>
      <c r="K61" s="402">
        <f>IF(AND(7&gt;=$NR$61,7&lt;=$NS$61),IF($NP$61="Single_Point",IF(7=$NR$61,$NN$61,0),IF($NP$61="Bell_Curve",$NN$61*(7-$NR$61+1)*($NS$61-7+1)/$NU$61,$NN$61/$NT$61)),0)</f>
        <v/>
      </c>
      <c r="L61" s="402">
        <f>IF(AND(8&gt;=$NR$61,8&lt;=$NS$61),IF($NP$61="Single_Point",IF(8=$NR$61,$NN$61,0),IF($NP$61="Bell_Curve",$NN$61*(8-$NR$61+1)*($NS$61-8+1)/$NU$61,$NN$61/$NT$61)),0)</f>
        <v/>
      </c>
      <c r="M61" s="402">
        <f>IF(AND(9&gt;=$NR$61,9&lt;=$NS$61),IF($NP$61="Single_Point",IF(9=$NR$61,$NN$61,0),IF($NP$61="Bell_Curve",$NN$61*(9-$NR$61+1)*($NS$61-9+1)/$NU$61,$NN$61/$NT$61)),0)</f>
        <v/>
      </c>
      <c r="N61" s="402">
        <f>IF(AND(10&gt;=$NR$61,10&lt;=$NS$61),IF($NP$61="Single_Point",IF(10=$NR$61,$NN$61,0),IF($NP$61="Bell_Curve",$NN$61*(10-$NR$61+1)*($NS$61-10+1)/$NU$61,$NN$61/$NT$61)),0)</f>
        <v/>
      </c>
      <c r="O61" s="402">
        <f>IF(AND(11&gt;=$NR$61,11&lt;=$NS$61),IF($NP$61="Single_Point",IF(11=$NR$61,$NN$61,0),IF($NP$61="Bell_Curve",$NN$61*(11-$NR$61+1)*($NS$61-11+1)/$NU$61,$NN$61/$NT$61)),0)</f>
        <v/>
      </c>
      <c r="P61" s="402">
        <f>IF(AND(12&gt;=$NR$61,12&lt;=$NS$61),IF($NP$61="Single_Point",IF(12=$NR$61,$NN$61,0),IF($NP$61="Bell_Curve",$NN$61*(12-$NR$61+1)*($NS$61-12+1)/$NU$61,$NN$61/$NT$61)),0)</f>
        <v/>
      </c>
      <c r="Q61" s="402">
        <f>IF(AND(13&gt;=$NR$61,13&lt;=$NS$61),IF($NP$61="Single_Point",IF(13=$NR$61,$NN$61,0),IF($NP$61="Bell_Curve",$NN$61*(13-$NR$61+1)*($NS$61-13+1)/$NU$61,$NN$61/$NT$61)),0)</f>
        <v/>
      </c>
      <c r="R61" s="402">
        <f>IF(AND(14&gt;=$NR$61,14&lt;=$NS$61),IF($NP$61="Single_Point",IF(14=$NR$61,$NN$61,0),IF($NP$61="Bell_Curve",$NN$61*(14-$NR$61+1)*($NS$61-14+1)/$NU$61,$NN$61/$NT$61)),0)</f>
        <v/>
      </c>
      <c r="S61" s="402">
        <f>IF(AND(15&gt;=$NR$61,15&lt;=$NS$61),IF($NP$61="Single_Point",IF(15=$NR$61,$NN$61,0),IF($NP$61="Bell_Curve",$NN$61*(15-$NR$61+1)*($NS$61-15+1)/$NU$61,$NN$61/$NT$61)),0)</f>
        <v/>
      </c>
      <c r="T61" s="402">
        <f>IF(AND(16&gt;=$NR$61,16&lt;=$NS$61),IF($NP$61="Single_Point",IF(16=$NR$61,$NN$61,0),IF($NP$61="Bell_Curve",$NN$61*(16-$NR$61+1)*($NS$61-16+1)/$NU$61,$NN$61/$NT$61)),0)</f>
        <v/>
      </c>
      <c r="U61" s="402">
        <f>IF(AND(17&gt;=$NR$61,17&lt;=$NS$61),IF($NP$61="Single_Point",IF(17=$NR$61,$NN$61,0),IF($NP$61="Bell_Curve",$NN$61*(17-$NR$61+1)*($NS$61-17+1)/$NU$61,$NN$61/$NT$61)),0)</f>
        <v/>
      </c>
      <c r="V61" s="402">
        <f>IF(AND(18&gt;=$NR$61,18&lt;=$NS$61),IF($NP$61="Single_Point",IF(18=$NR$61,$NN$61,0),IF($NP$61="Bell_Curve",$NN$61*(18-$NR$61+1)*($NS$61-18+1)/$NU$61,$NN$61/$NT$61)),0)</f>
        <v/>
      </c>
      <c r="W61" s="402">
        <f>IF(AND(19&gt;=$NR$61,19&lt;=$NS$61),IF($NP$61="Single_Point",IF(19=$NR$61,$NN$61,0),IF($NP$61="Bell_Curve",$NN$61*(19-$NR$61+1)*($NS$61-19+1)/$NU$61,$NN$61/$NT$61)),0)</f>
        <v/>
      </c>
      <c r="X61" s="402">
        <f>IF(AND(20&gt;=$NR$61,20&lt;=$NS$61),IF($NP$61="Single_Point",IF(20=$NR$61,$NN$61,0),IF($NP$61="Bell_Curve",$NN$61*(20-$NR$61+1)*($NS$61-20+1)/$NU$61,$NN$61/$NT$61)),0)</f>
        <v/>
      </c>
      <c r="Y61" s="402">
        <f>IF(AND(21&gt;=$NR$61,21&lt;=$NS$61),IF($NP$61="Single_Point",IF(21=$NR$61,$NN$61,0),IF($NP$61="Bell_Curve",$NN$61*(21-$NR$61+1)*($NS$61-21+1)/$NU$61,$NN$61/$NT$61)),0)</f>
        <v/>
      </c>
      <c r="Z61" s="402">
        <f>IF(AND(22&gt;=$NR$61,22&lt;=$NS$61),IF($NP$61="Single_Point",IF(22=$NR$61,$NN$61,0),IF($NP$61="Bell_Curve",$NN$61*(22-$NR$61+1)*($NS$61-22+1)/$NU$61,$NN$61/$NT$61)),0)</f>
        <v/>
      </c>
      <c r="AA61" s="402">
        <f>IF(AND(23&gt;=$NR$61,23&lt;=$NS$61),IF($NP$61="Single_Point",IF(23=$NR$61,$NN$61,0),IF($NP$61="Bell_Curve",$NN$61*(23-$NR$61+1)*($NS$61-23+1)/$NU$61,$NN$61/$NT$61)),0)</f>
        <v/>
      </c>
      <c r="AB61" s="402">
        <f>IF(AND(24&gt;=$NR$61,24&lt;=$NS$61),IF($NP$61="Single_Point",IF(24=$NR$61,$NN$61,0),IF($NP$61="Bell_Curve",$NN$61*(24-$NR$61+1)*($NS$61-24+1)/$NU$61,$NN$61/$NT$61)),0)</f>
        <v/>
      </c>
      <c r="AC61" s="402">
        <f>IF(AND(25&gt;=$NR$61,25&lt;=$NS$61),IF($NP$61="Single_Point",IF(25=$NR$61,$NN$61,0),IF($NP$61="Bell_Curve",$NN$61*(25-$NR$61+1)*($NS$61-25+1)/$NU$61,$NN$61/$NT$61)),0)</f>
        <v/>
      </c>
      <c r="AD61" s="402">
        <f>IF(AND(26&gt;=$NR$61,26&lt;=$NS$61),IF($NP$61="Single_Point",IF(26=$NR$61,$NN$61,0),IF($NP$61="Bell_Curve",$NN$61*(26-$NR$61+1)*($NS$61-26+1)/$NU$61,$NN$61/$NT$61)),0)</f>
        <v/>
      </c>
      <c r="AE61" s="402">
        <f>IF(AND(27&gt;=$NR$61,27&lt;=$NS$61),IF($NP$61="Single_Point",IF(27=$NR$61,$NN$61,0),IF($NP$61="Bell_Curve",$NN$61*(27-$NR$61+1)*($NS$61-27+1)/$NU$61,$NN$61/$NT$61)),0)</f>
        <v/>
      </c>
      <c r="AF61" s="402">
        <f>IF(AND(28&gt;=$NR$61,28&lt;=$NS$61),IF($NP$61="Single_Point",IF(28=$NR$61,$NN$61,0),IF($NP$61="Bell_Curve",$NN$61*(28-$NR$61+1)*($NS$61-28+1)/$NU$61,$NN$61/$NT$61)),0)</f>
        <v/>
      </c>
      <c r="AG61" s="402">
        <f>IF(AND(29&gt;=$NR$61,29&lt;=$NS$61),IF($NP$61="Single_Point",IF(29=$NR$61,$NN$61,0),IF($NP$61="Bell_Curve",$NN$61*(29-$NR$61+1)*($NS$61-29+1)/$NU$61,$NN$61/$NT$61)),0)</f>
        <v/>
      </c>
      <c r="AH61" s="402">
        <f>IF(AND(30&gt;=$NR$61,30&lt;=$NS$61),IF($NP$61="Single_Point",IF(30=$NR$61,$NN$61,0),IF($NP$61="Bell_Curve",$NN$61*(30-$NR$61+1)*($NS$61-30+1)/$NU$61,$NN$61/$NT$61)),0)</f>
        <v/>
      </c>
      <c r="AI61" s="402">
        <f>IF(AND(31&gt;=$NR$61,31&lt;=$NS$61),IF($NP$61="Single_Point",IF(31=$NR$61,$NN$61,0),IF($NP$61="Bell_Curve",$NN$61*(31-$NR$61+1)*($NS$61-31+1)/$NU$61,$NN$61/$NT$61)),0)</f>
        <v/>
      </c>
      <c r="AJ61" s="402">
        <f>IF(AND(32&gt;=$NR$61,32&lt;=$NS$61),IF($NP$61="Single_Point",IF(32=$NR$61,$NN$61,0),IF($NP$61="Bell_Curve",$NN$61*(32-$NR$61+1)*($NS$61-32+1)/$NU$61,$NN$61/$NT$61)),0)</f>
        <v/>
      </c>
      <c r="AK61" s="402">
        <f>IF(AND(33&gt;=$NR$61,33&lt;=$NS$61),IF($NP$61="Single_Point",IF(33=$NR$61,$NN$61,0),IF($NP$61="Bell_Curve",$NN$61*(33-$NR$61+1)*($NS$61-33+1)/$NU$61,$NN$61/$NT$61)),0)</f>
        <v/>
      </c>
      <c r="AL61" s="402">
        <f>IF(AND(34&gt;=$NR$61,34&lt;=$NS$61),IF($NP$61="Single_Point",IF(34=$NR$61,$NN$61,0),IF($NP$61="Bell_Curve",$NN$61*(34-$NR$61+1)*($NS$61-34+1)/$NU$61,$NN$61/$NT$61)),0)</f>
        <v/>
      </c>
      <c r="AM61" s="402">
        <f>IF(AND(35&gt;=$NR$61,35&lt;=$NS$61),IF($NP$61="Single_Point",IF(35=$NR$61,$NN$61,0),IF($NP$61="Bell_Curve",$NN$61*(35-$NR$61+1)*($NS$61-35+1)/$NU$61,$NN$61/$NT$61)),0)</f>
        <v/>
      </c>
      <c r="AN61" s="402">
        <f>IF(AND(36&gt;=$NR$61,36&lt;=$NS$61),IF($NP$61="Single_Point",IF(36=$NR$61,$NN$61,0),IF($NP$61="Bell_Curve",$NN$61*(36-$NR$61+1)*($NS$61-36+1)/$NU$61,$NN$61/$NT$61)),0)</f>
        <v/>
      </c>
      <c r="AO61" s="402">
        <f>IF(AND(37&gt;=$NR$61,37&lt;=$NS$61),IF($NP$61="Single_Point",IF(37=$NR$61,$NN$61,0),IF($NP$61="Bell_Curve",$NN$61*(37-$NR$61+1)*($NS$61-37+1)/$NU$61,$NN$61/$NT$61)),0)</f>
        <v/>
      </c>
      <c r="AP61" s="402">
        <f>IF(AND(38&gt;=$NR$61,38&lt;=$NS$61),IF($NP$61="Single_Point",IF(38=$NR$61,$NN$61,0),IF($NP$61="Bell_Curve",$NN$61*(38-$NR$61+1)*($NS$61-38+1)/$NU$61,$NN$61/$NT$61)),0)</f>
        <v/>
      </c>
      <c r="AQ61" s="402">
        <f>IF(AND(39&gt;=$NR$61,39&lt;=$NS$61),IF($NP$61="Single_Point",IF(39=$NR$61,$NN$61,0),IF($NP$61="Bell_Curve",$NN$61*(39-$NR$61+1)*($NS$61-39+1)/$NU$61,$NN$61/$NT$61)),0)</f>
        <v/>
      </c>
      <c r="AR61" s="402">
        <f>IF(AND(40&gt;=$NR$61,40&lt;=$NS$61),IF($NP$61="Single_Point",IF(40=$NR$61,$NN$61,0),IF($NP$61="Bell_Curve",$NN$61*(40-$NR$61+1)*($NS$61-40+1)/$NU$61,$NN$61/$NT$61)),0)</f>
        <v/>
      </c>
      <c r="AS61" s="402">
        <f>IF(AND(41&gt;=$NR$61,41&lt;=$NS$61),IF($NP$61="Single_Point",IF(41=$NR$61,$NN$61,0),IF($NP$61="Bell_Curve",$NN$61*(41-$NR$61+1)*($NS$61-41+1)/$NU$61,$NN$61/$NT$61)),0)</f>
        <v/>
      </c>
      <c r="AT61" s="402">
        <f>IF(AND(42&gt;=$NR$61,42&lt;=$NS$61),IF($NP$61="Single_Point",IF(42=$NR$61,$NN$61,0),IF($NP$61="Bell_Curve",$NN$61*(42-$NR$61+1)*($NS$61-42+1)/$NU$61,$NN$61/$NT$61)),0)</f>
        <v/>
      </c>
      <c r="AU61" s="402">
        <f>IF(AND(43&gt;=$NR$61,43&lt;=$NS$61),IF($NP$61="Single_Point",IF(43=$NR$61,$NN$61,0),IF($NP$61="Bell_Curve",$NN$61*(43-$NR$61+1)*($NS$61-43+1)/$NU$61,$NN$61/$NT$61)),0)</f>
        <v/>
      </c>
      <c r="AV61" s="402">
        <f>IF(AND(44&gt;=$NR$61,44&lt;=$NS$61),IF($NP$61="Single_Point",IF(44=$NR$61,$NN$61,0),IF($NP$61="Bell_Curve",$NN$61*(44-$NR$61+1)*($NS$61-44+1)/$NU$61,$NN$61/$NT$61)),0)</f>
        <v/>
      </c>
      <c r="AW61" s="402">
        <f>IF(AND(45&gt;=$NR$61,45&lt;=$NS$61),IF($NP$61="Single_Point",IF(45=$NR$61,$NN$61,0),IF($NP$61="Bell_Curve",$NN$61*(45-$NR$61+1)*($NS$61-45+1)/$NU$61,$NN$61/$NT$61)),0)</f>
        <v/>
      </c>
      <c r="AX61" s="402">
        <f>IF(AND(46&gt;=$NR$61,46&lt;=$NS$61),IF($NP$61="Single_Point",IF(46=$NR$61,$NN$61,0),IF($NP$61="Bell_Curve",$NN$61*(46-$NR$61+1)*($NS$61-46+1)/$NU$61,$NN$61/$NT$61)),0)</f>
        <v/>
      </c>
      <c r="AY61" s="402">
        <f>IF(AND(47&gt;=$NR$61,47&lt;=$NS$61),IF($NP$61="Single_Point",IF(47=$NR$61,$NN$61,0),IF($NP$61="Bell_Curve",$NN$61*(47-$NR$61+1)*($NS$61-47+1)/$NU$61,$NN$61/$NT$61)),0)</f>
        <v/>
      </c>
      <c r="AZ61" s="402">
        <f>IF(AND(48&gt;=$NR$61,48&lt;=$NS$61),IF($NP$61="Single_Point",IF(48=$NR$61,$NN$61,0),IF($NP$61="Bell_Curve",$NN$61*(48-$NR$61+1)*($NS$61-48+1)/$NU$61,$NN$61/$NT$61)),0)</f>
        <v/>
      </c>
      <c r="BA61" s="402">
        <f>IF(AND(49&gt;=$NR$61,49&lt;=$NS$61),IF($NP$61="Single_Point",IF(49=$NR$61,$NN$61,0),IF($NP$61="Bell_Curve",$NN$61*(49-$NR$61+1)*($NS$61-49+1)/$NU$61,$NN$61/$NT$61)),0)</f>
        <v/>
      </c>
      <c r="BB61" s="402">
        <f>IF(AND(50&gt;=$NR$61,50&lt;=$NS$61),IF($NP$61="Single_Point",IF(50=$NR$61,$NN$61,0),IF($NP$61="Bell_Curve",$NN$61*(50-$NR$61+1)*($NS$61-50+1)/$NU$61,$NN$61/$NT$61)),0)</f>
        <v/>
      </c>
      <c r="BC61" s="402">
        <f>IF(AND(51&gt;=$NR$61,51&lt;=$NS$61),IF($NP$61="Single_Point",IF(51=$NR$61,$NN$61,0),IF($NP$61="Bell_Curve",$NN$61*(51-$NR$61+1)*($NS$61-51+1)/$NU$61,$NN$61/$NT$61)),0)</f>
        <v/>
      </c>
      <c r="BD61" s="402">
        <f>IF(AND(52&gt;=$NR$61,52&lt;=$NS$61),IF($NP$61="Single_Point",IF(52=$NR$61,$NN$61,0),IF($NP$61="Bell_Curve",$NN$61*(52-$NR$61+1)*($NS$61-52+1)/$NU$61,$NN$61/$NT$61)),0)</f>
        <v/>
      </c>
      <c r="BE61" s="402">
        <f>IF(AND(53&gt;=$NR$61,53&lt;=$NS$61),IF($NP$61="Single_Point",IF(53=$NR$61,$NN$61,0),IF($NP$61="Bell_Curve",$NN$61*(53-$NR$61+1)*($NS$61-53+1)/$NU$61,$NN$61/$NT$61)),0)</f>
        <v/>
      </c>
      <c r="BF61" s="402">
        <f>IF(AND(54&gt;=$NR$61,54&lt;=$NS$61),IF($NP$61="Single_Point",IF(54=$NR$61,$NN$61,0),IF($NP$61="Bell_Curve",$NN$61*(54-$NR$61+1)*($NS$61-54+1)/$NU$61,$NN$61/$NT$61)),0)</f>
        <v/>
      </c>
      <c r="BG61" s="402">
        <f>IF(AND(55&gt;=$NR$61,55&lt;=$NS$61),IF($NP$61="Single_Point",IF(55=$NR$61,$NN$61,0),IF($NP$61="Bell_Curve",$NN$61*(55-$NR$61+1)*($NS$61-55+1)/$NU$61,$NN$61/$NT$61)),0)</f>
        <v/>
      </c>
      <c r="BH61" s="402">
        <f>IF(AND(56&gt;=$NR$61,56&lt;=$NS$61),IF($NP$61="Single_Point",IF(56=$NR$61,$NN$61,0),IF($NP$61="Bell_Curve",$NN$61*(56-$NR$61+1)*($NS$61-56+1)/$NU$61,$NN$61/$NT$61)),0)</f>
        <v/>
      </c>
      <c r="BI61" s="402">
        <f>IF(AND(57&gt;=$NR$61,57&lt;=$NS$61),IF($NP$61="Single_Point",IF(57=$NR$61,$NN$61,0),IF($NP$61="Bell_Curve",$NN$61*(57-$NR$61+1)*($NS$61-57+1)/$NU$61,$NN$61/$NT$61)),0)</f>
        <v/>
      </c>
      <c r="BJ61" s="402">
        <f>IF(AND(58&gt;=$NR$61,58&lt;=$NS$61),IF($NP$61="Single_Point",IF(58=$NR$61,$NN$61,0),IF($NP$61="Bell_Curve",$NN$61*(58-$NR$61+1)*($NS$61-58+1)/$NU$61,$NN$61/$NT$61)),0)</f>
        <v/>
      </c>
      <c r="BK61" s="402">
        <f>IF(AND(59&gt;=$NR$61,59&lt;=$NS$61),IF($NP$61="Single_Point",IF(59=$NR$61,$NN$61,0),IF($NP$61="Bell_Curve",$NN$61*(59-$NR$61+1)*($NS$61-59+1)/$NU$61,$NN$61/$NT$61)),0)</f>
        <v/>
      </c>
      <c r="BL61" s="402">
        <f>IF(AND(60&gt;=$NR$61,60&lt;=$NS$61),IF($NP$61="Single_Point",IF(60=$NR$61,$NN$61,0),IF($NP$61="Bell_Curve",$NN$61*(60-$NR$61+1)*($NS$61-60+1)/$NU$61,$NN$61/$NT$61)),0)</f>
        <v/>
      </c>
      <c r="BM61" s="402">
        <f>IF(AND(61&gt;=$NR$61,61&lt;=$NS$61),IF($NP$61="Single_Point",IF(61=$NR$61,$NN$61,0),IF($NP$61="Bell_Curve",$NN$61*(61-$NR$61+1)*($NS$61-61+1)/$NU$61,$NN$61/$NT$61)),0)</f>
        <v/>
      </c>
      <c r="BN61" s="402">
        <f>IF(AND(62&gt;=$NR$61,62&lt;=$NS$61),IF($NP$61="Single_Point",IF(62=$NR$61,$NN$61,0),IF($NP$61="Bell_Curve",$NN$61*(62-$NR$61+1)*($NS$61-62+1)/$NU$61,$NN$61/$NT$61)),0)</f>
        <v/>
      </c>
      <c r="BO61" s="402">
        <f>IF(AND(63&gt;=$NR$61,63&lt;=$NS$61),IF($NP$61="Single_Point",IF(63=$NR$61,$NN$61,0),IF($NP$61="Bell_Curve",$NN$61*(63-$NR$61+1)*($NS$61-63+1)/$NU$61,$NN$61/$NT$61)),0)</f>
        <v/>
      </c>
      <c r="BP61" s="402">
        <f>IF(AND(64&gt;=$NR$61,64&lt;=$NS$61),IF($NP$61="Single_Point",IF(64=$NR$61,$NN$61,0),IF($NP$61="Bell_Curve",$NN$61*(64-$NR$61+1)*($NS$61-64+1)/$NU$61,$NN$61/$NT$61)),0)</f>
        <v/>
      </c>
      <c r="BQ61" s="402">
        <f>IF(AND(65&gt;=$NR$61,65&lt;=$NS$61),IF($NP$61="Single_Point",IF(65=$NR$61,$NN$61,0),IF($NP$61="Bell_Curve",$NN$61*(65-$NR$61+1)*($NS$61-65+1)/$NU$61,$NN$61/$NT$61)),0)</f>
        <v/>
      </c>
      <c r="BR61" s="402">
        <f>IF(AND(66&gt;=$NR$61,66&lt;=$NS$61),IF($NP$61="Single_Point",IF(66=$NR$61,$NN$61,0),IF($NP$61="Bell_Curve",$NN$61*(66-$NR$61+1)*($NS$61-66+1)/$NU$61,$NN$61/$NT$61)),0)</f>
        <v/>
      </c>
      <c r="BS61" s="402">
        <f>IF(AND(67&gt;=$NR$61,67&lt;=$NS$61),IF($NP$61="Single_Point",IF(67=$NR$61,$NN$61,0),IF($NP$61="Bell_Curve",$NN$61*(67-$NR$61+1)*($NS$61-67+1)/$NU$61,$NN$61/$NT$61)),0)</f>
        <v/>
      </c>
      <c r="BT61" s="402">
        <f>IF(AND(68&gt;=$NR$61,68&lt;=$NS$61),IF($NP$61="Single_Point",IF(68=$NR$61,$NN$61,0),IF($NP$61="Bell_Curve",$NN$61*(68-$NR$61+1)*($NS$61-68+1)/$NU$61,$NN$61/$NT$61)),0)</f>
        <v/>
      </c>
      <c r="BU61" s="402">
        <f>IF(AND(69&gt;=$NR$61,69&lt;=$NS$61),IF($NP$61="Single_Point",IF(69=$NR$61,$NN$61,0),IF($NP$61="Bell_Curve",$NN$61*(69-$NR$61+1)*($NS$61-69+1)/$NU$61,$NN$61/$NT$61)),0)</f>
        <v/>
      </c>
      <c r="BV61" s="402">
        <f>IF(AND(70&gt;=$NR$61,70&lt;=$NS$61),IF($NP$61="Single_Point",IF(70=$NR$61,$NN$61,0),IF($NP$61="Bell_Curve",$NN$61*(70-$NR$61+1)*($NS$61-70+1)/$NU$61,$NN$61/$NT$61)),0)</f>
        <v/>
      </c>
      <c r="BW61" s="402">
        <f>IF(AND(71&gt;=$NR$61,71&lt;=$NS$61),IF($NP$61="Single_Point",IF(71=$NR$61,$NN$61,0),IF($NP$61="Bell_Curve",$NN$61*(71-$NR$61+1)*($NS$61-71+1)/$NU$61,$NN$61/$NT$61)),0)</f>
        <v/>
      </c>
      <c r="BX61" s="402">
        <f>IF(AND(72&gt;=$NR$61,72&lt;=$NS$61),IF($NP$61="Single_Point",IF(72=$NR$61,$NN$61,0),IF($NP$61="Bell_Curve",$NN$61*(72-$NR$61+1)*($NS$61-72+1)/$NU$61,$NN$61/$NT$61)),0)</f>
        <v/>
      </c>
      <c r="BY61" s="402">
        <f>IF(AND(73&gt;=$NR$61,73&lt;=$NS$61),IF($NP$61="Single_Point",IF(73=$NR$61,$NN$61,0),IF($NP$61="Bell_Curve",$NN$61*(73-$NR$61+1)*($NS$61-73+1)/$NU$61,$NN$61/$NT$61)),0)</f>
        <v/>
      </c>
      <c r="BZ61" s="402">
        <f>IF(AND(74&gt;=$NR$61,74&lt;=$NS$61),IF($NP$61="Single_Point",IF(74=$NR$61,$NN$61,0),IF($NP$61="Bell_Curve",$NN$61*(74-$NR$61+1)*($NS$61-74+1)/$NU$61,$NN$61/$NT$61)),0)</f>
        <v/>
      </c>
      <c r="CA61" s="402">
        <f>IF(AND(75&gt;=$NR$61,75&lt;=$NS$61),IF($NP$61="Single_Point",IF(75=$NR$61,$NN$61,0),IF($NP$61="Bell_Curve",$NN$61*(75-$NR$61+1)*($NS$61-75+1)/$NU$61,$NN$61/$NT$61)),0)</f>
        <v/>
      </c>
      <c r="CB61" s="402">
        <f>IF(AND(76&gt;=$NR$61,76&lt;=$NS$61),IF($NP$61="Single_Point",IF(76=$NR$61,$NN$61,0),IF($NP$61="Bell_Curve",$NN$61*(76-$NR$61+1)*($NS$61-76+1)/$NU$61,$NN$61/$NT$61)),0)</f>
        <v/>
      </c>
      <c r="CC61" s="402">
        <f>IF(AND(77&gt;=$NR$61,77&lt;=$NS$61),IF($NP$61="Single_Point",IF(77=$NR$61,$NN$61,0),IF($NP$61="Bell_Curve",$NN$61*(77-$NR$61+1)*($NS$61-77+1)/$NU$61,$NN$61/$NT$61)),0)</f>
        <v/>
      </c>
      <c r="CD61" s="402">
        <f>IF(AND(78&gt;=$NR$61,78&lt;=$NS$61),IF($NP$61="Single_Point",IF(78=$NR$61,$NN$61,0),IF($NP$61="Bell_Curve",$NN$61*(78-$NR$61+1)*($NS$61-78+1)/$NU$61,$NN$61/$NT$61)),0)</f>
        <v/>
      </c>
      <c r="CE61" s="402">
        <f>IF(AND(79&gt;=$NR$61,79&lt;=$NS$61),IF($NP$61="Single_Point",IF(79=$NR$61,$NN$61,0),IF($NP$61="Bell_Curve",$NN$61*(79-$NR$61+1)*($NS$61-79+1)/$NU$61,$NN$61/$NT$61)),0)</f>
        <v/>
      </c>
      <c r="CF61" s="402">
        <f>IF(AND(80&gt;=$NR$61,80&lt;=$NS$61),IF($NP$61="Single_Point",IF(80=$NR$61,$NN$61,0),IF($NP$61="Bell_Curve",$NN$61*(80-$NR$61+1)*($NS$61-80+1)/$NU$61,$NN$61/$NT$61)),0)</f>
        <v/>
      </c>
      <c r="CG61" s="402">
        <f>IF(AND(81&gt;=$NR$61,81&lt;=$NS$61),IF($NP$61="Single_Point",IF(81=$NR$61,$NN$61,0),IF($NP$61="Bell_Curve",$NN$61*(81-$NR$61+1)*($NS$61-81+1)/$NU$61,$NN$61/$NT$61)),0)</f>
        <v/>
      </c>
      <c r="CH61" s="402">
        <f>IF(AND(82&gt;=$NR$61,82&lt;=$NS$61),IF($NP$61="Single_Point",IF(82=$NR$61,$NN$61,0),IF($NP$61="Bell_Curve",$NN$61*(82-$NR$61+1)*($NS$61-82+1)/$NU$61,$NN$61/$NT$61)),0)</f>
        <v/>
      </c>
      <c r="CI61" s="402">
        <f>IF(AND(83&gt;=$NR$61,83&lt;=$NS$61),IF($NP$61="Single_Point",IF(83=$NR$61,$NN$61,0),IF($NP$61="Bell_Curve",$NN$61*(83-$NR$61+1)*($NS$61-83+1)/$NU$61,$NN$61/$NT$61)),0)</f>
        <v/>
      </c>
      <c r="CJ61" s="402">
        <f>IF(AND(84&gt;=$NR$61,84&lt;=$NS$61),IF($NP$61="Single_Point",IF(84=$NR$61,$NN$61,0),IF($NP$61="Bell_Curve",$NN$61*(84-$NR$61+1)*($NS$61-84+1)/$NU$61,$NN$61/$NT$61)),0)</f>
        <v/>
      </c>
      <c r="CK61" s="402">
        <f>IF(AND(85&gt;=$NR$61,85&lt;=$NS$61),IF($NP$61="Single_Point",IF(85=$NR$61,$NN$61,0),IF($NP$61="Bell_Curve",$NN$61*(85-$NR$61+1)*($NS$61-85+1)/$NU$61,$NN$61/$NT$61)),0)</f>
        <v/>
      </c>
      <c r="CL61" s="402">
        <f>IF(AND(86&gt;=$NR$61,86&lt;=$NS$61),IF($NP$61="Single_Point",IF(86=$NR$61,$NN$61,0),IF($NP$61="Bell_Curve",$NN$61*(86-$NR$61+1)*($NS$61-86+1)/$NU$61,$NN$61/$NT$61)),0)</f>
        <v/>
      </c>
      <c r="CM61" s="402">
        <f>IF(AND(87&gt;=$NR$61,87&lt;=$NS$61),IF($NP$61="Single_Point",IF(87=$NR$61,$NN$61,0),IF($NP$61="Bell_Curve",$NN$61*(87-$NR$61+1)*($NS$61-87+1)/$NU$61,$NN$61/$NT$61)),0)</f>
        <v/>
      </c>
      <c r="CN61" s="402">
        <f>IF(AND(88&gt;=$NR$61,88&lt;=$NS$61),IF($NP$61="Single_Point",IF(88=$NR$61,$NN$61,0),IF($NP$61="Bell_Curve",$NN$61*(88-$NR$61+1)*($NS$61-88+1)/$NU$61,$NN$61/$NT$61)),0)</f>
        <v/>
      </c>
      <c r="CO61" s="402">
        <f>IF(AND(89&gt;=$NR$61,89&lt;=$NS$61),IF($NP$61="Single_Point",IF(89=$NR$61,$NN$61,0),IF($NP$61="Bell_Curve",$NN$61*(89-$NR$61+1)*($NS$61-89+1)/$NU$61,$NN$61/$NT$61)),0)</f>
        <v/>
      </c>
      <c r="CP61" s="402">
        <f>IF(AND(90&gt;=$NR$61,90&lt;=$NS$61),IF($NP$61="Single_Point",IF(90=$NR$61,$NN$61,0),IF($NP$61="Bell_Curve",$NN$61*(90-$NR$61+1)*($NS$61-90+1)/$NU$61,$NN$61/$NT$61)),0)</f>
        <v/>
      </c>
      <c r="CQ61" s="402">
        <f>IF(AND(91&gt;=$NR$61,91&lt;=$NS$61),IF($NP$61="Single_Point",IF(91=$NR$61,$NN$61,0),IF($NP$61="Bell_Curve",$NN$61*(91-$NR$61+1)*($NS$61-91+1)/$NU$61,$NN$61/$NT$61)),0)</f>
        <v/>
      </c>
      <c r="CR61" s="402">
        <f>IF(AND(92&gt;=$NR$61,92&lt;=$NS$61),IF($NP$61="Single_Point",IF(92=$NR$61,$NN$61,0),IF($NP$61="Bell_Curve",$NN$61*(92-$NR$61+1)*($NS$61-92+1)/$NU$61,$NN$61/$NT$61)),0)</f>
        <v/>
      </c>
      <c r="CS61" s="402">
        <f>IF(AND(93&gt;=$NR$61,93&lt;=$NS$61),IF($NP$61="Single_Point",IF(93=$NR$61,$NN$61,0),IF($NP$61="Bell_Curve",$NN$61*(93-$NR$61+1)*($NS$61-93+1)/$NU$61,$NN$61/$NT$61)),0)</f>
        <v/>
      </c>
      <c r="CT61" s="402">
        <f>IF(AND(94&gt;=$NR$61,94&lt;=$NS$61),IF($NP$61="Single_Point",IF(94=$NR$61,$NN$61,0),IF($NP$61="Bell_Curve",$NN$61*(94-$NR$61+1)*($NS$61-94+1)/$NU$61,$NN$61/$NT$61)),0)</f>
        <v/>
      </c>
      <c r="CU61" s="402">
        <f>IF(AND(95&gt;=$NR$61,95&lt;=$NS$61),IF($NP$61="Single_Point",IF(95=$NR$61,$NN$61,0),IF($NP$61="Bell_Curve",$NN$61*(95-$NR$61+1)*($NS$61-95+1)/$NU$61,$NN$61/$NT$61)),0)</f>
        <v/>
      </c>
      <c r="CV61" s="402">
        <f>IF(AND(96&gt;=$NR$61,96&lt;=$NS$61),IF($NP$61="Single_Point",IF(96=$NR$61,$NN$61,0),IF($NP$61="Bell_Curve",$NN$61*(96-$NR$61+1)*($NS$61-96+1)/$NU$61,$NN$61/$NT$61)),0)</f>
        <v/>
      </c>
      <c r="CW61" s="402">
        <f>IF(AND(97&gt;=$NR$61,97&lt;=$NS$61),IF($NP$61="Single_Point",IF(97=$NR$61,$NN$61,0),IF($NP$61="Bell_Curve",$NN$61*(97-$NR$61+1)*($NS$61-97+1)/$NU$61,$NN$61/$NT$61)),0)</f>
        <v/>
      </c>
      <c r="CX61" s="402">
        <f>IF(AND(98&gt;=$NR$61,98&lt;=$NS$61),IF($NP$61="Single_Point",IF(98=$NR$61,$NN$61,0),IF($NP$61="Bell_Curve",$NN$61*(98-$NR$61+1)*($NS$61-98+1)/$NU$61,$NN$61/$NT$61)),0)</f>
        <v/>
      </c>
      <c r="CY61" s="402">
        <f>IF(AND(99&gt;=$NR$61,99&lt;=$NS$61),IF($NP$61="Single_Point",IF(99=$NR$61,$NN$61,0),IF($NP$61="Bell_Curve",$NN$61*(99-$NR$61+1)*($NS$61-99+1)/$NU$61,$NN$61/$NT$61)),0)</f>
        <v/>
      </c>
      <c r="CZ61" s="402">
        <f>IF(AND(100&gt;=$NR$61,100&lt;=$NS$61),IF($NP$61="Single_Point",IF(100=$NR$61,$NN$61,0),IF($NP$61="Bell_Curve",$NN$61*(100-$NR$61+1)*($NS$61-100+1)/$NU$61,$NN$61/$NT$61)),0)</f>
        <v/>
      </c>
      <c r="DA61" s="402">
        <f>IF(AND(101&gt;=$NR$61,101&lt;=$NS$61),IF($NP$61="Single_Point",IF(101=$NR$61,$NN$61,0),IF($NP$61="Bell_Curve",$NN$61*(101-$NR$61+1)*($NS$61-101+1)/$NU$61,$NN$61/$NT$61)),0)</f>
        <v/>
      </c>
      <c r="DB61" s="402">
        <f>IF(AND(102&gt;=$NR$61,102&lt;=$NS$61),IF($NP$61="Single_Point",IF(102=$NR$61,$NN$61,0),IF($NP$61="Bell_Curve",$NN$61*(102-$NR$61+1)*($NS$61-102+1)/$NU$61,$NN$61/$NT$61)),0)</f>
        <v/>
      </c>
      <c r="DC61" s="402">
        <f>IF(AND(103&gt;=$NR$61,103&lt;=$NS$61),IF($NP$61="Single_Point",IF(103=$NR$61,$NN$61,0),IF($NP$61="Bell_Curve",$NN$61*(103-$NR$61+1)*($NS$61-103+1)/$NU$61,$NN$61/$NT$61)),0)</f>
        <v/>
      </c>
      <c r="DD61" s="402">
        <f>IF(AND(104&gt;=$NR$61,104&lt;=$NS$61),IF($NP$61="Single_Point",IF(104=$NR$61,$NN$61,0),IF($NP$61="Bell_Curve",$NN$61*(104-$NR$61+1)*($NS$61-104+1)/$NU$61,$NN$61/$NT$61)),0)</f>
        <v/>
      </c>
      <c r="DE61" s="402">
        <f>IF(AND(105&gt;=$NR$61,105&lt;=$NS$61),IF($NP$61="Single_Point",IF(105=$NR$61,$NN$61,0),IF($NP$61="Bell_Curve",$NN$61*(105-$NR$61+1)*($NS$61-105+1)/$NU$61,$NN$61/$NT$61)),0)</f>
        <v/>
      </c>
      <c r="DF61" s="402">
        <f>IF(AND(106&gt;=$NR$61,106&lt;=$NS$61),IF($NP$61="Single_Point",IF(106=$NR$61,$NN$61,0),IF($NP$61="Bell_Curve",$NN$61*(106-$NR$61+1)*($NS$61-106+1)/$NU$61,$NN$61/$NT$61)),0)</f>
        <v/>
      </c>
      <c r="DG61" s="402">
        <f>IF(AND(107&gt;=$NR$61,107&lt;=$NS$61),IF($NP$61="Single_Point",IF(107=$NR$61,$NN$61,0),IF($NP$61="Bell_Curve",$NN$61*(107-$NR$61+1)*($NS$61-107+1)/$NU$61,$NN$61/$NT$61)),0)</f>
        <v/>
      </c>
      <c r="DH61" s="402">
        <f>IF(AND(108&gt;=$NR$61,108&lt;=$NS$61),IF($NP$61="Single_Point",IF(108=$NR$61,$NN$61,0),IF($NP$61="Bell_Curve",$NN$61*(108-$NR$61+1)*($NS$61-108+1)/$NU$61,$NN$61/$NT$61)),0)</f>
        <v/>
      </c>
      <c r="DI61" s="402">
        <f>IF(AND(109&gt;=$NR$61,109&lt;=$NS$61),IF($NP$61="Single_Point",IF(109=$NR$61,$NN$61,0),IF($NP$61="Bell_Curve",$NN$61*(109-$NR$61+1)*($NS$61-109+1)/$NU$61,$NN$61/$NT$61)),0)</f>
        <v/>
      </c>
      <c r="DJ61" s="402">
        <f>IF(AND(110&gt;=$NR$61,110&lt;=$NS$61),IF($NP$61="Single_Point",IF(110=$NR$61,$NN$61,0),IF($NP$61="Bell_Curve",$NN$61*(110-$NR$61+1)*($NS$61-110+1)/$NU$61,$NN$61/$NT$61)),0)</f>
        <v/>
      </c>
      <c r="DK61" s="402">
        <f>IF(AND(111&gt;=$NR$61,111&lt;=$NS$61),IF($NP$61="Single_Point",IF(111=$NR$61,$NN$61,0),IF($NP$61="Bell_Curve",$NN$61*(111-$NR$61+1)*($NS$61-111+1)/$NU$61,$NN$61/$NT$61)),0)</f>
        <v/>
      </c>
      <c r="DL61" s="402">
        <f>IF(AND(112&gt;=$NR$61,112&lt;=$NS$61),IF($NP$61="Single_Point",IF(112=$NR$61,$NN$61,0),IF($NP$61="Bell_Curve",$NN$61*(112-$NR$61+1)*($NS$61-112+1)/$NU$61,$NN$61/$NT$61)),0)</f>
        <v/>
      </c>
      <c r="DM61" s="402">
        <f>IF(AND(113&gt;=$NR$61,113&lt;=$NS$61),IF($NP$61="Single_Point",IF(113=$NR$61,$NN$61,0),IF($NP$61="Bell_Curve",$NN$61*(113-$NR$61+1)*($NS$61-113+1)/$NU$61,$NN$61/$NT$61)),0)</f>
        <v/>
      </c>
      <c r="DN61" s="402">
        <f>IF(AND(114&gt;=$NR$61,114&lt;=$NS$61),IF($NP$61="Single_Point",IF(114=$NR$61,$NN$61,0),IF($NP$61="Bell_Curve",$NN$61*(114-$NR$61+1)*($NS$61-114+1)/$NU$61,$NN$61/$NT$61)),0)</f>
        <v/>
      </c>
      <c r="DO61" s="402">
        <f>IF(AND(115&gt;=$NR$61,115&lt;=$NS$61),IF($NP$61="Single_Point",IF(115=$NR$61,$NN$61,0),IF($NP$61="Bell_Curve",$NN$61*(115-$NR$61+1)*($NS$61-115+1)/$NU$61,$NN$61/$NT$61)),0)</f>
        <v/>
      </c>
      <c r="DP61" s="402">
        <f>IF(AND(116&gt;=$NR$61,116&lt;=$NS$61),IF($NP$61="Single_Point",IF(116=$NR$61,$NN$61,0),IF($NP$61="Bell_Curve",$NN$61*(116-$NR$61+1)*($NS$61-116+1)/$NU$61,$NN$61/$NT$61)),0)</f>
        <v/>
      </c>
      <c r="DQ61" s="402">
        <f>IF(AND(117&gt;=$NR$61,117&lt;=$NS$61),IF($NP$61="Single_Point",IF(117=$NR$61,$NN$61,0),IF($NP$61="Bell_Curve",$NN$61*(117-$NR$61+1)*($NS$61-117+1)/$NU$61,$NN$61/$NT$61)),0)</f>
        <v/>
      </c>
      <c r="DR61" s="402">
        <f>IF(AND(118&gt;=$NR$61,118&lt;=$NS$61),IF($NP$61="Single_Point",IF(118=$NR$61,$NN$61,0),IF($NP$61="Bell_Curve",$NN$61*(118-$NR$61+1)*($NS$61-118+1)/$NU$61,$NN$61/$NT$61)),0)</f>
        <v/>
      </c>
      <c r="DS61" s="402">
        <f>IF(AND(119&gt;=$NR$61,119&lt;=$NS$61),IF($NP$61="Single_Point",IF(119=$NR$61,$NN$61,0),IF($NP$61="Bell_Curve",$NN$61*(119-$NR$61+1)*($NS$61-119+1)/$NU$61,$NN$61/$NT$61)),0)</f>
        <v/>
      </c>
      <c r="DT61" s="402">
        <f>IF(AND(120&gt;=$NR$61,120&lt;=$NS$61),IF($NP$61="Single_Point",IF(120=$NR$61,$NN$61,0),IF($NP$61="Bell_Curve",$NN$61*(120-$NR$61+1)*($NS$61-120+1)/$NU$61,$NN$61/$NT$61)),0)</f>
        <v/>
      </c>
      <c r="DU61" s="402">
        <f>IF(AND(121&gt;=$NR$61,121&lt;=$NS$61),IF($NP$61="Single_Point",IF(121=$NR$61,$NN$61,0),IF($NP$61="Bell_Curve",$NN$61*(121-$NR$61+1)*($NS$61-121+1)/$NU$61,$NN$61/$NT$61)),0)</f>
        <v/>
      </c>
      <c r="DV61" s="402">
        <f>IF(AND(122&gt;=$NR$61,122&lt;=$NS$61),IF($NP$61="Single_Point",IF(122=$NR$61,$NN$61,0),IF($NP$61="Bell_Curve",$NN$61*(122-$NR$61+1)*($NS$61-122+1)/$NU$61,$NN$61/$NT$61)),0)</f>
        <v/>
      </c>
      <c r="DW61" s="402">
        <f>IF(AND(123&gt;=$NR$61,123&lt;=$NS$61),IF($NP$61="Single_Point",IF(123=$NR$61,$NN$61,0),IF($NP$61="Bell_Curve",$NN$61*(123-$NR$61+1)*($NS$61-123+1)/$NU$61,$NN$61/$NT$61)),0)</f>
        <v/>
      </c>
      <c r="DX61" s="402">
        <f>IF(AND(124&gt;=$NR$61,124&lt;=$NS$61),IF($NP$61="Single_Point",IF(124=$NR$61,$NN$61,0),IF($NP$61="Bell_Curve",$NN$61*(124-$NR$61+1)*($NS$61-124+1)/$NU$61,$NN$61/$NT$61)),0)</f>
        <v/>
      </c>
      <c r="DY61" s="402">
        <f>IF(AND(125&gt;=$NR$61,125&lt;=$NS$61),IF($NP$61="Single_Point",IF(125=$NR$61,$NN$61,0),IF($NP$61="Bell_Curve",$NN$61*(125-$NR$61+1)*($NS$61-125+1)/$NU$61,$NN$61/$NT$61)),0)</f>
        <v/>
      </c>
      <c r="DZ61" s="402">
        <f>IF(AND(126&gt;=$NR$61,126&lt;=$NS$61),IF($NP$61="Single_Point",IF(126=$NR$61,$NN$61,0),IF($NP$61="Bell_Curve",$NN$61*(126-$NR$61+1)*($NS$61-126+1)/$NU$61,$NN$61/$NT$61)),0)</f>
        <v/>
      </c>
      <c r="EA61" s="402">
        <f>IF(AND(127&gt;=$NR$61,127&lt;=$NS$61),IF($NP$61="Single_Point",IF(127=$NR$61,$NN$61,0),IF($NP$61="Bell_Curve",$NN$61*(127-$NR$61+1)*($NS$61-127+1)/$NU$61,$NN$61/$NT$61)),0)</f>
        <v/>
      </c>
      <c r="EB61" s="402">
        <f>IF(AND(128&gt;=$NR$61,128&lt;=$NS$61),IF($NP$61="Single_Point",IF(128=$NR$61,$NN$61,0),IF($NP$61="Bell_Curve",$NN$61*(128-$NR$61+1)*($NS$61-128+1)/$NU$61,$NN$61/$NT$61)),0)</f>
        <v/>
      </c>
      <c r="EC61" s="402">
        <f>IF(AND(129&gt;=$NR$61,129&lt;=$NS$61),IF($NP$61="Single_Point",IF(129=$NR$61,$NN$61,0),IF($NP$61="Bell_Curve",$NN$61*(129-$NR$61+1)*($NS$61-129+1)/$NU$61,$NN$61/$NT$61)),0)</f>
        <v/>
      </c>
      <c r="ED61" s="402">
        <f>IF(AND(130&gt;=$NR$61,130&lt;=$NS$61),IF($NP$61="Single_Point",IF(130=$NR$61,$NN$61,0),IF($NP$61="Bell_Curve",$NN$61*(130-$NR$61+1)*($NS$61-130+1)/$NU$61,$NN$61/$NT$61)),0)</f>
        <v/>
      </c>
      <c r="EE61" s="402">
        <f>IF(AND(131&gt;=$NR$61,131&lt;=$NS$61),IF($NP$61="Single_Point",IF(131=$NR$61,$NN$61,0),IF($NP$61="Bell_Curve",$NN$61*(131-$NR$61+1)*($NS$61-131+1)/$NU$61,$NN$61/$NT$61)),0)</f>
        <v/>
      </c>
      <c r="EF61" s="402">
        <f>IF(AND(132&gt;=$NR$61,132&lt;=$NS$61),IF($NP$61="Single_Point",IF(132=$NR$61,$NN$61,0),IF($NP$61="Bell_Curve",$NN$61*(132-$NR$61+1)*($NS$61-132+1)/$NU$61,$NN$61/$NT$61)),0)</f>
        <v/>
      </c>
      <c r="EG61" s="402">
        <f>IF(AND(133&gt;=$NR$61,133&lt;=$NS$61),IF($NP$61="Single_Point",IF(133=$NR$61,$NN$61,0),IF($NP$61="Bell_Curve",$NN$61*(133-$NR$61+1)*($NS$61-133+1)/$NU$61,$NN$61/$NT$61)),0)</f>
        <v/>
      </c>
      <c r="EH61" s="402">
        <f>IF(AND(134&gt;=$NR$61,134&lt;=$NS$61),IF($NP$61="Single_Point",IF(134=$NR$61,$NN$61,0),IF($NP$61="Bell_Curve",$NN$61*(134-$NR$61+1)*($NS$61-134+1)/$NU$61,$NN$61/$NT$61)),0)</f>
        <v/>
      </c>
      <c r="EI61" s="402">
        <f>IF(AND(135&gt;=$NR$61,135&lt;=$NS$61),IF($NP$61="Single_Point",IF(135=$NR$61,$NN$61,0),IF($NP$61="Bell_Curve",$NN$61*(135-$NR$61+1)*($NS$61-135+1)/$NU$61,$NN$61/$NT$61)),0)</f>
        <v/>
      </c>
      <c r="EJ61" s="402">
        <f>IF(AND(136&gt;=$NR$61,136&lt;=$NS$61),IF($NP$61="Single_Point",IF(136=$NR$61,$NN$61,0),IF($NP$61="Bell_Curve",$NN$61*(136-$NR$61+1)*($NS$61-136+1)/$NU$61,$NN$61/$NT$61)),0)</f>
        <v/>
      </c>
      <c r="EK61" s="402">
        <f>IF(AND(137&gt;=$NR$61,137&lt;=$NS$61),IF($NP$61="Single_Point",IF(137=$NR$61,$NN$61,0),IF($NP$61="Bell_Curve",$NN$61*(137-$NR$61+1)*($NS$61-137+1)/$NU$61,$NN$61/$NT$61)),0)</f>
        <v/>
      </c>
      <c r="EL61" s="402">
        <f>IF(AND(138&gt;=$NR$61,138&lt;=$NS$61),IF($NP$61="Single_Point",IF(138=$NR$61,$NN$61,0),IF($NP$61="Bell_Curve",$NN$61*(138-$NR$61+1)*($NS$61-138+1)/$NU$61,$NN$61/$NT$61)),0)</f>
        <v/>
      </c>
      <c r="EM61" s="402">
        <f>IF(AND(139&gt;=$NR$61,139&lt;=$NS$61),IF($NP$61="Single_Point",IF(139=$NR$61,$NN$61,0),IF($NP$61="Bell_Curve",$NN$61*(139-$NR$61+1)*($NS$61-139+1)/$NU$61,$NN$61/$NT$61)),0)</f>
        <v/>
      </c>
      <c r="EN61" s="402">
        <f>IF(AND(140&gt;=$NR$61,140&lt;=$NS$61),IF($NP$61="Single_Point",IF(140=$NR$61,$NN$61,0),IF($NP$61="Bell_Curve",$NN$61*(140-$NR$61+1)*($NS$61-140+1)/$NU$61,$NN$61/$NT$61)),0)</f>
        <v/>
      </c>
      <c r="EO61" s="402">
        <f>IF(AND(141&gt;=$NR$61,141&lt;=$NS$61),IF($NP$61="Single_Point",IF(141=$NR$61,$NN$61,0),IF($NP$61="Bell_Curve",$NN$61*(141-$NR$61+1)*($NS$61-141+1)/$NU$61,$NN$61/$NT$61)),0)</f>
        <v/>
      </c>
      <c r="EP61" s="402">
        <f>IF(AND(142&gt;=$NR$61,142&lt;=$NS$61),IF($NP$61="Single_Point",IF(142=$NR$61,$NN$61,0),IF($NP$61="Bell_Curve",$NN$61*(142-$NR$61+1)*($NS$61-142+1)/$NU$61,$NN$61/$NT$61)),0)</f>
        <v/>
      </c>
      <c r="EQ61" s="402">
        <f>IF(AND(143&gt;=$NR$61,143&lt;=$NS$61),IF($NP$61="Single_Point",IF(143=$NR$61,$NN$61,0),IF($NP$61="Bell_Curve",$NN$61*(143-$NR$61+1)*($NS$61-143+1)/$NU$61,$NN$61/$NT$61)),0)</f>
        <v/>
      </c>
      <c r="ER61" s="402">
        <f>IF(AND(144&gt;=$NR$61,144&lt;=$NS$61),IF($NP$61="Single_Point",IF(144=$NR$61,$NN$61,0),IF($NP$61="Bell_Curve",$NN$61*(144-$NR$61+1)*($NS$61-144+1)/$NU$61,$NN$61/$NT$61)),0)</f>
        <v/>
      </c>
      <c r="ES61" s="402">
        <f>IF(AND(145&gt;=$NR$61,145&lt;=$NS$61),IF($NP$61="Single_Point",IF(145=$NR$61,$NN$61,0),IF($NP$61="Bell_Curve",$NN$61*(145-$NR$61+1)*($NS$61-145+1)/$NU$61,$NN$61/$NT$61)),0)</f>
        <v/>
      </c>
      <c r="ET61" s="402">
        <f>IF(AND(146&gt;=$NR$61,146&lt;=$NS$61),IF($NP$61="Single_Point",IF(146=$NR$61,$NN$61,0),IF($NP$61="Bell_Curve",$NN$61*(146-$NR$61+1)*($NS$61-146+1)/$NU$61,$NN$61/$NT$61)),0)</f>
        <v/>
      </c>
      <c r="EU61" s="402">
        <f>IF(AND(147&gt;=$NR$61,147&lt;=$NS$61),IF($NP$61="Single_Point",IF(147=$NR$61,$NN$61,0),IF($NP$61="Bell_Curve",$NN$61*(147-$NR$61+1)*($NS$61-147+1)/$NU$61,$NN$61/$NT$61)),0)</f>
        <v/>
      </c>
      <c r="EV61" s="402">
        <f>IF(AND(148&gt;=$NR$61,148&lt;=$NS$61),IF($NP$61="Single_Point",IF(148=$NR$61,$NN$61,0),IF($NP$61="Bell_Curve",$NN$61*(148-$NR$61+1)*($NS$61-148+1)/$NU$61,$NN$61/$NT$61)),0)</f>
        <v/>
      </c>
      <c r="EW61" s="402">
        <f>IF(AND(149&gt;=$NR$61,149&lt;=$NS$61),IF($NP$61="Single_Point",IF(149=$NR$61,$NN$61,0),IF($NP$61="Bell_Curve",$NN$61*(149-$NR$61+1)*($NS$61-149+1)/$NU$61,$NN$61/$NT$61)),0)</f>
        <v/>
      </c>
      <c r="EX61" s="402">
        <f>IF(AND(150&gt;=$NR$61,150&lt;=$NS$61),IF($NP$61="Single_Point",IF(150=$NR$61,$NN$61,0),IF($NP$61="Bell_Curve",$NN$61*(150-$NR$61+1)*($NS$61-150+1)/$NU$61,$NN$61/$NT$61)),0)</f>
        <v/>
      </c>
      <c r="EY61" s="402">
        <f>IF(AND(151&gt;=$NR$61,151&lt;=$NS$61),IF($NP$61="Single_Point",IF(151=$NR$61,$NN$61,0),IF($NP$61="Bell_Curve",$NN$61*(151-$NR$61+1)*($NS$61-151+1)/$NU$61,$NN$61/$NT$61)),0)</f>
        <v/>
      </c>
      <c r="EZ61" s="402">
        <f>IF(AND(152&gt;=$NR$61,152&lt;=$NS$61),IF($NP$61="Single_Point",IF(152=$NR$61,$NN$61,0),IF($NP$61="Bell_Curve",$NN$61*(152-$NR$61+1)*($NS$61-152+1)/$NU$61,$NN$61/$NT$61)),0)</f>
        <v/>
      </c>
      <c r="FA61" s="402">
        <f>IF(AND(153&gt;=$NR$61,153&lt;=$NS$61),IF($NP$61="Single_Point",IF(153=$NR$61,$NN$61,0),IF($NP$61="Bell_Curve",$NN$61*(153-$NR$61+1)*($NS$61-153+1)/$NU$61,$NN$61/$NT$61)),0)</f>
        <v/>
      </c>
      <c r="FB61" s="402">
        <f>IF(AND(154&gt;=$NR$61,154&lt;=$NS$61),IF($NP$61="Single_Point",IF(154=$NR$61,$NN$61,0),IF($NP$61="Bell_Curve",$NN$61*(154-$NR$61+1)*($NS$61-154+1)/$NU$61,$NN$61/$NT$61)),0)</f>
        <v/>
      </c>
      <c r="FC61" s="402">
        <f>IF(AND(155&gt;=$NR$61,155&lt;=$NS$61),IF($NP$61="Single_Point",IF(155=$NR$61,$NN$61,0),IF($NP$61="Bell_Curve",$NN$61*(155-$NR$61+1)*($NS$61-155+1)/$NU$61,$NN$61/$NT$61)),0)</f>
        <v/>
      </c>
      <c r="FD61" s="402">
        <f>IF(AND(156&gt;=$NR$61,156&lt;=$NS$61),IF($NP$61="Single_Point",IF(156=$NR$61,$NN$61,0),IF($NP$61="Bell_Curve",$NN$61*(156-$NR$61+1)*($NS$61-156+1)/$NU$61,$NN$61/$NT$61)),0)</f>
        <v/>
      </c>
      <c r="FE61" s="402">
        <f>IF(AND(157&gt;=$NR$61,157&lt;=$NS$61),IF($NP$61="Single_Point",IF(157=$NR$61,$NN$61,0),IF($NP$61="Bell_Curve",$NN$61*(157-$NR$61+1)*($NS$61-157+1)/$NU$61,$NN$61/$NT$61)),0)</f>
        <v/>
      </c>
      <c r="FF61" s="402">
        <f>IF(AND(158&gt;=$NR$61,158&lt;=$NS$61),IF($NP$61="Single_Point",IF(158=$NR$61,$NN$61,0),IF($NP$61="Bell_Curve",$NN$61*(158-$NR$61+1)*($NS$61-158+1)/$NU$61,$NN$61/$NT$61)),0)</f>
        <v/>
      </c>
      <c r="FG61" s="402">
        <f>IF(AND(159&gt;=$NR$61,159&lt;=$NS$61),IF($NP$61="Single_Point",IF(159=$NR$61,$NN$61,0),IF($NP$61="Bell_Curve",$NN$61*(159-$NR$61+1)*($NS$61-159+1)/$NU$61,$NN$61/$NT$61)),0)</f>
        <v/>
      </c>
      <c r="FH61" s="402">
        <f>IF(AND(160&gt;=$NR$61,160&lt;=$NS$61),IF($NP$61="Single_Point",IF(160=$NR$61,$NN$61,0),IF($NP$61="Bell_Curve",$NN$61*(160-$NR$61+1)*($NS$61-160+1)/$NU$61,$NN$61/$NT$61)),0)</f>
        <v/>
      </c>
      <c r="FI61" s="402">
        <f>IF(AND(161&gt;=$NR$61,161&lt;=$NS$61),IF($NP$61="Single_Point",IF(161=$NR$61,$NN$61,0),IF($NP$61="Bell_Curve",$NN$61*(161-$NR$61+1)*($NS$61-161+1)/$NU$61,$NN$61/$NT$61)),0)</f>
        <v/>
      </c>
      <c r="FJ61" s="402">
        <f>IF(AND(162&gt;=$NR$61,162&lt;=$NS$61),IF($NP$61="Single_Point",IF(162=$NR$61,$NN$61,0),IF($NP$61="Bell_Curve",$NN$61*(162-$NR$61+1)*($NS$61-162+1)/$NU$61,$NN$61/$NT$61)),0)</f>
        <v/>
      </c>
      <c r="FK61" s="402">
        <f>IF(AND(163&gt;=$NR$61,163&lt;=$NS$61),IF($NP$61="Single_Point",IF(163=$NR$61,$NN$61,0),IF($NP$61="Bell_Curve",$NN$61*(163-$NR$61+1)*($NS$61-163+1)/$NU$61,$NN$61/$NT$61)),0)</f>
        <v/>
      </c>
      <c r="FL61" s="402">
        <f>IF(AND(164&gt;=$NR$61,164&lt;=$NS$61),IF($NP$61="Single_Point",IF(164=$NR$61,$NN$61,0),IF($NP$61="Bell_Curve",$NN$61*(164-$NR$61+1)*($NS$61-164+1)/$NU$61,$NN$61/$NT$61)),0)</f>
        <v/>
      </c>
      <c r="FM61" s="402">
        <f>IF(AND(165&gt;=$NR$61,165&lt;=$NS$61),IF($NP$61="Single_Point",IF(165=$NR$61,$NN$61,0),IF($NP$61="Bell_Curve",$NN$61*(165-$NR$61+1)*($NS$61-165+1)/$NU$61,$NN$61/$NT$61)),0)</f>
        <v/>
      </c>
      <c r="FN61" s="402">
        <f>IF(AND(166&gt;=$NR$61,166&lt;=$NS$61),IF($NP$61="Single_Point",IF(166=$NR$61,$NN$61,0),IF($NP$61="Bell_Curve",$NN$61*(166-$NR$61+1)*($NS$61-166+1)/$NU$61,$NN$61/$NT$61)),0)</f>
        <v/>
      </c>
      <c r="FO61" s="402">
        <f>IF(AND(167&gt;=$NR$61,167&lt;=$NS$61),IF($NP$61="Single_Point",IF(167=$NR$61,$NN$61,0),IF($NP$61="Bell_Curve",$NN$61*(167-$NR$61+1)*($NS$61-167+1)/$NU$61,$NN$61/$NT$61)),0)</f>
        <v/>
      </c>
      <c r="FP61" s="402">
        <f>IF(AND(168&gt;=$NR$61,168&lt;=$NS$61),IF($NP$61="Single_Point",IF(168=$NR$61,$NN$61,0),IF($NP$61="Bell_Curve",$NN$61*(168-$NR$61+1)*($NS$61-168+1)/$NU$61,$NN$61/$NT$61)),0)</f>
        <v/>
      </c>
      <c r="FQ61" s="402">
        <f>IF(AND(169&gt;=$NR$61,169&lt;=$NS$61),IF($NP$61="Single_Point",IF(169=$NR$61,$NN$61,0),IF($NP$61="Bell_Curve",$NN$61*(169-$NR$61+1)*($NS$61-169+1)/$NU$61,$NN$61/$NT$61)),0)</f>
        <v/>
      </c>
      <c r="FR61" s="402">
        <f>IF(AND(170&gt;=$NR$61,170&lt;=$NS$61),IF($NP$61="Single_Point",IF(170=$NR$61,$NN$61,0),IF($NP$61="Bell_Curve",$NN$61*(170-$NR$61+1)*($NS$61-170+1)/$NU$61,$NN$61/$NT$61)),0)</f>
        <v/>
      </c>
      <c r="FS61" s="402">
        <f>IF(AND(171&gt;=$NR$61,171&lt;=$NS$61),IF($NP$61="Single_Point",IF(171=$NR$61,$NN$61,0),IF($NP$61="Bell_Curve",$NN$61*(171-$NR$61+1)*($NS$61-171+1)/$NU$61,$NN$61/$NT$61)),0)</f>
        <v/>
      </c>
      <c r="FT61" s="402">
        <f>IF(AND(172&gt;=$NR$61,172&lt;=$NS$61),IF($NP$61="Single_Point",IF(172=$NR$61,$NN$61,0),IF($NP$61="Bell_Curve",$NN$61*(172-$NR$61+1)*($NS$61-172+1)/$NU$61,$NN$61/$NT$61)),0)</f>
        <v/>
      </c>
      <c r="FU61" s="402">
        <f>IF(AND(173&gt;=$NR$61,173&lt;=$NS$61),IF($NP$61="Single_Point",IF(173=$NR$61,$NN$61,0),IF($NP$61="Bell_Curve",$NN$61*(173-$NR$61+1)*($NS$61-173+1)/$NU$61,$NN$61/$NT$61)),0)</f>
        <v/>
      </c>
      <c r="FV61" s="402">
        <f>IF(AND(174&gt;=$NR$61,174&lt;=$NS$61),IF($NP$61="Single_Point",IF(174=$NR$61,$NN$61,0),IF($NP$61="Bell_Curve",$NN$61*(174-$NR$61+1)*($NS$61-174+1)/$NU$61,$NN$61/$NT$61)),0)</f>
        <v/>
      </c>
      <c r="FW61" s="402">
        <f>IF(AND(175&gt;=$NR$61,175&lt;=$NS$61),IF($NP$61="Single_Point",IF(175=$NR$61,$NN$61,0),IF($NP$61="Bell_Curve",$NN$61*(175-$NR$61+1)*($NS$61-175+1)/$NU$61,$NN$61/$NT$61)),0)</f>
        <v/>
      </c>
      <c r="FX61" s="402">
        <f>IF(AND(176&gt;=$NR$61,176&lt;=$NS$61),IF($NP$61="Single_Point",IF(176=$NR$61,$NN$61,0),IF($NP$61="Bell_Curve",$NN$61*(176-$NR$61+1)*($NS$61-176+1)/$NU$61,$NN$61/$NT$61)),0)</f>
        <v/>
      </c>
      <c r="FY61" s="402">
        <f>IF(AND(177&gt;=$NR$61,177&lt;=$NS$61),IF($NP$61="Single_Point",IF(177=$NR$61,$NN$61,0),IF($NP$61="Bell_Curve",$NN$61*(177-$NR$61+1)*($NS$61-177+1)/$NU$61,$NN$61/$NT$61)),0)</f>
        <v/>
      </c>
      <c r="FZ61" s="402">
        <f>IF(AND(178&gt;=$NR$61,178&lt;=$NS$61),IF($NP$61="Single_Point",IF(178=$NR$61,$NN$61,0),IF($NP$61="Bell_Curve",$NN$61*(178-$NR$61+1)*($NS$61-178+1)/$NU$61,$NN$61/$NT$61)),0)</f>
        <v/>
      </c>
      <c r="GA61" s="402">
        <f>IF(AND(179&gt;=$NR$61,179&lt;=$NS$61),IF($NP$61="Single_Point",IF(179=$NR$61,$NN$61,0),IF($NP$61="Bell_Curve",$NN$61*(179-$NR$61+1)*($NS$61-179+1)/$NU$61,$NN$61/$NT$61)),0)</f>
        <v/>
      </c>
      <c r="GB61" s="402">
        <f>IF(AND(180&gt;=$NR$61,180&lt;=$NS$61),IF($NP$61="Single_Point",IF(180=$NR$61,$NN$61,0),IF($NP$61="Bell_Curve",$NN$61*(180-$NR$61+1)*($NS$61-180+1)/$NU$61,$NN$61/$NT$61)),0)</f>
        <v/>
      </c>
      <c r="GC61" s="402">
        <f>IF(AND(181&gt;=$NR$61,181&lt;=$NS$61),IF($NP$61="Single_Point",IF(181=$NR$61,$NN$61,0),IF($NP$61="Bell_Curve",$NN$61*(181-$NR$61+1)*($NS$61-181+1)/$NU$61,$NN$61/$NT$61)),0)</f>
        <v/>
      </c>
      <c r="GD61" s="402">
        <f>IF(AND(182&gt;=$NR$61,182&lt;=$NS$61),IF($NP$61="Single_Point",IF(182=$NR$61,$NN$61,0),IF($NP$61="Bell_Curve",$NN$61*(182-$NR$61+1)*($NS$61-182+1)/$NU$61,$NN$61/$NT$61)),0)</f>
        <v/>
      </c>
      <c r="GE61" s="402">
        <f>IF(AND(183&gt;=$NR$61,183&lt;=$NS$61),IF($NP$61="Single_Point",IF(183=$NR$61,$NN$61,0),IF($NP$61="Bell_Curve",$NN$61*(183-$NR$61+1)*($NS$61-183+1)/$NU$61,$NN$61/$NT$61)),0)</f>
        <v/>
      </c>
      <c r="GF61" s="402">
        <f>IF(AND(184&gt;=$NR$61,184&lt;=$NS$61),IF($NP$61="Single_Point",IF(184=$NR$61,$NN$61,0),IF($NP$61="Bell_Curve",$NN$61*(184-$NR$61+1)*($NS$61-184+1)/$NU$61,$NN$61/$NT$61)),0)</f>
        <v/>
      </c>
      <c r="GG61" s="402">
        <f>IF(AND(185&gt;=$NR$61,185&lt;=$NS$61),IF($NP$61="Single_Point",IF(185=$NR$61,$NN$61,0),IF($NP$61="Bell_Curve",$NN$61*(185-$NR$61+1)*($NS$61-185+1)/$NU$61,$NN$61/$NT$61)),0)</f>
        <v/>
      </c>
      <c r="GH61" s="402">
        <f>IF(AND(186&gt;=$NR$61,186&lt;=$NS$61),IF($NP$61="Single_Point",IF(186=$NR$61,$NN$61,0),IF($NP$61="Bell_Curve",$NN$61*(186-$NR$61+1)*($NS$61-186+1)/$NU$61,$NN$61/$NT$61)),0)</f>
        <v/>
      </c>
      <c r="GI61" s="402">
        <f>IF(AND(187&gt;=$NR$61,187&lt;=$NS$61),IF($NP$61="Single_Point",IF(187=$NR$61,$NN$61,0),IF($NP$61="Bell_Curve",$NN$61*(187-$NR$61+1)*($NS$61-187+1)/$NU$61,$NN$61/$NT$61)),0)</f>
        <v/>
      </c>
      <c r="GJ61" s="402">
        <f>IF(AND(188&gt;=$NR$61,188&lt;=$NS$61),IF($NP$61="Single_Point",IF(188=$NR$61,$NN$61,0),IF($NP$61="Bell_Curve",$NN$61*(188-$NR$61+1)*($NS$61-188+1)/$NU$61,$NN$61/$NT$61)),0)</f>
        <v/>
      </c>
      <c r="GK61" s="402">
        <f>IF(AND(189&gt;=$NR$61,189&lt;=$NS$61),IF($NP$61="Single_Point",IF(189=$NR$61,$NN$61,0),IF($NP$61="Bell_Curve",$NN$61*(189-$NR$61+1)*($NS$61-189+1)/$NU$61,$NN$61/$NT$61)),0)</f>
        <v/>
      </c>
      <c r="GL61" s="402">
        <f>IF(AND(190&gt;=$NR$61,190&lt;=$NS$61),IF($NP$61="Single_Point",IF(190=$NR$61,$NN$61,0),IF($NP$61="Bell_Curve",$NN$61*(190-$NR$61+1)*($NS$61-190+1)/$NU$61,$NN$61/$NT$61)),0)</f>
        <v/>
      </c>
      <c r="GM61" s="402">
        <f>IF(AND(191&gt;=$NR$61,191&lt;=$NS$61),IF($NP$61="Single_Point",IF(191=$NR$61,$NN$61,0),IF($NP$61="Bell_Curve",$NN$61*(191-$NR$61+1)*($NS$61-191+1)/$NU$61,$NN$61/$NT$61)),0)</f>
        <v/>
      </c>
      <c r="GN61" s="402">
        <f>IF(AND(192&gt;=$NR$61,192&lt;=$NS$61),IF($NP$61="Single_Point",IF(192=$NR$61,$NN$61,0),IF($NP$61="Bell_Curve",$NN$61*(192-$NR$61+1)*($NS$61-192+1)/$NU$61,$NN$61/$NT$61)),0)</f>
        <v/>
      </c>
      <c r="GO61" s="402">
        <f>IF(AND(193&gt;=$NR$61,193&lt;=$NS$61),IF($NP$61="Single_Point",IF(193=$NR$61,$NN$61,0),IF($NP$61="Bell_Curve",$NN$61*(193-$NR$61+1)*($NS$61-193+1)/$NU$61,$NN$61/$NT$61)),0)</f>
        <v/>
      </c>
      <c r="GP61" s="402">
        <f>IF(AND(194&gt;=$NR$61,194&lt;=$NS$61),IF($NP$61="Single_Point",IF(194=$NR$61,$NN$61,0),IF($NP$61="Bell_Curve",$NN$61*(194-$NR$61+1)*($NS$61-194+1)/$NU$61,$NN$61/$NT$61)),0)</f>
        <v/>
      </c>
      <c r="GQ61" s="402">
        <f>IF(AND(195&gt;=$NR$61,195&lt;=$NS$61),IF($NP$61="Single_Point",IF(195=$NR$61,$NN$61,0),IF($NP$61="Bell_Curve",$NN$61*(195-$NR$61+1)*($NS$61-195+1)/$NU$61,$NN$61/$NT$61)),0)</f>
        <v/>
      </c>
      <c r="GR61" s="402">
        <f>IF(AND(196&gt;=$NR$61,196&lt;=$NS$61),IF($NP$61="Single_Point",IF(196=$NR$61,$NN$61,0),IF($NP$61="Bell_Curve",$NN$61*(196-$NR$61+1)*($NS$61-196+1)/$NU$61,$NN$61/$NT$61)),0)</f>
        <v/>
      </c>
      <c r="GS61" s="402">
        <f>IF(AND(197&gt;=$NR$61,197&lt;=$NS$61),IF($NP$61="Single_Point",IF(197=$NR$61,$NN$61,0),IF($NP$61="Bell_Curve",$NN$61*(197-$NR$61+1)*($NS$61-197+1)/$NU$61,$NN$61/$NT$61)),0)</f>
        <v/>
      </c>
      <c r="GT61" s="402">
        <f>IF(AND(198&gt;=$NR$61,198&lt;=$NS$61),IF($NP$61="Single_Point",IF(198=$NR$61,$NN$61,0),IF($NP$61="Bell_Curve",$NN$61*(198-$NR$61+1)*($NS$61-198+1)/$NU$61,$NN$61/$NT$61)),0)</f>
        <v/>
      </c>
      <c r="GU61" s="402">
        <f>IF(AND(199&gt;=$NR$61,199&lt;=$NS$61),IF($NP$61="Single_Point",IF(199=$NR$61,$NN$61,0),IF($NP$61="Bell_Curve",$NN$61*(199-$NR$61+1)*($NS$61-199+1)/$NU$61,$NN$61/$NT$61)),0)</f>
        <v/>
      </c>
      <c r="GV61" s="402">
        <f>IF(AND(200&gt;=$NR$61,200&lt;=$NS$61),IF($NP$61="Single_Point",IF(200=$NR$61,$NN$61,0),IF($NP$61="Bell_Curve",$NN$61*(200-$NR$61+1)*($NS$61-200+1)/$NU$61,$NN$61/$NT$61)),0)</f>
        <v/>
      </c>
      <c r="GW61" s="402">
        <f>IF(AND(201&gt;=$NR$61,201&lt;=$NS$61),IF($NP$61="Single_Point",IF(201=$NR$61,$NN$61,0),IF($NP$61="Bell_Curve",$NN$61*(201-$NR$61+1)*($NS$61-201+1)/$NU$61,$NN$61/$NT$61)),0)</f>
        <v/>
      </c>
      <c r="GX61" s="402">
        <f>IF(AND(202&gt;=$NR$61,202&lt;=$NS$61),IF($NP$61="Single_Point",IF(202=$NR$61,$NN$61,0),IF($NP$61="Bell_Curve",$NN$61*(202-$NR$61+1)*($NS$61-202+1)/$NU$61,$NN$61/$NT$61)),0)</f>
        <v/>
      </c>
      <c r="GY61" s="402">
        <f>IF(AND(203&gt;=$NR$61,203&lt;=$NS$61),IF($NP$61="Single_Point",IF(203=$NR$61,$NN$61,0),IF($NP$61="Bell_Curve",$NN$61*(203-$NR$61+1)*($NS$61-203+1)/$NU$61,$NN$61/$NT$61)),0)</f>
        <v/>
      </c>
      <c r="GZ61" s="402">
        <f>IF(AND(204&gt;=$NR$61,204&lt;=$NS$61),IF($NP$61="Single_Point",IF(204=$NR$61,$NN$61,0),IF($NP$61="Bell_Curve",$NN$61*(204-$NR$61+1)*($NS$61-204+1)/$NU$61,$NN$61/$NT$61)),0)</f>
        <v/>
      </c>
      <c r="HA61" s="402">
        <f>IF(AND(205&gt;=$NR$61,205&lt;=$NS$61),IF($NP$61="Single_Point",IF(205=$NR$61,$NN$61,0),IF($NP$61="Bell_Curve",$NN$61*(205-$NR$61+1)*($NS$61-205+1)/$NU$61,$NN$61/$NT$61)),0)</f>
        <v/>
      </c>
      <c r="HB61" s="402">
        <f>IF(AND(206&gt;=$NR$61,206&lt;=$NS$61),IF($NP$61="Single_Point",IF(206=$NR$61,$NN$61,0),IF($NP$61="Bell_Curve",$NN$61*(206-$NR$61+1)*($NS$61-206+1)/$NU$61,$NN$61/$NT$61)),0)</f>
        <v/>
      </c>
      <c r="HC61" s="402">
        <f>IF(AND(207&gt;=$NR$61,207&lt;=$NS$61),IF($NP$61="Single_Point",IF(207=$NR$61,$NN$61,0),IF($NP$61="Bell_Curve",$NN$61*(207-$NR$61+1)*($NS$61-207+1)/$NU$61,$NN$61/$NT$61)),0)</f>
        <v/>
      </c>
      <c r="HD61" s="402">
        <f>IF(AND(208&gt;=$NR$61,208&lt;=$NS$61),IF($NP$61="Single_Point",IF(208=$NR$61,$NN$61,0),IF($NP$61="Bell_Curve",$NN$61*(208-$NR$61+1)*($NS$61-208+1)/$NU$61,$NN$61/$NT$61)),0)</f>
        <v/>
      </c>
      <c r="HE61" s="402">
        <f>IF(AND(209&gt;=$NR$61,209&lt;=$NS$61),IF($NP$61="Single_Point",IF(209=$NR$61,$NN$61,0),IF($NP$61="Bell_Curve",$NN$61*(209-$NR$61+1)*($NS$61-209+1)/$NU$61,$NN$61/$NT$61)),0)</f>
        <v/>
      </c>
      <c r="HF61" s="402">
        <f>IF(AND(210&gt;=$NR$61,210&lt;=$NS$61),IF($NP$61="Single_Point",IF(210=$NR$61,$NN$61,0),IF($NP$61="Bell_Curve",$NN$61*(210-$NR$61+1)*($NS$61-210+1)/$NU$61,$NN$61/$NT$61)),0)</f>
        <v/>
      </c>
      <c r="HG61" s="402">
        <f>IF(AND(211&gt;=$NR$61,211&lt;=$NS$61),IF($NP$61="Single_Point",IF(211=$NR$61,$NN$61,0),IF($NP$61="Bell_Curve",$NN$61*(211-$NR$61+1)*($NS$61-211+1)/$NU$61,$NN$61/$NT$61)),0)</f>
        <v/>
      </c>
      <c r="HH61" s="402">
        <f>IF(AND(212&gt;=$NR$61,212&lt;=$NS$61),IF($NP$61="Single_Point",IF(212=$NR$61,$NN$61,0),IF($NP$61="Bell_Curve",$NN$61*(212-$NR$61+1)*($NS$61-212+1)/$NU$61,$NN$61/$NT$61)),0)</f>
        <v/>
      </c>
      <c r="HI61" s="402">
        <f>IF(AND(213&gt;=$NR$61,213&lt;=$NS$61),IF($NP$61="Single_Point",IF(213=$NR$61,$NN$61,0),IF($NP$61="Bell_Curve",$NN$61*(213-$NR$61+1)*($NS$61-213+1)/$NU$61,$NN$61/$NT$61)),0)</f>
        <v/>
      </c>
      <c r="HJ61" s="402">
        <f>IF(AND(214&gt;=$NR$61,214&lt;=$NS$61),IF($NP$61="Single_Point",IF(214=$NR$61,$NN$61,0),IF($NP$61="Bell_Curve",$NN$61*(214-$NR$61+1)*($NS$61-214+1)/$NU$61,$NN$61/$NT$61)),0)</f>
        <v/>
      </c>
      <c r="HK61" s="402">
        <f>IF(AND(215&gt;=$NR$61,215&lt;=$NS$61),IF($NP$61="Single_Point",IF(215=$NR$61,$NN$61,0),IF($NP$61="Bell_Curve",$NN$61*(215-$NR$61+1)*($NS$61-215+1)/$NU$61,$NN$61/$NT$61)),0)</f>
        <v/>
      </c>
      <c r="HL61" s="402">
        <f>IF(AND(216&gt;=$NR$61,216&lt;=$NS$61),IF($NP$61="Single_Point",IF(216=$NR$61,$NN$61,0),IF($NP$61="Bell_Curve",$NN$61*(216-$NR$61+1)*($NS$61-216+1)/$NU$61,$NN$61/$NT$61)),0)</f>
        <v/>
      </c>
      <c r="HM61" s="402">
        <f>IF(AND(217&gt;=$NR$61,217&lt;=$NS$61),IF($NP$61="Single_Point",IF(217=$NR$61,$NN$61,0),IF($NP$61="Bell_Curve",$NN$61*(217-$NR$61+1)*($NS$61-217+1)/$NU$61,$NN$61/$NT$61)),0)</f>
        <v/>
      </c>
      <c r="HN61" s="402">
        <f>IF(AND(218&gt;=$NR$61,218&lt;=$NS$61),IF($NP$61="Single_Point",IF(218=$NR$61,$NN$61,0),IF($NP$61="Bell_Curve",$NN$61*(218-$NR$61+1)*($NS$61-218+1)/$NU$61,$NN$61/$NT$61)),0)</f>
        <v/>
      </c>
      <c r="HO61" s="402">
        <f>IF(AND(219&gt;=$NR$61,219&lt;=$NS$61),IF($NP$61="Single_Point",IF(219=$NR$61,$NN$61,0),IF($NP$61="Bell_Curve",$NN$61*(219-$NR$61+1)*($NS$61-219+1)/$NU$61,$NN$61/$NT$61)),0)</f>
        <v/>
      </c>
      <c r="HP61" s="402">
        <f>IF(AND(220&gt;=$NR$61,220&lt;=$NS$61),IF($NP$61="Single_Point",IF(220=$NR$61,$NN$61,0),IF($NP$61="Bell_Curve",$NN$61*(220-$NR$61+1)*($NS$61-220+1)/$NU$61,$NN$61/$NT$61)),0)</f>
        <v/>
      </c>
      <c r="HQ61" s="402">
        <f>IF(AND(221&gt;=$NR$61,221&lt;=$NS$61),IF($NP$61="Single_Point",IF(221=$NR$61,$NN$61,0),IF($NP$61="Bell_Curve",$NN$61*(221-$NR$61+1)*($NS$61-221+1)/$NU$61,$NN$61/$NT$61)),0)</f>
        <v/>
      </c>
      <c r="HR61" s="402">
        <f>IF(AND(222&gt;=$NR$61,222&lt;=$NS$61),IF($NP$61="Single_Point",IF(222=$NR$61,$NN$61,0),IF($NP$61="Bell_Curve",$NN$61*(222-$NR$61+1)*($NS$61-222+1)/$NU$61,$NN$61/$NT$61)),0)</f>
        <v/>
      </c>
      <c r="HS61" s="402">
        <f>IF(AND(223&gt;=$NR$61,223&lt;=$NS$61),IF($NP$61="Single_Point",IF(223=$NR$61,$NN$61,0),IF($NP$61="Bell_Curve",$NN$61*(223-$NR$61+1)*($NS$61-223+1)/$NU$61,$NN$61/$NT$61)),0)</f>
        <v/>
      </c>
      <c r="HT61" s="402">
        <f>IF(AND(224&gt;=$NR$61,224&lt;=$NS$61),IF($NP$61="Single_Point",IF(224=$NR$61,$NN$61,0),IF($NP$61="Bell_Curve",$NN$61*(224-$NR$61+1)*($NS$61-224+1)/$NU$61,$NN$61/$NT$61)),0)</f>
        <v/>
      </c>
      <c r="HU61" s="402">
        <f>IF(AND(225&gt;=$NR$61,225&lt;=$NS$61),IF($NP$61="Single_Point",IF(225=$NR$61,$NN$61,0),IF($NP$61="Bell_Curve",$NN$61*(225-$NR$61+1)*($NS$61-225+1)/$NU$61,$NN$61/$NT$61)),0)</f>
        <v/>
      </c>
      <c r="HV61" s="402">
        <f>IF(AND(226&gt;=$NR$61,226&lt;=$NS$61),IF($NP$61="Single_Point",IF(226=$NR$61,$NN$61,0),IF($NP$61="Bell_Curve",$NN$61*(226-$NR$61+1)*($NS$61-226+1)/$NU$61,$NN$61/$NT$61)),0)</f>
        <v/>
      </c>
      <c r="HW61" s="402">
        <f>IF(AND(227&gt;=$NR$61,227&lt;=$NS$61),IF($NP$61="Single_Point",IF(227=$NR$61,$NN$61,0),IF($NP$61="Bell_Curve",$NN$61*(227-$NR$61+1)*($NS$61-227+1)/$NU$61,$NN$61/$NT$61)),0)</f>
        <v/>
      </c>
      <c r="HX61" s="402">
        <f>IF(AND(228&gt;=$NR$61,228&lt;=$NS$61),IF($NP$61="Single_Point",IF(228=$NR$61,$NN$61,0),IF($NP$61="Bell_Curve",$NN$61*(228-$NR$61+1)*($NS$61-228+1)/$NU$61,$NN$61/$NT$61)),0)</f>
        <v/>
      </c>
      <c r="HY61" s="402">
        <f>IF(AND(229&gt;=$NR$61,229&lt;=$NS$61),IF($NP$61="Single_Point",IF(229=$NR$61,$NN$61,0),IF($NP$61="Bell_Curve",$NN$61*(229-$NR$61+1)*($NS$61-229+1)/$NU$61,$NN$61/$NT$61)),0)</f>
        <v/>
      </c>
      <c r="HZ61" s="402">
        <f>IF(AND(230&gt;=$NR$61,230&lt;=$NS$61),IF($NP$61="Single_Point",IF(230=$NR$61,$NN$61,0),IF($NP$61="Bell_Curve",$NN$61*(230-$NR$61+1)*($NS$61-230+1)/$NU$61,$NN$61/$NT$61)),0)</f>
        <v/>
      </c>
      <c r="IA61" s="402">
        <f>IF(AND(231&gt;=$NR$61,231&lt;=$NS$61),IF($NP$61="Single_Point",IF(231=$NR$61,$NN$61,0),IF($NP$61="Bell_Curve",$NN$61*(231-$NR$61+1)*($NS$61-231+1)/$NU$61,$NN$61/$NT$61)),0)</f>
        <v/>
      </c>
      <c r="IB61" s="402">
        <f>IF(AND(232&gt;=$NR$61,232&lt;=$NS$61),IF($NP$61="Single_Point",IF(232=$NR$61,$NN$61,0),IF($NP$61="Bell_Curve",$NN$61*(232-$NR$61+1)*($NS$61-232+1)/$NU$61,$NN$61/$NT$61)),0)</f>
        <v/>
      </c>
      <c r="IC61" s="402">
        <f>IF(AND(233&gt;=$NR$61,233&lt;=$NS$61),IF($NP$61="Single_Point",IF(233=$NR$61,$NN$61,0),IF($NP$61="Bell_Curve",$NN$61*(233-$NR$61+1)*($NS$61-233+1)/$NU$61,$NN$61/$NT$61)),0)</f>
        <v/>
      </c>
      <c r="ID61" s="402">
        <f>IF(AND(234&gt;=$NR$61,234&lt;=$NS$61),IF($NP$61="Single_Point",IF(234=$NR$61,$NN$61,0),IF($NP$61="Bell_Curve",$NN$61*(234-$NR$61+1)*($NS$61-234+1)/$NU$61,$NN$61/$NT$61)),0)</f>
        <v/>
      </c>
      <c r="IE61" s="402">
        <f>IF(AND(235&gt;=$NR$61,235&lt;=$NS$61),IF($NP$61="Single_Point",IF(235=$NR$61,$NN$61,0),IF($NP$61="Bell_Curve",$NN$61*(235-$NR$61+1)*($NS$61-235+1)/$NU$61,$NN$61/$NT$61)),0)</f>
        <v/>
      </c>
      <c r="IF61" s="402">
        <f>IF(AND(236&gt;=$NR$61,236&lt;=$NS$61),IF($NP$61="Single_Point",IF(236=$NR$61,$NN$61,0),IF($NP$61="Bell_Curve",$NN$61*(236-$NR$61+1)*($NS$61-236+1)/$NU$61,$NN$61/$NT$61)),0)</f>
        <v/>
      </c>
      <c r="IG61" s="402">
        <f>IF(AND(237&gt;=$NR$61,237&lt;=$NS$61),IF($NP$61="Single_Point",IF(237=$NR$61,$NN$61,0),IF($NP$61="Bell_Curve",$NN$61*(237-$NR$61+1)*($NS$61-237+1)/$NU$61,$NN$61/$NT$61)),0)</f>
        <v/>
      </c>
      <c r="IH61" s="402">
        <f>IF(AND(238&gt;=$NR$61,238&lt;=$NS$61),IF($NP$61="Single_Point",IF(238=$NR$61,$NN$61,0),IF($NP$61="Bell_Curve",$NN$61*(238-$NR$61+1)*($NS$61-238+1)/$NU$61,$NN$61/$NT$61)),0)</f>
        <v/>
      </c>
      <c r="II61" s="402">
        <f>IF(AND(239&gt;=$NR$61,239&lt;=$NS$61),IF($NP$61="Single_Point",IF(239=$NR$61,$NN$61,0),IF($NP$61="Bell_Curve",$NN$61*(239-$NR$61+1)*($NS$61-239+1)/$NU$61,$NN$61/$NT$61)),0)</f>
        <v/>
      </c>
      <c r="IJ61" s="402">
        <f>IF(AND(240&gt;=$NR$61,240&lt;=$NS$61),IF($NP$61="Single_Point",IF(240=$NR$61,$NN$61,0),IF($NP$61="Bell_Curve",$NN$61*(240-$NR$61+1)*($NS$61-240+1)/$NU$61,$NN$61/$NT$61)),0)</f>
        <v/>
      </c>
      <c r="IK61" s="402">
        <f>IF(AND(241&gt;=$NR$61,241&lt;=$NS$61),IF($NP$61="Single_Point",IF(241=$NR$61,$NN$61,0),IF($NP$61="Bell_Curve",$NN$61*(241-$NR$61+1)*($NS$61-241+1)/$NU$61,$NN$61/$NT$61)),0)</f>
        <v/>
      </c>
      <c r="IL61" s="402">
        <f>IF(AND(242&gt;=$NR$61,242&lt;=$NS$61),IF($NP$61="Single_Point",IF(242=$NR$61,$NN$61,0),IF($NP$61="Bell_Curve",$NN$61*(242-$NR$61+1)*($NS$61-242+1)/$NU$61,$NN$61/$NT$61)),0)</f>
        <v/>
      </c>
      <c r="IM61" s="402">
        <f>IF(AND(243&gt;=$NR$61,243&lt;=$NS$61),IF($NP$61="Single_Point",IF(243=$NR$61,$NN$61,0),IF($NP$61="Bell_Curve",$NN$61*(243-$NR$61+1)*($NS$61-243+1)/$NU$61,$NN$61/$NT$61)),0)</f>
        <v/>
      </c>
      <c r="IN61" s="402">
        <f>IF(AND(244&gt;=$NR$61,244&lt;=$NS$61),IF($NP$61="Single_Point",IF(244=$NR$61,$NN$61,0),IF($NP$61="Bell_Curve",$NN$61*(244-$NR$61+1)*($NS$61-244+1)/$NU$61,$NN$61/$NT$61)),0)</f>
        <v/>
      </c>
      <c r="IO61" s="402">
        <f>IF(AND(245&gt;=$NR$61,245&lt;=$NS$61),IF($NP$61="Single_Point",IF(245=$NR$61,$NN$61,0),IF($NP$61="Bell_Curve",$NN$61*(245-$NR$61+1)*($NS$61-245+1)/$NU$61,$NN$61/$NT$61)),0)</f>
        <v/>
      </c>
      <c r="IP61" s="402">
        <f>IF(AND(246&gt;=$NR$61,246&lt;=$NS$61),IF($NP$61="Single_Point",IF(246=$NR$61,$NN$61,0),IF($NP$61="Bell_Curve",$NN$61*(246-$NR$61+1)*($NS$61-246+1)/$NU$61,$NN$61/$NT$61)),0)</f>
        <v/>
      </c>
      <c r="IQ61" s="402">
        <f>IF(AND(247&gt;=$NR$61,247&lt;=$NS$61),IF($NP$61="Single_Point",IF(247=$NR$61,$NN$61,0),IF($NP$61="Bell_Curve",$NN$61*(247-$NR$61+1)*($NS$61-247+1)/$NU$61,$NN$61/$NT$61)),0)</f>
        <v/>
      </c>
      <c r="IR61" s="402">
        <f>IF(AND(248&gt;=$NR$61,248&lt;=$NS$61),IF($NP$61="Single_Point",IF(248=$NR$61,$NN$61,0),IF($NP$61="Bell_Curve",$NN$61*(248-$NR$61+1)*($NS$61-248+1)/$NU$61,$NN$61/$NT$61)),0)</f>
        <v/>
      </c>
      <c r="IS61" s="402">
        <f>IF(AND(249&gt;=$NR$61,249&lt;=$NS$61),IF($NP$61="Single_Point",IF(249=$NR$61,$NN$61,0),IF($NP$61="Bell_Curve",$NN$61*(249-$NR$61+1)*($NS$61-249+1)/$NU$61,$NN$61/$NT$61)),0)</f>
        <v/>
      </c>
      <c r="IT61" s="402">
        <f>IF(AND(250&gt;=$NR$61,250&lt;=$NS$61),IF($NP$61="Single_Point",IF(250=$NR$61,$NN$61,0),IF($NP$61="Bell_Curve",$NN$61*(250-$NR$61+1)*($NS$61-250+1)/$NU$61,$NN$61/$NT$61)),0)</f>
        <v/>
      </c>
      <c r="IU61" s="402">
        <f>IF(AND(251&gt;=$NR$61,251&lt;=$NS$61),IF($NP$61="Single_Point",IF(251=$NR$61,$NN$61,0),IF($NP$61="Bell_Curve",$NN$61*(251-$NR$61+1)*($NS$61-251+1)/$NU$61,$NN$61/$NT$61)),0)</f>
        <v/>
      </c>
      <c r="IV61" s="402">
        <f>IF(AND(252&gt;=$NR$61,252&lt;=$NS$61),IF($NP$61="Single_Point",IF(252=$NR$61,$NN$61,0),IF($NP$61="Bell_Curve",$NN$61*(252-$NR$61+1)*($NS$61-252+1)/$NU$61,$NN$61/$NT$61)),0)</f>
        <v/>
      </c>
      <c r="IW61" s="402">
        <f>IF(AND(253&gt;=$NR$61,253&lt;=$NS$61),IF($NP$61="Single_Point",IF(253=$NR$61,$NN$61,0),IF($NP$61="Bell_Curve",$NN$61*(253-$NR$61+1)*($NS$61-253+1)/$NU$61,$NN$61/$NT$61)),0)</f>
        <v/>
      </c>
      <c r="IX61" s="402">
        <f>IF(AND(254&gt;=$NR$61,254&lt;=$NS$61),IF($NP$61="Single_Point",IF(254=$NR$61,$NN$61,0),IF($NP$61="Bell_Curve",$NN$61*(254-$NR$61+1)*($NS$61-254+1)/$NU$61,$NN$61/$NT$61)),0)</f>
        <v/>
      </c>
      <c r="IY61" s="402">
        <f>IF(AND(255&gt;=$NR$61,255&lt;=$NS$61),IF($NP$61="Single_Point",IF(255=$NR$61,$NN$61,0),IF($NP$61="Bell_Curve",$NN$61*(255-$NR$61+1)*($NS$61-255+1)/$NU$61,$NN$61/$NT$61)),0)</f>
        <v/>
      </c>
      <c r="IZ61" s="402">
        <f>IF(AND(256&gt;=$NR$61,256&lt;=$NS$61),IF($NP$61="Single_Point",IF(256=$NR$61,$NN$61,0),IF($NP$61="Bell_Curve",$NN$61*(256-$NR$61+1)*($NS$61-256+1)/$NU$61,$NN$61/$NT$61)),0)</f>
        <v/>
      </c>
      <c r="JA61" s="402">
        <f>IF(AND(257&gt;=$NR$61,257&lt;=$NS$61),IF($NP$61="Single_Point",IF(257=$NR$61,$NN$61,0),IF($NP$61="Bell_Curve",$NN$61*(257-$NR$61+1)*($NS$61-257+1)/$NU$61,$NN$61/$NT$61)),0)</f>
        <v/>
      </c>
      <c r="JB61" s="402">
        <f>IF(AND(258&gt;=$NR$61,258&lt;=$NS$61),IF($NP$61="Single_Point",IF(258=$NR$61,$NN$61,0),IF($NP$61="Bell_Curve",$NN$61*(258-$NR$61+1)*($NS$61-258+1)/$NU$61,$NN$61/$NT$61)),0)</f>
        <v/>
      </c>
      <c r="JC61" s="402">
        <f>IF(AND(259&gt;=$NR$61,259&lt;=$NS$61),IF($NP$61="Single_Point",IF(259=$NR$61,$NN$61,0),IF($NP$61="Bell_Curve",$NN$61*(259-$NR$61+1)*($NS$61-259+1)/$NU$61,$NN$61/$NT$61)),0)</f>
        <v/>
      </c>
      <c r="JD61" s="402">
        <f>IF(AND(260&gt;=$NR$61,260&lt;=$NS$61),IF($NP$61="Single_Point",IF(260=$NR$61,$NN$61,0),IF($NP$61="Bell_Curve",$NN$61*(260-$NR$61+1)*($NS$61-260+1)/$NU$61,$NN$61/$NT$61)),0)</f>
        <v/>
      </c>
      <c r="JE61" s="402">
        <f>IF(AND(261&gt;=$NR$61,261&lt;=$NS$61),IF($NP$61="Single_Point",IF(261=$NR$61,$NN$61,0),IF($NP$61="Bell_Curve",$NN$61*(261-$NR$61+1)*($NS$61-261+1)/$NU$61,$NN$61/$NT$61)),0)</f>
        <v/>
      </c>
      <c r="JF61" s="402">
        <f>IF(AND(262&gt;=$NR$61,262&lt;=$NS$61),IF($NP$61="Single_Point",IF(262=$NR$61,$NN$61,0),IF($NP$61="Bell_Curve",$NN$61*(262-$NR$61+1)*($NS$61-262+1)/$NU$61,$NN$61/$NT$61)),0)</f>
        <v/>
      </c>
      <c r="JG61" s="402">
        <f>IF(AND(263&gt;=$NR$61,263&lt;=$NS$61),IF($NP$61="Single_Point",IF(263=$NR$61,$NN$61,0),IF($NP$61="Bell_Curve",$NN$61*(263-$NR$61+1)*($NS$61-263+1)/$NU$61,$NN$61/$NT$61)),0)</f>
        <v/>
      </c>
      <c r="JH61" s="402">
        <f>IF(AND(264&gt;=$NR$61,264&lt;=$NS$61),IF($NP$61="Single_Point",IF(264=$NR$61,$NN$61,0),IF($NP$61="Bell_Curve",$NN$61*(264-$NR$61+1)*($NS$61-264+1)/$NU$61,$NN$61/$NT$61)),0)</f>
        <v/>
      </c>
      <c r="JI61" s="402">
        <f>IF(AND(265&gt;=$NR$61,265&lt;=$NS$61),IF($NP$61="Single_Point",IF(265=$NR$61,$NN$61,0),IF($NP$61="Bell_Curve",$NN$61*(265-$NR$61+1)*($NS$61-265+1)/$NU$61,$NN$61/$NT$61)),0)</f>
        <v/>
      </c>
      <c r="JJ61" s="402">
        <f>IF(AND(266&gt;=$NR$61,266&lt;=$NS$61),IF($NP$61="Single_Point",IF(266=$NR$61,$NN$61,0),IF($NP$61="Bell_Curve",$NN$61*(266-$NR$61+1)*($NS$61-266+1)/$NU$61,$NN$61/$NT$61)),0)</f>
        <v/>
      </c>
      <c r="JK61" s="402">
        <f>IF(AND(267&gt;=$NR$61,267&lt;=$NS$61),IF($NP$61="Single_Point",IF(267=$NR$61,$NN$61,0),IF($NP$61="Bell_Curve",$NN$61*(267-$NR$61+1)*($NS$61-267+1)/$NU$61,$NN$61/$NT$61)),0)</f>
        <v/>
      </c>
      <c r="JL61" s="402">
        <f>IF(AND(268&gt;=$NR$61,268&lt;=$NS$61),IF($NP$61="Single_Point",IF(268=$NR$61,$NN$61,0),IF($NP$61="Bell_Curve",$NN$61*(268-$NR$61+1)*($NS$61-268+1)/$NU$61,$NN$61/$NT$61)),0)</f>
        <v/>
      </c>
      <c r="JM61" s="402">
        <f>IF(AND(269&gt;=$NR$61,269&lt;=$NS$61),IF($NP$61="Single_Point",IF(269=$NR$61,$NN$61,0),IF($NP$61="Bell_Curve",$NN$61*(269-$NR$61+1)*($NS$61-269+1)/$NU$61,$NN$61/$NT$61)),0)</f>
        <v/>
      </c>
      <c r="JN61" s="402">
        <f>IF(AND(270&gt;=$NR$61,270&lt;=$NS$61),IF($NP$61="Single_Point",IF(270=$NR$61,$NN$61,0),IF($NP$61="Bell_Curve",$NN$61*(270-$NR$61+1)*($NS$61-270+1)/$NU$61,$NN$61/$NT$61)),0)</f>
        <v/>
      </c>
      <c r="JO61" s="402">
        <f>IF(AND(271&gt;=$NR$61,271&lt;=$NS$61),IF($NP$61="Single_Point",IF(271=$NR$61,$NN$61,0),IF($NP$61="Bell_Curve",$NN$61*(271-$NR$61+1)*($NS$61-271+1)/$NU$61,$NN$61/$NT$61)),0)</f>
        <v/>
      </c>
      <c r="JP61" s="402">
        <f>IF(AND(272&gt;=$NR$61,272&lt;=$NS$61),IF($NP$61="Single_Point",IF(272=$NR$61,$NN$61,0),IF($NP$61="Bell_Curve",$NN$61*(272-$NR$61+1)*($NS$61-272+1)/$NU$61,$NN$61/$NT$61)),0)</f>
        <v/>
      </c>
      <c r="JQ61" s="402">
        <f>IF(AND(273&gt;=$NR$61,273&lt;=$NS$61),IF($NP$61="Single_Point",IF(273=$NR$61,$NN$61,0),IF($NP$61="Bell_Curve",$NN$61*(273-$NR$61+1)*($NS$61-273+1)/$NU$61,$NN$61/$NT$61)),0)</f>
        <v/>
      </c>
      <c r="JR61" s="402">
        <f>IF(AND(274&gt;=$NR$61,274&lt;=$NS$61),IF($NP$61="Single_Point",IF(274=$NR$61,$NN$61,0),IF($NP$61="Bell_Curve",$NN$61*(274-$NR$61+1)*($NS$61-274+1)/$NU$61,$NN$61/$NT$61)),0)</f>
        <v/>
      </c>
      <c r="JS61" s="402">
        <f>IF(AND(275&gt;=$NR$61,275&lt;=$NS$61),IF($NP$61="Single_Point",IF(275=$NR$61,$NN$61,0),IF($NP$61="Bell_Curve",$NN$61*(275-$NR$61+1)*($NS$61-275+1)/$NU$61,$NN$61/$NT$61)),0)</f>
        <v/>
      </c>
      <c r="JT61" s="402">
        <f>IF(AND(276&gt;=$NR$61,276&lt;=$NS$61),IF($NP$61="Single_Point",IF(276=$NR$61,$NN$61,0),IF($NP$61="Bell_Curve",$NN$61*(276-$NR$61+1)*($NS$61-276+1)/$NU$61,$NN$61/$NT$61)),0)</f>
        <v/>
      </c>
      <c r="JU61" s="402">
        <f>IF(AND(277&gt;=$NR$61,277&lt;=$NS$61),IF($NP$61="Single_Point",IF(277=$NR$61,$NN$61,0),IF($NP$61="Bell_Curve",$NN$61*(277-$NR$61+1)*($NS$61-277+1)/$NU$61,$NN$61/$NT$61)),0)</f>
        <v/>
      </c>
      <c r="JV61" s="402">
        <f>IF(AND(278&gt;=$NR$61,278&lt;=$NS$61),IF($NP$61="Single_Point",IF(278=$NR$61,$NN$61,0),IF($NP$61="Bell_Curve",$NN$61*(278-$NR$61+1)*($NS$61-278+1)/$NU$61,$NN$61/$NT$61)),0)</f>
        <v/>
      </c>
      <c r="JW61" s="402">
        <f>IF(AND(279&gt;=$NR$61,279&lt;=$NS$61),IF($NP$61="Single_Point",IF(279=$NR$61,$NN$61,0),IF($NP$61="Bell_Curve",$NN$61*(279-$NR$61+1)*($NS$61-279+1)/$NU$61,$NN$61/$NT$61)),0)</f>
        <v/>
      </c>
      <c r="JX61" s="402">
        <f>IF(AND(280&gt;=$NR$61,280&lt;=$NS$61),IF($NP$61="Single_Point",IF(280=$NR$61,$NN$61,0),IF($NP$61="Bell_Curve",$NN$61*(280-$NR$61+1)*($NS$61-280+1)/$NU$61,$NN$61/$NT$61)),0)</f>
        <v/>
      </c>
      <c r="JY61" s="402">
        <f>IF(AND(281&gt;=$NR$61,281&lt;=$NS$61),IF($NP$61="Single_Point",IF(281=$NR$61,$NN$61,0),IF($NP$61="Bell_Curve",$NN$61*(281-$NR$61+1)*($NS$61-281+1)/$NU$61,$NN$61/$NT$61)),0)</f>
        <v/>
      </c>
      <c r="JZ61" s="402">
        <f>IF(AND(282&gt;=$NR$61,282&lt;=$NS$61),IF($NP$61="Single_Point",IF(282=$NR$61,$NN$61,0),IF($NP$61="Bell_Curve",$NN$61*(282-$NR$61+1)*($NS$61-282+1)/$NU$61,$NN$61/$NT$61)),0)</f>
        <v/>
      </c>
      <c r="KA61" s="402">
        <f>IF(AND(283&gt;=$NR$61,283&lt;=$NS$61),IF($NP$61="Single_Point",IF(283=$NR$61,$NN$61,0),IF($NP$61="Bell_Curve",$NN$61*(283-$NR$61+1)*($NS$61-283+1)/$NU$61,$NN$61/$NT$61)),0)</f>
        <v/>
      </c>
      <c r="KB61" s="402">
        <f>IF(AND(284&gt;=$NR$61,284&lt;=$NS$61),IF($NP$61="Single_Point",IF(284=$NR$61,$NN$61,0),IF($NP$61="Bell_Curve",$NN$61*(284-$NR$61+1)*($NS$61-284+1)/$NU$61,$NN$61/$NT$61)),0)</f>
        <v/>
      </c>
      <c r="KC61" s="402">
        <f>IF(AND(285&gt;=$NR$61,285&lt;=$NS$61),IF($NP$61="Single_Point",IF(285=$NR$61,$NN$61,0),IF($NP$61="Bell_Curve",$NN$61*(285-$NR$61+1)*($NS$61-285+1)/$NU$61,$NN$61/$NT$61)),0)</f>
        <v/>
      </c>
      <c r="KD61" s="402">
        <f>IF(AND(286&gt;=$NR$61,286&lt;=$NS$61),IF($NP$61="Single_Point",IF(286=$NR$61,$NN$61,0),IF($NP$61="Bell_Curve",$NN$61*(286-$NR$61+1)*($NS$61-286+1)/$NU$61,$NN$61/$NT$61)),0)</f>
        <v/>
      </c>
      <c r="KE61" s="402">
        <f>IF(AND(287&gt;=$NR$61,287&lt;=$NS$61),IF($NP$61="Single_Point",IF(287=$NR$61,$NN$61,0),IF($NP$61="Bell_Curve",$NN$61*(287-$NR$61+1)*($NS$61-287+1)/$NU$61,$NN$61/$NT$61)),0)</f>
        <v/>
      </c>
      <c r="KF61" s="402">
        <f>IF(AND(288&gt;=$NR$61,288&lt;=$NS$61),IF($NP$61="Single_Point",IF(288=$NR$61,$NN$61,0),IF($NP$61="Bell_Curve",$NN$61*(288-$NR$61+1)*($NS$61-288+1)/$NU$61,$NN$61/$NT$61)),0)</f>
        <v/>
      </c>
      <c r="KG61" s="402">
        <f>IF(AND(289&gt;=$NR$61,289&lt;=$NS$61),IF($NP$61="Single_Point",IF(289=$NR$61,$NN$61,0),IF($NP$61="Bell_Curve",$NN$61*(289-$NR$61+1)*($NS$61-289+1)/$NU$61,$NN$61/$NT$61)),0)</f>
        <v/>
      </c>
      <c r="KH61" s="402">
        <f>IF(AND(290&gt;=$NR$61,290&lt;=$NS$61),IF($NP$61="Single_Point",IF(290=$NR$61,$NN$61,0),IF($NP$61="Bell_Curve",$NN$61*(290-$NR$61+1)*($NS$61-290+1)/$NU$61,$NN$61/$NT$61)),0)</f>
        <v/>
      </c>
      <c r="KI61" s="402">
        <f>IF(AND(291&gt;=$NR$61,291&lt;=$NS$61),IF($NP$61="Single_Point",IF(291=$NR$61,$NN$61,0),IF($NP$61="Bell_Curve",$NN$61*(291-$NR$61+1)*($NS$61-291+1)/$NU$61,$NN$61/$NT$61)),0)</f>
        <v/>
      </c>
      <c r="KJ61" s="402">
        <f>IF(AND(292&gt;=$NR$61,292&lt;=$NS$61),IF($NP$61="Single_Point",IF(292=$NR$61,$NN$61,0),IF($NP$61="Bell_Curve",$NN$61*(292-$NR$61+1)*($NS$61-292+1)/$NU$61,$NN$61/$NT$61)),0)</f>
        <v/>
      </c>
      <c r="KK61" s="402">
        <f>IF(AND(293&gt;=$NR$61,293&lt;=$NS$61),IF($NP$61="Single_Point",IF(293=$NR$61,$NN$61,0),IF($NP$61="Bell_Curve",$NN$61*(293-$NR$61+1)*($NS$61-293+1)/$NU$61,$NN$61/$NT$61)),0)</f>
        <v/>
      </c>
      <c r="KL61" s="402">
        <f>IF(AND(294&gt;=$NR$61,294&lt;=$NS$61),IF($NP$61="Single_Point",IF(294=$NR$61,$NN$61,0),IF($NP$61="Bell_Curve",$NN$61*(294-$NR$61+1)*($NS$61-294+1)/$NU$61,$NN$61/$NT$61)),0)</f>
        <v/>
      </c>
      <c r="KM61" s="402">
        <f>IF(AND(295&gt;=$NR$61,295&lt;=$NS$61),IF($NP$61="Single_Point",IF(295=$NR$61,$NN$61,0),IF($NP$61="Bell_Curve",$NN$61*(295-$NR$61+1)*($NS$61-295+1)/$NU$61,$NN$61/$NT$61)),0)</f>
        <v/>
      </c>
      <c r="KN61" s="402">
        <f>IF(AND(296&gt;=$NR$61,296&lt;=$NS$61),IF($NP$61="Single_Point",IF(296=$NR$61,$NN$61,0),IF($NP$61="Bell_Curve",$NN$61*(296-$NR$61+1)*($NS$61-296+1)/$NU$61,$NN$61/$NT$61)),0)</f>
        <v/>
      </c>
      <c r="KO61" s="402">
        <f>IF(AND(297&gt;=$NR$61,297&lt;=$NS$61),IF($NP$61="Single_Point",IF(297=$NR$61,$NN$61,0),IF($NP$61="Bell_Curve",$NN$61*(297-$NR$61+1)*($NS$61-297+1)/$NU$61,$NN$61/$NT$61)),0)</f>
        <v/>
      </c>
      <c r="KP61" s="402">
        <f>IF(AND(298&gt;=$NR$61,298&lt;=$NS$61),IF($NP$61="Single_Point",IF(298=$NR$61,$NN$61,0),IF($NP$61="Bell_Curve",$NN$61*(298-$NR$61+1)*($NS$61-298+1)/$NU$61,$NN$61/$NT$61)),0)</f>
        <v/>
      </c>
      <c r="KQ61" s="402">
        <f>IF(AND(299&gt;=$NR$61,299&lt;=$NS$61),IF($NP$61="Single_Point",IF(299=$NR$61,$NN$61,0),IF($NP$61="Bell_Curve",$NN$61*(299-$NR$61+1)*($NS$61-299+1)/$NU$61,$NN$61/$NT$61)),0)</f>
        <v/>
      </c>
      <c r="KR61" s="402">
        <f>IF(AND(300&gt;=$NR$61,300&lt;=$NS$61),IF($NP$61="Single_Point",IF(300=$NR$61,$NN$61,0),IF($NP$61="Bell_Curve",$NN$61*(300-$NR$61+1)*($NS$61-300+1)/$NU$61,$NN$61/$NT$61)),0)</f>
        <v/>
      </c>
      <c r="KS61" s="402">
        <f>IF(AND(301&gt;=$NR$61,301&lt;=$NS$61),IF($NP$61="Single_Point",IF(301=$NR$61,$NN$61,0),IF($NP$61="Bell_Curve",$NN$61*(301-$NR$61+1)*($NS$61-301+1)/$NU$61,$NN$61/$NT$61)),0)</f>
        <v/>
      </c>
      <c r="KT61" s="402">
        <f>IF(AND(302&gt;=$NR$61,302&lt;=$NS$61),IF($NP$61="Single_Point",IF(302=$NR$61,$NN$61,0),IF($NP$61="Bell_Curve",$NN$61*(302-$NR$61+1)*($NS$61-302+1)/$NU$61,$NN$61/$NT$61)),0)</f>
        <v/>
      </c>
      <c r="KU61" s="402">
        <f>IF(AND(303&gt;=$NR$61,303&lt;=$NS$61),IF($NP$61="Single_Point",IF(303=$NR$61,$NN$61,0),IF($NP$61="Bell_Curve",$NN$61*(303-$NR$61+1)*($NS$61-303+1)/$NU$61,$NN$61/$NT$61)),0)</f>
        <v/>
      </c>
      <c r="KV61" s="402">
        <f>IF(AND(304&gt;=$NR$61,304&lt;=$NS$61),IF($NP$61="Single_Point",IF(304=$NR$61,$NN$61,0),IF($NP$61="Bell_Curve",$NN$61*(304-$NR$61+1)*($NS$61-304+1)/$NU$61,$NN$61/$NT$61)),0)</f>
        <v/>
      </c>
      <c r="KW61" s="402">
        <f>IF(AND(305&gt;=$NR$61,305&lt;=$NS$61),IF($NP$61="Single_Point",IF(305=$NR$61,$NN$61,0),IF($NP$61="Bell_Curve",$NN$61*(305-$NR$61+1)*($NS$61-305+1)/$NU$61,$NN$61/$NT$61)),0)</f>
        <v/>
      </c>
      <c r="KX61" s="402">
        <f>IF(AND(306&gt;=$NR$61,306&lt;=$NS$61),IF($NP$61="Single_Point",IF(306=$NR$61,$NN$61,0),IF($NP$61="Bell_Curve",$NN$61*(306-$NR$61+1)*($NS$61-306+1)/$NU$61,$NN$61/$NT$61)),0)</f>
        <v/>
      </c>
      <c r="KY61" s="402">
        <f>IF(AND(307&gt;=$NR$61,307&lt;=$NS$61),IF($NP$61="Single_Point",IF(307=$NR$61,$NN$61,0),IF($NP$61="Bell_Curve",$NN$61*(307-$NR$61+1)*($NS$61-307+1)/$NU$61,$NN$61/$NT$61)),0)</f>
        <v/>
      </c>
      <c r="KZ61" s="402">
        <f>IF(AND(308&gt;=$NR$61,308&lt;=$NS$61),IF($NP$61="Single_Point",IF(308=$NR$61,$NN$61,0),IF($NP$61="Bell_Curve",$NN$61*(308-$NR$61+1)*($NS$61-308+1)/$NU$61,$NN$61/$NT$61)),0)</f>
        <v/>
      </c>
      <c r="LA61" s="402">
        <f>IF(AND(309&gt;=$NR$61,309&lt;=$NS$61),IF($NP$61="Single_Point",IF(309=$NR$61,$NN$61,0),IF($NP$61="Bell_Curve",$NN$61*(309-$NR$61+1)*($NS$61-309+1)/$NU$61,$NN$61/$NT$61)),0)</f>
        <v/>
      </c>
      <c r="LB61" s="402">
        <f>IF(AND(310&gt;=$NR$61,310&lt;=$NS$61),IF($NP$61="Single_Point",IF(310=$NR$61,$NN$61,0),IF($NP$61="Bell_Curve",$NN$61*(310-$NR$61+1)*($NS$61-310+1)/$NU$61,$NN$61/$NT$61)),0)</f>
        <v/>
      </c>
      <c r="LC61" s="402">
        <f>IF(AND(311&gt;=$NR$61,311&lt;=$NS$61),IF($NP$61="Single_Point",IF(311=$NR$61,$NN$61,0),IF($NP$61="Bell_Curve",$NN$61*(311-$NR$61+1)*($NS$61-311+1)/$NU$61,$NN$61/$NT$61)),0)</f>
        <v/>
      </c>
      <c r="LD61" s="402">
        <f>IF(AND(312&gt;=$NR$61,312&lt;=$NS$61),IF($NP$61="Single_Point",IF(312=$NR$61,$NN$61,0),IF($NP$61="Bell_Curve",$NN$61*(312-$NR$61+1)*($NS$61-312+1)/$NU$61,$NN$61/$NT$61)),0)</f>
        <v/>
      </c>
      <c r="LE61" s="402">
        <f>IF(AND(313&gt;=$NR$61,313&lt;=$NS$61),IF($NP$61="Single_Point",IF(313=$NR$61,$NN$61,0),IF($NP$61="Bell_Curve",$NN$61*(313-$NR$61+1)*($NS$61-313+1)/$NU$61,$NN$61/$NT$61)),0)</f>
        <v/>
      </c>
      <c r="LF61" s="402">
        <f>IF(AND(314&gt;=$NR$61,314&lt;=$NS$61),IF($NP$61="Single_Point",IF(314=$NR$61,$NN$61,0),IF($NP$61="Bell_Curve",$NN$61*(314-$NR$61+1)*($NS$61-314+1)/$NU$61,$NN$61/$NT$61)),0)</f>
        <v/>
      </c>
      <c r="LG61" s="402">
        <f>IF(AND(315&gt;=$NR$61,315&lt;=$NS$61),IF($NP$61="Single_Point",IF(315=$NR$61,$NN$61,0),IF($NP$61="Bell_Curve",$NN$61*(315-$NR$61+1)*($NS$61-315+1)/$NU$61,$NN$61/$NT$61)),0)</f>
        <v/>
      </c>
      <c r="LH61" s="402">
        <f>IF(AND(316&gt;=$NR$61,316&lt;=$NS$61),IF($NP$61="Single_Point",IF(316=$NR$61,$NN$61,0),IF($NP$61="Bell_Curve",$NN$61*(316-$NR$61+1)*($NS$61-316+1)/$NU$61,$NN$61/$NT$61)),0)</f>
        <v/>
      </c>
      <c r="LI61" s="402">
        <f>IF(AND(317&gt;=$NR$61,317&lt;=$NS$61),IF($NP$61="Single_Point",IF(317=$NR$61,$NN$61,0),IF($NP$61="Bell_Curve",$NN$61*(317-$NR$61+1)*($NS$61-317+1)/$NU$61,$NN$61/$NT$61)),0)</f>
        <v/>
      </c>
      <c r="LJ61" s="402">
        <f>IF(AND(318&gt;=$NR$61,318&lt;=$NS$61),IF($NP$61="Single_Point",IF(318=$NR$61,$NN$61,0),IF($NP$61="Bell_Curve",$NN$61*(318-$NR$61+1)*($NS$61-318+1)/$NU$61,$NN$61/$NT$61)),0)</f>
        <v/>
      </c>
      <c r="LK61" s="402">
        <f>IF(AND(319&gt;=$NR$61,319&lt;=$NS$61),IF($NP$61="Single_Point",IF(319=$NR$61,$NN$61,0),IF($NP$61="Bell_Curve",$NN$61*(319-$NR$61+1)*($NS$61-319+1)/$NU$61,$NN$61/$NT$61)),0)</f>
        <v/>
      </c>
      <c r="LL61" s="402">
        <f>IF(AND(320&gt;=$NR$61,320&lt;=$NS$61),IF($NP$61="Single_Point",IF(320=$NR$61,$NN$61,0),IF($NP$61="Bell_Curve",$NN$61*(320-$NR$61+1)*($NS$61-320+1)/$NU$61,$NN$61/$NT$61)),0)</f>
        <v/>
      </c>
      <c r="LM61" s="402">
        <f>IF(AND(321&gt;=$NR$61,321&lt;=$NS$61),IF($NP$61="Single_Point",IF(321=$NR$61,$NN$61,0),IF($NP$61="Bell_Curve",$NN$61*(321-$NR$61+1)*($NS$61-321+1)/$NU$61,$NN$61/$NT$61)),0)</f>
        <v/>
      </c>
      <c r="LN61" s="402">
        <f>IF(AND(322&gt;=$NR$61,322&lt;=$NS$61),IF($NP$61="Single_Point",IF(322=$NR$61,$NN$61,0),IF($NP$61="Bell_Curve",$NN$61*(322-$NR$61+1)*($NS$61-322+1)/$NU$61,$NN$61/$NT$61)),0)</f>
        <v/>
      </c>
      <c r="LO61" s="402">
        <f>IF(AND(323&gt;=$NR$61,323&lt;=$NS$61),IF($NP$61="Single_Point",IF(323=$NR$61,$NN$61,0),IF($NP$61="Bell_Curve",$NN$61*(323-$NR$61+1)*($NS$61-323+1)/$NU$61,$NN$61/$NT$61)),0)</f>
        <v/>
      </c>
      <c r="LP61" s="402">
        <f>IF(AND(324&gt;=$NR$61,324&lt;=$NS$61),IF($NP$61="Single_Point",IF(324=$NR$61,$NN$61,0),IF($NP$61="Bell_Curve",$NN$61*(324-$NR$61+1)*($NS$61-324+1)/$NU$61,$NN$61/$NT$61)),0)</f>
        <v/>
      </c>
      <c r="LQ61" s="402">
        <f>IF(AND(325&gt;=$NR$61,325&lt;=$NS$61),IF($NP$61="Single_Point",IF(325=$NR$61,$NN$61,0),IF($NP$61="Bell_Curve",$NN$61*(325-$NR$61+1)*($NS$61-325+1)/$NU$61,$NN$61/$NT$61)),0)</f>
        <v/>
      </c>
      <c r="LR61" s="402">
        <f>IF(AND(326&gt;=$NR$61,326&lt;=$NS$61),IF($NP$61="Single_Point",IF(326=$NR$61,$NN$61,0),IF($NP$61="Bell_Curve",$NN$61*(326-$NR$61+1)*($NS$61-326+1)/$NU$61,$NN$61/$NT$61)),0)</f>
        <v/>
      </c>
      <c r="LS61" s="402">
        <f>IF(AND(327&gt;=$NR$61,327&lt;=$NS$61),IF($NP$61="Single_Point",IF(327=$NR$61,$NN$61,0),IF($NP$61="Bell_Curve",$NN$61*(327-$NR$61+1)*($NS$61-327+1)/$NU$61,$NN$61/$NT$61)),0)</f>
        <v/>
      </c>
      <c r="LT61" s="402">
        <f>IF(AND(328&gt;=$NR$61,328&lt;=$NS$61),IF($NP$61="Single_Point",IF(328=$NR$61,$NN$61,0),IF($NP$61="Bell_Curve",$NN$61*(328-$NR$61+1)*($NS$61-328+1)/$NU$61,$NN$61/$NT$61)),0)</f>
        <v/>
      </c>
      <c r="LU61" s="402">
        <f>IF(AND(329&gt;=$NR$61,329&lt;=$NS$61),IF($NP$61="Single_Point",IF(329=$NR$61,$NN$61,0),IF($NP$61="Bell_Curve",$NN$61*(329-$NR$61+1)*($NS$61-329+1)/$NU$61,$NN$61/$NT$61)),0)</f>
        <v/>
      </c>
      <c r="LV61" s="402">
        <f>IF(AND(330&gt;=$NR$61,330&lt;=$NS$61),IF($NP$61="Single_Point",IF(330=$NR$61,$NN$61,0),IF($NP$61="Bell_Curve",$NN$61*(330-$NR$61+1)*($NS$61-330+1)/$NU$61,$NN$61/$NT$61)),0)</f>
        <v/>
      </c>
      <c r="LW61" s="402">
        <f>IF(AND(331&gt;=$NR$61,331&lt;=$NS$61),IF($NP$61="Single_Point",IF(331=$NR$61,$NN$61,0),IF($NP$61="Bell_Curve",$NN$61*(331-$NR$61+1)*($NS$61-331+1)/$NU$61,$NN$61/$NT$61)),0)</f>
        <v/>
      </c>
      <c r="LX61" s="402">
        <f>IF(AND(332&gt;=$NR$61,332&lt;=$NS$61),IF($NP$61="Single_Point",IF(332=$NR$61,$NN$61,0),IF($NP$61="Bell_Curve",$NN$61*(332-$NR$61+1)*($NS$61-332+1)/$NU$61,$NN$61/$NT$61)),0)</f>
        <v/>
      </c>
      <c r="LY61" s="402">
        <f>IF(AND(333&gt;=$NR$61,333&lt;=$NS$61),IF($NP$61="Single_Point",IF(333=$NR$61,$NN$61,0),IF($NP$61="Bell_Curve",$NN$61*(333-$NR$61+1)*($NS$61-333+1)/$NU$61,$NN$61/$NT$61)),0)</f>
        <v/>
      </c>
      <c r="LZ61" s="402">
        <f>IF(AND(334&gt;=$NR$61,334&lt;=$NS$61),IF($NP$61="Single_Point",IF(334=$NR$61,$NN$61,0),IF($NP$61="Bell_Curve",$NN$61*(334-$NR$61+1)*($NS$61-334+1)/$NU$61,$NN$61/$NT$61)),0)</f>
        <v/>
      </c>
      <c r="MA61" s="402">
        <f>IF(AND(335&gt;=$NR$61,335&lt;=$NS$61),IF($NP$61="Single_Point",IF(335=$NR$61,$NN$61,0),IF($NP$61="Bell_Curve",$NN$61*(335-$NR$61+1)*($NS$61-335+1)/$NU$61,$NN$61/$NT$61)),0)</f>
        <v/>
      </c>
      <c r="MB61" s="402">
        <f>IF(AND(336&gt;=$NR$61,336&lt;=$NS$61),IF($NP$61="Single_Point",IF(336=$NR$61,$NN$61,0),IF($NP$61="Bell_Curve",$NN$61*(336-$NR$61+1)*($NS$61-336+1)/$NU$61,$NN$61/$NT$61)),0)</f>
        <v/>
      </c>
      <c r="MC61" s="402">
        <f>IF(AND(337&gt;=$NR$61,337&lt;=$NS$61),IF($NP$61="Single_Point",IF(337=$NR$61,$NN$61,0),IF($NP$61="Bell_Curve",$NN$61*(337-$NR$61+1)*($NS$61-337+1)/$NU$61,$NN$61/$NT$61)),0)</f>
        <v/>
      </c>
      <c r="MD61" s="402">
        <f>IF(AND(338&gt;=$NR$61,338&lt;=$NS$61),IF($NP$61="Single_Point",IF(338=$NR$61,$NN$61,0),IF($NP$61="Bell_Curve",$NN$61*(338-$NR$61+1)*($NS$61-338+1)/$NU$61,$NN$61/$NT$61)),0)</f>
        <v/>
      </c>
      <c r="ME61" s="402">
        <f>IF(AND(339&gt;=$NR$61,339&lt;=$NS$61),IF($NP$61="Single_Point",IF(339=$NR$61,$NN$61,0),IF($NP$61="Bell_Curve",$NN$61*(339-$NR$61+1)*($NS$61-339+1)/$NU$61,$NN$61/$NT$61)),0)</f>
        <v/>
      </c>
      <c r="MF61" s="402">
        <f>IF(AND(340&gt;=$NR$61,340&lt;=$NS$61),IF($NP$61="Single_Point",IF(340=$NR$61,$NN$61,0),IF($NP$61="Bell_Curve",$NN$61*(340-$NR$61+1)*($NS$61-340+1)/$NU$61,$NN$61/$NT$61)),0)</f>
        <v/>
      </c>
      <c r="MG61" s="402">
        <f>IF(AND(341&gt;=$NR$61,341&lt;=$NS$61),IF($NP$61="Single_Point",IF(341=$NR$61,$NN$61,0),IF($NP$61="Bell_Curve",$NN$61*(341-$NR$61+1)*($NS$61-341+1)/$NU$61,$NN$61/$NT$61)),0)</f>
        <v/>
      </c>
      <c r="MH61" s="402">
        <f>IF(AND(342&gt;=$NR$61,342&lt;=$NS$61),IF($NP$61="Single_Point",IF(342=$NR$61,$NN$61,0),IF($NP$61="Bell_Curve",$NN$61*(342-$NR$61+1)*($NS$61-342+1)/$NU$61,$NN$61/$NT$61)),0)</f>
        <v/>
      </c>
      <c r="MI61" s="402">
        <f>IF(AND(343&gt;=$NR$61,343&lt;=$NS$61),IF($NP$61="Single_Point",IF(343=$NR$61,$NN$61,0),IF($NP$61="Bell_Curve",$NN$61*(343-$NR$61+1)*($NS$61-343+1)/$NU$61,$NN$61/$NT$61)),0)</f>
        <v/>
      </c>
      <c r="MJ61" s="402">
        <f>IF(AND(344&gt;=$NR$61,344&lt;=$NS$61),IF($NP$61="Single_Point",IF(344=$NR$61,$NN$61,0),IF($NP$61="Bell_Curve",$NN$61*(344-$NR$61+1)*($NS$61-344+1)/$NU$61,$NN$61/$NT$61)),0)</f>
        <v/>
      </c>
      <c r="MK61" s="402">
        <f>IF(AND(345&gt;=$NR$61,345&lt;=$NS$61),IF($NP$61="Single_Point",IF(345=$NR$61,$NN$61,0),IF($NP$61="Bell_Curve",$NN$61*(345-$NR$61+1)*($NS$61-345+1)/$NU$61,$NN$61/$NT$61)),0)</f>
        <v/>
      </c>
      <c r="ML61" s="402">
        <f>IF(AND(346&gt;=$NR$61,346&lt;=$NS$61),IF($NP$61="Single_Point",IF(346=$NR$61,$NN$61,0),IF($NP$61="Bell_Curve",$NN$61*(346-$NR$61+1)*($NS$61-346+1)/$NU$61,$NN$61/$NT$61)),0)</f>
        <v/>
      </c>
      <c r="MM61" s="402">
        <f>IF(AND(347&gt;=$NR$61,347&lt;=$NS$61),IF($NP$61="Single_Point",IF(347=$NR$61,$NN$61,0),IF($NP$61="Bell_Curve",$NN$61*(347-$NR$61+1)*($NS$61-347+1)/$NU$61,$NN$61/$NT$61)),0)</f>
        <v/>
      </c>
      <c r="MN61" s="402">
        <f>IF(AND(348&gt;=$NR$61,348&lt;=$NS$61),IF($NP$61="Single_Point",IF(348=$NR$61,$NN$61,0),IF($NP$61="Bell_Curve",$NN$61*(348-$NR$61+1)*($NS$61-348+1)/$NU$61,$NN$61/$NT$61)),0)</f>
        <v/>
      </c>
      <c r="MO61" s="402">
        <f>IF(AND(349&gt;=$NR$61,349&lt;=$NS$61),IF($NP$61="Single_Point",IF(349=$NR$61,$NN$61,0),IF($NP$61="Bell_Curve",$NN$61*(349-$NR$61+1)*($NS$61-349+1)/$NU$61,$NN$61/$NT$61)),0)</f>
        <v/>
      </c>
      <c r="MP61" s="402">
        <f>IF(AND(350&gt;=$NR$61,350&lt;=$NS$61),IF($NP$61="Single_Point",IF(350=$NR$61,$NN$61,0),IF($NP$61="Bell_Curve",$NN$61*(350-$NR$61+1)*($NS$61-350+1)/$NU$61,$NN$61/$NT$61)),0)</f>
        <v/>
      </c>
      <c r="MQ61" s="402">
        <f>IF(AND(351&gt;=$NR$61,351&lt;=$NS$61),IF($NP$61="Single_Point",IF(351=$NR$61,$NN$61,0),IF($NP$61="Bell_Curve",$NN$61*(351-$NR$61+1)*($NS$61-351+1)/$NU$61,$NN$61/$NT$61)),0)</f>
        <v/>
      </c>
      <c r="MR61" s="402">
        <f>IF(AND(352&gt;=$NR$61,352&lt;=$NS$61),IF($NP$61="Single_Point",IF(352=$NR$61,$NN$61,0),IF($NP$61="Bell_Curve",$NN$61*(352-$NR$61+1)*($NS$61-352+1)/$NU$61,$NN$61/$NT$61)),0)</f>
        <v/>
      </c>
      <c r="MS61" s="402">
        <f>IF(AND(353&gt;=$NR$61,353&lt;=$NS$61),IF($NP$61="Single_Point",IF(353=$NR$61,$NN$61,0),IF($NP$61="Bell_Curve",$NN$61*(353-$NR$61+1)*($NS$61-353+1)/$NU$61,$NN$61/$NT$61)),0)</f>
        <v/>
      </c>
      <c r="MT61" s="402">
        <f>IF(AND(354&gt;=$NR$61,354&lt;=$NS$61),IF($NP$61="Single_Point",IF(354=$NR$61,$NN$61,0),IF($NP$61="Bell_Curve",$NN$61*(354-$NR$61+1)*($NS$61-354+1)/$NU$61,$NN$61/$NT$61)),0)</f>
        <v/>
      </c>
      <c r="MU61" s="402">
        <f>IF(AND(355&gt;=$NR$61,355&lt;=$NS$61),IF($NP$61="Single_Point",IF(355=$NR$61,$NN$61,0),IF($NP$61="Bell_Curve",$NN$61*(355-$NR$61+1)*($NS$61-355+1)/$NU$61,$NN$61/$NT$61)),0)</f>
        <v/>
      </c>
      <c r="MV61" s="402">
        <f>IF(AND(356&gt;=$NR$61,356&lt;=$NS$61),IF($NP$61="Single_Point",IF(356=$NR$61,$NN$61,0),IF($NP$61="Bell_Curve",$NN$61*(356-$NR$61+1)*($NS$61-356+1)/$NU$61,$NN$61/$NT$61)),0)</f>
        <v/>
      </c>
      <c r="MW61" s="402">
        <f>IF(AND(357&gt;=$NR$61,357&lt;=$NS$61),IF($NP$61="Single_Point",IF(357=$NR$61,$NN$61,0),IF($NP$61="Bell_Curve",$NN$61*(357-$NR$61+1)*($NS$61-357+1)/$NU$61,$NN$61/$NT$61)),0)</f>
        <v/>
      </c>
      <c r="MX61" s="402">
        <f>IF(AND(358&gt;=$NR$61,358&lt;=$NS$61),IF($NP$61="Single_Point",IF(358=$NR$61,$NN$61,0),IF($NP$61="Bell_Curve",$NN$61*(358-$NR$61+1)*($NS$61-358+1)/$NU$61,$NN$61/$NT$61)),0)</f>
        <v/>
      </c>
      <c r="MY61" s="402">
        <f>IF(AND(359&gt;=$NR$61,359&lt;=$NS$61),IF($NP$61="Single_Point",IF(359=$NR$61,$NN$61,0),IF($NP$61="Bell_Curve",$NN$61*(359-$NR$61+1)*($NS$61-359+1)/$NU$61,$NN$61/$NT$61)),0)</f>
        <v/>
      </c>
      <c r="MZ61" s="402">
        <f>IF(AND(360&gt;=$NR$61,360&lt;=$NS$61),IF($NP$61="Single_Point",IF(360=$NR$61,$NN$61,0),IF($NP$61="Bell_Curve",$NN$61*(360-$NR$61+1)*($NS$61-360+1)/$NU$61,$NN$61/$NT$61)),0)</f>
        <v/>
      </c>
      <c r="NA61" s="402">
        <f>IF(AND(361&gt;=$NR$61,361&lt;=$NS$61),IF($NP$61="Single_Point",IF(361=$NR$61,$NN$61,0),IF($NP$61="Bell_Curve",$NN$61*(361-$NR$61+1)*($NS$61-361+1)/$NU$61,$NN$61/$NT$61)),0)</f>
        <v/>
      </c>
      <c r="NB61" s="402">
        <f>IF(AND(362&gt;=$NR$61,362&lt;=$NS$61),IF($NP$61="Single_Point",IF(362=$NR$61,$NN$61,0),IF($NP$61="Bell_Curve",$NN$61*(362-$NR$61+1)*($NS$61-362+1)/$NU$61,$NN$61/$NT$61)),0)</f>
        <v/>
      </c>
      <c r="NC61" s="402">
        <f>IF(AND(363&gt;=$NR$61,363&lt;=$NS$61),IF($NP$61="Single_Point",IF(363=$NR$61,$NN$61,0),IF($NP$61="Bell_Curve",$NN$61*(363-$NR$61+1)*($NS$61-363+1)/$NU$61,$NN$61/$NT$61)),0)</f>
        <v/>
      </c>
      <c r="ND61" s="402">
        <f>IF(AND(364&gt;=$NR$61,364&lt;=$NS$61),IF($NP$61="Single_Point",IF(364=$NR$61,$NN$61,0),IF($NP$61="Bell_Curve",$NN$61*(364-$NR$61+1)*($NS$61-364+1)/$NU$61,$NN$61/$NT$61)),0)</f>
        <v/>
      </c>
      <c r="NE61" s="402">
        <f>IF(AND(365&gt;=$NR$61,365&lt;=$NS$61),IF($NP$61="Single_Point",IF(365=$NR$61,$NN$61,0),IF($NP$61="Bell_Curve",$NN$61*(365-$NR$61+1)*($NS$61-365+1)/$NU$61,$NN$61/$NT$61)),0)</f>
        <v/>
      </c>
      <c r="NF61" s="402">
        <f>IF(AND(366&gt;=$NR$61,366&lt;=$NS$61),IF($NP$61="Single_Point",IF(366=$NR$61,$NN$61,0),IF($NP$61="Bell_Curve",$NN$61*(366-$NR$61+1)*($NS$61-366+1)/$NU$61,$NN$61/$NT$61)),0)</f>
        <v/>
      </c>
      <c r="NG61" s="402">
        <f>IF(AND(367&gt;=$NR$61,367&lt;=$NS$61),IF($NP$61="Single_Point",IF(367=$NR$61,$NN$61,0),IF($NP$61="Bell_Curve",$NN$61*(367-$NR$61+1)*($NS$61-367+1)/$NU$61,$NN$61/$NT$61)),0)</f>
        <v/>
      </c>
      <c r="NH61" s="402">
        <f>IF(AND(368&gt;=$NR$61,368&lt;=$NS$61),IF($NP$61="Single_Point",IF(368=$NR$61,$NN$61,0),IF($NP$61="Bell_Curve",$NN$61*(368-$NR$61+1)*($NS$61-368+1)/$NU$61,$NN$61/$NT$61)),0)</f>
        <v/>
      </c>
      <c r="NI61" s="402">
        <f>IF(AND(369&gt;=$NR$61,369&lt;=$NS$61),IF($NP$61="Single_Point",IF(369=$NR$61,$NN$61,0),IF($NP$61="Bell_Curve",$NN$61*(369-$NR$61+1)*($NS$61-369+1)/$NU$61,$NN$61/$NT$61)),0)</f>
        <v/>
      </c>
      <c r="NJ61" s="402">
        <f>IF(AND(370&gt;=$NR$61,370&lt;=$NS$61),IF($NP$61="Single_Point",IF(370=$NR$61,$NN$61,0),IF($NP$61="Bell_Curve",$NN$61*(370-$NR$61+1)*($NS$61-370+1)/$NU$61,$NN$61/$NT$61)),0)</f>
        <v/>
      </c>
      <c r="NK61" s="402">
        <f>IF(AND(371&gt;=$NR$61,371&lt;=$NS$61),IF($NP$61="Single_Point",IF(371=$NR$61,$NN$61,0),IF($NP$61="Bell_Curve",$NN$61*(371-$NR$61+1)*($NS$61-371+1)/$NU$61,$NN$61/$NT$61)),0)</f>
        <v/>
      </c>
      <c r="NL61" s="402">
        <f>IF(AND(372&gt;=$NR$61,372&lt;=$NS$61),IF($NP$61="Single_Point",IF(372=$NR$61,$NN$61,0),IF($NP$61="Bell_Curve",$NN$61*(372-$NR$61+1)*($NS$61-372+1)/$NU$61,$NN$61/$NT$61)),0)</f>
        <v/>
      </c>
      <c r="NM61">
        <f>Budget!C60</f>
        <v/>
      </c>
      <c r="NN61">
        <f>Budget!J60</f>
        <v/>
      </c>
      <c r="NO61">
        <f>Budget!G60</f>
        <v/>
      </c>
      <c r="NP61">
        <f>Budget!H60</f>
        <v/>
      </c>
      <c r="NQ61">
        <f>Budget!I60</f>
        <v/>
      </c>
      <c r="NR61">
        <f>MAX(1,MIN(372,INDEX(MilestoneStart,MATCH(NO61,MilestoneNames,0))+NQ61))</f>
        <v/>
      </c>
      <c r="NS61">
        <f>MAX(NR61,MIN(372,INDEX(MilestoneEnd,MATCH(NO61,MilestoneNames,0))+NQ61))</f>
        <v/>
      </c>
      <c r="NT61">
        <f>NS61-NR61+1</f>
        <v/>
      </c>
      <c r="NU61">
        <f>NT61*(NT61+1)*(NT61+2)/6</f>
        <v/>
      </c>
    </row>
    <row r="62">
      <c r="B62" s="316">
        <f>Budget!B61</f>
        <v/>
      </c>
      <c r="D62" s="402">
        <f>SUM(E62:NL62)</f>
        <v/>
      </c>
      <c r="E62" s="402">
        <f>IF(AND(1&gt;=$NR$62,1&lt;=$NS$62),IF($NP$62="Single_Point",IF(1=$NR$62,$NN$62,0),IF($NP$62="Bell_Curve",$NN$62*(1-$NR$62+1)*($NS$62-1+1)/$NU$62,$NN$62/$NT$62)),0)</f>
        <v/>
      </c>
      <c r="F62" s="402">
        <f>IF(AND(2&gt;=$NR$62,2&lt;=$NS$62),IF($NP$62="Single_Point",IF(2=$NR$62,$NN$62,0),IF($NP$62="Bell_Curve",$NN$62*(2-$NR$62+1)*($NS$62-2+1)/$NU$62,$NN$62/$NT$62)),0)</f>
        <v/>
      </c>
      <c r="G62" s="402">
        <f>IF(AND(3&gt;=$NR$62,3&lt;=$NS$62),IF($NP$62="Single_Point",IF(3=$NR$62,$NN$62,0),IF($NP$62="Bell_Curve",$NN$62*(3-$NR$62+1)*($NS$62-3+1)/$NU$62,$NN$62/$NT$62)),0)</f>
        <v/>
      </c>
      <c r="H62" s="402">
        <f>IF(AND(4&gt;=$NR$62,4&lt;=$NS$62),IF($NP$62="Single_Point",IF(4=$NR$62,$NN$62,0),IF($NP$62="Bell_Curve",$NN$62*(4-$NR$62+1)*($NS$62-4+1)/$NU$62,$NN$62/$NT$62)),0)</f>
        <v/>
      </c>
      <c r="I62" s="402">
        <f>IF(AND(5&gt;=$NR$62,5&lt;=$NS$62),IF($NP$62="Single_Point",IF(5=$NR$62,$NN$62,0),IF($NP$62="Bell_Curve",$NN$62*(5-$NR$62+1)*($NS$62-5+1)/$NU$62,$NN$62/$NT$62)),0)</f>
        <v/>
      </c>
      <c r="J62" s="402">
        <f>IF(AND(6&gt;=$NR$62,6&lt;=$NS$62),IF($NP$62="Single_Point",IF(6=$NR$62,$NN$62,0),IF($NP$62="Bell_Curve",$NN$62*(6-$NR$62+1)*($NS$62-6+1)/$NU$62,$NN$62/$NT$62)),0)</f>
        <v/>
      </c>
      <c r="K62" s="402">
        <f>IF(AND(7&gt;=$NR$62,7&lt;=$NS$62),IF($NP$62="Single_Point",IF(7=$NR$62,$NN$62,0),IF($NP$62="Bell_Curve",$NN$62*(7-$NR$62+1)*($NS$62-7+1)/$NU$62,$NN$62/$NT$62)),0)</f>
        <v/>
      </c>
      <c r="L62" s="402">
        <f>IF(AND(8&gt;=$NR$62,8&lt;=$NS$62),IF($NP$62="Single_Point",IF(8=$NR$62,$NN$62,0),IF($NP$62="Bell_Curve",$NN$62*(8-$NR$62+1)*($NS$62-8+1)/$NU$62,$NN$62/$NT$62)),0)</f>
        <v/>
      </c>
      <c r="M62" s="402">
        <f>IF(AND(9&gt;=$NR$62,9&lt;=$NS$62),IF($NP$62="Single_Point",IF(9=$NR$62,$NN$62,0),IF($NP$62="Bell_Curve",$NN$62*(9-$NR$62+1)*($NS$62-9+1)/$NU$62,$NN$62/$NT$62)),0)</f>
        <v/>
      </c>
      <c r="N62" s="402">
        <f>IF(AND(10&gt;=$NR$62,10&lt;=$NS$62),IF($NP$62="Single_Point",IF(10=$NR$62,$NN$62,0),IF($NP$62="Bell_Curve",$NN$62*(10-$NR$62+1)*($NS$62-10+1)/$NU$62,$NN$62/$NT$62)),0)</f>
        <v/>
      </c>
      <c r="O62" s="402">
        <f>IF(AND(11&gt;=$NR$62,11&lt;=$NS$62),IF($NP$62="Single_Point",IF(11=$NR$62,$NN$62,0),IF($NP$62="Bell_Curve",$NN$62*(11-$NR$62+1)*($NS$62-11+1)/$NU$62,$NN$62/$NT$62)),0)</f>
        <v/>
      </c>
      <c r="P62" s="402">
        <f>IF(AND(12&gt;=$NR$62,12&lt;=$NS$62),IF($NP$62="Single_Point",IF(12=$NR$62,$NN$62,0),IF($NP$62="Bell_Curve",$NN$62*(12-$NR$62+1)*($NS$62-12+1)/$NU$62,$NN$62/$NT$62)),0)</f>
        <v/>
      </c>
      <c r="Q62" s="402">
        <f>IF(AND(13&gt;=$NR$62,13&lt;=$NS$62),IF($NP$62="Single_Point",IF(13=$NR$62,$NN$62,0),IF($NP$62="Bell_Curve",$NN$62*(13-$NR$62+1)*($NS$62-13+1)/$NU$62,$NN$62/$NT$62)),0)</f>
        <v/>
      </c>
      <c r="R62" s="402">
        <f>IF(AND(14&gt;=$NR$62,14&lt;=$NS$62),IF($NP$62="Single_Point",IF(14=$NR$62,$NN$62,0),IF($NP$62="Bell_Curve",$NN$62*(14-$NR$62+1)*($NS$62-14+1)/$NU$62,$NN$62/$NT$62)),0)</f>
        <v/>
      </c>
      <c r="S62" s="402">
        <f>IF(AND(15&gt;=$NR$62,15&lt;=$NS$62),IF($NP$62="Single_Point",IF(15=$NR$62,$NN$62,0),IF($NP$62="Bell_Curve",$NN$62*(15-$NR$62+1)*($NS$62-15+1)/$NU$62,$NN$62/$NT$62)),0)</f>
        <v/>
      </c>
      <c r="T62" s="402">
        <f>IF(AND(16&gt;=$NR$62,16&lt;=$NS$62),IF($NP$62="Single_Point",IF(16=$NR$62,$NN$62,0),IF($NP$62="Bell_Curve",$NN$62*(16-$NR$62+1)*($NS$62-16+1)/$NU$62,$NN$62/$NT$62)),0)</f>
        <v/>
      </c>
      <c r="U62" s="402">
        <f>IF(AND(17&gt;=$NR$62,17&lt;=$NS$62),IF($NP$62="Single_Point",IF(17=$NR$62,$NN$62,0),IF($NP$62="Bell_Curve",$NN$62*(17-$NR$62+1)*($NS$62-17+1)/$NU$62,$NN$62/$NT$62)),0)</f>
        <v/>
      </c>
      <c r="V62" s="402">
        <f>IF(AND(18&gt;=$NR$62,18&lt;=$NS$62),IF($NP$62="Single_Point",IF(18=$NR$62,$NN$62,0),IF($NP$62="Bell_Curve",$NN$62*(18-$NR$62+1)*($NS$62-18+1)/$NU$62,$NN$62/$NT$62)),0)</f>
        <v/>
      </c>
      <c r="W62" s="402">
        <f>IF(AND(19&gt;=$NR$62,19&lt;=$NS$62),IF($NP$62="Single_Point",IF(19=$NR$62,$NN$62,0),IF($NP$62="Bell_Curve",$NN$62*(19-$NR$62+1)*($NS$62-19+1)/$NU$62,$NN$62/$NT$62)),0)</f>
        <v/>
      </c>
      <c r="X62" s="402">
        <f>IF(AND(20&gt;=$NR$62,20&lt;=$NS$62),IF($NP$62="Single_Point",IF(20=$NR$62,$NN$62,0),IF($NP$62="Bell_Curve",$NN$62*(20-$NR$62+1)*($NS$62-20+1)/$NU$62,$NN$62/$NT$62)),0)</f>
        <v/>
      </c>
      <c r="Y62" s="402">
        <f>IF(AND(21&gt;=$NR$62,21&lt;=$NS$62),IF($NP$62="Single_Point",IF(21=$NR$62,$NN$62,0),IF($NP$62="Bell_Curve",$NN$62*(21-$NR$62+1)*($NS$62-21+1)/$NU$62,$NN$62/$NT$62)),0)</f>
        <v/>
      </c>
      <c r="Z62" s="402">
        <f>IF(AND(22&gt;=$NR$62,22&lt;=$NS$62),IF($NP$62="Single_Point",IF(22=$NR$62,$NN$62,0),IF($NP$62="Bell_Curve",$NN$62*(22-$NR$62+1)*($NS$62-22+1)/$NU$62,$NN$62/$NT$62)),0)</f>
        <v/>
      </c>
      <c r="AA62" s="402">
        <f>IF(AND(23&gt;=$NR$62,23&lt;=$NS$62),IF($NP$62="Single_Point",IF(23=$NR$62,$NN$62,0),IF($NP$62="Bell_Curve",$NN$62*(23-$NR$62+1)*($NS$62-23+1)/$NU$62,$NN$62/$NT$62)),0)</f>
        <v/>
      </c>
      <c r="AB62" s="402">
        <f>IF(AND(24&gt;=$NR$62,24&lt;=$NS$62),IF($NP$62="Single_Point",IF(24=$NR$62,$NN$62,0),IF($NP$62="Bell_Curve",$NN$62*(24-$NR$62+1)*($NS$62-24+1)/$NU$62,$NN$62/$NT$62)),0)</f>
        <v/>
      </c>
      <c r="AC62" s="402">
        <f>IF(AND(25&gt;=$NR$62,25&lt;=$NS$62),IF($NP$62="Single_Point",IF(25=$NR$62,$NN$62,0),IF($NP$62="Bell_Curve",$NN$62*(25-$NR$62+1)*($NS$62-25+1)/$NU$62,$NN$62/$NT$62)),0)</f>
        <v/>
      </c>
      <c r="AD62" s="402">
        <f>IF(AND(26&gt;=$NR$62,26&lt;=$NS$62),IF($NP$62="Single_Point",IF(26=$NR$62,$NN$62,0),IF($NP$62="Bell_Curve",$NN$62*(26-$NR$62+1)*($NS$62-26+1)/$NU$62,$NN$62/$NT$62)),0)</f>
        <v/>
      </c>
      <c r="AE62" s="402">
        <f>IF(AND(27&gt;=$NR$62,27&lt;=$NS$62),IF($NP$62="Single_Point",IF(27=$NR$62,$NN$62,0),IF($NP$62="Bell_Curve",$NN$62*(27-$NR$62+1)*($NS$62-27+1)/$NU$62,$NN$62/$NT$62)),0)</f>
        <v/>
      </c>
      <c r="AF62" s="402">
        <f>IF(AND(28&gt;=$NR$62,28&lt;=$NS$62),IF($NP$62="Single_Point",IF(28=$NR$62,$NN$62,0),IF($NP$62="Bell_Curve",$NN$62*(28-$NR$62+1)*($NS$62-28+1)/$NU$62,$NN$62/$NT$62)),0)</f>
        <v/>
      </c>
      <c r="AG62" s="402">
        <f>IF(AND(29&gt;=$NR$62,29&lt;=$NS$62),IF($NP$62="Single_Point",IF(29=$NR$62,$NN$62,0),IF($NP$62="Bell_Curve",$NN$62*(29-$NR$62+1)*($NS$62-29+1)/$NU$62,$NN$62/$NT$62)),0)</f>
        <v/>
      </c>
      <c r="AH62" s="402">
        <f>IF(AND(30&gt;=$NR$62,30&lt;=$NS$62),IF($NP$62="Single_Point",IF(30=$NR$62,$NN$62,0),IF($NP$62="Bell_Curve",$NN$62*(30-$NR$62+1)*($NS$62-30+1)/$NU$62,$NN$62/$NT$62)),0)</f>
        <v/>
      </c>
      <c r="AI62" s="402">
        <f>IF(AND(31&gt;=$NR$62,31&lt;=$NS$62),IF($NP$62="Single_Point",IF(31=$NR$62,$NN$62,0),IF($NP$62="Bell_Curve",$NN$62*(31-$NR$62+1)*($NS$62-31+1)/$NU$62,$NN$62/$NT$62)),0)</f>
        <v/>
      </c>
      <c r="AJ62" s="402">
        <f>IF(AND(32&gt;=$NR$62,32&lt;=$NS$62),IF($NP$62="Single_Point",IF(32=$NR$62,$NN$62,0),IF($NP$62="Bell_Curve",$NN$62*(32-$NR$62+1)*($NS$62-32+1)/$NU$62,$NN$62/$NT$62)),0)</f>
        <v/>
      </c>
      <c r="AK62" s="402">
        <f>IF(AND(33&gt;=$NR$62,33&lt;=$NS$62),IF($NP$62="Single_Point",IF(33=$NR$62,$NN$62,0),IF($NP$62="Bell_Curve",$NN$62*(33-$NR$62+1)*($NS$62-33+1)/$NU$62,$NN$62/$NT$62)),0)</f>
        <v/>
      </c>
      <c r="AL62" s="402">
        <f>IF(AND(34&gt;=$NR$62,34&lt;=$NS$62),IF($NP$62="Single_Point",IF(34=$NR$62,$NN$62,0),IF($NP$62="Bell_Curve",$NN$62*(34-$NR$62+1)*($NS$62-34+1)/$NU$62,$NN$62/$NT$62)),0)</f>
        <v/>
      </c>
      <c r="AM62" s="402">
        <f>IF(AND(35&gt;=$NR$62,35&lt;=$NS$62),IF($NP$62="Single_Point",IF(35=$NR$62,$NN$62,0),IF($NP$62="Bell_Curve",$NN$62*(35-$NR$62+1)*($NS$62-35+1)/$NU$62,$NN$62/$NT$62)),0)</f>
        <v/>
      </c>
      <c r="AN62" s="402">
        <f>IF(AND(36&gt;=$NR$62,36&lt;=$NS$62),IF($NP$62="Single_Point",IF(36=$NR$62,$NN$62,0),IF($NP$62="Bell_Curve",$NN$62*(36-$NR$62+1)*($NS$62-36+1)/$NU$62,$NN$62/$NT$62)),0)</f>
        <v/>
      </c>
      <c r="AO62" s="402">
        <f>IF(AND(37&gt;=$NR$62,37&lt;=$NS$62),IF($NP$62="Single_Point",IF(37=$NR$62,$NN$62,0),IF($NP$62="Bell_Curve",$NN$62*(37-$NR$62+1)*($NS$62-37+1)/$NU$62,$NN$62/$NT$62)),0)</f>
        <v/>
      </c>
      <c r="AP62" s="402">
        <f>IF(AND(38&gt;=$NR$62,38&lt;=$NS$62),IF($NP$62="Single_Point",IF(38=$NR$62,$NN$62,0),IF($NP$62="Bell_Curve",$NN$62*(38-$NR$62+1)*($NS$62-38+1)/$NU$62,$NN$62/$NT$62)),0)</f>
        <v/>
      </c>
      <c r="AQ62" s="402">
        <f>IF(AND(39&gt;=$NR$62,39&lt;=$NS$62),IF($NP$62="Single_Point",IF(39=$NR$62,$NN$62,0),IF($NP$62="Bell_Curve",$NN$62*(39-$NR$62+1)*($NS$62-39+1)/$NU$62,$NN$62/$NT$62)),0)</f>
        <v/>
      </c>
      <c r="AR62" s="402">
        <f>IF(AND(40&gt;=$NR$62,40&lt;=$NS$62),IF($NP$62="Single_Point",IF(40=$NR$62,$NN$62,0),IF($NP$62="Bell_Curve",$NN$62*(40-$NR$62+1)*($NS$62-40+1)/$NU$62,$NN$62/$NT$62)),0)</f>
        <v/>
      </c>
      <c r="AS62" s="402">
        <f>IF(AND(41&gt;=$NR$62,41&lt;=$NS$62),IF($NP$62="Single_Point",IF(41=$NR$62,$NN$62,0),IF($NP$62="Bell_Curve",$NN$62*(41-$NR$62+1)*($NS$62-41+1)/$NU$62,$NN$62/$NT$62)),0)</f>
        <v/>
      </c>
      <c r="AT62" s="402">
        <f>IF(AND(42&gt;=$NR$62,42&lt;=$NS$62),IF($NP$62="Single_Point",IF(42=$NR$62,$NN$62,0),IF($NP$62="Bell_Curve",$NN$62*(42-$NR$62+1)*($NS$62-42+1)/$NU$62,$NN$62/$NT$62)),0)</f>
        <v/>
      </c>
      <c r="AU62" s="402">
        <f>IF(AND(43&gt;=$NR$62,43&lt;=$NS$62),IF($NP$62="Single_Point",IF(43=$NR$62,$NN$62,0),IF($NP$62="Bell_Curve",$NN$62*(43-$NR$62+1)*($NS$62-43+1)/$NU$62,$NN$62/$NT$62)),0)</f>
        <v/>
      </c>
      <c r="AV62" s="402">
        <f>IF(AND(44&gt;=$NR$62,44&lt;=$NS$62),IF($NP$62="Single_Point",IF(44=$NR$62,$NN$62,0),IF($NP$62="Bell_Curve",$NN$62*(44-$NR$62+1)*($NS$62-44+1)/$NU$62,$NN$62/$NT$62)),0)</f>
        <v/>
      </c>
      <c r="AW62" s="402">
        <f>IF(AND(45&gt;=$NR$62,45&lt;=$NS$62),IF($NP$62="Single_Point",IF(45=$NR$62,$NN$62,0),IF($NP$62="Bell_Curve",$NN$62*(45-$NR$62+1)*($NS$62-45+1)/$NU$62,$NN$62/$NT$62)),0)</f>
        <v/>
      </c>
      <c r="AX62" s="402">
        <f>IF(AND(46&gt;=$NR$62,46&lt;=$NS$62),IF($NP$62="Single_Point",IF(46=$NR$62,$NN$62,0),IF($NP$62="Bell_Curve",$NN$62*(46-$NR$62+1)*($NS$62-46+1)/$NU$62,$NN$62/$NT$62)),0)</f>
        <v/>
      </c>
      <c r="AY62" s="402">
        <f>IF(AND(47&gt;=$NR$62,47&lt;=$NS$62),IF($NP$62="Single_Point",IF(47=$NR$62,$NN$62,0),IF($NP$62="Bell_Curve",$NN$62*(47-$NR$62+1)*($NS$62-47+1)/$NU$62,$NN$62/$NT$62)),0)</f>
        <v/>
      </c>
      <c r="AZ62" s="402">
        <f>IF(AND(48&gt;=$NR$62,48&lt;=$NS$62),IF($NP$62="Single_Point",IF(48=$NR$62,$NN$62,0),IF($NP$62="Bell_Curve",$NN$62*(48-$NR$62+1)*($NS$62-48+1)/$NU$62,$NN$62/$NT$62)),0)</f>
        <v/>
      </c>
      <c r="BA62" s="402">
        <f>IF(AND(49&gt;=$NR$62,49&lt;=$NS$62),IF($NP$62="Single_Point",IF(49=$NR$62,$NN$62,0),IF($NP$62="Bell_Curve",$NN$62*(49-$NR$62+1)*($NS$62-49+1)/$NU$62,$NN$62/$NT$62)),0)</f>
        <v/>
      </c>
      <c r="BB62" s="402">
        <f>IF(AND(50&gt;=$NR$62,50&lt;=$NS$62),IF($NP$62="Single_Point",IF(50=$NR$62,$NN$62,0),IF($NP$62="Bell_Curve",$NN$62*(50-$NR$62+1)*($NS$62-50+1)/$NU$62,$NN$62/$NT$62)),0)</f>
        <v/>
      </c>
      <c r="BC62" s="402">
        <f>IF(AND(51&gt;=$NR$62,51&lt;=$NS$62),IF($NP$62="Single_Point",IF(51=$NR$62,$NN$62,0),IF($NP$62="Bell_Curve",$NN$62*(51-$NR$62+1)*($NS$62-51+1)/$NU$62,$NN$62/$NT$62)),0)</f>
        <v/>
      </c>
      <c r="BD62" s="402">
        <f>IF(AND(52&gt;=$NR$62,52&lt;=$NS$62),IF($NP$62="Single_Point",IF(52=$NR$62,$NN$62,0),IF($NP$62="Bell_Curve",$NN$62*(52-$NR$62+1)*($NS$62-52+1)/$NU$62,$NN$62/$NT$62)),0)</f>
        <v/>
      </c>
      <c r="BE62" s="402">
        <f>IF(AND(53&gt;=$NR$62,53&lt;=$NS$62),IF($NP$62="Single_Point",IF(53=$NR$62,$NN$62,0),IF($NP$62="Bell_Curve",$NN$62*(53-$NR$62+1)*($NS$62-53+1)/$NU$62,$NN$62/$NT$62)),0)</f>
        <v/>
      </c>
      <c r="BF62" s="402">
        <f>IF(AND(54&gt;=$NR$62,54&lt;=$NS$62),IF($NP$62="Single_Point",IF(54=$NR$62,$NN$62,0),IF($NP$62="Bell_Curve",$NN$62*(54-$NR$62+1)*($NS$62-54+1)/$NU$62,$NN$62/$NT$62)),0)</f>
        <v/>
      </c>
      <c r="BG62" s="402">
        <f>IF(AND(55&gt;=$NR$62,55&lt;=$NS$62),IF($NP$62="Single_Point",IF(55=$NR$62,$NN$62,0),IF($NP$62="Bell_Curve",$NN$62*(55-$NR$62+1)*($NS$62-55+1)/$NU$62,$NN$62/$NT$62)),0)</f>
        <v/>
      </c>
      <c r="BH62" s="402">
        <f>IF(AND(56&gt;=$NR$62,56&lt;=$NS$62),IF($NP$62="Single_Point",IF(56=$NR$62,$NN$62,0),IF($NP$62="Bell_Curve",$NN$62*(56-$NR$62+1)*($NS$62-56+1)/$NU$62,$NN$62/$NT$62)),0)</f>
        <v/>
      </c>
      <c r="BI62" s="402">
        <f>IF(AND(57&gt;=$NR$62,57&lt;=$NS$62),IF($NP$62="Single_Point",IF(57=$NR$62,$NN$62,0),IF($NP$62="Bell_Curve",$NN$62*(57-$NR$62+1)*($NS$62-57+1)/$NU$62,$NN$62/$NT$62)),0)</f>
        <v/>
      </c>
      <c r="BJ62" s="402">
        <f>IF(AND(58&gt;=$NR$62,58&lt;=$NS$62),IF($NP$62="Single_Point",IF(58=$NR$62,$NN$62,0),IF($NP$62="Bell_Curve",$NN$62*(58-$NR$62+1)*($NS$62-58+1)/$NU$62,$NN$62/$NT$62)),0)</f>
        <v/>
      </c>
      <c r="BK62" s="402">
        <f>IF(AND(59&gt;=$NR$62,59&lt;=$NS$62),IF($NP$62="Single_Point",IF(59=$NR$62,$NN$62,0),IF($NP$62="Bell_Curve",$NN$62*(59-$NR$62+1)*($NS$62-59+1)/$NU$62,$NN$62/$NT$62)),0)</f>
        <v/>
      </c>
      <c r="BL62" s="402">
        <f>IF(AND(60&gt;=$NR$62,60&lt;=$NS$62),IF($NP$62="Single_Point",IF(60=$NR$62,$NN$62,0),IF($NP$62="Bell_Curve",$NN$62*(60-$NR$62+1)*($NS$62-60+1)/$NU$62,$NN$62/$NT$62)),0)</f>
        <v/>
      </c>
      <c r="BM62" s="402">
        <f>IF(AND(61&gt;=$NR$62,61&lt;=$NS$62),IF($NP$62="Single_Point",IF(61=$NR$62,$NN$62,0),IF($NP$62="Bell_Curve",$NN$62*(61-$NR$62+1)*($NS$62-61+1)/$NU$62,$NN$62/$NT$62)),0)</f>
        <v/>
      </c>
      <c r="BN62" s="402">
        <f>IF(AND(62&gt;=$NR$62,62&lt;=$NS$62),IF($NP$62="Single_Point",IF(62=$NR$62,$NN$62,0),IF($NP$62="Bell_Curve",$NN$62*(62-$NR$62+1)*($NS$62-62+1)/$NU$62,$NN$62/$NT$62)),0)</f>
        <v/>
      </c>
      <c r="BO62" s="402">
        <f>IF(AND(63&gt;=$NR$62,63&lt;=$NS$62),IF($NP$62="Single_Point",IF(63=$NR$62,$NN$62,0),IF($NP$62="Bell_Curve",$NN$62*(63-$NR$62+1)*($NS$62-63+1)/$NU$62,$NN$62/$NT$62)),0)</f>
        <v/>
      </c>
      <c r="BP62" s="402">
        <f>IF(AND(64&gt;=$NR$62,64&lt;=$NS$62),IF($NP$62="Single_Point",IF(64=$NR$62,$NN$62,0),IF($NP$62="Bell_Curve",$NN$62*(64-$NR$62+1)*($NS$62-64+1)/$NU$62,$NN$62/$NT$62)),0)</f>
        <v/>
      </c>
      <c r="BQ62" s="402">
        <f>IF(AND(65&gt;=$NR$62,65&lt;=$NS$62),IF($NP$62="Single_Point",IF(65=$NR$62,$NN$62,0),IF($NP$62="Bell_Curve",$NN$62*(65-$NR$62+1)*($NS$62-65+1)/$NU$62,$NN$62/$NT$62)),0)</f>
        <v/>
      </c>
      <c r="BR62" s="402">
        <f>IF(AND(66&gt;=$NR$62,66&lt;=$NS$62),IF($NP$62="Single_Point",IF(66=$NR$62,$NN$62,0),IF($NP$62="Bell_Curve",$NN$62*(66-$NR$62+1)*($NS$62-66+1)/$NU$62,$NN$62/$NT$62)),0)</f>
        <v/>
      </c>
      <c r="BS62" s="402">
        <f>IF(AND(67&gt;=$NR$62,67&lt;=$NS$62),IF($NP$62="Single_Point",IF(67=$NR$62,$NN$62,0),IF($NP$62="Bell_Curve",$NN$62*(67-$NR$62+1)*($NS$62-67+1)/$NU$62,$NN$62/$NT$62)),0)</f>
        <v/>
      </c>
      <c r="BT62" s="402">
        <f>IF(AND(68&gt;=$NR$62,68&lt;=$NS$62),IF($NP$62="Single_Point",IF(68=$NR$62,$NN$62,0),IF($NP$62="Bell_Curve",$NN$62*(68-$NR$62+1)*($NS$62-68+1)/$NU$62,$NN$62/$NT$62)),0)</f>
        <v/>
      </c>
      <c r="BU62" s="402">
        <f>IF(AND(69&gt;=$NR$62,69&lt;=$NS$62),IF($NP$62="Single_Point",IF(69=$NR$62,$NN$62,0),IF($NP$62="Bell_Curve",$NN$62*(69-$NR$62+1)*($NS$62-69+1)/$NU$62,$NN$62/$NT$62)),0)</f>
        <v/>
      </c>
      <c r="BV62" s="402">
        <f>IF(AND(70&gt;=$NR$62,70&lt;=$NS$62),IF($NP$62="Single_Point",IF(70=$NR$62,$NN$62,0),IF($NP$62="Bell_Curve",$NN$62*(70-$NR$62+1)*($NS$62-70+1)/$NU$62,$NN$62/$NT$62)),0)</f>
        <v/>
      </c>
      <c r="BW62" s="402">
        <f>IF(AND(71&gt;=$NR$62,71&lt;=$NS$62),IF($NP$62="Single_Point",IF(71=$NR$62,$NN$62,0),IF($NP$62="Bell_Curve",$NN$62*(71-$NR$62+1)*($NS$62-71+1)/$NU$62,$NN$62/$NT$62)),0)</f>
        <v/>
      </c>
      <c r="BX62" s="402">
        <f>IF(AND(72&gt;=$NR$62,72&lt;=$NS$62),IF($NP$62="Single_Point",IF(72=$NR$62,$NN$62,0),IF($NP$62="Bell_Curve",$NN$62*(72-$NR$62+1)*($NS$62-72+1)/$NU$62,$NN$62/$NT$62)),0)</f>
        <v/>
      </c>
      <c r="BY62" s="402">
        <f>IF(AND(73&gt;=$NR$62,73&lt;=$NS$62),IF($NP$62="Single_Point",IF(73=$NR$62,$NN$62,0),IF($NP$62="Bell_Curve",$NN$62*(73-$NR$62+1)*($NS$62-73+1)/$NU$62,$NN$62/$NT$62)),0)</f>
        <v/>
      </c>
      <c r="BZ62" s="402">
        <f>IF(AND(74&gt;=$NR$62,74&lt;=$NS$62),IF($NP$62="Single_Point",IF(74=$NR$62,$NN$62,0),IF($NP$62="Bell_Curve",$NN$62*(74-$NR$62+1)*($NS$62-74+1)/$NU$62,$NN$62/$NT$62)),0)</f>
        <v/>
      </c>
      <c r="CA62" s="402">
        <f>IF(AND(75&gt;=$NR$62,75&lt;=$NS$62),IF($NP$62="Single_Point",IF(75=$NR$62,$NN$62,0),IF($NP$62="Bell_Curve",$NN$62*(75-$NR$62+1)*($NS$62-75+1)/$NU$62,$NN$62/$NT$62)),0)</f>
        <v/>
      </c>
      <c r="CB62" s="402">
        <f>IF(AND(76&gt;=$NR$62,76&lt;=$NS$62),IF($NP$62="Single_Point",IF(76=$NR$62,$NN$62,0),IF($NP$62="Bell_Curve",$NN$62*(76-$NR$62+1)*($NS$62-76+1)/$NU$62,$NN$62/$NT$62)),0)</f>
        <v/>
      </c>
      <c r="CC62" s="402">
        <f>IF(AND(77&gt;=$NR$62,77&lt;=$NS$62),IF($NP$62="Single_Point",IF(77=$NR$62,$NN$62,0),IF($NP$62="Bell_Curve",$NN$62*(77-$NR$62+1)*($NS$62-77+1)/$NU$62,$NN$62/$NT$62)),0)</f>
        <v/>
      </c>
      <c r="CD62" s="402">
        <f>IF(AND(78&gt;=$NR$62,78&lt;=$NS$62),IF($NP$62="Single_Point",IF(78=$NR$62,$NN$62,0),IF($NP$62="Bell_Curve",$NN$62*(78-$NR$62+1)*($NS$62-78+1)/$NU$62,$NN$62/$NT$62)),0)</f>
        <v/>
      </c>
      <c r="CE62" s="402">
        <f>IF(AND(79&gt;=$NR$62,79&lt;=$NS$62),IF($NP$62="Single_Point",IF(79=$NR$62,$NN$62,0),IF($NP$62="Bell_Curve",$NN$62*(79-$NR$62+1)*($NS$62-79+1)/$NU$62,$NN$62/$NT$62)),0)</f>
        <v/>
      </c>
      <c r="CF62" s="402">
        <f>IF(AND(80&gt;=$NR$62,80&lt;=$NS$62),IF($NP$62="Single_Point",IF(80=$NR$62,$NN$62,0),IF($NP$62="Bell_Curve",$NN$62*(80-$NR$62+1)*($NS$62-80+1)/$NU$62,$NN$62/$NT$62)),0)</f>
        <v/>
      </c>
      <c r="CG62" s="402">
        <f>IF(AND(81&gt;=$NR$62,81&lt;=$NS$62),IF($NP$62="Single_Point",IF(81=$NR$62,$NN$62,0),IF($NP$62="Bell_Curve",$NN$62*(81-$NR$62+1)*($NS$62-81+1)/$NU$62,$NN$62/$NT$62)),0)</f>
        <v/>
      </c>
      <c r="CH62" s="402">
        <f>IF(AND(82&gt;=$NR$62,82&lt;=$NS$62),IF($NP$62="Single_Point",IF(82=$NR$62,$NN$62,0),IF($NP$62="Bell_Curve",$NN$62*(82-$NR$62+1)*($NS$62-82+1)/$NU$62,$NN$62/$NT$62)),0)</f>
        <v/>
      </c>
      <c r="CI62" s="402">
        <f>IF(AND(83&gt;=$NR$62,83&lt;=$NS$62),IF($NP$62="Single_Point",IF(83=$NR$62,$NN$62,0),IF($NP$62="Bell_Curve",$NN$62*(83-$NR$62+1)*($NS$62-83+1)/$NU$62,$NN$62/$NT$62)),0)</f>
        <v/>
      </c>
      <c r="CJ62" s="402">
        <f>IF(AND(84&gt;=$NR$62,84&lt;=$NS$62),IF($NP$62="Single_Point",IF(84=$NR$62,$NN$62,0),IF($NP$62="Bell_Curve",$NN$62*(84-$NR$62+1)*($NS$62-84+1)/$NU$62,$NN$62/$NT$62)),0)</f>
        <v/>
      </c>
      <c r="CK62" s="402">
        <f>IF(AND(85&gt;=$NR$62,85&lt;=$NS$62),IF($NP$62="Single_Point",IF(85=$NR$62,$NN$62,0),IF($NP$62="Bell_Curve",$NN$62*(85-$NR$62+1)*($NS$62-85+1)/$NU$62,$NN$62/$NT$62)),0)</f>
        <v/>
      </c>
      <c r="CL62" s="402">
        <f>IF(AND(86&gt;=$NR$62,86&lt;=$NS$62),IF($NP$62="Single_Point",IF(86=$NR$62,$NN$62,0),IF($NP$62="Bell_Curve",$NN$62*(86-$NR$62+1)*($NS$62-86+1)/$NU$62,$NN$62/$NT$62)),0)</f>
        <v/>
      </c>
      <c r="CM62" s="402">
        <f>IF(AND(87&gt;=$NR$62,87&lt;=$NS$62),IF($NP$62="Single_Point",IF(87=$NR$62,$NN$62,0),IF($NP$62="Bell_Curve",$NN$62*(87-$NR$62+1)*($NS$62-87+1)/$NU$62,$NN$62/$NT$62)),0)</f>
        <v/>
      </c>
      <c r="CN62" s="402">
        <f>IF(AND(88&gt;=$NR$62,88&lt;=$NS$62),IF($NP$62="Single_Point",IF(88=$NR$62,$NN$62,0),IF($NP$62="Bell_Curve",$NN$62*(88-$NR$62+1)*($NS$62-88+1)/$NU$62,$NN$62/$NT$62)),0)</f>
        <v/>
      </c>
      <c r="CO62" s="402">
        <f>IF(AND(89&gt;=$NR$62,89&lt;=$NS$62),IF($NP$62="Single_Point",IF(89=$NR$62,$NN$62,0),IF($NP$62="Bell_Curve",$NN$62*(89-$NR$62+1)*($NS$62-89+1)/$NU$62,$NN$62/$NT$62)),0)</f>
        <v/>
      </c>
      <c r="CP62" s="402">
        <f>IF(AND(90&gt;=$NR$62,90&lt;=$NS$62),IF($NP$62="Single_Point",IF(90=$NR$62,$NN$62,0),IF($NP$62="Bell_Curve",$NN$62*(90-$NR$62+1)*($NS$62-90+1)/$NU$62,$NN$62/$NT$62)),0)</f>
        <v/>
      </c>
      <c r="CQ62" s="402">
        <f>IF(AND(91&gt;=$NR$62,91&lt;=$NS$62),IF($NP$62="Single_Point",IF(91=$NR$62,$NN$62,0),IF($NP$62="Bell_Curve",$NN$62*(91-$NR$62+1)*($NS$62-91+1)/$NU$62,$NN$62/$NT$62)),0)</f>
        <v/>
      </c>
      <c r="CR62" s="402">
        <f>IF(AND(92&gt;=$NR$62,92&lt;=$NS$62),IF($NP$62="Single_Point",IF(92=$NR$62,$NN$62,0),IF($NP$62="Bell_Curve",$NN$62*(92-$NR$62+1)*($NS$62-92+1)/$NU$62,$NN$62/$NT$62)),0)</f>
        <v/>
      </c>
      <c r="CS62" s="402">
        <f>IF(AND(93&gt;=$NR$62,93&lt;=$NS$62),IF($NP$62="Single_Point",IF(93=$NR$62,$NN$62,0),IF($NP$62="Bell_Curve",$NN$62*(93-$NR$62+1)*($NS$62-93+1)/$NU$62,$NN$62/$NT$62)),0)</f>
        <v/>
      </c>
      <c r="CT62" s="402">
        <f>IF(AND(94&gt;=$NR$62,94&lt;=$NS$62),IF($NP$62="Single_Point",IF(94=$NR$62,$NN$62,0),IF($NP$62="Bell_Curve",$NN$62*(94-$NR$62+1)*($NS$62-94+1)/$NU$62,$NN$62/$NT$62)),0)</f>
        <v/>
      </c>
      <c r="CU62" s="402">
        <f>IF(AND(95&gt;=$NR$62,95&lt;=$NS$62),IF($NP$62="Single_Point",IF(95=$NR$62,$NN$62,0),IF($NP$62="Bell_Curve",$NN$62*(95-$NR$62+1)*($NS$62-95+1)/$NU$62,$NN$62/$NT$62)),0)</f>
        <v/>
      </c>
      <c r="CV62" s="402">
        <f>IF(AND(96&gt;=$NR$62,96&lt;=$NS$62),IF($NP$62="Single_Point",IF(96=$NR$62,$NN$62,0),IF($NP$62="Bell_Curve",$NN$62*(96-$NR$62+1)*($NS$62-96+1)/$NU$62,$NN$62/$NT$62)),0)</f>
        <v/>
      </c>
      <c r="CW62" s="402">
        <f>IF(AND(97&gt;=$NR$62,97&lt;=$NS$62),IF($NP$62="Single_Point",IF(97=$NR$62,$NN$62,0),IF($NP$62="Bell_Curve",$NN$62*(97-$NR$62+1)*($NS$62-97+1)/$NU$62,$NN$62/$NT$62)),0)</f>
        <v/>
      </c>
      <c r="CX62" s="402">
        <f>IF(AND(98&gt;=$NR$62,98&lt;=$NS$62),IF($NP$62="Single_Point",IF(98=$NR$62,$NN$62,0),IF($NP$62="Bell_Curve",$NN$62*(98-$NR$62+1)*($NS$62-98+1)/$NU$62,$NN$62/$NT$62)),0)</f>
        <v/>
      </c>
      <c r="CY62" s="402">
        <f>IF(AND(99&gt;=$NR$62,99&lt;=$NS$62),IF($NP$62="Single_Point",IF(99=$NR$62,$NN$62,0),IF($NP$62="Bell_Curve",$NN$62*(99-$NR$62+1)*($NS$62-99+1)/$NU$62,$NN$62/$NT$62)),0)</f>
        <v/>
      </c>
      <c r="CZ62" s="402">
        <f>IF(AND(100&gt;=$NR$62,100&lt;=$NS$62),IF($NP$62="Single_Point",IF(100=$NR$62,$NN$62,0),IF($NP$62="Bell_Curve",$NN$62*(100-$NR$62+1)*($NS$62-100+1)/$NU$62,$NN$62/$NT$62)),0)</f>
        <v/>
      </c>
      <c r="DA62" s="402">
        <f>IF(AND(101&gt;=$NR$62,101&lt;=$NS$62),IF($NP$62="Single_Point",IF(101=$NR$62,$NN$62,0),IF($NP$62="Bell_Curve",$NN$62*(101-$NR$62+1)*($NS$62-101+1)/$NU$62,$NN$62/$NT$62)),0)</f>
        <v/>
      </c>
      <c r="DB62" s="402">
        <f>IF(AND(102&gt;=$NR$62,102&lt;=$NS$62),IF($NP$62="Single_Point",IF(102=$NR$62,$NN$62,0),IF($NP$62="Bell_Curve",$NN$62*(102-$NR$62+1)*($NS$62-102+1)/$NU$62,$NN$62/$NT$62)),0)</f>
        <v/>
      </c>
      <c r="DC62" s="402">
        <f>IF(AND(103&gt;=$NR$62,103&lt;=$NS$62),IF($NP$62="Single_Point",IF(103=$NR$62,$NN$62,0),IF($NP$62="Bell_Curve",$NN$62*(103-$NR$62+1)*($NS$62-103+1)/$NU$62,$NN$62/$NT$62)),0)</f>
        <v/>
      </c>
      <c r="DD62" s="402">
        <f>IF(AND(104&gt;=$NR$62,104&lt;=$NS$62),IF($NP$62="Single_Point",IF(104=$NR$62,$NN$62,0),IF($NP$62="Bell_Curve",$NN$62*(104-$NR$62+1)*($NS$62-104+1)/$NU$62,$NN$62/$NT$62)),0)</f>
        <v/>
      </c>
      <c r="DE62" s="402">
        <f>IF(AND(105&gt;=$NR$62,105&lt;=$NS$62),IF($NP$62="Single_Point",IF(105=$NR$62,$NN$62,0),IF($NP$62="Bell_Curve",$NN$62*(105-$NR$62+1)*($NS$62-105+1)/$NU$62,$NN$62/$NT$62)),0)</f>
        <v/>
      </c>
      <c r="DF62" s="402">
        <f>IF(AND(106&gt;=$NR$62,106&lt;=$NS$62),IF($NP$62="Single_Point",IF(106=$NR$62,$NN$62,0),IF($NP$62="Bell_Curve",$NN$62*(106-$NR$62+1)*($NS$62-106+1)/$NU$62,$NN$62/$NT$62)),0)</f>
        <v/>
      </c>
      <c r="DG62" s="402">
        <f>IF(AND(107&gt;=$NR$62,107&lt;=$NS$62),IF($NP$62="Single_Point",IF(107=$NR$62,$NN$62,0),IF($NP$62="Bell_Curve",$NN$62*(107-$NR$62+1)*($NS$62-107+1)/$NU$62,$NN$62/$NT$62)),0)</f>
        <v/>
      </c>
      <c r="DH62" s="402">
        <f>IF(AND(108&gt;=$NR$62,108&lt;=$NS$62),IF($NP$62="Single_Point",IF(108=$NR$62,$NN$62,0),IF($NP$62="Bell_Curve",$NN$62*(108-$NR$62+1)*($NS$62-108+1)/$NU$62,$NN$62/$NT$62)),0)</f>
        <v/>
      </c>
      <c r="DI62" s="402">
        <f>IF(AND(109&gt;=$NR$62,109&lt;=$NS$62),IF($NP$62="Single_Point",IF(109=$NR$62,$NN$62,0),IF($NP$62="Bell_Curve",$NN$62*(109-$NR$62+1)*($NS$62-109+1)/$NU$62,$NN$62/$NT$62)),0)</f>
        <v/>
      </c>
      <c r="DJ62" s="402">
        <f>IF(AND(110&gt;=$NR$62,110&lt;=$NS$62),IF($NP$62="Single_Point",IF(110=$NR$62,$NN$62,0),IF($NP$62="Bell_Curve",$NN$62*(110-$NR$62+1)*($NS$62-110+1)/$NU$62,$NN$62/$NT$62)),0)</f>
        <v/>
      </c>
      <c r="DK62" s="402">
        <f>IF(AND(111&gt;=$NR$62,111&lt;=$NS$62),IF($NP$62="Single_Point",IF(111=$NR$62,$NN$62,0),IF($NP$62="Bell_Curve",$NN$62*(111-$NR$62+1)*($NS$62-111+1)/$NU$62,$NN$62/$NT$62)),0)</f>
        <v/>
      </c>
      <c r="DL62" s="402">
        <f>IF(AND(112&gt;=$NR$62,112&lt;=$NS$62),IF($NP$62="Single_Point",IF(112=$NR$62,$NN$62,0),IF($NP$62="Bell_Curve",$NN$62*(112-$NR$62+1)*($NS$62-112+1)/$NU$62,$NN$62/$NT$62)),0)</f>
        <v/>
      </c>
      <c r="DM62" s="402">
        <f>IF(AND(113&gt;=$NR$62,113&lt;=$NS$62),IF($NP$62="Single_Point",IF(113=$NR$62,$NN$62,0),IF($NP$62="Bell_Curve",$NN$62*(113-$NR$62+1)*($NS$62-113+1)/$NU$62,$NN$62/$NT$62)),0)</f>
        <v/>
      </c>
      <c r="DN62" s="402">
        <f>IF(AND(114&gt;=$NR$62,114&lt;=$NS$62),IF($NP$62="Single_Point",IF(114=$NR$62,$NN$62,0),IF($NP$62="Bell_Curve",$NN$62*(114-$NR$62+1)*($NS$62-114+1)/$NU$62,$NN$62/$NT$62)),0)</f>
        <v/>
      </c>
      <c r="DO62" s="402">
        <f>IF(AND(115&gt;=$NR$62,115&lt;=$NS$62),IF($NP$62="Single_Point",IF(115=$NR$62,$NN$62,0),IF($NP$62="Bell_Curve",$NN$62*(115-$NR$62+1)*($NS$62-115+1)/$NU$62,$NN$62/$NT$62)),0)</f>
        <v/>
      </c>
      <c r="DP62" s="402">
        <f>IF(AND(116&gt;=$NR$62,116&lt;=$NS$62),IF($NP$62="Single_Point",IF(116=$NR$62,$NN$62,0),IF($NP$62="Bell_Curve",$NN$62*(116-$NR$62+1)*($NS$62-116+1)/$NU$62,$NN$62/$NT$62)),0)</f>
        <v/>
      </c>
      <c r="DQ62" s="402">
        <f>IF(AND(117&gt;=$NR$62,117&lt;=$NS$62),IF($NP$62="Single_Point",IF(117=$NR$62,$NN$62,0),IF($NP$62="Bell_Curve",$NN$62*(117-$NR$62+1)*($NS$62-117+1)/$NU$62,$NN$62/$NT$62)),0)</f>
        <v/>
      </c>
      <c r="DR62" s="402">
        <f>IF(AND(118&gt;=$NR$62,118&lt;=$NS$62),IF($NP$62="Single_Point",IF(118=$NR$62,$NN$62,0),IF($NP$62="Bell_Curve",$NN$62*(118-$NR$62+1)*($NS$62-118+1)/$NU$62,$NN$62/$NT$62)),0)</f>
        <v/>
      </c>
      <c r="DS62" s="402">
        <f>IF(AND(119&gt;=$NR$62,119&lt;=$NS$62),IF($NP$62="Single_Point",IF(119=$NR$62,$NN$62,0),IF($NP$62="Bell_Curve",$NN$62*(119-$NR$62+1)*($NS$62-119+1)/$NU$62,$NN$62/$NT$62)),0)</f>
        <v/>
      </c>
      <c r="DT62" s="402">
        <f>IF(AND(120&gt;=$NR$62,120&lt;=$NS$62),IF($NP$62="Single_Point",IF(120=$NR$62,$NN$62,0),IF($NP$62="Bell_Curve",$NN$62*(120-$NR$62+1)*($NS$62-120+1)/$NU$62,$NN$62/$NT$62)),0)</f>
        <v/>
      </c>
      <c r="DU62" s="402">
        <f>IF(AND(121&gt;=$NR$62,121&lt;=$NS$62),IF($NP$62="Single_Point",IF(121=$NR$62,$NN$62,0),IF($NP$62="Bell_Curve",$NN$62*(121-$NR$62+1)*($NS$62-121+1)/$NU$62,$NN$62/$NT$62)),0)</f>
        <v/>
      </c>
      <c r="DV62" s="402">
        <f>IF(AND(122&gt;=$NR$62,122&lt;=$NS$62),IF($NP$62="Single_Point",IF(122=$NR$62,$NN$62,0),IF($NP$62="Bell_Curve",$NN$62*(122-$NR$62+1)*($NS$62-122+1)/$NU$62,$NN$62/$NT$62)),0)</f>
        <v/>
      </c>
      <c r="DW62" s="402">
        <f>IF(AND(123&gt;=$NR$62,123&lt;=$NS$62),IF($NP$62="Single_Point",IF(123=$NR$62,$NN$62,0),IF($NP$62="Bell_Curve",$NN$62*(123-$NR$62+1)*($NS$62-123+1)/$NU$62,$NN$62/$NT$62)),0)</f>
        <v/>
      </c>
      <c r="DX62" s="402">
        <f>IF(AND(124&gt;=$NR$62,124&lt;=$NS$62),IF($NP$62="Single_Point",IF(124=$NR$62,$NN$62,0),IF($NP$62="Bell_Curve",$NN$62*(124-$NR$62+1)*($NS$62-124+1)/$NU$62,$NN$62/$NT$62)),0)</f>
        <v/>
      </c>
      <c r="DY62" s="402">
        <f>IF(AND(125&gt;=$NR$62,125&lt;=$NS$62),IF($NP$62="Single_Point",IF(125=$NR$62,$NN$62,0),IF($NP$62="Bell_Curve",$NN$62*(125-$NR$62+1)*($NS$62-125+1)/$NU$62,$NN$62/$NT$62)),0)</f>
        <v/>
      </c>
      <c r="DZ62" s="402">
        <f>IF(AND(126&gt;=$NR$62,126&lt;=$NS$62),IF($NP$62="Single_Point",IF(126=$NR$62,$NN$62,0),IF($NP$62="Bell_Curve",$NN$62*(126-$NR$62+1)*($NS$62-126+1)/$NU$62,$NN$62/$NT$62)),0)</f>
        <v/>
      </c>
      <c r="EA62" s="402">
        <f>IF(AND(127&gt;=$NR$62,127&lt;=$NS$62),IF($NP$62="Single_Point",IF(127=$NR$62,$NN$62,0),IF($NP$62="Bell_Curve",$NN$62*(127-$NR$62+1)*($NS$62-127+1)/$NU$62,$NN$62/$NT$62)),0)</f>
        <v/>
      </c>
      <c r="EB62" s="402">
        <f>IF(AND(128&gt;=$NR$62,128&lt;=$NS$62),IF($NP$62="Single_Point",IF(128=$NR$62,$NN$62,0),IF($NP$62="Bell_Curve",$NN$62*(128-$NR$62+1)*($NS$62-128+1)/$NU$62,$NN$62/$NT$62)),0)</f>
        <v/>
      </c>
      <c r="EC62" s="402">
        <f>IF(AND(129&gt;=$NR$62,129&lt;=$NS$62),IF($NP$62="Single_Point",IF(129=$NR$62,$NN$62,0),IF($NP$62="Bell_Curve",$NN$62*(129-$NR$62+1)*($NS$62-129+1)/$NU$62,$NN$62/$NT$62)),0)</f>
        <v/>
      </c>
      <c r="ED62" s="402">
        <f>IF(AND(130&gt;=$NR$62,130&lt;=$NS$62),IF($NP$62="Single_Point",IF(130=$NR$62,$NN$62,0),IF($NP$62="Bell_Curve",$NN$62*(130-$NR$62+1)*($NS$62-130+1)/$NU$62,$NN$62/$NT$62)),0)</f>
        <v/>
      </c>
      <c r="EE62" s="402">
        <f>IF(AND(131&gt;=$NR$62,131&lt;=$NS$62),IF($NP$62="Single_Point",IF(131=$NR$62,$NN$62,0),IF($NP$62="Bell_Curve",$NN$62*(131-$NR$62+1)*($NS$62-131+1)/$NU$62,$NN$62/$NT$62)),0)</f>
        <v/>
      </c>
      <c r="EF62" s="402">
        <f>IF(AND(132&gt;=$NR$62,132&lt;=$NS$62),IF($NP$62="Single_Point",IF(132=$NR$62,$NN$62,0),IF($NP$62="Bell_Curve",$NN$62*(132-$NR$62+1)*($NS$62-132+1)/$NU$62,$NN$62/$NT$62)),0)</f>
        <v/>
      </c>
      <c r="EG62" s="402">
        <f>IF(AND(133&gt;=$NR$62,133&lt;=$NS$62),IF($NP$62="Single_Point",IF(133=$NR$62,$NN$62,0),IF($NP$62="Bell_Curve",$NN$62*(133-$NR$62+1)*($NS$62-133+1)/$NU$62,$NN$62/$NT$62)),0)</f>
        <v/>
      </c>
      <c r="EH62" s="402">
        <f>IF(AND(134&gt;=$NR$62,134&lt;=$NS$62),IF($NP$62="Single_Point",IF(134=$NR$62,$NN$62,0),IF($NP$62="Bell_Curve",$NN$62*(134-$NR$62+1)*($NS$62-134+1)/$NU$62,$NN$62/$NT$62)),0)</f>
        <v/>
      </c>
      <c r="EI62" s="402">
        <f>IF(AND(135&gt;=$NR$62,135&lt;=$NS$62),IF($NP$62="Single_Point",IF(135=$NR$62,$NN$62,0),IF($NP$62="Bell_Curve",$NN$62*(135-$NR$62+1)*($NS$62-135+1)/$NU$62,$NN$62/$NT$62)),0)</f>
        <v/>
      </c>
      <c r="EJ62" s="402">
        <f>IF(AND(136&gt;=$NR$62,136&lt;=$NS$62),IF($NP$62="Single_Point",IF(136=$NR$62,$NN$62,0),IF($NP$62="Bell_Curve",$NN$62*(136-$NR$62+1)*($NS$62-136+1)/$NU$62,$NN$62/$NT$62)),0)</f>
        <v/>
      </c>
      <c r="EK62" s="402">
        <f>IF(AND(137&gt;=$NR$62,137&lt;=$NS$62),IF($NP$62="Single_Point",IF(137=$NR$62,$NN$62,0),IF($NP$62="Bell_Curve",$NN$62*(137-$NR$62+1)*($NS$62-137+1)/$NU$62,$NN$62/$NT$62)),0)</f>
        <v/>
      </c>
      <c r="EL62" s="402">
        <f>IF(AND(138&gt;=$NR$62,138&lt;=$NS$62),IF($NP$62="Single_Point",IF(138=$NR$62,$NN$62,0),IF($NP$62="Bell_Curve",$NN$62*(138-$NR$62+1)*($NS$62-138+1)/$NU$62,$NN$62/$NT$62)),0)</f>
        <v/>
      </c>
      <c r="EM62" s="402">
        <f>IF(AND(139&gt;=$NR$62,139&lt;=$NS$62),IF($NP$62="Single_Point",IF(139=$NR$62,$NN$62,0),IF($NP$62="Bell_Curve",$NN$62*(139-$NR$62+1)*($NS$62-139+1)/$NU$62,$NN$62/$NT$62)),0)</f>
        <v/>
      </c>
      <c r="EN62" s="402">
        <f>IF(AND(140&gt;=$NR$62,140&lt;=$NS$62),IF($NP$62="Single_Point",IF(140=$NR$62,$NN$62,0),IF($NP$62="Bell_Curve",$NN$62*(140-$NR$62+1)*($NS$62-140+1)/$NU$62,$NN$62/$NT$62)),0)</f>
        <v/>
      </c>
      <c r="EO62" s="402">
        <f>IF(AND(141&gt;=$NR$62,141&lt;=$NS$62),IF($NP$62="Single_Point",IF(141=$NR$62,$NN$62,0),IF($NP$62="Bell_Curve",$NN$62*(141-$NR$62+1)*($NS$62-141+1)/$NU$62,$NN$62/$NT$62)),0)</f>
        <v/>
      </c>
      <c r="EP62" s="402">
        <f>IF(AND(142&gt;=$NR$62,142&lt;=$NS$62),IF($NP$62="Single_Point",IF(142=$NR$62,$NN$62,0),IF($NP$62="Bell_Curve",$NN$62*(142-$NR$62+1)*($NS$62-142+1)/$NU$62,$NN$62/$NT$62)),0)</f>
        <v/>
      </c>
      <c r="EQ62" s="402">
        <f>IF(AND(143&gt;=$NR$62,143&lt;=$NS$62),IF($NP$62="Single_Point",IF(143=$NR$62,$NN$62,0),IF($NP$62="Bell_Curve",$NN$62*(143-$NR$62+1)*($NS$62-143+1)/$NU$62,$NN$62/$NT$62)),0)</f>
        <v/>
      </c>
      <c r="ER62" s="402">
        <f>IF(AND(144&gt;=$NR$62,144&lt;=$NS$62),IF($NP$62="Single_Point",IF(144=$NR$62,$NN$62,0),IF($NP$62="Bell_Curve",$NN$62*(144-$NR$62+1)*($NS$62-144+1)/$NU$62,$NN$62/$NT$62)),0)</f>
        <v/>
      </c>
      <c r="ES62" s="402">
        <f>IF(AND(145&gt;=$NR$62,145&lt;=$NS$62),IF($NP$62="Single_Point",IF(145=$NR$62,$NN$62,0),IF($NP$62="Bell_Curve",$NN$62*(145-$NR$62+1)*($NS$62-145+1)/$NU$62,$NN$62/$NT$62)),0)</f>
        <v/>
      </c>
      <c r="ET62" s="402">
        <f>IF(AND(146&gt;=$NR$62,146&lt;=$NS$62),IF($NP$62="Single_Point",IF(146=$NR$62,$NN$62,0),IF($NP$62="Bell_Curve",$NN$62*(146-$NR$62+1)*($NS$62-146+1)/$NU$62,$NN$62/$NT$62)),0)</f>
        <v/>
      </c>
      <c r="EU62" s="402">
        <f>IF(AND(147&gt;=$NR$62,147&lt;=$NS$62),IF($NP$62="Single_Point",IF(147=$NR$62,$NN$62,0),IF($NP$62="Bell_Curve",$NN$62*(147-$NR$62+1)*($NS$62-147+1)/$NU$62,$NN$62/$NT$62)),0)</f>
        <v/>
      </c>
      <c r="EV62" s="402">
        <f>IF(AND(148&gt;=$NR$62,148&lt;=$NS$62),IF($NP$62="Single_Point",IF(148=$NR$62,$NN$62,0),IF($NP$62="Bell_Curve",$NN$62*(148-$NR$62+1)*($NS$62-148+1)/$NU$62,$NN$62/$NT$62)),0)</f>
        <v/>
      </c>
      <c r="EW62" s="402">
        <f>IF(AND(149&gt;=$NR$62,149&lt;=$NS$62),IF($NP$62="Single_Point",IF(149=$NR$62,$NN$62,0),IF($NP$62="Bell_Curve",$NN$62*(149-$NR$62+1)*($NS$62-149+1)/$NU$62,$NN$62/$NT$62)),0)</f>
        <v/>
      </c>
      <c r="EX62" s="402">
        <f>IF(AND(150&gt;=$NR$62,150&lt;=$NS$62),IF($NP$62="Single_Point",IF(150=$NR$62,$NN$62,0),IF($NP$62="Bell_Curve",$NN$62*(150-$NR$62+1)*($NS$62-150+1)/$NU$62,$NN$62/$NT$62)),0)</f>
        <v/>
      </c>
      <c r="EY62" s="402">
        <f>IF(AND(151&gt;=$NR$62,151&lt;=$NS$62),IF($NP$62="Single_Point",IF(151=$NR$62,$NN$62,0),IF($NP$62="Bell_Curve",$NN$62*(151-$NR$62+1)*($NS$62-151+1)/$NU$62,$NN$62/$NT$62)),0)</f>
        <v/>
      </c>
      <c r="EZ62" s="402">
        <f>IF(AND(152&gt;=$NR$62,152&lt;=$NS$62),IF($NP$62="Single_Point",IF(152=$NR$62,$NN$62,0),IF($NP$62="Bell_Curve",$NN$62*(152-$NR$62+1)*($NS$62-152+1)/$NU$62,$NN$62/$NT$62)),0)</f>
        <v/>
      </c>
      <c r="FA62" s="402">
        <f>IF(AND(153&gt;=$NR$62,153&lt;=$NS$62),IF($NP$62="Single_Point",IF(153=$NR$62,$NN$62,0),IF($NP$62="Bell_Curve",$NN$62*(153-$NR$62+1)*($NS$62-153+1)/$NU$62,$NN$62/$NT$62)),0)</f>
        <v/>
      </c>
      <c r="FB62" s="402">
        <f>IF(AND(154&gt;=$NR$62,154&lt;=$NS$62),IF($NP$62="Single_Point",IF(154=$NR$62,$NN$62,0),IF($NP$62="Bell_Curve",$NN$62*(154-$NR$62+1)*($NS$62-154+1)/$NU$62,$NN$62/$NT$62)),0)</f>
        <v/>
      </c>
      <c r="FC62" s="402">
        <f>IF(AND(155&gt;=$NR$62,155&lt;=$NS$62),IF($NP$62="Single_Point",IF(155=$NR$62,$NN$62,0),IF($NP$62="Bell_Curve",$NN$62*(155-$NR$62+1)*($NS$62-155+1)/$NU$62,$NN$62/$NT$62)),0)</f>
        <v/>
      </c>
      <c r="FD62" s="402">
        <f>IF(AND(156&gt;=$NR$62,156&lt;=$NS$62),IF($NP$62="Single_Point",IF(156=$NR$62,$NN$62,0),IF($NP$62="Bell_Curve",$NN$62*(156-$NR$62+1)*($NS$62-156+1)/$NU$62,$NN$62/$NT$62)),0)</f>
        <v/>
      </c>
      <c r="FE62" s="402">
        <f>IF(AND(157&gt;=$NR$62,157&lt;=$NS$62),IF($NP$62="Single_Point",IF(157=$NR$62,$NN$62,0),IF($NP$62="Bell_Curve",$NN$62*(157-$NR$62+1)*($NS$62-157+1)/$NU$62,$NN$62/$NT$62)),0)</f>
        <v/>
      </c>
      <c r="FF62" s="402">
        <f>IF(AND(158&gt;=$NR$62,158&lt;=$NS$62),IF($NP$62="Single_Point",IF(158=$NR$62,$NN$62,0),IF($NP$62="Bell_Curve",$NN$62*(158-$NR$62+1)*($NS$62-158+1)/$NU$62,$NN$62/$NT$62)),0)</f>
        <v/>
      </c>
      <c r="FG62" s="402">
        <f>IF(AND(159&gt;=$NR$62,159&lt;=$NS$62),IF($NP$62="Single_Point",IF(159=$NR$62,$NN$62,0),IF($NP$62="Bell_Curve",$NN$62*(159-$NR$62+1)*($NS$62-159+1)/$NU$62,$NN$62/$NT$62)),0)</f>
        <v/>
      </c>
      <c r="FH62" s="402">
        <f>IF(AND(160&gt;=$NR$62,160&lt;=$NS$62),IF($NP$62="Single_Point",IF(160=$NR$62,$NN$62,0),IF($NP$62="Bell_Curve",$NN$62*(160-$NR$62+1)*($NS$62-160+1)/$NU$62,$NN$62/$NT$62)),0)</f>
        <v/>
      </c>
      <c r="FI62" s="402">
        <f>IF(AND(161&gt;=$NR$62,161&lt;=$NS$62),IF($NP$62="Single_Point",IF(161=$NR$62,$NN$62,0),IF($NP$62="Bell_Curve",$NN$62*(161-$NR$62+1)*($NS$62-161+1)/$NU$62,$NN$62/$NT$62)),0)</f>
        <v/>
      </c>
      <c r="FJ62" s="402">
        <f>IF(AND(162&gt;=$NR$62,162&lt;=$NS$62),IF($NP$62="Single_Point",IF(162=$NR$62,$NN$62,0),IF($NP$62="Bell_Curve",$NN$62*(162-$NR$62+1)*($NS$62-162+1)/$NU$62,$NN$62/$NT$62)),0)</f>
        <v/>
      </c>
      <c r="FK62" s="402">
        <f>IF(AND(163&gt;=$NR$62,163&lt;=$NS$62),IF($NP$62="Single_Point",IF(163=$NR$62,$NN$62,0),IF($NP$62="Bell_Curve",$NN$62*(163-$NR$62+1)*($NS$62-163+1)/$NU$62,$NN$62/$NT$62)),0)</f>
        <v/>
      </c>
      <c r="FL62" s="402">
        <f>IF(AND(164&gt;=$NR$62,164&lt;=$NS$62),IF($NP$62="Single_Point",IF(164=$NR$62,$NN$62,0),IF($NP$62="Bell_Curve",$NN$62*(164-$NR$62+1)*($NS$62-164+1)/$NU$62,$NN$62/$NT$62)),0)</f>
        <v/>
      </c>
      <c r="FM62" s="402">
        <f>IF(AND(165&gt;=$NR$62,165&lt;=$NS$62),IF($NP$62="Single_Point",IF(165=$NR$62,$NN$62,0),IF($NP$62="Bell_Curve",$NN$62*(165-$NR$62+1)*($NS$62-165+1)/$NU$62,$NN$62/$NT$62)),0)</f>
        <v/>
      </c>
      <c r="FN62" s="402">
        <f>IF(AND(166&gt;=$NR$62,166&lt;=$NS$62),IF($NP$62="Single_Point",IF(166=$NR$62,$NN$62,0),IF($NP$62="Bell_Curve",$NN$62*(166-$NR$62+1)*($NS$62-166+1)/$NU$62,$NN$62/$NT$62)),0)</f>
        <v/>
      </c>
      <c r="FO62" s="402">
        <f>IF(AND(167&gt;=$NR$62,167&lt;=$NS$62),IF($NP$62="Single_Point",IF(167=$NR$62,$NN$62,0),IF($NP$62="Bell_Curve",$NN$62*(167-$NR$62+1)*($NS$62-167+1)/$NU$62,$NN$62/$NT$62)),0)</f>
        <v/>
      </c>
      <c r="FP62" s="402">
        <f>IF(AND(168&gt;=$NR$62,168&lt;=$NS$62),IF($NP$62="Single_Point",IF(168=$NR$62,$NN$62,0),IF($NP$62="Bell_Curve",$NN$62*(168-$NR$62+1)*($NS$62-168+1)/$NU$62,$NN$62/$NT$62)),0)</f>
        <v/>
      </c>
      <c r="FQ62" s="402">
        <f>IF(AND(169&gt;=$NR$62,169&lt;=$NS$62),IF($NP$62="Single_Point",IF(169=$NR$62,$NN$62,0),IF($NP$62="Bell_Curve",$NN$62*(169-$NR$62+1)*($NS$62-169+1)/$NU$62,$NN$62/$NT$62)),0)</f>
        <v/>
      </c>
      <c r="FR62" s="402">
        <f>IF(AND(170&gt;=$NR$62,170&lt;=$NS$62),IF($NP$62="Single_Point",IF(170=$NR$62,$NN$62,0),IF($NP$62="Bell_Curve",$NN$62*(170-$NR$62+1)*($NS$62-170+1)/$NU$62,$NN$62/$NT$62)),0)</f>
        <v/>
      </c>
      <c r="FS62" s="402">
        <f>IF(AND(171&gt;=$NR$62,171&lt;=$NS$62),IF($NP$62="Single_Point",IF(171=$NR$62,$NN$62,0),IF($NP$62="Bell_Curve",$NN$62*(171-$NR$62+1)*($NS$62-171+1)/$NU$62,$NN$62/$NT$62)),0)</f>
        <v/>
      </c>
      <c r="FT62" s="402">
        <f>IF(AND(172&gt;=$NR$62,172&lt;=$NS$62),IF($NP$62="Single_Point",IF(172=$NR$62,$NN$62,0),IF($NP$62="Bell_Curve",$NN$62*(172-$NR$62+1)*($NS$62-172+1)/$NU$62,$NN$62/$NT$62)),0)</f>
        <v/>
      </c>
      <c r="FU62" s="402">
        <f>IF(AND(173&gt;=$NR$62,173&lt;=$NS$62),IF($NP$62="Single_Point",IF(173=$NR$62,$NN$62,0),IF($NP$62="Bell_Curve",$NN$62*(173-$NR$62+1)*($NS$62-173+1)/$NU$62,$NN$62/$NT$62)),0)</f>
        <v/>
      </c>
      <c r="FV62" s="402">
        <f>IF(AND(174&gt;=$NR$62,174&lt;=$NS$62),IF($NP$62="Single_Point",IF(174=$NR$62,$NN$62,0),IF($NP$62="Bell_Curve",$NN$62*(174-$NR$62+1)*($NS$62-174+1)/$NU$62,$NN$62/$NT$62)),0)</f>
        <v/>
      </c>
      <c r="FW62" s="402">
        <f>IF(AND(175&gt;=$NR$62,175&lt;=$NS$62),IF($NP$62="Single_Point",IF(175=$NR$62,$NN$62,0),IF($NP$62="Bell_Curve",$NN$62*(175-$NR$62+1)*($NS$62-175+1)/$NU$62,$NN$62/$NT$62)),0)</f>
        <v/>
      </c>
      <c r="FX62" s="402">
        <f>IF(AND(176&gt;=$NR$62,176&lt;=$NS$62),IF($NP$62="Single_Point",IF(176=$NR$62,$NN$62,0),IF($NP$62="Bell_Curve",$NN$62*(176-$NR$62+1)*($NS$62-176+1)/$NU$62,$NN$62/$NT$62)),0)</f>
        <v/>
      </c>
      <c r="FY62" s="402">
        <f>IF(AND(177&gt;=$NR$62,177&lt;=$NS$62),IF($NP$62="Single_Point",IF(177=$NR$62,$NN$62,0),IF($NP$62="Bell_Curve",$NN$62*(177-$NR$62+1)*($NS$62-177+1)/$NU$62,$NN$62/$NT$62)),0)</f>
        <v/>
      </c>
      <c r="FZ62" s="402">
        <f>IF(AND(178&gt;=$NR$62,178&lt;=$NS$62),IF($NP$62="Single_Point",IF(178=$NR$62,$NN$62,0),IF($NP$62="Bell_Curve",$NN$62*(178-$NR$62+1)*($NS$62-178+1)/$NU$62,$NN$62/$NT$62)),0)</f>
        <v/>
      </c>
      <c r="GA62" s="402">
        <f>IF(AND(179&gt;=$NR$62,179&lt;=$NS$62),IF($NP$62="Single_Point",IF(179=$NR$62,$NN$62,0),IF($NP$62="Bell_Curve",$NN$62*(179-$NR$62+1)*($NS$62-179+1)/$NU$62,$NN$62/$NT$62)),0)</f>
        <v/>
      </c>
      <c r="GB62" s="402">
        <f>IF(AND(180&gt;=$NR$62,180&lt;=$NS$62),IF($NP$62="Single_Point",IF(180=$NR$62,$NN$62,0),IF($NP$62="Bell_Curve",$NN$62*(180-$NR$62+1)*($NS$62-180+1)/$NU$62,$NN$62/$NT$62)),0)</f>
        <v/>
      </c>
      <c r="GC62" s="402">
        <f>IF(AND(181&gt;=$NR$62,181&lt;=$NS$62),IF($NP$62="Single_Point",IF(181=$NR$62,$NN$62,0),IF($NP$62="Bell_Curve",$NN$62*(181-$NR$62+1)*($NS$62-181+1)/$NU$62,$NN$62/$NT$62)),0)</f>
        <v/>
      </c>
      <c r="GD62" s="402">
        <f>IF(AND(182&gt;=$NR$62,182&lt;=$NS$62),IF($NP$62="Single_Point",IF(182=$NR$62,$NN$62,0),IF($NP$62="Bell_Curve",$NN$62*(182-$NR$62+1)*($NS$62-182+1)/$NU$62,$NN$62/$NT$62)),0)</f>
        <v/>
      </c>
      <c r="GE62" s="402">
        <f>IF(AND(183&gt;=$NR$62,183&lt;=$NS$62),IF($NP$62="Single_Point",IF(183=$NR$62,$NN$62,0),IF($NP$62="Bell_Curve",$NN$62*(183-$NR$62+1)*($NS$62-183+1)/$NU$62,$NN$62/$NT$62)),0)</f>
        <v/>
      </c>
      <c r="GF62" s="402">
        <f>IF(AND(184&gt;=$NR$62,184&lt;=$NS$62),IF($NP$62="Single_Point",IF(184=$NR$62,$NN$62,0),IF($NP$62="Bell_Curve",$NN$62*(184-$NR$62+1)*($NS$62-184+1)/$NU$62,$NN$62/$NT$62)),0)</f>
        <v/>
      </c>
      <c r="GG62" s="402">
        <f>IF(AND(185&gt;=$NR$62,185&lt;=$NS$62),IF($NP$62="Single_Point",IF(185=$NR$62,$NN$62,0),IF($NP$62="Bell_Curve",$NN$62*(185-$NR$62+1)*($NS$62-185+1)/$NU$62,$NN$62/$NT$62)),0)</f>
        <v/>
      </c>
      <c r="GH62" s="402">
        <f>IF(AND(186&gt;=$NR$62,186&lt;=$NS$62),IF($NP$62="Single_Point",IF(186=$NR$62,$NN$62,0),IF($NP$62="Bell_Curve",$NN$62*(186-$NR$62+1)*($NS$62-186+1)/$NU$62,$NN$62/$NT$62)),0)</f>
        <v/>
      </c>
      <c r="GI62" s="402">
        <f>IF(AND(187&gt;=$NR$62,187&lt;=$NS$62),IF($NP$62="Single_Point",IF(187=$NR$62,$NN$62,0),IF($NP$62="Bell_Curve",$NN$62*(187-$NR$62+1)*($NS$62-187+1)/$NU$62,$NN$62/$NT$62)),0)</f>
        <v/>
      </c>
      <c r="GJ62" s="402">
        <f>IF(AND(188&gt;=$NR$62,188&lt;=$NS$62),IF($NP$62="Single_Point",IF(188=$NR$62,$NN$62,0),IF($NP$62="Bell_Curve",$NN$62*(188-$NR$62+1)*($NS$62-188+1)/$NU$62,$NN$62/$NT$62)),0)</f>
        <v/>
      </c>
      <c r="GK62" s="402">
        <f>IF(AND(189&gt;=$NR$62,189&lt;=$NS$62),IF($NP$62="Single_Point",IF(189=$NR$62,$NN$62,0),IF($NP$62="Bell_Curve",$NN$62*(189-$NR$62+1)*($NS$62-189+1)/$NU$62,$NN$62/$NT$62)),0)</f>
        <v/>
      </c>
      <c r="GL62" s="402">
        <f>IF(AND(190&gt;=$NR$62,190&lt;=$NS$62),IF($NP$62="Single_Point",IF(190=$NR$62,$NN$62,0),IF($NP$62="Bell_Curve",$NN$62*(190-$NR$62+1)*($NS$62-190+1)/$NU$62,$NN$62/$NT$62)),0)</f>
        <v/>
      </c>
      <c r="GM62" s="402">
        <f>IF(AND(191&gt;=$NR$62,191&lt;=$NS$62),IF($NP$62="Single_Point",IF(191=$NR$62,$NN$62,0),IF($NP$62="Bell_Curve",$NN$62*(191-$NR$62+1)*($NS$62-191+1)/$NU$62,$NN$62/$NT$62)),0)</f>
        <v/>
      </c>
      <c r="GN62" s="402">
        <f>IF(AND(192&gt;=$NR$62,192&lt;=$NS$62),IF($NP$62="Single_Point",IF(192=$NR$62,$NN$62,0),IF($NP$62="Bell_Curve",$NN$62*(192-$NR$62+1)*($NS$62-192+1)/$NU$62,$NN$62/$NT$62)),0)</f>
        <v/>
      </c>
      <c r="GO62" s="402">
        <f>IF(AND(193&gt;=$NR$62,193&lt;=$NS$62),IF($NP$62="Single_Point",IF(193=$NR$62,$NN$62,0),IF($NP$62="Bell_Curve",$NN$62*(193-$NR$62+1)*($NS$62-193+1)/$NU$62,$NN$62/$NT$62)),0)</f>
        <v/>
      </c>
      <c r="GP62" s="402">
        <f>IF(AND(194&gt;=$NR$62,194&lt;=$NS$62),IF($NP$62="Single_Point",IF(194=$NR$62,$NN$62,0),IF($NP$62="Bell_Curve",$NN$62*(194-$NR$62+1)*($NS$62-194+1)/$NU$62,$NN$62/$NT$62)),0)</f>
        <v/>
      </c>
      <c r="GQ62" s="402">
        <f>IF(AND(195&gt;=$NR$62,195&lt;=$NS$62),IF($NP$62="Single_Point",IF(195=$NR$62,$NN$62,0),IF($NP$62="Bell_Curve",$NN$62*(195-$NR$62+1)*($NS$62-195+1)/$NU$62,$NN$62/$NT$62)),0)</f>
        <v/>
      </c>
      <c r="GR62" s="402">
        <f>IF(AND(196&gt;=$NR$62,196&lt;=$NS$62),IF($NP$62="Single_Point",IF(196=$NR$62,$NN$62,0),IF($NP$62="Bell_Curve",$NN$62*(196-$NR$62+1)*($NS$62-196+1)/$NU$62,$NN$62/$NT$62)),0)</f>
        <v/>
      </c>
      <c r="GS62" s="402">
        <f>IF(AND(197&gt;=$NR$62,197&lt;=$NS$62),IF($NP$62="Single_Point",IF(197=$NR$62,$NN$62,0),IF($NP$62="Bell_Curve",$NN$62*(197-$NR$62+1)*($NS$62-197+1)/$NU$62,$NN$62/$NT$62)),0)</f>
        <v/>
      </c>
      <c r="GT62" s="402">
        <f>IF(AND(198&gt;=$NR$62,198&lt;=$NS$62),IF($NP$62="Single_Point",IF(198=$NR$62,$NN$62,0),IF($NP$62="Bell_Curve",$NN$62*(198-$NR$62+1)*($NS$62-198+1)/$NU$62,$NN$62/$NT$62)),0)</f>
        <v/>
      </c>
      <c r="GU62" s="402">
        <f>IF(AND(199&gt;=$NR$62,199&lt;=$NS$62),IF($NP$62="Single_Point",IF(199=$NR$62,$NN$62,0),IF($NP$62="Bell_Curve",$NN$62*(199-$NR$62+1)*($NS$62-199+1)/$NU$62,$NN$62/$NT$62)),0)</f>
        <v/>
      </c>
      <c r="GV62" s="402">
        <f>IF(AND(200&gt;=$NR$62,200&lt;=$NS$62),IF($NP$62="Single_Point",IF(200=$NR$62,$NN$62,0),IF($NP$62="Bell_Curve",$NN$62*(200-$NR$62+1)*($NS$62-200+1)/$NU$62,$NN$62/$NT$62)),0)</f>
        <v/>
      </c>
      <c r="GW62" s="402">
        <f>IF(AND(201&gt;=$NR$62,201&lt;=$NS$62),IF($NP$62="Single_Point",IF(201=$NR$62,$NN$62,0),IF($NP$62="Bell_Curve",$NN$62*(201-$NR$62+1)*($NS$62-201+1)/$NU$62,$NN$62/$NT$62)),0)</f>
        <v/>
      </c>
      <c r="GX62" s="402">
        <f>IF(AND(202&gt;=$NR$62,202&lt;=$NS$62),IF($NP$62="Single_Point",IF(202=$NR$62,$NN$62,0),IF($NP$62="Bell_Curve",$NN$62*(202-$NR$62+1)*($NS$62-202+1)/$NU$62,$NN$62/$NT$62)),0)</f>
        <v/>
      </c>
      <c r="GY62" s="402">
        <f>IF(AND(203&gt;=$NR$62,203&lt;=$NS$62),IF($NP$62="Single_Point",IF(203=$NR$62,$NN$62,0),IF($NP$62="Bell_Curve",$NN$62*(203-$NR$62+1)*($NS$62-203+1)/$NU$62,$NN$62/$NT$62)),0)</f>
        <v/>
      </c>
      <c r="GZ62" s="402">
        <f>IF(AND(204&gt;=$NR$62,204&lt;=$NS$62),IF($NP$62="Single_Point",IF(204=$NR$62,$NN$62,0),IF($NP$62="Bell_Curve",$NN$62*(204-$NR$62+1)*($NS$62-204+1)/$NU$62,$NN$62/$NT$62)),0)</f>
        <v/>
      </c>
      <c r="HA62" s="402">
        <f>IF(AND(205&gt;=$NR$62,205&lt;=$NS$62),IF($NP$62="Single_Point",IF(205=$NR$62,$NN$62,0),IF($NP$62="Bell_Curve",$NN$62*(205-$NR$62+1)*($NS$62-205+1)/$NU$62,$NN$62/$NT$62)),0)</f>
        <v/>
      </c>
      <c r="HB62" s="402">
        <f>IF(AND(206&gt;=$NR$62,206&lt;=$NS$62),IF($NP$62="Single_Point",IF(206=$NR$62,$NN$62,0),IF($NP$62="Bell_Curve",$NN$62*(206-$NR$62+1)*($NS$62-206+1)/$NU$62,$NN$62/$NT$62)),0)</f>
        <v/>
      </c>
      <c r="HC62" s="402">
        <f>IF(AND(207&gt;=$NR$62,207&lt;=$NS$62),IF($NP$62="Single_Point",IF(207=$NR$62,$NN$62,0),IF($NP$62="Bell_Curve",$NN$62*(207-$NR$62+1)*($NS$62-207+1)/$NU$62,$NN$62/$NT$62)),0)</f>
        <v/>
      </c>
      <c r="HD62" s="402">
        <f>IF(AND(208&gt;=$NR$62,208&lt;=$NS$62),IF($NP$62="Single_Point",IF(208=$NR$62,$NN$62,0),IF($NP$62="Bell_Curve",$NN$62*(208-$NR$62+1)*($NS$62-208+1)/$NU$62,$NN$62/$NT$62)),0)</f>
        <v/>
      </c>
      <c r="HE62" s="402">
        <f>IF(AND(209&gt;=$NR$62,209&lt;=$NS$62),IF($NP$62="Single_Point",IF(209=$NR$62,$NN$62,0),IF($NP$62="Bell_Curve",$NN$62*(209-$NR$62+1)*($NS$62-209+1)/$NU$62,$NN$62/$NT$62)),0)</f>
        <v/>
      </c>
      <c r="HF62" s="402">
        <f>IF(AND(210&gt;=$NR$62,210&lt;=$NS$62),IF($NP$62="Single_Point",IF(210=$NR$62,$NN$62,0),IF($NP$62="Bell_Curve",$NN$62*(210-$NR$62+1)*($NS$62-210+1)/$NU$62,$NN$62/$NT$62)),0)</f>
        <v/>
      </c>
      <c r="HG62" s="402">
        <f>IF(AND(211&gt;=$NR$62,211&lt;=$NS$62),IF($NP$62="Single_Point",IF(211=$NR$62,$NN$62,0),IF($NP$62="Bell_Curve",$NN$62*(211-$NR$62+1)*($NS$62-211+1)/$NU$62,$NN$62/$NT$62)),0)</f>
        <v/>
      </c>
      <c r="HH62" s="402">
        <f>IF(AND(212&gt;=$NR$62,212&lt;=$NS$62),IF($NP$62="Single_Point",IF(212=$NR$62,$NN$62,0),IF($NP$62="Bell_Curve",$NN$62*(212-$NR$62+1)*($NS$62-212+1)/$NU$62,$NN$62/$NT$62)),0)</f>
        <v/>
      </c>
      <c r="HI62" s="402">
        <f>IF(AND(213&gt;=$NR$62,213&lt;=$NS$62),IF($NP$62="Single_Point",IF(213=$NR$62,$NN$62,0),IF($NP$62="Bell_Curve",$NN$62*(213-$NR$62+1)*($NS$62-213+1)/$NU$62,$NN$62/$NT$62)),0)</f>
        <v/>
      </c>
      <c r="HJ62" s="402">
        <f>IF(AND(214&gt;=$NR$62,214&lt;=$NS$62),IF($NP$62="Single_Point",IF(214=$NR$62,$NN$62,0),IF($NP$62="Bell_Curve",$NN$62*(214-$NR$62+1)*($NS$62-214+1)/$NU$62,$NN$62/$NT$62)),0)</f>
        <v/>
      </c>
      <c r="HK62" s="402">
        <f>IF(AND(215&gt;=$NR$62,215&lt;=$NS$62),IF($NP$62="Single_Point",IF(215=$NR$62,$NN$62,0),IF($NP$62="Bell_Curve",$NN$62*(215-$NR$62+1)*($NS$62-215+1)/$NU$62,$NN$62/$NT$62)),0)</f>
        <v/>
      </c>
      <c r="HL62" s="402">
        <f>IF(AND(216&gt;=$NR$62,216&lt;=$NS$62),IF($NP$62="Single_Point",IF(216=$NR$62,$NN$62,0),IF($NP$62="Bell_Curve",$NN$62*(216-$NR$62+1)*($NS$62-216+1)/$NU$62,$NN$62/$NT$62)),0)</f>
        <v/>
      </c>
      <c r="HM62" s="402">
        <f>IF(AND(217&gt;=$NR$62,217&lt;=$NS$62),IF($NP$62="Single_Point",IF(217=$NR$62,$NN$62,0),IF($NP$62="Bell_Curve",$NN$62*(217-$NR$62+1)*($NS$62-217+1)/$NU$62,$NN$62/$NT$62)),0)</f>
        <v/>
      </c>
      <c r="HN62" s="402">
        <f>IF(AND(218&gt;=$NR$62,218&lt;=$NS$62),IF($NP$62="Single_Point",IF(218=$NR$62,$NN$62,0),IF($NP$62="Bell_Curve",$NN$62*(218-$NR$62+1)*($NS$62-218+1)/$NU$62,$NN$62/$NT$62)),0)</f>
        <v/>
      </c>
      <c r="HO62" s="402">
        <f>IF(AND(219&gt;=$NR$62,219&lt;=$NS$62),IF($NP$62="Single_Point",IF(219=$NR$62,$NN$62,0),IF($NP$62="Bell_Curve",$NN$62*(219-$NR$62+1)*($NS$62-219+1)/$NU$62,$NN$62/$NT$62)),0)</f>
        <v/>
      </c>
      <c r="HP62" s="402">
        <f>IF(AND(220&gt;=$NR$62,220&lt;=$NS$62),IF($NP$62="Single_Point",IF(220=$NR$62,$NN$62,0),IF($NP$62="Bell_Curve",$NN$62*(220-$NR$62+1)*($NS$62-220+1)/$NU$62,$NN$62/$NT$62)),0)</f>
        <v/>
      </c>
      <c r="HQ62" s="402">
        <f>IF(AND(221&gt;=$NR$62,221&lt;=$NS$62),IF($NP$62="Single_Point",IF(221=$NR$62,$NN$62,0),IF($NP$62="Bell_Curve",$NN$62*(221-$NR$62+1)*($NS$62-221+1)/$NU$62,$NN$62/$NT$62)),0)</f>
        <v/>
      </c>
      <c r="HR62" s="402">
        <f>IF(AND(222&gt;=$NR$62,222&lt;=$NS$62),IF($NP$62="Single_Point",IF(222=$NR$62,$NN$62,0),IF($NP$62="Bell_Curve",$NN$62*(222-$NR$62+1)*($NS$62-222+1)/$NU$62,$NN$62/$NT$62)),0)</f>
        <v/>
      </c>
      <c r="HS62" s="402">
        <f>IF(AND(223&gt;=$NR$62,223&lt;=$NS$62),IF($NP$62="Single_Point",IF(223=$NR$62,$NN$62,0),IF($NP$62="Bell_Curve",$NN$62*(223-$NR$62+1)*($NS$62-223+1)/$NU$62,$NN$62/$NT$62)),0)</f>
        <v/>
      </c>
      <c r="HT62" s="402">
        <f>IF(AND(224&gt;=$NR$62,224&lt;=$NS$62),IF($NP$62="Single_Point",IF(224=$NR$62,$NN$62,0),IF($NP$62="Bell_Curve",$NN$62*(224-$NR$62+1)*($NS$62-224+1)/$NU$62,$NN$62/$NT$62)),0)</f>
        <v/>
      </c>
      <c r="HU62" s="402">
        <f>IF(AND(225&gt;=$NR$62,225&lt;=$NS$62),IF($NP$62="Single_Point",IF(225=$NR$62,$NN$62,0),IF($NP$62="Bell_Curve",$NN$62*(225-$NR$62+1)*($NS$62-225+1)/$NU$62,$NN$62/$NT$62)),0)</f>
        <v/>
      </c>
      <c r="HV62" s="402">
        <f>IF(AND(226&gt;=$NR$62,226&lt;=$NS$62),IF($NP$62="Single_Point",IF(226=$NR$62,$NN$62,0),IF($NP$62="Bell_Curve",$NN$62*(226-$NR$62+1)*($NS$62-226+1)/$NU$62,$NN$62/$NT$62)),0)</f>
        <v/>
      </c>
      <c r="HW62" s="402">
        <f>IF(AND(227&gt;=$NR$62,227&lt;=$NS$62),IF($NP$62="Single_Point",IF(227=$NR$62,$NN$62,0),IF($NP$62="Bell_Curve",$NN$62*(227-$NR$62+1)*($NS$62-227+1)/$NU$62,$NN$62/$NT$62)),0)</f>
        <v/>
      </c>
      <c r="HX62" s="402">
        <f>IF(AND(228&gt;=$NR$62,228&lt;=$NS$62),IF($NP$62="Single_Point",IF(228=$NR$62,$NN$62,0),IF($NP$62="Bell_Curve",$NN$62*(228-$NR$62+1)*($NS$62-228+1)/$NU$62,$NN$62/$NT$62)),0)</f>
        <v/>
      </c>
      <c r="HY62" s="402">
        <f>IF(AND(229&gt;=$NR$62,229&lt;=$NS$62),IF($NP$62="Single_Point",IF(229=$NR$62,$NN$62,0),IF($NP$62="Bell_Curve",$NN$62*(229-$NR$62+1)*($NS$62-229+1)/$NU$62,$NN$62/$NT$62)),0)</f>
        <v/>
      </c>
      <c r="HZ62" s="402">
        <f>IF(AND(230&gt;=$NR$62,230&lt;=$NS$62),IF($NP$62="Single_Point",IF(230=$NR$62,$NN$62,0),IF($NP$62="Bell_Curve",$NN$62*(230-$NR$62+1)*($NS$62-230+1)/$NU$62,$NN$62/$NT$62)),0)</f>
        <v/>
      </c>
      <c r="IA62" s="402">
        <f>IF(AND(231&gt;=$NR$62,231&lt;=$NS$62),IF($NP$62="Single_Point",IF(231=$NR$62,$NN$62,0),IF($NP$62="Bell_Curve",$NN$62*(231-$NR$62+1)*($NS$62-231+1)/$NU$62,$NN$62/$NT$62)),0)</f>
        <v/>
      </c>
      <c r="IB62" s="402">
        <f>IF(AND(232&gt;=$NR$62,232&lt;=$NS$62),IF($NP$62="Single_Point",IF(232=$NR$62,$NN$62,0),IF($NP$62="Bell_Curve",$NN$62*(232-$NR$62+1)*($NS$62-232+1)/$NU$62,$NN$62/$NT$62)),0)</f>
        <v/>
      </c>
      <c r="IC62" s="402">
        <f>IF(AND(233&gt;=$NR$62,233&lt;=$NS$62),IF($NP$62="Single_Point",IF(233=$NR$62,$NN$62,0),IF($NP$62="Bell_Curve",$NN$62*(233-$NR$62+1)*($NS$62-233+1)/$NU$62,$NN$62/$NT$62)),0)</f>
        <v/>
      </c>
      <c r="ID62" s="402">
        <f>IF(AND(234&gt;=$NR$62,234&lt;=$NS$62),IF($NP$62="Single_Point",IF(234=$NR$62,$NN$62,0),IF($NP$62="Bell_Curve",$NN$62*(234-$NR$62+1)*($NS$62-234+1)/$NU$62,$NN$62/$NT$62)),0)</f>
        <v/>
      </c>
      <c r="IE62" s="402">
        <f>IF(AND(235&gt;=$NR$62,235&lt;=$NS$62),IF($NP$62="Single_Point",IF(235=$NR$62,$NN$62,0),IF($NP$62="Bell_Curve",$NN$62*(235-$NR$62+1)*($NS$62-235+1)/$NU$62,$NN$62/$NT$62)),0)</f>
        <v/>
      </c>
      <c r="IF62" s="402">
        <f>IF(AND(236&gt;=$NR$62,236&lt;=$NS$62),IF($NP$62="Single_Point",IF(236=$NR$62,$NN$62,0),IF($NP$62="Bell_Curve",$NN$62*(236-$NR$62+1)*($NS$62-236+1)/$NU$62,$NN$62/$NT$62)),0)</f>
        <v/>
      </c>
      <c r="IG62" s="402">
        <f>IF(AND(237&gt;=$NR$62,237&lt;=$NS$62),IF($NP$62="Single_Point",IF(237=$NR$62,$NN$62,0),IF($NP$62="Bell_Curve",$NN$62*(237-$NR$62+1)*($NS$62-237+1)/$NU$62,$NN$62/$NT$62)),0)</f>
        <v/>
      </c>
      <c r="IH62" s="402">
        <f>IF(AND(238&gt;=$NR$62,238&lt;=$NS$62),IF($NP$62="Single_Point",IF(238=$NR$62,$NN$62,0),IF($NP$62="Bell_Curve",$NN$62*(238-$NR$62+1)*($NS$62-238+1)/$NU$62,$NN$62/$NT$62)),0)</f>
        <v/>
      </c>
      <c r="II62" s="402">
        <f>IF(AND(239&gt;=$NR$62,239&lt;=$NS$62),IF($NP$62="Single_Point",IF(239=$NR$62,$NN$62,0),IF($NP$62="Bell_Curve",$NN$62*(239-$NR$62+1)*($NS$62-239+1)/$NU$62,$NN$62/$NT$62)),0)</f>
        <v/>
      </c>
      <c r="IJ62" s="402">
        <f>IF(AND(240&gt;=$NR$62,240&lt;=$NS$62),IF($NP$62="Single_Point",IF(240=$NR$62,$NN$62,0),IF($NP$62="Bell_Curve",$NN$62*(240-$NR$62+1)*($NS$62-240+1)/$NU$62,$NN$62/$NT$62)),0)</f>
        <v/>
      </c>
      <c r="IK62" s="402">
        <f>IF(AND(241&gt;=$NR$62,241&lt;=$NS$62),IF($NP$62="Single_Point",IF(241=$NR$62,$NN$62,0),IF($NP$62="Bell_Curve",$NN$62*(241-$NR$62+1)*($NS$62-241+1)/$NU$62,$NN$62/$NT$62)),0)</f>
        <v/>
      </c>
      <c r="IL62" s="402">
        <f>IF(AND(242&gt;=$NR$62,242&lt;=$NS$62),IF($NP$62="Single_Point",IF(242=$NR$62,$NN$62,0),IF($NP$62="Bell_Curve",$NN$62*(242-$NR$62+1)*($NS$62-242+1)/$NU$62,$NN$62/$NT$62)),0)</f>
        <v/>
      </c>
      <c r="IM62" s="402">
        <f>IF(AND(243&gt;=$NR$62,243&lt;=$NS$62),IF($NP$62="Single_Point",IF(243=$NR$62,$NN$62,0),IF($NP$62="Bell_Curve",$NN$62*(243-$NR$62+1)*($NS$62-243+1)/$NU$62,$NN$62/$NT$62)),0)</f>
        <v/>
      </c>
      <c r="IN62" s="402">
        <f>IF(AND(244&gt;=$NR$62,244&lt;=$NS$62),IF($NP$62="Single_Point",IF(244=$NR$62,$NN$62,0),IF($NP$62="Bell_Curve",$NN$62*(244-$NR$62+1)*($NS$62-244+1)/$NU$62,$NN$62/$NT$62)),0)</f>
        <v/>
      </c>
      <c r="IO62" s="402">
        <f>IF(AND(245&gt;=$NR$62,245&lt;=$NS$62),IF($NP$62="Single_Point",IF(245=$NR$62,$NN$62,0),IF($NP$62="Bell_Curve",$NN$62*(245-$NR$62+1)*($NS$62-245+1)/$NU$62,$NN$62/$NT$62)),0)</f>
        <v/>
      </c>
      <c r="IP62" s="402">
        <f>IF(AND(246&gt;=$NR$62,246&lt;=$NS$62),IF($NP$62="Single_Point",IF(246=$NR$62,$NN$62,0),IF($NP$62="Bell_Curve",$NN$62*(246-$NR$62+1)*($NS$62-246+1)/$NU$62,$NN$62/$NT$62)),0)</f>
        <v/>
      </c>
      <c r="IQ62" s="402">
        <f>IF(AND(247&gt;=$NR$62,247&lt;=$NS$62),IF($NP$62="Single_Point",IF(247=$NR$62,$NN$62,0),IF($NP$62="Bell_Curve",$NN$62*(247-$NR$62+1)*($NS$62-247+1)/$NU$62,$NN$62/$NT$62)),0)</f>
        <v/>
      </c>
      <c r="IR62" s="402">
        <f>IF(AND(248&gt;=$NR$62,248&lt;=$NS$62),IF($NP$62="Single_Point",IF(248=$NR$62,$NN$62,0),IF($NP$62="Bell_Curve",$NN$62*(248-$NR$62+1)*($NS$62-248+1)/$NU$62,$NN$62/$NT$62)),0)</f>
        <v/>
      </c>
      <c r="IS62" s="402">
        <f>IF(AND(249&gt;=$NR$62,249&lt;=$NS$62),IF($NP$62="Single_Point",IF(249=$NR$62,$NN$62,0),IF($NP$62="Bell_Curve",$NN$62*(249-$NR$62+1)*($NS$62-249+1)/$NU$62,$NN$62/$NT$62)),0)</f>
        <v/>
      </c>
      <c r="IT62" s="402">
        <f>IF(AND(250&gt;=$NR$62,250&lt;=$NS$62),IF($NP$62="Single_Point",IF(250=$NR$62,$NN$62,0),IF($NP$62="Bell_Curve",$NN$62*(250-$NR$62+1)*($NS$62-250+1)/$NU$62,$NN$62/$NT$62)),0)</f>
        <v/>
      </c>
      <c r="IU62" s="402">
        <f>IF(AND(251&gt;=$NR$62,251&lt;=$NS$62),IF($NP$62="Single_Point",IF(251=$NR$62,$NN$62,0),IF($NP$62="Bell_Curve",$NN$62*(251-$NR$62+1)*($NS$62-251+1)/$NU$62,$NN$62/$NT$62)),0)</f>
        <v/>
      </c>
      <c r="IV62" s="402">
        <f>IF(AND(252&gt;=$NR$62,252&lt;=$NS$62),IF($NP$62="Single_Point",IF(252=$NR$62,$NN$62,0),IF($NP$62="Bell_Curve",$NN$62*(252-$NR$62+1)*($NS$62-252+1)/$NU$62,$NN$62/$NT$62)),0)</f>
        <v/>
      </c>
      <c r="IW62" s="402">
        <f>IF(AND(253&gt;=$NR$62,253&lt;=$NS$62),IF($NP$62="Single_Point",IF(253=$NR$62,$NN$62,0),IF($NP$62="Bell_Curve",$NN$62*(253-$NR$62+1)*($NS$62-253+1)/$NU$62,$NN$62/$NT$62)),0)</f>
        <v/>
      </c>
      <c r="IX62" s="402">
        <f>IF(AND(254&gt;=$NR$62,254&lt;=$NS$62),IF($NP$62="Single_Point",IF(254=$NR$62,$NN$62,0),IF($NP$62="Bell_Curve",$NN$62*(254-$NR$62+1)*($NS$62-254+1)/$NU$62,$NN$62/$NT$62)),0)</f>
        <v/>
      </c>
      <c r="IY62" s="402">
        <f>IF(AND(255&gt;=$NR$62,255&lt;=$NS$62),IF($NP$62="Single_Point",IF(255=$NR$62,$NN$62,0),IF($NP$62="Bell_Curve",$NN$62*(255-$NR$62+1)*($NS$62-255+1)/$NU$62,$NN$62/$NT$62)),0)</f>
        <v/>
      </c>
      <c r="IZ62" s="402">
        <f>IF(AND(256&gt;=$NR$62,256&lt;=$NS$62),IF($NP$62="Single_Point",IF(256=$NR$62,$NN$62,0),IF($NP$62="Bell_Curve",$NN$62*(256-$NR$62+1)*($NS$62-256+1)/$NU$62,$NN$62/$NT$62)),0)</f>
        <v/>
      </c>
      <c r="JA62" s="402">
        <f>IF(AND(257&gt;=$NR$62,257&lt;=$NS$62),IF($NP$62="Single_Point",IF(257=$NR$62,$NN$62,0),IF($NP$62="Bell_Curve",$NN$62*(257-$NR$62+1)*($NS$62-257+1)/$NU$62,$NN$62/$NT$62)),0)</f>
        <v/>
      </c>
      <c r="JB62" s="402">
        <f>IF(AND(258&gt;=$NR$62,258&lt;=$NS$62),IF($NP$62="Single_Point",IF(258=$NR$62,$NN$62,0),IF($NP$62="Bell_Curve",$NN$62*(258-$NR$62+1)*($NS$62-258+1)/$NU$62,$NN$62/$NT$62)),0)</f>
        <v/>
      </c>
      <c r="JC62" s="402">
        <f>IF(AND(259&gt;=$NR$62,259&lt;=$NS$62),IF($NP$62="Single_Point",IF(259=$NR$62,$NN$62,0),IF($NP$62="Bell_Curve",$NN$62*(259-$NR$62+1)*($NS$62-259+1)/$NU$62,$NN$62/$NT$62)),0)</f>
        <v/>
      </c>
      <c r="JD62" s="402">
        <f>IF(AND(260&gt;=$NR$62,260&lt;=$NS$62),IF($NP$62="Single_Point",IF(260=$NR$62,$NN$62,0),IF($NP$62="Bell_Curve",$NN$62*(260-$NR$62+1)*($NS$62-260+1)/$NU$62,$NN$62/$NT$62)),0)</f>
        <v/>
      </c>
      <c r="JE62" s="402">
        <f>IF(AND(261&gt;=$NR$62,261&lt;=$NS$62),IF($NP$62="Single_Point",IF(261=$NR$62,$NN$62,0),IF($NP$62="Bell_Curve",$NN$62*(261-$NR$62+1)*($NS$62-261+1)/$NU$62,$NN$62/$NT$62)),0)</f>
        <v/>
      </c>
      <c r="JF62" s="402">
        <f>IF(AND(262&gt;=$NR$62,262&lt;=$NS$62),IF($NP$62="Single_Point",IF(262=$NR$62,$NN$62,0),IF($NP$62="Bell_Curve",$NN$62*(262-$NR$62+1)*($NS$62-262+1)/$NU$62,$NN$62/$NT$62)),0)</f>
        <v/>
      </c>
      <c r="JG62" s="402">
        <f>IF(AND(263&gt;=$NR$62,263&lt;=$NS$62),IF($NP$62="Single_Point",IF(263=$NR$62,$NN$62,0),IF($NP$62="Bell_Curve",$NN$62*(263-$NR$62+1)*($NS$62-263+1)/$NU$62,$NN$62/$NT$62)),0)</f>
        <v/>
      </c>
      <c r="JH62" s="402">
        <f>IF(AND(264&gt;=$NR$62,264&lt;=$NS$62),IF($NP$62="Single_Point",IF(264=$NR$62,$NN$62,0),IF($NP$62="Bell_Curve",$NN$62*(264-$NR$62+1)*($NS$62-264+1)/$NU$62,$NN$62/$NT$62)),0)</f>
        <v/>
      </c>
      <c r="JI62" s="402">
        <f>IF(AND(265&gt;=$NR$62,265&lt;=$NS$62),IF($NP$62="Single_Point",IF(265=$NR$62,$NN$62,0),IF($NP$62="Bell_Curve",$NN$62*(265-$NR$62+1)*($NS$62-265+1)/$NU$62,$NN$62/$NT$62)),0)</f>
        <v/>
      </c>
      <c r="JJ62" s="402">
        <f>IF(AND(266&gt;=$NR$62,266&lt;=$NS$62),IF($NP$62="Single_Point",IF(266=$NR$62,$NN$62,0),IF($NP$62="Bell_Curve",$NN$62*(266-$NR$62+1)*($NS$62-266+1)/$NU$62,$NN$62/$NT$62)),0)</f>
        <v/>
      </c>
      <c r="JK62" s="402">
        <f>IF(AND(267&gt;=$NR$62,267&lt;=$NS$62),IF($NP$62="Single_Point",IF(267=$NR$62,$NN$62,0),IF($NP$62="Bell_Curve",$NN$62*(267-$NR$62+1)*($NS$62-267+1)/$NU$62,$NN$62/$NT$62)),0)</f>
        <v/>
      </c>
      <c r="JL62" s="402">
        <f>IF(AND(268&gt;=$NR$62,268&lt;=$NS$62),IF($NP$62="Single_Point",IF(268=$NR$62,$NN$62,0),IF($NP$62="Bell_Curve",$NN$62*(268-$NR$62+1)*($NS$62-268+1)/$NU$62,$NN$62/$NT$62)),0)</f>
        <v/>
      </c>
      <c r="JM62" s="402">
        <f>IF(AND(269&gt;=$NR$62,269&lt;=$NS$62),IF($NP$62="Single_Point",IF(269=$NR$62,$NN$62,0),IF($NP$62="Bell_Curve",$NN$62*(269-$NR$62+1)*($NS$62-269+1)/$NU$62,$NN$62/$NT$62)),0)</f>
        <v/>
      </c>
      <c r="JN62" s="402">
        <f>IF(AND(270&gt;=$NR$62,270&lt;=$NS$62),IF($NP$62="Single_Point",IF(270=$NR$62,$NN$62,0),IF($NP$62="Bell_Curve",$NN$62*(270-$NR$62+1)*($NS$62-270+1)/$NU$62,$NN$62/$NT$62)),0)</f>
        <v/>
      </c>
      <c r="JO62" s="402">
        <f>IF(AND(271&gt;=$NR$62,271&lt;=$NS$62),IF($NP$62="Single_Point",IF(271=$NR$62,$NN$62,0),IF($NP$62="Bell_Curve",$NN$62*(271-$NR$62+1)*($NS$62-271+1)/$NU$62,$NN$62/$NT$62)),0)</f>
        <v/>
      </c>
      <c r="JP62" s="402">
        <f>IF(AND(272&gt;=$NR$62,272&lt;=$NS$62),IF($NP$62="Single_Point",IF(272=$NR$62,$NN$62,0),IF($NP$62="Bell_Curve",$NN$62*(272-$NR$62+1)*($NS$62-272+1)/$NU$62,$NN$62/$NT$62)),0)</f>
        <v/>
      </c>
      <c r="JQ62" s="402">
        <f>IF(AND(273&gt;=$NR$62,273&lt;=$NS$62),IF($NP$62="Single_Point",IF(273=$NR$62,$NN$62,0),IF($NP$62="Bell_Curve",$NN$62*(273-$NR$62+1)*($NS$62-273+1)/$NU$62,$NN$62/$NT$62)),0)</f>
        <v/>
      </c>
      <c r="JR62" s="402">
        <f>IF(AND(274&gt;=$NR$62,274&lt;=$NS$62),IF($NP$62="Single_Point",IF(274=$NR$62,$NN$62,0),IF($NP$62="Bell_Curve",$NN$62*(274-$NR$62+1)*($NS$62-274+1)/$NU$62,$NN$62/$NT$62)),0)</f>
        <v/>
      </c>
      <c r="JS62" s="402">
        <f>IF(AND(275&gt;=$NR$62,275&lt;=$NS$62),IF($NP$62="Single_Point",IF(275=$NR$62,$NN$62,0),IF($NP$62="Bell_Curve",$NN$62*(275-$NR$62+1)*($NS$62-275+1)/$NU$62,$NN$62/$NT$62)),0)</f>
        <v/>
      </c>
      <c r="JT62" s="402">
        <f>IF(AND(276&gt;=$NR$62,276&lt;=$NS$62),IF($NP$62="Single_Point",IF(276=$NR$62,$NN$62,0),IF($NP$62="Bell_Curve",$NN$62*(276-$NR$62+1)*($NS$62-276+1)/$NU$62,$NN$62/$NT$62)),0)</f>
        <v/>
      </c>
      <c r="JU62" s="402">
        <f>IF(AND(277&gt;=$NR$62,277&lt;=$NS$62),IF($NP$62="Single_Point",IF(277=$NR$62,$NN$62,0),IF($NP$62="Bell_Curve",$NN$62*(277-$NR$62+1)*($NS$62-277+1)/$NU$62,$NN$62/$NT$62)),0)</f>
        <v/>
      </c>
      <c r="JV62" s="402">
        <f>IF(AND(278&gt;=$NR$62,278&lt;=$NS$62),IF($NP$62="Single_Point",IF(278=$NR$62,$NN$62,0),IF($NP$62="Bell_Curve",$NN$62*(278-$NR$62+1)*($NS$62-278+1)/$NU$62,$NN$62/$NT$62)),0)</f>
        <v/>
      </c>
      <c r="JW62" s="402">
        <f>IF(AND(279&gt;=$NR$62,279&lt;=$NS$62),IF($NP$62="Single_Point",IF(279=$NR$62,$NN$62,0),IF($NP$62="Bell_Curve",$NN$62*(279-$NR$62+1)*($NS$62-279+1)/$NU$62,$NN$62/$NT$62)),0)</f>
        <v/>
      </c>
      <c r="JX62" s="402">
        <f>IF(AND(280&gt;=$NR$62,280&lt;=$NS$62),IF($NP$62="Single_Point",IF(280=$NR$62,$NN$62,0),IF($NP$62="Bell_Curve",$NN$62*(280-$NR$62+1)*($NS$62-280+1)/$NU$62,$NN$62/$NT$62)),0)</f>
        <v/>
      </c>
      <c r="JY62" s="402">
        <f>IF(AND(281&gt;=$NR$62,281&lt;=$NS$62),IF($NP$62="Single_Point",IF(281=$NR$62,$NN$62,0),IF($NP$62="Bell_Curve",$NN$62*(281-$NR$62+1)*($NS$62-281+1)/$NU$62,$NN$62/$NT$62)),0)</f>
        <v/>
      </c>
      <c r="JZ62" s="402">
        <f>IF(AND(282&gt;=$NR$62,282&lt;=$NS$62),IF($NP$62="Single_Point",IF(282=$NR$62,$NN$62,0),IF($NP$62="Bell_Curve",$NN$62*(282-$NR$62+1)*($NS$62-282+1)/$NU$62,$NN$62/$NT$62)),0)</f>
        <v/>
      </c>
      <c r="KA62" s="402">
        <f>IF(AND(283&gt;=$NR$62,283&lt;=$NS$62),IF($NP$62="Single_Point",IF(283=$NR$62,$NN$62,0),IF($NP$62="Bell_Curve",$NN$62*(283-$NR$62+1)*($NS$62-283+1)/$NU$62,$NN$62/$NT$62)),0)</f>
        <v/>
      </c>
      <c r="KB62" s="402">
        <f>IF(AND(284&gt;=$NR$62,284&lt;=$NS$62),IF($NP$62="Single_Point",IF(284=$NR$62,$NN$62,0),IF($NP$62="Bell_Curve",$NN$62*(284-$NR$62+1)*($NS$62-284+1)/$NU$62,$NN$62/$NT$62)),0)</f>
        <v/>
      </c>
      <c r="KC62" s="402">
        <f>IF(AND(285&gt;=$NR$62,285&lt;=$NS$62),IF($NP$62="Single_Point",IF(285=$NR$62,$NN$62,0),IF($NP$62="Bell_Curve",$NN$62*(285-$NR$62+1)*($NS$62-285+1)/$NU$62,$NN$62/$NT$62)),0)</f>
        <v/>
      </c>
      <c r="KD62" s="402">
        <f>IF(AND(286&gt;=$NR$62,286&lt;=$NS$62),IF($NP$62="Single_Point",IF(286=$NR$62,$NN$62,0),IF($NP$62="Bell_Curve",$NN$62*(286-$NR$62+1)*($NS$62-286+1)/$NU$62,$NN$62/$NT$62)),0)</f>
        <v/>
      </c>
      <c r="KE62" s="402">
        <f>IF(AND(287&gt;=$NR$62,287&lt;=$NS$62),IF($NP$62="Single_Point",IF(287=$NR$62,$NN$62,0),IF($NP$62="Bell_Curve",$NN$62*(287-$NR$62+1)*($NS$62-287+1)/$NU$62,$NN$62/$NT$62)),0)</f>
        <v/>
      </c>
      <c r="KF62" s="402">
        <f>IF(AND(288&gt;=$NR$62,288&lt;=$NS$62),IF($NP$62="Single_Point",IF(288=$NR$62,$NN$62,0),IF($NP$62="Bell_Curve",$NN$62*(288-$NR$62+1)*($NS$62-288+1)/$NU$62,$NN$62/$NT$62)),0)</f>
        <v/>
      </c>
      <c r="KG62" s="402">
        <f>IF(AND(289&gt;=$NR$62,289&lt;=$NS$62),IF($NP$62="Single_Point",IF(289=$NR$62,$NN$62,0),IF($NP$62="Bell_Curve",$NN$62*(289-$NR$62+1)*($NS$62-289+1)/$NU$62,$NN$62/$NT$62)),0)</f>
        <v/>
      </c>
      <c r="KH62" s="402">
        <f>IF(AND(290&gt;=$NR$62,290&lt;=$NS$62),IF($NP$62="Single_Point",IF(290=$NR$62,$NN$62,0),IF($NP$62="Bell_Curve",$NN$62*(290-$NR$62+1)*($NS$62-290+1)/$NU$62,$NN$62/$NT$62)),0)</f>
        <v/>
      </c>
      <c r="KI62" s="402">
        <f>IF(AND(291&gt;=$NR$62,291&lt;=$NS$62),IF($NP$62="Single_Point",IF(291=$NR$62,$NN$62,0),IF($NP$62="Bell_Curve",$NN$62*(291-$NR$62+1)*($NS$62-291+1)/$NU$62,$NN$62/$NT$62)),0)</f>
        <v/>
      </c>
      <c r="KJ62" s="402">
        <f>IF(AND(292&gt;=$NR$62,292&lt;=$NS$62),IF($NP$62="Single_Point",IF(292=$NR$62,$NN$62,0),IF($NP$62="Bell_Curve",$NN$62*(292-$NR$62+1)*($NS$62-292+1)/$NU$62,$NN$62/$NT$62)),0)</f>
        <v/>
      </c>
      <c r="KK62" s="402">
        <f>IF(AND(293&gt;=$NR$62,293&lt;=$NS$62),IF($NP$62="Single_Point",IF(293=$NR$62,$NN$62,0),IF($NP$62="Bell_Curve",$NN$62*(293-$NR$62+1)*($NS$62-293+1)/$NU$62,$NN$62/$NT$62)),0)</f>
        <v/>
      </c>
      <c r="KL62" s="402">
        <f>IF(AND(294&gt;=$NR$62,294&lt;=$NS$62),IF($NP$62="Single_Point",IF(294=$NR$62,$NN$62,0),IF($NP$62="Bell_Curve",$NN$62*(294-$NR$62+1)*($NS$62-294+1)/$NU$62,$NN$62/$NT$62)),0)</f>
        <v/>
      </c>
      <c r="KM62" s="402">
        <f>IF(AND(295&gt;=$NR$62,295&lt;=$NS$62),IF($NP$62="Single_Point",IF(295=$NR$62,$NN$62,0),IF($NP$62="Bell_Curve",$NN$62*(295-$NR$62+1)*($NS$62-295+1)/$NU$62,$NN$62/$NT$62)),0)</f>
        <v/>
      </c>
      <c r="KN62" s="402">
        <f>IF(AND(296&gt;=$NR$62,296&lt;=$NS$62),IF($NP$62="Single_Point",IF(296=$NR$62,$NN$62,0),IF($NP$62="Bell_Curve",$NN$62*(296-$NR$62+1)*($NS$62-296+1)/$NU$62,$NN$62/$NT$62)),0)</f>
        <v/>
      </c>
      <c r="KO62" s="402">
        <f>IF(AND(297&gt;=$NR$62,297&lt;=$NS$62),IF($NP$62="Single_Point",IF(297=$NR$62,$NN$62,0),IF($NP$62="Bell_Curve",$NN$62*(297-$NR$62+1)*($NS$62-297+1)/$NU$62,$NN$62/$NT$62)),0)</f>
        <v/>
      </c>
      <c r="KP62" s="402">
        <f>IF(AND(298&gt;=$NR$62,298&lt;=$NS$62),IF($NP$62="Single_Point",IF(298=$NR$62,$NN$62,0),IF($NP$62="Bell_Curve",$NN$62*(298-$NR$62+1)*($NS$62-298+1)/$NU$62,$NN$62/$NT$62)),0)</f>
        <v/>
      </c>
      <c r="KQ62" s="402">
        <f>IF(AND(299&gt;=$NR$62,299&lt;=$NS$62),IF($NP$62="Single_Point",IF(299=$NR$62,$NN$62,0),IF($NP$62="Bell_Curve",$NN$62*(299-$NR$62+1)*($NS$62-299+1)/$NU$62,$NN$62/$NT$62)),0)</f>
        <v/>
      </c>
      <c r="KR62" s="402">
        <f>IF(AND(300&gt;=$NR$62,300&lt;=$NS$62),IF($NP$62="Single_Point",IF(300=$NR$62,$NN$62,0),IF($NP$62="Bell_Curve",$NN$62*(300-$NR$62+1)*($NS$62-300+1)/$NU$62,$NN$62/$NT$62)),0)</f>
        <v/>
      </c>
      <c r="KS62" s="402">
        <f>IF(AND(301&gt;=$NR$62,301&lt;=$NS$62),IF($NP$62="Single_Point",IF(301=$NR$62,$NN$62,0),IF($NP$62="Bell_Curve",$NN$62*(301-$NR$62+1)*($NS$62-301+1)/$NU$62,$NN$62/$NT$62)),0)</f>
        <v/>
      </c>
      <c r="KT62" s="402">
        <f>IF(AND(302&gt;=$NR$62,302&lt;=$NS$62),IF($NP$62="Single_Point",IF(302=$NR$62,$NN$62,0),IF($NP$62="Bell_Curve",$NN$62*(302-$NR$62+1)*($NS$62-302+1)/$NU$62,$NN$62/$NT$62)),0)</f>
        <v/>
      </c>
      <c r="KU62" s="402">
        <f>IF(AND(303&gt;=$NR$62,303&lt;=$NS$62),IF($NP$62="Single_Point",IF(303=$NR$62,$NN$62,0),IF($NP$62="Bell_Curve",$NN$62*(303-$NR$62+1)*($NS$62-303+1)/$NU$62,$NN$62/$NT$62)),0)</f>
        <v/>
      </c>
      <c r="KV62" s="402">
        <f>IF(AND(304&gt;=$NR$62,304&lt;=$NS$62),IF($NP$62="Single_Point",IF(304=$NR$62,$NN$62,0),IF($NP$62="Bell_Curve",$NN$62*(304-$NR$62+1)*($NS$62-304+1)/$NU$62,$NN$62/$NT$62)),0)</f>
        <v/>
      </c>
      <c r="KW62" s="402">
        <f>IF(AND(305&gt;=$NR$62,305&lt;=$NS$62),IF($NP$62="Single_Point",IF(305=$NR$62,$NN$62,0),IF($NP$62="Bell_Curve",$NN$62*(305-$NR$62+1)*($NS$62-305+1)/$NU$62,$NN$62/$NT$62)),0)</f>
        <v/>
      </c>
      <c r="KX62" s="402">
        <f>IF(AND(306&gt;=$NR$62,306&lt;=$NS$62),IF($NP$62="Single_Point",IF(306=$NR$62,$NN$62,0),IF($NP$62="Bell_Curve",$NN$62*(306-$NR$62+1)*($NS$62-306+1)/$NU$62,$NN$62/$NT$62)),0)</f>
        <v/>
      </c>
      <c r="KY62" s="402">
        <f>IF(AND(307&gt;=$NR$62,307&lt;=$NS$62),IF($NP$62="Single_Point",IF(307=$NR$62,$NN$62,0),IF($NP$62="Bell_Curve",$NN$62*(307-$NR$62+1)*($NS$62-307+1)/$NU$62,$NN$62/$NT$62)),0)</f>
        <v/>
      </c>
      <c r="KZ62" s="402">
        <f>IF(AND(308&gt;=$NR$62,308&lt;=$NS$62),IF($NP$62="Single_Point",IF(308=$NR$62,$NN$62,0),IF($NP$62="Bell_Curve",$NN$62*(308-$NR$62+1)*($NS$62-308+1)/$NU$62,$NN$62/$NT$62)),0)</f>
        <v/>
      </c>
      <c r="LA62" s="402">
        <f>IF(AND(309&gt;=$NR$62,309&lt;=$NS$62),IF($NP$62="Single_Point",IF(309=$NR$62,$NN$62,0),IF($NP$62="Bell_Curve",$NN$62*(309-$NR$62+1)*($NS$62-309+1)/$NU$62,$NN$62/$NT$62)),0)</f>
        <v/>
      </c>
      <c r="LB62" s="402">
        <f>IF(AND(310&gt;=$NR$62,310&lt;=$NS$62),IF($NP$62="Single_Point",IF(310=$NR$62,$NN$62,0),IF($NP$62="Bell_Curve",$NN$62*(310-$NR$62+1)*($NS$62-310+1)/$NU$62,$NN$62/$NT$62)),0)</f>
        <v/>
      </c>
      <c r="LC62" s="402">
        <f>IF(AND(311&gt;=$NR$62,311&lt;=$NS$62),IF($NP$62="Single_Point",IF(311=$NR$62,$NN$62,0),IF($NP$62="Bell_Curve",$NN$62*(311-$NR$62+1)*($NS$62-311+1)/$NU$62,$NN$62/$NT$62)),0)</f>
        <v/>
      </c>
      <c r="LD62" s="402">
        <f>IF(AND(312&gt;=$NR$62,312&lt;=$NS$62),IF($NP$62="Single_Point",IF(312=$NR$62,$NN$62,0),IF($NP$62="Bell_Curve",$NN$62*(312-$NR$62+1)*($NS$62-312+1)/$NU$62,$NN$62/$NT$62)),0)</f>
        <v/>
      </c>
      <c r="LE62" s="402">
        <f>IF(AND(313&gt;=$NR$62,313&lt;=$NS$62),IF($NP$62="Single_Point",IF(313=$NR$62,$NN$62,0),IF($NP$62="Bell_Curve",$NN$62*(313-$NR$62+1)*($NS$62-313+1)/$NU$62,$NN$62/$NT$62)),0)</f>
        <v/>
      </c>
      <c r="LF62" s="402">
        <f>IF(AND(314&gt;=$NR$62,314&lt;=$NS$62),IF($NP$62="Single_Point",IF(314=$NR$62,$NN$62,0),IF($NP$62="Bell_Curve",$NN$62*(314-$NR$62+1)*($NS$62-314+1)/$NU$62,$NN$62/$NT$62)),0)</f>
        <v/>
      </c>
      <c r="LG62" s="402">
        <f>IF(AND(315&gt;=$NR$62,315&lt;=$NS$62),IF($NP$62="Single_Point",IF(315=$NR$62,$NN$62,0),IF($NP$62="Bell_Curve",$NN$62*(315-$NR$62+1)*($NS$62-315+1)/$NU$62,$NN$62/$NT$62)),0)</f>
        <v/>
      </c>
      <c r="LH62" s="402">
        <f>IF(AND(316&gt;=$NR$62,316&lt;=$NS$62),IF($NP$62="Single_Point",IF(316=$NR$62,$NN$62,0),IF($NP$62="Bell_Curve",$NN$62*(316-$NR$62+1)*($NS$62-316+1)/$NU$62,$NN$62/$NT$62)),0)</f>
        <v/>
      </c>
      <c r="LI62" s="402">
        <f>IF(AND(317&gt;=$NR$62,317&lt;=$NS$62),IF($NP$62="Single_Point",IF(317=$NR$62,$NN$62,0),IF($NP$62="Bell_Curve",$NN$62*(317-$NR$62+1)*($NS$62-317+1)/$NU$62,$NN$62/$NT$62)),0)</f>
        <v/>
      </c>
      <c r="LJ62" s="402">
        <f>IF(AND(318&gt;=$NR$62,318&lt;=$NS$62),IF($NP$62="Single_Point",IF(318=$NR$62,$NN$62,0),IF($NP$62="Bell_Curve",$NN$62*(318-$NR$62+1)*($NS$62-318+1)/$NU$62,$NN$62/$NT$62)),0)</f>
        <v/>
      </c>
      <c r="LK62" s="402">
        <f>IF(AND(319&gt;=$NR$62,319&lt;=$NS$62),IF($NP$62="Single_Point",IF(319=$NR$62,$NN$62,0),IF($NP$62="Bell_Curve",$NN$62*(319-$NR$62+1)*($NS$62-319+1)/$NU$62,$NN$62/$NT$62)),0)</f>
        <v/>
      </c>
      <c r="LL62" s="402">
        <f>IF(AND(320&gt;=$NR$62,320&lt;=$NS$62),IF($NP$62="Single_Point",IF(320=$NR$62,$NN$62,0),IF($NP$62="Bell_Curve",$NN$62*(320-$NR$62+1)*($NS$62-320+1)/$NU$62,$NN$62/$NT$62)),0)</f>
        <v/>
      </c>
      <c r="LM62" s="402">
        <f>IF(AND(321&gt;=$NR$62,321&lt;=$NS$62),IF($NP$62="Single_Point",IF(321=$NR$62,$NN$62,0),IF($NP$62="Bell_Curve",$NN$62*(321-$NR$62+1)*($NS$62-321+1)/$NU$62,$NN$62/$NT$62)),0)</f>
        <v/>
      </c>
      <c r="LN62" s="402">
        <f>IF(AND(322&gt;=$NR$62,322&lt;=$NS$62),IF($NP$62="Single_Point",IF(322=$NR$62,$NN$62,0),IF($NP$62="Bell_Curve",$NN$62*(322-$NR$62+1)*($NS$62-322+1)/$NU$62,$NN$62/$NT$62)),0)</f>
        <v/>
      </c>
      <c r="LO62" s="402">
        <f>IF(AND(323&gt;=$NR$62,323&lt;=$NS$62),IF($NP$62="Single_Point",IF(323=$NR$62,$NN$62,0),IF($NP$62="Bell_Curve",$NN$62*(323-$NR$62+1)*($NS$62-323+1)/$NU$62,$NN$62/$NT$62)),0)</f>
        <v/>
      </c>
      <c r="LP62" s="402">
        <f>IF(AND(324&gt;=$NR$62,324&lt;=$NS$62),IF($NP$62="Single_Point",IF(324=$NR$62,$NN$62,0),IF($NP$62="Bell_Curve",$NN$62*(324-$NR$62+1)*($NS$62-324+1)/$NU$62,$NN$62/$NT$62)),0)</f>
        <v/>
      </c>
      <c r="LQ62" s="402">
        <f>IF(AND(325&gt;=$NR$62,325&lt;=$NS$62),IF($NP$62="Single_Point",IF(325=$NR$62,$NN$62,0),IF($NP$62="Bell_Curve",$NN$62*(325-$NR$62+1)*($NS$62-325+1)/$NU$62,$NN$62/$NT$62)),0)</f>
        <v/>
      </c>
      <c r="LR62" s="402">
        <f>IF(AND(326&gt;=$NR$62,326&lt;=$NS$62),IF($NP$62="Single_Point",IF(326=$NR$62,$NN$62,0),IF($NP$62="Bell_Curve",$NN$62*(326-$NR$62+1)*($NS$62-326+1)/$NU$62,$NN$62/$NT$62)),0)</f>
        <v/>
      </c>
      <c r="LS62" s="402">
        <f>IF(AND(327&gt;=$NR$62,327&lt;=$NS$62),IF($NP$62="Single_Point",IF(327=$NR$62,$NN$62,0),IF($NP$62="Bell_Curve",$NN$62*(327-$NR$62+1)*($NS$62-327+1)/$NU$62,$NN$62/$NT$62)),0)</f>
        <v/>
      </c>
      <c r="LT62" s="402">
        <f>IF(AND(328&gt;=$NR$62,328&lt;=$NS$62),IF($NP$62="Single_Point",IF(328=$NR$62,$NN$62,0),IF($NP$62="Bell_Curve",$NN$62*(328-$NR$62+1)*($NS$62-328+1)/$NU$62,$NN$62/$NT$62)),0)</f>
        <v/>
      </c>
      <c r="LU62" s="402">
        <f>IF(AND(329&gt;=$NR$62,329&lt;=$NS$62),IF($NP$62="Single_Point",IF(329=$NR$62,$NN$62,0),IF($NP$62="Bell_Curve",$NN$62*(329-$NR$62+1)*($NS$62-329+1)/$NU$62,$NN$62/$NT$62)),0)</f>
        <v/>
      </c>
      <c r="LV62" s="402">
        <f>IF(AND(330&gt;=$NR$62,330&lt;=$NS$62),IF($NP$62="Single_Point",IF(330=$NR$62,$NN$62,0),IF($NP$62="Bell_Curve",$NN$62*(330-$NR$62+1)*($NS$62-330+1)/$NU$62,$NN$62/$NT$62)),0)</f>
        <v/>
      </c>
      <c r="LW62" s="402">
        <f>IF(AND(331&gt;=$NR$62,331&lt;=$NS$62),IF($NP$62="Single_Point",IF(331=$NR$62,$NN$62,0),IF($NP$62="Bell_Curve",$NN$62*(331-$NR$62+1)*($NS$62-331+1)/$NU$62,$NN$62/$NT$62)),0)</f>
        <v/>
      </c>
      <c r="LX62" s="402">
        <f>IF(AND(332&gt;=$NR$62,332&lt;=$NS$62),IF($NP$62="Single_Point",IF(332=$NR$62,$NN$62,0),IF($NP$62="Bell_Curve",$NN$62*(332-$NR$62+1)*($NS$62-332+1)/$NU$62,$NN$62/$NT$62)),0)</f>
        <v/>
      </c>
      <c r="LY62" s="402">
        <f>IF(AND(333&gt;=$NR$62,333&lt;=$NS$62),IF($NP$62="Single_Point",IF(333=$NR$62,$NN$62,0),IF($NP$62="Bell_Curve",$NN$62*(333-$NR$62+1)*($NS$62-333+1)/$NU$62,$NN$62/$NT$62)),0)</f>
        <v/>
      </c>
      <c r="LZ62" s="402">
        <f>IF(AND(334&gt;=$NR$62,334&lt;=$NS$62),IF($NP$62="Single_Point",IF(334=$NR$62,$NN$62,0),IF($NP$62="Bell_Curve",$NN$62*(334-$NR$62+1)*($NS$62-334+1)/$NU$62,$NN$62/$NT$62)),0)</f>
        <v/>
      </c>
      <c r="MA62" s="402">
        <f>IF(AND(335&gt;=$NR$62,335&lt;=$NS$62),IF($NP$62="Single_Point",IF(335=$NR$62,$NN$62,0),IF($NP$62="Bell_Curve",$NN$62*(335-$NR$62+1)*($NS$62-335+1)/$NU$62,$NN$62/$NT$62)),0)</f>
        <v/>
      </c>
      <c r="MB62" s="402">
        <f>IF(AND(336&gt;=$NR$62,336&lt;=$NS$62),IF($NP$62="Single_Point",IF(336=$NR$62,$NN$62,0),IF($NP$62="Bell_Curve",$NN$62*(336-$NR$62+1)*($NS$62-336+1)/$NU$62,$NN$62/$NT$62)),0)</f>
        <v/>
      </c>
      <c r="MC62" s="402">
        <f>IF(AND(337&gt;=$NR$62,337&lt;=$NS$62),IF($NP$62="Single_Point",IF(337=$NR$62,$NN$62,0),IF($NP$62="Bell_Curve",$NN$62*(337-$NR$62+1)*($NS$62-337+1)/$NU$62,$NN$62/$NT$62)),0)</f>
        <v/>
      </c>
      <c r="MD62" s="402">
        <f>IF(AND(338&gt;=$NR$62,338&lt;=$NS$62),IF($NP$62="Single_Point",IF(338=$NR$62,$NN$62,0),IF($NP$62="Bell_Curve",$NN$62*(338-$NR$62+1)*($NS$62-338+1)/$NU$62,$NN$62/$NT$62)),0)</f>
        <v/>
      </c>
      <c r="ME62" s="402">
        <f>IF(AND(339&gt;=$NR$62,339&lt;=$NS$62),IF($NP$62="Single_Point",IF(339=$NR$62,$NN$62,0),IF($NP$62="Bell_Curve",$NN$62*(339-$NR$62+1)*($NS$62-339+1)/$NU$62,$NN$62/$NT$62)),0)</f>
        <v/>
      </c>
      <c r="MF62" s="402">
        <f>IF(AND(340&gt;=$NR$62,340&lt;=$NS$62),IF($NP$62="Single_Point",IF(340=$NR$62,$NN$62,0),IF($NP$62="Bell_Curve",$NN$62*(340-$NR$62+1)*($NS$62-340+1)/$NU$62,$NN$62/$NT$62)),0)</f>
        <v/>
      </c>
      <c r="MG62" s="402">
        <f>IF(AND(341&gt;=$NR$62,341&lt;=$NS$62),IF($NP$62="Single_Point",IF(341=$NR$62,$NN$62,0),IF($NP$62="Bell_Curve",$NN$62*(341-$NR$62+1)*($NS$62-341+1)/$NU$62,$NN$62/$NT$62)),0)</f>
        <v/>
      </c>
      <c r="MH62" s="402">
        <f>IF(AND(342&gt;=$NR$62,342&lt;=$NS$62),IF($NP$62="Single_Point",IF(342=$NR$62,$NN$62,0),IF($NP$62="Bell_Curve",$NN$62*(342-$NR$62+1)*($NS$62-342+1)/$NU$62,$NN$62/$NT$62)),0)</f>
        <v/>
      </c>
      <c r="MI62" s="402">
        <f>IF(AND(343&gt;=$NR$62,343&lt;=$NS$62),IF($NP$62="Single_Point",IF(343=$NR$62,$NN$62,0),IF($NP$62="Bell_Curve",$NN$62*(343-$NR$62+1)*($NS$62-343+1)/$NU$62,$NN$62/$NT$62)),0)</f>
        <v/>
      </c>
      <c r="MJ62" s="402">
        <f>IF(AND(344&gt;=$NR$62,344&lt;=$NS$62),IF($NP$62="Single_Point",IF(344=$NR$62,$NN$62,0),IF($NP$62="Bell_Curve",$NN$62*(344-$NR$62+1)*($NS$62-344+1)/$NU$62,$NN$62/$NT$62)),0)</f>
        <v/>
      </c>
      <c r="MK62" s="402">
        <f>IF(AND(345&gt;=$NR$62,345&lt;=$NS$62),IF($NP$62="Single_Point",IF(345=$NR$62,$NN$62,0),IF($NP$62="Bell_Curve",$NN$62*(345-$NR$62+1)*($NS$62-345+1)/$NU$62,$NN$62/$NT$62)),0)</f>
        <v/>
      </c>
      <c r="ML62" s="402">
        <f>IF(AND(346&gt;=$NR$62,346&lt;=$NS$62),IF($NP$62="Single_Point",IF(346=$NR$62,$NN$62,0),IF($NP$62="Bell_Curve",$NN$62*(346-$NR$62+1)*($NS$62-346+1)/$NU$62,$NN$62/$NT$62)),0)</f>
        <v/>
      </c>
      <c r="MM62" s="402">
        <f>IF(AND(347&gt;=$NR$62,347&lt;=$NS$62),IF($NP$62="Single_Point",IF(347=$NR$62,$NN$62,0),IF($NP$62="Bell_Curve",$NN$62*(347-$NR$62+1)*($NS$62-347+1)/$NU$62,$NN$62/$NT$62)),0)</f>
        <v/>
      </c>
      <c r="MN62" s="402">
        <f>IF(AND(348&gt;=$NR$62,348&lt;=$NS$62),IF($NP$62="Single_Point",IF(348=$NR$62,$NN$62,0),IF($NP$62="Bell_Curve",$NN$62*(348-$NR$62+1)*($NS$62-348+1)/$NU$62,$NN$62/$NT$62)),0)</f>
        <v/>
      </c>
      <c r="MO62" s="402">
        <f>IF(AND(349&gt;=$NR$62,349&lt;=$NS$62),IF($NP$62="Single_Point",IF(349=$NR$62,$NN$62,0),IF($NP$62="Bell_Curve",$NN$62*(349-$NR$62+1)*($NS$62-349+1)/$NU$62,$NN$62/$NT$62)),0)</f>
        <v/>
      </c>
      <c r="MP62" s="402">
        <f>IF(AND(350&gt;=$NR$62,350&lt;=$NS$62),IF($NP$62="Single_Point",IF(350=$NR$62,$NN$62,0),IF($NP$62="Bell_Curve",$NN$62*(350-$NR$62+1)*($NS$62-350+1)/$NU$62,$NN$62/$NT$62)),0)</f>
        <v/>
      </c>
      <c r="MQ62" s="402">
        <f>IF(AND(351&gt;=$NR$62,351&lt;=$NS$62),IF($NP$62="Single_Point",IF(351=$NR$62,$NN$62,0),IF($NP$62="Bell_Curve",$NN$62*(351-$NR$62+1)*($NS$62-351+1)/$NU$62,$NN$62/$NT$62)),0)</f>
        <v/>
      </c>
      <c r="MR62" s="402">
        <f>IF(AND(352&gt;=$NR$62,352&lt;=$NS$62),IF($NP$62="Single_Point",IF(352=$NR$62,$NN$62,0),IF($NP$62="Bell_Curve",$NN$62*(352-$NR$62+1)*($NS$62-352+1)/$NU$62,$NN$62/$NT$62)),0)</f>
        <v/>
      </c>
      <c r="MS62" s="402">
        <f>IF(AND(353&gt;=$NR$62,353&lt;=$NS$62),IF($NP$62="Single_Point",IF(353=$NR$62,$NN$62,0),IF($NP$62="Bell_Curve",$NN$62*(353-$NR$62+1)*($NS$62-353+1)/$NU$62,$NN$62/$NT$62)),0)</f>
        <v/>
      </c>
      <c r="MT62" s="402">
        <f>IF(AND(354&gt;=$NR$62,354&lt;=$NS$62),IF($NP$62="Single_Point",IF(354=$NR$62,$NN$62,0),IF($NP$62="Bell_Curve",$NN$62*(354-$NR$62+1)*($NS$62-354+1)/$NU$62,$NN$62/$NT$62)),0)</f>
        <v/>
      </c>
      <c r="MU62" s="402">
        <f>IF(AND(355&gt;=$NR$62,355&lt;=$NS$62),IF($NP$62="Single_Point",IF(355=$NR$62,$NN$62,0),IF($NP$62="Bell_Curve",$NN$62*(355-$NR$62+1)*($NS$62-355+1)/$NU$62,$NN$62/$NT$62)),0)</f>
        <v/>
      </c>
      <c r="MV62" s="402">
        <f>IF(AND(356&gt;=$NR$62,356&lt;=$NS$62),IF($NP$62="Single_Point",IF(356=$NR$62,$NN$62,0),IF($NP$62="Bell_Curve",$NN$62*(356-$NR$62+1)*($NS$62-356+1)/$NU$62,$NN$62/$NT$62)),0)</f>
        <v/>
      </c>
      <c r="MW62" s="402">
        <f>IF(AND(357&gt;=$NR$62,357&lt;=$NS$62),IF($NP$62="Single_Point",IF(357=$NR$62,$NN$62,0),IF($NP$62="Bell_Curve",$NN$62*(357-$NR$62+1)*($NS$62-357+1)/$NU$62,$NN$62/$NT$62)),0)</f>
        <v/>
      </c>
      <c r="MX62" s="402">
        <f>IF(AND(358&gt;=$NR$62,358&lt;=$NS$62),IF($NP$62="Single_Point",IF(358=$NR$62,$NN$62,0),IF($NP$62="Bell_Curve",$NN$62*(358-$NR$62+1)*($NS$62-358+1)/$NU$62,$NN$62/$NT$62)),0)</f>
        <v/>
      </c>
      <c r="MY62" s="402">
        <f>IF(AND(359&gt;=$NR$62,359&lt;=$NS$62),IF($NP$62="Single_Point",IF(359=$NR$62,$NN$62,0),IF($NP$62="Bell_Curve",$NN$62*(359-$NR$62+1)*($NS$62-359+1)/$NU$62,$NN$62/$NT$62)),0)</f>
        <v/>
      </c>
      <c r="MZ62" s="402">
        <f>IF(AND(360&gt;=$NR$62,360&lt;=$NS$62),IF($NP$62="Single_Point",IF(360=$NR$62,$NN$62,0),IF($NP$62="Bell_Curve",$NN$62*(360-$NR$62+1)*($NS$62-360+1)/$NU$62,$NN$62/$NT$62)),0)</f>
        <v/>
      </c>
      <c r="NA62" s="402">
        <f>IF(AND(361&gt;=$NR$62,361&lt;=$NS$62),IF($NP$62="Single_Point",IF(361=$NR$62,$NN$62,0),IF($NP$62="Bell_Curve",$NN$62*(361-$NR$62+1)*($NS$62-361+1)/$NU$62,$NN$62/$NT$62)),0)</f>
        <v/>
      </c>
      <c r="NB62" s="402">
        <f>IF(AND(362&gt;=$NR$62,362&lt;=$NS$62),IF($NP$62="Single_Point",IF(362=$NR$62,$NN$62,0),IF($NP$62="Bell_Curve",$NN$62*(362-$NR$62+1)*($NS$62-362+1)/$NU$62,$NN$62/$NT$62)),0)</f>
        <v/>
      </c>
      <c r="NC62" s="402">
        <f>IF(AND(363&gt;=$NR$62,363&lt;=$NS$62),IF($NP$62="Single_Point",IF(363=$NR$62,$NN$62,0),IF($NP$62="Bell_Curve",$NN$62*(363-$NR$62+1)*($NS$62-363+1)/$NU$62,$NN$62/$NT$62)),0)</f>
        <v/>
      </c>
      <c r="ND62" s="402">
        <f>IF(AND(364&gt;=$NR$62,364&lt;=$NS$62),IF($NP$62="Single_Point",IF(364=$NR$62,$NN$62,0),IF($NP$62="Bell_Curve",$NN$62*(364-$NR$62+1)*($NS$62-364+1)/$NU$62,$NN$62/$NT$62)),0)</f>
        <v/>
      </c>
      <c r="NE62" s="402">
        <f>IF(AND(365&gt;=$NR$62,365&lt;=$NS$62),IF($NP$62="Single_Point",IF(365=$NR$62,$NN$62,0),IF($NP$62="Bell_Curve",$NN$62*(365-$NR$62+1)*($NS$62-365+1)/$NU$62,$NN$62/$NT$62)),0)</f>
        <v/>
      </c>
      <c r="NF62" s="402">
        <f>IF(AND(366&gt;=$NR$62,366&lt;=$NS$62),IF($NP$62="Single_Point",IF(366=$NR$62,$NN$62,0),IF($NP$62="Bell_Curve",$NN$62*(366-$NR$62+1)*($NS$62-366+1)/$NU$62,$NN$62/$NT$62)),0)</f>
        <v/>
      </c>
      <c r="NG62" s="402">
        <f>IF(AND(367&gt;=$NR$62,367&lt;=$NS$62),IF($NP$62="Single_Point",IF(367=$NR$62,$NN$62,0),IF($NP$62="Bell_Curve",$NN$62*(367-$NR$62+1)*($NS$62-367+1)/$NU$62,$NN$62/$NT$62)),0)</f>
        <v/>
      </c>
      <c r="NH62" s="402">
        <f>IF(AND(368&gt;=$NR$62,368&lt;=$NS$62),IF($NP$62="Single_Point",IF(368=$NR$62,$NN$62,0),IF($NP$62="Bell_Curve",$NN$62*(368-$NR$62+1)*($NS$62-368+1)/$NU$62,$NN$62/$NT$62)),0)</f>
        <v/>
      </c>
      <c r="NI62" s="402">
        <f>IF(AND(369&gt;=$NR$62,369&lt;=$NS$62),IF($NP$62="Single_Point",IF(369=$NR$62,$NN$62,0),IF($NP$62="Bell_Curve",$NN$62*(369-$NR$62+1)*($NS$62-369+1)/$NU$62,$NN$62/$NT$62)),0)</f>
        <v/>
      </c>
      <c r="NJ62" s="402">
        <f>IF(AND(370&gt;=$NR$62,370&lt;=$NS$62),IF($NP$62="Single_Point",IF(370=$NR$62,$NN$62,0),IF($NP$62="Bell_Curve",$NN$62*(370-$NR$62+1)*($NS$62-370+1)/$NU$62,$NN$62/$NT$62)),0)</f>
        <v/>
      </c>
      <c r="NK62" s="402">
        <f>IF(AND(371&gt;=$NR$62,371&lt;=$NS$62),IF($NP$62="Single_Point",IF(371=$NR$62,$NN$62,0),IF($NP$62="Bell_Curve",$NN$62*(371-$NR$62+1)*($NS$62-371+1)/$NU$62,$NN$62/$NT$62)),0)</f>
        <v/>
      </c>
      <c r="NL62" s="402">
        <f>IF(AND(372&gt;=$NR$62,372&lt;=$NS$62),IF($NP$62="Single_Point",IF(372=$NR$62,$NN$62,0),IF($NP$62="Bell_Curve",$NN$62*(372-$NR$62+1)*($NS$62-372+1)/$NU$62,$NN$62/$NT$62)),0)</f>
        <v/>
      </c>
      <c r="NM62">
        <f>Budget!C61</f>
        <v/>
      </c>
      <c r="NN62">
        <f>Budget!J61</f>
        <v/>
      </c>
      <c r="NO62">
        <f>Budget!G61</f>
        <v/>
      </c>
      <c r="NP62">
        <f>Budget!H61</f>
        <v/>
      </c>
      <c r="NQ62">
        <f>Budget!I61</f>
        <v/>
      </c>
      <c r="NR62">
        <f>MAX(1,MIN(372,INDEX(MilestoneStart,MATCH(NO62,MilestoneNames,0))+NQ62))</f>
        <v/>
      </c>
      <c r="NS62">
        <f>MAX(NR62,MIN(372,INDEX(MilestoneEnd,MATCH(NO62,MilestoneNames,0))+NQ62))</f>
        <v/>
      </c>
      <c r="NT62">
        <f>NS62-NR62+1</f>
        <v/>
      </c>
      <c r="NU62">
        <f>NT62*(NT62+1)*(NT62+2)/6</f>
        <v/>
      </c>
    </row>
    <row r="63">
      <c r="B63" s="316">
        <f>Budget!B62</f>
        <v/>
      </c>
      <c r="D63" s="402">
        <f>SUM(E63:NL63)</f>
        <v/>
      </c>
      <c r="E63" s="402">
        <f>IF(AND(1&gt;=$NR$63,1&lt;=$NS$63),IF($NP$63="Single_Point",IF(1=$NR$63,$NN$63,0),IF($NP$63="Bell_Curve",$NN$63*(1-$NR$63+1)*($NS$63-1+1)/$NU$63,$NN$63/$NT$63)),0)</f>
        <v/>
      </c>
      <c r="F63" s="402">
        <f>IF(AND(2&gt;=$NR$63,2&lt;=$NS$63),IF($NP$63="Single_Point",IF(2=$NR$63,$NN$63,0),IF($NP$63="Bell_Curve",$NN$63*(2-$NR$63+1)*($NS$63-2+1)/$NU$63,$NN$63/$NT$63)),0)</f>
        <v/>
      </c>
      <c r="G63" s="402">
        <f>IF(AND(3&gt;=$NR$63,3&lt;=$NS$63),IF($NP$63="Single_Point",IF(3=$NR$63,$NN$63,0),IF($NP$63="Bell_Curve",$NN$63*(3-$NR$63+1)*($NS$63-3+1)/$NU$63,$NN$63/$NT$63)),0)</f>
        <v/>
      </c>
      <c r="H63" s="402">
        <f>IF(AND(4&gt;=$NR$63,4&lt;=$NS$63),IF($NP$63="Single_Point",IF(4=$NR$63,$NN$63,0),IF($NP$63="Bell_Curve",$NN$63*(4-$NR$63+1)*($NS$63-4+1)/$NU$63,$NN$63/$NT$63)),0)</f>
        <v/>
      </c>
      <c r="I63" s="402">
        <f>IF(AND(5&gt;=$NR$63,5&lt;=$NS$63),IF($NP$63="Single_Point",IF(5=$NR$63,$NN$63,0),IF($NP$63="Bell_Curve",$NN$63*(5-$NR$63+1)*($NS$63-5+1)/$NU$63,$NN$63/$NT$63)),0)</f>
        <v/>
      </c>
      <c r="J63" s="402">
        <f>IF(AND(6&gt;=$NR$63,6&lt;=$NS$63),IF($NP$63="Single_Point",IF(6=$NR$63,$NN$63,0),IF($NP$63="Bell_Curve",$NN$63*(6-$NR$63+1)*($NS$63-6+1)/$NU$63,$NN$63/$NT$63)),0)</f>
        <v/>
      </c>
      <c r="K63" s="402">
        <f>IF(AND(7&gt;=$NR$63,7&lt;=$NS$63),IF($NP$63="Single_Point",IF(7=$NR$63,$NN$63,0),IF($NP$63="Bell_Curve",$NN$63*(7-$NR$63+1)*($NS$63-7+1)/$NU$63,$NN$63/$NT$63)),0)</f>
        <v/>
      </c>
      <c r="L63" s="402">
        <f>IF(AND(8&gt;=$NR$63,8&lt;=$NS$63),IF($NP$63="Single_Point",IF(8=$NR$63,$NN$63,0),IF($NP$63="Bell_Curve",$NN$63*(8-$NR$63+1)*($NS$63-8+1)/$NU$63,$NN$63/$NT$63)),0)</f>
        <v/>
      </c>
      <c r="M63" s="402">
        <f>IF(AND(9&gt;=$NR$63,9&lt;=$NS$63),IF($NP$63="Single_Point",IF(9=$NR$63,$NN$63,0),IF($NP$63="Bell_Curve",$NN$63*(9-$NR$63+1)*($NS$63-9+1)/$NU$63,$NN$63/$NT$63)),0)</f>
        <v/>
      </c>
      <c r="N63" s="402">
        <f>IF(AND(10&gt;=$NR$63,10&lt;=$NS$63),IF($NP$63="Single_Point",IF(10=$NR$63,$NN$63,0),IF($NP$63="Bell_Curve",$NN$63*(10-$NR$63+1)*($NS$63-10+1)/$NU$63,$NN$63/$NT$63)),0)</f>
        <v/>
      </c>
      <c r="O63" s="402">
        <f>IF(AND(11&gt;=$NR$63,11&lt;=$NS$63),IF($NP$63="Single_Point",IF(11=$NR$63,$NN$63,0),IF($NP$63="Bell_Curve",$NN$63*(11-$NR$63+1)*($NS$63-11+1)/$NU$63,$NN$63/$NT$63)),0)</f>
        <v/>
      </c>
      <c r="P63" s="402">
        <f>IF(AND(12&gt;=$NR$63,12&lt;=$NS$63),IF($NP$63="Single_Point",IF(12=$NR$63,$NN$63,0),IF($NP$63="Bell_Curve",$NN$63*(12-$NR$63+1)*($NS$63-12+1)/$NU$63,$NN$63/$NT$63)),0)</f>
        <v/>
      </c>
      <c r="Q63" s="402">
        <f>IF(AND(13&gt;=$NR$63,13&lt;=$NS$63),IF($NP$63="Single_Point",IF(13=$NR$63,$NN$63,0),IF($NP$63="Bell_Curve",$NN$63*(13-$NR$63+1)*($NS$63-13+1)/$NU$63,$NN$63/$NT$63)),0)</f>
        <v/>
      </c>
      <c r="R63" s="402">
        <f>IF(AND(14&gt;=$NR$63,14&lt;=$NS$63),IF($NP$63="Single_Point",IF(14=$NR$63,$NN$63,0),IF($NP$63="Bell_Curve",$NN$63*(14-$NR$63+1)*($NS$63-14+1)/$NU$63,$NN$63/$NT$63)),0)</f>
        <v/>
      </c>
      <c r="S63" s="402">
        <f>IF(AND(15&gt;=$NR$63,15&lt;=$NS$63),IF($NP$63="Single_Point",IF(15=$NR$63,$NN$63,0),IF($NP$63="Bell_Curve",$NN$63*(15-$NR$63+1)*($NS$63-15+1)/$NU$63,$NN$63/$NT$63)),0)</f>
        <v/>
      </c>
      <c r="T63" s="402">
        <f>IF(AND(16&gt;=$NR$63,16&lt;=$NS$63),IF($NP$63="Single_Point",IF(16=$NR$63,$NN$63,0),IF($NP$63="Bell_Curve",$NN$63*(16-$NR$63+1)*($NS$63-16+1)/$NU$63,$NN$63/$NT$63)),0)</f>
        <v/>
      </c>
      <c r="U63" s="402">
        <f>IF(AND(17&gt;=$NR$63,17&lt;=$NS$63),IF($NP$63="Single_Point",IF(17=$NR$63,$NN$63,0),IF($NP$63="Bell_Curve",$NN$63*(17-$NR$63+1)*($NS$63-17+1)/$NU$63,$NN$63/$NT$63)),0)</f>
        <v/>
      </c>
      <c r="V63" s="402">
        <f>IF(AND(18&gt;=$NR$63,18&lt;=$NS$63),IF($NP$63="Single_Point",IF(18=$NR$63,$NN$63,0),IF($NP$63="Bell_Curve",$NN$63*(18-$NR$63+1)*($NS$63-18+1)/$NU$63,$NN$63/$NT$63)),0)</f>
        <v/>
      </c>
      <c r="W63" s="402">
        <f>IF(AND(19&gt;=$NR$63,19&lt;=$NS$63),IF($NP$63="Single_Point",IF(19=$NR$63,$NN$63,0),IF($NP$63="Bell_Curve",$NN$63*(19-$NR$63+1)*($NS$63-19+1)/$NU$63,$NN$63/$NT$63)),0)</f>
        <v/>
      </c>
      <c r="X63" s="402">
        <f>IF(AND(20&gt;=$NR$63,20&lt;=$NS$63),IF($NP$63="Single_Point",IF(20=$NR$63,$NN$63,0),IF($NP$63="Bell_Curve",$NN$63*(20-$NR$63+1)*($NS$63-20+1)/$NU$63,$NN$63/$NT$63)),0)</f>
        <v/>
      </c>
      <c r="Y63" s="402">
        <f>IF(AND(21&gt;=$NR$63,21&lt;=$NS$63),IF($NP$63="Single_Point",IF(21=$NR$63,$NN$63,0),IF($NP$63="Bell_Curve",$NN$63*(21-$NR$63+1)*($NS$63-21+1)/$NU$63,$NN$63/$NT$63)),0)</f>
        <v/>
      </c>
      <c r="Z63" s="402">
        <f>IF(AND(22&gt;=$NR$63,22&lt;=$NS$63),IF($NP$63="Single_Point",IF(22=$NR$63,$NN$63,0),IF($NP$63="Bell_Curve",$NN$63*(22-$NR$63+1)*($NS$63-22+1)/$NU$63,$NN$63/$NT$63)),0)</f>
        <v/>
      </c>
      <c r="AA63" s="402">
        <f>IF(AND(23&gt;=$NR$63,23&lt;=$NS$63),IF($NP$63="Single_Point",IF(23=$NR$63,$NN$63,0),IF($NP$63="Bell_Curve",$NN$63*(23-$NR$63+1)*($NS$63-23+1)/$NU$63,$NN$63/$NT$63)),0)</f>
        <v/>
      </c>
      <c r="AB63" s="402">
        <f>IF(AND(24&gt;=$NR$63,24&lt;=$NS$63),IF($NP$63="Single_Point",IF(24=$NR$63,$NN$63,0),IF($NP$63="Bell_Curve",$NN$63*(24-$NR$63+1)*($NS$63-24+1)/$NU$63,$NN$63/$NT$63)),0)</f>
        <v/>
      </c>
      <c r="AC63" s="402">
        <f>IF(AND(25&gt;=$NR$63,25&lt;=$NS$63),IF($NP$63="Single_Point",IF(25=$NR$63,$NN$63,0),IF($NP$63="Bell_Curve",$NN$63*(25-$NR$63+1)*($NS$63-25+1)/$NU$63,$NN$63/$NT$63)),0)</f>
        <v/>
      </c>
      <c r="AD63" s="402">
        <f>IF(AND(26&gt;=$NR$63,26&lt;=$NS$63),IF($NP$63="Single_Point",IF(26=$NR$63,$NN$63,0),IF($NP$63="Bell_Curve",$NN$63*(26-$NR$63+1)*($NS$63-26+1)/$NU$63,$NN$63/$NT$63)),0)</f>
        <v/>
      </c>
      <c r="AE63" s="402">
        <f>IF(AND(27&gt;=$NR$63,27&lt;=$NS$63),IF($NP$63="Single_Point",IF(27=$NR$63,$NN$63,0),IF($NP$63="Bell_Curve",$NN$63*(27-$NR$63+1)*($NS$63-27+1)/$NU$63,$NN$63/$NT$63)),0)</f>
        <v/>
      </c>
      <c r="AF63" s="402">
        <f>IF(AND(28&gt;=$NR$63,28&lt;=$NS$63),IF($NP$63="Single_Point",IF(28=$NR$63,$NN$63,0),IF($NP$63="Bell_Curve",$NN$63*(28-$NR$63+1)*($NS$63-28+1)/$NU$63,$NN$63/$NT$63)),0)</f>
        <v/>
      </c>
      <c r="AG63" s="402">
        <f>IF(AND(29&gt;=$NR$63,29&lt;=$NS$63),IF($NP$63="Single_Point",IF(29=$NR$63,$NN$63,0),IF($NP$63="Bell_Curve",$NN$63*(29-$NR$63+1)*($NS$63-29+1)/$NU$63,$NN$63/$NT$63)),0)</f>
        <v/>
      </c>
      <c r="AH63" s="402">
        <f>IF(AND(30&gt;=$NR$63,30&lt;=$NS$63),IF($NP$63="Single_Point",IF(30=$NR$63,$NN$63,0),IF($NP$63="Bell_Curve",$NN$63*(30-$NR$63+1)*($NS$63-30+1)/$NU$63,$NN$63/$NT$63)),0)</f>
        <v/>
      </c>
      <c r="AI63" s="402">
        <f>IF(AND(31&gt;=$NR$63,31&lt;=$NS$63),IF($NP$63="Single_Point",IF(31=$NR$63,$NN$63,0),IF($NP$63="Bell_Curve",$NN$63*(31-$NR$63+1)*($NS$63-31+1)/$NU$63,$NN$63/$NT$63)),0)</f>
        <v/>
      </c>
      <c r="AJ63" s="402">
        <f>IF(AND(32&gt;=$NR$63,32&lt;=$NS$63),IF($NP$63="Single_Point",IF(32=$NR$63,$NN$63,0),IF($NP$63="Bell_Curve",$NN$63*(32-$NR$63+1)*($NS$63-32+1)/$NU$63,$NN$63/$NT$63)),0)</f>
        <v/>
      </c>
      <c r="AK63" s="402">
        <f>IF(AND(33&gt;=$NR$63,33&lt;=$NS$63),IF($NP$63="Single_Point",IF(33=$NR$63,$NN$63,0),IF($NP$63="Bell_Curve",$NN$63*(33-$NR$63+1)*($NS$63-33+1)/$NU$63,$NN$63/$NT$63)),0)</f>
        <v/>
      </c>
      <c r="AL63" s="402">
        <f>IF(AND(34&gt;=$NR$63,34&lt;=$NS$63),IF($NP$63="Single_Point",IF(34=$NR$63,$NN$63,0),IF($NP$63="Bell_Curve",$NN$63*(34-$NR$63+1)*($NS$63-34+1)/$NU$63,$NN$63/$NT$63)),0)</f>
        <v/>
      </c>
      <c r="AM63" s="402">
        <f>IF(AND(35&gt;=$NR$63,35&lt;=$NS$63),IF($NP$63="Single_Point",IF(35=$NR$63,$NN$63,0),IF($NP$63="Bell_Curve",$NN$63*(35-$NR$63+1)*($NS$63-35+1)/$NU$63,$NN$63/$NT$63)),0)</f>
        <v/>
      </c>
      <c r="AN63" s="402">
        <f>IF(AND(36&gt;=$NR$63,36&lt;=$NS$63),IF($NP$63="Single_Point",IF(36=$NR$63,$NN$63,0),IF($NP$63="Bell_Curve",$NN$63*(36-$NR$63+1)*($NS$63-36+1)/$NU$63,$NN$63/$NT$63)),0)</f>
        <v/>
      </c>
      <c r="AO63" s="402">
        <f>IF(AND(37&gt;=$NR$63,37&lt;=$NS$63),IF($NP$63="Single_Point",IF(37=$NR$63,$NN$63,0),IF($NP$63="Bell_Curve",$NN$63*(37-$NR$63+1)*($NS$63-37+1)/$NU$63,$NN$63/$NT$63)),0)</f>
        <v/>
      </c>
      <c r="AP63" s="402">
        <f>IF(AND(38&gt;=$NR$63,38&lt;=$NS$63),IF($NP$63="Single_Point",IF(38=$NR$63,$NN$63,0),IF($NP$63="Bell_Curve",$NN$63*(38-$NR$63+1)*($NS$63-38+1)/$NU$63,$NN$63/$NT$63)),0)</f>
        <v/>
      </c>
      <c r="AQ63" s="402">
        <f>IF(AND(39&gt;=$NR$63,39&lt;=$NS$63),IF($NP$63="Single_Point",IF(39=$NR$63,$NN$63,0),IF($NP$63="Bell_Curve",$NN$63*(39-$NR$63+1)*($NS$63-39+1)/$NU$63,$NN$63/$NT$63)),0)</f>
        <v/>
      </c>
      <c r="AR63" s="402">
        <f>IF(AND(40&gt;=$NR$63,40&lt;=$NS$63),IF($NP$63="Single_Point",IF(40=$NR$63,$NN$63,0),IF($NP$63="Bell_Curve",$NN$63*(40-$NR$63+1)*($NS$63-40+1)/$NU$63,$NN$63/$NT$63)),0)</f>
        <v/>
      </c>
      <c r="AS63" s="402">
        <f>IF(AND(41&gt;=$NR$63,41&lt;=$NS$63),IF($NP$63="Single_Point",IF(41=$NR$63,$NN$63,0),IF($NP$63="Bell_Curve",$NN$63*(41-$NR$63+1)*($NS$63-41+1)/$NU$63,$NN$63/$NT$63)),0)</f>
        <v/>
      </c>
      <c r="AT63" s="402">
        <f>IF(AND(42&gt;=$NR$63,42&lt;=$NS$63),IF($NP$63="Single_Point",IF(42=$NR$63,$NN$63,0),IF($NP$63="Bell_Curve",$NN$63*(42-$NR$63+1)*($NS$63-42+1)/$NU$63,$NN$63/$NT$63)),0)</f>
        <v/>
      </c>
      <c r="AU63" s="402">
        <f>IF(AND(43&gt;=$NR$63,43&lt;=$NS$63),IF($NP$63="Single_Point",IF(43=$NR$63,$NN$63,0),IF($NP$63="Bell_Curve",$NN$63*(43-$NR$63+1)*($NS$63-43+1)/$NU$63,$NN$63/$NT$63)),0)</f>
        <v/>
      </c>
      <c r="AV63" s="402">
        <f>IF(AND(44&gt;=$NR$63,44&lt;=$NS$63),IF($NP$63="Single_Point",IF(44=$NR$63,$NN$63,0),IF($NP$63="Bell_Curve",$NN$63*(44-$NR$63+1)*($NS$63-44+1)/$NU$63,$NN$63/$NT$63)),0)</f>
        <v/>
      </c>
      <c r="AW63" s="402">
        <f>IF(AND(45&gt;=$NR$63,45&lt;=$NS$63),IF($NP$63="Single_Point",IF(45=$NR$63,$NN$63,0),IF($NP$63="Bell_Curve",$NN$63*(45-$NR$63+1)*($NS$63-45+1)/$NU$63,$NN$63/$NT$63)),0)</f>
        <v/>
      </c>
      <c r="AX63" s="402">
        <f>IF(AND(46&gt;=$NR$63,46&lt;=$NS$63),IF($NP$63="Single_Point",IF(46=$NR$63,$NN$63,0),IF($NP$63="Bell_Curve",$NN$63*(46-$NR$63+1)*($NS$63-46+1)/$NU$63,$NN$63/$NT$63)),0)</f>
        <v/>
      </c>
      <c r="AY63" s="402">
        <f>IF(AND(47&gt;=$NR$63,47&lt;=$NS$63),IF($NP$63="Single_Point",IF(47=$NR$63,$NN$63,0),IF($NP$63="Bell_Curve",$NN$63*(47-$NR$63+1)*($NS$63-47+1)/$NU$63,$NN$63/$NT$63)),0)</f>
        <v/>
      </c>
      <c r="AZ63" s="402">
        <f>IF(AND(48&gt;=$NR$63,48&lt;=$NS$63),IF($NP$63="Single_Point",IF(48=$NR$63,$NN$63,0),IF($NP$63="Bell_Curve",$NN$63*(48-$NR$63+1)*($NS$63-48+1)/$NU$63,$NN$63/$NT$63)),0)</f>
        <v/>
      </c>
      <c r="BA63" s="402">
        <f>IF(AND(49&gt;=$NR$63,49&lt;=$NS$63),IF($NP$63="Single_Point",IF(49=$NR$63,$NN$63,0),IF($NP$63="Bell_Curve",$NN$63*(49-$NR$63+1)*($NS$63-49+1)/$NU$63,$NN$63/$NT$63)),0)</f>
        <v/>
      </c>
      <c r="BB63" s="402">
        <f>IF(AND(50&gt;=$NR$63,50&lt;=$NS$63),IF($NP$63="Single_Point",IF(50=$NR$63,$NN$63,0),IF($NP$63="Bell_Curve",$NN$63*(50-$NR$63+1)*($NS$63-50+1)/$NU$63,$NN$63/$NT$63)),0)</f>
        <v/>
      </c>
      <c r="BC63" s="402">
        <f>IF(AND(51&gt;=$NR$63,51&lt;=$NS$63),IF($NP$63="Single_Point",IF(51=$NR$63,$NN$63,0),IF($NP$63="Bell_Curve",$NN$63*(51-$NR$63+1)*($NS$63-51+1)/$NU$63,$NN$63/$NT$63)),0)</f>
        <v/>
      </c>
      <c r="BD63" s="402">
        <f>IF(AND(52&gt;=$NR$63,52&lt;=$NS$63),IF($NP$63="Single_Point",IF(52=$NR$63,$NN$63,0),IF($NP$63="Bell_Curve",$NN$63*(52-$NR$63+1)*($NS$63-52+1)/$NU$63,$NN$63/$NT$63)),0)</f>
        <v/>
      </c>
      <c r="BE63" s="402">
        <f>IF(AND(53&gt;=$NR$63,53&lt;=$NS$63),IF($NP$63="Single_Point",IF(53=$NR$63,$NN$63,0),IF($NP$63="Bell_Curve",$NN$63*(53-$NR$63+1)*($NS$63-53+1)/$NU$63,$NN$63/$NT$63)),0)</f>
        <v/>
      </c>
      <c r="BF63" s="402">
        <f>IF(AND(54&gt;=$NR$63,54&lt;=$NS$63),IF($NP$63="Single_Point",IF(54=$NR$63,$NN$63,0),IF($NP$63="Bell_Curve",$NN$63*(54-$NR$63+1)*($NS$63-54+1)/$NU$63,$NN$63/$NT$63)),0)</f>
        <v/>
      </c>
      <c r="BG63" s="402">
        <f>IF(AND(55&gt;=$NR$63,55&lt;=$NS$63),IF($NP$63="Single_Point",IF(55=$NR$63,$NN$63,0),IF($NP$63="Bell_Curve",$NN$63*(55-$NR$63+1)*($NS$63-55+1)/$NU$63,$NN$63/$NT$63)),0)</f>
        <v/>
      </c>
      <c r="BH63" s="402">
        <f>IF(AND(56&gt;=$NR$63,56&lt;=$NS$63),IF($NP$63="Single_Point",IF(56=$NR$63,$NN$63,0),IF($NP$63="Bell_Curve",$NN$63*(56-$NR$63+1)*($NS$63-56+1)/$NU$63,$NN$63/$NT$63)),0)</f>
        <v/>
      </c>
      <c r="BI63" s="402">
        <f>IF(AND(57&gt;=$NR$63,57&lt;=$NS$63),IF($NP$63="Single_Point",IF(57=$NR$63,$NN$63,0),IF($NP$63="Bell_Curve",$NN$63*(57-$NR$63+1)*($NS$63-57+1)/$NU$63,$NN$63/$NT$63)),0)</f>
        <v/>
      </c>
      <c r="BJ63" s="402">
        <f>IF(AND(58&gt;=$NR$63,58&lt;=$NS$63),IF($NP$63="Single_Point",IF(58=$NR$63,$NN$63,0),IF($NP$63="Bell_Curve",$NN$63*(58-$NR$63+1)*($NS$63-58+1)/$NU$63,$NN$63/$NT$63)),0)</f>
        <v/>
      </c>
      <c r="BK63" s="402">
        <f>IF(AND(59&gt;=$NR$63,59&lt;=$NS$63),IF($NP$63="Single_Point",IF(59=$NR$63,$NN$63,0),IF($NP$63="Bell_Curve",$NN$63*(59-$NR$63+1)*($NS$63-59+1)/$NU$63,$NN$63/$NT$63)),0)</f>
        <v/>
      </c>
      <c r="BL63" s="402">
        <f>IF(AND(60&gt;=$NR$63,60&lt;=$NS$63),IF($NP$63="Single_Point",IF(60=$NR$63,$NN$63,0),IF($NP$63="Bell_Curve",$NN$63*(60-$NR$63+1)*($NS$63-60+1)/$NU$63,$NN$63/$NT$63)),0)</f>
        <v/>
      </c>
      <c r="BM63" s="402">
        <f>IF(AND(61&gt;=$NR$63,61&lt;=$NS$63),IF($NP$63="Single_Point",IF(61=$NR$63,$NN$63,0),IF($NP$63="Bell_Curve",$NN$63*(61-$NR$63+1)*($NS$63-61+1)/$NU$63,$NN$63/$NT$63)),0)</f>
        <v/>
      </c>
      <c r="BN63" s="402">
        <f>IF(AND(62&gt;=$NR$63,62&lt;=$NS$63),IF($NP$63="Single_Point",IF(62=$NR$63,$NN$63,0),IF($NP$63="Bell_Curve",$NN$63*(62-$NR$63+1)*($NS$63-62+1)/$NU$63,$NN$63/$NT$63)),0)</f>
        <v/>
      </c>
      <c r="BO63" s="402">
        <f>IF(AND(63&gt;=$NR$63,63&lt;=$NS$63),IF($NP$63="Single_Point",IF(63=$NR$63,$NN$63,0),IF($NP$63="Bell_Curve",$NN$63*(63-$NR$63+1)*($NS$63-63+1)/$NU$63,$NN$63/$NT$63)),0)</f>
        <v/>
      </c>
      <c r="BP63" s="402">
        <f>IF(AND(64&gt;=$NR$63,64&lt;=$NS$63),IF($NP$63="Single_Point",IF(64=$NR$63,$NN$63,0),IF($NP$63="Bell_Curve",$NN$63*(64-$NR$63+1)*($NS$63-64+1)/$NU$63,$NN$63/$NT$63)),0)</f>
        <v/>
      </c>
      <c r="BQ63" s="402">
        <f>IF(AND(65&gt;=$NR$63,65&lt;=$NS$63),IF($NP$63="Single_Point",IF(65=$NR$63,$NN$63,0),IF($NP$63="Bell_Curve",$NN$63*(65-$NR$63+1)*($NS$63-65+1)/$NU$63,$NN$63/$NT$63)),0)</f>
        <v/>
      </c>
      <c r="BR63" s="402">
        <f>IF(AND(66&gt;=$NR$63,66&lt;=$NS$63),IF($NP$63="Single_Point",IF(66=$NR$63,$NN$63,0),IF($NP$63="Bell_Curve",$NN$63*(66-$NR$63+1)*($NS$63-66+1)/$NU$63,$NN$63/$NT$63)),0)</f>
        <v/>
      </c>
      <c r="BS63" s="402">
        <f>IF(AND(67&gt;=$NR$63,67&lt;=$NS$63),IF($NP$63="Single_Point",IF(67=$NR$63,$NN$63,0),IF($NP$63="Bell_Curve",$NN$63*(67-$NR$63+1)*($NS$63-67+1)/$NU$63,$NN$63/$NT$63)),0)</f>
        <v/>
      </c>
      <c r="BT63" s="402">
        <f>IF(AND(68&gt;=$NR$63,68&lt;=$NS$63),IF($NP$63="Single_Point",IF(68=$NR$63,$NN$63,0),IF($NP$63="Bell_Curve",$NN$63*(68-$NR$63+1)*($NS$63-68+1)/$NU$63,$NN$63/$NT$63)),0)</f>
        <v/>
      </c>
      <c r="BU63" s="402">
        <f>IF(AND(69&gt;=$NR$63,69&lt;=$NS$63),IF($NP$63="Single_Point",IF(69=$NR$63,$NN$63,0),IF($NP$63="Bell_Curve",$NN$63*(69-$NR$63+1)*($NS$63-69+1)/$NU$63,$NN$63/$NT$63)),0)</f>
        <v/>
      </c>
      <c r="BV63" s="402">
        <f>IF(AND(70&gt;=$NR$63,70&lt;=$NS$63),IF($NP$63="Single_Point",IF(70=$NR$63,$NN$63,0),IF($NP$63="Bell_Curve",$NN$63*(70-$NR$63+1)*($NS$63-70+1)/$NU$63,$NN$63/$NT$63)),0)</f>
        <v/>
      </c>
      <c r="BW63" s="402">
        <f>IF(AND(71&gt;=$NR$63,71&lt;=$NS$63),IF($NP$63="Single_Point",IF(71=$NR$63,$NN$63,0),IF($NP$63="Bell_Curve",$NN$63*(71-$NR$63+1)*($NS$63-71+1)/$NU$63,$NN$63/$NT$63)),0)</f>
        <v/>
      </c>
      <c r="BX63" s="402">
        <f>IF(AND(72&gt;=$NR$63,72&lt;=$NS$63),IF($NP$63="Single_Point",IF(72=$NR$63,$NN$63,0),IF($NP$63="Bell_Curve",$NN$63*(72-$NR$63+1)*($NS$63-72+1)/$NU$63,$NN$63/$NT$63)),0)</f>
        <v/>
      </c>
      <c r="BY63" s="402">
        <f>IF(AND(73&gt;=$NR$63,73&lt;=$NS$63),IF($NP$63="Single_Point",IF(73=$NR$63,$NN$63,0),IF($NP$63="Bell_Curve",$NN$63*(73-$NR$63+1)*($NS$63-73+1)/$NU$63,$NN$63/$NT$63)),0)</f>
        <v/>
      </c>
      <c r="BZ63" s="402">
        <f>IF(AND(74&gt;=$NR$63,74&lt;=$NS$63),IF($NP$63="Single_Point",IF(74=$NR$63,$NN$63,0),IF($NP$63="Bell_Curve",$NN$63*(74-$NR$63+1)*($NS$63-74+1)/$NU$63,$NN$63/$NT$63)),0)</f>
        <v/>
      </c>
      <c r="CA63" s="402">
        <f>IF(AND(75&gt;=$NR$63,75&lt;=$NS$63),IF($NP$63="Single_Point",IF(75=$NR$63,$NN$63,0),IF($NP$63="Bell_Curve",$NN$63*(75-$NR$63+1)*($NS$63-75+1)/$NU$63,$NN$63/$NT$63)),0)</f>
        <v/>
      </c>
      <c r="CB63" s="402">
        <f>IF(AND(76&gt;=$NR$63,76&lt;=$NS$63),IF($NP$63="Single_Point",IF(76=$NR$63,$NN$63,0),IF($NP$63="Bell_Curve",$NN$63*(76-$NR$63+1)*($NS$63-76+1)/$NU$63,$NN$63/$NT$63)),0)</f>
        <v/>
      </c>
      <c r="CC63" s="402">
        <f>IF(AND(77&gt;=$NR$63,77&lt;=$NS$63),IF($NP$63="Single_Point",IF(77=$NR$63,$NN$63,0),IF($NP$63="Bell_Curve",$NN$63*(77-$NR$63+1)*($NS$63-77+1)/$NU$63,$NN$63/$NT$63)),0)</f>
        <v/>
      </c>
      <c r="CD63" s="402">
        <f>IF(AND(78&gt;=$NR$63,78&lt;=$NS$63),IF($NP$63="Single_Point",IF(78=$NR$63,$NN$63,0),IF($NP$63="Bell_Curve",$NN$63*(78-$NR$63+1)*($NS$63-78+1)/$NU$63,$NN$63/$NT$63)),0)</f>
        <v/>
      </c>
      <c r="CE63" s="402">
        <f>IF(AND(79&gt;=$NR$63,79&lt;=$NS$63),IF($NP$63="Single_Point",IF(79=$NR$63,$NN$63,0),IF($NP$63="Bell_Curve",$NN$63*(79-$NR$63+1)*($NS$63-79+1)/$NU$63,$NN$63/$NT$63)),0)</f>
        <v/>
      </c>
      <c r="CF63" s="402">
        <f>IF(AND(80&gt;=$NR$63,80&lt;=$NS$63),IF($NP$63="Single_Point",IF(80=$NR$63,$NN$63,0),IF($NP$63="Bell_Curve",$NN$63*(80-$NR$63+1)*($NS$63-80+1)/$NU$63,$NN$63/$NT$63)),0)</f>
        <v/>
      </c>
      <c r="CG63" s="402">
        <f>IF(AND(81&gt;=$NR$63,81&lt;=$NS$63),IF($NP$63="Single_Point",IF(81=$NR$63,$NN$63,0),IF($NP$63="Bell_Curve",$NN$63*(81-$NR$63+1)*($NS$63-81+1)/$NU$63,$NN$63/$NT$63)),0)</f>
        <v/>
      </c>
      <c r="CH63" s="402">
        <f>IF(AND(82&gt;=$NR$63,82&lt;=$NS$63),IF($NP$63="Single_Point",IF(82=$NR$63,$NN$63,0),IF($NP$63="Bell_Curve",$NN$63*(82-$NR$63+1)*($NS$63-82+1)/$NU$63,$NN$63/$NT$63)),0)</f>
        <v/>
      </c>
      <c r="CI63" s="402">
        <f>IF(AND(83&gt;=$NR$63,83&lt;=$NS$63),IF($NP$63="Single_Point",IF(83=$NR$63,$NN$63,0),IF($NP$63="Bell_Curve",$NN$63*(83-$NR$63+1)*($NS$63-83+1)/$NU$63,$NN$63/$NT$63)),0)</f>
        <v/>
      </c>
      <c r="CJ63" s="402">
        <f>IF(AND(84&gt;=$NR$63,84&lt;=$NS$63),IF($NP$63="Single_Point",IF(84=$NR$63,$NN$63,0),IF($NP$63="Bell_Curve",$NN$63*(84-$NR$63+1)*($NS$63-84+1)/$NU$63,$NN$63/$NT$63)),0)</f>
        <v/>
      </c>
      <c r="CK63" s="402">
        <f>IF(AND(85&gt;=$NR$63,85&lt;=$NS$63),IF($NP$63="Single_Point",IF(85=$NR$63,$NN$63,0),IF($NP$63="Bell_Curve",$NN$63*(85-$NR$63+1)*($NS$63-85+1)/$NU$63,$NN$63/$NT$63)),0)</f>
        <v/>
      </c>
      <c r="CL63" s="402">
        <f>IF(AND(86&gt;=$NR$63,86&lt;=$NS$63),IF($NP$63="Single_Point",IF(86=$NR$63,$NN$63,0),IF($NP$63="Bell_Curve",$NN$63*(86-$NR$63+1)*($NS$63-86+1)/$NU$63,$NN$63/$NT$63)),0)</f>
        <v/>
      </c>
      <c r="CM63" s="402">
        <f>IF(AND(87&gt;=$NR$63,87&lt;=$NS$63),IF($NP$63="Single_Point",IF(87=$NR$63,$NN$63,0),IF($NP$63="Bell_Curve",$NN$63*(87-$NR$63+1)*($NS$63-87+1)/$NU$63,$NN$63/$NT$63)),0)</f>
        <v/>
      </c>
      <c r="CN63" s="402">
        <f>IF(AND(88&gt;=$NR$63,88&lt;=$NS$63),IF($NP$63="Single_Point",IF(88=$NR$63,$NN$63,0),IF($NP$63="Bell_Curve",$NN$63*(88-$NR$63+1)*($NS$63-88+1)/$NU$63,$NN$63/$NT$63)),0)</f>
        <v/>
      </c>
      <c r="CO63" s="402">
        <f>IF(AND(89&gt;=$NR$63,89&lt;=$NS$63),IF($NP$63="Single_Point",IF(89=$NR$63,$NN$63,0),IF($NP$63="Bell_Curve",$NN$63*(89-$NR$63+1)*($NS$63-89+1)/$NU$63,$NN$63/$NT$63)),0)</f>
        <v/>
      </c>
      <c r="CP63" s="402">
        <f>IF(AND(90&gt;=$NR$63,90&lt;=$NS$63),IF($NP$63="Single_Point",IF(90=$NR$63,$NN$63,0),IF($NP$63="Bell_Curve",$NN$63*(90-$NR$63+1)*($NS$63-90+1)/$NU$63,$NN$63/$NT$63)),0)</f>
        <v/>
      </c>
      <c r="CQ63" s="402">
        <f>IF(AND(91&gt;=$NR$63,91&lt;=$NS$63),IF($NP$63="Single_Point",IF(91=$NR$63,$NN$63,0),IF($NP$63="Bell_Curve",$NN$63*(91-$NR$63+1)*($NS$63-91+1)/$NU$63,$NN$63/$NT$63)),0)</f>
        <v/>
      </c>
      <c r="CR63" s="402">
        <f>IF(AND(92&gt;=$NR$63,92&lt;=$NS$63),IF($NP$63="Single_Point",IF(92=$NR$63,$NN$63,0),IF($NP$63="Bell_Curve",$NN$63*(92-$NR$63+1)*($NS$63-92+1)/$NU$63,$NN$63/$NT$63)),0)</f>
        <v/>
      </c>
      <c r="CS63" s="402">
        <f>IF(AND(93&gt;=$NR$63,93&lt;=$NS$63),IF($NP$63="Single_Point",IF(93=$NR$63,$NN$63,0),IF($NP$63="Bell_Curve",$NN$63*(93-$NR$63+1)*($NS$63-93+1)/$NU$63,$NN$63/$NT$63)),0)</f>
        <v/>
      </c>
      <c r="CT63" s="402">
        <f>IF(AND(94&gt;=$NR$63,94&lt;=$NS$63),IF($NP$63="Single_Point",IF(94=$NR$63,$NN$63,0),IF($NP$63="Bell_Curve",$NN$63*(94-$NR$63+1)*($NS$63-94+1)/$NU$63,$NN$63/$NT$63)),0)</f>
        <v/>
      </c>
      <c r="CU63" s="402">
        <f>IF(AND(95&gt;=$NR$63,95&lt;=$NS$63),IF($NP$63="Single_Point",IF(95=$NR$63,$NN$63,0),IF($NP$63="Bell_Curve",$NN$63*(95-$NR$63+1)*($NS$63-95+1)/$NU$63,$NN$63/$NT$63)),0)</f>
        <v/>
      </c>
      <c r="CV63" s="402">
        <f>IF(AND(96&gt;=$NR$63,96&lt;=$NS$63),IF($NP$63="Single_Point",IF(96=$NR$63,$NN$63,0),IF($NP$63="Bell_Curve",$NN$63*(96-$NR$63+1)*($NS$63-96+1)/$NU$63,$NN$63/$NT$63)),0)</f>
        <v/>
      </c>
      <c r="CW63" s="402">
        <f>IF(AND(97&gt;=$NR$63,97&lt;=$NS$63),IF($NP$63="Single_Point",IF(97=$NR$63,$NN$63,0),IF($NP$63="Bell_Curve",$NN$63*(97-$NR$63+1)*($NS$63-97+1)/$NU$63,$NN$63/$NT$63)),0)</f>
        <v/>
      </c>
      <c r="CX63" s="402">
        <f>IF(AND(98&gt;=$NR$63,98&lt;=$NS$63),IF($NP$63="Single_Point",IF(98=$NR$63,$NN$63,0),IF($NP$63="Bell_Curve",$NN$63*(98-$NR$63+1)*($NS$63-98+1)/$NU$63,$NN$63/$NT$63)),0)</f>
        <v/>
      </c>
      <c r="CY63" s="402">
        <f>IF(AND(99&gt;=$NR$63,99&lt;=$NS$63),IF($NP$63="Single_Point",IF(99=$NR$63,$NN$63,0),IF($NP$63="Bell_Curve",$NN$63*(99-$NR$63+1)*($NS$63-99+1)/$NU$63,$NN$63/$NT$63)),0)</f>
        <v/>
      </c>
      <c r="CZ63" s="402">
        <f>IF(AND(100&gt;=$NR$63,100&lt;=$NS$63),IF($NP$63="Single_Point",IF(100=$NR$63,$NN$63,0),IF($NP$63="Bell_Curve",$NN$63*(100-$NR$63+1)*($NS$63-100+1)/$NU$63,$NN$63/$NT$63)),0)</f>
        <v/>
      </c>
      <c r="DA63" s="402">
        <f>IF(AND(101&gt;=$NR$63,101&lt;=$NS$63),IF($NP$63="Single_Point",IF(101=$NR$63,$NN$63,0),IF($NP$63="Bell_Curve",$NN$63*(101-$NR$63+1)*($NS$63-101+1)/$NU$63,$NN$63/$NT$63)),0)</f>
        <v/>
      </c>
      <c r="DB63" s="402">
        <f>IF(AND(102&gt;=$NR$63,102&lt;=$NS$63),IF($NP$63="Single_Point",IF(102=$NR$63,$NN$63,0),IF($NP$63="Bell_Curve",$NN$63*(102-$NR$63+1)*($NS$63-102+1)/$NU$63,$NN$63/$NT$63)),0)</f>
        <v/>
      </c>
      <c r="DC63" s="402">
        <f>IF(AND(103&gt;=$NR$63,103&lt;=$NS$63),IF($NP$63="Single_Point",IF(103=$NR$63,$NN$63,0),IF($NP$63="Bell_Curve",$NN$63*(103-$NR$63+1)*($NS$63-103+1)/$NU$63,$NN$63/$NT$63)),0)</f>
        <v/>
      </c>
      <c r="DD63" s="402">
        <f>IF(AND(104&gt;=$NR$63,104&lt;=$NS$63),IF($NP$63="Single_Point",IF(104=$NR$63,$NN$63,0),IF($NP$63="Bell_Curve",$NN$63*(104-$NR$63+1)*($NS$63-104+1)/$NU$63,$NN$63/$NT$63)),0)</f>
        <v/>
      </c>
      <c r="DE63" s="402">
        <f>IF(AND(105&gt;=$NR$63,105&lt;=$NS$63),IF($NP$63="Single_Point",IF(105=$NR$63,$NN$63,0),IF($NP$63="Bell_Curve",$NN$63*(105-$NR$63+1)*($NS$63-105+1)/$NU$63,$NN$63/$NT$63)),0)</f>
        <v/>
      </c>
      <c r="DF63" s="402">
        <f>IF(AND(106&gt;=$NR$63,106&lt;=$NS$63),IF($NP$63="Single_Point",IF(106=$NR$63,$NN$63,0),IF($NP$63="Bell_Curve",$NN$63*(106-$NR$63+1)*($NS$63-106+1)/$NU$63,$NN$63/$NT$63)),0)</f>
        <v/>
      </c>
      <c r="DG63" s="402">
        <f>IF(AND(107&gt;=$NR$63,107&lt;=$NS$63),IF($NP$63="Single_Point",IF(107=$NR$63,$NN$63,0),IF($NP$63="Bell_Curve",$NN$63*(107-$NR$63+1)*($NS$63-107+1)/$NU$63,$NN$63/$NT$63)),0)</f>
        <v/>
      </c>
      <c r="DH63" s="402">
        <f>IF(AND(108&gt;=$NR$63,108&lt;=$NS$63),IF($NP$63="Single_Point",IF(108=$NR$63,$NN$63,0),IF($NP$63="Bell_Curve",$NN$63*(108-$NR$63+1)*($NS$63-108+1)/$NU$63,$NN$63/$NT$63)),0)</f>
        <v/>
      </c>
      <c r="DI63" s="402">
        <f>IF(AND(109&gt;=$NR$63,109&lt;=$NS$63),IF($NP$63="Single_Point",IF(109=$NR$63,$NN$63,0),IF($NP$63="Bell_Curve",$NN$63*(109-$NR$63+1)*($NS$63-109+1)/$NU$63,$NN$63/$NT$63)),0)</f>
        <v/>
      </c>
      <c r="DJ63" s="402">
        <f>IF(AND(110&gt;=$NR$63,110&lt;=$NS$63),IF($NP$63="Single_Point",IF(110=$NR$63,$NN$63,0),IF($NP$63="Bell_Curve",$NN$63*(110-$NR$63+1)*($NS$63-110+1)/$NU$63,$NN$63/$NT$63)),0)</f>
        <v/>
      </c>
      <c r="DK63" s="402">
        <f>IF(AND(111&gt;=$NR$63,111&lt;=$NS$63),IF($NP$63="Single_Point",IF(111=$NR$63,$NN$63,0),IF($NP$63="Bell_Curve",$NN$63*(111-$NR$63+1)*($NS$63-111+1)/$NU$63,$NN$63/$NT$63)),0)</f>
        <v/>
      </c>
      <c r="DL63" s="402">
        <f>IF(AND(112&gt;=$NR$63,112&lt;=$NS$63),IF($NP$63="Single_Point",IF(112=$NR$63,$NN$63,0),IF($NP$63="Bell_Curve",$NN$63*(112-$NR$63+1)*($NS$63-112+1)/$NU$63,$NN$63/$NT$63)),0)</f>
        <v/>
      </c>
      <c r="DM63" s="402">
        <f>IF(AND(113&gt;=$NR$63,113&lt;=$NS$63),IF($NP$63="Single_Point",IF(113=$NR$63,$NN$63,0),IF($NP$63="Bell_Curve",$NN$63*(113-$NR$63+1)*($NS$63-113+1)/$NU$63,$NN$63/$NT$63)),0)</f>
        <v/>
      </c>
      <c r="DN63" s="402">
        <f>IF(AND(114&gt;=$NR$63,114&lt;=$NS$63),IF($NP$63="Single_Point",IF(114=$NR$63,$NN$63,0),IF($NP$63="Bell_Curve",$NN$63*(114-$NR$63+1)*($NS$63-114+1)/$NU$63,$NN$63/$NT$63)),0)</f>
        <v/>
      </c>
      <c r="DO63" s="402">
        <f>IF(AND(115&gt;=$NR$63,115&lt;=$NS$63),IF($NP$63="Single_Point",IF(115=$NR$63,$NN$63,0),IF($NP$63="Bell_Curve",$NN$63*(115-$NR$63+1)*($NS$63-115+1)/$NU$63,$NN$63/$NT$63)),0)</f>
        <v/>
      </c>
      <c r="DP63" s="402">
        <f>IF(AND(116&gt;=$NR$63,116&lt;=$NS$63),IF($NP$63="Single_Point",IF(116=$NR$63,$NN$63,0),IF($NP$63="Bell_Curve",$NN$63*(116-$NR$63+1)*($NS$63-116+1)/$NU$63,$NN$63/$NT$63)),0)</f>
        <v/>
      </c>
      <c r="DQ63" s="402">
        <f>IF(AND(117&gt;=$NR$63,117&lt;=$NS$63),IF($NP$63="Single_Point",IF(117=$NR$63,$NN$63,0),IF($NP$63="Bell_Curve",$NN$63*(117-$NR$63+1)*($NS$63-117+1)/$NU$63,$NN$63/$NT$63)),0)</f>
        <v/>
      </c>
      <c r="DR63" s="402">
        <f>IF(AND(118&gt;=$NR$63,118&lt;=$NS$63),IF($NP$63="Single_Point",IF(118=$NR$63,$NN$63,0),IF($NP$63="Bell_Curve",$NN$63*(118-$NR$63+1)*($NS$63-118+1)/$NU$63,$NN$63/$NT$63)),0)</f>
        <v/>
      </c>
      <c r="DS63" s="402">
        <f>IF(AND(119&gt;=$NR$63,119&lt;=$NS$63),IF($NP$63="Single_Point",IF(119=$NR$63,$NN$63,0),IF($NP$63="Bell_Curve",$NN$63*(119-$NR$63+1)*($NS$63-119+1)/$NU$63,$NN$63/$NT$63)),0)</f>
        <v/>
      </c>
      <c r="DT63" s="402">
        <f>IF(AND(120&gt;=$NR$63,120&lt;=$NS$63),IF($NP$63="Single_Point",IF(120=$NR$63,$NN$63,0),IF($NP$63="Bell_Curve",$NN$63*(120-$NR$63+1)*($NS$63-120+1)/$NU$63,$NN$63/$NT$63)),0)</f>
        <v/>
      </c>
      <c r="DU63" s="402">
        <f>IF(AND(121&gt;=$NR$63,121&lt;=$NS$63),IF($NP$63="Single_Point",IF(121=$NR$63,$NN$63,0),IF($NP$63="Bell_Curve",$NN$63*(121-$NR$63+1)*($NS$63-121+1)/$NU$63,$NN$63/$NT$63)),0)</f>
        <v/>
      </c>
      <c r="DV63" s="402">
        <f>IF(AND(122&gt;=$NR$63,122&lt;=$NS$63),IF($NP$63="Single_Point",IF(122=$NR$63,$NN$63,0),IF($NP$63="Bell_Curve",$NN$63*(122-$NR$63+1)*($NS$63-122+1)/$NU$63,$NN$63/$NT$63)),0)</f>
        <v/>
      </c>
      <c r="DW63" s="402">
        <f>IF(AND(123&gt;=$NR$63,123&lt;=$NS$63),IF($NP$63="Single_Point",IF(123=$NR$63,$NN$63,0),IF($NP$63="Bell_Curve",$NN$63*(123-$NR$63+1)*($NS$63-123+1)/$NU$63,$NN$63/$NT$63)),0)</f>
        <v/>
      </c>
      <c r="DX63" s="402">
        <f>IF(AND(124&gt;=$NR$63,124&lt;=$NS$63),IF($NP$63="Single_Point",IF(124=$NR$63,$NN$63,0),IF($NP$63="Bell_Curve",$NN$63*(124-$NR$63+1)*($NS$63-124+1)/$NU$63,$NN$63/$NT$63)),0)</f>
        <v/>
      </c>
      <c r="DY63" s="402">
        <f>IF(AND(125&gt;=$NR$63,125&lt;=$NS$63),IF($NP$63="Single_Point",IF(125=$NR$63,$NN$63,0),IF($NP$63="Bell_Curve",$NN$63*(125-$NR$63+1)*($NS$63-125+1)/$NU$63,$NN$63/$NT$63)),0)</f>
        <v/>
      </c>
      <c r="DZ63" s="402">
        <f>IF(AND(126&gt;=$NR$63,126&lt;=$NS$63),IF($NP$63="Single_Point",IF(126=$NR$63,$NN$63,0),IF($NP$63="Bell_Curve",$NN$63*(126-$NR$63+1)*($NS$63-126+1)/$NU$63,$NN$63/$NT$63)),0)</f>
        <v/>
      </c>
      <c r="EA63" s="402">
        <f>IF(AND(127&gt;=$NR$63,127&lt;=$NS$63),IF($NP$63="Single_Point",IF(127=$NR$63,$NN$63,0),IF($NP$63="Bell_Curve",$NN$63*(127-$NR$63+1)*($NS$63-127+1)/$NU$63,$NN$63/$NT$63)),0)</f>
        <v/>
      </c>
      <c r="EB63" s="402">
        <f>IF(AND(128&gt;=$NR$63,128&lt;=$NS$63),IF($NP$63="Single_Point",IF(128=$NR$63,$NN$63,0),IF($NP$63="Bell_Curve",$NN$63*(128-$NR$63+1)*($NS$63-128+1)/$NU$63,$NN$63/$NT$63)),0)</f>
        <v/>
      </c>
      <c r="EC63" s="402">
        <f>IF(AND(129&gt;=$NR$63,129&lt;=$NS$63),IF($NP$63="Single_Point",IF(129=$NR$63,$NN$63,0),IF($NP$63="Bell_Curve",$NN$63*(129-$NR$63+1)*($NS$63-129+1)/$NU$63,$NN$63/$NT$63)),0)</f>
        <v/>
      </c>
      <c r="ED63" s="402">
        <f>IF(AND(130&gt;=$NR$63,130&lt;=$NS$63),IF($NP$63="Single_Point",IF(130=$NR$63,$NN$63,0),IF($NP$63="Bell_Curve",$NN$63*(130-$NR$63+1)*($NS$63-130+1)/$NU$63,$NN$63/$NT$63)),0)</f>
        <v/>
      </c>
      <c r="EE63" s="402">
        <f>IF(AND(131&gt;=$NR$63,131&lt;=$NS$63),IF($NP$63="Single_Point",IF(131=$NR$63,$NN$63,0),IF($NP$63="Bell_Curve",$NN$63*(131-$NR$63+1)*($NS$63-131+1)/$NU$63,$NN$63/$NT$63)),0)</f>
        <v/>
      </c>
      <c r="EF63" s="402">
        <f>IF(AND(132&gt;=$NR$63,132&lt;=$NS$63),IF($NP$63="Single_Point",IF(132=$NR$63,$NN$63,0),IF($NP$63="Bell_Curve",$NN$63*(132-$NR$63+1)*($NS$63-132+1)/$NU$63,$NN$63/$NT$63)),0)</f>
        <v/>
      </c>
      <c r="EG63" s="402">
        <f>IF(AND(133&gt;=$NR$63,133&lt;=$NS$63),IF($NP$63="Single_Point",IF(133=$NR$63,$NN$63,0),IF($NP$63="Bell_Curve",$NN$63*(133-$NR$63+1)*($NS$63-133+1)/$NU$63,$NN$63/$NT$63)),0)</f>
        <v/>
      </c>
      <c r="EH63" s="402">
        <f>IF(AND(134&gt;=$NR$63,134&lt;=$NS$63),IF($NP$63="Single_Point",IF(134=$NR$63,$NN$63,0),IF($NP$63="Bell_Curve",$NN$63*(134-$NR$63+1)*($NS$63-134+1)/$NU$63,$NN$63/$NT$63)),0)</f>
        <v/>
      </c>
      <c r="EI63" s="402">
        <f>IF(AND(135&gt;=$NR$63,135&lt;=$NS$63),IF($NP$63="Single_Point",IF(135=$NR$63,$NN$63,0),IF($NP$63="Bell_Curve",$NN$63*(135-$NR$63+1)*($NS$63-135+1)/$NU$63,$NN$63/$NT$63)),0)</f>
        <v/>
      </c>
      <c r="EJ63" s="402">
        <f>IF(AND(136&gt;=$NR$63,136&lt;=$NS$63),IF($NP$63="Single_Point",IF(136=$NR$63,$NN$63,0),IF($NP$63="Bell_Curve",$NN$63*(136-$NR$63+1)*($NS$63-136+1)/$NU$63,$NN$63/$NT$63)),0)</f>
        <v/>
      </c>
      <c r="EK63" s="402">
        <f>IF(AND(137&gt;=$NR$63,137&lt;=$NS$63),IF($NP$63="Single_Point",IF(137=$NR$63,$NN$63,0),IF($NP$63="Bell_Curve",$NN$63*(137-$NR$63+1)*($NS$63-137+1)/$NU$63,$NN$63/$NT$63)),0)</f>
        <v/>
      </c>
      <c r="EL63" s="402">
        <f>IF(AND(138&gt;=$NR$63,138&lt;=$NS$63),IF($NP$63="Single_Point",IF(138=$NR$63,$NN$63,0),IF($NP$63="Bell_Curve",$NN$63*(138-$NR$63+1)*($NS$63-138+1)/$NU$63,$NN$63/$NT$63)),0)</f>
        <v/>
      </c>
      <c r="EM63" s="402">
        <f>IF(AND(139&gt;=$NR$63,139&lt;=$NS$63),IF($NP$63="Single_Point",IF(139=$NR$63,$NN$63,0),IF($NP$63="Bell_Curve",$NN$63*(139-$NR$63+1)*($NS$63-139+1)/$NU$63,$NN$63/$NT$63)),0)</f>
        <v/>
      </c>
      <c r="EN63" s="402">
        <f>IF(AND(140&gt;=$NR$63,140&lt;=$NS$63),IF($NP$63="Single_Point",IF(140=$NR$63,$NN$63,0),IF($NP$63="Bell_Curve",$NN$63*(140-$NR$63+1)*($NS$63-140+1)/$NU$63,$NN$63/$NT$63)),0)</f>
        <v/>
      </c>
      <c r="EO63" s="402">
        <f>IF(AND(141&gt;=$NR$63,141&lt;=$NS$63),IF($NP$63="Single_Point",IF(141=$NR$63,$NN$63,0),IF($NP$63="Bell_Curve",$NN$63*(141-$NR$63+1)*($NS$63-141+1)/$NU$63,$NN$63/$NT$63)),0)</f>
        <v/>
      </c>
      <c r="EP63" s="402">
        <f>IF(AND(142&gt;=$NR$63,142&lt;=$NS$63),IF($NP$63="Single_Point",IF(142=$NR$63,$NN$63,0),IF($NP$63="Bell_Curve",$NN$63*(142-$NR$63+1)*($NS$63-142+1)/$NU$63,$NN$63/$NT$63)),0)</f>
        <v/>
      </c>
      <c r="EQ63" s="402">
        <f>IF(AND(143&gt;=$NR$63,143&lt;=$NS$63),IF($NP$63="Single_Point",IF(143=$NR$63,$NN$63,0),IF($NP$63="Bell_Curve",$NN$63*(143-$NR$63+1)*($NS$63-143+1)/$NU$63,$NN$63/$NT$63)),0)</f>
        <v/>
      </c>
      <c r="ER63" s="402">
        <f>IF(AND(144&gt;=$NR$63,144&lt;=$NS$63),IF($NP$63="Single_Point",IF(144=$NR$63,$NN$63,0),IF($NP$63="Bell_Curve",$NN$63*(144-$NR$63+1)*($NS$63-144+1)/$NU$63,$NN$63/$NT$63)),0)</f>
        <v/>
      </c>
      <c r="ES63" s="402">
        <f>IF(AND(145&gt;=$NR$63,145&lt;=$NS$63),IF($NP$63="Single_Point",IF(145=$NR$63,$NN$63,0),IF($NP$63="Bell_Curve",$NN$63*(145-$NR$63+1)*($NS$63-145+1)/$NU$63,$NN$63/$NT$63)),0)</f>
        <v/>
      </c>
      <c r="ET63" s="402">
        <f>IF(AND(146&gt;=$NR$63,146&lt;=$NS$63),IF($NP$63="Single_Point",IF(146=$NR$63,$NN$63,0),IF($NP$63="Bell_Curve",$NN$63*(146-$NR$63+1)*($NS$63-146+1)/$NU$63,$NN$63/$NT$63)),0)</f>
        <v/>
      </c>
      <c r="EU63" s="402">
        <f>IF(AND(147&gt;=$NR$63,147&lt;=$NS$63),IF($NP$63="Single_Point",IF(147=$NR$63,$NN$63,0),IF($NP$63="Bell_Curve",$NN$63*(147-$NR$63+1)*($NS$63-147+1)/$NU$63,$NN$63/$NT$63)),0)</f>
        <v/>
      </c>
      <c r="EV63" s="402">
        <f>IF(AND(148&gt;=$NR$63,148&lt;=$NS$63),IF($NP$63="Single_Point",IF(148=$NR$63,$NN$63,0),IF($NP$63="Bell_Curve",$NN$63*(148-$NR$63+1)*($NS$63-148+1)/$NU$63,$NN$63/$NT$63)),0)</f>
        <v/>
      </c>
      <c r="EW63" s="402">
        <f>IF(AND(149&gt;=$NR$63,149&lt;=$NS$63),IF($NP$63="Single_Point",IF(149=$NR$63,$NN$63,0),IF($NP$63="Bell_Curve",$NN$63*(149-$NR$63+1)*($NS$63-149+1)/$NU$63,$NN$63/$NT$63)),0)</f>
        <v/>
      </c>
      <c r="EX63" s="402">
        <f>IF(AND(150&gt;=$NR$63,150&lt;=$NS$63),IF($NP$63="Single_Point",IF(150=$NR$63,$NN$63,0),IF($NP$63="Bell_Curve",$NN$63*(150-$NR$63+1)*($NS$63-150+1)/$NU$63,$NN$63/$NT$63)),0)</f>
        <v/>
      </c>
      <c r="EY63" s="402">
        <f>IF(AND(151&gt;=$NR$63,151&lt;=$NS$63),IF($NP$63="Single_Point",IF(151=$NR$63,$NN$63,0),IF($NP$63="Bell_Curve",$NN$63*(151-$NR$63+1)*($NS$63-151+1)/$NU$63,$NN$63/$NT$63)),0)</f>
        <v/>
      </c>
      <c r="EZ63" s="402">
        <f>IF(AND(152&gt;=$NR$63,152&lt;=$NS$63),IF($NP$63="Single_Point",IF(152=$NR$63,$NN$63,0),IF($NP$63="Bell_Curve",$NN$63*(152-$NR$63+1)*($NS$63-152+1)/$NU$63,$NN$63/$NT$63)),0)</f>
        <v/>
      </c>
      <c r="FA63" s="402">
        <f>IF(AND(153&gt;=$NR$63,153&lt;=$NS$63),IF($NP$63="Single_Point",IF(153=$NR$63,$NN$63,0),IF($NP$63="Bell_Curve",$NN$63*(153-$NR$63+1)*($NS$63-153+1)/$NU$63,$NN$63/$NT$63)),0)</f>
        <v/>
      </c>
      <c r="FB63" s="402">
        <f>IF(AND(154&gt;=$NR$63,154&lt;=$NS$63),IF($NP$63="Single_Point",IF(154=$NR$63,$NN$63,0),IF($NP$63="Bell_Curve",$NN$63*(154-$NR$63+1)*($NS$63-154+1)/$NU$63,$NN$63/$NT$63)),0)</f>
        <v/>
      </c>
      <c r="FC63" s="402">
        <f>IF(AND(155&gt;=$NR$63,155&lt;=$NS$63),IF($NP$63="Single_Point",IF(155=$NR$63,$NN$63,0),IF($NP$63="Bell_Curve",$NN$63*(155-$NR$63+1)*($NS$63-155+1)/$NU$63,$NN$63/$NT$63)),0)</f>
        <v/>
      </c>
      <c r="FD63" s="402">
        <f>IF(AND(156&gt;=$NR$63,156&lt;=$NS$63),IF($NP$63="Single_Point",IF(156=$NR$63,$NN$63,0),IF($NP$63="Bell_Curve",$NN$63*(156-$NR$63+1)*($NS$63-156+1)/$NU$63,$NN$63/$NT$63)),0)</f>
        <v/>
      </c>
      <c r="FE63" s="402">
        <f>IF(AND(157&gt;=$NR$63,157&lt;=$NS$63),IF($NP$63="Single_Point",IF(157=$NR$63,$NN$63,0),IF($NP$63="Bell_Curve",$NN$63*(157-$NR$63+1)*($NS$63-157+1)/$NU$63,$NN$63/$NT$63)),0)</f>
        <v/>
      </c>
      <c r="FF63" s="402">
        <f>IF(AND(158&gt;=$NR$63,158&lt;=$NS$63),IF($NP$63="Single_Point",IF(158=$NR$63,$NN$63,0),IF($NP$63="Bell_Curve",$NN$63*(158-$NR$63+1)*($NS$63-158+1)/$NU$63,$NN$63/$NT$63)),0)</f>
        <v/>
      </c>
      <c r="FG63" s="402">
        <f>IF(AND(159&gt;=$NR$63,159&lt;=$NS$63),IF($NP$63="Single_Point",IF(159=$NR$63,$NN$63,0),IF($NP$63="Bell_Curve",$NN$63*(159-$NR$63+1)*($NS$63-159+1)/$NU$63,$NN$63/$NT$63)),0)</f>
        <v/>
      </c>
      <c r="FH63" s="402">
        <f>IF(AND(160&gt;=$NR$63,160&lt;=$NS$63),IF($NP$63="Single_Point",IF(160=$NR$63,$NN$63,0),IF($NP$63="Bell_Curve",$NN$63*(160-$NR$63+1)*($NS$63-160+1)/$NU$63,$NN$63/$NT$63)),0)</f>
        <v/>
      </c>
      <c r="FI63" s="402">
        <f>IF(AND(161&gt;=$NR$63,161&lt;=$NS$63),IF($NP$63="Single_Point",IF(161=$NR$63,$NN$63,0),IF($NP$63="Bell_Curve",$NN$63*(161-$NR$63+1)*($NS$63-161+1)/$NU$63,$NN$63/$NT$63)),0)</f>
        <v/>
      </c>
      <c r="FJ63" s="402">
        <f>IF(AND(162&gt;=$NR$63,162&lt;=$NS$63),IF($NP$63="Single_Point",IF(162=$NR$63,$NN$63,0),IF($NP$63="Bell_Curve",$NN$63*(162-$NR$63+1)*($NS$63-162+1)/$NU$63,$NN$63/$NT$63)),0)</f>
        <v/>
      </c>
      <c r="FK63" s="402">
        <f>IF(AND(163&gt;=$NR$63,163&lt;=$NS$63),IF($NP$63="Single_Point",IF(163=$NR$63,$NN$63,0),IF($NP$63="Bell_Curve",$NN$63*(163-$NR$63+1)*($NS$63-163+1)/$NU$63,$NN$63/$NT$63)),0)</f>
        <v/>
      </c>
      <c r="FL63" s="402">
        <f>IF(AND(164&gt;=$NR$63,164&lt;=$NS$63),IF($NP$63="Single_Point",IF(164=$NR$63,$NN$63,0),IF($NP$63="Bell_Curve",$NN$63*(164-$NR$63+1)*($NS$63-164+1)/$NU$63,$NN$63/$NT$63)),0)</f>
        <v/>
      </c>
      <c r="FM63" s="402">
        <f>IF(AND(165&gt;=$NR$63,165&lt;=$NS$63),IF($NP$63="Single_Point",IF(165=$NR$63,$NN$63,0),IF($NP$63="Bell_Curve",$NN$63*(165-$NR$63+1)*($NS$63-165+1)/$NU$63,$NN$63/$NT$63)),0)</f>
        <v/>
      </c>
      <c r="FN63" s="402">
        <f>IF(AND(166&gt;=$NR$63,166&lt;=$NS$63),IF($NP$63="Single_Point",IF(166=$NR$63,$NN$63,0),IF($NP$63="Bell_Curve",$NN$63*(166-$NR$63+1)*($NS$63-166+1)/$NU$63,$NN$63/$NT$63)),0)</f>
        <v/>
      </c>
      <c r="FO63" s="402">
        <f>IF(AND(167&gt;=$NR$63,167&lt;=$NS$63),IF($NP$63="Single_Point",IF(167=$NR$63,$NN$63,0),IF($NP$63="Bell_Curve",$NN$63*(167-$NR$63+1)*($NS$63-167+1)/$NU$63,$NN$63/$NT$63)),0)</f>
        <v/>
      </c>
      <c r="FP63" s="402">
        <f>IF(AND(168&gt;=$NR$63,168&lt;=$NS$63),IF($NP$63="Single_Point",IF(168=$NR$63,$NN$63,0),IF($NP$63="Bell_Curve",$NN$63*(168-$NR$63+1)*($NS$63-168+1)/$NU$63,$NN$63/$NT$63)),0)</f>
        <v/>
      </c>
      <c r="FQ63" s="402">
        <f>IF(AND(169&gt;=$NR$63,169&lt;=$NS$63),IF($NP$63="Single_Point",IF(169=$NR$63,$NN$63,0),IF($NP$63="Bell_Curve",$NN$63*(169-$NR$63+1)*($NS$63-169+1)/$NU$63,$NN$63/$NT$63)),0)</f>
        <v/>
      </c>
      <c r="FR63" s="402">
        <f>IF(AND(170&gt;=$NR$63,170&lt;=$NS$63),IF($NP$63="Single_Point",IF(170=$NR$63,$NN$63,0),IF($NP$63="Bell_Curve",$NN$63*(170-$NR$63+1)*($NS$63-170+1)/$NU$63,$NN$63/$NT$63)),0)</f>
        <v/>
      </c>
      <c r="FS63" s="402">
        <f>IF(AND(171&gt;=$NR$63,171&lt;=$NS$63),IF($NP$63="Single_Point",IF(171=$NR$63,$NN$63,0),IF($NP$63="Bell_Curve",$NN$63*(171-$NR$63+1)*($NS$63-171+1)/$NU$63,$NN$63/$NT$63)),0)</f>
        <v/>
      </c>
      <c r="FT63" s="402">
        <f>IF(AND(172&gt;=$NR$63,172&lt;=$NS$63),IF($NP$63="Single_Point",IF(172=$NR$63,$NN$63,0),IF($NP$63="Bell_Curve",$NN$63*(172-$NR$63+1)*($NS$63-172+1)/$NU$63,$NN$63/$NT$63)),0)</f>
        <v/>
      </c>
      <c r="FU63" s="402">
        <f>IF(AND(173&gt;=$NR$63,173&lt;=$NS$63),IF($NP$63="Single_Point",IF(173=$NR$63,$NN$63,0),IF($NP$63="Bell_Curve",$NN$63*(173-$NR$63+1)*($NS$63-173+1)/$NU$63,$NN$63/$NT$63)),0)</f>
        <v/>
      </c>
      <c r="FV63" s="402">
        <f>IF(AND(174&gt;=$NR$63,174&lt;=$NS$63),IF($NP$63="Single_Point",IF(174=$NR$63,$NN$63,0),IF($NP$63="Bell_Curve",$NN$63*(174-$NR$63+1)*($NS$63-174+1)/$NU$63,$NN$63/$NT$63)),0)</f>
        <v/>
      </c>
      <c r="FW63" s="402">
        <f>IF(AND(175&gt;=$NR$63,175&lt;=$NS$63),IF($NP$63="Single_Point",IF(175=$NR$63,$NN$63,0),IF($NP$63="Bell_Curve",$NN$63*(175-$NR$63+1)*($NS$63-175+1)/$NU$63,$NN$63/$NT$63)),0)</f>
        <v/>
      </c>
      <c r="FX63" s="402">
        <f>IF(AND(176&gt;=$NR$63,176&lt;=$NS$63),IF($NP$63="Single_Point",IF(176=$NR$63,$NN$63,0),IF($NP$63="Bell_Curve",$NN$63*(176-$NR$63+1)*($NS$63-176+1)/$NU$63,$NN$63/$NT$63)),0)</f>
        <v/>
      </c>
      <c r="FY63" s="402">
        <f>IF(AND(177&gt;=$NR$63,177&lt;=$NS$63),IF($NP$63="Single_Point",IF(177=$NR$63,$NN$63,0),IF($NP$63="Bell_Curve",$NN$63*(177-$NR$63+1)*($NS$63-177+1)/$NU$63,$NN$63/$NT$63)),0)</f>
        <v/>
      </c>
      <c r="FZ63" s="402">
        <f>IF(AND(178&gt;=$NR$63,178&lt;=$NS$63),IF($NP$63="Single_Point",IF(178=$NR$63,$NN$63,0),IF($NP$63="Bell_Curve",$NN$63*(178-$NR$63+1)*($NS$63-178+1)/$NU$63,$NN$63/$NT$63)),0)</f>
        <v/>
      </c>
      <c r="GA63" s="402">
        <f>IF(AND(179&gt;=$NR$63,179&lt;=$NS$63),IF($NP$63="Single_Point",IF(179=$NR$63,$NN$63,0),IF($NP$63="Bell_Curve",$NN$63*(179-$NR$63+1)*($NS$63-179+1)/$NU$63,$NN$63/$NT$63)),0)</f>
        <v/>
      </c>
      <c r="GB63" s="402">
        <f>IF(AND(180&gt;=$NR$63,180&lt;=$NS$63),IF($NP$63="Single_Point",IF(180=$NR$63,$NN$63,0),IF($NP$63="Bell_Curve",$NN$63*(180-$NR$63+1)*($NS$63-180+1)/$NU$63,$NN$63/$NT$63)),0)</f>
        <v/>
      </c>
      <c r="GC63" s="402">
        <f>IF(AND(181&gt;=$NR$63,181&lt;=$NS$63),IF($NP$63="Single_Point",IF(181=$NR$63,$NN$63,0),IF($NP$63="Bell_Curve",$NN$63*(181-$NR$63+1)*($NS$63-181+1)/$NU$63,$NN$63/$NT$63)),0)</f>
        <v/>
      </c>
      <c r="GD63" s="402">
        <f>IF(AND(182&gt;=$NR$63,182&lt;=$NS$63),IF($NP$63="Single_Point",IF(182=$NR$63,$NN$63,0),IF($NP$63="Bell_Curve",$NN$63*(182-$NR$63+1)*($NS$63-182+1)/$NU$63,$NN$63/$NT$63)),0)</f>
        <v/>
      </c>
      <c r="GE63" s="402">
        <f>IF(AND(183&gt;=$NR$63,183&lt;=$NS$63),IF($NP$63="Single_Point",IF(183=$NR$63,$NN$63,0),IF($NP$63="Bell_Curve",$NN$63*(183-$NR$63+1)*($NS$63-183+1)/$NU$63,$NN$63/$NT$63)),0)</f>
        <v/>
      </c>
      <c r="GF63" s="402">
        <f>IF(AND(184&gt;=$NR$63,184&lt;=$NS$63),IF($NP$63="Single_Point",IF(184=$NR$63,$NN$63,0),IF($NP$63="Bell_Curve",$NN$63*(184-$NR$63+1)*($NS$63-184+1)/$NU$63,$NN$63/$NT$63)),0)</f>
        <v/>
      </c>
      <c r="GG63" s="402">
        <f>IF(AND(185&gt;=$NR$63,185&lt;=$NS$63),IF($NP$63="Single_Point",IF(185=$NR$63,$NN$63,0),IF($NP$63="Bell_Curve",$NN$63*(185-$NR$63+1)*($NS$63-185+1)/$NU$63,$NN$63/$NT$63)),0)</f>
        <v/>
      </c>
      <c r="GH63" s="402">
        <f>IF(AND(186&gt;=$NR$63,186&lt;=$NS$63),IF($NP$63="Single_Point",IF(186=$NR$63,$NN$63,0),IF($NP$63="Bell_Curve",$NN$63*(186-$NR$63+1)*($NS$63-186+1)/$NU$63,$NN$63/$NT$63)),0)</f>
        <v/>
      </c>
      <c r="GI63" s="402">
        <f>IF(AND(187&gt;=$NR$63,187&lt;=$NS$63),IF($NP$63="Single_Point",IF(187=$NR$63,$NN$63,0),IF($NP$63="Bell_Curve",$NN$63*(187-$NR$63+1)*($NS$63-187+1)/$NU$63,$NN$63/$NT$63)),0)</f>
        <v/>
      </c>
      <c r="GJ63" s="402">
        <f>IF(AND(188&gt;=$NR$63,188&lt;=$NS$63),IF($NP$63="Single_Point",IF(188=$NR$63,$NN$63,0),IF($NP$63="Bell_Curve",$NN$63*(188-$NR$63+1)*($NS$63-188+1)/$NU$63,$NN$63/$NT$63)),0)</f>
        <v/>
      </c>
      <c r="GK63" s="402">
        <f>IF(AND(189&gt;=$NR$63,189&lt;=$NS$63),IF($NP$63="Single_Point",IF(189=$NR$63,$NN$63,0),IF($NP$63="Bell_Curve",$NN$63*(189-$NR$63+1)*($NS$63-189+1)/$NU$63,$NN$63/$NT$63)),0)</f>
        <v/>
      </c>
      <c r="GL63" s="402">
        <f>IF(AND(190&gt;=$NR$63,190&lt;=$NS$63),IF($NP$63="Single_Point",IF(190=$NR$63,$NN$63,0),IF($NP$63="Bell_Curve",$NN$63*(190-$NR$63+1)*($NS$63-190+1)/$NU$63,$NN$63/$NT$63)),0)</f>
        <v/>
      </c>
      <c r="GM63" s="402">
        <f>IF(AND(191&gt;=$NR$63,191&lt;=$NS$63),IF($NP$63="Single_Point",IF(191=$NR$63,$NN$63,0),IF($NP$63="Bell_Curve",$NN$63*(191-$NR$63+1)*($NS$63-191+1)/$NU$63,$NN$63/$NT$63)),0)</f>
        <v/>
      </c>
      <c r="GN63" s="402">
        <f>IF(AND(192&gt;=$NR$63,192&lt;=$NS$63),IF($NP$63="Single_Point",IF(192=$NR$63,$NN$63,0),IF($NP$63="Bell_Curve",$NN$63*(192-$NR$63+1)*($NS$63-192+1)/$NU$63,$NN$63/$NT$63)),0)</f>
        <v/>
      </c>
      <c r="GO63" s="402">
        <f>IF(AND(193&gt;=$NR$63,193&lt;=$NS$63),IF($NP$63="Single_Point",IF(193=$NR$63,$NN$63,0),IF($NP$63="Bell_Curve",$NN$63*(193-$NR$63+1)*($NS$63-193+1)/$NU$63,$NN$63/$NT$63)),0)</f>
        <v/>
      </c>
      <c r="GP63" s="402">
        <f>IF(AND(194&gt;=$NR$63,194&lt;=$NS$63),IF($NP$63="Single_Point",IF(194=$NR$63,$NN$63,0),IF($NP$63="Bell_Curve",$NN$63*(194-$NR$63+1)*($NS$63-194+1)/$NU$63,$NN$63/$NT$63)),0)</f>
        <v/>
      </c>
      <c r="GQ63" s="402">
        <f>IF(AND(195&gt;=$NR$63,195&lt;=$NS$63),IF($NP$63="Single_Point",IF(195=$NR$63,$NN$63,0),IF($NP$63="Bell_Curve",$NN$63*(195-$NR$63+1)*($NS$63-195+1)/$NU$63,$NN$63/$NT$63)),0)</f>
        <v/>
      </c>
      <c r="GR63" s="402">
        <f>IF(AND(196&gt;=$NR$63,196&lt;=$NS$63),IF($NP$63="Single_Point",IF(196=$NR$63,$NN$63,0),IF($NP$63="Bell_Curve",$NN$63*(196-$NR$63+1)*($NS$63-196+1)/$NU$63,$NN$63/$NT$63)),0)</f>
        <v/>
      </c>
      <c r="GS63" s="402">
        <f>IF(AND(197&gt;=$NR$63,197&lt;=$NS$63),IF($NP$63="Single_Point",IF(197=$NR$63,$NN$63,0),IF($NP$63="Bell_Curve",$NN$63*(197-$NR$63+1)*($NS$63-197+1)/$NU$63,$NN$63/$NT$63)),0)</f>
        <v/>
      </c>
      <c r="GT63" s="402">
        <f>IF(AND(198&gt;=$NR$63,198&lt;=$NS$63),IF($NP$63="Single_Point",IF(198=$NR$63,$NN$63,0),IF($NP$63="Bell_Curve",$NN$63*(198-$NR$63+1)*($NS$63-198+1)/$NU$63,$NN$63/$NT$63)),0)</f>
        <v/>
      </c>
      <c r="GU63" s="402">
        <f>IF(AND(199&gt;=$NR$63,199&lt;=$NS$63),IF($NP$63="Single_Point",IF(199=$NR$63,$NN$63,0),IF($NP$63="Bell_Curve",$NN$63*(199-$NR$63+1)*($NS$63-199+1)/$NU$63,$NN$63/$NT$63)),0)</f>
        <v/>
      </c>
      <c r="GV63" s="402">
        <f>IF(AND(200&gt;=$NR$63,200&lt;=$NS$63),IF($NP$63="Single_Point",IF(200=$NR$63,$NN$63,0),IF($NP$63="Bell_Curve",$NN$63*(200-$NR$63+1)*($NS$63-200+1)/$NU$63,$NN$63/$NT$63)),0)</f>
        <v/>
      </c>
      <c r="GW63" s="402">
        <f>IF(AND(201&gt;=$NR$63,201&lt;=$NS$63),IF($NP$63="Single_Point",IF(201=$NR$63,$NN$63,0),IF($NP$63="Bell_Curve",$NN$63*(201-$NR$63+1)*($NS$63-201+1)/$NU$63,$NN$63/$NT$63)),0)</f>
        <v/>
      </c>
      <c r="GX63" s="402">
        <f>IF(AND(202&gt;=$NR$63,202&lt;=$NS$63),IF($NP$63="Single_Point",IF(202=$NR$63,$NN$63,0),IF($NP$63="Bell_Curve",$NN$63*(202-$NR$63+1)*($NS$63-202+1)/$NU$63,$NN$63/$NT$63)),0)</f>
        <v/>
      </c>
      <c r="GY63" s="402">
        <f>IF(AND(203&gt;=$NR$63,203&lt;=$NS$63),IF($NP$63="Single_Point",IF(203=$NR$63,$NN$63,0),IF($NP$63="Bell_Curve",$NN$63*(203-$NR$63+1)*($NS$63-203+1)/$NU$63,$NN$63/$NT$63)),0)</f>
        <v/>
      </c>
      <c r="GZ63" s="402">
        <f>IF(AND(204&gt;=$NR$63,204&lt;=$NS$63),IF($NP$63="Single_Point",IF(204=$NR$63,$NN$63,0),IF($NP$63="Bell_Curve",$NN$63*(204-$NR$63+1)*($NS$63-204+1)/$NU$63,$NN$63/$NT$63)),0)</f>
        <v/>
      </c>
      <c r="HA63" s="402">
        <f>IF(AND(205&gt;=$NR$63,205&lt;=$NS$63),IF($NP$63="Single_Point",IF(205=$NR$63,$NN$63,0),IF($NP$63="Bell_Curve",$NN$63*(205-$NR$63+1)*($NS$63-205+1)/$NU$63,$NN$63/$NT$63)),0)</f>
        <v/>
      </c>
      <c r="HB63" s="402">
        <f>IF(AND(206&gt;=$NR$63,206&lt;=$NS$63),IF($NP$63="Single_Point",IF(206=$NR$63,$NN$63,0),IF($NP$63="Bell_Curve",$NN$63*(206-$NR$63+1)*($NS$63-206+1)/$NU$63,$NN$63/$NT$63)),0)</f>
        <v/>
      </c>
      <c r="HC63" s="402">
        <f>IF(AND(207&gt;=$NR$63,207&lt;=$NS$63),IF($NP$63="Single_Point",IF(207=$NR$63,$NN$63,0),IF($NP$63="Bell_Curve",$NN$63*(207-$NR$63+1)*($NS$63-207+1)/$NU$63,$NN$63/$NT$63)),0)</f>
        <v/>
      </c>
      <c r="HD63" s="402">
        <f>IF(AND(208&gt;=$NR$63,208&lt;=$NS$63),IF($NP$63="Single_Point",IF(208=$NR$63,$NN$63,0),IF($NP$63="Bell_Curve",$NN$63*(208-$NR$63+1)*($NS$63-208+1)/$NU$63,$NN$63/$NT$63)),0)</f>
        <v/>
      </c>
      <c r="HE63" s="402">
        <f>IF(AND(209&gt;=$NR$63,209&lt;=$NS$63),IF($NP$63="Single_Point",IF(209=$NR$63,$NN$63,0),IF($NP$63="Bell_Curve",$NN$63*(209-$NR$63+1)*($NS$63-209+1)/$NU$63,$NN$63/$NT$63)),0)</f>
        <v/>
      </c>
      <c r="HF63" s="402">
        <f>IF(AND(210&gt;=$NR$63,210&lt;=$NS$63),IF($NP$63="Single_Point",IF(210=$NR$63,$NN$63,0),IF($NP$63="Bell_Curve",$NN$63*(210-$NR$63+1)*($NS$63-210+1)/$NU$63,$NN$63/$NT$63)),0)</f>
        <v/>
      </c>
      <c r="HG63" s="402">
        <f>IF(AND(211&gt;=$NR$63,211&lt;=$NS$63),IF($NP$63="Single_Point",IF(211=$NR$63,$NN$63,0),IF($NP$63="Bell_Curve",$NN$63*(211-$NR$63+1)*($NS$63-211+1)/$NU$63,$NN$63/$NT$63)),0)</f>
        <v/>
      </c>
      <c r="HH63" s="402">
        <f>IF(AND(212&gt;=$NR$63,212&lt;=$NS$63),IF($NP$63="Single_Point",IF(212=$NR$63,$NN$63,0),IF($NP$63="Bell_Curve",$NN$63*(212-$NR$63+1)*($NS$63-212+1)/$NU$63,$NN$63/$NT$63)),0)</f>
        <v/>
      </c>
      <c r="HI63" s="402">
        <f>IF(AND(213&gt;=$NR$63,213&lt;=$NS$63),IF($NP$63="Single_Point",IF(213=$NR$63,$NN$63,0),IF($NP$63="Bell_Curve",$NN$63*(213-$NR$63+1)*($NS$63-213+1)/$NU$63,$NN$63/$NT$63)),0)</f>
        <v/>
      </c>
      <c r="HJ63" s="402">
        <f>IF(AND(214&gt;=$NR$63,214&lt;=$NS$63),IF($NP$63="Single_Point",IF(214=$NR$63,$NN$63,0),IF($NP$63="Bell_Curve",$NN$63*(214-$NR$63+1)*($NS$63-214+1)/$NU$63,$NN$63/$NT$63)),0)</f>
        <v/>
      </c>
      <c r="HK63" s="402">
        <f>IF(AND(215&gt;=$NR$63,215&lt;=$NS$63),IF($NP$63="Single_Point",IF(215=$NR$63,$NN$63,0),IF($NP$63="Bell_Curve",$NN$63*(215-$NR$63+1)*($NS$63-215+1)/$NU$63,$NN$63/$NT$63)),0)</f>
        <v/>
      </c>
      <c r="HL63" s="402">
        <f>IF(AND(216&gt;=$NR$63,216&lt;=$NS$63),IF($NP$63="Single_Point",IF(216=$NR$63,$NN$63,0),IF($NP$63="Bell_Curve",$NN$63*(216-$NR$63+1)*($NS$63-216+1)/$NU$63,$NN$63/$NT$63)),0)</f>
        <v/>
      </c>
      <c r="HM63" s="402">
        <f>IF(AND(217&gt;=$NR$63,217&lt;=$NS$63),IF($NP$63="Single_Point",IF(217=$NR$63,$NN$63,0),IF($NP$63="Bell_Curve",$NN$63*(217-$NR$63+1)*($NS$63-217+1)/$NU$63,$NN$63/$NT$63)),0)</f>
        <v/>
      </c>
      <c r="HN63" s="402">
        <f>IF(AND(218&gt;=$NR$63,218&lt;=$NS$63),IF($NP$63="Single_Point",IF(218=$NR$63,$NN$63,0),IF($NP$63="Bell_Curve",$NN$63*(218-$NR$63+1)*($NS$63-218+1)/$NU$63,$NN$63/$NT$63)),0)</f>
        <v/>
      </c>
      <c r="HO63" s="402">
        <f>IF(AND(219&gt;=$NR$63,219&lt;=$NS$63),IF($NP$63="Single_Point",IF(219=$NR$63,$NN$63,0),IF($NP$63="Bell_Curve",$NN$63*(219-$NR$63+1)*($NS$63-219+1)/$NU$63,$NN$63/$NT$63)),0)</f>
        <v/>
      </c>
      <c r="HP63" s="402">
        <f>IF(AND(220&gt;=$NR$63,220&lt;=$NS$63),IF($NP$63="Single_Point",IF(220=$NR$63,$NN$63,0),IF($NP$63="Bell_Curve",$NN$63*(220-$NR$63+1)*($NS$63-220+1)/$NU$63,$NN$63/$NT$63)),0)</f>
        <v/>
      </c>
      <c r="HQ63" s="402">
        <f>IF(AND(221&gt;=$NR$63,221&lt;=$NS$63),IF($NP$63="Single_Point",IF(221=$NR$63,$NN$63,0),IF($NP$63="Bell_Curve",$NN$63*(221-$NR$63+1)*($NS$63-221+1)/$NU$63,$NN$63/$NT$63)),0)</f>
        <v/>
      </c>
      <c r="HR63" s="402">
        <f>IF(AND(222&gt;=$NR$63,222&lt;=$NS$63),IF($NP$63="Single_Point",IF(222=$NR$63,$NN$63,0),IF($NP$63="Bell_Curve",$NN$63*(222-$NR$63+1)*($NS$63-222+1)/$NU$63,$NN$63/$NT$63)),0)</f>
        <v/>
      </c>
      <c r="HS63" s="402">
        <f>IF(AND(223&gt;=$NR$63,223&lt;=$NS$63),IF($NP$63="Single_Point",IF(223=$NR$63,$NN$63,0),IF($NP$63="Bell_Curve",$NN$63*(223-$NR$63+1)*($NS$63-223+1)/$NU$63,$NN$63/$NT$63)),0)</f>
        <v/>
      </c>
      <c r="HT63" s="402">
        <f>IF(AND(224&gt;=$NR$63,224&lt;=$NS$63),IF($NP$63="Single_Point",IF(224=$NR$63,$NN$63,0),IF($NP$63="Bell_Curve",$NN$63*(224-$NR$63+1)*($NS$63-224+1)/$NU$63,$NN$63/$NT$63)),0)</f>
        <v/>
      </c>
      <c r="HU63" s="402">
        <f>IF(AND(225&gt;=$NR$63,225&lt;=$NS$63),IF($NP$63="Single_Point",IF(225=$NR$63,$NN$63,0),IF($NP$63="Bell_Curve",$NN$63*(225-$NR$63+1)*($NS$63-225+1)/$NU$63,$NN$63/$NT$63)),0)</f>
        <v/>
      </c>
      <c r="HV63" s="402">
        <f>IF(AND(226&gt;=$NR$63,226&lt;=$NS$63),IF($NP$63="Single_Point",IF(226=$NR$63,$NN$63,0),IF($NP$63="Bell_Curve",$NN$63*(226-$NR$63+1)*($NS$63-226+1)/$NU$63,$NN$63/$NT$63)),0)</f>
        <v/>
      </c>
      <c r="HW63" s="402">
        <f>IF(AND(227&gt;=$NR$63,227&lt;=$NS$63),IF($NP$63="Single_Point",IF(227=$NR$63,$NN$63,0),IF($NP$63="Bell_Curve",$NN$63*(227-$NR$63+1)*($NS$63-227+1)/$NU$63,$NN$63/$NT$63)),0)</f>
        <v/>
      </c>
      <c r="HX63" s="402">
        <f>IF(AND(228&gt;=$NR$63,228&lt;=$NS$63),IF($NP$63="Single_Point",IF(228=$NR$63,$NN$63,0),IF($NP$63="Bell_Curve",$NN$63*(228-$NR$63+1)*($NS$63-228+1)/$NU$63,$NN$63/$NT$63)),0)</f>
        <v/>
      </c>
      <c r="HY63" s="402">
        <f>IF(AND(229&gt;=$NR$63,229&lt;=$NS$63),IF($NP$63="Single_Point",IF(229=$NR$63,$NN$63,0),IF($NP$63="Bell_Curve",$NN$63*(229-$NR$63+1)*($NS$63-229+1)/$NU$63,$NN$63/$NT$63)),0)</f>
        <v/>
      </c>
      <c r="HZ63" s="402">
        <f>IF(AND(230&gt;=$NR$63,230&lt;=$NS$63),IF($NP$63="Single_Point",IF(230=$NR$63,$NN$63,0),IF($NP$63="Bell_Curve",$NN$63*(230-$NR$63+1)*($NS$63-230+1)/$NU$63,$NN$63/$NT$63)),0)</f>
        <v/>
      </c>
      <c r="IA63" s="402">
        <f>IF(AND(231&gt;=$NR$63,231&lt;=$NS$63),IF($NP$63="Single_Point",IF(231=$NR$63,$NN$63,0),IF($NP$63="Bell_Curve",$NN$63*(231-$NR$63+1)*($NS$63-231+1)/$NU$63,$NN$63/$NT$63)),0)</f>
        <v/>
      </c>
      <c r="IB63" s="402">
        <f>IF(AND(232&gt;=$NR$63,232&lt;=$NS$63),IF($NP$63="Single_Point",IF(232=$NR$63,$NN$63,0),IF($NP$63="Bell_Curve",$NN$63*(232-$NR$63+1)*($NS$63-232+1)/$NU$63,$NN$63/$NT$63)),0)</f>
        <v/>
      </c>
      <c r="IC63" s="402">
        <f>IF(AND(233&gt;=$NR$63,233&lt;=$NS$63),IF($NP$63="Single_Point",IF(233=$NR$63,$NN$63,0),IF($NP$63="Bell_Curve",$NN$63*(233-$NR$63+1)*($NS$63-233+1)/$NU$63,$NN$63/$NT$63)),0)</f>
        <v/>
      </c>
      <c r="ID63" s="402">
        <f>IF(AND(234&gt;=$NR$63,234&lt;=$NS$63),IF($NP$63="Single_Point",IF(234=$NR$63,$NN$63,0),IF($NP$63="Bell_Curve",$NN$63*(234-$NR$63+1)*($NS$63-234+1)/$NU$63,$NN$63/$NT$63)),0)</f>
        <v/>
      </c>
      <c r="IE63" s="402">
        <f>IF(AND(235&gt;=$NR$63,235&lt;=$NS$63),IF($NP$63="Single_Point",IF(235=$NR$63,$NN$63,0),IF($NP$63="Bell_Curve",$NN$63*(235-$NR$63+1)*($NS$63-235+1)/$NU$63,$NN$63/$NT$63)),0)</f>
        <v/>
      </c>
      <c r="IF63" s="402">
        <f>IF(AND(236&gt;=$NR$63,236&lt;=$NS$63),IF($NP$63="Single_Point",IF(236=$NR$63,$NN$63,0),IF($NP$63="Bell_Curve",$NN$63*(236-$NR$63+1)*($NS$63-236+1)/$NU$63,$NN$63/$NT$63)),0)</f>
        <v/>
      </c>
      <c r="IG63" s="402">
        <f>IF(AND(237&gt;=$NR$63,237&lt;=$NS$63),IF($NP$63="Single_Point",IF(237=$NR$63,$NN$63,0),IF($NP$63="Bell_Curve",$NN$63*(237-$NR$63+1)*($NS$63-237+1)/$NU$63,$NN$63/$NT$63)),0)</f>
        <v/>
      </c>
      <c r="IH63" s="402">
        <f>IF(AND(238&gt;=$NR$63,238&lt;=$NS$63),IF($NP$63="Single_Point",IF(238=$NR$63,$NN$63,0),IF($NP$63="Bell_Curve",$NN$63*(238-$NR$63+1)*($NS$63-238+1)/$NU$63,$NN$63/$NT$63)),0)</f>
        <v/>
      </c>
      <c r="II63" s="402">
        <f>IF(AND(239&gt;=$NR$63,239&lt;=$NS$63),IF($NP$63="Single_Point",IF(239=$NR$63,$NN$63,0),IF($NP$63="Bell_Curve",$NN$63*(239-$NR$63+1)*($NS$63-239+1)/$NU$63,$NN$63/$NT$63)),0)</f>
        <v/>
      </c>
      <c r="IJ63" s="402">
        <f>IF(AND(240&gt;=$NR$63,240&lt;=$NS$63),IF($NP$63="Single_Point",IF(240=$NR$63,$NN$63,0),IF($NP$63="Bell_Curve",$NN$63*(240-$NR$63+1)*($NS$63-240+1)/$NU$63,$NN$63/$NT$63)),0)</f>
        <v/>
      </c>
      <c r="IK63" s="402">
        <f>IF(AND(241&gt;=$NR$63,241&lt;=$NS$63),IF($NP$63="Single_Point",IF(241=$NR$63,$NN$63,0),IF($NP$63="Bell_Curve",$NN$63*(241-$NR$63+1)*($NS$63-241+1)/$NU$63,$NN$63/$NT$63)),0)</f>
        <v/>
      </c>
      <c r="IL63" s="402">
        <f>IF(AND(242&gt;=$NR$63,242&lt;=$NS$63),IF($NP$63="Single_Point",IF(242=$NR$63,$NN$63,0),IF($NP$63="Bell_Curve",$NN$63*(242-$NR$63+1)*($NS$63-242+1)/$NU$63,$NN$63/$NT$63)),0)</f>
        <v/>
      </c>
      <c r="IM63" s="402">
        <f>IF(AND(243&gt;=$NR$63,243&lt;=$NS$63),IF($NP$63="Single_Point",IF(243=$NR$63,$NN$63,0),IF($NP$63="Bell_Curve",$NN$63*(243-$NR$63+1)*($NS$63-243+1)/$NU$63,$NN$63/$NT$63)),0)</f>
        <v/>
      </c>
      <c r="IN63" s="402">
        <f>IF(AND(244&gt;=$NR$63,244&lt;=$NS$63),IF($NP$63="Single_Point",IF(244=$NR$63,$NN$63,0),IF($NP$63="Bell_Curve",$NN$63*(244-$NR$63+1)*($NS$63-244+1)/$NU$63,$NN$63/$NT$63)),0)</f>
        <v/>
      </c>
      <c r="IO63" s="402">
        <f>IF(AND(245&gt;=$NR$63,245&lt;=$NS$63),IF($NP$63="Single_Point",IF(245=$NR$63,$NN$63,0),IF($NP$63="Bell_Curve",$NN$63*(245-$NR$63+1)*($NS$63-245+1)/$NU$63,$NN$63/$NT$63)),0)</f>
        <v/>
      </c>
      <c r="IP63" s="402">
        <f>IF(AND(246&gt;=$NR$63,246&lt;=$NS$63),IF($NP$63="Single_Point",IF(246=$NR$63,$NN$63,0),IF($NP$63="Bell_Curve",$NN$63*(246-$NR$63+1)*($NS$63-246+1)/$NU$63,$NN$63/$NT$63)),0)</f>
        <v/>
      </c>
      <c r="IQ63" s="402">
        <f>IF(AND(247&gt;=$NR$63,247&lt;=$NS$63),IF($NP$63="Single_Point",IF(247=$NR$63,$NN$63,0),IF($NP$63="Bell_Curve",$NN$63*(247-$NR$63+1)*($NS$63-247+1)/$NU$63,$NN$63/$NT$63)),0)</f>
        <v/>
      </c>
      <c r="IR63" s="402">
        <f>IF(AND(248&gt;=$NR$63,248&lt;=$NS$63),IF($NP$63="Single_Point",IF(248=$NR$63,$NN$63,0),IF($NP$63="Bell_Curve",$NN$63*(248-$NR$63+1)*($NS$63-248+1)/$NU$63,$NN$63/$NT$63)),0)</f>
        <v/>
      </c>
      <c r="IS63" s="402">
        <f>IF(AND(249&gt;=$NR$63,249&lt;=$NS$63),IF($NP$63="Single_Point",IF(249=$NR$63,$NN$63,0),IF($NP$63="Bell_Curve",$NN$63*(249-$NR$63+1)*($NS$63-249+1)/$NU$63,$NN$63/$NT$63)),0)</f>
        <v/>
      </c>
      <c r="IT63" s="402">
        <f>IF(AND(250&gt;=$NR$63,250&lt;=$NS$63),IF($NP$63="Single_Point",IF(250=$NR$63,$NN$63,0),IF($NP$63="Bell_Curve",$NN$63*(250-$NR$63+1)*($NS$63-250+1)/$NU$63,$NN$63/$NT$63)),0)</f>
        <v/>
      </c>
      <c r="IU63" s="402">
        <f>IF(AND(251&gt;=$NR$63,251&lt;=$NS$63),IF($NP$63="Single_Point",IF(251=$NR$63,$NN$63,0),IF($NP$63="Bell_Curve",$NN$63*(251-$NR$63+1)*($NS$63-251+1)/$NU$63,$NN$63/$NT$63)),0)</f>
        <v/>
      </c>
      <c r="IV63" s="402">
        <f>IF(AND(252&gt;=$NR$63,252&lt;=$NS$63),IF($NP$63="Single_Point",IF(252=$NR$63,$NN$63,0),IF($NP$63="Bell_Curve",$NN$63*(252-$NR$63+1)*($NS$63-252+1)/$NU$63,$NN$63/$NT$63)),0)</f>
        <v/>
      </c>
      <c r="IW63" s="402">
        <f>IF(AND(253&gt;=$NR$63,253&lt;=$NS$63),IF($NP$63="Single_Point",IF(253=$NR$63,$NN$63,0),IF($NP$63="Bell_Curve",$NN$63*(253-$NR$63+1)*($NS$63-253+1)/$NU$63,$NN$63/$NT$63)),0)</f>
        <v/>
      </c>
      <c r="IX63" s="402">
        <f>IF(AND(254&gt;=$NR$63,254&lt;=$NS$63),IF($NP$63="Single_Point",IF(254=$NR$63,$NN$63,0),IF($NP$63="Bell_Curve",$NN$63*(254-$NR$63+1)*($NS$63-254+1)/$NU$63,$NN$63/$NT$63)),0)</f>
        <v/>
      </c>
      <c r="IY63" s="402">
        <f>IF(AND(255&gt;=$NR$63,255&lt;=$NS$63),IF($NP$63="Single_Point",IF(255=$NR$63,$NN$63,0),IF($NP$63="Bell_Curve",$NN$63*(255-$NR$63+1)*($NS$63-255+1)/$NU$63,$NN$63/$NT$63)),0)</f>
        <v/>
      </c>
      <c r="IZ63" s="402">
        <f>IF(AND(256&gt;=$NR$63,256&lt;=$NS$63),IF($NP$63="Single_Point",IF(256=$NR$63,$NN$63,0),IF($NP$63="Bell_Curve",$NN$63*(256-$NR$63+1)*($NS$63-256+1)/$NU$63,$NN$63/$NT$63)),0)</f>
        <v/>
      </c>
      <c r="JA63" s="402">
        <f>IF(AND(257&gt;=$NR$63,257&lt;=$NS$63),IF($NP$63="Single_Point",IF(257=$NR$63,$NN$63,0),IF($NP$63="Bell_Curve",$NN$63*(257-$NR$63+1)*($NS$63-257+1)/$NU$63,$NN$63/$NT$63)),0)</f>
        <v/>
      </c>
      <c r="JB63" s="402">
        <f>IF(AND(258&gt;=$NR$63,258&lt;=$NS$63),IF($NP$63="Single_Point",IF(258=$NR$63,$NN$63,0),IF($NP$63="Bell_Curve",$NN$63*(258-$NR$63+1)*($NS$63-258+1)/$NU$63,$NN$63/$NT$63)),0)</f>
        <v/>
      </c>
      <c r="JC63" s="402">
        <f>IF(AND(259&gt;=$NR$63,259&lt;=$NS$63),IF($NP$63="Single_Point",IF(259=$NR$63,$NN$63,0),IF($NP$63="Bell_Curve",$NN$63*(259-$NR$63+1)*($NS$63-259+1)/$NU$63,$NN$63/$NT$63)),0)</f>
        <v/>
      </c>
      <c r="JD63" s="402">
        <f>IF(AND(260&gt;=$NR$63,260&lt;=$NS$63),IF($NP$63="Single_Point",IF(260=$NR$63,$NN$63,0),IF($NP$63="Bell_Curve",$NN$63*(260-$NR$63+1)*($NS$63-260+1)/$NU$63,$NN$63/$NT$63)),0)</f>
        <v/>
      </c>
      <c r="JE63" s="402">
        <f>IF(AND(261&gt;=$NR$63,261&lt;=$NS$63),IF($NP$63="Single_Point",IF(261=$NR$63,$NN$63,0),IF($NP$63="Bell_Curve",$NN$63*(261-$NR$63+1)*($NS$63-261+1)/$NU$63,$NN$63/$NT$63)),0)</f>
        <v/>
      </c>
      <c r="JF63" s="402">
        <f>IF(AND(262&gt;=$NR$63,262&lt;=$NS$63),IF($NP$63="Single_Point",IF(262=$NR$63,$NN$63,0),IF($NP$63="Bell_Curve",$NN$63*(262-$NR$63+1)*($NS$63-262+1)/$NU$63,$NN$63/$NT$63)),0)</f>
        <v/>
      </c>
      <c r="JG63" s="402">
        <f>IF(AND(263&gt;=$NR$63,263&lt;=$NS$63),IF($NP$63="Single_Point",IF(263=$NR$63,$NN$63,0),IF($NP$63="Bell_Curve",$NN$63*(263-$NR$63+1)*($NS$63-263+1)/$NU$63,$NN$63/$NT$63)),0)</f>
        <v/>
      </c>
      <c r="JH63" s="402">
        <f>IF(AND(264&gt;=$NR$63,264&lt;=$NS$63),IF($NP$63="Single_Point",IF(264=$NR$63,$NN$63,0),IF($NP$63="Bell_Curve",$NN$63*(264-$NR$63+1)*($NS$63-264+1)/$NU$63,$NN$63/$NT$63)),0)</f>
        <v/>
      </c>
      <c r="JI63" s="402">
        <f>IF(AND(265&gt;=$NR$63,265&lt;=$NS$63),IF($NP$63="Single_Point",IF(265=$NR$63,$NN$63,0),IF($NP$63="Bell_Curve",$NN$63*(265-$NR$63+1)*($NS$63-265+1)/$NU$63,$NN$63/$NT$63)),0)</f>
        <v/>
      </c>
      <c r="JJ63" s="402">
        <f>IF(AND(266&gt;=$NR$63,266&lt;=$NS$63),IF($NP$63="Single_Point",IF(266=$NR$63,$NN$63,0),IF($NP$63="Bell_Curve",$NN$63*(266-$NR$63+1)*($NS$63-266+1)/$NU$63,$NN$63/$NT$63)),0)</f>
        <v/>
      </c>
      <c r="JK63" s="402">
        <f>IF(AND(267&gt;=$NR$63,267&lt;=$NS$63),IF($NP$63="Single_Point",IF(267=$NR$63,$NN$63,0),IF($NP$63="Bell_Curve",$NN$63*(267-$NR$63+1)*($NS$63-267+1)/$NU$63,$NN$63/$NT$63)),0)</f>
        <v/>
      </c>
      <c r="JL63" s="402">
        <f>IF(AND(268&gt;=$NR$63,268&lt;=$NS$63),IF($NP$63="Single_Point",IF(268=$NR$63,$NN$63,0),IF($NP$63="Bell_Curve",$NN$63*(268-$NR$63+1)*($NS$63-268+1)/$NU$63,$NN$63/$NT$63)),0)</f>
        <v/>
      </c>
      <c r="JM63" s="402">
        <f>IF(AND(269&gt;=$NR$63,269&lt;=$NS$63),IF($NP$63="Single_Point",IF(269=$NR$63,$NN$63,0),IF($NP$63="Bell_Curve",$NN$63*(269-$NR$63+1)*($NS$63-269+1)/$NU$63,$NN$63/$NT$63)),0)</f>
        <v/>
      </c>
      <c r="JN63" s="402">
        <f>IF(AND(270&gt;=$NR$63,270&lt;=$NS$63),IF($NP$63="Single_Point",IF(270=$NR$63,$NN$63,0),IF($NP$63="Bell_Curve",$NN$63*(270-$NR$63+1)*($NS$63-270+1)/$NU$63,$NN$63/$NT$63)),0)</f>
        <v/>
      </c>
      <c r="JO63" s="402">
        <f>IF(AND(271&gt;=$NR$63,271&lt;=$NS$63),IF($NP$63="Single_Point",IF(271=$NR$63,$NN$63,0),IF($NP$63="Bell_Curve",$NN$63*(271-$NR$63+1)*($NS$63-271+1)/$NU$63,$NN$63/$NT$63)),0)</f>
        <v/>
      </c>
      <c r="JP63" s="402">
        <f>IF(AND(272&gt;=$NR$63,272&lt;=$NS$63),IF($NP$63="Single_Point",IF(272=$NR$63,$NN$63,0),IF($NP$63="Bell_Curve",$NN$63*(272-$NR$63+1)*($NS$63-272+1)/$NU$63,$NN$63/$NT$63)),0)</f>
        <v/>
      </c>
      <c r="JQ63" s="402">
        <f>IF(AND(273&gt;=$NR$63,273&lt;=$NS$63),IF($NP$63="Single_Point",IF(273=$NR$63,$NN$63,0),IF($NP$63="Bell_Curve",$NN$63*(273-$NR$63+1)*($NS$63-273+1)/$NU$63,$NN$63/$NT$63)),0)</f>
        <v/>
      </c>
      <c r="JR63" s="402">
        <f>IF(AND(274&gt;=$NR$63,274&lt;=$NS$63),IF($NP$63="Single_Point",IF(274=$NR$63,$NN$63,0),IF($NP$63="Bell_Curve",$NN$63*(274-$NR$63+1)*($NS$63-274+1)/$NU$63,$NN$63/$NT$63)),0)</f>
        <v/>
      </c>
      <c r="JS63" s="402">
        <f>IF(AND(275&gt;=$NR$63,275&lt;=$NS$63),IF($NP$63="Single_Point",IF(275=$NR$63,$NN$63,0),IF($NP$63="Bell_Curve",$NN$63*(275-$NR$63+1)*($NS$63-275+1)/$NU$63,$NN$63/$NT$63)),0)</f>
        <v/>
      </c>
      <c r="JT63" s="402">
        <f>IF(AND(276&gt;=$NR$63,276&lt;=$NS$63),IF($NP$63="Single_Point",IF(276=$NR$63,$NN$63,0),IF($NP$63="Bell_Curve",$NN$63*(276-$NR$63+1)*($NS$63-276+1)/$NU$63,$NN$63/$NT$63)),0)</f>
        <v/>
      </c>
      <c r="JU63" s="402">
        <f>IF(AND(277&gt;=$NR$63,277&lt;=$NS$63),IF($NP$63="Single_Point",IF(277=$NR$63,$NN$63,0),IF($NP$63="Bell_Curve",$NN$63*(277-$NR$63+1)*($NS$63-277+1)/$NU$63,$NN$63/$NT$63)),0)</f>
        <v/>
      </c>
      <c r="JV63" s="402">
        <f>IF(AND(278&gt;=$NR$63,278&lt;=$NS$63),IF($NP$63="Single_Point",IF(278=$NR$63,$NN$63,0),IF($NP$63="Bell_Curve",$NN$63*(278-$NR$63+1)*($NS$63-278+1)/$NU$63,$NN$63/$NT$63)),0)</f>
        <v/>
      </c>
      <c r="JW63" s="402">
        <f>IF(AND(279&gt;=$NR$63,279&lt;=$NS$63),IF($NP$63="Single_Point",IF(279=$NR$63,$NN$63,0),IF($NP$63="Bell_Curve",$NN$63*(279-$NR$63+1)*($NS$63-279+1)/$NU$63,$NN$63/$NT$63)),0)</f>
        <v/>
      </c>
      <c r="JX63" s="402">
        <f>IF(AND(280&gt;=$NR$63,280&lt;=$NS$63),IF($NP$63="Single_Point",IF(280=$NR$63,$NN$63,0),IF($NP$63="Bell_Curve",$NN$63*(280-$NR$63+1)*($NS$63-280+1)/$NU$63,$NN$63/$NT$63)),0)</f>
        <v/>
      </c>
      <c r="JY63" s="402">
        <f>IF(AND(281&gt;=$NR$63,281&lt;=$NS$63),IF($NP$63="Single_Point",IF(281=$NR$63,$NN$63,0),IF($NP$63="Bell_Curve",$NN$63*(281-$NR$63+1)*($NS$63-281+1)/$NU$63,$NN$63/$NT$63)),0)</f>
        <v/>
      </c>
      <c r="JZ63" s="402">
        <f>IF(AND(282&gt;=$NR$63,282&lt;=$NS$63),IF($NP$63="Single_Point",IF(282=$NR$63,$NN$63,0),IF($NP$63="Bell_Curve",$NN$63*(282-$NR$63+1)*($NS$63-282+1)/$NU$63,$NN$63/$NT$63)),0)</f>
        <v/>
      </c>
      <c r="KA63" s="402">
        <f>IF(AND(283&gt;=$NR$63,283&lt;=$NS$63),IF($NP$63="Single_Point",IF(283=$NR$63,$NN$63,0),IF($NP$63="Bell_Curve",$NN$63*(283-$NR$63+1)*($NS$63-283+1)/$NU$63,$NN$63/$NT$63)),0)</f>
        <v/>
      </c>
      <c r="KB63" s="402">
        <f>IF(AND(284&gt;=$NR$63,284&lt;=$NS$63),IF($NP$63="Single_Point",IF(284=$NR$63,$NN$63,0),IF($NP$63="Bell_Curve",$NN$63*(284-$NR$63+1)*($NS$63-284+1)/$NU$63,$NN$63/$NT$63)),0)</f>
        <v/>
      </c>
      <c r="KC63" s="402">
        <f>IF(AND(285&gt;=$NR$63,285&lt;=$NS$63),IF($NP$63="Single_Point",IF(285=$NR$63,$NN$63,0),IF($NP$63="Bell_Curve",$NN$63*(285-$NR$63+1)*($NS$63-285+1)/$NU$63,$NN$63/$NT$63)),0)</f>
        <v/>
      </c>
      <c r="KD63" s="402">
        <f>IF(AND(286&gt;=$NR$63,286&lt;=$NS$63),IF($NP$63="Single_Point",IF(286=$NR$63,$NN$63,0),IF($NP$63="Bell_Curve",$NN$63*(286-$NR$63+1)*($NS$63-286+1)/$NU$63,$NN$63/$NT$63)),0)</f>
        <v/>
      </c>
      <c r="KE63" s="402">
        <f>IF(AND(287&gt;=$NR$63,287&lt;=$NS$63),IF($NP$63="Single_Point",IF(287=$NR$63,$NN$63,0),IF($NP$63="Bell_Curve",$NN$63*(287-$NR$63+1)*($NS$63-287+1)/$NU$63,$NN$63/$NT$63)),0)</f>
        <v/>
      </c>
      <c r="KF63" s="402">
        <f>IF(AND(288&gt;=$NR$63,288&lt;=$NS$63),IF($NP$63="Single_Point",IF(288=$NR$63,$NN$63,0),IF($NP$63="Bell_Curve",$NN$63*(288-$NR$63+1)*($NS$63-288+1)/$NU$63,$NN$63/$NT$63)),0)</f>
        <v/>
      </c>
      <c r="KG63" s="402">
        <f>IF(AND(289&gt;=$NR$63,289&lt;=$NS$63),IF($NP$63="Single_Point",IF(289=$NR$63,$NN$63,0),IF($NP$63="Bell_Curve",$NN$63*(289-$NR$63+1)*($NS$63-289+1)/$NU$63,$NN$63/$NT$63)),0)</f>
        <v/>
      </c>
      <c r="KH63" s="402">
        <f>IF(AND(290&gt;=$NR$63,290&lt;=$NS$63),IF($NP$63="Single_Point",IF(290=$NR$63,$NN$63,0),IF($NP$63="Bell_Curve",$NN$63*(290-$NR$63+1)*($NS$63-290+1)/$NU$63,$NN$63/$NT$63)),0)</f>
        <v/>
      </c>
      <c r="KI63" s="402">
        <f>IF(AND(291&gt;=$NR$63,291&lt;=$NS$63),IF($NP$63="Single_Point",IF(291=$NR$63,$NN$63,0),IF($NP$63="Bell_Curve",$NN$63*(291-$NR$63+1)*($NS$63-291+1)/$NU$63,$NN$63/$NT$63)),0)</f>
        <v/>
      </c>
      <c r="KJ63" s="402">
        <f>IF(AND(292&gt;=$NR$63,292&lt;=$NS$63),IF($NP$63="Single_Point",IF(292=$NR$63,$NN$63,0),IF($NP$63="Bell_Curve",$NN$63*(292-$NR$63+1)*($NS$63-292+1)/$NU$63,$NN$63/$NT$63)),0)</f>
        <v/>
      </c>
      <c r="KK63" s="402">
        <f>IF(AND(293&gt;=$NR$63,293&lt;=$NS$63),IF($NP$63="Single_Point",IF(293=$NR$63,$NN$63,0),IF($NP$63="Bell_Curve",$NN$63*(293-$NR$63+1)*($NS$63-293+1)/$NU$63,$NN$63/$NT$63)),0)</f>
        <v/>
      </c>
      <c r="KL63" s="402">
        <f>IF(AND(294&gt;=$NR$63,294&lt;=$NS$63),IF($NP$63="Single_Point",IF(294=$NR$63,$NN$63,0),IF($NP$63="Bell_Curve",$NN$63*(294-$NR$63+1)*($NS$63-294+1)/$NU$63,$NN$63/$NT$63)),0)</f>
        <v/>
      </c>
      <c r="KM63" s="402">
        <f>IF(AND(295&gt;=$NR$63,295&lt;=$NS$63),IF($NP$63="Single_Point",IF(295=$NR$63,$NN$63,0),IF($NP$63="Bell_Curve",$NN$63*(295-$NR$63+1)*($NS$63-295+1)/$NU$63,$NN$63/$NT$63)),0)</f>
        <v/>
      </c>
      <c r="KN63" s="402">
        <f>IF(AND(296&gt;=$NR$63,296&lt;=$NS$63),IF($NP$63="Single_Point",IF(296=$NR$63,$NN$63,0),IF($NP$63="Bell_Curve",$NN$63*(296-$NR$63+1)*($NS$63-296+1)/$NU$63,$NN$63/$NT$63)),0)</f>
        <v/>
      </c>
      <c r="KO63" s="402">
        <f>IF(AND(297&gt;=$NR$63,297&lt;=$NS$63),IF($NP$63="Single_Point",IF(297=$NR$63,$NN$63,0),IF($NP$63="Bell_Curve",$NN$63*(297-$NR$63+1)*($NS$63-297+1)/$NU$63,$NN$63/$NT$63)),0)</f>
        <v/>
      </c>
      <c r="KP63" s="402">
        <f>IF(AND(298&gt;=$NR$63,298&lt;=$NS$63),IF($NP$63="Single_Point",IF(298=$NR$63,$NN$63,0),IF($NP$63="Bell_Curve",$NN$63*(298-$NR$63+1)*($NS$63-298+1)/$NU$63,$NN$63/$NT$63)),0)</f>
        <v/>
      </c>
      <c r="KQ63" s="402">
        <f>IF(AND(299&gt;=$NR$63,299&lt;=$NS$63),IF($NP$63="Single_Point",IF(299=$NR$63,$NN$63,0),IF($NP$63="Bell_Curve",$NN$63*(299-$NR$63+1)*($NS$63-299+1)/$NU$63,$NN$63/$NT$63)),0)</f>
        <v/>
      </c>
      <c r="KR63" s="402">
        <f>IF(AND(300&gt;=$NR$63,300&lt;=$NS$63),IF($NP$63="Single_Point",IF(300=$NR$63,$NN$63,0),IF($NP$63="Bell_Curve",$NN$63*(300-$NR$63+1)*($NS$63-300+1)/$NU$63,$NN$63/$NT$63)),0)</f>
        <v/>
      </c>
      <c r="KS63" s="402">
        <f>IF(AND(301&gt;=$NR$63,301&lt;=$NS$63),IF($NP$63="Single_Point",IF(301=$NR$63,$NN$63,0),IF($NP$63="Bell_Curve",$NN$63*(301-$NR$63+1)*($NS$63-301+1)/$NU$63,$NN$63/$NT$63)),0)</f>
        <v/>
      </c>
      <c r="KT63" s="402">
        <f>IF(AND(302&gt;=$NR$63,302&lt;=$NS$63),IF($NP$63="Single_Point",IF(302=$NR$63,$NN$63,0),IF($NP$63="Bell_Curve",$NN$63*(302-$NR$63+1)*($NS$63-302+1)/$NU$63,$NN$63/$NT$63)),0)</f>
        <v/>
      </c>
      <c r="KU63" s="402">
        <f>IF(AND(303&gt;=$NR$63,303&lt;=$NS$63),IF($NP$63="Single_Point",IF(303=$NR$63,$NN$63,0),IF($NP$63="Bell_Curve",$NN$63*(303-$NR$63+1)*($NS$63-303+1)/$NU$63,$NN$63/$NT$63)),0)</f>
        <v/>
      </c>
      <c r="KV63" s="402">
        <f>IF(AND(304&gt;=$NR$63,304&lt;=$NS$63),IF($NP$63="Single_Point",IF(304=$NR$63,$NN$63,0),IF($NP$63="Bell_Curve",$NN$63*(304-$NR$63+1)*($NS$63-304+1)/$NU$63,$NN$63/$NT$63)),0)</f>
        <v/>
      </c>
      <c r="KW63" s="402">
        <f>IF(AND(305&gt;=$NR$63,305&lt;=$NS$63),IF($NP$63="Single_Point",IF(305=$NR$63,$NN$63,0),IF($NP$63="Bell_Curve",$NN$63*(305-$NR$63+1)*($NS$63-305+1)/$NU$63,$NN$63/$NT$63)),0)</f>
        <v/>
      </c>
      <c r="KX63" s="402">
        <f>IF(AND(306&gt;=$NR$63,306&lt;=$NS$63),IF($NP$63="Single_Point",IF(306=$NR$63,$NN$63,0),IF($NP$63="Bell_Curve",$NN$63*(306-$NR$63+1)*($NS$63-306+1)/$NU$63,$NN$63/$NT$63)),0)</f>
        <v/>
      </c>
      <c r="KY63" s="402">
        <f>IF(AND(307&gt;=$NR$63,307&lt;=$NS$63),IF($NP$63="Single_Point",IF(307=$NR$63,$NN$63,0),IF($NP$63="Bell_Curve",$NN$63*(307-$NR$63+1)*($NS$63-307+1)/$NU$63,$NN$63/$NT$63)),0)</f>
        <v/>
      </c>
      <c r="KZ63" s="402">
        <f>IF(AND(308&gt;=$NR$63,308&lt;=$NS$63),IF($NP$63="Single_Point",IF(308=$NR$63,$NN$63,0),IF($NP$63="Bell_Curve",$NN$63*(308-$NR$63+1)*($NS$63-308+1)/$NU$63,$NN$63/$NT$63)),0)</f>
        <v/>
      </c>
      <c r="LA63" s="402">
        <f>IF(AND(309&gt;=$NR$63,309&lt;=$NS$63),IF($NP$63="Single_Point",IF(309=$NR$63,$NN$63,0),IF($NP$63="Bell_Curve",$NN$63*(309-$NR$63+1)*($NS$63-309+1)/$NU$63,$NN$63/$NT$63)),0)</f>
        <v/>
      </c>
      <c r="LB63" s="402">
        <f>IF(AND(310&gt;=$NR$63,310&lt;=$NS$63),IF($NP$63="Single_Point",IF(310=$NR$63,$NN$63,0),IF($NP$63="Bell_Curve",$NN$63*(310-$NR$63+1)*($NS$63-310+1)/$NU$63,$NN$63/$NT$63)),0)</f>
        <v/>
      </c>
      <c r="LC63" s="402">
        <f>IF(AND(311&gt;=$NR$63,311&lt;=$NS$63),IF($NP$63="Single_Point",IF(311=$NR$63,$NN$63,0),IF($NP$63="Bell_Curve",$NN$63*(311-$NR$63+1)*($NS$63-311+1)/$NU$63,$NN$63/$NT$63)),0)</f>
        <v/>
      </c>
      <c r="LD63" s="402">
        <f>IF(AND(312&gt;=$NR$63,312&lt;=$NS$63),IF($NP$63="Single_Point",IF(312=$NR$63,$NN$63,0),IF($NP$63="Bell_Curve",$NN$63*(312-$NR$63+1)*($NS$63-312+1)/$NU$63,$NN$63/$NT$63)),0)</f>
        <v/>
      </c>
      <c r="LE63" s="402">
        <f>IF(AND(313&gt;=$NR$63,313&lt;=$NS$63),IF($NP$63="Single_Point",IF(313=$NR$63,$NN$63,0),IF($NP$63="Bell_Curve",$NN$63*(313-$NR$63+1)*($NS$63-313+1)/$NU$63,$NN$63/$NT$63)),0)</f>
        <v/>
      </c>
      <c r="LF63" s="402">
        <f>IF(AND(314&gt;=$NR$63,314&lt;=$NS$63),IF($NP$63="Single_Point",IF(314=$NR$63,$NN$63,0),IF($NP$63="Bell_Curve",$NN$63*(314-$NR$63+1)*($NS$63-314+1)/$NU$63,$NN$63/$NT$63)),0)</f>
        <v/>
      </c>
      <c r="LG63" s="402">
        <f>IF(AND(315&gt;=$NR$63,315&lt;=$NS$63),IF($NP$63="Single_Point",IF(315=$NR$63,$NN$63,0),IF($NP$63="Bell_Curve",$NN$63*(315-$NR$63+1)*($NS$63-315+1)/$NU$63,$NN$63/$NT$63)),0)</f>
        <v/>
      </c>
      <c r="LH63" s="402">
        <f>IF(AND(316&gt;=$NR$63,316&lt;=$NS$63),IF($NP$63="Single_Point",IF(316=$NR$63,$NN$63,0),IF($NP$63="Bell_Curve",$NN$63*(316-$NR$63+1)*($NS$63-316+1)/$NU$63,$NN$63/$NT$63)),0)</f>
        <v/>
      </c>
      <c r="LI63" s="402">
        <f>IF(AND(317&gt;=$NR$63,317&lt;=$NS$63),IF($NP$63="Single_Point",IF(317=$NR$63,$NN$63,0),IF($NP$63="Bell_Curve",$NN$63*(317-$NR$63+1)*($NS$63-317+1)/$NU$63,$NN$63/$NT$63)),0)</f>
        <v/>
      </c>
      <c r="LJ63" s="402">
        <f>IF(AND(318&gt;=$NR$63,318&lt;=$NS$63),IF($NP$63="Single_Point",IF(318=$NR$63,$NN$63,0),IF($NP$63="Bell_Curve",$NN$63*(318-$NR$63+1)*($NS$63-318+1)/$NU$63,$NN$63/$NT$63)),0)</f>
        <v/>
      </c>
      <c r="LK63" s="402">
        <f>IF(AND(319&gt;=$NR$63,319&lt;=$NS$63),IF($NP$63="Single_Point",IF(319=$NR$63,$NN$63,0),IF($NP$63="Bell_Curve",$NN$63*(319-$NR$63+1)*($NS$63-319+1)/$NU$63,$NN$63/$NT$63)),0)</f>
        <v/>
      </c>
      <c r="LL63" s="402">
        <f>IF(AND(320&gt;=$NR$63,320&lt;=$NS$63),IF($NP$63="Single_Point",IF(320=$NR$63,$NN$63,0),IF($NP$63="Bell_Curve",$NN$63*(320-$NR$63+1)*($NS$63-320+1)/$NU$63,$NN$63/$NT$63)),0)</f>
        <v/>
      </c>
      <c r="LM63" s="402">
        <f>IF(AND(321&gt;=$NR$63,321&lt;=$NS$63),IF($NP$63="Single_Point",IF(321=$NR$63,$NN$63,0),IF($NP$63="Bell_Curve",$NN$63*(321-$NR$63+1)*($NS$63-321+1)/$NU$63,$NN$63/$NT$63)),0)</f>
        <v/>
      </c>
      <c r="LN63" s="402">
        <f>IF(AND(322&gt;=$NR$63,322&lt;=$NS$63),IF($NP$63="Single_Point",IF(322=$NR$63,$NN$63,0),IF($NP$63="Bell_Curve",$NN$63*(322-$NR$63+1)*($NS$63-322+1)/$NU$63,$NN$63/$NT$63)),0)</f>
        <v/>
      </c>
      <c r="LO63" s="402">
        <f>IF(AND(323&gt;=$NR$63,323&lt;=$NS$63),IF($NP$63="Single_Point",IF(323=$NR$63,$NN$63,0),IF($NP$63="Bell_Curve",$NN$63*(323-$NR$63+1)*($NS$63-323+1)/$NU$63,$NN$63/$NT$63)),0)</f>
        <v/>
      </c>
      <c r="LP63" s="402">
        <f>IF(AND(324&gt;=$NR$63,324&lt;=$NS$63),IF($NP$63="Single_Point",IF(324=$NR$63,$NN$63,0),IF($NP$63="Bell_Curve",$NN$63*(324-$NR$63+1)*($NS$63-324+1)/$NU$63,$NN$63/$NT$63)),0)</f>
        <v/>
      </c>
      <c r="LQ63" s="402">
        <f>IF(AND(325&gt;=$NR$63,325&lt;=$NS$63),IF($NP$63="Single_Point",IF(325=$NR$63,$NN$63,0),IF($NP$63="Bell_Curve",$NN$63*(325-$NR$63+1)*($NS$63-325+1)/$NU$63,$NN$63/$NT$63)),0)</f>
        <v/>
      </c>
      <c r="LR63" s="402">
        <f>IF(AND(326&gt;=$NR$63,326&lt;=$NS$63),IF($NP$63="Single_Point",IF(326=$NR$63,$NN$63,0),IF($NP$63="Bell_Curve",$NN$63*(326-$NR$63+1)*($NS$63-326+1)/$NU$63,$NN$63/$NT$63)),0)</f>
        <v/>
      </c>
      <c r="LS63" s="402">
        <f>IF(AND(327&gt;=$NR$63,327&lt;=$NS$63),IF($NP$63="Single_Point",IF(327=$NR$63,$NN$63,0),IF($NP$63="Bell_Curve",$NN$63*(327-$NR$63+1)*($NS$63-327+1)/$NU$63,$NN$63/$NT$63)),0)</f>
        <v/>
      </c>
      <c r="LT63" s="402">
        <f>IF(AND(328&gt;=$NR$63,328&lt;=$NS$63),IF($NP$63="Single_Point",IF(328=$NR$63,$NN$63,0),IF($NP$63="Bell_Curve",$NN$63*(328-$NR$63+1)*($NS$63-328+1)/$NU$63,$NN$63/$NT$63)),0)</f>
        <v/>
      </c>
      <c r="LU63" s="402">
        <f>IF(AND(329&gt;=$NR$63,329&lt;=$NS$63),IF($NP$63="Single_Point",IF(329=$NR$63,$NN$63,0),IF($NP$63="Bell_Curve",$NN$63*(329-$NR$63+1)*($NS$63-329+1)/$NU$63,$NN$63/$NT$63)),0)</f>
        <v/>
      </c>
      <c r="LV63" s="402">
        <f>IF(AND(330&gt;=$NR$63,330&lt;=$NS$63),IF($NP$63="Single_Point",IF(330=$NR$63,$NN$63,0),IF($NP$63="Bell_Curve",$NN$63*(330-$NR$63+1)*($NS$63-330+1)/$NU$63,$NN$63/$NT$63)),0)</f>
        <v/>
      </c>
      <c r="LW63" s="402">
        <f>IF(AND(331&gt;=$NR$63,331&lt;=$NS$63),IF($NP$63="Single_Point",IF(331=$NR$63,$NN$63,0),IF($NP$63="Bell_Curve",$NN$63*(331-$NR$63+1)*($NS$63-331+1)/$NU$63,$NN$63/$NT$63)),0)</f>
        <v/>
      </c>
      <c r="LX63" s="402">
        <f>IF(AND(332&gt;=$NR$63,332&lt;=$NS$63),IF($NP$63="Single_Point",IF(332=$NR$63,$NN$63,0),IF($NP$63="Bell_Curve",$NN$63*(332-$NR$63+1)*($NS$63-332+1)/$NU$63,$NN$63/$NT$63)),0)</f>
        <v/>
      </c>
      <c r="LY63" s="402">
        <f>IF(AND(333&gt;=$NR$63,333&lt;=$NS$63),IF($NP$63="Single_Point",IF(333=$NR$63,$NN$63,0),IF($NP$63="Bell_Curve",$NN$63*(333-$NR$63+1)*($NS$63-333+1)/$NU$63,$NN$63/$NT$63)),0)</f>
        <v/>
      </c>
      <c r="LZ63" s="402">
        <f>IF(AND(334&gt;=$NR$63,334&lt;=$NS$63),IF($NP$63="Single_Point",IF(334=$NR$63,$NN$63,0),IF($NP$63="Bell_Curve",$NN$63*(334-$NR$63+1)*($NS$63-334+1)/$NU$63,$NN$63/$NT$63)),0)</f>
        <v/>
      </c>
      <c r="MA63" s="402">
        <f>IF(AND(335&gt;=$NR$63,335&lt;=$NS$63),IF($NP$63="Single_Point",IF(335=$NR$63,$NN$63,0),IF($NP$63="Bell_Curve",$NN$63*(335-$NR$63+1)*($NS$63-335+1)/$NU$63,$NN$63/$NT$63)),0)</f>
        <v/>
      </c>
      <c r="MB63" s="402">
        <f>IF(AND(336&gt;=$NR$63,336&lt;=$NS$63),IF($NP$63="Single_Point",IF(336=$NR$63,$NN$63,0),IF($NP$63="Bell_Curve",$NN$63*(336-$NR$63+1)*($NS$63-336+1)/$NU$63,$NN$63/$NT$63)),0)</f>
        <v/>
      </c>
      <c r="MC63" s="402">
        <f>IF(AND(337&gt;=$NR$63,337&lt;=$NS$63),IF($NP$63="Single_Point",IF(337=$NR$63,$NN$63,0),IF($NP$63="Bell_Curve",$NN$63*(337-$NR$63+1)*($NS$63-337+1)/$NU$63,$NN$63/$NT$63)),0)</f>
        <v/>
      </c>
      <c r="MD63" s="402">
        <f>IF(AND(338&gt;=$NR$63,338&lt;=$NS$63),IF($NP$63="Single_Point",IF(338=$NR$63,$NN$63,0),IF($NP$63="Bell_Curve",$NN$63*(338-$NR$63+1)*($NS$63-338+1)/$NU$63,$NN$63/$NT$63)),0)</f>
        <v/>
      </c>
      <c r="ME63" s="402">
        <f>IF(AND(339&gt;=$NR$63,339&lt;=$NS$63),IF($NP$63="Single_Point",IF(339=$NR$63,$NN$63,0),IF($NP$63="Bell_Curve",$NN$63*(339-$NR$63+1)*($NS$63-339+1)/$NU$63,$NN$63/$NT$63)),0)</f>
        <v/>
      </c>
      <c r="MF63" s="402">
        <f>IF(AND(340&gt;=$NR$63,340&lt;=$NS$63),IF($NP$63="Single_Point",IF(340=$NR$63,$NN$63,0),IF($NP$63="Bell_Curve",$NN$63*(340-$NR$63+1)*($NS$63-340+1)/$NU$63,$NN$63/$NT$63)),0)</f>
        <v/>
      </c>
      <c r="MG63" s="402">
        <f>IF(AND(341&gt;=$NR$63,341&lt;=$NS$63),IF($NP$63="Single_Point",IF(341=$NR$63,$NN$63,0),IF($NP$63="Bell_Curve",$NN$63*(341-$NR$63+1)*($NS$63-341+1)/$NU$63,$NN$63/$NT$63)),0)</f>
        <v/>
      </c>
      <c r="MH63" s="402">
        <f>IF(AND(342&gt;=$NR$63,342&lt;=$NS$63),IF($NP$63="Single_Point",IF(342=$NR$63,$NN$63,0),IF($NP$63="Bell_Curve",$NN$63*(342-$NR$63+1)*($NS$63-342+1)/$NU$63,$NN$63/$NT$63)),0)</f>
        <v/>
      </c>
      <c r="MI63" s="402">
        <f>IF(AND(343&gt;=$NR$63,343&lt;=$NS$63),IF($NP$63="Single_Point",IF(343=$NR$63,$NN$63,0),IF($NP$63="Bell_Curve",$NN$63*(343-$NR$63+1)*($NS$63-343+1)/$NU$63,$NN$63/$NT$63)),0)</f>
        <v/>
      </c>
      <c r="MJ63" s="402">
        <f>IF(AND(344&gt;=$NR$63,344&lt;=$NS$63),IF($NP$63="Single_Point",IF(344=$NR$63,$NN$63,0),IF($NP$63="Bell_Curve",$NN$63*(344-$NR$63+1)*($NS$63-344+1)/$NU$63,$NN$63/$NT$63)),0)</f>
        <v/>
      </c>
      <c r="MK63" s="402">
        <f>IF(AND(345&gt;=$NR$63,345&lt;=$NS$63),IF($NP$63="Single_Point",IF(345=$NR$63,$NN$63,0),IF($NP$63="Bell_Curve",$NN$63*(345-$NR$63+1)*($NS$63-345+1)/$NU$63,$NN$63/$NT$63)),0)</f>
        <v/>
      </c>
      <c r="ML63" s="402">
        <f>IF(AND(346&gt;=$NR$63,346&lt;=$NS$63),IF($NP$63="Single_Point",IF(346=$NR$63,$NN$63,0),IF($NP$63="Bell_Curve",$NN$63*(346-$NR$63+1)*($NS$63-346+1)/$NU$63,$NN$63/$NT$63)),0)</f>
        <v/>
      </c>
      <c r="MM63" s="402">
        <f>IF(AND(347&gt;=$NR$63,347&lt;=$NS$63),IF($NP$63="Single_Point",IF(347=$NR$63,$NN$63,0),IF($NP$63="Bell_Curve",$NN$63*(347-$NR$63+1)*($NS$63-347+1)/$NU$63,$NN$63/$NT$63)),0)</f>
        <v/>
      </c>
      <c r="MN63" s="402">
        <f>IF(AND(348&gt;=$NR$63,348&lt;=$NS$63),IF($NP$63="Single_Point",IF(348=$NR$63,$NN$63,0),IF($NP$63="Bell_Curve",$NN$63*(348-$NR$63+1)*($NS$63-348+1)/$NU$63,$NN$63/$NT$63)),0)</f>
        <v/>
      </c>
      <c r="MO63" s="402">
        <f>IF(AND(349&gt;=$NR$63,349&lt;=$NS$63),IF($NP$63="Single_Point",IF(349=$NR$63,$NN$63,0),IF($NP$63="Bell_Curve",$NN$63*(349-$NR$63+1)*($NS$63-349+1)/$NU$63,$NN$63/$NT$63)),0)</f>
        <v/>
      </c>
      <c r="MP63" s="402">
        <f>IF(AND(350&gt;=$NR$63,350&lt;=$NS$63),IF($NP$63="Single_Point",IF(350=$NR$63,$NN$63,0),IF($NP$63="Bell_Curve",$NN$63*(350-$NR$63+1)*($NS$63-350+1)/$NU$63,$NN$63/$NT$63)),0)</f>
        <v/>
      </c>
      <c r="MQ63" s="402">
        <f>IF(AND(351&gt;=$NR$63,351&lt;=$NS$63),IF($NP$63="Single_Point",IF(351=$NR$63,$NN$63,0),IF($NP$63="Bell_Curve",$NN$63*(351-$NR$63+1)*($NS$63-351+1)/$NU$63,$NN$63/$NT$63)),0)</f>
        <v/>
      </c>
      <c r="MR63" s="402">
        <f>IF(AND(352&gt;=$NR$63,352&lt;=$NS$63),IF($NP$63="Single_Point",IF(352=$NR$63,$NN$63,0),IF($NP$63="Bell_Curve",$NN$63*(352-$NR$63+1)*($NS$63-352+1)/$NU$63,$NN$63/$NT$63)),0)</f>
        <v/>
      </c>
      <c r="MS63" s="402">
        <f>IF(AND(353&gt;=$NR$63,353&lt;=$NS$63),IF($NP$63="Single_Point",IF(353=$NR$63,$NN$63,0),IF($NP$63="Bell_Curve",$NN$63*(353-$NR$63+1)*($NS$63-353+1)/$NU$63,$NN$63/$NT$63)),0)</f>
        <v/>
      </c>
      <c r="MT63" s="402">
        <f>IF(AND(354&gt;=$NR$63,354&lt;=$NS$63),IF($NP$63="Single_Point",IF(354=$NR$63,$NN$63,0),IF($NP$63="Bell_Curve",$NN$63*(354-$NR$63+1)*($NS$63-354+1)/$NU$63,$NN$63/$NT$63)),0)</f>
        <v/>
      </c>
      <c r="MU63" s="402">
        <f>IF(AND(355&gt;=$NR$63,355&lt;=$NS$63),IF($NP$63="Single_Point",IF(355=$NR$63,$NN$63,0),IF($NP$63="Bell_Curve",$NN$63*(355-$NR$63+1)*($NS$63-355+1)/$NU$63,$NN$63/$NT$63)),0)</f>
        <v/>
      </c>
      <c r="MV63" s="402">
        <f>IF(AND(356&gt;=$NR$63,356&lt;=$NS$63),IF($NP$63="Single_Point",IF(356=$NR$63,$NN$63,0),IF($NP$63="Bell_Curve",$NN$63*(356-$NR$63+1)*($NS$63-356+1)/$NU$63,$NN$63/$NT$63)),0)</f>
        <v/>
      </c>
      <c r="MW63" s="402">
        <f>IF(AND(357&gt;=$NR$63,357&lt;=$NS$63),IF($NP$63="Single_Point",IF(357=$NR$63,$NN$63,0),IF($NP$63="Bell_Curve",$NN$63*(357-$NR$63+1)*($NS$63-357+1)/$NU$63,$NN$63/$NT$63)),0)</f>
        <v/>
      </c>
      <c r="MX63" s="402">
        <f>IF(AND(358&gt;=$NR$63,358&lt;=$NS$63),IF($NP$63="Single_Point",IF(358=$NR$63,$NN$63,0),IF($NP$63="Bell_Curve",$NN$63*(358-$NR$63+1)*($NS$63-358+1)/$NU$63,$NN$63/$NT$63)),0)</f>
        <v/>
      </c>
      <c r="MY63" s="402">
        <f>IF(AND(359&gt;=$NR$63,359&lt;=$NS$63),IF($NP$63="Single_Point",IF(359=$NR$63,$NN$63,0),IF($NP$63="Bell_Curve",$NN$63*(359-$NR$63+1)*($NS$63-359+1)/$NU$63,$NN$63/$NT$63)),0)</f>
        <v/>
      </c>
      <c r="MZ63" s="402">
        <f>IF(AND(360&gt;=$NR$63,360&lt;=$NS$63),IF($NP$63="Single_Point",IF(360=$NR$63,$NN$63,0),IF($NP$63="Bell_Curve",$NN$63*(360-$NR$63+1)*($NS$63-360+1)/$NU$63,$NN$63/$NT$63)),0)</f>
        <v/>
      </c>
      <c r="NA63" s="402">
        <f>IF(AND(361&gt;=$NR$63,361&lt;=$NS$63),IF($NP$63="Single_Point",IF(361=$NR$63,$NN$63,0),IF($NP$63="Bell_Curve",$NN$63*(361-$NR$63+1)*($NS$63-361+1)/$NU$63,$NN$63/$NT$63)),0)</f>
        <v/>
      </c>
      <c r="NB63" s="402">
        <f>IF(AND(362&gt;=$NR$63,362&lt;=$NS$63),IF($NP$63="Single_Point",IF(362=$NR$63,$NN$63,0),IF($NP$63="Bell_Curve",$NN$63*(362-$NR$63+1)*($NS$63-362+1)/$NU$63,$NN$63/$NT$63)),0)</f>
        <v/>
      </c>
      <c r="NC63" s="402">
        <f>IF(AND(363&gt;=$NR$63,363&lt;=$NS$63),IF($NP$63="Single_Point",IF(363=$NR$63,$NN$63,0),IF($NP$63="Bell_Curve",$NN$63*(363-$NR$63+1)*($NS$63-363+1)/$NU$63,$NN$63/$NT$63)),0)</f>
        <v/>
      </c>
      <c r="ND63" s="402">
        <f>IF(AND(364&gt;=$NR$63,364&lt;=$NS$63),IF($NP$63="Single_Point",IF(364=$NR$63,$NN$63,0),IF($NP$63="Bell_Curve",$NN$63*(364-$NR$63+1)*($NS$63-364+1)/$NU$63,$NN$63/$NT$63)),0)</f>
        <v/>
      </c>
      <c r="NE63" s="402">
        <f>IF(AND(365&gt;=$NR$63,365&lt;=$NS$63),IF($NP$63="Single_Point",IF(365=$NR$63,$NN$63,0),IF($NP$63="Bell_Curve",$NN$63*(365-$NR$63+1)*($NS$63-365+1)/$NU$63,$NN$63/$NT$63)),0)</f>
        <v/>
      </c>
      <c r="NF63" s="402">
        <f>IF(AND(366&gt;=$NR$63,366&lt;=$NS$63),IF($NP$63="Single_Point",IF(366=$NR$63,$NN$63,0),IF($NP$63="Bell_Curve",$NN$63*(366-$NR$63+1)*($NS$63-366+1)/$NU$63,$NN$63/$NT$63)),0)</f>
        <v/>
      </c>
      <c r="NG63" s="402">
        <f>IF(AND(367&gt;=$NR$63,367&lt;=$NS$63),IF($NP$63="Single_Point",IF(367=$NR$63,$NN$63,0),IF($NP$63="Bell_Curve",$NN$63*(367-$NR$63+1)*($NS$63-367+1)/$NU$63,$NN$63/$NT$63)),0)</f>
        <v/>
      </c>
      <c r="NH63" s="402">
        <f>IF(AND(368&gt;=$NR$63,368&lt;=$NS$63),IF($NP$63="Single_Point",IF(368=$NR$63,$NN$63,0),IF($NP$63="Bell_Curve",$NN$63*(368-$NR$63+1)*($NS$63-368+1)/$NU$63,$NN$63/$NT$63)),0)</f>
        <v/>
      </c>
      <c r="NI63" s="402">
        <f>IF(AND(369&gt;=$NR$63,369&lt;=$NS$63),IF($NP$63="Single_Point",IF(369=$NR$63,$NN$63,0),IF($NP$63="Bell_Curve",$NN$63*(369-$NR$63+1)*($NS$63-369+1)/$NU$63,$NN$63/$NT$63)),0)</f>
        <v/>
      </c>
      <c r="NJ63" s="402">
        <f>IF(AND(370&gt;=$NR$63,370&lt;=$NS$63),IF($NP$63="Single_Point",IF(370=$NR$63,$NN$63,0),IF($NP$63="Bell_Curve",$NN$63*(370-$NR$63+1)*($NS$63-370+1)/$NU$63,$NN$63/$NT$63)),0)</f>
        <v/>
      </c>
      <c r="NK63" s="402">
        <f>IF(AND(371&gt;=$NR$63,371&lt;=$NS$63),IF($NP$63="Single_Point",IF(371=$NR$63,$NN$63,0),IF($NP$63="Bell_Curve",$NN$63*(371-$NR$63+1)*($NS$63-371+1)/$NU$63,$NN$63/$NT$63)),0)</f>
        <v/>
      </c>
      <c r="NL63" s="402">
        <f>IF(AND(372&gt;=$NR$63,372&lt;=$NS$63),IF($NP$63="Single_Point",IF(372=$NR$63,$NN$63,0),IF($NP$63="Bell_Curve",$NN$63*(372-$NR$63+1)*($NS$63-372+1)/$NU$63,$NN$63/$NT$63)),0)</f>
        <v/>
      </c>
      <c r="NM63">
        <f>Budget!C62</f>
        <v/>
      </c>
      <c r="NN63">
        <f>Budget!J62</f>
        <v/>
      </c>
      <c r="NO63">
        <f>Budget!G62</f>
        <v/>
      </c>
      <c r="NP63">
        <f>Budget!H62</f>
        <v/>
      </c>
      <c r="NQ63">
        <f>Budget!I62</f>
        <v/>
      </c>
      <c r="NR63">
        <f>MAX(1,MIN(372,INDEX(MilestoneStart,MATCH(NO63,MilestoneNames,0))+NQ63))</f>
        <v/>
      </c>
      <c r="NS63">
        <f>MAX(NR63,MIN(372,INDEX(MilestoneEnd,MATCH(NO63,MilestoneNames,0))+NQ63))</f>
        <v/>
      </c>
      <c r="NT63">
        <f>NS63-NR63+1</f>
        <v/>
      </c>
      <c r="NU63">
        <f>NT63*(NT63+1)*(NT63+2)/6</f>
        <v/>
      </c>
    </row>
    <row r="64">
      <c r="B64" s="316">
        <f>Budget!B63</f>
        <v/>
      </c>
      <c r="D64" s="402">
        <f>SUM(E64:NL64)</f>
        <v/>
      </c>
      <c r="E64" s="402">
        <f>IF(AND(1&gt;=$NR$64,1&lt;=$NS$64),IF($NP$64="Single_Point",IF(1=$NR$64,$NN$64,0),IF($NP$64="Bell_Curve",$NN$64*(1-$NR$64+1)*($NS$64-1+1)/$NU$64,$NN$64/$NT$64)),0)</f>
        <v/>
      </c>
      <c r="F64" s="402">
        <f>IF(AND(2&gt;=$NR$64,2&lt;=$NS$64),IF($NP$64="Single_Point",IF(2=$NR$64,$NN$64,0),IF($NP$64="Bell_Curve",$NN$64*(2-$NR$64+1)*($NS$64-2+1)/$NU$64,$NN$64/$NT$64)),0)</f>
        <v/>
      </c>
      <c r="G64" s="402">
        <f>IF(AND(3&gt;=$NR$64,3&lt;=$NS$64),IF($NP$64="Single_Point",IF(3=$NR$64,$NN$64,0),IF($NP$64="Bell_Curve",$NN$64*(3-$NR$64+1)*($NS$64-3+1)/$NU$64,$NN$64/$NT$64)),0)</f>
        <v/>
      </c>
      <c r="H64" s="402">
        <f>IF(AND(4&gt;=$NR$64,4&lt;=$NS$64),IF($NP$64="Single_Point",IF(4=$NR$64,$NN$64,0),IF($NP$64="Bell_Curve",$NN$64*(4-$NR$64+1)*($NS$64-4+1)/$NU$64,$NN$64/$NT$64)),0)</f>
        <v/>
      </c>
      <c r="I64" s="402">
        <f>IF(AND(5&gt;=$NR$64,5&lt;=$NS$64),IF($NP$64="Single_Point",IF(5=$NR$64,$NN$64,0),IF($NP$64="Bell_Curve",$NN$64*(5-$NR$64+1)*($NS$64-5+1)/$NU$64,$NN$64/$NT$64)),0)</f>
        <v/>
      </c>
      <c r="J64" s="402">
        <f>IF(AND(6&gt;=$NR$64,6&lt;=$NS$64),IF($NP$64="Single_Point",IF(6=$NR$64,$NN$64,0),IF($NP$64="Bell_Curve",$NN$64*(6-$NR$64+1)*($NS$64-6+1)/$NU$64,$NN$64/$NT$64)),0)</f>
        <v/>
      </c>
      <c r="K64" s="402">
        <f>IF(AND(7&gt;=$NR$64,7&lt;=$NS$64),IF($NP$64="Single_Point",IF(7=$NR$64,$NN$64,0),IF($NP$64="Bell_Curve",$NN$64*(7-$NR$64+1)*($NS$64-7+1)/$NU$64,$NN$64/$NT$64)),0)</f>
        <v/>
      </c>
      <c r="L64" s="402">
        <f>IF(AND(8&gt;=$NR$64,8&lt;=$NS$64),IF($NP$64="Single_Point",IF(8=$NR$64,$NN$64,0),IF($NP$64="Bell_Curve",$NN$64*(8-$NR$64+1)*($NS$64-8+1)/$NU$64,$NN$64/$NT$64)),0)</f>
        <v/>
      </c>
      <c r="M64" s="402">
        <f>IF(AND(9&gt;=$NR$64,9&lt;=$NS$64),IF($NP$64="Single_Point",IF(9=$NR$64,$NN$64,0),IF($NP$64="Bell_Curve",$NN$64*(9-$NR$64+1)*($NS$64-9+1)/$NU$64,$NN$64/$NT$64)),0)</f>
        <v/>
      </c>
      <c r="N64" s="402">
        <f>IF(AND(10&gt;=$NR$64,10&lt;=$NS$64),IF($NP$64="Single_Point",IF(10=$NR$64,$NN$64,0),IF($NP$64="Bell_Curve",$NN$64*(10-$NR$64+1)*($NS$64-10+1)/$NU$64,$NN$64/$NT$64)),0)</f>
        <v/>
      </c>
      <c r="O64" s="402">
        <f>IF(AND(11&gt;=$NR$64,11&lt;=$NS$64),IF($NP$64="Single_Point",IF(11=$NR$64,$NN$64,0),IF($NP$64="Bell_Curve",$NN$64*(11-$NR$64+1)*($NS$64-11+1)/$NU$64,$NN$64/$NT$64)),0)</f>
        <v/>
      </c>
      <c r="P64" s="402">
        <f>IF(AND(12&gt;=$NR$64,12&lt;=$NS$64),IF($NP$64="Single_Point",IF(12=$NR$64,$NN$64,0),IF($NP$64="Bell_Curve",$NN$64*(12-$NR$64+1)*($NS$64-12+1)/$NU$64,$NN$64/$NT$64)),0)</f>
        <v/>
      </c>
      <c r="Q64" s="402">
        <f>IF(AND(13&gt;=$NR$64,13&lt;=$NS$64),IF($NP$64="Single_Point",IF(13=$NR$64,$NN$64,0),IF($NP$64="Bell_Curve",$NN$64*(13-$NR$64+1)*($NS$64-13+1)/$NU$64,$NN$64/$NT$64)),0)</f>
        <v/>
      </c>
      <c r="R64" s="402">
        <f>IF(AND(14&gt;=$NR$64,14&lt;=$NS$64),IF($NP$64="Single_Point",IF(14=$NR$64,$NN$64,0),IF($NP$64="Bell_Curve",$NN$64*(14-$NR$64+1)*($NS$64-14+1)/$NU$64,$NN$64/$NT$64)),0)</f>
        <v/>
      </c>
      <c r="S64" s="402">
        <f>IF(AND(15&gt;=$NR$64,15&lt;=$NS$64),IF($NP$64="Single_Point",IF(15=$NR$64,$NN$64,0),IF($NP$64="Bell_Curve",$NN$64*(15-$NR$64+1)*($NS$64-15+1)/$NU$64,$NN$64/$NT$64)),0)</f>
        <v/>
      </c>
      <c r="T64" s="402">
        <f>IF(AND(16&gt;=$NR$64,16&lt;=$NS$64),IF($NP$64="Single_Point",IF(16=$NR$64,$NN$64,0),IF($NP$64="Bell_Curve",$NN$64*(16-$NR$64+1)*($NS$64-16+1)/$NU$64,$NN$64/$NT$64)),0)</f>
        <v/>
      </c>
      <c r="U64" s="402">
        <f>IF(AND(17&gt;=$NR$64,17&lt;=$NS$64),IF($NP$64="Single_Point",IF(17=$NR$64,$NN$64,0),IF($NP$64="Bell_Curve",$NN$64*(17-$NR$64+1)*($NS$64-17+1)/$NU$64,$NN$64/$NT$64)),0)</f>
        <v/>
      </c>
      <c r="V64" s="402">
        <f>IF(AND(18&gt;=$NR$64,18&lt;=$NS$64),IF($NP$64="Single_Point",IF(18=$NR$64,$NN$64,0),IF($NP$64="Bell_Curve",$NN$64*(18-$NR$64+1)*($NS$64-18+1)/$NU$64,$NN$64/$NT$64)),0)</f>
        <v/>
      </c>
      <c r="W64" s="402">
        <f>IF(AND(19&gt;=$NR$64,19&lt;=$NS$64),IF($NP$64="Single_Point",IF(19=$NR$64,$NN$64,0),IF($NP$64="Bell_Curve",$NN$64*(19-$NR$64+1)*($NS$64-19+1)/$NU$64,$NN$64/$NT$64)),0)</f>
        <v/>
      </c>
      <c r="X64" s="402">
        <f>IF(AND(20&gt;=$NR$64,20&lt;=$NS$64),IF($NP$64="Single_Point",IF(20=$NR$64,$NN$64,0),IF($NP$64="Bell_Curve",$NN$64*(20-$NR$64+1)*($NS$64-20+1)/$NU$64,$NN$64/$NT$64)),0)</f>
        <v/>
      </c>
      <c r="Y64" s="402">
        <f>IF(AND(21&gt;=$NR$64,21&lt;=$NS$64),IF($NP$64="Single_Point",IF(21=$NR$64,$NN$64,0),IF($NP$64="Bell_Curve",$NN$64*(21-$NR$64+1)*($NS$64-21+1)/$NU$64,$NN$64/$NT$64)),0)</f>
        <v/>
      </c>
      <c r="Z64" s="402">
        <f>IF(AND(22&gt;=$NR$64,22&lt;=$NS$64),IF($NP$64="Single_Point",IF(22=$NR$64,$NN$64,0),IF($NP$64="Bell_Curve",$NN$64*(22-$NR$64+1)*($NS$64-22+1)/$NU$64,$NN$64/$NT$64)),0)</f>
        <v/>
      </c>
      <c r="AA64" s="402">
        <f>IF(AND(23&gt;=$NR$64,23&lt;=$NS$64),IF($NP$64="Single_Point",IF(23=$NR$64,$NN$64,0),IF($NP$64="Bell_Curve",$NN$64*(23-$NR$64+1)*($NS$64-23+1)/$NU$64,$NN$64/$NT$64)),0)</f>
        <v/>
      </c>
      <c r="AB64" s="402">
        <f>IF(AND(24&gt;=$NR$64,24&lt;=$NS$64),IF($NP$64="Single_Point",IF(24=$NR$64,$NN$64,0),IF($NP$64="Bell_Curve",$NN$64*(24-$NR$64+1)*($NS$64-24+1)/$NU$64,$NN$64/$NT$64)),0)</f>
        <v/>
      </c>
      <c r="AC64" s="402">
        <f>IF(AND(25&gt;=$NR$64,25&lt;=$NS$64),IF($NP$64="Single_Point",IF(25=$NR$64,$NN$64,0),IF($NP$64="Bell_Curve",$NN$64*(25-$NR$64+1)*($NS$64-25+1)/$NU$64,$NN$64/$NT$64)),0)</f>
        <v/>
      </c>
      <c r="AD64" s="402">
        <f>IF(AND(26&gt;=$NR$64,26&lt;=$NS$64),IF($NP$64="Single_Point",IF(26=$NR$64,$NN$64,0),IF($NP$64="Bell_Curve",$NN$64*(26-$NR$64+1)*($NS$64-26+1)/$NU$64,$NN$64/$NT$64)),0)</f>
        <v/>
      </c>
      <c r="AE64" s="402">
        <f>IF(AND(27&gt;=$NR$64,27&lt;=$NS$64),IF($NP$64="Single_Point",IF(27=$NR$64,$NN$64,0),IF($NP$64="Bell_Curve",$NN$64*(27-$NR$64+1)*($NS$64-27+1)/$NU$64,$NN$64/$NT$64)),0)</f>
        <v/>
      </c>
      <c r="AF64" s="402">
        <f>IF(AND(28&gt;=$NR$64,28&lt;=$NS$64),IF($NP$64="Single_Point",IF(28=$NR$64,$NN$64,0),IF($NP$64="Bell_Curve",$NN$64*(28-$NR$64+1)*($NS$64-28+1)/$NU$64,$NN$64/$NT$64)),0)</f>
        <v/>
      </c>
      <c r="AG64" s="402">
        <f>IF(AND(29&gt;=$NR$64,29&lt;=$NS$64),IF($NP$64="Single_Point",IF(29=$NR$64,$NN$64,0),IF($NP$64="Bell_Curve",$NN$64*(29-$NR$64+1)*($NS$64-29+1)/$NU$64,$NN$64/$NT$64)),0)</f>
        <v/>
      </c>
      <c r="AH64" s="402">
        <f>IF(AND(30&gt;=$NR$64,30&lt;=$NS$64),IF($NP$64="Single_Point",IF(30=$NR$64,$NN$64,0),IF($NP$64="Bell_Curve",$NN$64*(30-$NR$64+1)*($NS$64-30+1)/$NU$64,$NN$64/$NT$64)),0)</f>
        <v/>
      </c>
      <c r="AI64" s="402">
        <f>IF(AND(31&gt;=$NR$64,31&lt;=$NS$64),IF($NP$64="Single_Point",IF(31=$NR$64,$NN$64,0),IF($NP$64="Bell_Curve",$NN$64*(31-$NR$64+1)*($NS$64-31+1)/$NU$64,$NN$64/$NT$64)),0)</f>
        <v/>
      </c>
      <c r="AJ64" s="402">
        <f>IF(AND(32&gt;=$NR$64,32&lt;=$NS$64),IF($NP$64="Single_Point",IF(32=$NR$64,$NN$64,0),IF($NP$64="Bell_Curve",$NN$64*(32-$NR$64+1)*($NS$64-32+1)/$NU$64,$NN$64/$NT$64)),0)</f>
        <v/>
      </c>
      <c r="AK64" s="402">
        <f>IF(AND(33&gt;=$NR$64,33&lt;=$NS$64),IF($NP$64="Single_Point",IF(33=$NR$64,$NN$64,0),IF($NP$64="Bell_Curve",$NN$64*(33-$NR$64+1)*($NS$64-33+1)/$NU$64,$NN$64/$NT$64)),0)</f>
        <v/>
      </c>
      <c r="AL64" s="402">
        <f>IF(AND(34&gt;=$NR$64,34&lt;=$NS$64),IF($NP$64="Single_Point",IF(34=$NR$64,$NN$64,0),IF($NP$64="Bell_Curve",$NN$64*(34-$NR$64+1)*($NS$64-34+1)/$NU$64,$NN$64/$NT$64)),0)</f>
        <v/>
      </c>
      <c r="AM64" s="402">
        <f>IF(AND(35&gt;=$NR$64,35&lt;=$NS$64),IF($NP$64="Single_Point",IF(35=$NR$64,$NN$64,0),IF($NP$64="Bell_Curve",$NN$64*(35-$NR$64+1)*($NS$64-35+1)/$NU$64,$NN$64/$NT$64)),0)</f>
        <v/>
      </c>
      <c r="AN64" s="402">
        <f>IF(AND(36&gt;=$NR$64,36&lt;=$NS$64),IF($NP$64="Single_Point",IF(36=$NR$64,$NN$64,0),IF($NP$64="Bell_Curve",$NN$64*(36-$NR$64+1)*($NS$64-36+1)/$NU$64,$NN$64/$NT$64)),0)</f>
        <v/>
      </c>
      <c r="AO64" s="402">
        <f>IF(AND(37&gt;=$NR$64,37&lt;=$NS$64),IF($NP$64="Single_Point",IF(37=$NR$64,$NN$64,0),IF($NP$64="Bell_Curve",$NN$64*(37-$NR$64+1)*($NS$64-37+1)/$NU$64,$NN$64/$NT$64)),0)</f>
        <v/>
      </c>
      <c r="AP64" s="402">
        <f>IF(AND(38&gt;=$NR$64,38&lt;=$NS$64),IF($NP$64="Single_Point",IF(38=$NR$64,$NN$64,0),IF($NP$64="Bell_Curve",$NN$64*(38-$NR$64+1)*($NS$64-38+1)/$NU$64,$NN$64/$NT$64)),0)</f>
        <v/>
      </c>
      <c r="AQ64" s="402">
        <f>IF(AND(39&gt;=$NR$64,39&lt;=$NS$64),IF($NP$64="Single_Point",IF(39=$NR$64,$NN$64,0),IF($NP$64="Bell_Curve",$NN$64*(39-$NR$64+1)*($NS$64-39+1)/$NU$64,$NN$64/$NT$64)),0)</f>
        <v/>
      </c>
      <c r="AR64" s="402">
        <f>IF(AND(40&gt;=$NR$64,40&lt;=$NS$64),IF($NP$64="Single_Point",IF(40=$NR$64,$NN$64,0),IF($NP$64="Bell_Curve",$NN$64*(40-$NR$64+1)*($NS$64-40+1)/$NU$64,$NN$64/$NT$64)),0)</f>
        <v/>
      </c>
      <c r="AS64" s="402">
        <f>IF(AND(41&gt;=$NR$64,41&lt;=$NS$64),IF($NP$64="Single_Point",IF(41=$NR$64,$NN$64,0),IF($NP$64="Bell_Curve",$NN$64*(41-$NR$64+1)*($NS$64-41+1)/$NU$64,$NN$64/$NT$64)),0)</f>
        <v/>
      </c>
      <c r="AT64" s="402">
        <f>IF(AND(42&gt;=$NR$64,42&lt;=$NS$64),IF($NP$64="Single_Point",IF(42=$NR$64,$NN$64,0),IF($NP$64="Bell_Curve",$NN$64*(42-$NR$64+1)*($NS$64-42+1)/$NU$64,$NN$64/$NT$64)),0)</f>
        <v/>
      </c>
      <c r="AU64" s="402">
        <f>IF(AND(43&gt;=$NR$64,43&lt;=$NS$64),IF($NP$64="Single_Point",IF(43=$NR$64,$NN$64,0),IF($NP$64="Bell_Curve",$NN$64*(43-$NR$64+1)*($NS$64-43+1)/$NU$64,$NN$64/$NT$64)),0)</f>
        <v/>
      </c>
      <c r="AV64" s="402">
        <f>IF(AND(44&gt;=$NR$64,44&lt;=$NS$64),IF($NP$64="Single_Point",IF(44=$NR$64,$NN$64,0),IF($NP$64="Bell_Curve",$NN$64*(44-$NR$64+1)*($NS$64-44+1)/$NU$64,$NN$64/$NT$64)),0)</f>
        <v/>
      </c>
      <c r="AW64" s="402">
        <f>IF(AND(45&gt;=$NR$64,45&lt;=$NS$64),IF($NP$64="Single_Point",IF(45=$NR$64,$NN$64,0),IF($NP$64="Bell_Curve",$NN$64*(45-$NR$64+1)*($NS$64-45+1)/$NU$64,$NN$64/$NT$64)),0)</f>
        <v/>
      </c>
      <c r="AX64" s="402">
        <f>IF(AND(46&gt;=$NR$64,46&lt;=$NS$64),IF($NP$64="Single_Point",IF(46=$NR$64,$NN$64,0),IF($NP$64="Bell_Curve",$NN$64*(46-$NR$64+1)*($NS$64-46+1)/$NU$64,$NN$64/$NT$64)),0)</f>
        <v/>
      </c>
      <c r="AY64" s="402">
        <f>IF(AND(47&gt;=$NR$64,47&lt;=$NS$64),IF($NP$64="Single_Point",IF(47=$NR$64,$NN$64,0),IF($NP$64="Bell_Curve",$NN$64*(47-$NR$64+1)*($NS$64-47+1)/$NU$64,$NN$64/$NT$64)),0)</f>
        <v/>
      </c>
      <c r="AZ64" s="402">
        <f>IF(AND(48&gt;=$NR$64,48&lt;=$NS$64),IF($NP$64="Single_Point",IF(48=$NR$64,$NN$64,0),IF($NP$64="Bell_Curve",$NN$64*(48-$NR$64+1)*($NS$64-48+1)/$NU$64,$NN$64/$NT$64)),0)</f>
        <v/>
      </c>
      <c r="BA64" s="402">
        <f>IF(AND(49&gt;=$NR$64,49&lt;=$NS$64),IF($NP$64="Single_Point",IF(49=$NR$64,$NN$64,0),IF($NP$64="Bell_Curve",$NN$64*(49-$NR$64+1)*($NS$64-49+1)/$NU$64,$NN$64/$NT$64)),0)</f>
        <v/>
      </c>
      <c r="BB64" s="402">
        <f>IF(AND(50&gt;=$NR$64,50&lt;=$NS$64),IF($NP$64="Single_Point",IF(50=$NR$64,$NN$64,0),IF($NP$64="Bell_Curve",$NN$64*(50-$NR$64+1)*($NS$64-50+1)/$NU$64,$NN$64/$NT$64)),0)</f>
        <v/>
      </c>
      <c r="BC64" s="402">
        <f>IF(AND(51&gt;=$NR$64,51&lt;=$NS$64),IF($NP$64="Single_Point",IF(51=$NR$64,$NN$64,0),IF($NP$64="Bell_Curve",$NN$64*(51-$NR$64+1)*($NS$64-51+1)/$NU$64,$NN$64/$NT$64)),0)</f>
        <v/>
      </c>
      <c r="BD64" s="402">
        <f>IF(AND(52&gt;=$NR$64,52&lt;=$NS$64),IF($NP$64="Single_Point",IF(52=$NR$64,$NN$64,0),IF($NP$64="Bell_Curve",$NN$64*(52-$NR$64+1)*($NS$64-52+1)/$NU$64,$NN$64/$NT$64)),0)</f>
        <v/>
      </c>
      <c r="BE64" s="402">
        <f>IF(AND(53&gt;=$NR$64,53&lt;=$NS$64),IF($NP$64="Single_Point",IF(53=$NR$64,$NN$64,0),IF($NP$64="Bell_Curve",$NN$64*(53-$NR$64+1)*($NS$64-53+1)/$NU$64,$NN$64/$NT$64)),0)</f>
        <v/>
      </c>
      <c r="BF64" s="402">
        <f>IF(AND(54&gt;=$NR$64,54&lt;=$NS$64),IF($NP$64="Single_Point",IF(54=$NR$64,$NN$64,0),IF($NP$64="Bell_Curve",$NN$64*(54-$NR$64+1)*($NS$64-54+1)/$NU$64,$NN$64/$NT$64)),0)</f>
        <v/>
      </c>
      <c r="BG64" s="402">
        <f>IF(AND(55&gt;=$NR$64,55&lt;=$NS$64),IF($NP$64="Single_Point",IF(55=$NR$64,$NN$64,0),IF($NP$64="Bell_Curve",$NN$64*(55-$NR$64+1)*($NS$64-55+1)/$NU$64,$NN$64/$NT$64)),0)</f>
        <v/>
      </c>
      <c r="BH64" s="402">
        <f>IF(AND(56&gt;=$NR$64,56&lt;=$NS$64),IF($NP$64="Single_Point",IF(56=$NR$64,$NN$64,0),IF($NP$64="Bell_Curve",$NN$64*(56-$NR$64+1)*($NS$64-56+1)/$NU$64,$NN$64/$NT$64)),0)</f>
        <v/>
      </c>
      <c r="BI64" s="402">
        <f>IF(AND(57&gt;=$NR$64,57&lt;=$NS$64),IF($NP$64="Single_Point",IF(57=$NR$64,$NN$64,0),IF($NP$64="Bell_Curve",$NN$64*(57-$NR$64+1)*($NS$64-57+1)/$NU$64,$NN$64/$NT$64)),0)</f>
        <v/>
      </c>
      <c r="BJ64" s="402">
        <f>IF(AND(58&gt;=$NR$64,58&lt;=$NS$64),IF($NP$64="Single_Point",IF(58=$NR$64,$NN$64,0),IF($NP$64="Bell_Curve",$NN$64*(58-$NR$64+1)*($NS$64-58+1)/$NU$64,$NN$64/$NT$64)),0)</f>
        <v/>
      </c>
      <c r="BK64" s="402">
        <f>IF(AND(59&gt;=$NR$64,59&lt;=$NS$64),IF($NP$64="Single_Point",IF(59=$NR$64,$NN$64,0),IF($NP$64="Bell_Curve",$NN$64*(59-$NR$64+1)*($NS$64-59+1)/$NU$64,$NN$64/$NT$64)),0)</f>
        <v/>
      </c>
      <c r="BL64" s="402">
        <f>IF(AND(60&gt;=$NR$64,60&lt;=$NS$64),IF($NP$64="Single_Point",IF(60=$NR$64,$NN$64,0),IF($NP$64="Bell_Curve",$NN$64*(60-$NR$64+1)*($NS$64-60+1)/$NU$64,$NN$64/$NT$64)),0)</f>
        <v/>
      </c>
      <c r="BM64" s="402">
        <f>IF(AND(61&gt;=$NR$64,61&lt;=$NS$64),IF($NP$64="Single_Point",IF(61=$NR$64,$NN$64,0),IF($NP$64="Bell_Curve",$NN$64*(61-$NR$64+1)*($NS$64-61+1)/$NU$64,$NN$64/$NT$64)),0)</f>
        <v/>
      </c>
      <c r="BN64" s="402">
        <f>IF(AND(62&gt;=$NR$64,62&lt;=$NS$64),IF($NP$64="Single_Point",IF(62=$NR$64,$NN$64,0),IF($NP$64="Bell_Curve",$NN$64*(62-$NR$64+1)*($NS$64-62+1)/$NU$64,$NN$64/$NT$64)),0)</f>
        <v/>
      </c>
      <c r="BO64" s="402">
        <f>IF(AND(63&gt;=$NR$64,63&lt;=$NS$64),IF($NP$64="Single_Point",IF(63=$NR$64,$NN$64,0),IF($NP$64="Bell_Curve",$NN$64*(63-$NR$64+1)*($NS$64-63+1)/$NU$64,$NN$64/$NT$64)),0)</f>
        <v/>
      </c>
      <c r="BP64" s="402">
        <f>IF(AND(64&gt;=$NR$64,64&lt;=$NS$64),IF($NP$64="Single_Point",IF(64=$NR$64,$NN$64,0),IF($NP$64="Bell_Curve",$NN$64*(64-$NR$64+1)*($NS$64-64+1)/$NU$64,$NN$64/$NT$64)),0)</f>
        <v/>
      </c>
      <c r="BQ64" s="402">
        <f>IF(AND(65&gt;=$NR$64,65&lt;=$NS$64),IF($NP$64="Single_Point",IF(65=$NR$64,$NN$64,0),IF($NP$64="Bell_Curve",$NN$64*(65-$NR$64+1)*($NS$64-65+1)/$NU$64,$NN$64/$NT$64)),0)</f>
        <v/>
      </c>
      <c r="BR64" s="402">
        <f>IF(AND(66&gt;=$NR$64,66&lt;=$NS$64),IF($NP$64="Single_Point",IF(66=$NR$64,$NN$64,0),IF($NP$64="Bell_Curve",$NN$64*(66-$NR$64+1)*($NS$64-66+1)/$NU$64,$NN$64/$NT$64)),0)</f>
        <v/>
      </c>
      <c r="BS64" s="402">
        <f>IF(AND(67&gt;=$NR$64,67&lt;=$NS$64),IF($NP$64="Single_Point",IF(67=$NR$64,$NN$64,0),IF($NP$64="Bell_Curve",$NN$64*(67-$NR$64+1)*($NS$64-67+1)/$NU$64,$NN$64/$NT$64)),0)</f>
        <v/>
      </c>
      <c r="BT64" s="402">
        <f>IF(AND(68&gt;=$NR$64,68&lt;=$NS$64),IF($NP$64="Single_Point",IF(68=$NR$64,$NN$64,0),IF($NP$64="Bell_Curve",$NN$64*(68-$NR$64+1)*($NS$64-68+1)/$NU$64,$NN$64/$NT$64)),0)</f>
        <v/>
      </c>
      <c r="BU64" s="402">
        <f>IF(AND(69&gt;=$NR$64,69&lt;=$NS$64),IF($NP$64="Single_Point",IF(69=$NR$64,$NN$64,0),IF($NP$64="Bell_Curve",$NN$64*(69-$NR$64+1)*($NS$64-69+1)/$NU$64,$NN$64/$NT$64)),0)</f>
        <v/>
      </c>
      <c r="BV64" s="402">
        <f>IF(AND(70&gt;=$NR$64,70&lt;=$NS$64),IF($NP$64="Single_Point",IF(70=$NR$64,$NN$64,0),IF($NP$64="Bell_Curve",$NN$64*(70-$NR$64+1)*($NS$64-70+1)/$NU$64,$NN$64/$NT$64)),0)</f>
        <v/>
      </c>
      <c r="BW64" s="402">
        <f>IF(AND(71&gt;=$NR$64,71&lt;=$NS$64),IF($NP$64="Single_Point",IF(71=$NR$64,$NN$64,0),IF($NP$64="Bell_Curve",$NN$64*(71-$NR$64+1)*($NS$64-71+1)/$NU$64,$NN$64/$NT$64)),0)</f>
        <v/>
      </c>
      <c r="BX64" s="402">
        <f>IF(AND(72&gt;=$NR$64,72&lt;=$NS$64),IF($NP$64="Single_Point",IF(72=$NR$64,$NN$64,0),IF($NP$64="Bell_Curve",$NN$64*(72-$NR$64+1)*($NS$64-72+1)/$NU$64,$NN$64/$NT$64)),0)</f>
        <v/>
      </c>
      <c r="BY64" s="402">
        <f>IF(AND(73&gt;=$NR$64,73&lt;=$NS$64),IF($NP$64="Single_Point",IF(73=$NR$64,$NN$64,0),IF($NP$64="Bell_Curve",$NN$64*(73-$NR$64+1)*($NS$64-73+1)/$NU$64,$NN$64/$NT$64)),0)</f>
        <v/>
      </c>
      <c r="BZ64" s="402">
        <f>IF(AND(74&gt;=$NR$64,74&lt;=$NS$64),IF($NP$64="Single_Point",IF(74=$NR$64,$NN$64,0),IF($NP$64="Bell_Curve",$NN$64*(74-$NR$64+1)*($NS$64-74+1)/$NU$64,$NN$64/$NT$64)),0)</f>
        <v/>
      </c>
      <c r="CA64" s="402">
        <f>IF(AND(75&gt;=$NR$64,75&lt;=$NS$64),IF($NP$64="Single_Point",IF(75=$NR$64,$NN$64,0),IF($NP$64="Bell_Curve",$NN$64*(75-$NR$64+1)*($NS$64-75+1)/$NU$64,$NN$64/$NT$64)),0)</f>
        <v/>
      </c>
      <c r="CB64" s="402">
        <f>IF(AND(76&gt;=$NR$64,76&lt;=$NS$64),IF($NP$64="Single_Point",IF(76=$NR$64,$NN$64,0),IF($NP$64="Bell_Curve",$NN$64*(76-$NR$64+1)*($NS$64-76+1)/$NU$64,$NN$64/$NT$64)),0)</f>
        <v/>
      </c>
      <c r="CC64" s="402">
        <f>IF(AND(77&gt;=$NR$64,77&lt;=$NS$64),IF($NP$64="Single_Point",IF(77=$NR$64,$NN$64,0),IF($NP$64="Bell_Curve",$NN$64*(77-$NR$64+1)*($NS$64-77+1)/$NU$64,$NN$64/$NT$64)),0)</f>
        <v/>
      </c>
      <c r="CD64" s="402">
        <f>IF(AND(78&gt;=$NR$64,78&lt;=$NS$64),IF($NP$64="Single_Point",IF(78=$NR$64,$NN$64,0),IF($NP$64="Bell_Curve",$NN$64*(78-$NR$64+1)*($NS$64-78+1)/$NU$64,$NN$64/$NT$64)),0)</f>
        <v/>
      </c>
      <c r="CE64" s="402">
        <f>IF(AND(79&gt;=$NR$64,79&lt;=$NS$64),IF($NP$64="Single_Point",IF(79=$NR$64,$NN$64,0),IF($NP$64="Bell_Curve",$NN$64*(79-$NR$64+1)*($NS$64-79+1)/$NU$64,$NN$64/$NT$64)),0)</f>
        <v/>
      </c>
      <c r="CF64" s="402">
        <f>IF(AND(80&gt;=$NR$64,80&lt;=$NS$64),IF($NP$64="Single_Point",IF(80=$NR$64,$NN$64,0),IF($NP$64="Bell_Curve",$NN$64*(80-$NR$64+1)*($NS$64-80+1)/$NU$64,$NN$64/$NT$64)),0)</f>
        <v/>
      </c>
      <c r="CG64" s="402">
        <f>IF(AND(81&gt;=$NR$64,81&lt;=$NS$64),IF($NP$64="Single_Point",IF(81=$NR$64,$NN$64,0),IF($NP$64="Bell_Curve",$NN$64*(81-$NR$64+1)*($NS$64-81+1)/$NU$64,$NN$64/$NT$64)),0)</f>
        <v/>
      </c>
      <c r="CH64" s="402">
        <f>IF(AND(82&gt;=$NR$64,82&lt;=$NS$64),IF($NP$64="Single_Point",IF(82=$NR$64,$NN$64,0),IF($NP$64="Bell_Curve",$NN$64*(82-$NR$64+1)*($NS$64-82+1)/$NU$64,$NN$64/$NT$64)),0)</f>
        <v/>
      </c>
      <c r="CI64" s="402">
        <f>IF(AND(83&gt;=$NR$64,83&lt;=$NS$64),IF($NP$64="Single_Point",IF(83=$NR$64,$NN$64,0),IF($NP$64="Bell_Curve",$NN$64*(83-$NR$64+1)*($NS$64-83+1)/$NU$64,$NN$64/$NT$64)),0)</f>
        <v/>
      </c>
      <c r="CJ64" s="402">
        <f>IF(AND(84&gt;=$NR$64,84&lt;=$NS$64),IF($NP$64="Single_Point",IF(84=$NR$64,$NN$64,0),IF($NP$64="Bell_Curve",$NN$64*(84-$NR$64+1)*($NS$64-84+1)/$NU$64,$NN$64/$NT$64)),0)</f>
        <v/>
      </c>
      <c r="CK64" s="402">
        <f>IF(AND(85&gt;=$NR$64,85&lt;=$NS$64),IF($NP$64="Single_Point",IF(85=$NR$64,$NN$64,0),IF($NP$64="Bell_Curve",$NN$64*(85-$NR$64+1)*($NS$64-85+1)/$NU$64,$NN$64/$NT$64)),0)</f>
        <v/>
      </c>
      <c r="CL64" s="402">
        <f>IF(AND(86&gt;=$NR$64,86&lt;=$NS$64),IF($NP$64="Single_Point",IF(86=$NR$64,$NN$64,0),IF($NP$64="Bell_Curve",$NN$64*(86-$NR$64+1)*($NS$64-86+1)/$NU$64,$NN$64/$NT$64)),0)</f>
        <v/>
      </c>
      <c r="CM64" s="402">
        <f>IF(AND(87&gt;=$NR$64,87&lt;=$NS$64),IF($NP$64="Single_Point",IF(87=$NR$64,$NN$64,0),IF($NP$64="Bell_Curve",$NN$64*(87-$NR$64+1)*($NS$64-87+1)/$NU$64,$NN$64/$NT$64)),0)</f>
        <v/>
      </c>
      <c r="CN64" s="402">
        <f>IF(AND(88&gt;=$NR$64,88&lt;=$NS$64),IF($NP$64="Single_Point",IF(88=$NR$64,$NN$64,0),IF($NP$64="Bell_Curve",$NN$64*(88-$NR$64+1)*($NS$64-88+1)/$NU$64,$NN$64/$NT$64)),0)</f>
        <v/>
      </c>
      <c r="CO64" s="402">
        <f>IF(AND(89&gt;=$NR$64,89&lt;=$NS$64),IF($NP$64="Single_Point",IF(89=$NR$64,$NN$64,0),IF($NP$64="Bell_Curve",$NN$64*(89-$NR$64+1)*($NS$64-89+1)/$NU$64,$NN$64/$NT$64)),0)</f>
        <v/>
      </c>
      <c r="CP64" s="402">
        <f>IF(AND(90&gt;=$NR$64,90&lt;=$NS$64),IF($NP$64="Single_Point",IF(90=$NR$64,$NN$64,0),IF($NP$64="Bell_Curve",$NN$64*(90-$NR$64+1)*($NS$64-90+1)/$NU$64,$NN$64/$NT$64)),0)</f>
        <v/>
      </c>
      <c r="CQ64" s="402">
        <f>IF(AND(91&gt;=$NR$64,91&lt;=$NS$64),IF($NP$64="Single_Point",IF(91=$NR$64,$NN$64,0),IF($NP$64="Bell_Curve",$NN$64*(91-$NR$64+1)*($NS$64-91+1)/$NU$64,$NN$64/$NT$64)),0)</f>
        <v/>
      </c>
      <c r="CR64" s="402">
        <f>IF(AND(92&gt;=$NR$64,92&lt;=$NS$64),IF($NP$64="Single_Point",IF(92=$NR$64,$NN$64,0),IF($NP$64="Bell_Curve",$NN$64*(92-$NR$64+1)*($NS$64-92+1)/$NU$64,$NN$64/$NT$64)),0)</f>
        <v/>
      </c>
      <c r="CS64" s="402">
        <f>IF(AND(93&gt;=$NR$64,93&lt;=$NS$64),IF($NP$64="Single_Point",IF(93=$NR$64,$NN$64,0),IF($NP$64="Bell_Curve",$NN$64*(93-$NR$64+1)*($NS$64-93+1)/$NU$64,$NN$64/$NT$64)),0)</f>
        <v/>
      </c>
      <c r="CT64" s="402">
        <f>IF(AND(94&gt;=$NR$64,94&lt;=$NS$64),IF($NP$64="Single_Point",IF(94=$NR$64,$NN$64,0),IF($NP$64="Bell_Curve",$NN$64*(94-$NR$64+1)*($NS$64-94+1)/$NU$64,$NN$64/$NT$64)),0)</f>
        <v/>
      </c>
      <c r="CU64" s="402">
        <f>IF(AND(95&gt;=$NR$64,95&lt;=$NS$64),IF($NP$64="Single_Point",IF(95=$NR$64,$NN$64,0),IF($NP$64="Bell_Curve",$NN$64*(95-$NR$64+1)*($NS$64-95+1)/$NU$64,$NN$64/$NT$64)),0)</f>
        <v/>
      </c>
      <c r="CV64" s="402">
        <f>IF(AND(96&gt;=$NR$64,96&lt;=$NS$64),IF($NP$64="Single_Point",IF(96=$NR$64,$NN$64,0),IF($NP$64="Bell_Curve",$NN$64*(96-$NR$64+1)*($NS$64-96+1)/$NU$64,$NN$64/$NT$64)),0)</f>
        <v/>
      </c>
      <c r="CW64" s="402">
        <f>IF(AND(97&gt;=$NR$64,97&lt;=$NS$64),IF($NP$64="Single_Point",IF(97=$NR$64,$NN$64,0),IF($NP$64="Bell_Curve",$NN$64*(97-$NR$64+1)*($NS$64-97+1)/$NU$64,$NN$64/$NT$64)),0)</f>
        <v/>
      </c>
      <c r="CX64" s="402">
        <f>IF(AND(98&gt;=$NR$64,98&lt;=$NS$64),IF($NP$64="Single_Point",IF(98=$NR$64,$NN$64,0),IF($NP$64="Bell_Curve",$NN$64*(98-$NR$64+1)*($NS$64-98+1)/$NU$64,$NN$64/$NT$64)),0)</f>
        <v/>
      </c>
      <c r="CY64" s="402">
        <f>IF(AND(99&gt;=$NR$64,99&lt;=$NS$64),IF($NP$64="Single_Point",IF(99=$NR$64,$NN$64,0),IF($NP$64="Bell_Curve",$NN$64*(99-$NR$64+1)*($NS$64-99+1)/$NU$64,$NN$64/$NT$64)),0)</f>
        <v/>
      </c>
      <c r="CZ64" s="402">
        <f>IF(AND(100&gt;=$NR$64,100&lt;=$NS$64),IF($NP$64="Single_Point",IF(100=$NR$64,$NN$64,0),IF($NP$64="Bell_Curve",$NN$64*(100-$NR$64+1)*($NS$64-100+1)/$NU$64,$NN$64/$NT$64)),0)</f>
        <v/>
      </c>
      <c r="DA64" s="402">
        <f>IF(AND(101&gt;=$NR$64,101&lt;=$NS$64),IF($NP$64="Single_Point",IF(101=$NR$64,$NN$64,0),IF($NP$64="Bell_Curve",$NN$64*(101-$NR$64+1)*($NS$64-101+1)/$NU$64,$NN$64/$NT$64)),0)</f>
        <v/>
      </c>
      <c r="DB64" s="402">
        <f>IF(AND(102&gt;=$NR$64,102&lt;=$NS$64),IF($NP$64="Single_Point",IF(102=$NR$64,$NN$64,0),IF($NP$64="Bell_Curve",$NN$64*(102-$NR$64+1)*($NS$64-102+1)/$NU$64,$NN$64/$NT$64)),0)</f>
        <v/>
      </c>
      <c r="DC64" s="402">
        <f>IF(AND(103&gt;=$NR$64,103&lt;=$NS$64),IF($NP$64="Single_Point",IF(103=$NR$64,$NN$64,0),IF($NP$64="Bell_Curve",$NN$64*(103-$NR$64+1)*($NS$64-103+1)/$NU$64,$NN$64/$NT$64)),0)</f>
        <v/>
      </c>
      <c r="DD64" s="402">
        <f>IF(AND(104&gt;=$NR$64,104&lt;=$NS$64),IF($NP$64="Single_Point",IF(104=$NR$64,$NN$64,0),IF($NP$64="Bell_Curve",$NN$64*(104-$NR$64+1)*($NS$64-104+1)/$NU$64,$NN$64/$NT$64)),0)</f>
        <v/>
      </c>
      <c r="DE64" s="402">
        <f>IF(AND(105&gt;=$NR$64,105&lt;=$NS$64),IF($NP$64="Single_Point",IF(105=$NR$64,$NN$64,0),IF($NP$64="Bell_Curve",$NN$64*(105-$NR$64+1)*($NS$64-105+1)/$NU$64,$NN$64/$NT$64)),0)</f>
        <v/>
      </c>
      <c r="DF64" s="402">
        <f>IF(AND(106&gt;=$NR$64,106&lt;=$NS$64),IF($NP$64="Single_Point",IF(106=$NR$64,$NN$64,0),IF($NP$64="Bell_Curve",$NN$64*(106-$NR$64+1)*($NS$64-106+1)/$NU$64,$NN$64/$NT$64)),0)</f>
        <v/>
      </c>
      <c r="DG64" s="402">
        <f>IF(AND(107&gt;=$NR$64,107&lt;=$NS$64),IF($NP$64="Single_Point",IF(107=$NR$64,$NN$64,0),IF($NP$64="Bell_Curve",$NN$64*(107-$NR$64+1)*($NS$64-107+1)/$NU$64,$NN$64/$NT$64)),0)</f>
        <v/>
      </c>
      <c r="DH64" s="402">
        <f>IF(AND(108&gt;=$NR$64,108&lt;=$NS$64),IF($NP$64="Single_Point",IF(108=$NR$64,$NN$64,0),IF($NP$64="Bell_Curve",$NN$64*(108-$NR$64+1)*($NS$64-108+1)/$NU$64,$NN$64/$NT$64)),0)</f>
        <v/>
      </c>
      <c r="DI64" s="402">
        <f>IF(AND(109&gt;=$NR$64,109&lt;=$NS$64),IF($NP$64="Single_Point",IF(109=$NR$64,$NN$64,0),IF($NP$64="Bell_Curve",$NN$64*(109-$NR$64+1)*($NS$64-109+1)/$NU$64,$NN$64/$NT$64)),0)</f>
        <v/>
      </c>
      <c r="DJ64" s="402">
        <f>IF(AND(110&gt;=$NR$64,110&lt;=$NS$64),IF($NP$64="Single_Point",IF(110=$NR$64,$NN$64,0),IF($NP$64="Bell_Curve",$NN$64*(110-$NR$64+1)*($NS$64-110+1)/$NU$64,$NN$64/$NT$64)),0)</f>
        <v/>
      </c>
      <c r="DK64" s="402">
        <f>IF(AND(111&gt;=$NR$64,111&lt;=$NS$64),IF($NP$64="Single_Point",IF(111=$NR$64,$NN$64,0),IF($NP$64="Bell_Curve",$NN$64*(111-$NR$64+1)*($NS$64-111+1)/$NU$64,$NN$64/$NT$64)),0)</f>
        <v/>
      </c>
      <c r="DL64" s="402">
        <f>IF(AND(112&gt;=$NR$64,112&lt;=$NS$64),IF($NP$64="Single_Point",IF(112=$NR$64,$NN$64,0),IF($NP$64="Bell_Curve",$NN$64*(112-$NR$64+1)*($NS$64-112+1)/$NU$64,$NN$64/$NT$64)),0)</f>
        <v/>
      </c>
      <c r="DM64" s="402">
        <f>IF(AND(113&gt;=$NR$64,113&lt;=$NS$64),IF($NP$64="Single_Point",IF(113=$NR$64,$NN$64,0),IF($NP$64="Bell_Curve",$NN$64*(113-$NR$64+1)*($NS$64-113+1)/$NU$64,$NN$64/$NT$64)),0)</f>
        <v/>
      </c>
      <c r="DN64" s="402">
        <f>IF(AND(114&gt;=$NR$64,114&lt;=$NS$64),IF($NP$64="Single_Point",IF(114=$NR$64,$NN$64,0),IF($NP$64="Bell_Curve",$NN$64*(114-$NR$64+1)*($NS$64-114+1)/$NU$64,$NN$64/$NT$64)),0)</f>
        <v/>
      </c>
      <c r="DO64" s="402">
        <f>IF(AND(115&gt;=$NR$64,115&lt;=$NS$64),IF($NP$64="Single_Point",IF(115=$NR$64,$NN$64,0),IF($NP$64="Bell_Curve",$NN$64*(115-$NR$64+1)*($NS$64-115+1)/$NU$64,$NN$64/$NT$64)),0)</f>
        <v/>
      </c>
      <c r="DP64" s="402">
        <f>IF(AND(116&gt;=$NR$64,116&lt;=$NS$64),IF($NP$64="Single_Point",IF(116=$NR$64,$NN$64,0),IF($NP$64="Bell_Curve",$NN$64*(116-$NR$64+1)*($NS$64-116+1)/$NU$64,$NN$64/$NT$64)),0)</f>
        <v/>
      </c>
      <c r="DQ64" s="402">
        <f>IF(AND(117&gt;=$NR$64,117&lt;=$NS$64),IF($NP$64="Single_Point",IF(117=$NR$64,$NN$64,0),IF($NP$64="Bell_Curve",$NN$64*(117-$NR$64+1)*($NS$64-117+1)/$NU$64,$NN$64/$NT$64)),0)</f>
        <v/>
      </c>
      <c r="DR64" s="402">
        <f>IF(AND(118&gt;=$NR$64,118&lt;=$NS$64),IF($NP$64="Single_Point",IF(118=$NR$64,$NN$64,0),IF($NP$64="Bell_Curve",$NN$64*(118-$NR$64+1)*($NS$64-118+1)/$NU$64,$NN$64/$NT$64)),0)</f>
        <v/>
      </c>
      <c r="DS64" s="402">
        <f>IF(AND(119&gt;=$NR$64,119&lt;=$NS$64),IF($NP$64="Single_Point",IF(119=$NR$64,$NN$64,0),IF($NP$64="Bell_Curve",$NN$64*(119-$NR$64+1)*($NS$64-119+1)/$NU$64,$NN$64/$NT$64)),0)</f>
        <v/>
      </c>
      <c r="DT64" s="402">
        <f>IF(AND(120&gt;=$NR$64,120&lt;=$NS$64),IF($NP$64="Single_Point",IF(120=$NR$64,$NN$64,0),IF($NP$64="Bell_Curve",$NN$64*(120-$NR$64+1)*($NS$64-120+1)/$NU$64,$NN$64/$NT$64)),0)</f>
        <v/>
      </c>
      <c r="DU64" s="402">
        <f>IF(AND(121&gt;=$NR$64,121&lt;=$NS$64),IF($NP$64="Single_Point",IF(121=$NR$64,$NN$64,0),IF($NP$64="Bell_Curve",$NN$64*(121-$NR$64+1)*($NS$64-121+1)/$NU$64,$NN$64/$NT$64)),0)</f>
        <v/>
      </c>
      <c r="DV64" s="402">
        <f>IF(AND(122&gt;=$NR$64,122&lt;=$NS$64),IF($NP$64="Single_Point",IF(122=$NR$64,$NN$64,0),IF($NP$64="Bell_Curve",$NN$64*(122-$NR$64+1)*($NS$64-122+1)/$NU$64,$NN$64/$NT$64)),0)</f>
        <v/>
      </c>
      <c r="DW64" s="402">
        <f>IF(AND(123&gt;=$NR$64,123&lt;=$NS$64),IF($NP$64="Single_Point",IF(123=$NR$64,$NN$64,0),IF($NP$64="Bell_Curve",$NN$64*(123-$NR$64+1)*($NS$64-123+1)/$NU$64,$NN$64/$NT$64)),0)</f>
        <v/>
      </c>
      <c r="DX64" s="402">
        <f>IF(AND(124&gt;=$NR$64,124&lt;=$NS$64),IF($NP$64="Single_Point",IF(124=$NR$64,$NN$64,0),IF($NP$64="Bell_Curve",$NN$64*(124-$NR$64+1)*($NS$64-124+1)/$NU$64,$NN$64/$NT$64)),0)</f>
        <v/>
      </c>
      <c r="DY64" s="402">
        <f>IF(AND(125&gt;=$NR$64,125&lt;=$NS$64),IF($NP$64="Single_Point",IF(125=$NR$64,$NN$64,0),IF($NP$64="Bell_Curve",$NN$64*(125-$NR$64+1)*($NS$64-125+1)/$NU$64,$NN$64/$NT$64)),0)</f>
        <v/>
      </c>
      <c r="DZ64" s="402">
        <f>IF(AND(126&gt;=$NR$64,126&lt;=$NS$64),IF($NP$64="Single_Point",IF(126=$NR$64,$NN$64,0),IF($NP$64="Bell_Curve",$NN$64*(126-$NR$64+1)*($NS$64-126+1)/$NU$64,$NN$64/$NT$64)),0)</f>
        <v/>
      </c>
      <c r="EA64" s="402">
        <f>IF(AND(127&gt;=$NR$64,127&lt;=$NS$64),IF($NP$64="Single_Point",IF(127=$NR$64,$NN$64,0),IF($NP$64="Bell_Curve",$NN$64*(127-$NR$64+1)*($NS$64-127+1)/$NU$64,$NN$64/$NT$64)),0)</f>
        <v/>
      </c>
      <c r="EB64" s="402">
        <f>IF(AND(128&gt;=$NR$64,128&lt;=$NS$64),IF($NP$64="Single_Point",IF(128=$NR$64,$NN$64,0),IF($NP$64="Bell_Curve",$NN$64*(128-$NR$64+1)*($NS$64-128+1)/$NU$64,$NN$64/$NT$64)),0)</f>
        <v/>
      </c>
      <c r="EC64" s="402">
        <f>IF(AND(129&gt;=$NR$64,129&lt;=$NS$64),IF($NP$64="Single_Point",IF(129=$NR$64,$NN$64,0),IF($NP$64="Bell_Curve",$NN$64*(129-$NR$64+1)*($NS$64-129+1)/$NU$64,$NN$64/$NT$64)),0)</f>
        <v/>
      </c>
      <c r="ED64" s="402">
        <f>IF(AND(130&gt;=$NR$64,130&lt;=$NS$64),IF($NP$64="Single_Point",IF(130=$NR$64,$NN$64,0),IF($NP$64="Bell_Curve",$NN$64*(130-$NR$64+1)*($NS$64-130+1)/$NU$64,$NN$64/$NT$64)),0)</f>
        <v/>
      </c>
      <c r="EE64" s="402">
        <f>IF(AND(131&gt;=$NR$64,131&lt;=$NS$64),IF($NP$64="Single_Point",IF(131=$NR$64,$NN$64,0),IF($NP$64="Bell_Curve",$NN$64*(131-$NR$64+1)*($NS$64-131+1)/$NU$64,$NN$64/$NT$64)),0)</f>
        <v/>
      </c>
      <c r="EF64" s="402">
        <f>IF(AND(132&gt;=$NR$64,132&lt;=$NS$64),IF($NP$64="Single_Point",IF(132=$NR$64,$NN$64,0),IF($NP$64="Bell_Curve",$NN$64*(132-$NR$64+1)*($NS$64-132+1)/$NU$64,$NN$64/$NT$64)),0)</f>
        <v/>
      </c>
      <c r="EG64" s="402">
        <f>IF(AND(133&gt;=$NR$64,133&lt;=$NS$64),IF($NP$64="Single_Point",IF(133=$NR$64,$NN$64,0),IF($NP$64="Bell_Curve",$NN$64*(133-$NR$64+1)*($NS$64-133+1)/$NU$64,$NN$64/$NT$64)),0)</f>
        <v/>
      </c>
      <c r="EH64" s="402">
        <f>IF(AND(134&gt;=$NR$64,134&lt;=$NS$64),IF($NP$64="Single_Point",IF(134=$NR$64,$NN$64,0),IF($NP$64="Bell_Curve",$NN$64*(134-$NR$64+1)*($NS$64-134+1)/$NU$64,$NN$64/$NT$64)),0)</f>
        <v/>
      </c>
      <c r="EI64" s="402">
        <f>IF(AND(135&gt;=$NR$64,135&lt;=$NS$64),IF($NP$64="Single_Point",IF(135=$NR$64,$NN$64,0),IF($NP$64="Bell_Curve",$NN$64*(135-$NR$64+1)*($NS$64-135+1)/$NU$64,$NN$64/$NT$64)),0)</f>
        <v/>
      </c>
      <c r="EJ64" s="402">
        <f>IF(AND(136&gt;=$NR$64,136&lt;=$NS$64),IF($NP$64="Single_Point",IF(136=$NR$64,$NN$64,0),IF($NP$64="Bell_Curve",$NN$64*(136-$NR$64+1)*($NS$64-136+1)/$NU$64,$NN$64/$NT$64)),0)</f>
        <v/>
      </c>
      <c r="EK64" s="402">
        <f>IF(AND(137&gt;=$NR$64,137&lt;=$NS$64),IF($NP$64="Single_Point",IF(137=$NR$64,$NN$64,0),IF($NP$64="Bell_Curve",$NN$64*(137-$NR$64+1)*($NS$64-137+1)/$NU$64,$NN$64/$NT$64)),0)</f>
        <v/>
      </c>
      <c r="EL64" s="402">
        <f>IF(AND(138&gt;=$NR$64,138&lt;=$NS$64),IF($NP$64="Single_Point",IF(138=$NR$64,$NN$64,0),IF($NP$64="Bell_Curve",$NN$64*(138-$NR$64+1)*($NS$64-138+1)/$NU$64,$NN$64/$NT$64)),0)</f>
        <v/>
      </c>
      <c r="EM64" s="402">
        <f>IF(AND(139&gt;=$NR$64,139&lt;=$NS$64),IF($NP$64="Single_Point",IF(139=$NR$64,$NN$64,0),IF($NP$64="Bell_Curve",$NN$64*(139-$NR$64+1)*($NS$64-139+1)/$NU$64,$NN$64/$NT$64)),0)</f>
        <v/>
      </c>
      <c r="EN64" s="402">
        <f>IF(AND(140&gt;=$NR$64,140&lt;=$NS$64),IF($NP$64="Single_Point",IF(140=$NR$64,$NN$64,0),IF($NP$64="Bell_Curve",$NN$64*(140-$NR$64+1)*($NS$64-140+1)/$NU$64,$NN$64/$NT$64)),0)</f>
        <v/>
      </c>
      <c r="EO64" s="402">
        <f>IF(AND(141&gt;=$NR$64,141&lt;=$NS$64),IF($NP$64="Single_Point",IF(141=$NR$64,$NN$64,0),IF($NP$64="Bell_Curve",$NN$64*(141-$NR$64+1)*($NS$64-141+1)/$NU$64,$NN$64/$NT$64)),0)</f>
        <v/>
      </c>
      <c r="EP64" s="402">
        <f>IF(AND(142&gt;=$NR$64,142&lt;=$NS$64),IF($NP$64="Single_Point",IF(142=$NR$64,$NN$64,0),IF($NP$64="Bell_Curve",$NN$64*(142-$NR$64+1)*($NS$64-142+1)/$NU$64,$NN$64/$NT$64)),0)</f>
        <v/>
      </c>
      <c r="EQ64" s="402">
        <f>IF(AND(143&gt;=$NR$64,143&lt;=$NS$64),IF($NP$64="Single_Point",IF(143=$NR$64,$NN$64,0),IF($NP$64="Bell_Curve",$NN$64*(143-$NR$64+1)*($NS$64-143+1)/$NU$64,$NN$64/$NT$64)),0)</f>
        <v/>
      </c>
      <c r="ER64" s="402">
        <f>IF(AND(144&gt;=$NR$64,144&lt;=$NS$64),IF($NP$64="Single_Point",IF(144=$NR$64,$NN$64,0),IF($NP$64="Bell_Curve",$NN$64*(144-$NR$64+1)*($NS$64-144+1)/$NU$64,$NN$64/$NT$64)),0)</f>
        <v/>
      </c>
      <c r="ES64" s="402">
        <f>IF(AND(145&gt;=$NR$64,145&lt;=$NS$64),IF($NP$64="Single_Point",IF(145=$NR$64,$NN$64,0),IF($NP$64="Bell_Curve",$NN$64*(145-$NR$64+1)*($NS$64-145+1)/$NU$64,$NN$64/$NT$64)),0)</f>
        <v/>
      </c>
      <c r="ET64" s="402">
        <f>IF(AND(146&gt;=$NR$64,146&lt;=$NS$64),IF($NP$64="Single_Point",IF(146=$NR$64,$NN$64,0),IF($NP$64="Bell_Curve",$NN$64*(146-$NR$64+1)*($NS$64-146+1)/$NU$64,$NN$64/$NT$64)),0)</f>
        <v/>
      </c>
      <c r="EU64" s="402">
        <f>IF(AND(147&gt;=$NR$64,147&lt;=$NS$64),IF($NP$64="Single_Point",IF(147=$NR$64,$NN$64,0),IF($NP$64="Bell_Curve",$NN$64*(147-$NR$64+1)*($NS$64-147+1)/$NU$64,$NN$64/$NT$64)),0)</f>
        <v/>
      </c>
      <c r="EV64" s="402">
        <f>IF(AND(148&gt;=$NR$64,148&lt;=$NS$64),IF($NP$64="Single_Point",IF(148=$NR$64,$NN$64,0),IF($NP$64="Bell_Curve",$NN$64*(148-$NR$64+1)*($NS$64-148+1)/$NU$64,$NN$64/$NT$64)),0)</f>
        <v/>
      </c>
      <c r="EW64" s="402">
        <f>IF(AND(149&gt;=$NR$64,149&lt;=$NS$64),IF($NP$64="Single_Point",IF(149=$NR$64,$NN$64,0),IF($NP$64="Bell_Curve",$NN$64*(149-$NR$64+1)*($NS$64-149+1)/$NU$64,$NN$64/$NT$64)),0)</f>
        <v/>
      </c>
      <c r="EX64" s="402">
        <f>IF(AND(150&gt;=$NR$64,150&lt;=$NS$64),IF($NP$64="Single_Point",IF(150=$NR$64,$NN$64,0),IF($NP$64="Bell_Curve",$NN$64*(150-$NR$64+1)*($NS$64-150+1)/$NU$64,$NN$64/$NT$64)),0)</f>
        <v/>
      </c>
      <c r="EY64" s="402">
        <f>IF(AND(151&gt;=$NR$64,151&lt;=$NS$64),IF($NP$64="Single_Point",IF(151=$NR$64,$NN$64,0),IF($NP$64="Bell_Curve",$NN$64*(151-$NR$64+1)*($NS$64-151+1)/$NU$64,$NN$64/$NT$64)),0)</f>
        <v/>
      </c>
      <c r="EZ64" s="402">
        <f>IF(AND(152&gt;=$NR$64,152&lt;=$NS$64),IF($NP$64="Single_Point",IF(152=$NR$64,$NN$64,0),IF($NP$64="Bell_Curve",$NN$64*(152-$NR$64+1)*($NS$64-152+1)/$NU$64,$NN$64/$NT$64)),0)</f>
        <v/>
      </c>
      <c r="FA64" s="402">
        <f>IF(AND(153&gt;=$NR$64,153&lt;=$NS$64),IF($NP$64="Single_Point",IF(153=$NR$64,$NN$64,0),IF($NP$64="Bell_Curve",$NN$64*(153-$NR$64+1)*($NS$64-153+1)/$NU$64,$NN$64/$NT$64)),0)</f>
        <v/>
      </c>
      <c r="FB64" s="402">
        <f>IF(AND(154&gt;=$NR$64,154&lt;=$NS$64),IF($NP$64="Single_Point",IF(154=$NR$64,$NN$64,0),IF($NP$64="Bell_Curve",$NN$64*(154-$NR$64+1)*($NS$64-154+1)/$NU$64,$NN$64/$NT$64)),0)</f>
        <v/>
      </c>
      <c r="FC64" s="402">
        <f>IF(AND(155&gt;=$NR$64,155&lt;=$NS$64),IF($NP$64="Single_Point",IF(155=$NR$64,$NN$64,0),IF($NP$64="Bell_Curve",$NN$64*(155-$NR$64+1)*($NS$64-155+1)/$NU$64,$NN$64/$NT$64)),0)</f>
        <v/>
      </c>
      <c r="FD64" s="402">
        <f>IF(AND(156&gt;=$NR$64,156&lt;=$NS$64),IF($NP$64="Single_Point",IF(156=$NR$64,$NN$64,0),IF($NP$64="Bell_Curve",$NN$64*(156-$NR$64+1)*($NS$64-156+1)/$NU$64,$NN$64/$NT$64)),0)</f>
        <v/>
      </c>
      <c r="FE64" s="402">
        <f>IF(AND(157&gt;=$NR$64,157&lt;=$NS$64),IF($NP$64="Single_Point",IF(157=$NR$64,$NN$64,0),IF($NP$64="Bell_Curve",$NN$64*(157-$NR$64+1)*($NS$64-157+1)/$NU$64,$NN$64/$NT$64)),0)</f>
        <v/>
      </c>
      <c r="FF64" s="402">
        <f>IF(AND(158&gt;=$NR$64,158&lt;=$NS$64),IF($NP$64="Single_Point",IF(158=$NR$64,$NN$64,0),IF($NP$64="Bell_Curve",$NN$64*(158-$NR$64+1)*($NS$64-158+1)/$NU$64,$NN$64/$NT$64)),0)</f>
        <v/>
      </c>
      <c r="FG64" s="402">
        <f>IF(AND(159&gt;=$NR$64,159&lt;=$NS$64),IF($NP$64="Single_Point",IF(159=$NR$64,$NN$64,0),IF($NP$64="Bell_Curve",$NN$64*(159-$NR$64+1)*($NS$64-159+1)/$NU$64,$NN$64/$NT$64)),0)</f>
        <v/>
      </c>
      <c r="FH64" s="402">
        <f>IF(AND(160&gt;=$NR$64,160&lt;=$NS$64),IF($NP$64="Single_Point",IF(160=$NR$64,$NN$64,0),IF($NP$64="Bell_Curve",$NN$64*(160-$NR$64+1)*($NS$64-160+1)/$NU$64,$NN$64/$NT$64)),0)</f>
        <v/>
      </c>
      <c r="FI64" s="402">
        <f>IF(AND(161&gt;=$NR$64,161&lt;=$NS$64),IF($NP$64="Single_Point",IF(161=$NR$64,$NN$64,0),IF($NP$64="Bell_Curve",$NN$64*(161-$NR$64+1)*($NS$64-161+1)/$NU$64,$NN$64/$NT$64)),0)</f>
        <v/>
      </c>
      <c r="FJ64" s="402">
        <f>IF(AND(162&gt;=$NR$64,162&lt;=$NS$64),IF($NP$64="Single_Point",IF(162=$NR$64,$NN$64,0),IF($NP$64="Bell_Curve",$NN$64*(162-$NR$64+1)*($NS$64-162+1)/$NU$64,$NN$64/$NT$64)),0)</f>
        <v/>
      </c>
      <c r="FK64" s="402">
        <f>IF(AND(163&gt;=$NR$64,163&lt;=$NS$64),IF($NP$64="Single_Point",IF(163=$NR$64,$NN$64,0),IF($NP$64="Bell_Curve",$NN$64*(163-$NR$64+1)*($NS$64-163+1)/$NU$64,$NN$64/$NT$64)),0)</f>
        <v/>
      </c>
      <c r="FL64" s="402">
        <f>IF(AND(164&gt;=$NR$64,164&lt;=$NS$64),IF($NP$64="Single_Point",IF(164=$NR$64,$NN$64,0),IF($NP$64="Bell_Curve",$NN$64*(164-$NR$64+1)*($NS$64-164+1)/$NU$64,$NN$64/$NT$64)),0)</f>
        <v/>
      </c>
      <c r="FM64" s="402">
        <f>IF(AND(165&gt;=$NR$64,165&lt;=$NS$64),IF($NP$64="Single_Point",IF(165=$NR$64,$NN$64,0),IF($NP$64="Bell_Curve",$NN$64*(165-$NR$64+1)*($NS$64-165+1)/$NU$64,$NN$64/$NT$64)),0)</f>
        <v/>
      </c>
      <c r="FN64" s="402">
        <f>IF(AND(166&gt;=$NR$64,166&lt;=$NS$64),IF($NP$64="Single_Point",IF(166=$NR$64,$NN$64,0),IF($NP$64="Bell_Curve",$NN$64*(166-$NR$64+1)*($NS$64-166+1)/$NU$64,$NN$64/$NT$64)),0)</f>
        <v/>
      </c>
      <c r="FO64" s="402">
        <f>IF(AND(167&gt;=$NR$64,167&lt;=$NS$64),IF($NP$64="Single_Point",IF(167=$NR$64,$NN$64,0),IF($NP$64="Bell_Curve",$NN$64*(167-$NR$64+1)*($NS$64-167+1)/$NU$64,$NN$64/$NT$64)),0)</f>
        <v/>
      </c>
      <c r="FP64" s="402">
        <f>IF(AND(168&gt;=$NR$64,168&lt;=$NS$64),IF($NP$64="Single_Point",IF(168=$NR$64,$NN$64,0),IF($NP$64="Bell_Curve",$NN$64*(168-$NR$64+1)*($NS$64-168+1)/$NU$64,$NN$64/$NT$64)),0)</f>
        <v/>
      </c>
      <c r="FQ64" s="402">
        <f>IF(AND(169&gt;=$NR$64,169&lt;=$NS$64),IF($NP$64="Single_Point",IF(169=$NR$64,$NN$64,0),IF($NP$64="Bell_Curve",$NN$64*(169-$NR$64+1)*($NS$64-169+1)/$NU$64,$NN$64/$NT$64)),0)</f>
        <v/>
      </c>
      <c r="FR64" s="402">
        <f>IF(AND(170&gt;=$NR$64,170&lt;=$NS$64),IF($NP$64="Single_Point",IF(170=$NR$64,$NN$64,0),IF($NP$64="Bell_Curve",$NN$64*(170-$NR$64+1)*($NS$64-170+1)/$NU$64,$NN$64/$NT$64)),0)</f>
        <v/>
      </c>
      <c r="FS64" s="402">
        <f>IF(AND(171&gt;=$NR$64,171&lt;=$NS$64),IF($NP$64="Single_Point",IF(171=$NR$64,$NN$64,0),IF($NP$64="Bell_Curve",$NN$64*(171-$NR$64+1)*($NS$64-171+1)/$NU$64,$NN$64/$NT$64)),0)</f>
        <v/>
      </c>
      <c r="FT64" s="402">
        <f>IF(AND(172&gt;=$NR$64,172&lt;=$NS$64),IF($NP$64="Single_Point",IF(172=$NR$64,$NN$64,0),IF($NP$64="Bell_Curve",$NN$64*(172-$NR$64+1)*($NS$64-172+1)/$NU$64,$NN$64/$NT$64)),0)</f>
        <v/>
      </c>
      <c r="FU64" s="402">
        <f>IF(AND(173&gt;=$NR$64,173&lt;=$NS$64),IF($NP$64="Single_Point",IF(173=$NR$64,$NN$64,0),IF($NP$64="Bell_Curve",$NN$64*(173-$NR$64+1)*($NS$64-173+1)/$NU$64,$NN$64/$NT$64)),0)</f>
        <v/>
      </c>
      <c r="FV64" s="402">
        <f>IF(AND(174&gt;=$NR$64,174&lt;=$NS$64),IF($NP$64="Single_Point",IF(174=$NR$64,$NN$64,0),IF($NP$64="Bell_Curve",$NN$64*(174-$NR$64+1)*($NS$64-174+1)/$NU$64,$NN$64/$NT$64)),0)</f>
        <v/>
      </c>
      <c r="FW64" s="402">
        <f>IF(AND(175&gt;=$NR$64,175&lt;=$NS$64),IF($NP$64="Single_Point",IF(175=$NR$64,$NN$64,0),IF($NP$64="Bell_Curve",$NN$64*(175-$NR$64+1)*($NS$64-175+1)/$NU$64,$NN$64/$NT$64)),0)</f>
        <v/>
      </c>
      <c r="FX64" s="402">
        <f>IF(AND(176&gt;=$NR$64,176&lt;=$NS$64),IF($NP$64="Single_Point",IF(176=$NR$64,$NN$64,0),IF($NP$64="Bell_Curve",$NN$64*(176-$NR$64+1)*($NS$64-176+1)/$NU$64,$NN$64/$NT$64)),0)</f>
        <v/>
      </c>
      <c r="FY64" s="402">
        <f>IF(AND(177&gt;=$NR$64,177&lt;=$NS$64),IF($NP$64="Single_Point",IF(177=$NR$64,$NN$64,0),IF($NP$64="Bell_Curve",$NN$64*(177-$NR$64+1)*($NS$64-177+1)/$NU$64,$NN$64/$NT$64)),0)</f>
        <v/>
      </c>
      <c r="FZ64" s="402">
        <f>IF(AND(178&gt;=$NR$64,178&lt;=$NS$64),IF($NP$64="Single_Point",IF(178=$NR$64,$NN$64,0),IF($NP$64="Bell_Curve",$NN$64*(178-$NR$64+1)*($NS$64-178+1)/$NU$64,$NN$64/$NT$64)),0)</f>
        <v/>
      </c>
      <c r="GA64" s="402">
        <f>IF(AND(179&gt;=$NR$64,179&lt;=$NS$64),IF($NP$64="Single_Point",IF(179=$NR$64,$NN$64,0),IF($NP$64="Bell_Curve",$NN$64*(179-$NR$64+1)*($NS$64-179+1)/$NU$64,$NN$64/$NT$64)),0)</f>
        <v/>
      </c>
      <c r="GB64" s="402">
        <f>IF(AND(180&gt;=$NR$64,180&lt;=$NS$64),IF($NP$64="Single_Point",IF(180=$NR$64,$NN$64,0),IF($NP$64="Bell_Curve",$NN$64*(180-$NR$64+1)*($NS$64-180+1)/$NU$64,$NN$64/$NT$64)),0)</f>
        <v/>
      </c>
      <c r="GC64" s="402">
        <f>IF(AND(181&gt;=$NR$64,181&lt;=$NS$64),IF($NP$64="Single_Point",IF(181=$NR$64,$NN$64,0),IF($NP$64="Bell_Curve",$NN$64*(181-$NR$64+1)*($NS$64-181+1)/$NU$64,$NN$64/$NT$64)),0)</f>
        <v/>
      </c>
      <c r="GD64" s="402">
        <f>IF(AND(182&gt;=$NR$64,182&lt;=$NS$64),IF($NP$64="Single_Point",IF(182=$NR$64,$NN$64,0),IF($NP$64="Bell_Curve",$NN$64*(182-$NR$64+1)*($NS$64-182+1)/$NU$64,$NN$64/$NT$64)),0)</f>
        <v/>
      </c>
      <c r="GE64" s="402">
        <f>IF(AND(183&gt;=$NR$64,183&lt;=$NS$64),IF($NP$64="Single_Point",IF(183=$NR$64,$NN$64,0),IF($NP$64="Bell_Curve",$NN$64*(183-$NR$64+1)*($NS$64-183+1)/$NU$64,$NN$64/$NT$64)),0)</f>
        <v/>
      </c>
      <c r="GF64" s="402">
        <f>IF(AND(184&gt;=$NR$64,184&lt;=$NS$64),IF($NP$64="Single_Point",IF(184=$NR$64,$NN$64,0),IF($NP$64="Bell_Curve",$NN$64*(184-$NR$64+1)*($NS$64-184+1)/$NU$64,$NN$64/$NT$64)),0)</f>
        <v/>
      </c>
      <c r="GG64" s="402">
        <f>IF(AND(185&gt;=$NR$64,185&lt;=$NS$64),IF($NP$64="Single_Point",IF(185=$NR$64,$NN$64,0),IF($NP$64="Bell_Curve",$NN$64*(185-$NR$64+1)*($NS$64-185+1)/$NU$64,$NN$64/$NT$64)),0)</f>
        <v/>
      </c>
      <c r="GH64" s="402">
        <f>IF(AND(186&gt;=$NR$64,186&lt;=$NS$64),IF($NP$64="Single_Point",IF(186=$NR$64,$NN$64,0),IF($NP$64="Bell_Curve",$NN$64*(186-$NR$64+1)*($NS$64-186+1)/$NU$64,$NN$64/$NT$64)),0)</f>
        <v/>
      </c>
      <c r="GI64" s="402">
        <f>IF(AND(187&gt;=$NR$64,187&lt;=$NS$64),IF($NP$64="Single_Point",IF(187=$NR$64,$NN$64,0),IF($NP$64="Bell_Curve",$NN$64*(187-$NR$64+1)*($NS$64-187+1)/$NU$64,$NN$64/$NT$64)),0)</f>
        <v/>
      </c>
      <c r="GJ64" s="402">
        <f>IF(AND(188&gt;=$NR$64,188&lt;=$NS$64),IF($NP$64="Single_Point",IF(188=$NR$64,$NN$64,0),IF($NP$64="Bell_Curve",$NN$64*(188-$NR$64+1)*($NS$64-188+1)/$NU$64,$NN$64/$NT$64)),0)</f>
        <v/>
      </c>
      <c r="GK64" s="402">
        <f>IF(AND(189&gt;=$NR$64,189&lt;=$NS$64),IF($NP$64="Single_Point",IF(189=$NR$64,$NN$64,0),IF($NP$64="Bell_Curve",$NN$64*(189-$NR$64+1)*($NS$64-189+1)/$NU$64,$NN$64/$NT$64)),0)</f>
        <v/>
      </c>
      <c r="GL64" s="402">
        <f>IF(AND(190&gt;=$NR$64,190&lt;=$NS$64),IF($NP$64="Single_Point",IF(190=$NR$64,$NN$64,0),IF($NP$64="Bell_Curve",$NN$64*(190-$NR$64+1)*($NS$64-190+1)/$NU$64,$NN$64/$NT$64)),0)</f>
        <v/>
      </c>
      <c r="GM64" s="402">
        <f>IF(AND(191&gt;=$NR$64,191&lt;=$NS$64),IF($NP$64="Single_Point",IF(191=$NR$64,$NN$64,0),IF($NP$64="Bell_Curve",$NN$64*(191-$NR$64+1)*($NS$64-191+1)/$NU$64,$NN$64/$NT$64)),0)</f>
        <v/>
      </c>
      <c r="GN64" s="402">
        <f>IF(AND(192&gt;=$NR$64,192&lt;=$NS$64),IF($NP$64="Single_Point",IF(192=$NR$64,$NN$64,0),IF($NP$64="Bell_Curve",$NN$64*(192-$NR$64+1)*($NS$64-192+1)/$NU$64,$NN$64/$NT$64)),0)</f>
        <v/>
      </c>
      <c r="GO64" s="402">
        <f>IF(AND(193&gt;=$NR$64,193&lt;=$NS$64),IF($NP$64="Single_Point",IF(193=$NR$64,$NN$64,0),IF($NP$64="Bell_Curve",$NN$64*(193-$NR$64+1)*($NS$64-193+1)/$NU$64,$NN$64/$NT$64)),0)</f>
        <v/>
      </c>
      <c r="GP64" s="402">
        <f>IF(AND(194&gt;=$NR$64,194&lt;=$NS$64),IF($NP$64="Single_Point",IF(194=$NR$64,$NN$64,0),IF($NP$64="Bell_Curve",$NN$64*(194-$NR$64+1)*($NS$64-194+1)/$NU$64,$NN$64/$NT$64)),0)</f>
        <v/>
      </c>
      <c r="GQ64" s="402">
        <f>IF(AND(195&gt;=$NR$64,195&lt;=$NS$64),IF($NP$64="Single_Point",IF(195=$NR$64,$NN$64,0),IF($NP$64="Bell_Curve",$NN$64*(195-$NR$64+1)*($NS$64-195+1)/$NU$64,$NN$64/$NT$64)),0)</f>
        <v/>
      </c>
      <c r="GR64" s="402">
        <f>IF(AND(196&gt;=$NR$64,196&lt;=$NS$64),IF($NP$64="Single_Point",IF(196=$NR$64,$NN$64,0),IF($NP$64="Bell_Curve",$NN$64*(196-$NR$64+1)*($NS$64-196+1)/$NU$64,$NN$64/$NT$64)),0)</f>
        <v/>
      </c>
      <c r="GS64" s="402">
        <f>IF(AND(197&gt;=$NR$64,197&lt;=$NS$64),IF($NP$64="Single_Point",IF(197=$NR$64,$NN$64,0),IF($NP$64="Bell_Curve",$NN$64*(197-$NR$64+1)*($NS$64-197+1)/$NU$64,$NN$64/$NT$64)),0)</f>
        <v/>
      </c>
      <c r="GT64" s="402">
        <f>IF(AND(198&gt;=$NR$64,198&lt;=$NS$64),IF($NP$64="Single_Point",IF(198=$NR$64,$NN$64,0),IF($NP$64="Bell_Curve",$NN$64*(198-$NR$64+1)*($NS$64-198+1)/$NU$64,$NN$64/$NT$64)),0)</f>
        <v/>
      </c>
      <c r="GU64" s="402">
        <f>IF(AND(199&gt;=$NR$64,199&lt;=$NS$64),IF($NP$64="Single_Point",IF(199=$NR$64,$NN$64,0),IF($NP$64="Bell_Curve",$NN$64*(199-$NR$64+1)*($NS$64-199+1)/$NU$64,$NN$64/$NT$64)),0)</f>
        <v/>
      </c>
      <c r="GV64" s="402">
        <f>IF(AND(200&gt;=$NR$64,200&lt;=$NS$64),IF($NP$64="Single_Point",IF(200=$NR$64,$NN$64,0),IF($NP$64="Bell_Curve",$NN$64*(200-$NR$64+1)*($NS$64-200+1)/$NU$64,$NN$64/$NT$64)),0)</f>
        <v/>
      </c>
      <c r="GW64" s="402">
        <f>IF(AND(201&gt;=$NR$64,201&lt;=$NS$64),IF($NP$64="Single_Point",IF(201=$NR$64,$NN$64,0),IF($NP$64="Bell_Curve",$NN$64*(201-$NR$64+1)*($NS$64-201+1)/$NU$64,$NN$64/$NT$64)),0)</f>
        <v/>
      </c>
      <c r="GX64" s="402">
        <f>IF(AND(202&gt;=$NR$64,202&lt;=$NS$64),IF($NP$64="Single_Point",IF(202=$NR$64,$NN$64,0),IF($NP$64="Bell_Curve",$NN$64*(202-$NR$64+1)*($NS$64-202+1)/$NU$64,$NN$64/$NT$64)),0)</f>
        <v/>
      </c>
      <c r="GY64" s="402">
        <f>IF(AND(203&gt;=$NR$64,203&lt;=$NS$64),IF($NP$64="Single_Point",IF(203=$NR$64,$NN$64,0),IF($NP$64="Bell_Curve",$NN$64*(203-$NR$64+1)*($NS$64-203+1)/$NU$64,$NN$64/$NT$64)),0)</f>
        <v/>
      </c>
      <c r="GZ64" s="402">
        <f>IF(AND(204&gt;=$NR$64,204&lt;=$NS$64),IF($NP$64="Single_Point",IF(204=$NR$64,$NN$64,0),IF($NP$64="Bell_Curve",$NN$64*(204-$NR$64+1)*($NS$64-204+1)/$NU$64,$NN$64/$NT$64)),0)</f>
        <v/>
      </c>
      <c r="HA64" s="402">
        <f>IF(AND(205&gt;=$NR$64,205&lt;=$NS$64),IF($NP$64="Single_Point",IF(205=$NR$64,$NN$64,0),IF($NP$64="Bell_Curve",$NN$64*(205-$NR$64+1)*($NS$64-205+1)/$NU$64,$NN$64/$NT$64)),0)</f>
        <v/>
      </c>
      <c r="HB64" s="402">
        <f>IF(AND(206&gt;=$NR$64,206&lt;=$NS$64),IF($NP$64="Single_Point",IF(206=$NR$64,$NN$64,0),IF($NP$64="Bell_Curve",$NN$64*(206-$NR$64+1)*($NS$64-206+1)/$NU$64,$NN$64/$NT$64)),0)</f>
        <v/>
      </c>
      <c r="HC64" s="402">
        <f>IF(AND(207&gt;=$NR$64,207&lt;=$NS$64),IF($NP$64="Single_Point",IF(207=$NR$64,$NN$64,0),IF($NP$64="Bell_Curve",$NN$64*(207-$NR$64+1)*($NS$64-207+1)/$NU$64,$NN$64/$NT$64)),0)</f>
        <v/>
      </c>
      <c r="HD64" s="402">
        <f>IF(AND(208&gt;=$NR$64,208&lt;=$NS$64),IF($NP$64="Single_Point",IF(208=$NR$64,$NN$64,0),IF($NP$64="Bell_Curve",$NN$64*(208-$NR$64+1)*($NS$64-208+1)/$NU$64,$NN$64/$NT$64)),0)</f>
        <v/>
      </c>
      <c r="HE64" s="402">
        <f>IF(AND(209&gt;=$NR$64,209&lt;=$NS$64),IF($NP$64="Single_Point",IF(209=$NR$64,$NN$64,0),IF($NP$64="Bell_Curve",$NN$64*(209-$NR$64+1)*($NS$64-209+1)/$NU$64,$NN$64/$NT$64)),0)</f>
        <v/>
      </c>
      <c r="HF64" s="402">
        <f>IF(AND(210&gt;=$NR$64,210&lt;=$NS$64),IF($NP$64="Single_Point",IF(210=$NR$64,$NN$64,0),IF($NP$64="Bell_Curve",$NN$64*(210-$NR$64+1)*($NS$64-210+1)/$NU$64,$NN$64/$NT$64)),0)</f>
        <v/>
      </c>
      <c r="HG64" s="402">
        <f>IF(AND(211&gt;=$NR$64,211&lt;=$NS$64),IF($NP$64="Single_Point",IF(211=$NR$64,$NN$64,0),IF($NP$64="Bell_Curve",$NN$64*(211-$NR$64+1)*($NS$64-211+1)/$NU$64,$NN$64/$NT$64)),0)</f>
        <v/>
      </c>
      <c r="HH64" s="402">
        <f>IF(AND(212&gt;=$NR$64,212&lt;=$NS$64),IF($NP$64="Single_Point",IF(212=$NR$64,$NN$64,0),IF($NP$64="Bell_Curve",$NN$64*(212-$NR$64+1)*($NS$64-212+1)/$NU$64,$NN$64/$NT$64)),0)</f>
        <v/>
      </c>
      <c r="HI64" s="402">
        <f>IF(AND(213&gt;=$NR$64,213&lt;=$NS$64),IF($NP$64="Single_Point",IF(213=$NR$64,$NN$64,0),IF($NP$64="Bell_Curve",$NN$64*(213-$NR$64+1)*($NS$64-213+1)/$NU$64,$NN$64/$NT$64)),0)</f>
        <v/>
      </c>
      <c r="HJ64" s="402">
        <f>IF(AND(214&gt;=$NR$64,214&lt;=$NS$64),IF($NP$64="Single_Point",IF(214=$NR$64,$NN$64,0),IF($NP$64="Bell_Curve",$NN$64*(214-$NR$64+1)*($NS$64-214+1)/$NU$64,$NN$64/$NT$64)),0)</f>
        <v/>
      </c>
      <c r="HK64" s="402">
        <f>IF(AND(215&gt;=$NR$64,215&lt;=$NS$64),IF($NP$64="Single_Point",IF(215=$NR$64,$NN$64,0),IF($NP$64="Bell_Curve",$NN$64*(215-$NR$64+1)*($NS$64-215+1)/$NU$64,$NN$64/$NT$64)),0)</f>
        <v/>
      </c>
      <c r="HL64" s="402">
        <f>IF(AND(216&gt;=$NR$64,216&lt;=$NS$64),IF($NP$64="Single_Point",IF(216=$NR$64,$NN$64,0),IF($NP$64="Bell_Curve",$NN$64*(216-$NR$64+1)*($NS$64-216+1)/$NU$64,$NN$64/$NT$64)),0)</f>
        <v/>
      </c>
      <c r="HM64" s="402">
        <f>IF(AND(217&gt;=$NR$64,217&lt;=$NS$64),IF($NP$64="Single_Point",IF(217=$NR$64,$NN$64,0),IF($NP$64="Bell_Curve",$NN$64*(217-$NR$64+1)*($NS$64-217+1)/$NU$64,$NN$64/$NT$64)),0)</f>
        <v/>
      </c>
      <c r="HN64" s="402">
        <f>IF(AND(218&gt;=$NR$64,218&lt;=$NS$64),IF($NP$64="Single_Point",IF(218=$NR$64,$NN$64,0),IF($NP$64="Bell_Curve",$NN$64*(218-$NR$64+1)*($NS$64-218+1)/$NU$64,$NN$64/$NT$64)),0)</f>
        <v/>
      </c>
      <c r="HO64" s="402">
        <f>IF(AND(219&gt;=$NR$64,219&lt;=$NS$64),IF($NP$64="Single_Point",IF(219=$NR$64,$NN$64,0),IF($NP$64="Bell_Curve",$NN$64*(219-$NR$64+1)*($NS$64-219+1)/$NU$64,$NN$64/$NT$64)),0)</f>
        <v/>
      </c>
      <c r="HP64" s="402">
        <f>IF(AND(220&gt;=$NR$64,220&lt;=$NS$64),IF($NP$64="Single_Point",IF(220=$NR$64,$NN$64,0),IF($NP$64="Bell_Curve",$NN$64*(220-$NR$64+1)*($NS$64-220+1)/$NU$64,$NN$64/$NT$64)),0)</f>
        <v/>
      </c>
      <c r="HQ64" s="402">
        <f>IF(AND(221&gt;=$NR$64,221&lt;=$NS$64),IF($NP$64="Single_Point",IF(221=$NR$64,$NN$64,0),IF($NP$64="Bell_Curve",$NN$64*(221-$NR$64+1)*($NS$64-221+1)/$NU$64,$NN$64/$NT$64)),0)</f>
        <v/>
      </c>
      <c r="HR64" s="402">
        <f>IF(AND(222&gt;=$NR$64,222&lt;=$NS$64),IF($NP$64="Single_Point",IF(222=$NR$64,$NN$64,0),IF($NP$64="Bell_Curve",$NN$64*(222-$NR$64+1)*($NS$64-222+1)/$NU$64,$NN$64/$NT$64)),0)</f>
        <v/>
      </c>
      <c r="HS64" s="402">
        <f>IF(AND(223&gt;=$NR$64,223&lt;=$NS$64),IF($NP$64="Single_Point",IF(223=$NR$64,$NN$64,0),IF($NP$64="Bell_Curve",$NN$64*(223-$NR$64+1)*($NS$64-223+1)/$NU$64,$NN$64/$NT$64)),0)</f>
        <v/>
      </c>
      <c r="HT64" s="402">
        <f>IF(AND(224&gt;=$NR$64,224&lt;=$NS$64),IF($NP$64="Single_Point",IF(224=$NR$64,$NN$64,0),IF($NP$64="Bell_Curve",$NN$64*(224-$NR$64+1)*($NS$64-224+1)/$NU$64,$NN$64/$NT$64)),0)</f>
        <v/>
      </c>
      <c r="HU64" s="402">
        <f>IF(AND(225&gt;=$NR$64,225&lt;=$NS$64),IF($NP$64="Single_Point",IF(225=$NR$64,$NN$64,0),IF($NP$64="Bell_Curve",$NN$64*(225-$NR$64+1)*($NS$64-225+1)/$NU$64,$NN$64/$NT$64)),0)</f>
        <v/>
      </c>
      <c r="HV64" s="402">
        <f>IF(AND(226&gt;=$NR$64,226&lt;=$NS$64),IF($NP$64="Single_Point",IF(226=$NR$64,$NN$64,0),IF($NP$64="Bell_Curve",$NN$64*(226-$NR$64+1)*($NS$64-226+1)/$NU$64,$NN$64/$NT$64)),0)</f>
        <v/>
      </c>
      <c r="HW64" s="402">
        <f>IF(AND(227&gt;=$NR$64,227&lt;=$NS$64),IF($NP$64="Single_Point",IF(227=$NR$64,$NN$64,0),IF($NP$64="Bell_Curve",$NN$64*(227-$NR$64+1)*($NS$64-227+1)/$NU$64,$NN$64/$NT$64)),0)</f>
        <v/>
      </c>
      <c r="HX64" s="402">
        <f>IF(AND(228&gt;=$NR$64,228&lt;=$NS$64),IF($NP$64="Single_Point",IF(228=$NR$64,$NN$64,0),IF($NP$64="Bell_Curve",$NN$64*(228-$NR$64+1)*($NS$64-228+1)/$NU$64,$NN$64/$NT$64)),0)</f>
        <v/>
      </c>
      <c r="HY64" s="402">
        <f>IF(AND(229&gt;=$NR$64,229&lt;=$NS$64),IF($NP$64="Single_Point",IF(229=$NR$64,$NN$64,0),IF($NP$64="Bell_Curve",$NN$64*(229-$NR$64+1)*($NS$64-229+1)/$NU$64,$NN$64/$NT$64)),0)</f>
        <v/>
      </c>
      <c r="HZ64" s="402">
        <f>IF(AND(230&gt;=$NR$64,230&lt;=$NS$64),IF($NP$64="Single_Point",IF(230=$NR$64,$NN$64,0),IF($NP$64="Bell_Curve",$NN$64*(230-$NR$64+1)*($NS$64-230+1)/$NU$64,$NN$64/$NT$64)),0)</f>
        <v/>
      </c>
      <c r="IA64" s="402">
        <f>IF(AND(231&gt;=$NR$64,231&lt;=$NS$64),IF($NP$64="Single_Point",IF(231=$NR$64,$NN$64,0),IF($NP$64="Bell_Curve",$NN$64*(231-$NR$64+1)*($NS$64-231+1)/$NU$64,$NN$64/$NT$64)),0)</f>
        <v/>
      </c>
      <c r="IB64" s="402">
        <f>IF(AND(232&gt;=$NR$64,232&lt;=$NS$64),IF($NP$64="Single_Point",IF(232=$NR$64,$NN$64,0),IF($NP$64="Bell_Curve",$NN$64*(232-$NR$64+1)*($NS$64-232+1)/$NU$64,$NN$64/$NT$64)),0)</f>
        <v/>
      </c>
      <c r="IC64" s="402">
        <f>IF(AND(233&gt;=$NR$64,233&lt;=$NS$64),IF($NP$64="Single_Point",IF(233=$NR$64,$NN$64,0),IF($NP$64="Bell_Curve",$NN$64*(233-$NR$64+1)*($NS$64-233+1)/$NU$64,$NN$64/$NT$64)),0)</f>
        <v/>
      </c>
      <c r="ID64" s="402">
        <f>IF(AND(234&gt;=$NR$64,234&lt;=$NS$64),IF($NP$64="Single_Point",IF(234=$NR$64,$NN$64,0),IF($NP$64="Bell_Curve",$NN$64*(234-$NR$64+1)*($NS$64-234+1)/$NU$64,$NN$64/$NT$64)),0)</f>
        <v/>
      </c>
      <c r="IE64" s="402">
        <f>IF(AND(235&gt;=$NR$64,235&lt;=$NS$64),IF($NP$64="Single_Point",IF(235=$NR$64,$NN$64,0),IF($NP$64="Bell_Curve",$NN$64*(235-$NR$64+1)*($NS$64-235+1)/$NU$64,$NN$64/$NT$64)),0)</f>
        <v/>
      </c>
      <c r="IF64" s="402">
        <f>IF(AND(236&gt;=$NR$64,236&lt;=$NS$64),IF($NP$64="Single_Point",IF(236=$NR$64,$NN$64,0),IF($NP$64="Bell_Curve",$NN$64*(236-$NR$64+1)*($NS$64-236+1)/$NU$64,$NN$64/$NT$64)),0)</f>
        <v/>
      </c>
      <c r="IG64" s="402">
        <f>IF(AND(237&gt;=$NR$64,237&lt;=$NS$64),IF($NP$64="Single_Point",IF(237=$NR$64,$NN$64,0),IF($NP$64="Bell_Curve",$NN$64*(237-$NR$64+1)*($NS$64-237+1)/$NU$64,$NN$64/$NT$64)),0)</f>
        <v/>
      </c>
      <c r="IH64" s="402">
        <f>IF(AND(238&gt;=$NR$64,238&lt;=$NS$64),IF($NP$64="Single_Point",IF(238=$NR$64,$NN$64,0),IF($NP$64="Bell_Curve",$NN$64*(238-$NR$64+1)*($NS$64-238+1)/$NU$64,$NN$64/$NT$64)),0)</f>
        <v/>
      </c>
      <c r="II64" s="402">
        <f>IF(AND(239&gt;=$NR$64,239&lt;=$NS$64),IF($NP$64="Single_Point",IF(239=$NR$64,$NN$64,0),IF($NP$64="Bell_Curve",$NN$64*(239-$NR$64+1)*($NS$64-239+1)/$NU$64,$NN$64/$NT$64)),0)</f>
        <v/>
      </c>
      <c r="IJ64" s="402">
        <f>IF(AND(240&gt;=$NR$64,240&lt;=$NS$64),IF($NP$64="Single_Point",IF(240=$NR$64,$NN$64,0),IF($NP$64="Bell_Curve",$NN$64*(240-$NR$64+1)*($NS$64-240+1)/$NU$64,$NN$64/$NT$64)),0)</f>
        <v/>
      </c>
      <c r="IK64" s="402">
        <f>IF(AND(241&gt;=$NR$64,241&lt;=$NS$64),IF($NP$64="Single_Point",IF(241=$NR$64,$NN$64,0),IF($NP$64="Bell_Curve",$NN$64*(241-$NR$64+1)*($NS$64-241+1)/$NU$64,$NN$64/$NT$64)),0)</f>
        <v/>
      </c>
      <c r="IL64" s="402">
        <f>IF(AND(242&gt;=$NR$64,242&lt;=$NS$64),IF($NP$64="Single_Point",IF(242=$NR$64,$NN$64,0),IF($NP$64="Bell_Curve",$NN$64*(242-$NR$64+1)*($NS$64-242+1)/$NU$64,$NN$64/$NT$64)),0)</f>
        <v/>
      </c>
      <c r="IM64" s="402">
        <f>IF(AND(243&gt;=$NR$64,243&lt;=$NS$64),IF($NP$64="Single_Point",IF(243=$NR$64,$NN$64,0),IF($NP$64="Bell_Curve",$NN$64*(243-$NR$64+1)*($NS$64-243+1)/$NU$64,$NN$64/$NT$64)),0)</f>
        <v/>
      </c>
      <c r="IN64" s="402">
        <f>IF(AND(244&gt;=$NR$64,244&lt;=$NS$64),IF($NP$64="Single_Point",IF(244=$NR$64,$NN$64,0),IF($NP$64="Bell_Curve",$NN$64*(244-$NR$64+1)*($NS$64-244+1)/$NU$64,$NN$64/$NT$64)),0)</f>
        <v/>
      </c>
      <c r="IO64" s="402">
        <f>IF(AND(245&gt;=$NR$64,245&lt;=$NS$64),IF($NP$64="Single_Point",IF(245=$NR$64,$NN$64,0),IF($NP$64="Bell_Curve",$NN$64*(245-$NR$64+1)*($NS$64-245+1)/$NU$64,$NN$64/$NT$64)),0)</f>
        <v/>
      </c>
      <c r="IP64" s="402">
        <f>IF(AND(246&gt;=$NR$64,246&lt;=$NS$64),IF($NP$64="Single_Point",IF(246=$NR$64,$NN$64,0),IF($NP$64="Bell_Curve",$NN$64*(246-$NR$64+1)*($NS$64-246+1)/$NU$64,$NN$64/$NT$64)),0)</f>
        <v/>
      </c>
      <c r="IQ64" s="402">
        <f>IF(AND(247&gt;=$NR$64,247&lt;=$NS$64),IF($NP$64="Single_Point",IF(247=$NR$64,$NN$64,0),IF($NP$64="Bell_Curve",$NN$64*(247-$NR$64+1)*($NS$64-247+1)/$NU$64,$NN$64/$NT$64)),0)</f>
        <v/>
      </c>
      <c r="IR64" s="402">
        <f>IF(AND(248&gt;=$NR$64,248&lt;=$NS$64),IF($NP$64="Single_Point",IF(248=$NR$64,$NN$64,0),IF($NP$64="Bell_Curve",$NN$64*(248-$NR$64+1)*($NS$64-248+1)/$NU$64,$NN$64/$NT$64)),0)</f>
        <v/>
      </c>
      <c r="IS64" s="402">
        <f>IF(AND(249&gt;=$NR$64,249&lt;=$NS$64),IF($NP$64="Single_Point",IF(249=$NR$64,$NN$64,0),IF($NP$64="Bell_Curve",$NN$64*(249-$NR$64+1)*($NS$64-249+1)/$NU$64,$NN$64/$NT$64)),0)</f>
        <v/>
      </c>
      <c r="IT64" s="402">
        <f>IF(AND(250&gt;=$NR$64,250&lt;=$NS$64),IF($NP$64="Single_Point",IF(250=$NR$64,$NN$64,0),IF($NP$64="Bell_Curve",$NN$64*(250-$NR$64+1)*($NS$64-250+1)/$NU$64,$NN$64/$NT$64)),0)</f>
        <v/>
      </c>
      <c r="IU64" s="402">
        <f>IF(AND(251&gt;=$NR$64,251&lt;=$NS$64),IF($NP$64="Single_Point",IF(251=$NR$64,$NN$64,0),IF($NP$64="Bell_Curve",$NN$64*(251-$NR$64+1)*($NS$64-251+1)/$NU$64,$NN$64/$NT$64)),0)</f>
        <v/>
      </c>
      <c r="IV64" s="402">
        <f>IF(AND(252&gt;=$NR$64,252&lt;=$NS$64),IF($NP$64="Single_Point",IF(252=$NR$64,$NN$64,0),IF($NP$64="Bell_Curve",$NN$64*(252-$NR$64+1)*($NS$64-252+1)/$NU$64,$NN$64/$NT$64)),0)</f>
        <v/>
      </c>
      <c r="IW64" s="402">
        <f>IF(AND(253&gt;=$NR$64,253&lt;=$NS$64),IF($NP$64="Single_Point",IF(253=$NR$64,$NN$64,0),IF($NP$64="Bell_Curve",$NN$64*(253-$NR$64+1)*($NS$64-253+1)/$NU$64,$NN$64/$NT$64)),0)</f>
        <v/>
      </c>
      <c r="IX64" s="402">
        <f>IF(AND(254&gt;=$NR$64,254&lt;=$NS$64),IF($NP$64="Single_Point",IF(254=$NR$64,$NN$64,0),IF($NP$64="Bell_Curve",$NN$64*(254-$NR$64+1)*($NS$64-254+1)/$NU$64,$NN$64/$NT$64)),0)</f>
        <v/>
      </c>
      <c r="IY64" s="402">
        <f>IF(AND(255&gt;=$NR$64,255&lt;=$NS$64),IF($NP$64="Single_Point",IF(255=$NR$64,$NN$64,0),IF($NP$64="Bell_Curve",$NN$64*(255-$NR$64+1)*($NS$64-255+1)/$NU$64,$NN$64/$NT$64)),0)</f>
        <v/>
      </c>
      <c r="IZ64" s="402">
        <f>IF(AND(256&gt;=$NR$64,256&lt;=$NS$64),IF($NP$64="Single_Point",IF(256=$NR$64,$NN$64,0),IF($NP$64="Bell_Curve",$NN$64*(256-$NR$64+1)*($NS$64-256+1)/$NU$64,$NN$64/$NT$64)),0)</f>
        <v/>
      </c>
      <c r="JA64" s="402">
        <f>IF(AND(257&gt;=$NR$64,257&lt;=$NS$64),IF($NP$64="Single_Point",IF(257=$NR$64,$NN$64,0),IF($NP$64="Bell_Curve",$NN$64*(257-$NR$64+1)*($NS$64-257+1)/$NU$64,$NN$64/$NT$64)),0)</f>
        <v/>
      </c>
      <c r="JB64" s="402">
        <f>IF(AND(258&gt;=$NR$64,258&lt;=$NS$64),IF($NP$64="Single_Point",IF(258=$NR$64,$NN$64,0),IF($NP$64="Bell_Curve",$NN$64*(258-$NR$64+1)*($NS$64-258+1)/$NU$64,$NN$64/$NT$64)),0)</f>
        <v/>
      </c>
      <c r="JC64" s="402">
        <f>IF(AND(259&gt;=$NR$64,259&lt;=$NS$64),IF($NP$64="Single_Point",IF(259=$NR$64,$NN$64,0),IF($NP$64="Bell_Curve",$NN$64*(259-$NR$64+1)*($NS$64-259+1)/$NU$64,$NN$64/$NT$64)),0)</f>
        <v/>
      </c>
      <c r="JD64" s="402">
        <f>IF(AND(260&gt;=$NR$64,260&lt;=$NS$64),IF($NP$64="Single_Point",IF(260=$NR$64,$NN$64,0),IF($NP$64="Bell_Curve",$NN$64*(260-$NR$64+1)*($NS$64-260+1)/$NU$64,$NN$64/$NT$64)),0)</f>
        <v/>
      </c>
      <c r="JE64" s="402">
        <f>IF(AND(261&gt;=$NR$64,261&lt;=$NS$64),IF($NP$64="Single_Point",IF(261=$NR$64,$NN$64,0),IF($NP$64="Bell_Curve",$NN$64*(261-$NR$64+1)*($NS$64-261+1)/$NU$64,$NN$64/$NT$64)),0)</f>
        <v/>
      </c>
      <c r="JF64" s="402">
        <f>IF(AND(262&gt;=$NR$64,262&lt;=$NS$64),IF($NP$64="Single_Point",IF(262=$NR$64,$NN$64,0),IF($NP$64="Bell_Curve",$NN$64*(262-$NR$64+1)*($NS$64-262+1)/$NU$64,$NN$64/$NT$64)),0)</f>
        <v/>
      </c>
      <c r="JG64" s="402">
        <f>IF(AND(263&gt;=$NR$64,263&lt;=$NS$64),IF($NP$64="Single_Point",IF(263=$NR$64,$NN$64,0),IF($NP$64="Bell_Curve",$NN$64*(263-$NR$64+1)*($NS$64-263+1)/$NU$64,$NN$64/$NT$64)),0)</f>
        <v/>
      </c>
      <c r="JH64" s="402">
        <f>IF(AND(264&gt;=$NR$64,264&lt;=$NS$64),IF($NP$64="Single_Point",IF(264=$NR$64,$NN$64,0),IF($NP$64="Bell_Curve",$NN$64*(264-$NR$64+1)*($NS$64-264+1)/$NU$64,$NN$64/$NT$64)),0)</f>
        <v/>
      </c>
      <c r="JI64" s="402">
        <f>IF(AND(265&gt;=$NR$64,265&lt;=$NS$64),IF($NP$64="Single_Point",IF(265=$NR$64,$NN$64,0),IF($NP$64="Bell_Curve",$NN$64*(265-$NR$64+1)*($NS$64-265+1)/$NU$64,$NN$64/$NT$64)),0)</f>
        <v/>
      </c>
      <c r="JJ64" s="402">
        <f>IF(AND(266&gt;=$NR$64,266&lt;=$NS$64),IF($NP$64="Single_Point",IF(266=$NR$64,$NN$64,0),IF($NP$64="Bell_Curve",$NN$64*(266-$NR$64+1)*($NS$64-266+1)/$NU$64,$NN$64/$NT$64)),0)</f>
        <v/>
      </c>
      <c r="JK64" s="402">
        <f>IF(AND(267&gt;=$NR$64,267&lt;=$NS$64),IF($NP$64="Single_Point",IF(267=$NR$64,$NN$64,0),IF($NP$64="Bell_Curve",$NN$64*(267-$NR$64+1)*($NS$64-267+1)/$NU$64,$NN$64/$NT$64)),0)</f>
        <v/>
      </c>
      <c r="JL64" s="402">
        <f>IF(AND(268&gt;=$NR$64,268&lt;=$NS$64),IF($NP$64="Single_Point",IF(268=$NR$64,$NN$64,0),IF($NP$64="Bell_Curve",$NN$64*(268-$NR$64+1)*($NS$64-268+1)/$NU$64,$NN$64/$NT$64)),0)</f>
        <v/>
      </c>
      <c r="JM64" s="402">
        <f>IF(AND(269&gt;=$NR$64,269&lt;=$NS$64),IF($NP$64="Single_Point",IF(269=$NR$64,$NN$64,0),IF($NP$64="Bell_Curve",$NN$64*(269-$NR$64+1)*($NS$64-269+1)/$NU$64,$NN$64/$NT$64)),0)</f>
        <v/>
      </c>
      <c r="JN64" s="402">
        <f>IF(AND(270&gt;=$NR$64,270&lt;=$NS$64),IF($NP$64="Single_Point",IF(270=$NR$64,$NN$64,0),IF($NP$64="Bell_Curve",$NN$64*(270-$NR$64+1)*($NS$64-270+1)/$NU$64,$NN$64/$NT$64)),0)</f>
        <v/>
      </c>
      <c r="JO64" s="402">
        <f>IF(AND(271&gt;=$NR$64,271&lt;=$NS$64),IF($NP$64="Single_Point",IF(271=$NR$64,$NN$64,0),IF($NP$64="Bell_Curve",$NN$64*(271-$NR$64+1)*($NS$64-271+1)/$NU$64,$NN$64/$NT$64)),0)</f>
        <v/>
      </c>
      <c r="JP64" s="402">
        <f>IF(AND(272&gt;=$NR$64,272&lt;=$NS$64),IF($NP$64="Single_Point",IF(272=$NR$64,$NN$64,0),IF($NP$64="Bell_Curve",$NN$64*(272-$NR$64+1)*($NS$64-272+1)/$NU$64,$NN$64/$NT$64)),0)</f>
        <v/>
      </c>
      <c r="JQ64" s="402">
        <f>IF(AND(273&gt;=$NR$64,273&lt;=$NS$64),IF($NP$64="Single_Point",IF(273=$NR$64,$NN$64,0),IF($NP$64="Bell_Curve",$NN$64*(273-$NR$64+1)*($NS$64-273+1)/$NU$64,$NN$64/$NT$64)),0)</f>
        <v/>
      </c>
      <c r="JR64" s="402">
        <f>IF(AND(274&gt;=$NR$64,274&lt;=$NS$64),IF($NP$64="Single_Point",IF(274=$NR$64,$NN$64,0),IF($NP$64="Bell_Curve",$NN$64*(274-$NR$64+1)*($NS$64-274+1)/$NU$64,$NN$64/$NT$64)),0)</f>
        <v/>
      </c>
      <c r="JS64" s="402">
        <f>IF(AND(275&gt;=$NR$64,275&lt;=$NS$64),IF($NP$64="Single_Point",IF(275=$NR$64,$NN$64,0),IF($NP$64="Bell_Curve",$NN$64*(275-$NR$64+1)*($NS$64-275+1)/$NU$64,$NN$64/$NT$64)),0)</f>
        <v/>
      </c>
      <c r="JT64" s="402">
        <f>IF(AND(276&gt;=$NR$64,276&lt;=$NS$64),IF($NP$64="Single_Point",IF(276=$NR$64,$NN$64,0),IF($NP$64="Bell_Curve",$NN$64*(276-$NR$64+1)*($NS$64-276+1)/$NU$64,$NN$64/$NT$64)),0)</f>
        <v/>
      </c>
      <c r="JU64" s="402">
        <f>IF(AND(277&gt;=$NR$64,277&lt;=$NS$64),IF($NP$64="Single_Point",IF(277=$NR$64,$NN$64,0),IF($NP$64="Bell_Curve",$NN$64*(277-$NR$64+1)*($NS$64-277+1)/$NU$64,$NN$64/$NT$64)),0)</f>
        <v/>
      </c>
      <c r="JV64" s="402">
        <f>IF(AND(278&gt;=$NR$64,278&lt;=$NS$64),IF($NP$64="Single_Point",IF(278=$NR$64,$NN$64,0),IF($NP$64="Bell_Curve",$NN$64*(278-$NR$64+1)*($NS$64-278+1)/$NU$64,$NN$64/$NT$64)),0)</f>
        <v/>
      </c>
      <c r="JW64" s="402">
        <f>IF(AND(279&gt;=$NR$64,279&lt;=$NS$64),IF($NP$64="Single_Point",IF(279=$NR$64,$NN$64,0),IF($NP$64="Bell_Curve",$NN$64*(279-$NR$64+1)*($NS$64-279+1)/$NU$64,$NN$64/$NT$64)),0)</f>
        <v/>
      </c>
      <c r="JX64" s="402">
        <f>IF(AND(280&gt;=$NR$64,280&lt;=$NS$64),IF($NP$64="Single_Point",IF(280=$NR$64,$NN$64,0),IF($NP$64="Bell_Curve",$NN$64*(280-$NR$64+1)*($NS$64-280+1)/$NU$64,$NN$64/$NT$64)),0)</f>
        <v/>
      </c>
      <c r="JY64" s="402">
        <f>IF(AND(281&gt;=$NR$64,281&lt;=$NS$64),IF($NP$64="Single_Point",IF(281=$NR$64,$NN$64,0),IF($NP$64="Bell_Curve",$NN$64*(281-$NR$64+1)*($NS$64-281+1)/$NU$64,$NN$64/$NT$64)),0)</f>
        <v/>
      </c>
      <c r="JZ64" s="402">
        <f>IF(AND(282&gt;=$NR$64,282&lt;=$NS$64),IF($NP$64="Single_Point",IF(282=$NR$64,$NN$64,0),IF($NP$64="Bell_Curve",$NN$64*(282-$NR$64+1)*($NS$64-282+1)/$NU$64,$NN$64/$NT$64)),0)</f>
        <v/>
      </c>
      <c r="KA64" s="402">
        <f>IF(AND(283&gt;=$NR$64,283&lt;=$NS$64),IF($NP$64="Single_Point",IF(283=$NR$64,$NN$64,0),IF($NP$64="Bell_Curve",$NN$64*(283-$NR$64+1)*($NS$64-283+1)/$NU$64,$NN$64/$NT$64)),0)</f>
        <v/>
      </c>
      <c r="KB64" s="402">
        <f>IF(AND(284&gt;=$NR$64,284&lt;=$NS$64),IF($NP$64="Single_Point",IF(284=$NR$64,$NN$64,0),IF($NP$64="Bell_Curve",$NN$64*(284-$NR$64+1)*($NS$64-284+1)/$NU$64,$NN$64/$NT$64)),0)</f>
        <v/>
      </c>
      <c r="KC64" s="402">
        <f>IF(AND(285&gt;=$NR$64,285&lt;=$NS$64),IF($NP$64="Single_Point",IF(285=$NR$64,$NN$64,0),IF($NP$64="Bell_Curve",$NN$64*(285-$NR$64+1)*($NS$64-285+1)/$NU$64,$NN$64/$NT$64)),0)</f>
        <v/>
      </c>
      <c r="KD64" s="402">
        <f>IF(AND(286&gt;=$NR$64,286&lt;=$NS$64),IF($NP$64="Single_Point",IF(286=$NR$64,$NN$64,0),IF($NP$64="Bell_Curve",$NN$64*(286-$NR$64+1)*($NS$64-286+1)/$NU$64,$NN$64/$NT$64)),0)</f>
        <v/>
      </c>
      <c r="KE64" s="402">
        <f>IF(AND(287&gt;=$NR$64,287&lt;=$NS$64),IF($NP$64="Single_Point",IF(287=$NR$64,$NN$64,0),IF($NP$64="Bell_Curve",$NN$64*(287-$NR$64+1)*($NS$64-287+1)/$NU$64,$NN$64/$NT$64)),0)</f>
        <v/>
      </c>
      <c r="KF64" s="402">
        <f>IF(AND(288&gt;=$NR$64,288&lt;=$NS$64),IF($NP$64="Single_Point",IF(288=$NR$64,$NN$64,0),IF($NP$64="Bell_Curve",$NN$64*(288-$NR$64+1)*($NS$64-288+1)/$NU$64,$NN$64/$NT$64)),0)</f>
        <v/>
      </c>
      <c r="KG64" s="402">
        <f>IF(AND(289&gt;=$NR$64,289&lt;=$NS$64),IF($NP$64="Single_Point",IF(289=$NR$64,$NN$64,0),IF($NP$64="Bell_Curve",$NN$64*(289-$NR$64+1)*($NS$64-289+1)/$NU$64,$NN$64/$NT$64)),0)</f>
        <v/>
      </c>
      <c r="KH64" s="402">
        <f>IF(AND(290&gt;=$NR$64,290&lt;=$NS$64),IF($NP$64="Single_Point",IF(290=$NR$64,$NN$64,0),IF($NP$64="Bell_Curve",$NN$64*(290-$NR$64+1)*($NS$64-290+1)/$NU$64,$NN$64/$NT$64)),0)</f>
        <v/>
      </c>
      <c r="KI64" s="402">
        <f>IF(AND(291&gt;=$NR$64,291&lt;=$NS$64),IF($NP$64="Single_Point",IF(291=$NR$64,$NN$64,0),IF($NP$64="Bell_Curve",$NN$64*(291-$NR$64+1)*($NS$64-291+1)/$NU$64,$NN$64/$NT$64)),0)</f>
        <v/>
      </c>
      <c r="KJ64" s="402">
        <f>IF(AND(292&gt;=$NR$64,292&lt;=$NS$64),IF($NP$64="Single_Point",IF(292=$NR$64,$NN$64,0),IF($NP$64="Bell_Curve",$NN$64*(292-$NR$64+1)*($NS$64-292+1)/$NU$64,$NN$64/$NT$64)),0)</f>
        <v/>
      </c>
      <c r="KK64" s="402">
        <f>IF(AND(293&gt;=$NR$64,293&lt;=$NS$64),IF($NP$64="Single_Point",IF(293=$NR$64,$NN$64,0),IF($NP$64="Bell_Curve",$NN$64*(293-$NR$64+1)*($NS$64-293+1)/$NU$64,$NN$64/$NT$64)),0)</f>
        <v/>
      </c>
      <c r="KL64" s="402">
        <f>IF(AND(294&gt;=$NR$64,294&lt;=$NS$64),IF($NP$64="Single_Point",IF(294=$NR$64,$NN$64,0),IF($NP$64="Bell_Curve",$NN$64*(294-$NR$64+1)*($NS$64-294+1)/$NU$64,$NN$64/$NT$64)),0)</f>
        <v/>
      </c>
      <c r="KM64" s="402">
        <f>IF(AND(295&gt;=$NR$64,295&lt;=$NS$64),IF($NP$64="Single_Point",IF(295=$NR$64,$NN$64,0),IF($NP$64="Bell_Curve",$NN$64*(295-$NR$64+1)*($NS$64-295+1)/$NU$64,$NN$64/$NT$64)),0)</f>
        <v/>
      </c>
      <c r="KN64" s="402">
        <f>IF(AND(296&gt;=$NR$64,296&lt;=$NS$64),IF($NP$64="Single_Point",IF(296=$NR$64,$NN$64,0),IF($NP$64="Bell_Curve",$NN$64*(296-$NR$64+1)*($NS$64-296+1)/$NU$64,$NN$64/$NT$64)),0)</f>
        <v/>
      </c>
      <c r="KO64" s="402">
        <f>IF(AND(297&gt;=$NR$64,297&lt;=$NS$64),IF($NP$64="Single_Point",IF(297=$NR$64,$NN$64,0),IF($NP$64="Bell_Curve",$NN$64*(297-$NR$64+1)*($NS$64-297+1)/$NU$64,$NN$64/$NT$64)),0)</f>
        <v/>
      </c>
      <c r="KP64" s="402">
        <f>IF(AND(298&gt;=$NR$64,298&lt;=$NS$64),IF($NP$64="Single_Point",IF(298=$NR$64,$NN$64,0),IF($NP$64="Bell_Curve",$NN$64*(298-$NR$64+1)*($NS$64-298+1)/$NU$64,$NN$64/$NT$64)),0)</f>
        <v/>
      </c>
      <c r="KQ64" s="402">
        <f>IF(AND(299&gt;=$NR$64,299&lt;=$NS$64),IF($NP$64="Single_Point",IF(299=$NR$64,$NN$64,0),IF($NP$64="Bell_Curve",$NN$64*(299-$NR$64+1)*($NS$64-299+1)/$NU$64,$NN$64/$NT$64)),0)</f>
        <v/>
      </c>
      <c r="KR64" s="402">
        <f>IF(AND(300&gt;=$NR$64,300&lt;=$NS$64),IF($NP$64="Single_Point",IF(300=$NR$64,$NN$64,0),IF($NP$64="Bell_Curve",$NN$64*(300-$NR$64+1)*($NS$64-300+1)/$NU$64,$NN$64/$NT$64)),0)</f>
        <v/>
      </c>
      <c r="KS64" s="402">
        <f>IF(AND(301&gt;=$NR$64,301&lt;=$NS$64),IF($NP$64="Single_Point",IF(301=$NR$64,$NN$64,0),IF($NP$64="Bell_Curve",$NN$64*(301-$NR$64+1)*($NS$64-301+1)/$NU$64,$NN$64/$NT$64)),0)</f>
        <v/>
      </c>
      <c r="KT64" s="402">
        <f>IF(AND(302&gt;=$NR$64,302&lt;=$NS$64),IF($NP$64="Single_Point",IF(302=$NR$64,$NN$64,0),IF($NP$64="Bell_Curve",$NN$64*(302-$NR$64+1)*($NS$64-302+1)/$NU$64,$NN$64/$NT$64)),0)</f>
        <v/>
      </c>
      <c r="KU64" s="402">
        <f>IF(AND(303&gt;=$NR$64,303&lt;=$NS$64),IF($NP$64="Single_Point",IF(303=$NR$64,$NN$64,0),IF($NP$64="Bell_Curve",$NN$64*(303-$NR$64+1)*($NS$64-303+1)/$NU$64,$NN$64/$NT$64)),0)</f>
        <v/>
      </c>
      <c r="KV64" s="402">
        <f>IF(AND(304&gt;=$NR$64,304&lt;=$NS$64),IF($NP$64="Single_Point",IF(304=$NR$64,$NN$64,0),IF($NP$64="Bell_Curve",$NN$64*(304-$NR$64+1)*($NS$64-304+1)/$NU$64,$NN$64/$NT$64)),0)</f>
        <v/>
      </c>
      <c r="KW64" s="402">
        <f>IF(AND(305&gt;=$NR$64,305&lt;=$NS$64),IF($NP$64="Single_Point",IF(305=$NR$64,$NN$64,0),IF($NP$64="Bell_Curve",$NN$64*(305-$NR$64+1)*($NS$64-305+1)/$NU$64,$NN$64/$NT$64)),0)</f>
        <v/>
      </c>
      <c r="KX64" s="402">
        <f>IF(AND(306&gt;=$NR$64,306&lt;=$NS$64),IF($NP$64="Single_Point",IF(306=$NR$64,$NN$64,0),IF($NP$64="Bell_Curve",$NN$64*(306-$NR$64+1)*($NS$64-306+1)/$NU$64,$NN$64/$NT$64)),0)</f>
        <v/>
      </c>
      <c r="KY64" s="402">
        <f>IF(AND(307&gt;=$NR$64,307&lt;=$NS$64),IF($NP$64="Single_Point",IF(307=$NR$64,$NN$64,0),IF($NP$64="Bell_Curve",$NN$64*(307-$NR$64+1)*($NS$64-307+1)/$NU$64,$NN$64/$NT$64)),0)</f>
        <v/>
      </c>
      <c r="KZ64" s="402">
        <f>IF(AND(308&gt;=$NR$64,308&lt;=$NS$64),IF($NP$64="Single_Point",IF(308=$NR$64,$NN$64,0),IF($NP$64="Bell_Curve",$NN$64*(308-$NR$64+1)*($NS$64-308+1)/$NU$64,$NN$64/$NT$64)),0)</f>
        <v/>
      </c>
      <c r="LA64" s="402">
        <f>IF(AND(309&gt;=$NR$64,309&lt;=$NS$64),IF($NP$64="Single_Point",IF(309=$NR$64,$NN$64,0),IF($NP$64="Bell_Curve",$NN$64*(309-$NR$64+1)*($NS$64-309+1)/$NU$64,$NN$64/$NT$64)),0)</f>
        <v/>
      </c>
      <c r="LB64" s="402">
        <f>IF(AND(310&gt;=$NR$64,310&lt;=$NS$64),IF($NP$64="Single_Point",IF(310=$NR$64,$NN$64,0),IF($NP$64="Bell_Curve",$NN$64*(310-$NR$64+1)*($NS$64-310+1)/$NU$64,$NN$64/$NT$64)),0)</f>
        <v/>
      </c>
      <c r="LC64" s="402">
        <f>IF(AND(311&gt;=$NR$64,311&lt;=$NS$64),IF($NP$64="Single_Point",IF(311=$NR$64,$NN$64,0),IF($NP$64="Bell_Curve",$NN$64*(311-$NR$64+1)*($NS$64-311+1)/$NU$64,$NN$64/$NT$64)),0)</f>
        <v/>
      </c>
      <c r="LD64" s="402">
        <f>IF(AND(312&gt;=$NR$64,312&lt;=$NS$64),IF($NP$64="Single_Point",IF(312=$NR$64,$NN$64,0),IF($NP$64="Bell_Curve",$NN$64*(312-$NR$64+1)*($NS$64-312+1)/$NU$64,$NN$64/$NT$64)),0)</f>
        <v/>
      </c>
      <c r="LE64" s="402">
        <f>IF(AND(313&gt;=$NR$64,313&lt;=$NS$64),IF($NP$64="Single_Point",IF(313=$NR$64,$NN$64,0),IF($NP$64="Bell_Curve",$NN$64*(313-$NR$64+1)*($NS$64-313+1)/$NU$64,$NN$64/$NT$64)),0)</f>
        <v/>
      </c>
      <c r="LF64" s="402">
        <f>IF(AND(314&gt;=$NR$64,314&lt;=$NS$64),IF($NP$64="Single_Point",IF(314=$NR$64,$NN$64,0),IF($NP$64="Bell_Curve",$NN$64*(314-$NR$64+1)*($NS$64-314+1)/$NU$64,$NN$64/$NT$64)),0)</f>
        <v/>
      </c>
      <c r="LG64" s="402">
        <f>IF(AND(315&gt;=$NR$64,315&lt;=$NS$64),IF($NP$64="Single_Point",IF(315=$NR$64,$NN$64,0),IF($NP$64="Bell_Curve",$NN$64*(315-$NR$64+1)*($NS$64-315+1)/$NU$64,$NN$64/$NT$64)),0)</f>
        <v/>
      </c>
      <c r="LH64" s="402">
        <f>IF(AND(316&gt;=$NR$64,316&lt;=$NS$64),IF($NP$64="Single_Point",IF(316=$NR$64,$NN$64,0),IF($NP$64="Bell_Curve",$NN$64*(316-$NR$64+1)*($NS$64-316+1)/$NU$64,$NN$64/$NT$64)),0)</f>
        <v/>
      </c>
      <c r="LI64" s="402">
        <f>IF(AND(317&gt;=$NR$64,317&lt;=$NS$64),IF($NP$64="Single_Point",IF(317=$NR$64,$NN$64,0),IF($NP$64="Bell_Curve",$NN$64*(317-$NR$64+1)*($NS$64-317+1)/$NU$64,$NN$64/$NT$64)),0)</f>
        <v/>
      </c>
      <c r="LJ64" s="402">
        <f>IF(AND(318&gt;=$NR$64,318&lt;=$NS$64),IF($NP$64="Single_Point",IF(318=$NR$64,$NN$64,0),IF($NP$64="Bell_Curve",$NN$64*(318-$NR$64+1)*($NS$64-318+1)/$NU$64,$NN$64/$NT$64)),0)</f>
        <v/>
      </c>
      <c r="LK64" s="402">
        <f>IF(AND(319&gt;=$NR$64,319&lt;=$NS$64),IF($NP$64="Single_Point",IF(319=$NR$64,$NN$64,0),IF($NP$64="Bell_Curve",$NN$64*(319-$NR$64+1)*($NS$64-319+1)/$NU$64,$NN$64/$NT$64)),0)</f>
        <v/>
      </c>
      <c r="LL64" s="402">
        <f>IF(AND(320&gt;=$NR$64,320&lt;=$NS$64),IF($NP$64="Single_Point",IF(320=$NR$64,$NN$64,0),IF($NP$64="Bell_Curve",$NN$64*(320-$NR$64+1)*($NS$64-320+1)/$NU$64,$NN$64/$NT$64)),0)</f>
        <v/>
      </c>
      <c r="LM64" s="402">
        <f>IF(AND(321&gt;=$NR$64,321&lt;=$NS$64),IF($NP$64="Single_Point",IF(321=$NR$64,$NN$64,0),IF($NP$64="Bell_Curve",$NN$64*(321-$NR$64+1)*($NS$64-321+1)/$NU$64,$NN$64/$NT$64)),0)</f>
        <v/>
      </c>
      <c r="LN64" s="402">
        <f>IF(AND(322&gt;=$NR$64,322&lt;=$NS$64),IF($NP$64="Single_Point",IF(322=$NR$64,$NN$64,0),IF($NP$64="Bell_Curve",$NN$64*(322-$NR$64+1)*($NS$64-322+1)/$NU$64,$NN$64/$NT$64)),0)</f>
        <v/>
      </c>
      <c r="LO64" s="402">
        <f>IF(AND(323&gt;=$NR$64,323&lt;=$NS$64),IF($NP$64="Single_Point",IF(323=$NR$64,$NN$64,0),IF($NP$64="Bell_Curve",$NN$64*(323-$NR$64+1)*($NS$64-323+1)/$NU$64,$NN$64/$NT$64)),0)</f>
        <v/>
      </c>
      <c r="LP64" s="402">
        <f>IF(AND(324&gt;=$NR$64,324&lt;=$NS$64),IF($NP$64="Single_Point",IF(324=$NR$64,$NN$64,0),IF($NP$64="Bell_Curve",$NN$64*(324-$NR$64+1)*($NS$64-324+1)/$NU$64,$NN$64/$NT$64)),0)</f>
        <v/>
      </c>
      <c r="LQ64" s="402">
        <f>IF(AND(325&gt;=$NR$64,325&lt;=$NS$64),IF($NP$64="Single_Point",IF(325=$NR$64,$NN$64,0),IF($NP$64="Bell_Curve",$NN$64*(325-$NR$64+1)*($NS$64-325+1)/$NU$64,$NN$64/$NT$64)),0)</f>
        <v/>
      </c>
      <c r="LR64" s="402">
        <f>IF(AND(326&gt;=$NR$64,326&lt;=$NS$64),IF($NP$64="Single_Point",IF(326=$NR$64,$NN$64,0),IF($NP$64="Bell_Curve",$NN$64*(326-$NR$64+1)*($NS$64-326+1)/$NU$64,$NN$64/$NT$64)),0)</f>
        <v/>
      </c>
      <c r="LS64" s="402">
        <f>IF(AND(327&gt;=$NR$64,327&lt;=$NS$64),IF($NP$64="Single_Point",IF(327=$NR$64,$NN$64,0),IF($NP$64="Bell_Curve",$NN$64*(327-$NR$64+1)*($NS$64-327+1)/$NU$64,$NN$64/$NT$64)),0)</f>
        <v/>
      </c>
      <c r="LT64" s="402">
        <f>IF(AND(328&gt;=$NR$64,328&lt;=$NS$64),IF($NP$64="Single_Point",IF(328=$NR$64,$NN$64,0),IF($NP$64="Bell_Curve",$NN$64*(328-$NR$64+1)*($NS$64-328+1)/$NU$64,$NN$64/$NT$64)),0)</f>
        <v/>
      </c>
      <c r="LU64" s="402">
        <f>IF(AND(329&gt;=$NR$64,329&lt;=$NS$64),IF($NP$64="Single_Point",IF(329=$NR$64,$NN$64,0),IF($NP$64="Bell_Curve",$NN$64*(329-$NR$64+1)*($NS$64-329+1)/$NU$64,$NN$64/$NT$64)),0)</f>
        <v/>
      </c>
      <c r="LV64" s="402">
        <f>IF(AND(330&gt;=$NR$64,330&lt;=$NS$64),IF($NP$64="Single_Point",IF(330=$NR$64,$NN$64,0),IF($NP$64="Bell_Curve",$NN$64*(330-$NR$64+1)*($NS$64-330+1)/$NU$64,$NN$64/$NT$64)),0)</f>
        <v/>
      </c>
      <c r="LW64" s="402">
        <f>IF(AND(331&gt;=$NR$64,331&lt;=$NS$64),IF($NP$64="Single_Point",IF(331=$NR$64,$NN$64,0),IF($NP$64="Bell_Curve",$NN$64*(331-$NR$64+1)*($NS$64-331+1)/$NU$64,$NN$64/$NT$64)),0)</f>
        <v/>
      </c>
      <c r="LX64" s="402">
        <f>IF(AND(332&gt;=$NR$64,332&lt;=$NS$64),IF($NP$64="Single_Point",IF(332=$NR$64,$NN$64,0),IF($NP$64="Bell_Curve",$NN$64*(332-$NR$64+1)*($NS$64-332+1)/$NU$64,$NN$64/$NT$64)),0)</f>
        <v/>
      </c>
      <c r="LY64" s="402">
        <f>IF(AND(333&gt;=$NR$64,333&lt;=$NS$64),IF($NP$64="Single_Point",IF(333=$NR$64,$NN$64,0),IF($NP$64="Bell_Curve",$NN$64*(333-$NR$64+1)*($NS$64-333+1)/$NU$64,$NN$64/$NT$64)),0)</f>
        <v/>
      </c>
      <c r="LZ64" s="402">
        <f>IF(AND(334&gt;=$NR$64,334&lt;=$NS$64),IF($NP$64="Single_Point",IF(334=$NR$64,$NN$64,0),IF($NP$64="Bell_Curve",$NN$64*(334-$NR$64+1)*($NS$64-334+1)/$NU$64,$NN$64/$NT$64)),0)</f>
        <v/>
      </c>
      <c r="MA64" s="402">
        <f>IF(AND(335&gt;=$NR$64,335&lt;=$NS$64),IF($NP$64="Single_Point",IF(335=$NR$64,$NN$64,0),IF($NP$64="Bell_Curve",$NN$64*(335-$NR$64+1)*($NS$64-335+1)/$NU$64,$NN$64/$NT$64)),0)</f>
        <v/>
      </c>
      <c r="MB64" s="402">
        <f>IF(AND(336&gt;=$NR$64,336&lt;=$NS$64),IF($NP$64="Single_Point",IF(336=$NR$64,$NN$64,0),IF($NP$64="Bell_Curve",$NN$64*(336-$NR$64+1)*($NS$64-336+1)/$NU$64,$NN$64/$NT$64)),0)</f>
        <v/>
      </c>
      <c r="MC64" s="402">
        <f>IF(AND(337&gt;=$NR$64,337&lt;=$NS$64),IF($NP$64="Single_Point",IF(337=$NR$64,$NN$64,0),IF($NP$64="Bell_Curve",$NN$64*(337-$NR$64+1)*($NS$64-337+1)/$NU$64,$NN$64/$NT$64)),0)</f>
        <v/>
      </c>
      <c r="MD64" s="402">
        <f>IF(AND(338&gt;=$NR$64,338&lt;=$NS$64),IF($NP$64="Single_Point",IF(338=$NR$64,$NN$64,0),IF($NP$64="Bell_Curve",$NN$64*(338-$NR$64+1)*($NS$64-338+1)/$NU$64,$NN$64/$NT$64)),0)</f>
        <v/>
      </c>
      <c r="ME64" s="402">
        <f>IF(AND(339&gt;=$NR$64,339&lt;=$NS$64),IF($NP$64="Single_Point",IF(339=$NR$64,$NN$64,0),IF($NP$64="Bell_Curve",$NN$64*(339-$NR$64+1)*($NS$64-339+1)/$NU$64,$NN$64/$NT$64)),0)</f>
        <v/>
      </c>
      <c r="MF64" s="402">
        <f>IF(AND(340&gt;=$NR$64,340&lt;=$NS$64),IF($NP$64="Single_Point",IF(340=$NR$64,$NN$64,0),IF($NP$64="Bell_Curve",$NN$64*(340-$NR$64+1)*($NS$64-340+1)/$NU$64,$NN$64/$NT$64)),0)</f>
        <v/>
      </c>
      <c r="MG64" s="402">
        <f>IF(AND(341&gt;=$NR$64,341&lt;=$NS$64),IF($NP$64="Single_Point",IF(341=$NR$64,$NN$64,0),IF($NP$64="Bell_Curve",$NN$64*(341-$NR$64+1)*($NS$64-341+1)/$NU$64,$NN$64/$NT$64)),0)</f>
        <v/>
      </c>
      <c r="MH64" s="402">
        <f>IF(AND(342&gt;=$NR$64,342&lt;=$NS$64),IF($NP$64="Single_Point",IF(342=$NR$64,$NN$64,0),IF($NP$64="Bell_Curve",$NN$64*(342-$NR$64+1)*($NS$64-342+1)/$NU$64,$NN$64/$NT$64)),0)</f>
        <v/>
      </c>
      <c r="MI64" s="402">
        <f>IF(AND(343&gt;=$NR$64,343&lt;=$NS$64),IF($NP$64="Single_Point",IF(343=$NR$64,$NN$64,0),IF($NP$64="Bell_Curve",$NN$64*(343-$NR$64+1)*($NS$64-343+1)/$NU$64,$NN$64/$NT$64)),0)</f>
        <v/>
      </c>
      <c r="MJ64" s="402">
        <f>IF(AND(344&gt;=$NR$64,344&lt;=$NS$64),IF($NP$64="Single_Point",IF(344=$NR$64,$NN$64,0),IF($NP$64="Bell_Curve",$NN$64*(344-$NR$64+1)*($NS$64-344+1)/$NU$64,$NN$64/$NT$64)),0)</f>
        <v/>
      </c>
      <c r="MK64" s="402">
        <f>IF(AND(345&gt;=$NR$64,345&lt;=$NS$64),IF($NP$64="Single_Point",IF(345=$NR$64,$NN$64,0),IF($NP$64="Bell_Curve",$NN$64*(345-$NR$64+1)*($NS$64-345+1)/$NU$64,$NN$64/$NT$64)),0)</f>
        <v/>
      </c>
      <c r="ML64" s="402">
        <f>IF(AND(346&gt;=$NR$64,346&lt;=$NS$64),IF($NP$64="Single_Point",IF(346=$NR$64,$NN$64,0),IF($NP$64="Bell_Curve",$NN$64*(346-$NR$64+1)*($NS$64-346+1)/$NU$64,$NN$64/$NT$64)),0)</f>
        <v/>
      </c>
      <c r="MM64" s="402">
        <f>IF(AND(347&gt;=$NR$64,347&lt;=$NS$64),IF($NP$64="Single_Point",IF(347=$NR$64,$NN$64,0),IF($NP$64="Bell_Curve",$NN$64*(347-$NR$64+1)*($NS$64-347+1)/$NU$64,$NN$64/$NT$64)),0)</f>
        <v/>
      </c>
      <c r="MN64" s="402">
        <f>IF(AND(348&gt;=$NR$64,348&lt;=$NS$64),IF($NP$64="Single_Point",IF(348=$NR$64,$NN$64,0),IF($NP$64="Bell_Curve",$NN$64*(348-$NR$64+1)*($NS$64-348+1)/$NU$64,$NN$64/$NT$64)),0)</f>
        <v/>
      </c>
      <c r="MO64" s="402">
        <f>IF(AND(349&gt;=$NR$64,349&lt;=$NS$64),IF($NP$64="Single_Point",IF(349=$NR$64,$NN$64,0),IF($NP$64="Bell_Curve",$NN$64*(349-$NR$64+1)*($NS$64-349+1)/$NU$64,$NN$64/$NT$64)),0)</f>
        <v/>
      </c>
      <c r="MP64" s="402">
        <f>IF(AND(350&gt;=$NR$64,350&lt;=$NS$64),IF($NP$64="Single_Point",IF(350=$NR$64,$NN$64,0),IF($NP$64="Bell_Curve",$NN$64*(350-$NR$64+1)*($NS$64-350+1)/$NU$64,$NN$64/$NT$64)),0)</f>
        <v/>
      </c>
      <c r="MQ64" s="402">
        <f>IF(AND(351&gt;=$NR$64,351&lt;=$NS$64),IF($NP$64="Single_Point",IF(351=$NR$64,$NN$64,0),IF($NP$64="Bell_Curve",$NN$64*(351-$NR$64+1)*($NS$64-351+1)/$NU$64,$NN$64/$NT$64)),0)</f>
        <v/>
      </c>
      <c r="MR64" s="402">
        <f>IF(AND(352&gt;=$NR$64,352&lt;=$NS$64),IF($NP$64="Single_Point",IF(352=$NR$64,$NN$64,0),IF($NP$64="Bell_Curve",$NN$64*(352-$NR$64+1)*($NS$64-352+1)/$NU$64,$NN$64/$NT$64)),0)</f>
        <v/>
      </c>
      <c r="MS64" s="402">
        <f>IF(AND(353&gt;=$NR$64,353&lt;=$NS$64),IF($NP$64="Single_Point",IF(353=$NR$64,$NN$64,0),IF($NP$64="Bell_Curve",$NN$64*(353-$NR$64+1)*($NS$64-353+1)/$NU$64,$NN$64/$NT$64)),0)</f>
        <v/>
      </c>
      <c r="MT64" s="402">
        <f>IF(AND(354&gt;=$NR$64,354&lt;=$NS$64),IF($NP$64="Single_Point",IF(354=$NR$64,$NN$64,0),IF($NP$64="Bell_Curve",$NN$64*(354-$NR$64+1)*($NS$64-354+1)/$NU$64,$NN$64/$NT$64)),0)</f>
        <v/>
      </c>
      <c r="MU64" s="402">
        <f>IF(AND(355&gt;=$NR$64,355&lt;=$NS$64),IF($NP$64="Single_Point",IF(355=$NR$64,$NN$64,0),IF($NP$64="Bell_Curve",$NN$64*(355-$NR$64+1)*($NS$64-355+1)/$NU$64,$NN$64/$NT$64)),0)</f>
        <v/>
      </c>
      <c r="MV64" s="402">
        <f>IF(AND(356&gt;=$NR$64,356&lt;=$NS$64),IF($NP$64="Single_Point",IF(356=$NR$64,$NN$64,0),IF($NP$64="Bell_Curve",$NN$64*(356-$NR$64+1)*($NS$64-356+1)/$NU$64,$NN$64/$NT$64)),0)</f>
        <v/>
      </c>
      <c r="MW64" s="402">
        <f>IF(AND(357&gt;=$NR$64,357&lt;=$NS$64),IF($NP$64="Single_Point",IF(357=$NR$64,$NN$64,0),IF($NP$64="Bell_Curve",$NN$64*(357-$NR$64+1)*($NS$64-357+1)/$NU$64,$NN$64/$NT$64)),0)</f>
        <v/>
      </c>
      <c r="MX64" s="402">
        <f>IF(AND(358&gt;=$NR$64,358&lt;=$NS$64),IF($NP$64="Single_Point",IF(358=$NR$64,$NN$64,0),IF($NP$64="Bell_Curve",$NN$64*(358-$NR$64+1)*($NS$64-358+1)/$NU$64,$NN$64/$NT$64)),0)</f>
        <v/>
      </c>
      <c r="MY64" s="402">
        <f>IF(AND(359&gt;=$NR$64,359&lt;=$NS$64),IF($NP$64="Single_Point",IF(359=$NR$64,$NN$64,0),IF($NP$64="Bell_Curve",$NN$64*(359-$NR$64+1)*($NS$64-359+1)/$NU$64,$NN$64/$NT$64)),0)</f>
        <v/>
      </c>
      <c r="MZ64" s="402">
        <f>IF(AND(360&gt;=$NR$64,360&lt;=$NS$64),IF($NP$64="Single_Point",IF(360=$NR$64,$NN$64,0),IF($NP$64="Bell_Curve",$NN$64*(360-$NR$64+1)*($NS$64-360+1)/$NU$64,$NN$64/$NT$64)),0)</f>
        <v/>
      </c>
      <c r="NA64" s="402">
        <f>IF(AND(361&gt;=$NR$64,361&lt;=$NS$64),IF($NP$64="Single_Point",IF(361=$NR$64,$NN$64,0),IF($NP$64="Bell_Curve",$NN$64*(361-$NR$64+1)*($NS$64-361+1)/$NU$64,$NN$64/$NT$64)),0)</f>
        <v/>
      </c>
      <c r="NB64" s="402">
        <f>IF(AND(362&gt;=$NR$64,362&lt;=$NS$64),IF($NP$64="Single_Point",IF(362=$NR$64,$NN$64,0),IF($NP$64="Bell_Curve",$NN$64*(362-$NR$64+1)*($NS$64-362+1)/$NU$64,$NN$64/$NT$64)),0)</f>
        <v/>
      </c>
      <c r="NC64" s="402">
        <f>IF(AND(363&gt;=$NR$64,363&lt;=$NS$64),IF($NP$64="Single_Point",IF(363=$NR$64,$NN$64,0),IF($NP$64="Bell_Curve",$NN$64*(363-$NR$64+1)*($NS$64-363+1)/$NU$64,$NN$64/$NT$64)),0)</f>
        <v/>
      </c>
      <c r="ND64" s="402">
        <f>IF(AND(364&gt;=$NR$64,364&lt;=$NS$64),IF($NP$64="Single_Point",IF(364=$NR$64,$NN$64,0),IF($NP$64="Bell_Curve",$NN$64*(364-$NR$64+1)*($NS$64-364+1)/$NU$64,$NN$64/$NT$64)),0)</f>
        <v/>
      </c>
      <c r="NE64" s="402">
        <f>IF(AND(365&gt;=$NR$64,365&lt;=$NS$64),IF($NP$64="Single_Point",IF(365=$NR$64,$NN$64,0),IF($NP$64="Bell_Curve",$NN$64*(365-$NR$64+1)*($NS$64-365+1)/$NU$64,$NN$64/$NT$64)),0)</f>
        <v/>
      </c>
      <c r="NF64" s="402">
        <f>IF(AND(366&gt;=$NR$64,366&lt;=$NS$64),IF($NP$64="Single_Point",IF(366=$NR$64,$NN$64,0),IF($NP$64="Bell_Curve",$NN$64*(366-$NR$64+1)*($NS$64-366+1)/$NU$64,$NN$64/$NT$64)),0)</f>
        <v/>
      </c>
      <c r="NG64" s="402">
        <f>IF(AND(367&gt;=$NR$64,367&lt;=$NS$64),IF($NP$64="Single_Point",IF(367=$NR$64,$NN$64,0),IF($NP$64="Bell_Curve",$NN$64*(367-$NR$64+1)*($NS$64-367+1)/$NU$64,$NN$64/$NT$64)),0)</f>
        <v/>
      </c>
      <c r="NH64" s="402">
        <f>IF(AND(368&gt;=$NR$64,368&lt;=$NS$64),IF($NP$64="Single_Point",IF(368=$NR$64,$NN$64,0),IF($NP$64="Bell_Curve",$NN$64*(368-$NR$64+1)*($NS$64-368+1)/$NU$64,$NN$64/$NT$64)),0)</f>
        <v/>
      </c>
      <c r="NI64" s="402">
        <f>IF(AND(369&gt;=$NR$64,369&lt;=$NS$64),IF($NP$64="Single_Point",IF(369=$NR$64,$NN$64,0),IF($NP$64="Bell_Curve",$NN$64*(369-$NR$64+1)*($NS$64-369+1)/$NU$64,$NN$64/$NT$64)),0)</f>
        <v/>
      </c>
      <c r="NJ64" s="402">
        <f>IF(AND(370&gt;=$NR$64,370&lt;=$NS$64),IF($NP$64="Single_Point",IF(370=$NR$64,$NN$64,0),IF($NP$64="Bell_Curve",$NN$64*(370-$NR$64+1)*($NS$64-370+1)/$NU$64,$NN$64/$NT$64)),0)</f>
        <v/>
      </c>
      <c r="NK64" s="402">
        <f>IF(AND(371&gt;=$NR$64,371&lt;=$NS$64),IF($NP$64="Single_Point",IF(371=$NR$64,$NN$64,0),IF($NP$64="Bell_Curve",$NN$64*(371-$NR$64+1)*($NS$64-371+1)/$NU$64,$NN$64/$NT$64)),0)</f>
        <v/>
      </c>
      <c r="NL64" s="402">
        <f>IF(AND(372&gt;=$NR$64,372&lt;=$NS$64),IF($NP$64="Single_Point",IF(372=$NR$64,$NN$64,0),IF($NP$64="Bell_Curve",$NN$64*(372-$NR$64+1)*($NS$64-372+1)/$NU$64,$NN$64/$NT$64)),0)</f>
        <v/>
      </c>
      <c r="NM64">
        <f>Budget!C63</f>
        <v/>
      </c>
      <c r="NN64">
        <f>Budget!J63</f>
        <v/>
      </c>
      <c r="NO64">
        <f>Budget!G63</f>
        <v/>
      </c>
      <c r="NP64">
        <f>Budget!H63</f>
        <v/>
      </c>
      <c r="NQ64">
        <f>Budget!I63</f>
        <v/>
      </c>
      <c r="NR64">
        <f>MAX(1,MIN(372,INDEX(MilestoneStart,MATCH(NO64,MilestoneNames,0))+NQ64))</f>
        <v/>
      </c>
      <c r="NS64">
        <f>MAX(NR64,MIN(372,INDEX(MilestoneEnd,MATCH(NO64,MilestoneNames,0))+NQ64))</f>
        <v/>
      </c>
      <c r="NT64">
        <f>NS64-NR64+1</f>
        <v/>
      </c>
      <c r="NU64">
        <f>NT64*(NT64+1)*(NT64+2)/6</f>
        <v/>
      </c>
    </row>
    <row r="65">
      <c r="B65" s="316">
        <f>Budget!B64</f>
        <v/>
      </c>
      <c r="D65" s="402">
        <f>SUM(E65:NL65)</f>
        <v/>
      </c>
      <c r="E65" s="402">
        <f>IF(AND(1&gt;=$NR$65,1&lt;=$NS$65),IF($NP$65="Single_Point",IF(1=$NR$65,$NN$65,0),IF($NP$65="Bell_Curve",$NN$65*(1-$NR$65+1)*($NS$65-1+1)/$NU$65,$NN$65/$NT$65)),0)</f>
        <v/>
      </c>
      <c r="F65" s="402">
        <f>IF(AND(2&gt;=$NR$65,2&lt;=$NS$65),IF($NP$65="Single_Point",IF(2=$NR$65,$NN$65,0),IF($NP$65="Bell_Curve",$NN$65*(2-$NR$65+1)*($NS$65-2+1)/$NU$65,$NN$65/$NT$65)),0)</f>
        <v/>
      </c>
      <c r="G65" s="402">
        <f>IF(AND(3&gt;=$NR$65,3&lt;=$NS$65),IF($NP$65="Single_Point",IF(3=$NR$65,$NN$65,0),IF($NP$65="Bell_Curve",$NN$65*(3-$NR$65+1)*($NS$65-3+1)/$NU$65,$NN$65/$NT$65)),0)</f>
        <v/>
      </c>
      <c r="H65" s="402">
        <f>IF(AND(4&gt;=$NR$65,4&lt;=$NS$65),IF($NP$65="Single_Point",IF(4=$NR$65,$NN$65,0),IF($NP$65="Bell_Curve",$NN$65*(4-$NR$65+1)*($NS$65-4+1)/$NU$65,$NN$65/$NT$65)),0)</f>
        <v/>
      </c>
      <c r="I65" s="402">
        <f>IF(AND(5&gt;=$NR$65,5&lt;=$NS$65),IF($NP$65="Single_Point",IF(5=$NR$65,$NN$65,0),IF($NP$65="Bell_Curve",$NN$65*(5-$NR$65+1)*($NS$65-5+1)/$NU$65,$NN$65/$NT$65)),0)</f>
        <v/>
      </c>
      <c r="J65" s="402">
        <f>IF(AND(6&gt;=$NR$65,6&lt;=$NS$65),IF($NP$65="Single_Point",IF(6=$NR$65,$NN$65,0),IF($NP$65="Bell_Curve",$NN$65*(6-$NR$65+1)*($NS$65-6+1)/$NU$65,$NN$65/$NT$65)),0)</f>
        <v/>
      </c>
      <c r="K65" s="402">
        <f>IF(AND(7&gt;=$NR$65,7&lt;=$NS$65),IF($NP$65="Single_Point",IF(7=$NR$65,$NN$65,0),IF($NP$65="Bell_Curve",$NN$65*(7-$NR$65+1)*($NS$65-7+1)/$NU$65,$NN$65/$NT$65)),0)</f>
        <v/>
      </c>
      <c r="L65" s="402">
        <f>IF(AND(8&gt;=$NR$65,8&lt;=$NS$65),IF($NP$65="Single_Point",IF(8=$NR$65,$NN$65,0),IF($NP$65="Bell_Curve",$NN$65*(8-$NR$65+1)*($NS$65-8+1)/$NU$65,$NN$65/$NT$65)),0)</f>
        <v/>
      </c>
      <c r="M65" s="402">
        <f>IF(AND(9&gt;=$NR$65,9&lt;=$NS$65),IF($NP$65="Single_Point",IF(9=$NR$65,$NN$65,0),IF($NP$65="Bell_Curve",$NN$65*(9-$NR$65+1)*($NS$65-9+1)/$NU$65,$NN$65/$NT$65)),0)</f>
        <v/>
      </c>
      <c r="N65" s="402">
        <f>IF(AND(10&gt;=$NR$65,10&lt;=$NS$65),IF($NP$65="Single_Point",IF(10=$NR$65,$NN$65,0),IF($NP$65="Bell_Curve",$NN$65*(10-$NR$65+1)*($NS$65-10+1)/$NU$65,$NN$65/$NT$65)),0)</f>
        <v/>
      </c>
      <c r="O65" s="402">
        <f>IF(AND(11&gt;=$NR$65,11&lt;=$NS$65),IF($NP$65="Single_Point",IF(11=$NR$65,$NN$65,0),IF($NP$65="Bell_Curve",$NN$65*(11-$NR$65+1)*($NS$65-11+1)/$NU$65,$NN$65/$NT$65)),0)</f>
        <v/>
      </c>
      <c r="P65" s="402">
        <f>IF(AND(12&gt;=$NR$65,12&lt;=$NS$65),IF($NP$65="Single_Point",IF(12=$NR$65,$NN$65,0),IF($NP$65="Bell_Curve",$NN$65*(12-$NR$65+1)*($NS$65-12+1)/$NU$65,$NN$65/$NT$65)),0)</f>
        <v/>
      </c>
      <c r="Q65" s="402">
        <f>IF(AND(13&gt;=$NR$65,13&lt;=$NS$65),IF($NP$65="Single_Point",IF(13=$NR$65,$NN$65,0),IF($NP$65="Bell_Curve",$NN$65*(13-$NR$65+1)*($NS$65-13+1)/$NU$65,$NN$65/$NT$65)),0)</f>
        <v/>
      </c>
      <c r="R65" s="402">
        <f>IF(AND(14&gt;=$NR$65,14&lt;=$NS$65),IF($NP$65="Single_Point",IF(14=$NR$65,$NN$65,0),IF($NP$65="Bell_Curve",$NN$65*(14-$NR$65+1)*($NS$65-14+1)/$NU$65,$NN$65/$NT$65)),0)</f>
        <v/>
      </c>
      <c r="S65" s="402">
        <f>IF(AND(15&gt;=$NR$65,15&lt;=$NS$65),IF($NP$65="Single_Point",IF(15=$NR$65,$NN$65,0),IF($NP$65="Bell_Curve",$NN$65*(15-$NR$65+1)*($NS$65-15+1)/$NU$65,$NN$65/$NT$65)),0)</f>
        <v/>
      </c>
      <c r="T65" s="402">
        <f>IF(AND(16&gt;=$NR$65,16&lt;=$NS$65),IF($NP$65="Single_Point",IF(16=$NR$65,$NN$65,0),IF($NP$65="Bell_Curve",$NN$65*(16-$NR$65+1)*($NS$65-16+1)/$NU$65,$NN$65/$NT$65)),0)</f>
        <v/>
      </c>
      <c r="U65" s="402">
        <f>IF(AND(17&gt;=$NR$65,17&lt;=$NS$65),IF($NP$65="Single_Point",IF(17=$NR$65,$NN$65,0),IF($NP$65="Bell_Curve",$NN$65*(17-$NR$65+1)*($NS$65-17+1)/$NU$65,$NN$65/$NT$65)),0)</f>
        <v/>
      </c>
      <c r="V65" s="402">
        <f>IF(AND(18&gt;=$NR$65,18&lt;=$NS$65),IF($NP$65="Single_Point",IF(18=$NR$65,$NN$65,0),IF($NP$65="Bell_Curve",$NN$65*(18-$NR$65+1)*($NS$65-18+1)/$NU$65,$NN$65/$NT$65)),0)</f>
        <v/>
      </c>
      <c r="W65" s="402">
        <f>IF(AND(19&gt;=$NR$65,19&lt;=$NS$65),IF($NP$65="Single_Point",IF(19=$NR$65,$NN$65,0),IF($NP$65="Bell_Curve",$NN$65*(19-$NR$65+1)*($NS$65-19+1)/$NU$65,$NN$65/$NT$65)),0)</f>
        <v/>
      </c>
      <c r="X65" s="402">
        <f>IF(AND(20&gt;=$NR$65,20&lt;=$NS$65),IF($NP$65="Single_Point",IF(20=$NR$65,$NN$65,0),IF($NP$65="Bell_Curve",$NN$65*(20-$NR$65+1)*($NS$65-20+1)/$NU$65,$NN$65/$NT$65)),0)</f>
        <v/>
      </c>
      <c r="Y65" s="402">
        <f>IF(AND(21&gt;=$NR$65,21&lt;=$NS$65),IF($NP$65="Single_Point",IF(21=$NR$65,$NN$65,0),IF($NP$65="Bell_Curve",$NN$65*(21-$NR$65+1)*($NS$65-21+1)/$NU$65,$NN$65/$NT$65)),0)</f>
        <v/>
      </c>
      <c r="Z65" s="402">
        <f>IF(AND(22&gt;=$NR$65,22&lt;=$NS$65),IF($NP$65="Single_Point",IF(22=$NR$65,$NN$65,0),IF($NP$65="Bell_Curve",$NN$65*(22-$NR$65+1)*($NS$65-22+1)/$NU$65,$NN$65/$NT$65)),0)</f>
        <v/>
      </c>
      <c r="AA65" s="402">
        <f>IF(AND(23&gt;=$NR$65,23&lt;=$NS$65),IF($NP$65="Single_Point",IF(23=$NR$65,$NN$65,0),IF($NP$65="Bell_Curve",$NN$65*(23-$NR$65+1)*($NS$65-23+1)/$NU$65,$NN$65/$NT$65)),0)</f>
        <v/>
      </c>
      <c r="AB65" s="402">
        <f>IF(AND(24&gt;=$NR$65,24&lt;=$NS$65),IF($NP$65="Single_Point",IF(24=$NR$65,$NN$65,0),IF($NP$65="Bell_Curve",$NN$65*(24-$NR$65+1)*($NS$65-24+1)/$NU$65,$NN$65/$NT$65)),0)</f>
        <v/>
      </c>
      <c r="AC65" s="402">
        <f>IF(AND(25&gt;=$NR$65,25&lt;=$NS$65),IF($NP$65="Single_Point",IF(25=$NR$65,$NN$65,0),IF($NP$65="Bell_Curve",$NN$65*(25-$NR$65+1)*($NS$65-25+1)/$NU$65,$NN$65/$NT$65)),0)</f>
        <v/>
      </c>
      <c r="AD65" s="402">
        <f>IF(AND(26&gt;=$NR$65,26&lt;=$NS$65),IF($NP$65="Single_Point",IF(26=$NR$65,$NN$65,0),IF($NP$65="Bell_Curve",$NN$65*(26-$NR$65+1)*($NS$65-26+1)/$NU$65,$NN$65/$NT$65)),0)</f>
        <v/>
      </c>
      <c r="AE65" s="402">
        <f>IF(AND(27&gt;=$NR$65,27&lt;=$NS$65),IF($NP$65="Single_Point",IF(27=$NR$65,$NN$65,0),IF($NP$65="Bell_Curve",$NN$65*(27-$NR$65+1)*($NS$65-27+1)/$NU$65,$NN$65/$NT$65)),0)</f>
        <v/>
      </c>
      <c r="AF65" s="402">
        <f>IF(AND(28&gt;=$NR$65,28&lt;=$NS$65),IF($NP$65="Single_Point",IF(28=$NR$65,$NN$65,0),IF($NP$65="Bell_Curve",$NN$65*(28-$NR$65+1)*($NS$65-28+1)/$NU$65,$NN$65/$NT$65)),0)</f>
        <v/>
      </c>
      <c r="AG65" s="402">
        <f>IF(AND(29&gt;=$NR$65,29&lt;=$NS$65),IF($NP$65="Single_Point",IF(29=$NR$65,$NN$65,0),IF($NP$65="Bell_Curve",$NN$65*(29-$NR$65+1)*($NS$65-29+1)/$NU$65,$NN$65/$NT$65)),0)</f>
        <v/>
      </c>
      <c r="AH65" s="402">
        <f>IF(AND(30&gt;=$NR$65,30&lt;=$NS$65),IF($NP$65="Single_Point",IF(30=$NR$65,$NN$65,0),IF($NP$65="Bell_Curve",$NN$65*(30-$NR$65+1)*($NS$65-30+1)/$NU$65,$NN$65/$NT$65)),0)</f>
        <v/>
      </c>
      <c r="AI65" s="402">
        <f>IF(AND(31&gt;=$NR$65,31&lt;=$NS$65),IF($NP$65="Single_Point",IF(31=$NR$65,$NN$65,0),IF($NP$65="Bell_Curve",$NN$65*(31-$NR$65+1)*($NS$65-31+1)/$NU$65,$NN$65/$NT$65)),0)</f>
        <v/>
      </c>
      <c r="AJ65" s="402">
        <f>IF(AND(32&gt;=$NR$65,32&lt;=$NS$65),IF($NP$65="Single_Point",IF(32=$NR$65,$NN$65,0),IF($NP$65="Bell_Curve",$NN$65*(32-$NR$65+1)*($NS$65-32+1)/$NU$65,$NN$65/$NT$65)),0)</f>
        <v/>
      </c>
      <c r="AK65" s="402">
        <f>IF(AND(33&gt;=$NR$65,33&lt;=$NS$65),IF($NP$65="Single_Point",IF(33=$NR$65,$NN$65,0),IF($NP$65="Bell_Curve",$NN$65*(33-$NR$65+1)*($NS$65-33+1)/$NU$65,$NN$65/$NT$65)),0)</f>
        <v/>
      </c>
      <c r="AL65" s="402">
        <f>IF(AND(34&gt;=$NR$65,34&lt;=$NS$65),IF($NP$65="Single_Point",IF(34=$NR$65,$NN$65,0),IF($NP$65="Bell_Curve",$NN$65*(34-$NR$65+1)*($NS$65-34+1)/$NU$65,$NN$65/$NT$65)),0)</f>
        <v/>
      </c>
      <c r="AM65" s="402">
        <f>IF(AND(35&gt;=$NR$65,35&lt;=$NS$65),IF($NP$65="Single_Point",IF(35=$NR$65,$NN$65,0),IF($NP$65="Bell_Curve",$NN$65*(35-$NR$65+1)*($NS$65-35+1)/$NU$65,$NN$65/$NT$65)),0)</f>
        <v/>
      </c>
      <c r="AN65" s="402">
        <f>IF(AND(36&gt;=$NR$65,36&lt;=$NS$65),IF($NP$65="Single_Point",IF(36=$NR$65,$NN$65,0),IF($NP$65="Bell_Curve",$NN$65*(36-$NR$65+1)*($NS$65-36+1)/$NU$65,$NN$65/$NT$65)),0)</f>
        <v/>
      </c>
      <c r="AO65" s="402">
        <f>IF(AND(37&gt;=$NR$65,37&lt;=$NS$65),IF($NP$65="Single_Point",IF(37=$NR$65,$NN$65,0),IF($NP$65="Bell_Curve",$NN$65*(37-$NR$65+1)*($NS$65-37+1)/$NU$65,$NN$65/$NT$65)),0)</f>
        <v/>
      </c>
      <c r="AP65" s="402">
        <f>IF(AND(38&gt;=$NR$65,38&lt;=$NS$65),IF($NP$65="Single_Point",IF(38=$NR$65,$NN$65,0),IF($NP$65="Bell_Curve",$NN$65*(38-$NR$65+1)*($NS$65-38+1)/$NU$65,$NN$65/$NT$65)),0)</f>
        <v/>
      </c>
      <c r="AQ65" s="402">
        <f>IF(AND(39&gt;=$NR$65,39&lt;=$NS$65),IF($NP$65="Single_Point",IF(39=$NR$65,$NN$65,0),IF($NP$65="Bell_Curve",$NN$65*(39-$NR$65+1)*($NS$65-39+1)/$NU$65,$NN$65/$NT$65)),0)</f>
        <v/>
      </c>
      <c r="AR65" s="402">
        <f>IF(AND(40&gt;=$NR$65,40&lt;=$NS$65),IF($NP$65="Single_Point",IF(40=$NR$65,$NN$65,0),IF($NP$65="Bell_Curve",$NN$65*(40-$NR$65+1)*($NS$65-40+1)/$NU$65,$NN$65/$NT$65)),0)</f>
        <v/>
      </c>
      <c r="AS65" s="402">
        <f>IF(AND(41&gt;=$NR$65,41&lt;=$NS$65),IF($NP$65="Single_Point",IF(41=$NR$65,$NN$65,0),IF($NP$65="Bell_Curve",$NN$65*(41-$NR$65+1)*($NS$65-41+1)/$NU$65,$NN$65/$NT$65)),0)</f>
        <v/>
      </c>
      <c r="AT65" s="402">
        <f>IF(AND(42&gt;=$NR$65,42&lt;=$NS$65),IF($NP$65="Single_Point",IF(42=$NR$65,$NN$65,0),IF($NP$65="Bell_Curve",$NN$65*(42-$NR$65+1)*($NS$65-42+1)/$NU$65,$NN$65/$NT$65)),0)</f>
        <v/>
      </c>
      <c r="AU65" s="402">
        <f>IF(AND(43&gt;=$NR$65,43&lt;=$NS$65),IF($NP$65="Single_Point",IF(43=$NR$65,$NN$65,0),IF($NP$65="Bell_Curve",$NN$65*(43-$NR$65+1)*($NS$65-43+1)/$NU$65,$NN$65/$NT$65)),0)</f>
        <v/>
      </c>
      <c r="AV65" s="402">
        <f>IF(AND(44&gt;=$NR$65,44&lt;=$NS$65),IF($NP$65="Single_Point",IF(44=$NR$65,$NN$65,0),IF($NP$65="Bell_Curve",$NN$65*(44-$NR$65+1)*($NS$65-44+1)/$NU$65,$NN$65/$NT$65)),0)</f>
        <v/>
      </c>
      <c r="AW65" s="402">
        <f>IF(AND(45&gt;=$NR$65,45&lt;=$NS$65),IF($NP$65="Single_Point",IF(45=$NR$65,$NN$65,0),IF($NP$65="Bell_Curve",$NN$65*(45-$NR$65+1)*($NS$65-45+1)/$NU$65,$NN$65/$NT$65)),0)</f>
        <v/>
      </c>
      <c r="AX65" s="402">
        <f>IF(AND(46&gt;=$NR$65,46&lt;=$NS$65),IF($NP$65="Single_Point",IF(46=$NR$65,$NN$65,0),IF($NP$65="Bell_Curve",$NN$65*(46-$NR$65+1)*($NS$65-46+1)/$NU$65,$NN$65/$NT$65)),0)</f>
        <v/>
      </c>
      <c r="AY65" s="402">
        <f>IF(AND(47&gt;=$NR$65,47&lt;=$NS$65),IF($NP$65="Single_Point",IF(47=$NR$65,$NN$65,0),IF($NP$65="Bell_Curve",$NN$65*(47-$NR$65+1)*($NS$65-47+1)/$NU$65,$NN$65/$NT$65)),0)</f>
        <v/>
      </c>
      <c r="AZ65" s="402">
        <f>IF(AND(48&gt;=$NR$65,48&lt;=$NS$65),IF($NP$65="Single_Point",IF(48=$NR$65,$NN$65,0),IF($NP$65="Bell_Curve",$NN$65*(48-$NR$65+1)*($NS$65-48+1)/$NU$65,$NN$65/$NT$65)),0)</f>
        <v/>
      </c>
      <c r="BA65" s="402">
        <f>IF(AND(49&gt;=$NR$65,49&lt;=$NS$65),IF($NP$65="Single_Point",IF(49=$NR$65,$NN$65,0),IF($NP$65="Bell_Curve",$NN$65*(49-$NR$65+1)*($NS$65-49+1)/$NU$65,$NN$65/$NT$65)),0)</f>
        <v/>
      </c>
      <c r="BB65" s="402">
        <f>IF(AND(50&gt;=$NR$65,50&lt;=$NS$65),IF($NP$65="Single_Point",IF(50=$NR$65,$NN$65,0),IF($NP$65="Bell_Curve",$NN$65*(50-$NR$65+1)*($NS$65-50+1)/$NU$65,$NN$65/$NT$65)),0)</f>
        <v/>
      </c>
      <c r="BC65" s="402">
        <f>IF(AND(51&gt;=$NR$65,51&lt;=$NS$65),IF($NP$65="Single_Point",IF(51=$NR$65,$NN$65,0),IF($NP$65="Bell_Curve",$NN$65*(51-$NR$65+1)*($NS$65-51+1)/$NU$65,$NN$65/$NT$65)),0)</f>
        <v/>
      </c>
      <c r="BD65" s="402">
        <f>IF(AND(52&gt;=$NR$65,52&lt;=$NS$65),IF($NP$65="Single_Point",IF(52=$NR$65,$NN$65,0),IF($NP$65="Bell_Curve",$NN$65*(52-$NR$65+1)*($NS$65-52+1)/$NU$65,$NN$65/$NT$65)),0)</f>
        <v/>
      </c>
      <c r="BE65" s="402">
        <f>IF(AND(53&gt;=$NR$65,53&lt;=$NS$65),IF($NP$65="Single_Point",IF(53=$NR$65,$NN$65,0),IF($NP$65="Bell_Curve",$NN$65*(53-$NR$65+1)*($NS$65-53+1)/$NU$65,$NN$65/$NT$65)),0)</f>
        <v/>
      </c>
      <c r="BF65" s="402">
        <f>IF(AND(54&gt;=$NR$65,54&lt;=$NS$65),IF($NP$65="Single_Point",IF(54=$NR$65,$NN$65,0),IF($NP$65="Bell_Curve",$NN$65*(54-$NR$65+1)*($NS$65-54+1)/$NU$65,$NN$65/$NT$65)),0)</f>
        <v/>
      </c>
      <c r="BG65" s="402">
        <f>IF(AND(55&gt;=$NR$65,55&lt;=$NS$65),IF($NP$65="Single_Point",IF(55=$NR$65,$NN$65,0),IF($NP$65="Bell_Curve",$NN$65*(55-$NR$65+1)*($NS$65-55+1)/$NU$65,$NN$65/$NT$65)),0)</f>
        <v/>
      </c>
      <c r="BH65" s="402">
        <f>IF(AND(56&gt;=$NR$65,56&lt;=$NS$65),IF($NP$65="Single_Point",IF(56=$NR$65,$NN$65,0),IF($NP$65="Bell_Curve",$NN$65*(56-$NR$65+1)*($NS$65-56+1)/$NU$65,$NN$65/$NT$65)),0)</f>
        <v/>
      </c>
      <c r="BI65" s="402">
        <f>IF(AND(57&gt;=$NR$65,57&lt;=$NS$65),IF($NP$65="Single_Point",IF(57=$NR$65,$NN$65,0),IF($NP$65="Bell_Curve",$NN$65*(57-$NR$65+1)*($NS$65-57+1)/$NU$65,$NN$65/$NT$65)),0)</f>
        <v/>
      </c>
      <c r="BJ65" s="402">
        <f>IF(AND(58&gt;=$NR$65,58&lt;=$NS$65),IF($NP$65="Single_Point",IF(58=$NR$65,$NN$65,0),IF($NP$65="Bell_Curve",$NN$65*(58-$NR$65+1)*($NS$65-58+1)/$NU$65,$NN$65/$NT$65)),0)</f>
        <v/>
      </c>
      <c r="BK65" s="402">
        <f>IF(AND(59&gt;=$NR$65,59&lt;=$NS$65),IF($NP$65="Single_Point",IF(59=$NR$65,$NN$65,0),IF($NP$65="Bell_Curve",$NN$65*(59-$NR$65+1)*($NS$65-59+1)/$NU$65,$NN$65/$NT$65)),0)</f>
        <v/>
      </c>
      <c r="BL65" s="402">
        <f>IF(AND(60&gt;=$NR$65,60&lt;=$NS$65),IF($NP$65="Single_Point",IF(60=$NR$65,$NN$65,0),IF($NP$65="Bell_Curve",$NN$65*(60-$NR$65+1)*($NS$65-60+1)/$NU$65,$NN$65/$NT$65)),0)</f>
        <v/>
      </c>
      <c r="BM65" s="402">
        <f>IF(AND(61&gt;=$NR$65,61&lt;=$NS$65),IF($NP$65="Single_Point",IF(61=$NR$65,$NN$65,0),IF($NP$65="Bell_Curve",$NN$65*(61-$NR$65+1)*($NS$65-61+1)/$NU$65,$NN$65/$NT$65)),0)</f>
        <v/>
      </c>
      <c r="BN65" s="402">
        <f>IF(AND(62&gt;=$NR$65,62&lt;=$NS$65),IF($NP$65="Single_Point",IF(62=$NR$65,$NN$65,0),IF($NP$65="Bell_Curve",$NN$65*(62-$NR$65+1)*($NS$65-62+1)/$NU$65,$NN$65/$NT$65)),0)</f>
        <v/>
      </c>
      <c r="BO65" s="402">
        <f>IF(AND(63&gt;=$NR$65,63&lt;=$NS$65),IF($NP$65="Single_Point",IF(63=$NR$65,$NN$65,0),IF($NP$65="Bell_Curve",$NN$65*(63-$NR$65+1)*($NS$65-63+1)/$NU$65,$NN$65/$NT$65)),0)</f>
        <v/>
      </c>
      <c r="BP65" s="402">
        <f>IF(AND(64&gt;=$NR$65,64&lt;=$NS$65),IF($NP$65="Single_Point",IF(64=$NR$65,$NN$65,0),IF($NP$65="Bell_Curve",$NN$65*(64-$NR$65+1)*($NS$65-64+1)/$NU$65,$NN$65/$NT$65)),0)</f>
        <v/>
      </c>
      <c r="BQ65" s="402">
        <f>IF(AND(65&gt;=$NR$65,65&lt;=$NS$65),IF($NP$65="Single_Point",IF(65=$NR$65,$NN$65,0),IF($NP$65="Bell_Curve",$NN$65*(65-$NR$65+1)*($NS$65-65+1)/$NU$65,$NN$65/$NT$65)),0)</f>
        <v/>
      </c>
      <c r="BR65" s="402">
        <f>IF(AND(66&gt;=$NR$65,66&lt;=$NS$65),IF($NP$65="Single_Point",IF(66=$NR$65,$NN$65,0),IF($NP$65="Bell_Curve",$NN$65*(66-$NR$65+1)*($NS$65-66+1)/$NU$65,$NN$65/$NT$65)),0)</f>
        <v/>
      </c>
      <c r="BS65" s="402">
        <f>IF(AND(67&gt;=$NR$65,67&lt;=$NS$65),IF($NP$65="Single_Point",IF(67=$NR$65,$NN$65,0),IF($NP$65="Bell_Curve",$NN$65*(67-$NR$65+1)*($NS$65-67+1)/$NU$65,$NN$65/$NT$65)),0)</f>
        <v/>
      </c>
      <c r="BT65" s="402">
        <f>IF(AND(68&gt;=$NR$65,68&lt;=$NS$65),IF($NP$65="Single_Point",IF(68=$NR$65,$NN$65,0),IF($NP$65="Bell_Curve",$NN$65*(68-$NR$65+1)*($NS$65-68+1)/$NU$65,$NN$65/$NT$65)),0)</f>
        <v/>
      </c>
      <c r="BU65" s="402">
        <f>IF(AND(69&gt;=$NR$65,69&lt;=$NS$65),IF($NP$65="Single_Point",IF(69=$NR$65,$NN$65,0),IF($NP$65="Bell_Curve",$NN$65*(69-$NR$65+1)*($NS$65-69+1)/$NU$65,$NN$65/$NT$65)),0)</f>
        <v/>
      </c>
      <c r="BV65" s="402">
        <f>IF(AND(70&gt;=$NR$65,70&lt;=$NS$65),IF($NP$65="Single_Point",IF(70=$NR$65,$NN$65,0),IF($NP$65="Bell_Curve",$NN$65*(70-$NR$65+1)*($NS$65-70+1)/$NU$65,$NN$65/$NT$65)),0)</f>
        <v/>
      </c>
      <c r="BW65" s="402">
        <f>IF(AND(71&gt;=$NR$65,71&lt;=$NS$65),IF($NP$65="Single_Point",IF(71=$NR$65,$NN$65,0),IF($NP$65="Bell_Curve",$NN$65*(71-$NR$65+1)*($NS$65-71+1)/$NU$65,$NN$65/$NT$65)),0)</f>
        <v/>
      </c>
      <c r="BX65" s="402">
        <f>IF(AND(72&gt;=$NR$65,72&lt;=$NS$65),IF($NP$65="Single_Point",IF(72=$NR$65,$NN$65,0),IF($NP$65="Bell_Curve",$NN$65*(72-$NR$65+1)*($NS$65-72+1)/$NU$65,$NN$65/$NT$65)),0)</f>
        <v/>
      </c>
      <c r="BY65" s="402">
        <f>IF(AND(73&gt;=$NR$65,73&lt;=$NS$65),IF($NP$65="Single_Point",IF(73=$NR$65,$NN$65,0),IF($NP$65="Bell_Curve",$NN$65*(73-$NR$65+1)*($NS$65-73+1)/$NU$65,$NN$65/$NT$65)),0)</f>
        <v/>
      </c>
      <c r="BZ65" s="402">
        <f>IF(AND(74&gt;=$NR$65,74&lt;=$NS$65),IF($NP$65="Single_Point",IF(74=$NR$65,$NN$65,0),IF($NP$65="Bell_Curve",$NN$65*(74-$NR$65+1)*($NS$65-74+1)/$NU$65,$NN$65/$NT$65)),0)</f>
        <v/>
      </c>
      <c r="CA65" s="402">
        <f>IF(AND(75&gt;=$NR$65,75&lt;=$NS$65),IF($NP$65="Single_Point",IF(75=$NR$65,$NN$65,0),IF($NP$65="Bell_Curve",$NN$65*(75-$NR$65+1)*($NS$65-75+1)/$NU$65,$NN$65/$NT$65)),0)</f>
        <v/>
      </c>
      <c r="CB65" s="402">
        <f>IF(AND(76&gt;=$NR$65,76&lt;=$NS$65),IF($NP$65="Single_Point",IF(76=$NR$65,$NN$65,0),IF($NP$65="Bell_Curve",$NN$65*(76-$NR$65+1)*($NS$65-76+1)/$NU$65,$NN$65/$NT$65)),0)</f>
        <v/>
      </c>
      <c r="CC65" s="402">
        <f>IF(AND(77&gt;=$NR$65,77&lt;=$NS$65),IF($NP$65="Single_Point",IF(77=$NR$65,$NN$65,0),IF($NP$65="Bell_Curve",$NN$65*(77-$NR$65+1)*($NS$65-77+1)/$NU$65,$NN$65/$NT$65)),0)</f>
        <v/>
      </c>
      <c r="CD65" s="402">
        <f>IF(AND(78&gt;=$NR$65,78&lt;=$NS$65),IF($NP$65="Single_Point",IF(78=$NR$65,$NN$65,0),IF($NP$65="Bell_Curve",$NN$65*(78-$NR$65+1)*($NS$65-78+1)/$NU$65,$NN$65/$NT$65)),0)</f>
        <v/>
      </c>
      <c r="CE65" s="402">
        <f>IF(AND(79&gt;=$NR$65,79&lt;=$NS$65),IF($NP$65="Single_Point",IF(79=$NR$65,$NN$65,0),IF($NP$65="Bell_Curve",$NN$65*(79-$NR$65+1)*($NS$65-79+1)/$NU$65,$NN$65/$NT$65)),0)</f>
        <v/>
      </c>
      <c r="CF65" s="402">
        <f>IF(AND(80&gt;=$NR$65,80&lt;=$NS$65),IF($NP$65="Single_Point",IF(80=$NR$65,$NN$65,0),IF($NP$65="Bell_Curve",$NN$65*(80-$NR$65+1)*($NS$65-80+1)/$NU$65,$NN$65/$NT$65)),0)</f>
        <v/>
      </c>
      <c r="CG65" s="402">
        <f>IF(AND(81&gt;=$NR$65,81&lt;=$NS$65),IF($NP$65="Single_Point",IF(81=$NR$65,$NN$65,0),IF($NP$65="Bell_Curve",$NN$65*(81-$NR$65+1)*($NS$65-81+1)/$NU$65,$NN$65/$NT$65)),0)</f>
        <v/>
      </c>
      <c r="CH65" s="402">
        <f>IF(AND(82&gt;=$NR$65,82&lt;=$NS$65),IF($NP$65="Single_Point",IF(82=$NR$65,$NN$65,0),IF($NP$65="Bell_Curve",$NN$65*(82-$NR$65+1)*($NS$65-82+1)/$NU$65,$NN$65/$NT$65)),0)</f>
        <v/>
      </c>
      <c r="CI65" s="402">
        <f>IF(AND(83&gt;=$NR$65,83&lt;=$NS$65),IF($NP$65="Single_Point",IF(83=$NR$65,$NN$65,0),IF($NP$65="Bell_Curve",$NN$65*(83-$NR$65+1)*($NS$65-83+1)/$NU$65,$NN$65/$NT$65)),0)</f>
        <v/>
      </c>
      <c r="CJ65" s="402">
        <f>IF(AND(84&gt;=$NR$65,84&lt;=$NS$65),IF($NP$65="Single_Point",IF(84=$NR$65,$NN$65,0),IF($NP$65="Bell_Curve",$NN$65*(84-$NR$65+1)*($NS$65-84+1)/$NU$65,$NN$65/$NT$65)),0)</f>
        <v/>
      </c>
      <c r="CK65" s="402">
        <f>IF(AND(85&gt;=$NR$65,85&lt;=$NS$65),IF($NP$65="Single_Point",IF(85=$NR$65,$NN$65,0),IF($NP$65="Bell_Curve",$NN$65*(85-$NR$65+1)*($NS$65-85+1)/$NU$65,$NN$65/$NT$65)),0)</f>
        <v/>
      </c>
      <c r="CL65" s="402">
        <f>IF(AND(86&gt;=$NR$65,86&lt;=$NS$65),IF($NP$65="Single_Point",IF(86=$NR$65,$NN$65,0),IF($NP$65="Bell_Curve",$NN$65*(86-$NR$65+1)*($NS$65-86+1)/$NU$65,$NN$65/$NT$65)),0)</f>
        <v/>
      </c>
      <c r="CM65" s="402">
        <f>IF(AND(87&gt;=$NR$65,87&lt;=$NS$65),IF($NP$65="Single_Point",IF(87=$NR$65,$NN$65,0),IF($NP$65="Bell_Curve",$NN$65*(87-$NR$65+1)*($NS$65-87+1)/$NU$65,$NN$65/$NT$65)),0)</f>
        <v/>
      </c>
      <c r="CN65" s="402">
        <f>IF(AND(88&gt;=$NR$65,88&lt;=$NS$65),IF($NP$65="Single_Point",IF(88=$NR$65,$NN$65,0),IF($NP$65="Bell_Curve",$NN$65*(88-$NR$65+1)*($NS$65-88+1)/$NU$65,$NN$65/$NT$65)),0)</f>
        <v/>
      </c>
      <c r="CO65" s="402">
        <f>IF(AND(89&gt;=$NR$65,89&lt;=$NS$65),IF($NP$65="Single_Point",IF(89=$NR$65,$NN$65,0),IF($NP$65="Bell_Curve",$NN$65*(89-$NR$65+1)*($NS$65-89+1)/$NU$65,$NN$65/$NT$65)),0)</f>
        <v/>
      </c>
      <c r="CP65" s="402">
        <f>IF(AND(90&gt;=$NR$65,90&lt;=$NS$65),IF($NP$65="Single_Point",IF(90=$NR$65,$NN$65,0),IF($NP$65="Bell_Curve",$NN$65*(90-$NR$65+1)*($NS$65-90+1)/$NU$65,$NN$65/$NT$65)),0)</f>
        <v/>
      </c>
      <c r="CQ65" s="402">
        <f>IF(AND(91&gt;=$NR$65,91&lt;=$NS$65),IF($NP$65="Single_Point",IF(91=$NR$65,$NN$65,0),IF($NP$65="Bell_Curve",$NN$65*(91-$NR$65+1)*($NS$65-91+1)/$NU$65,$NN$65/$NT$65)),0)</f>
        <v/>
      </c>
      <c r="CR65" s="402">
        <f>IF(AND(92&gt;=$NR$65,92&lt;=$NS$65),IF($NP$65="Single_Point",IF(92=$NR$65,$NN$65,0),IF($NP$65="Bell_Curve",$NN$65*(92-$NR$65+1)*($NS$65-92+1)/$NU$65,$NN$65/$NT$65)),0)</f>
        <v/>
      </c>
      <c r="CS65" s="402">
        <f>IF(AND(93&gt;=$NR$65,93&lt;=$NS$65),IF($NP$65="Single_Point",IF(93=$NR$65,$NN$65,0),IF($NP$65="Bell_Curve",$NN$65*(93-$NR$65+1)*($NS$65-93+1)/$NU$65,$NN$65/$NT$65)),0)</f>
        <v/>
      </c>
      <c r="CT65" s="402">
        <f>IF(AND(94&gt;=$NR$65,94&lt;=$NS$65),IF($NP$65="Single_Point",IF(94=$NR$65,$NN$65,0),IF($NP$65="Bell_Curve",$NN$65*(94-$NR$65+1)*($NS$65-94+1)/$NU$65,$NN$65/$NT$65)),0)</f>
        <v/>
      </c>
      <c r="CU65" s="402">
        <f>IF(AND(95&gt;=$NR$65,95&lt;=$NS$65),IF($NP$65="Single_Point",IF(95=$NR$65,$NN$65,0),IF($NP$65="Bell_Curve",$NN$65*(95-$NR$65+1)*($NS$65-95+1)/$NU$65,$NN$65/$NT$65)),0)</f>
        <v/>
      </c>
      <c r="CV65" s="402">
        <f>IF(AND(96&gt;=$NR$65,96&lt;=$NS$65),IF($NP$65="Single_Point",IF(96=$NR$65,$NN$65,0),IF($NP$65="Bell_Curve",$NN$65*(96-$NR$65+1)*($NS$65-96+1)/$NU$65,$NN$65/$NT$65)),0)</f>
        <v/>
      </c>
      <c r="CW65" s="402">
        <f>IF(AND(97&gt;=$NR$65,97&lt;=$NS$65),IF($NP$65="Single_Point",IF(97=$NR$65,$NN$65,0),IF($NP$65="Bell_Curve",$NN$65*(97-$NR$65+1)*($NS$65-97+1)/$NU$65,$NN$65/$NT$65)),0)</f>
        <v/>
      </c>
      <c r="CX65" s="402">
        <f>IF(AND(98&gt;=$NR$65,98&lt;=$NS$65),IF($NP$65="Single_Point",IF(98=$NR$65,$NN$65,0),IF($NP$65="Bell_Curve",$NN$65*(98-$NR$65+1)*($NS$65-98+1)/$NU$65,$NN$65/$NT$65)),0)</f>
        <v/>
      </c>
      <c r="CY65" s="402">
        <f>IF(AND(99&gt;=$NR$65,99&lt;=$NS$65),IF($NP$65="Single_Point",IF(99=$NR$65,$NN$65,0),IF($NP$65="Bell_Curve",$NN$65*(99-$NR$65+1)*($NS$65-99+1)/$NU$65,$NN$65/$NT$65)),0)</f>
        <v/>
      </c>
      <c r="CZ65" s="402">
        <f>IF(AND(100&gt;=$NR$65,100&lt;=$NS$65),IF($NP$65="Single_Point",IF(100=$NR$65,$NN$65,0),IF($NP$65="Bell_Curve",$NN$65*(100-$NR$65+1)*($NS$65-100+1)/$NU$65,$NN$65/$NT$65)),0)</f>
        <v/>
      </c>
      <c r="DA65" s="402">
        <f>IF(AND(101&gt;=$NR$65,101&lt;=$NS$65),IF($NP$65="Single_Point",IF(101=$NR$65,$NN$65,0),IF($NP$65="Bell_Curve",$NN$65*(101-$NR$65+1)*($NS$65-101+1)/$NU$65,$NN$65/$NT$65)),0)</f>
        <v/>
      </c>
      <c r="DB65" s="402">
        <f>IF(AND(102&gt;=$NR$65,102&lt;=$NS$65),IF($NP$65="Single_Point",IF(102=$NR$65,$NN$65,0),IF($NP$65="Bell_Curve",$NN$65*(102-$NR$65+1)*($NS$65-102+1)/$NU$65,$NN$65/$NT$65)),0)</f>
        <v/>
      </c>
      <c r="DC65" s="402">
        <f>IF(AND(103&gt;=$NR$65,103&lt;=$NS$65),IF($NP$65="Single_Point",IF(103=$NR$65,$NN$65,0),IF($NP$65="Bell_Curve",$NN$65*(103-$NR$65+1)*($NS$65-103+1)/$NU$65,$NN$65/$NT$65)),0)</f>
        <v/>
      </c>
      <c r="DD65" s="402">
        <f>IF(AND(104&gt;=$NR$65,104&lt;=$NS$65),IF($NP$65="Single_Point",IF(104=$NR$65,$NN$65,0),IF($NP$65="Bell_Curve",$NN$65*(104-$NR$65+1)*($NS$65-104+1)/$NU$65,$NN$65/$NT$65)),0)</f>
        <v/>
      </c>
      <c r="DE65" s="402">
        <f>IF(AND(105&gt;=$NR$65,105&lt;=$NS$65),IF($NP$65="Single_Point",IF(105=$NR$65,$NN$65,0),IF($NP$65="Bell_Curve",$NN$65*(105-$NR$65+1)*($NS$65-105+1)/$NU$65,$NN$65/$NT$65)),0)</f>
        <v/>
      </c>
      <c r="DF65" s="402">
        <f>IF(AND(106&gt;=$NR$65,106&lt;=$NS$65),IF($NP$65="Single_Point",IF(106=$NR$65,$NN$65,0),IF($NP$65="Bell_Curve",$NN$65*(106-$NR$65+1)*($NS$65-106+1)/$NU$65,$NN$65/$NT$65)),0)</f>
        <v/>
      </c>
      <c r="DG65" s="402">
        <f>IF(AND(107&gt;=$NR$65,107&lt;=$NS$65),IF($NP$65="Single_Point",IF(107=$NR$65,$NN$65,0),IF($NP$65="Bell_Curve",$NN$65*(107-$NR$65+1)*($NS$65-107+1)/$NU$65,$NN$65/$NT$65)),0)</f>
        <v/>
      </c>
      <c r="DH65" s="402">
        <f>IF(AND(108&gt;=$NR$65,108&lt;=$NS$65),IF($NP$65="Single_Point",IF(108=$NR$65,$NN$65,0),IF($NP$65="Bell_Curve",$NN$65*(108-$NR$65+1)*($NS$65-108+1)/$NU$65,$NN$65/$NT$65)),0)</f>
        <v/>
      </c>
      <c r="DI65" s="402">
        <f>IF(AND(109&gt;=$NR$65,109&lt;=$NS$65),IF($NP$65="Single_Point",IF(109=$NR$65,$NN$65,0),IF($NP$65="Bell_Curve",$NN$65*(109-$NR$65+1)*($NS$65-109+1)/$NU$65,$NN$65/$NT$65)),0)</f>
        <v/>
      </c>
      <c r="DJ65" s="402">
        <f>IF(AND(110&gt;=$NR$65,110&lt;=$NS$65),IF($NP$65="Single_Point",IF(110=$NR$65,$NN$65,0),IF($NP$65="Bell_Curve",$NN$65*(110-$NR$65+1)*($NS$65-110+1)/$NU$65,$NN$65/$NT$65)),0)</f>
        <v/>
      </c>
      <c r="DK65" s="402">
        <f>IF(AND(111&gt;=$NR$65,111&lt;=$NS$65),IF($NP$65="Single_Point",IF(111=$NR$65,$NN$65,0),IF($NP$65="Bell_Curve",$NN$65*(111-$NR$65+1)*($NS$65-111+1)/$NU$65,$NN$65/$NT$65)),0)</f>
        <v/>
      </c>
      <c r="DL65" s="402">
        <f>IF(AND(112&gt;=$NR$65,112&lt;=$NS$65),IF($NP$65="Single_Point",IF(112=$NR$65,$NN$65,0),IF($NP$65="Bell_Curve",$NN$65*(112-$NR$65+1)*($NS$65-112+1)/$NU$65,$NN$65/$NT$65)),0)</f>
        <v/>
      </c>
      <c r="DM65" s="402">
        <f>IF(AND(113&gt;=$NR$65,113&lt;=$NS$65),IF($NP$65="Single_Point",IF(113=$NR$65,$NN$65,0),IF($NP$65="Bell_Curve",$NN$65*(113-$NR$65+1)*($NS$65-113+1)/$NU$65,$NN$65/$NT$65)),0)</f>
        <v/>
      </c>
      <c r="DN65" s="402">
        <f>IF(AND(114&gt;=$NR$65,114&lt;=$NS$65),IF($NP$65="Single_Point",IF(114=$NR$65,$NN$65,0),IF($NP$65="Bell_Curve",$NN$65*(114-$NR$65+1)*($NS$65-114+1)/$NU$65,$NN$65/$NT$65)),0)</f>
        <v/>
      </c>
      <c r="DO65" s="402">
        <f>IF(AND(115&gt;=$NR$65,115&lt;=$NS$65),IF($NP$65="Single_Point",IF(115=$NR$65,$NN$65,0),IF($NP$65="Bell_Curve",$NN$65*(115-$NR$65+1)*($NS$65-115+1)/$NU$65,$NN$65/$NT$65)),0)</f>
        <v/>
      </c>
      <c r="DP65" s="402">
        <f>IF(AND(116&gt;=$NR$65,116&lt;=$NS$65),IF($NP$65="Single_Point",IF(116=$NR$65,$NN$65,0),IF($NP$65="Bell_Curve",$NN$65*(116-$NR$65+1)*($NS$65-116+1)/$NU$65,$NN$65/$NT$65)),0)</f>
        <v/>
      </c>
      <c r="DQ65" s="402">
        <f>IF(AND(117&gt;=$NR$65,117&lt;=$NS$65),IF($NP$65="Single_Point",IF(117=$NR$65,$NN$65,0),IF($NP$65="Bell_Curve",$NN$65*(117-$NR$65+1)*($NS$65-117+1)/$NU$65,$NN$65/$NT$65)),0)</f>
        <v/>
      </c>
      <c r="DR65" s="402">
        <f>IF(AND(118&gt;=$NR$65,118&lt;=$NS$65),IF($NP$65="Single_Point",IF(118=$NR$65,$NN$65,0),IF($NP$65="Bell_Curve",$NN$65*(118-$NR$65+1)*($NS$65-118+1)/$NU$65,$NN$65/$NT$65)),0)</f>
        <v/>
      </c>
      <c r="DS65" s="402">
        <f>IF(AND(119&gt;=$NR$65,119&lt;=$NS$65),IF($NP$65="Single_Point",IF(119=$NR$65,$NN$65,0),IF($NP$65="Bell_Curve",$NN$65*(119-$NR$65+1)*($NS$65-119+1)/$NU$65,$NN$65/$NT$65)),0)</f>
        <v/>
      </c>
      <c r="DT65" s="402">
        <f>IF(AND(120&gt;=$NR$65,120&lt;=$NS$65),IF($NP$65="Single_Point",IF(120=$NR$65,$NN$65,0),IF($NP$65="Bell_Curve",$NN$65*(120-$NR$65+1)*($NS$65-120+1)/$NU$65,$NN$65/$NT$65)),0)</f>
        <v/>
      </c>
      <c r="DU65" s="402">
        <f>IF(AND(121&gt;=$NR$65,121&lt;=$NS$65),IF($NP$65="Single_Point",IF(121=$NR$65,$NN$65,0),IF($NP$65="Bell_Curve",$NN$65*(121-$NR$65+1)*($NS$65-121+1)/$NU$65,$NN$65/$NT$65)),0)</f>
        <v/>
      </c>
      <c r="DV65" s="402">
        <f>IF(AND(122&gt;=$NR$65,122&lt;=$NS$65),IF($NP$65="Single_Point",IF(122=$NR$65,$NN$65,0),IF($NP$65="Bell_Curve",$NN$65*(122-$NR$65+1)*($NS$65-122+1)/$NU$65,$NN$65/$NT$65)),0)</f>
        <v/>
      </c>
      <c r="DW65" s="402">
        <f>IF(AND(123&gt;=$NR$65,123&lt;=$NS$65),IF($NP$65="Single_Point",IF(123=$NR$65,$NN$65,0),IF($NP$65="Bell_Curve",$NN$65*(123-$NR$65+1)*($NS$65-123+1)/$NU$65,$NN$65/$NT$65)),0)</f>
        <v/>
      </c>
      <c r="DX65" s="402">
        <f>IF(AND(124&gt;=$NR$65,124&lt;=$NS$65),IF($NP$65="Single_Point",IF(124=$NR$65,$NN$65,0),IF($NP$65="Bell_Curve",$NN$65*(124-$NR$65+1)*($NS$65-124+1)/$NU$65,$NN$65/$NT$65)),0)</f>
        <v/>
      </c>
      <c r="DY65" s="402">
        <f>IF(AND(125&gt;=$NR$65,125&lt;=$NS$65),IF($NP$65="Single_Point",IF(125=$NR$65,$NN$65,0),IF($NP$65="Bell_Curve",$NN$65*(125-$NR$65+1)*($NS$65-125+1)/$NU$65,$NN$65/$NT$65)),0)</f>
        <v/>
      </c>
      <c r="DZ65" s="402">
        <f>IF(AND(126&gt;=$NR$65,126&lt;=$NS$65),IF($NP$65="Single_Point",IF(126=$NR$65,$NN$65,0),IF($NP$65="Bell_Curve",$NN$65*(126-$NR$65+1)*($NS$65-126+1)/$NU$65,$NN$65/$NT$65)),0)</f>
        <v/>
      </c>
      <c r="EA65" s="402">
        <f>IF(AND(127&gt;=$NR$65,127&lt;=$NS$65),IF($NP$65="Single_Point",IF(127=$NR$65,$NN$65,0),IF($NP$65="Bell_Curve",$NN$65*(127-$NR$65+1)*($NS$65-127+1)/$NU$65,$NN$65/$NT$65)),0)</f>
        <v/>
      </c>
      <c r="EB65" s="402">
        <f>IF(AND(128&gt;=$NR$65,128&lt;=$NS$65),IF($NP$65="Single_Point",IF(128=$NR$65,$NN$65,0),IF($NP$65="Bell_Curve",$NN$65*(128-$NR$65+1)*($NS$65-128+1)/$NU$65,$NN$65/$NT$65)),0)</f>
        <v/>
      </c>
      <c r="EC65" s="402">
        <f>IF(AND(129&gt;=$NR$65,129&lt;=$NS$65),IF($NP$65="Single_Point",IF(129=$NR$65,$NN$65,0),IF($NP$65="Bell_Curve",$NN$65*(129-$NR$65+1)*($NS$65-129+1)/$NU$65,$NN$65/$NT$65)),0)</f>
        <v/>
      </c>
      <c r="ED65" s="402">
        <f>IF(AND(130&gt;=$NR$65,130&lt;=$NS$65),IF($NP$65="Single_Point",IF(130=$NR$65,$NN$65,0),IF($NP$65="Bell_Curve",$NN$65*(130-$NR$65+1)*($NS$65-130+1)/$NU$65,$NN$65/$NT$65)),0)</f>
        <v/>
      </c>
      <c r="EE65" s="402">
        <f>IF(AND(131&gt;=$NR$65,131&lt;=$NS$65),IF($NP$65="Single_Point",IF(131=$NR$65,$NN$65,0),IF($NP$65="Bell_Curve",$NN$65*(131-$NR$65+1)*($NS$65-131+1)/$NU$65,$NN$65/$NT$65)),0)</f>
        <v/>
      </c>
      <c r="EF65" s="402">
        <f>IF(AND(132&gt;=$NR$65,132&lt;=$NS$65),IF($NP$65="Single_Point",IF(132=$NR$65,$NN$65,0),IF($NP$65="Bell_Curve",$NN$65*(132-$NR$65+1)*($NS$65-132+1)/$NU$65,$NN$65/$NT$65)),0)</f>
        <v/>
      </c>
      <c r="EG65" s="402">
        <f>IF(AND(133&gt;=$NR$65,133&lt;=$NS$65),IF($NP$65="Single_Point",IF(133=$NR$65,$NN$65,0),IF($NP$65="Bell_Curve",$NN$65*(133-$NR$65+1)*($NS$65-133+1)/$NU$65,$NN$65/$NT$65)),0)</f>
        <v/>
      </c>
      <c r="EH65" s="402">
        <f>IF(AND(134&gt;=$NR$65,134&lt;=$NS$65),IF($NP$65="Single_Point",IF(134=$NR$65,$NN$65,0),IF($NP$65="Bell_Curve",$NN$65*(134-$NR$65+1)*($NS$65-134+1)/$NU$65,$NN$65/$NT$65)),0)</f>
        <v/>
      </c>
      <c r="EI65" s="402">
        <f>IF(AND(135&gt;=$NR$65,135&lt;=$NS$65),IF($NP$65="Single_Point",IF(135=$NR$65,$NN$65,0),IF($NP$65="Bell_Curve",$NN$65*(135-$NR$65+1)*($NS$65-135+1)/$NU$65,$NN$65/$NT$65)),0)</f>
        <v/>
      </c>
      <c r="EJ65" s="402">
        <f>IF(AND(136&gt;=$NR$65,136&lt;=$NS$65),IF($NP$65="Single_Point",IF(136=$NR$65,$NN$65,0),IF($NP$65="Bell_Curve",$NN$65*(136-$NR$65+1)*($NS$65-136+1)/$NU$65,$NN$65/$NT$65)),0)</f>
        <v/>
      </c>
      <c r="EK65" s="402">
        <f>IF(AND(137&gt;=$NR$65,137&lt;=$NS$65),IF($NP$65="Single_Point",IF(137=$NR$65,$NN$65,0),IF($NP$65="Bell_Curve",$NN$65*(137-$NR$65+1)*($NS$65-137+1)/$NU$65,$NN$65/$NT$65)),0)</f>
        <v/>
      </c>
      <c r="EL65" s="402">
        <f>IF(AND(138&gt;=$NR$65,138&lt;=$NS$65),IF($NP$65="Single_Point",IF(138=$NR$65,$NN$65,0),IF($NP$65="Bell_Curve",$NN$65*(138-$NR$65+1)*($NS$65-138+1)/$NU$65,$NN$65/$NT$65)),0)</f>
        <v/>
      </c>
      <c r="EM65" s="402">
        <f>IF(AND(139&gt;=$NR$65,139&lt;=$NS$65),IF($NP$65="Single_Point",IF(139=$NR$65,$NN$65,0),IF($NP$65="Bell_Curve",$NN$65*(139-$NR$65+1)*($NS$65-139+1)/$NU$65,$NN$65/$NT$65)),0)</f>
        <v/>
      </c>
      <c r="EN65" s="402">
        <f>IF(AND(140&gt;=$NR$65,140&lt;=$NS$65),IF($NP$65="Single_Point",IF(140=$NR$65,$NN$65,0),IF($NP$65="Bell_Curve",$NN$65*(140-$NR$65+1)*($NS$65-140+1)/$NU$65,$NN$65/$NT$65)),0)</f>
        <v/>
      </c>
      <c r="EO65" s="402">
        <f>IF(AND(141&gt;=$NR$65,141&lt;=$NS$65),IF($NP$65="Single_Point",IF(141=$NR$65,$NN$65,0),IF($NP$65="Bell_Curve",$NN$65*(141-$NR$65+1)*($NS$65-141+1)/$NU$65,$NN$65/$NT$65)),0)</f>
        <v/>
      </c>
      <c r="EP65" s="402">
        <f>IF(AND(142&gt;=$NR$65,142&lt;=$NS$65),IF($NP$65="Single_Point",IF(142=$NR$65,$NN$65,0),IF($NP$65="Bell_Curve",$NN$65*(142-$NR$65+1)*($NS$65-142+1)/$NU$65,$NN$65/$NT$65)),0)</f>
        <v/>
      </c>
      <c r="EQ65" s="402">
        <f>IF(AND(143&gt;=$NR$65,143&lt;=$NS$65),IF($NP$65="Single_Point",IF(143=$NR$65,$NN$65,0),IF($NP$65="Bell_Curve",$NN$65*(143-$NR$65+1)*($NS$65-143+1)/$NU$65,$NN$65/$NT$65)),0)</f>
        <v/>
      </c>
      <c r="ER65" s="402">
        <f>IF(AND(144&gt;=$NR$65,144&lt;=$NS$65),IF($NP$65="Single_Point",IF(144=$NR$65,$NN$65,0),IF($NP$65="Bell_Curve",$NN$65*(144-$NR$65+1)*($NS$65-144+1)/$NU$65,$NN$65/$NT$65)),0)</f>
        <v/>
      </c>
      <c r="ES65" s="402">
        <f>IF(AND(145&gt;=$NR$65,145&lt;=$NS$65),IF($NP$65="Single_Point",IF(145=$NR$65,$NN$65,0),IF($NP$65="Bell_Curve",$NN$65*(145-$NR$65+1)*($NS$65-145+1)/$NU$65,$NN$65/$NT$65)),0)</f>
        <v/>
      </c>
      <c r="ET65" s="402">
        <f>IF(AND(146&gt;=$NR$65,146&lt;=$NS$65),IF($NP$65="Single_Point",IF(146=$NR$65,$NN$65,0),IF($NP$65="Bell_Curve",$NN$65*(146-$NR$65+1)*($NS$65-146+1)/$NU$65,$NN$65/$NT$65)),0)</f>
        <v/>
      </c>
      <c r="EU65" s="402">
        <f>IF(AND(147&gt;=$NR$65,147&lt;=$NS$65),IF($NP$65="Single_Point",IF(147=$NR$65,$NN$65,0),IF($NP$65="Bell_Curve",$NN$65*(147-$NR$65+1)*($NS$65-147+1)/$NU$65,$NN$65/$NT$65)),0)</f>
        <v/>
      </c>
      <c r="EV65" s="402">
        <f>IF(AND(148&gt;=$NR$65,148&lt;=$NS$65),IF($NP$65="Single_Point",IF(148=$NR$65,$NN$65,0),IF($NP$65="Bell_Curve",$NN$65*(148-$NR$65+1)*($NS$65-148+1)/$NU$65,$NN$65/$NT$65)),0)</f>
        <v/>
      </c>
      <c r="EW65" s="402">
        <f>IF(AND(149&gt;=$NR$65,149&lt;=$NS$65),IF($NP$65="Single_Point",IF(149=$NR$65,$NN$65,0),IF($NP$65="Bell_Curve",$NN$65*(149-$NR$65+1)*($NS$65-149+1)/$NU$65,$NN$65/$NT$65)),0)</f>
        <v/>
      </c>
      <c r="EX65" s="402">
        <f>IF(AND(150&gt;=$NR$65,150&lt;=$NS$65),IF($NP$65="Single_Point",IF(150=$NR$65,$NN$65,0),IF($NP$65="Bell_Curve",$NN$65*(150-$NR$65+1)*($NS$65-150+1)/$NU$65,$NN$65/$NT$65)),0)</f>
        <v/>
      </c>
      <c r="EY65" s="402">
        <f>IF(AND(151&gt;=$NR$65,151&lt;=$NS$65),IF($NP$65="Single_Point",IF(151=$NR$65,$NN$65,0),IF($NP$65="Bell_Curve",$NN$65*(151-$NR$65+1)*($NS$65-151+1)/$NU$65,$NN$65/$NT$65)),0)</f>
        <v/>
      </c>
      <c r="EZ65" s="402">
        <f>IF(AND(152&gt;=$NR$65,152&lt;=$NS$65),IF($NP$65="Single_Point",IF(152=$NR$65,$NN$65,0),IF($NP$65="Bell_Curve",$NN$65*(152-$NR$65+1)*($NS$65-152+1)/$NU$65,$NN$65/$NT$65)),0)</f>
        <v/>
      </c>
      <c r="FA65" s="402">
        <f>IF(AND(153&gt;=$NR$65,153&lt;=$NS$65),IF($NP$65="Single_Point",IF(153=$NR$65,$NN$65,0),IF($NP$65="Bell_Curve",$NN$65*(153-$NR$65+1)*($NS$65-153+1)/$NU$65,$NN$65/$NT$65)),0)</f>
        <v/>
      </c>
      <c r="FB65" s="402">
        <f>IF(AND(154&gt;=$NR$65,154&lt;=$NS$65),IF($NP$65="Single_Point",IF(154=$NR$65,$NN$65,0),IF($NP$65="Bell_Curve",$NN$65*(154-$NR$65+1)*($NS$65-154+1)/$NU$65,$NN$65/$NT$65)),0)</f>
        <v/>
      </c>
      <c r="FC65" s="402">
        <f>IF(AND(155&gt;=$NR$65,155&lt;=$NS$65),IF($NP$65="Single_Point",IF(155=$NR$65,$NN$65,0),IF($NP$65="Bell_Curve",$NN$65*(155-$NR$65+1)*($NS$65-155+1)/$NU$65,$NN$65/$NT$65)),0)</f>
        <v/>
      </c>
      <c r="FD65" s="402">
        <f>IF(AND(156&gt;=$NR$65,156&lt;=$NS$65),IF($NP$65="Single_Point",IF(156=$NR$65,$NN$65,0),IF($NP$65="Bell_Curve",$NN$65*(156-$NR$65+1)*($NS$65-156+1)/$NU$65,$NN$65/$NT$65)),0)</f>
        <v/>
      </c>
      <c r="FE65" s="402">
        <f>IF(AND(157&gt;=$NR$65,157&lt;=$NS$65),IF($NP$65="Single_Point",IF(157=$NR$65,$NN$65,0),IF($NP$65="Bell_Curve",$NN$65*(157-$NR$65+1)*($NS$65-157+1)/$NU$65,$NN$65/$NT$65)),0)</f>
        <v/>
      </c>
      <c r="FF65" s="402">
        <f>IF(AND(158&gt;=$NR$65,158&lt;=$NS$65),IF($NP$65="Single_Point",IF(158=$NR$65,$NN$65,0),IF($NP$65="Bell_Curve",$NN$65*(158-$NR$65+1)*($NS$65-158+1)/$NU$65,$NN$65/$NT$65)),0)</f>
        <v/>
      </c>
      <c r="FG65" s="402">
        <f>IF(AND(159&gt;=$NR$65,159&lt;=$NS$65),IF($NP$65="Single_Point",IF(159=$NR$65,$NN$65,0),IF($NP$65="Bell_Curve",$NN$65*(159-$NR$65+1)*($NS$65-159+1)/$NU$65,$NN$65/$NT$65)),0)</f>
        <v/>
      </c>
      <c r="FH65" s="402">
        <f>IF(AND(160&gt;=$NR$65,160&lt;=$NS$65),IF($NP$65="Single_Point",IF(160=$NR$65,$NN$65,0),IF($NP$65="Bell_Curve",$NN$65*(160-$NR$65+1)*($NS$65-160+1)/$NU$65,$NN$65/$NT$65)),0)</f>
        <v/>
      </c>
      <c r="FI65" s="402">
        <f>IF(AND(161&gt;=$NR$65,161&lt;=$NS$65),IF($NP$65="Single_Point",IF(161=$NR$65,$NN$65,0),IF($NP$65="Bell_Curve",$NN$65*(161-$NR$65+1)*($NS$65-161+1)/$NU$65,$NN$65/$NT$65)),0)</f>
        <v/>
      </c>
      <c r="FJ65" s="402">
        <f>IF(AND(162&gt;=$NR$65,162&lt;=$NS$65),IF($NP$65="Single_Point",IF(162=$NR$65,$NN$65,0),IF($NP$65="Bell_Curve",$NN$65*(162-$NR$65+1)*($NS$65-162+1)/$NU$65,$NN$65/$NT$65)),0)</f>
        <v/>
      </c>
      <c r="FK65" s="402">
        <f>IF(AND(163&gt;=$NR$65,163&lt;=$NS$65),IF($NP$65="Single_Point",IF(163=$NR$65,$NN$65,0),IF($NP$65="Bell_Curve",$NN$65*(163-$NR$65+1)*($NS$65-163+1)/$NU$65,$NN$65/$NT$65)),0)</f>
        <v/>
      </c>
      <c r="FL65" s="402">
        <f>IF(AND(164&gt;=$NR$65,164&lt;=$NS$65),IF($NP$65="Single_Point",IF(164=$NR$65,$NN$65,0),IF($NP$65="Bell_Curve",$NN$65*(164-$NR$65+1)*($NS$65-164+1)/$NU$65,$NN$65/$NT$65)),0)</f>
        <v/>
      </c>
      <c r="FM65" s="402">
        <f>IF(AND(165&gt;=$NR$65,165&lt;=$NS$65),IF($NP$65="Single_Point",IF(165=$NR$65,$NN$65,0),IF($NP$65="Bell_Curve",$NN$65*(165-$NR$65+1)*($NS$65-165+1)/$NU$65,$NN$65/$NT$65)),0)</f>
        <v/>
      </c>
      <c r="FN65" s="402">
        <f>IF(AND(166&gt;=$NR$65,166&lt;=$NS$65),IF($NP$65="Single_Point",IF(166=$NR$65,$NN$65,0),IF($NP$65="Bell_Curve",$NN$65*(166-$NR$65+1)*($NS$65-166+1)/$NU$65,$NN$65/$NT$65)),0)</f>
        <v/>
      </c>
      <c r="FO65" s="402">
        <f>IF(AND(167&gt;=$NR$65,167&lt;=$NS$65),IF($NP$65="Single_Point",IF(167=$NR$65,$NN$65,0),IF($NP$65="Bell_Curve",$NN$65*(167-$NR$65+1)*($NS$65-167+1)/$NU$65,$NN$65/$NT$65)),0)</f>
        <v/>
      </c>
      <c r="FP65" s="402">
        <f>IF(AND(168&gt;=$NR$65,168&lt;=$NS$65),IF($NP$65="Single_Point",IF(168=$NR$65,$NN$65,0),IF($NP$65="Bell_Curve",$NN$65*(168-$NR$65+1)*($NS$65-168+1)/$NU$65,$NN$65/$NT$65)),0)</f>
        <v/>
      </c>
      <c r="FQ65" s="402">
        <f>IF(AND(169&gt;=$NR$65,169&lt;=$NS$65),IF($NP$65="Single_Point",IF(169=$NR$65,$NN$65,0),IF($NP$65="Bell_Curve",$NN$65*(169-$NR$65+1)*($NS$65-169+1)/$NU$65,$NN$65/$NT$65)),0)</f>
        <v/>
      </c>
      <c r="FR65" s="402">
        <f>IF(AND(170&gt;=$NR$65,170&lt;=$NS$65),IF($NP$65="Single_Point",IF(170=$NR$65,$NN$65,0),IF($NP$65="Bell_Curve",$NN$65*(170-$NR$65+1)*($NS$65-170+1)/$NU$65,$NN$65/$NT$65)),0)</f>
        <v/>
      </c>
      <c r="FS65" s="402">
        <f>IF(AND(171&gt;=$NR$65,171&lt;=$NS$65),IF($NP$65="Single_Point",IF(171=$NR$65,$NN$65,0),IF($NP$65="Bell_Curve",$NN$65*(171-$NR$65+1)*($NS$65-171+1)/$NU$65,$NN$65/$NT$65)),0)</f>
        <v/>
      </c>
      <c r="FT65" s="402">
        <f>IF(AND(172&gt;=$NR$65,172&lt;=$NS$65),IF($NP$65="Single_Point",IF(172=$NR$65,$NN$65,0),IF($NP$65="Bell_Curve",$NN$65*(172-$NR$65+1)*($NS$65-172+1)/$NU$65,$NN$65/$NT$65)),0)</f>
        <v/>
      </c>
      <c r="FU65" s="402">
        <f>IF(AND(173&gt;=$NR$65,173&lt;=$NS$65),IF($NP$65="Single_Point",IF(173=$NR$65,$NN$65,0),IF($NP$65="Bell_Curve",$NN$65*(173-$NR$65+1)*($NS$65-173+1)/$NU$65,$NN$65/$NT$65)),0)</f>
        <v/>
      </c>
      <c r="FV65" s="402">
        <f>IF(AND(174&gt;=$NR$65,174&lt;=$NS$65),IF($NP$65="Single_Point",IF(174=$NR$65,$NN$65,0),IF($NP$65="Bell_Curve",$NN$65*(174-$NR$65+1)*($NS$65-174+1)/$NU$65,$NN$65/$NT$65)),0)</f>
        <v/>
      </c>
      <c r="FW65" s="402">
        <f>IF(AND(175&gt;=$NR$65,175&lt;=$NS$65),IF($NP$65="Single_Point",IF(175=$NR$65,$NN$65,0),IF($NP$65="Bell_Curve",$NN$65*(175-$NR$65+1)*($NS$65-175+1)/$NU$65,$NN$65/$NT$65)),0)</f>
        <v/>
      </c>
      <c r="FX65" s="402">
        <f>IF(AND(176&gt;=$NR$65,176&lt;=$NS$65),IF($NP$65="Single_Point",IF(176=$NR$65,$NN$65,0),IF($NP$65="Bell_Curve",$NN$65*(176-$NR$65+1)*($NS$65-176+1)/$NU$65,$NN$65/$NT$65)),0)</f>
        <v/>
      </c>
      <c r="FY65" s="402">
        <f>IF(AND(177&gt;=$NR$65,177&lt;=$NS$65),IF($NP$65="Single_Point",IF(177=$NR$65,$NN$65,0),IF($NP$65="Bell_Curve",$NN$65*(177-$NR$65+1)*($NS$65-177+1)/$NU$65,$NN$65/$NT$65)),0)</f>
        <v/>
      </c>
      <c r="FZ65" s="402">
        <f>IF(AND(178&gt;=$NR$65,178&lt;=$NS$65),IF($NP$65="Single_Point",IF(178=$NR$65,$NN$65,0),IF($NP$65="Bell_Curve",$NN$65*(178-$NR$65+1)*($NS$65-178+1)/$NU$65,$NN$65/$NT$65)),0)</f>
        <v/>
      </c>
      <c r="GA65" s="402">
        <f>IF(AND(179&gt;=$NR$65,179&lt;=$NS$65),IF($NP$65="Single_Point",IF(179=$NR$65,$NN$65,0),IF($NP$65="Bell_Curve",$NN$65*(179-$NR$65+1)*($NS$65-179+1)/$NU$65,$NN$65/$NT$65)),0)</f>
        <v/>
      </c>
      <c r="GB65" s="402">
        <f>IF(AND(180&gt;=$NR$65,180&lt;=$NS$65),IF($NP$65="Single_Point",IF(180=$NR$65,$NN$65,0),IF($NP$65="Bell_Curve",$NN$65*(180-$NR$65+1)*($NS$65-180+1)/$NU$65,$NN$65/$NT$65)),0)</f>
        <v/>
      </c>
      <c r="GC65" s="402">
        <f>IF(AND(181&gt;=$NR$65,181&lt;=$NS$65),IF($NP$65="Single_Point",IF(181=$NR$65,$NN$65,0),IF($NP$65="Bell_Curve",$NN$65*(181-$NR$65+1)*($NS$65-181+1)/$NU$65,$NN$65/$NT$65)),0)</f>
        <v/>
      </c>
      <c r="GD65" s="402">
        <f>IF(AND(182&gt;=$NR$65,182&lt;=$NS$65),IF($NP$65="Single_Point",IF(182=$NR$65,$NN$65,0),IF($NP$65="Bell_Curve",$NN$65*(182-$NR$65+1)*($NS$65-182+1)/$NU$65,$NN$65/$NT$65)),0)</f>
        <v/>
      </c>
      <c r="GE65" s="402">
        <f>IF(AND(183&gt;=$NR$65,183&lt;=$NS$65),IF($NP$65="Single_Point",IF(183=$NR$65,$NN$65,0),IF($NP$65="Bell_Curve",$NN$65*(183-$NR$65+1)*($NS$65-183+1)/$NU$65,$NN$65/$NT$65)),0)</f>
        <v/>
      </c>
      <c r="GF65" s="402">
        <f>IF(AND(184&gt;=$NR$65,184&lt;=$NS$65),IF($NP$65="Single_Point",IF(184=$NR$65,$NN$65,0),IF($NP$65="Bell_Curve",$NN$65*(184-$NR$65+1)*($NS$65-184+1)/$NU$65,$NN$65/$NT$65)),0)</f>
        <v/>
      </c>
      <c r="GG65" s="402">
        <f>IF(AND(185&gt;=$NR$65,185&lt;=$NS$65),IF($NP$65="Single_Point",IF(185=$NR$65,$NN$65,0),IF($NP$65="Bell_Curve",$NN$65*(185-$NR$65+1)*($NS$65-185+1)/$NU$65,$NN$65/$NT$65)),0)</f>
        <v/>
      </c>
      <c r="GH65" s="402">
        <f>IF(AND(186&gt;=$NR$65,186&lt;=$NS$65),IF($NP$65="Single_Point",IF(186=$NR$65,$NN$65,0),IF($NP$65="Bell_Curve",$NN$65*(186-$NR$65+1)*($NS$65-186+1)/$NU$65,$NN$65/$NT$65)),0)</f>
        <v/>
      </c>
      <c r="GI65" s="402">
        <f>IF(AND(187&gt;=$NR$65,187&lt;=$NS$65),IF($NP$65="Single_Point",IF(187=$NR$65,$NN$65,0),IF($NP$65="Bell_Curve",$NN$65*(187-$NR$65+1)*($NS$65-187+1)/$NU$65,$NN$65/$NT$65)),0)</f>
        <v/>
      </c>
      <c r="GJ65" s="402">
        <f>IF(AND(188&gt;=$NR$65,188&lt;=$NS$65),IF($NP$65="Single_Point",IF(188=$NR$65,$NN$65,0),IF($NP$65="Bell_Curve",$NN$65*(188-$NR$65+1)*($NS$65-188+1)/$NU$65,$NN$65/$NT$65)),0)</f>
        <v/>
      </c>
      <c r="GK65" s="402">
        <f>IF(AND(189&gt;=$NR$65,189&lt;=$NS$65),IF($NP$65="Single_Point",IF(189=$NR$65,$NN$65,0),IF($NP$65="Bell_Curve",$NN$65*(189-$NR$65+1)*($NS$65-189+1)/$NU$65,$NN$65/$NT$65)),0)</f>
        <v/>
      </c>
      <c r="GL65" s="402">
        <f>IF(AND(190&gt;=$NR$65,190&lt;=$NS$65),IF($NP$65="Single_Point",IF(190=$NR$65,$NN$65,0),IF($NP$65="Bell_Curve",$NN$65*(190-$NR$65+1)*($NS$65-190+1)/$NU$65,$NN$65/$NT$65)),0)</f>
        <v/>
      </c>
      <c r="GM65" s="402">
        <f>IF(AND(191&gt;=$NR$65,191&lt;=$NS$65),IF($NP$65="Single_Point",IF(191=$NR$65,$NN$65,0),IF($NP$65="Bell_Curve",$NN$65*(191-$NR$65+1)*($NS$65-191+1)/$NU$65,$NN$65/$NT$65)),0)</f>
        <v/>
      </c>
      <c r="GN65" s="402">
        <f>IF(AND(192&gt;=$NR$65,192&lt;=$NS$65),IF($NP$65="Single_Point",IF(192=$NR$65,$NN$65,0),IF($NP$65="Bell_Curve",$NN$65*(192-$NR$65+1)*($NS$65-192+1)/$NU$65,$NN$65/$NT$65)),0)</f>
        <v/>
      </c>
      <c r="GO65" s="402">
        <f>IF(AND(193&gt;=$NR$65,193&lt;=$NS$65),IF($NP$65="Single_Point",IF(193=$NR$65,$NN$65,0),IF($NP$65="Bell_Curve",$NN$65*(193-$NR$65+1)*($NS$65-193+1)/$NU$65,$NN$65/$NT$65)),0)</f>
        <v/>
      </c>
      <c r="GP65" s="402">
        <f>IF(AND(194&gt;=$NR$65,194&lt;=$NS$65),IF($NP$65="Single_Point",IF(194=$NR$65,$NN$65,0),IF($NP$65="Bell_Curve",$NN$65*(194-$NR$65+1)*($NS$65-194+1)/$NU$65,$NN$65/$NT$65)),0)</f>
        <v/>
      </c>
      <c r="GQ65" s="402">
        <f>IF(AND(195&gt;=$NR$65,195&lt;=$NS$65),IF($NP$65="Single_Point",IF(195=$NR$65,$NN$65,0),IF($NP$65="Bell_Curve",$NN$65*(195-$NR$65+1)*($NS$65-195+1)/$NU$65,$NN$65/$NT$65)),0)</f>
        <v/>
      </c>
      <c r="GR65" s="402">
        <f>IF(AND(196&gt;=$NR$65,196&lt;=$NS$65),IF($NP$65="Single_Point",IF(196=$NR$65,$NN$65,0),IF($NP$65="Bell_Curve",$NN$65*(196-$NR$65+1)*($NS$65-196+1)/$NU$65,$NN$65/$NT$65)),0)</f>
        <v/>
      </c>
      <c r="GS65" s="402">
        <f>IF(AND(197&gt;=$NR$65,197&lt;=$NS$65),IF($NP$65="Single_Point",IF(197=$NR$65,$NN$65,0),IF($NP$65="Bell_Curve",$NN$65*(197-$NR$65+1)*($NS$65-197+1)/$NU$65,$NN$65/$NT$65)),0)</f>
        <v/>
      </c>
      <c r="GT65" s="402">
        <f>IF(AND(198&gt;=$NR$65,198&lt;=$NS$65),IF($NP$65="Single_Point",IF(198=$NR$65,$NN$65,0),IF($NP$65="Bell_Curve",$NN$65*(198-$NR$65+1)*($NS$65-198+1)/$NU$65,$NN$65/$NT$65)),0)</f>
        <v/>
      </c>
      <c r="GU65" s="402">
        <f>IF(AND(199&gt;=$NR$65,199&lt;=$NS$65),IF($NP$65="Single_Point",IF(199=$NR$65,$NN$65,0),IF($NP$65="Bell_Curve",$NN$65*(199-$NR$65+1)*($NS$65-199+1)/$NU$65,$NN$65/$NT$65)),0)</f>
        <v/>
      </c>
      <c r="GV65" s="402">
        <f>IF(AND(200&gt;=$NR$65,200&lt;=$NS$65),IF($NP$65="Single_Point",IF(200=$NR$65,$NN$65,0),IF($NP$65="Bell_Curve",$NN$65*(200-$NR$65+1)*($NS$65-200+1)/$NU$65,$NN$65/$NT$65)),0)</f>
        <v/>
      </c>
      <c r="GW65" s="402">
        <f>IF(AND(201&gt;=$NR$65,201&lt;=$NS$65),IF($NP$65="Single_Point",IF(201=$NR$65,$NN$65,0),IF($NP$65="Bell_Curve",$NN$65*(201-$NR$65+1)*($NS$65-201+1)/$NU$65,$NN$65/$NT$65)),0)</f>
        <v/>
      </c>
      <c r="GX65" s="402">
        <f>IF(AND(202&gt;=$NR$65,202&lt;=$NS$65),IF($NP$65="Single_Point",IF(202=$NR$65,$NN$65,0),IF($NP$65="Bell_Curve",$NN$65*(202-$NR$65+1)*($NS$65-202+1)/$NU$65,$NN$65/$NT$65)),0)</f>
        <v/>
      </c>
      <c r="GY65" s="402">
        <f>IF(AND(203&gt;=$NR$65,203&lt;=$NS$65),IF($NP$65="Single_Point",IF(203=$NR$65,$NN$65,0),IF($NP$65="Bell_Curve",$NN$65*(203-$NR$65+1)*($NS$65-203+1)/$NU$65,$NN$65/$NT$65)),0)</f>
        <v/>
      </c>
      <c r="GZ65" s="402">
        <f>IF(AND(204&gt;=$NR$65,204&lt;=$NS$65),IF($NP$65="Single_Point",IF(204=$NR$65,$NN$65,0),IF($NP$65="Bell_Curve",$NN$65*(204-$NR$65+1)*($NS$65-204+1)/$NU$65,$NN$65/$NT$65)),0)</f>
        <v/>
      </c>
      <c r="HA65" s="402">
        <f>IF(AND(205&gt;=$NR$65,205&lt;=$NS$65),IF($NP$65="Single_Point",IF(205=$NR$65,$NN$65,0),IF($NP$65="Bell_Curve",$NN$65*(205-$NR$65+1)*($NS$65-205+1)/$NU$65,$NN$65/$NT$65)),0)</f>
        <v/>
      </c>
      <c r="HB65" s="402">
        <f>IF(AND(206&gt;=$NR$65,206&lt;=$NS$65),IF($NP$65="Single_Point",IF(206=$NR$65,$NN$65,0),IF($NP$65="Bell_Curve",$NN$65*(206-$NR$65+1)*($NS$65-206+1)/$NU$65,$NN$65/$NT$65)),0)</f>
        <v/>
      </c>
      <c r="HC65" s="402">
        <f>IF(AND(207&gt;=$NR$65,207&lt;=$NS$65),IF($NP$65="Single_Point",IF(207=$NR$65,$NN$65,0),IF($NP$65="Bell_Curve",$NN$65*(207-$NR$65+1)*($NS$65-207+1)/$NU$65,$NN$65/$NT$65)),0)</f>
        <v/>
      </c>
      <c r="HD65" s="402">
        <f>IF(AND(208&gt;=$NR$65,208&lt;=$NS$65),IF($NP$65="Single_Point",IF(208=$NR$65,$NN$65,0),IF($NP$65="Bell_Curve",$NN$65*(208-$NR$65+1)*($NS$65-208+1)/$NU$65,$NN$65/$NT$65)),0)</f>
        <v/>
      </c>
      <c r="HE65" s="402">
        <f>IF(AND(209&gt;=$NR$65,209&lt;=$NS$65),IF($NP$65="Single_Point",IF(209=$NR$65,$NN$65,0),IF($NP$65="Bell_Curve",$NN$65*(209-$NR$65+1)*($NS$65-209+1)/$NU$65,$NN$65/$NT$65)),0)</f>
        <v/>
      </c>
      <c r="HF65" s="402">
        <f>IF(AND(210&gt;=$NR$65,210&lt;=$NS$65),IF($NP$65="Single_Point",IF(210=$NR$65,$NN$65,0),IF($NP$65="Bell_Curve",$NN$65*(210-$NR$65+1)*($NS$65-210+1)/$NU$65,$NN$65/$NT$65)),0)</f>
        <v/>
      </c>
      <c r="HG65" s="402">
        <f>IF(AND(211&gt;=$NR$65,211&lt;=$NS$65),IF($NP$65="Single_Point",IF(211=$NR$65,$NN$65,0),IF($NP$65="Bell_Curve",$NN$65*(211-$NR$65+1)*($NS$65-211+1)/$NU$65,$NN$65/$NT$65)),0)</f>
        <v/>
      </c>
      <c r="HH65" s="402">
        <f>IF(AND(212&gt;=$NR$65,212&lt;=$NS$65),IF($NP$65="Single_Point",IF(212=$NR$65,$NN$65,0),IF($NP$65="Bell_Curve",$NN$65*(212-$NR$65+1)*($NS$65-212+1)/$NU$65,$NN$65/$NT$65)),0)</f>
        <v/>
      </c>
      <c r="HI65" s="402">
        <f>IF(AND(213&gt;=$NR$65,213&lt;=$NS$65),IF($NP$65="Single_Point",IF(213=$NR$65,$NN$65,0),IF($NP$65="Bell_Curve",$NN$65*(213-$NR$65+1)*($NS$65-213+1)/$NU$65,$NN$65/$NT$65)),0)</f>
        <v/>
      </c>
      <c r="HJ65" s="402">
        <f>IF(AND(214&gt;=$NR$65,214&lt;=$NS$65),IF($NP$65="Single_Point",IF(214=$NR$65,$NN$65,0),IF($NP$65="Bell_Curve",$NN$65*(214-$NR$65+1)*($NS$65-214+1)/$NU$65,$NN$65/$NT$65)),0)</f>
        <v/>
      </c>
      <c r="HK65" s="402">
        <f>IF(AND(215&gt;=$NR$65,215&lt;=$NS$65),IF($NP$65="Single_Point",IF(215=$NR$65,$NN$65,0),IF($NP$65="Bell_Curve",$NN$65*(215-$NR$65+1)*($NS$65-215+1)/$NU$65,$NN$65/$NT$65)),0)</f>
        <v/>
      </c>
      <c r="HL65" s="402">
        <f>IF(AND(216&gt;=$NR$65,216&lt;=$NS$65),IF($NP$65="Single_Point",IF(216=$NR$65,$NN$65,0),IF($NP$65="Bell_Curve",$NN$65*(216-$NR$65+1)*($NS$65-216+1)/$NU$65,$NN$65/$NT$65)),0)</f>
        <v/>
      </c>
      <c r="HM65" s="402">
        <f>IF(AND(217&gt;=$NR$65,217&lt;=$NS$65),IF($NP$65="Single_Point",IF(217=$NR$65,$NN$65,0),IF($NP$65="Bell_Curve",$NN$65*(217-$NR$65+1)*($NS$65-217+1)/$NU$65,$NN$65/$NT$65)),0)</f>
        <v/>
      </c>
      <c r="HN65" s="402">
        <f>IF(AND(218&gt;=$NR$65,218&lt;=$NS$65),IF($NP$65="Single_Point",IF(218=$NR$65,$NN$65,0),IF($NP$65="Bell_Curve",$NN$65*(218-$NR$65+1)*($NS$65-218+1)/$NU$65,$NN$65/$NT$65)),0)</f>
        <v/>
      </c>
      <c r="HO65" s="402">
        <f>IF(AND(219&gt;=$NR$65,219&lt;=$NS$65),IF($NP$65="Single_Point",IF(219=$NR$65,$NN$65,0),IF($NP$65="Bell_Curve",$NN$65*(219-$NR$65+1)*($NS$65-219+1)/$NU$65,$NN$65/$NT$65)),0)</f>
        <v/>
      </c>
      <c r="HP65" s="402">
        <f>IF(AND(220&gt;=$NR$65,220&lt;=$NS$65),IF($NP$65="Single_Point",IF(220=$NR$65,$NN$65,0),IF($NP$65="Bell_Curve",$NN$65*(220-$NR$65+1)*($NS$65-220+1)/$NU$65,$NN$65/$NT$65)),0)</f>
        <v/>
      </c>
      <c r="HQ65" s="402">
        <f>IF(AND(221&gt;=$NR$65,221&lt;=$NS$65),IF($NP$65="Single_Point",IF(221=$NR$65,$NN$65,0),IF($NP$65="Bell_Curve",$NN$65*(221-$NR$65+1)*($NS$65-221+1)/$NU$65,$NN$65/$NT$65)),0)</f>
        <v/>
      </c>
      <c r="HR65" s="402">
        <f>IF(AND(222&gt;=$NR$65,222&lt;=$NS$65),IF($NP$65="Single_Point",IF(222=$NR$65,$NN$65,0),IF($NP$65="Bell_Curve",$NN$65*(222-$NR$65+1)*($NS$65-222+1)/$NU$65,$NN$65/$NT$65)),0)</f>
        <v/>
      </c>
      <c r="HS65" s="402">
        <f>IF(AND(223&gt;=$NR$65,223&lt;=$NS$65),IF($NP$65="Single_Point",IF(223=$NR$65,$NN$65,0),IF($NP$65="Bell_Curve",$NN$65*(223-$NR$65+1)*($NS$65-223+1)/$NU$65,$NN$65/$NT$65)),0)</f>
        <v/>
      </c>
      <c r="HT65" s="402">
        <f>IF(AND(224&gt;=$NR$65,224&lt;=$NS$65),IF($NP$65="Single_Point",IF(224=$NR$65,$NN$65,0),IF($NP$65="Bell_Curve",$NN$65*(224-$NR$65+1)*($NS$65-224+1)/$NU$65,$NN$65/$NT$65)),0)</f>
        <v/>
      </c>
      <c r="HU65" s="402">
        <f>IF(AND(225&gt;=$NR$65,225&lt;=$NS$65),IF($NP$65="Single_Point",IF(225=$NR$65,$NN$65,0),IF($NP$65="Bell_Curve",$NN$65*(225-$NR$65+1)*($NS$65-225+1)/$NU$65,$NN$65/$NT$65)),0)</f>
        <v/>
      </c>
      <c r="HV65" s="402">
        <f>IF(AND(226&gt;=$NR$65,226&lt;=$NS$65),IF($NP$65="Single_Point",IF(226=$NR$65,$NN$65,0),IF($NP$65="Bell_Curve",$NN$65*(226-$NR$65+1)*($NS$65-226+1)/$NU$65,$NN$65/$NT$65)),0)</f>
        <v/>
      </c>
      <c r="HW65" s="402">
        <f>IF(AND(227&gt;=$NR$65,227&lt;=$NS$65),IF($NP$65="Single_Point",IF(227=$NR$65,$NN$65,0),IF($NP$65="Bell_Curve",$NN$65*(227-$NR$65+1)*($NS$65-227+1)/$NU$65,$NN$65/$NT$65)),0)</f>
        <v/>
      </c>
      <c r="HX65" s="402">
        <f>IF(AND(228&gt;=$NR$65,228&lt;=$NS$65),IF($NP$65="Single_Point",IF(228=$NR$65,$NN$65,0),IF($NP$65="Bell_Curve",$NN$65*(228-$NR$65+1)*($NS$65-228+1)/$NU$65,$NN$65/$NT$65)),0)</f>
        <v/>
      </c>
      <c r="HY65" s="402">
        <f>IF(AND(229&gt;=$NR$65,229&lt;=$NS$65),IF($NP$65="Single_Point",IF(229=$NR$65,$NN$65,0),IF($NP$65="Bell_Curve",$NN$65*(229-$NR$65+1)*($NS$65-229+1)/$NU$65,$NN$65/$NT$65)),0)</f>
        <v/>
      </c>
      <c r="HZ65" s="402">
        <f>IF(AND(230&gt;=$NR$65,230&lt;=$NS$65),IF($NP$65="Single_Point",IF(230=$NR$65,$NN$65,0),IF($NP$65="Bell_Curve",$NN$65*(230-$NR$65+1)*($NS$65-230+1)/$NU$65,$NN$65/$NT$65)),0)</f>
        <v/>
      </c>
      <c r="IA65" s="402">
        <f>IF(AND(231&gt;=$NR$65,231&lt;=$NS$65),IF($NP$65="Single_Point",IF(231=$NR$65,$NN$65,0),IF($NP$65="Bell_Curve",$NN$65*(231-$NR$65+1)*($NS$65-231+1)/$NU$65,$NN$65/$NT$65)),0)</f>
        <v/>
      </c>
      <c r="IB65" s="402">
        <f>IF(AND(232&gt;=$NR$65,232&lt;=$NS$65),IF($NP$65="Single_Point",IF(232=$NR$65,$NN$65,0),IF($NP$65="Bell_Curve",$NN$65*(232-$NR$65+1)*($NS$65-232+1)/$NU$65,$NN$65/$NT$65)),0)</f>
        <v/>
      </c>
      <c r="IC65" s="402">
        <f>IF(AND(233&gt;=$NR$65,233&lt;=$NS$65),IF($NP$65="Single_Point",IF(233=$NR$65,$NN$65,0),IF($NP$65="Bell_Curve",$NN$65*(233-$NR$65+1)*($NS$65-233+1)/$NU$65,$NN$65/$NT$65)),0)</f>
        <v/>
      </c>
      <c r="ID65" s="402">
        <f>IF(AND(234&gt;=$NR$65,234&lt;=$NS$65),IF($NP$65="Single_Point",IF(234=$NR$65,$NN$65,0),IF($NP$65="Bell_Curve",$NN$65*(234-$NR$65+1)*($NS$65-234+1)/$NU$65,$NN$65/$NT$65)),0)</f>
        <v/>
      </c>
      <c r="IE65" s="402">
        <f>IF(AND(235&gt;=$NR$65,235&lt;=$NS$65),IF($NP$65="Single_Point",IF(235=$NR$65,$NN$65,0),IF($NP$65="Bell_Curve",$NN$65*(235-$NR$65+1)*($NS$65-235+1)/$NU$65,$NN$65/$NT$65)),0)</f>
        <v/>
      </c>
      <c r="IF65" s="402">
        <f>IF(AND(236&gt;=$NR$65,236&lt;=$NS$65),IF($NP$65="Single_Point",IF(236=$NR$65,$NN$65,0),IF($NP$65="Bell_Curve",$NN$65*(236-$NR$65+1)*($NS$65-236+1)/$NU$65,$NN$65/$NT$65)),0)</f>
        <v/>
      </c>
      <c r="IG65" s="402">
        <f>IF(AND(237&gt;=$NR$65,237&lt;=$NS$65),IF($NP$65="Single_Point",IF(237=$NR$65,$NN$65,0),IF($NP$65="Bell_Curve",$NN$65*(237-$NR$65+1)*($NS$65-237+1)/$NU$65,$NN$65/$NT$65)),0)</f>
        <v/>
      </c>
      <c r="IH65" s="402">
        <f>IF(AND(238&gt;=$NR$65,238&lt;=$NS$65),IF($NP$65="Single_Point",IF(238=$NR$65,$NN$65,0),IF($NP$65="Bell_Curve",$NN$65*(238-$NR$65+1)*($NS$65-238+1)/$NU$65,$NN$65/$NT$65)),0)</f>
        <v/>
      </c>
      <c r="II65" s="402">
        <f>IF(AND(239&gt;=$NR$65,239&lt;=$NS$65),IF($NP$65="Single_Point",IF(239=$NR$65,$NN$65,0),IF($NP$65="Bell_Curve",$NN$65*(239-$NR$65+1)*($NS$65-239+1)/$NU$65,$NN$65/$NT$65)),0)</f>
        <v/>
      </c>
      <c r="IJ65" s="402">
        <f>IF(AND(240&gt;=$NR$65,240&lt;=$NS$65),IF($NP$65="Single_Point",IF(240=$NR$65,$NN$65,0),IF($NP$65="Bell_Curve",$NN$65*(240-$NR$65+1)*($NS$65-240+1)/$NU$65,$NN$65/$NT$65)),0)</f>
        <v/>
      </c>
      <c r="IK65" s="402">
        <f>IF(AND(241&gt;=$NR$65,241&lt;=$NS$65),IF($NP$65="Single_Point",IF(241=$NR$65,$NN$65,0),IF($NP$65="Bell_Curve",$NN$65*(241-$NR$65+1)*($NS$65-241+1)/$NU$65,$NN$65/$NT$65)),0)</f>
        <v/>
      </c>
      <c r="IL65" s="402">
        <f>IF(AND(242&gt;=$NR$65,242&lt;=$NS$65),IF($NP$65="Single_Point",IF(242=$NR$65,$NN$65,0),IF($NP$65="Bell_Curve",$NN$65*(242-$NR$65+1)*($NS$65-242+1)/$NU$65,$NN$65/$NT$65)),0)</f>
        <v/>
      </c>
      <c r="IM65" s="402">
        <f>IF(AND(243&gt;=$NR$65,243&lt;=$NS$65),IF($NP$65="Single_Point",IF(243=$NR$65,$NN$65,0),IF($NP$65="Bell_Curve",$NN$65*(243-$NR$65+1)*($NS$65-243+1)/$NU$65,$NN$65/$NT$65)),0)</f>
        <v/>
      </c>
      <c r="IN65" s="402">
        <f>IF(AND(244&gt;=$NR$65,244&lt;=$NS$65),IF($NP$65="Single_Point",IF(244=$NR$65,$NN$65,0),IF($NP$65="Bell_Curve",$NN$65*(244-$NR$65+1)*($NS$65-244+1)/$NU$65,$NN$65/$NT$65)),0)</f>
        <v/>
      </c>
      <c r="IO65" s="402">
        <f>IF(AND(245&gt;=$NR$65,245&lt;=$NS$65),IF($NP$65="Single_Point",IF(245=$NR$65,$NN$65,0),IF($NP$65="Bell_Curve",$NN$65*(245-$NR$65+1)*($NS$65-245+1)/$NU$65,$NN$65/$NT$65)),0)</f>
        <v/>
      </c>
      <c r="IP65" s="402">
        <f>IF(AND(246&gt;=$NR$65,246&lt;=$NS$65),IF($NP$65="Single_Point",IF(246=$NR$65,$NN$65,0),IF($NP$65="Bell_Curve",$NN$65*(246-$NR$65+1)*($NS$65-246+1)/$NU$65,$NN$65/$NT$65)),0)</f>
        <v/>
      </c>
      <c r="IQ65" s="402">
        <f>IF(AND(247&gt;=$NR$65,247&lt;=$NS$65),IF($NP$65="Single_Point",IF(247=$NR$65,$NN$65,0),IF($NP$65="Bell_Curve",$NN$65*(247-$NR$65+1)*($NS$65-247+1)/$NU$65,$NN$65/$NT$65)),0)</f>
        <v/>
      </c>
      <c r="IR65" s="402">
        <f>IF(AND(248&gt;=$NR$65,248&lt;=$NS$65),IF($NP$65="Single_Point",IF(248=$NR$65,$NN$65,0),IF($NP$65="Bell_Curve",$NN$65*(248-$NR$65+1)*($NS$65-248+1)/$NU$65,$NN$65/$NT$65)),0)</f>
        <v/>
      </c>
      <c r="IS65" s="402">
        <f>IF(AND(249&gt;=$NR$65,249&lt;=$NS$65),IF($NP$65="Single_Point",IF(249=$NR$65,$NN$65,0),IF($NP$65="Bell_Curve",$NN$65*(249-$NR$65+1)*($NS$65-249+1)/$NU$65,$NN$65/$NT$65)),0)</f>
        <v/>
      </c>
      <c r="IT65" s="402">
        <f>IF(AND(250&gt;=$NR$65,250&lt;=$NS$65),IF($NP$65="Single_Point",IF(250=$NR$65,$NN$65,0),IF($NP$65="Bell_Curve",$NN$65*(250-$NR$65+1)*($NS$65-250+1)/$NU$65,$NN$65/$NT$65)),0)</f>
        <v/>
      </c>
      <c r="IU65" s="402">
        <f>IF(AND(251&gt;=$NR$65,251&lt;=$NS$65),IF($NP$65="Single_Point",IF(251=$NR$65,$NN$65,0),IF($NP$65="Bell_Curve",$NN$65*(251-$NR$65+1)*($NS$65-251+1)/$NU$65,$NN$65/$NT$65)),0)</f>
        <v/>
      </c>
      <c r="IV65" s="402">
        <f>IF(AND(252&gt;=$NR$65,252&lt;=$NS$65),IF($NP$65="Single_Point",IF(252=$NR$65,$NN$65,0),IF($NP$65="Bell_Curve",$NN$65*(252-$NR$65+1)*($NS$65-252+1)/$NU$65,$NN$65/$NT$65)),0)</f>
        <v/>
      </c>
      <c r="IW65" s="402">
        <f>IF(AND(253&gt;=$NR$65,253&lt;=$NS$65),IF($NP$65="Single_Point",IF(253=$NR$65,$NN$65,0),IF($NP$65="Bell_Curve",$NN$65*(253-$NR$65+1)*($NS$65-253+1)/$NU$65,$NN$65/$NT$65)),0)</f>
        <v/>
      </c>
      <c r="IX65" s="402">
        <f>IF(AND(254&gt;=$NR$65,254&lt;=$NS$65),IF($NP$65="Single_Point",IF(254=$NR$65,$NN$65,0),IF($NP$65="Bell_Curve",$NN$65*(254-$NR$65+1)*($NS$65-254+1)/$NU$65,$NN$65/$NT$65)),0)</f>
        <v/>
      </c>
      <c r="IY65" s="402">
        <f>IF(AND(255&gt;=$NR$65,255&lt;=$NS$65),IF($NP$65="Single_Point",IF(255=$NR$65,$NN$65,0),IF($NP$65="Bell_Curve",$NN$65*(255-$NR$65+1)*($NS$65-255+1)/$NU$65,$NN$65/$NT$65)),0)</f>
        <v/>
      </c>
      <c r="IZ65" s="402">
        <f>IF(AND(256&gt;=$NR$65,256&lt;=$NS$65),IF($NP$65="Single_Point",IF(256=$NR$65,$NN$65,0),IF($NP$65="Bell_Curve",$NN$65*(256-$NR$65+1)*($NS$65-256+1)/$NU$65,$NN$65/$NT$65)),0)</f>
        <v/>
      </c>
      <c r="JA65" s="402">
        <f>IF(AND(257&gt;=$NR$65,257&lt;=$NS$65),IF($NP$65="Single_Point",IF(257=$NR$65,$NN$65,0),IF($NP$65="Bell_Curve",$NN$65*(257-$NR$65+1)*($NS$65-257+1)/$NU$65,$NN$65/$NT$65)),0)</f>
        <v/>
      </c>
      <c r="JB65" s="402">
        <f>IF(AND(258&gt;=$NR$65,258&lt;=$NS$65),IF($NP$65="Single_Point",IF(258=$NR$65,$NN$65,0),IF($NP$65="Bell_Curve",$NN$65*(258-$NR$65+1)*($NS$65-258+1)/$NU$65,$NN$65/$NT$65)),0)</f>
        <v/>
      </c>
      <c r="JC65" s="402">
        <f>IF(AND(259&gt;=$NR$65,259&lt;=$NS$65),IF($NP$65="Single_Point",IF(259=$NR$65,$NN$65,0),IF($NP$65="Bell_Curve",$NN$65*(259-$NR$65+1)*($NS$65-259+1)/$NU$65,$NN$65/$NT$65)),0)</f>
        <v/>
      </c>
      <c r="JD65" s="402">
        <f>IF(AND(260&gt;=$NR$65,260&lt;=$NS$65),IF($NP$65="Single_Point",IF(260=$NR$65,$NN$65,0),IF($NP$65="Bell_Curve",$NN$65*(260-$NR$65+1)*($NS$65-260+1)/$NU$65,$NN$65/$NT$65)),0)</f>
        <v/>
      </c>
      <c r="JE65" s="402">
        <f>IF(AND(261&gt;=$NR$65,261&lt;=$NS$65),IF($NP$65="Single_Point",IF(261=$NR$65,$NN$65,0),IF($NP$65="Bell_Curve",$NN$65*(261-$NR$65+1)*($NS$65-261+1)/$NU$65,$NN$65/$NT$65)),0)</f>
        <v/>
      </c>
      <c r="JF65" s="402">
        <f>IF(AND(262&gt;=$NR$65,262&lt;=$NS$65),IF($NP$65="Single_Point",IF(262=$NR$65,$NN$65,0),IF($NP$65="Bell_Curve",$NN$65*(262-$NR$65+1)*($NS$65-262+1)/$NU$65,$NN$65/$NT$65)),0)</f>
        <v/>
      </c>
      <c r="JG65" s="402">
        <f>IF(AND(263&gt;=$NR$65,263&lt;=$NS$65),IF($NP$65="Single_Point",IF(263=$NR$65,$NN$65,0),IF($NP$65="Bell_Curve",$NN$65*(263-$NR$65+1)*($NS$65-263+1)/$NU$65,$NN$65/$NT$65)),0)</f>
        <v/>
      </c>
      <c r="JH65" s="402">
        <f>IF(AND(264&gt;=$NR$65,264&lt;=$NS$65),IF($NP$65="Single_Point",IF(264=$NR$65,$NN$65,0),IF($NP$65="Bell_Curve",$NN$65*(264-$NR$65+1)*($NS$65-264+1)/$NU$65,$NN$65/$NT$65)),0)</f>
        <v/>
      </c>
      <c r="JI65" s="402">
        <f>IF(AND(265&gt;=$NR$65,265&lt;=$NS$65),IF($NP$65="Single_Point",IF(265=$NR$65,$NN$65,0),IF($NP$65="Bell_Curve",$NN$65*(265-$NR$65+1)*($NS$65-265+1)/$NU$65,$NN$65/$NT$65)),0)</f>
        <v/>
      </c>
      <c r="JJ65" s="402">
        <f>IF(AND(266&gt;=$NR$65,266&lt;=$NS$65),IF($NP$65="Single_Point",IF(266=$NR$65,$NN$65,0),IF($NP$65="Bell_Curve",$NN$65*(266-$NR$65+1)*($NS$65-266+1)/$NU$65,$NN$65/$NT$65)),0)</f>
        <v/>
      </c>
      <c r="JK65" s="402">
        <f>IF(AND(267&gt;=$NR$65,267&lt;=$NS$65),IF($NP$65="Single_Point",IF(267=$NR$65,$NN$65,0),IF($NP$65="Bell_Curve",$NN$65*(267-$NR$65+1)*($NS$65-267+1)/$NU$65,$NN$65/$NT$65)),0)</f>
        <v/>
      </c>
      <c r="JL65" s="402">
        <f>IF(AND(268&gt;=$NR$65,268&lt;=$NS$65),IF($NP$65="Single_Point",IF(268=$NR$65,$NN$65,0),IF($NP$65="Bell_Curve",$NN$65*(268-$NR$65+1)*($NS$65-268+1)/$NU$65,$NN$65/$NT$65)),0)</f>
        <v/>
      </c>
      <c r="JM65" s="402">
        <f>IF(AND(269&gt;=$NR$65,269&lt;=$NS$65),IF($NP$65="Single_Point",IF(269=$NR$65,$NN$65,0),IF($NP$65="Bell_Curve",$NN$65*(269-$NR$65+1)*($NS$65-269+1)/$NU$65,$NN$65/$NT$65)),0)</f>
        <v/>
      </c>
      <c r="JN65" s="402">
        <f>IF(AND(270&gt;=$NR$65,270&lt;=$NS$65),IF($NP$65="Single_Point",IF(270=$NR$65,$NN$65,0),IF($NP$65="Bell_Curve",$NN$65*(270-$NR$65+1)*($NS$65-270+1)/$NU$65,$NN$65/$NT$65)),0)</f>
        <v/>
      </c>
      <c r="JO65" s="402">
        <f>IF(AND(271&gt;=$NR$65,271&lt;=$NS$65),IF($NP$65="Single_Point",IF(271=$NR$65,$NN$65,0),IF($NP$65="Bell_Curve",$NN$65*(271-$NR$65+1)*($NS$65-271+1)/$NU$65,$NN$65/$NT$65)),0)</f>
        <v/>
      </c>
      <c r="JP65" s="402">
        <f>IF(AND(272&gt;=$NR$65,272&lt;=$NS$65),IF($NP$65="Single_Point",IF(272=$NR$65,$NN$65,0),IF($NP$65="Bell_Curve",$NN$65*(272-$NR$65+1)*($NS$65-272+1)/$NU$65,$NN$65/$NT$65)),0)</f>
        <v/>
      </c>
      <c r="JQ65" s="402">
        <f>IF(AND(273&gt;=$NR$65,273&lt;=$NS$65),IF($NP$65="Single_Point",IF(273=$NR$65,$NN$65,0),IF($NP$65="Bell_Curve",$NN$65*(273-$NR$65+1)*($NS$65-273+1)/$NU$65,$NN$65/$NT$65)),0)</f>
        <v/>
      </c>
      <c r="JR65" s="402">
        <f>IF(AND(274&gt;=$NR$65,274&lt;=$NS$65),IF($NP$65="Single_Point",IF(274=$NR$65,$NN$65,0),IF($NP$65="Bell_Curve",$NN$65*(274-$NR$65+1)*($NS$65-274+1)/$NU$65,$NN$65/$NT$65)),0)</f>
        <v/>
      </c>
      <c r="JS65" s="402">
        <f>IF(AND(275&gt;=$NR$65,275&lt;=$NS$65),IF($NP$65="Single_Point",IF(275=$NR$65,$NN$65,0),IF($NP$65="Bell_Curve",$NN$65*(275-$NR$65+1)*($NS$65-275+1)/$NU$65,$NN$65/$NT$65)),0)</f>
        <v/>
      </c>
      <c r="JT65" s="402">
        <f>IF(AND(276&gt;=$NR$65,276&lt;=$NS$65),IF($NP$65="Single_Point",IF(276=$NR$65,$NN$65,0),IF($NP$65="Bell_Curve",$NN$65*(276-$NR$65+1)*($NS$65-276+1)/$NU$65,$NN$65/$NT$65)),0)</f>
        <v/>
      </c>
      <c r="JU65" s="402">
        <f>IF(AND(277&gt;=$NR$65,277&lt;=$NS$65),IF($NP$65="Single_Point",IF(277=$NR$65,$NN$65,0),IF($NP$65="Bell_Curve",$NN$65*(277-$NR$65+1)*($NS$65-277+1)/$NU$65,$NN$65/$NT$65)),0)</f>
        <v/>
      </c>
      <c r="JV65" s="402">
        <f>IF(AND(278&gt;=$NR$65,278&lt;=$NS$65),IF($NP$65="Single_Point",IF(278=$NR$65,$NN$65,0),IF($NP$65="Bell_Curve",$NN$65*(278-$NR$65+1)*($NS$65-278+1)/$NU$65,$NN$65/$NT$65)),0)</f>
        <v/>
      </c>
      <c r="JW65" s="402">
        <f>IF(AND(279&gt;=$NR$65,279&lt;=$NS$65),IF($NP$65="Single_Point",IF(279=$NR$65,$NN$65,0),IF($NP$65="Bell_Curve",$NN$65*(279-$NR$65+1)*($NS$65-279+1)/$NU$65,$NN$65/$NT$65)),0)</f>
        <v/>
      </c>
      <c r="JX65" s="402">
        <f>IF(AND(280&gt;=$NR$65,280&lt;=$NS$65),IF($NP$65="Single_Point",IF(280=$NR$65,$NN$65,0),IF($NP$65="Bell_Curve",$NN$65*(280-$NR$65+1)*($NS$65-280+1)/$NU$65,$NN$65/$NT$65)),0)</f>
        <v/>
      </c>
      <c r="JY65" s="402">
        <f>IF(AND(281&gt;=$NR$65,281&lt;=$NS$65),IF($NP$65="Single_Point",IF(281=$NR$65,$NN$65,0),IF($NP$65="Bell_Curve",$NN$65*(281-$NR$65+1)*($NS$65-281+1)/$NU$65,$NN$65/$NT$65)),0)</f>
        <v/>
      </c>
      <c r="JZ65" s="402">
        <f>IF(AND(282&gt;=$NR$65,282&lt;=$NS$65),IF($NP$65="Single_Point",IF(282=$NR$65,$NN$65,0),IF($NP$65="Bell_Curve",$NN$65*(282-$NR$65+1)*($NS$65-282+1)/$NU$65,$NN$65/$NT$65)),0)</f>
        <v/>
      </c>
      <c r="KA65" s="402">
        <f>IF(AND(283&gt;=$NR$65,283&lt;=$NS$65),IF($NP$65="Single_Point",IF(283=$NR$65,$NN$65,0),IF($NP$65="Bell_Curve",$NN$65*(283-$NR$65+1)*($NS$65-283+1)/$NU$65,$NN$65/$NT$65)),0)</f>
        <v/>
      </c>
      <c r="KB65" s="402">
        <f>IF(AND(284&gt;=$NR$65,284&lt;=$NS$65),IF($NP$65="Single_Point",IF(284=$NR$65,$NN$65,0),IF($NP$65="Bell_Curve",$NN$65*(284-$NR$65+1)*($NS$65-284+1)/$NU$65,$NN$65/$NT$65)),0)</f>
        <v/>
      </c>
      <c r="KC65" s="402">
        <f>IF(AND(285&gt;=$NR$65,285&lt;=$NS$65),IF($NP$65="Single_Point",IF(285=$NR$65,$NN$65,0),IF($NP$65="Bell_Curve",$NN$65*(285-$NR$65+1)*($NS$65-285+1)/$NU$65,$NN$65/$NT$65)),0)</f>
        <v/>
      </c>
      <c r="KD65" s="402">
        <f>IF(AND(286&gt;=$NR$65,286&lt;=$NS$65),IF($NP$65="Single_Point",IF(286=$NR$65,$NN$65,0),IF($NP$65="Bell_Curve",$NN$65*(286-$NR$65+1)*($NS$65-286+1)/$NU$65,$NN$65/$NT$65)),0)</f>
        <v/>
      </c>
      <c r="KE65" s="402">
        <f>IF(AND(287&gt;=$NR$65,287&lt;=$NS$65),IF($NP$65="Single_Point",IF(287=$NR$65,$NN$65,0),IF($NP$65="Bell_Curve",$NN$65*(287-$NR$65+1)*($NS$65-287+1)/$NU$65,$NN$65/$NT$65)),0)</f>
        <v/>
      </c>
      <c r="KF65" s="402">
        <f>IF(AND(288&gt;=$NR$65,288&lt;=$NS$65),IF($NP$65="Single_Point",IF(288=$NR$65,$NN$65,0),IF($NP$65="Bell_Curve",$NN$65*(288-$NR$65+1)*($NS$65-288+1)/$NU$65,$NN$65/$NT$65)),0)</f>
        <v/>
      </c>
      <c r="KG65" s="402">
        <f>IF(AND(289&gt;=$NR$65,289&lt;=$NS$65),IF($NP$65="Single_Point",IF(289=$NR$65,$NN$65,0),IF($NP$65="Bell_Curve",$NN$65*(289-$NR$65+1)*($NS$65-289+1)/$NU$65,$NN$65/$NT$65)),0)</f>
        <v/>
      </c>
      <c r="KH65" s="402">
        <f>IF(AND(290&gt;=$NR$65,290&lt;=$NS$65),IF($NP$65="Single_Point",IF(290=$NR$65,$NN$65,0),IF($NP$65="Bell_Curve",$NN$65*(290-$NR$65+1)*($NS$65-290+1)/$NU$65,$NN$65/$NT$65)),0)</f>
        <v/>
      </c>
      <c r="KI65" s="402">
        <f>IF(AND(291&gt;=$NR$65,291&lt;=$NS$65),IF($NP$65="Single_Point",IF(291=$NR$65,$NN$65,0),IF($NP$65="Bell_Curve",$NN$65*(291-$NR$65+1)*($NS$65-291+1)/$NU$65,$NN$65/$NT$65)),0)</f>
        <v/>
      </c>
      <c r="KJ65" s="402">
        <f>IF(AND(292&gt;=$NR$65,292&lt;=$NS$65),IF($NP$65="Single_Point",IF(292=$NR$65,$NN$65,0),IF($NP$65="Bell_Curve",$NN$65*(292-$NR$65+1)*($NS$65-292+1)/$NU$65,$NN$65/$NT$65)),0)</f>
        <v/>
      </c>
      <c r="KK65" s="402">
        <f>IF(AND(293&gt;=$NR$65,293&lt;=$NS$65),IF($NP$65="Single_Point",IF(293=$NR$65,$NN$65,0),IF($NP$65="Bell_Curve",$NN$65*(293-$NR$65+1)*($NS$65-293+1)/$NU$65,$NN$65/$NT$65)),0)</f>
        <v/>
      </c>
      <c r="KL65" s="402">
        <f>IF(AND(294&gt;=$NR$65,294&lt;=$NS$65),IF($NP$65="Single_Point",IF(294=$NR$65,$NN$65,0),IF($NP$65="Bell_Curve",$NN$65*(294-$NR$65+1)*($NS$65-294+1)/$NU$65,$NN$65/$NT$65)),0)</f>
        <v/>
      </c>
      <c r="KM65" s="402">
        <f>IF(AND(295&gt;=$NR$65,295&lt;=$NS$65),IF($NP$65="Single_Point",IF(295=$NR$65,$NN$65,0),IF($NP$65="Bell_Curve",$NN$65*(295-$NR$65+1)*($NS$65-295+1)/$NU$65,$NN$65/$NT$65)),0)</f>
        <v/>
      </c>
      <c r="KN65" s="402">
        <f>IF(AND(296&gt;=$NR$65,296&lt;=$NS$65),IF($NP$65="Single_Point",IF(296=$NR$65,$NN$65,0),IF($NP$65="Bell_Curve",$NN$65*(296-$NR$65+1)*($NS$65-296+1)/$NU$65,$NN$65/$NT$65)),0)</f>
        <v/>
      </c>
      <c r="KO65" s="402">
        <f>IF(AND(297&gt;=$NR$65,297&lt;=$NS$65),IF($NP$65="Single_Point",IF(297=$NR$65,$NN$65,0),IF($NP$65="Bell_Curve",$NN$65*(297-$NR$65+1)*($NS$65-297+1)/$NU$65,$NN$65/$NT$65)),0)</f>
        <v/>
      </c>
      <c r="KP65" s="402">
        <f>IF(AND(298&gt;=$NR$65,298&lt;=$NS$65),IF($NP$65="Single_Point",IF(298=$NR$65,$NN$65,0),IF($NP$65="Bell_Curve",$NN$65*(298-$NR$65+1)*($NS$65-298+1)/$NU$65,$NN$65/$NT$65)),0)</f>
        <v/>
      </c>
      <c r="KQ65" s="402">
        <f>IF(AND(299&gt;=$NR$65,299&lt;=$NS$65),IF($NP$65="Single_Point",IF(299=$NR$65,$NN$65,0),IF($NP$65="Bell_Curve",$NN$65*(299-$NR$65+1)*($NS$65-299+1)/$NU$65,$NN$65/$NT$65)),0)</f>
        <v/>
      </c>
      <c r="KR65" s="402">
        <f>IF(AND(300&gt;=$NR$65,300&lt;=$NS$65),IF($NP$65="Single_Point",IF(300=$NR$65,$NN$65,0),IF($NP$65="Bell_Curve",$NN$65*(300-$NR$65+1)*($NS$65-300+1)/$NU$65,$NN$65/$NT$65)),0)</f>
        <v/>
      </c>
      <c r="KS65" s="402">
        <f>IF(AND(301&gt;=$NR$65,301&lt;=$NS$65),IF($NP$65="Single_Point",IF(301=$NR$65,$NN$65,0),IF($NP$65="Bell_Curve",$NN$65*(301-$NR$65+1)*($NS$65-301+1)/$NU$65,$NN$65/$NT$65)),0)</f>
        <v/>
      </c>
      <c r="KT65" s="402">
        <f>IF(AND(302&gt;=$NR$65,302&lt;=$NS$65),IF($NP$65="Single_Point",IF(302=$NR$65,$NN$65,0),IF($NP$65="Bell_Curve",$NN$65*(302-$NR$65+1)*($NS$65-302+1)/$NU$65,$NN$65/$NT$65)),0)</f>
        <v/>
      </c>
      <c r="KU65" s="402">
        <f>IF(AND(303&gt;=$NR$65,303&lt;=$NS$65),IF($NP$65="Single_Point",IF(303=$NR$65,$NN$65,0),IF($NP$65="Bell_Curve",$NN$65*(303-$NR$65+1)*($NS$65-303+1)/$NU$65,$NN$65/$NT$65)),0)</f>
        <v/>
      </c>
      <c r="KV65" s="402">
        <f>IF(AND(304&gt;=$NR$65,304&lt;=$NS$65),IF($NP$65="Single_Point",IF(304=$NR$65,$NN$65,0),IF($NP$65="Bell_Curve",$NN$65*(304-$NR$65+1)*($NS$65-304+1)/$NU$65,$NN$65/$NT$65)),0)</f>
        <v/>
      </c>
      <c r="KW65" s="402">
        <f>IF(AND(305&gt;=$NR$65,305&lt;=$NS$65),IF($NP$65="Single_Point",IF(305=$NR$65,$NN$65,0),IF($NP$65="Bell_Curve",$NN$65*(305-$NR$65+1)*($NS$65-305+1)/$NU$65,$NN$65/$NT$65)),0)</f>
        <v/>
      </c>
      <c r="KX65" s="402">
        <f>IF(AND(306&gt;=$NR$65,306&lt;=$NS$65),IF($NP$65="Single_Point",IF(306=$NR$65,$NN$65,0),IF($NP$65="Bell_Curve",$NN$65*(306-$NR$65+1)*($NS$65-306+1)/$NU$65,$NN$65/$NT$65)),0)</f>
        <v/>
      </c>
      <c r="KY65" s="402">
        <f>IF(AND(307&gt;=$NR$65,307&lt;=$NS$65),IF($NP$65="Single_Point",IF(307=$NR$65,$NN$65,0),IF($NP$65="Bell_Curve",$NN$65*(307-$NR$65+1)*($NS$65-307+1)/$NU$65,$NN$65/$NT$65)),0)</f>
        <v/>
      </c>
      <c r="KZ65" s="402">
        <f>IF(AND(308&gt;=$NR$65,308&lt;=$NS$65),IF($NP$65="Single_Point",IF(308=$NR$65,$NN$65,0),IF($NP$65="Bell_Curve",$NN$65*(308-$NR$65+1)*($NS$65-308+1)/$NU$65,$NN$65/$NT$65)),0)</f>
        <v/>
      </c>
      <c r="LA65" s="402">
        <f>IF(AND(309&gt;=$NR$65,309&lt;=$NS$65),IF($NP$65="Single_Point",IF(309=$NR$65,$NN$65,0),IF($NP$65="Bell_Curve",$NN$65*(309-$NR$65+1)*($NS$65-309+1)/$NU$65,$NN$65/$NT$65)),0)</f>
        <v/>
      </c>
      <c r="LB65" s="402">
        <f>IF(AND(310&gt;=$NR$65,310&lt;=$NS$65),IF($NP$65="Single_Point",IF(310=$NR$65,$NN$65,0),IF($NP$65="Bell_Curve",$NN$65*(310-$NR$65+1)*($NS$65-310+1)/$NU$65,$NN$65/$NT$65)),0)</f>
        <v/>
      </c>
      <c r="LC65" s="402">
        <f>IF(AND(311&gt;=$NR$65,311&lt;=$NS$65),IF($NP$65="Single_Point",IF(311=$NR$65,$NN$65,0),IF($NP$65="Bell_Curve",$NN$65*(311-$NR$65+1)*($NS$65-311+1)/$NU$65,$NN$65/$NT$65)),0)</f>
        <v/>
      </c>
      <c r="LD65" s="402">
        <f>IF(AND(312&gt;=$NR$65,312&lt;=$NS$65),IF($NP$65="Single_Point",IF(312=$NR$65,$NN$65,0),IF($NP$65="Bell_Curve",$NN$65*(312-$NR$65+1)*($NS$65-312+1)/$NU$65,$NN$65/$NT$65)),0)</f>
        <v/>
      </c>
      <c r="LE65" s="402">
        <f>IF(AND(313&gt;=$NR$65,313&lt;=$NS$65),IF($NP$65="Single_Point",IF(313=$NR$65,$NN$65,0),IF($NP$65="Bell_Curve",$NN$65*(313-$NR$65+1)*($NS$65-313+1)/$NU$65,$NN$65/$NT$65)),0)</f>
        <v/>
      </c>
      <c r="LF65" s="402">
        <f>IF(AND(314&gt;=$NR$65,314&lt;=$NS$65),IF($NP$65="Single_Point",IF(314=$NR$65,$NN$65,0),IF($NP$65="Bell_Curve",$NN$65*(314-$NR$65+1)*($NS$65-314+1)/$NU$65,$NN$65/$NT$65)),0)</f>
        <v/>
      </c>
      <c r="LG65" s="402">
        <f>IF(AND(315&gt;=$NR$65,315&lt;=$NS$65),IF($NP$65="Single_Point",IF(315=$NR$65,$NN$65,0),IF($NP$65="Bell_Curve",$NN$65*(315-$NR$65+1)*($NS$65-315+1)/$NU$65,$NN$65/$NT$65)),0)</f>
        <v/>
      </c>
      <c r="LH65" s="402">
        <f>IF(AND(316&gt;=$NR$65,316&lt;=$NS$65),IF($NP$65="Single_Point",IF(316=$NR$65,$NN$65,0),IF($NP$65="Bell_Curve",$NN$65*(316-$NR$65+1)*($NS$65-316+1)/$NU$65,$NN$65/$NT$65)),0)</f>
        <v/>
      </c>
      <c r="LI65" s="402">
        <f>IF(AND(317&gt;=$NR$65,317&lt;=$NS$65),IF($NP$65="Single_Point",IF(317=$NR$65,$NN$65,0),IF($NP$65="Bell_Curve",$NN$65*(317-$NR$65+1)*($NS$65-317+1)/$NU$65,$NN$65/$NT$65)),0)</f>
        <v/>
      </c>
      <c r="LJ65" s="402">
        <f>IF(AND(318&gt;=$NR$65,318&lt;=$NS$65),IF($NP$65="Single_Point",IF(318=$NR$65,$NN$65,0),IF($NP$65="Bell_Curve",$NN$65*(318-$NR$65+1)*($NS$65-318+1)/$NU$65,$NN$65/$NT$65)),0)</f>
        <v/>
      </c>
      <c r="LK65" s="402">
        <f>IF(AND(319&gt;=$NR$65,319&lt;=$NS$65),IF($NP$65="Single_Point",IF(319=$NR$65,$NN$65,0),IF($NP$65="Bell_Curve",$NN$65*(319-$NR$65+1)*($NS$65-319+1)/$NU$65,$NN$65/$NT$65)),0)</f>
        <v/>
      </c>
      <c r="LL65" s="402">
        <f>IF(AND(320&gt;=$NR$65,320&lt;=$NS$65),IF($NP$65="Single_Point",IF(320=$NR$65,$NN$65,0),IF($NP$65="Bell_Curve",$NN$65*(320-$NR$65+1)*($NS$65-320+1)/$NU$65,$NN$65/$NT$65)),0)</f>
        <v/>
      </c>
      <c r="LM65" s="402">
        <f>IF(AND(321&gt;=$NR$65,321&lt;=$NS$65),IF($NP$65="Single_Point",IF(321=$NR$65,$NN$65,0),IF($NP$65="Bell_Curve",$NN$65*(321-$NR$65+1)*($NS$65-321+1)/$NU$65,$NN$65/$NT$65)),0)</f>
        <v/>
      </c>
      <c r="LN65" s="402">
        <f>IF(AND(322&gt;=$NR$65,322&lt;=$NS$65),IF($NP$65="Single_Point",IF(322=$NR$65,$NN$65,0),IF($NP$65="Bell_Curve",$NN$65*(322-$NR$65+1)*($NS$65-322+1)/$NU$65,$NN$65/$NT$65)),0)</f>
        <v/>
      </c>
      <c r="LO65" s="402">
        <f>IF(AND(323&gt;=$NR$65,323&lt;=$NS$65),IF($NP$65="Single_Point",IF(323=$NR$65,$NN$65,0),IF($NP$65="Bell_Curve",$NN$65*(323-$NR$65+1)*($NS$65-323+1)/$NU$65,$NN$65/$NT$65)),0)</f>
        <v/>
      </c>
      <c r="LP65" s="402">
        <f>IF(AND(324&gt;=$NR$65,324&lt;=$NS$65),IF($NP$65="Single_Point",IF(324=$NR$65,$NN$65,0),IF($NP$65="Bell_Curve",$NN$65*(324-$NR$65+1)*($NS$65-324+1)/$NU$65,$NN$65/$NT$65)),0)</f>
        <v/>
      </c>
      <c r="LQ65" s="402">
        <f>IF(AND(325&gt;=$NR$65,325&lt;=$NS$65),IF($NP$65="Single_Point",IF(325=$NR$65,$NN$65,0),IF($NP$65="Bell_Curve",$NN$65*(325-$NR$65+1)*($NS$65-325+1)/$NU$65,$NN$65/$NT$65)),0)</f>
        <v/>
      </c>
      <c r="LR65" s="402">
        <f>IF(AND(326&gt;=$NR$65,326&lt;=$NS$65),IF($NP$65="Single_Point",IF(326=$NR$65,$NN$65,0),IF($NP$65="Bell_Curve",$NN$65*(326-$NR$65+1)*($NS$65-326+1)/$NU$65,$NN$65/$NT$65)),0)</f>
        <v/>
      </c>
      <c r="LS65" s="402">
        <f>IF(AND(327&gt;=$NR$65,327&lt;=$NS$65),IF($NP$65="Single_Point",IF(327=$NR$65,$NN$65,0),IF($NP$65="Bell_Curve",$NN$65*(327-$NR$65+1)*($NS$65-327+1)/$NU$65,$NN$65/$NT$65)),0)</f>
        <v/>
      </c>
      <c r="LT65" s="402">
        <f>IF(AND(328&gt;=$NR$65,328&lt;=$NS$65),IF($NP$65="Single_Point",IF(328=$NR$65,$NN$65,0),IF($NP$65="Bell_Curve",$NN$65*(328-$NR$65+1)*($NS$65-328+1)/$NU$65,$NN$65/$NT$65)),0)</f>
        <v/>
      </c>
      <c r="LU65" s="402">
        <f>IF(AND(329&gt;=$NR$65,329&lt;=$NS$65),IF($NP$65="Single_Point",IF(329=$NR$65,$NN$65,0),IF($NP$65="Bell_Curve",$NN$65*(329-$NR$65+1)*($NS$65-329+1)/$NU$65,$NN$65/$NT$65)),0)</f>
        <v/>
      </c>
      <c r="LV65" s="402">
        <f>IF(AND(330&gt;=$NR$65,330&lt;=$NS$65),IF($NP$65="Single_Point",IF(330=$NR$65,$NN$65,0),IF($NP$65="Bell_Curve",$NN$65*(330-$NR$65+1)*($NS$65-330+1)/$NU$65,$NN$65/$NT$65)),0)</f>
        <v/>
      </c>
      <c r="LW65" s="402">
        <f>IF(AND(331&gt;=$NR$65,331&lt;=$NS$65),IF($NP$65="Single_Point",IF(331=$NR$65,$NN$65,0),IF($NP$65="Bell_Curve",$NN$65*(331-$NR$65+1)*($NS$65-331+1)/$NU$65,$NN$65/$NT$65)),0)</f>
        <v/>
      </c>
      <c r="LX65" s="402">
        <f>IF(AND(332&gt;=$NR$65,332&lt;=$NS$65),IF($NP$65="Single_Point",IF(332=$NR$65,$NN$65,0),IF($NP$65="Bell_Curve",$NN$65*(332-$NR$65+1)*($NS$65-332+1)/$NU$65,$NN$65/$NT$65)),0)</f>
        <v/>
      </c>
      <c r="LY65" s="402">
        <f>IF(AND(333&gt;=$NR$65,333&lt;=$NS$65),IF($NP$65="Single_Point",IF(333=$NR$65,$NN$65,0),IF($NP$65="Bell_Curve",$NN$65*(333-$NR$65+1)*($NS$65-333+1)/$NU$65,$NN$65/$NT$65)),0)</f>
        <v/>
      </c>
      <c r="LZ65" s="402">
        <f>IF(AND(334&gt;=$NR$65,334&lt;=$NS$65),IF($NP$65="Single_Point",IF(334=$NR$65,$NN$65,0),IF($NP$65="Bell_Curve",$NN$65*(334-$NR$65+1)*($NS$65-334+1)/$NU$65,$NN$65/$NT$65)),0)</f>
        <v/>
      </c>
      <c r="MA65" s="402">
        <f>IF(AND(335&gt;=$NR$65,335&lt;=$NS$65),IF($NP$65="Single_Point",IF(335=$NR$65,$NN$65,0),IF($NP$65="Bell_Curve",$NN$65*(335-$NR$65+1)*($NS$65-335+1)/$NU$65,$NN$65/$NT$65)),0)</f>
        <v/>
      </c>
      <c r="MB65" s="402">
        <f>IF(AND(336&gt;=$NR$65,336&lt;=$NS$65),IF($NP$65="Single_Point",IF(336=$NR$65,$NN$65,0),IF($NP$65="Bell_Curve",$NN$65*(336-$NR$65+1)*($NS$65-336+1)/$NU$65,$NN$65/$NT$65)),0)</f>
        <v/>
      </c>
      <c r="MC65" s="402">
        <f>IF(AND(337&gt;=$NR$65,337&lt;=$NS$65),IF($NP$65="Single_Point",IF(337=$NR$65,$NN$65,0),IF($NP$65="Bell_Curve",$NN$65*(337-$NR$65+1)*($NS$65-337+1)/$NU$65,$NN$65/$NT$65)),0)</f>
        <v/>
      </c>
      <c r="MD65" s="402">
        <f>IF(AND(338&gt;=$NR$65,338&lt;=$NS$65),IF($NP$65="Single_Point",IF(338=$NR$65,$NN$65,0),IF($NP$65="Bell_Curve",$NN$65*(338-$NR$65+1)*($NS$65-338+1)/$NU$65,$NN$65/$NT$65)),0)</f>
        <v/>
      </c>
      <c r="ME65" s="402">
        <f>IF(AND(339&gt;=$NR$65,339&lt;=$NS$65),IF($NP$65="Single_Point",IF(339=$NR$65,$NN$65,0),IF($NP$65="Bell_Curve",$NN$65*(339-$NR$65+1)*($NS$65-339+1)/$NU$65,$NN$65/$NT$65)),0)</f>
        <v/>
      </c>
      <c r="MF65" s="402">
        <f>IF(AND(340&gt;=$NR$65,340&lt;=$NS$65),IF($NP$65="Single_Point",IF(340=$NR$65,$NN$65,0),IF($NP$65="Bell_Curve",$NN$65*(340-$NR$65+1)*($NS$65-340+1)/$NU$65,$NN$65/$NT$65)),0)</f>
        <v/>
      </c>
      <c r="MG65" s="402">
        <f>IF(AND(341&gt;=$NR$65,341&lt;=$NS$65),IF($NP$65="Single_Point",IF(341=$NR$65,$NN$65,0),IF($NP$65="Bell_Curve",$NN$65*(341-$NR$65+1)*($NS$65-341+1)/$NU$65,$NN$65/$NT$65)),0)</f>
        <v/>
      </c>
      <c r="MH65" s="402">
        <f>IF(AND(342&gt;=$NR$65,342&lt;=$NS$65),IF($NP$65="Single_Point",IF(342=$NR$65,$NN$65,0),IF($NP$65="Bell_Curve",$NN$65*(342-$NR$65+1)*($NS$65-342+1)/$NU$65,$NN$65/$NT$65)),0)</f>
        <v/>
      </c>
      <c r="MI65" s="402">
        <f>IF(AND(343&gt;=$NR$65,343&lt;=$NS$65),IF($NP$65="Single_Point",IF(343=$NR$65,$NN$65,0),IF($NP$65="Bell_Curve",$NN$65*(343-$NR$65+1)*($NS$65-343+1)/$NU$65,$NN$65/$NT$65)),0)</f>
        <v/>
      </c>
      <c r="MJ65" s="402">
        <f>IF(AND(344&gt;=$NR$65,344&lt;=$NS$65),IF($NP$65="Single_Point",IF(344=$NR$65,$NN$65,0),IF($NP$65="Bell_Curve",$NN$65*(344-$NR$65+1)*($NS$65-344+1)/$NU$65,$NN$65/$NT$65)),0)</f>
        <v/>
      </c>
      <c r="MK65" s="402">
        <f>IF(AND(345&gt;=$NR$65,345&lt;=$NS$65),IF($NP$65="Single_Point",IF(345=$NR$65,$NN$65,0),IF($NP$65="Bell_Curve",$NN$65*(345-$NR$65+1)*($NS$65-345+1)/$NU$65,$NN$65/$NT$65)),0)</f>
        <v/>
      </c>
      <c r="ML65" s="402">
        <f>IF(AND(346&gt;=$NR$65,346&lt;=$NS$65),IF($NP$65="Single_Point",IF(346=$NR$65,$NN$65,0),IF($NP$65="Bell_Curve",$NN$65*(346-$NR$65+1)*($NS$65-346+1)/$NU$65,$NN$65/$NT$65)),0)</f>
        <v/>
      </c>
      <c r="MM65" s="402">
        <f>IF(AND(347&gt;=$NR$65,347&lt;=$NS$65),IF($NP$65="Single_Point",IF(347=$NR$65,$NN$65,0),IF($NP$65="Bell_Curve",$NN$65*(347-$NR$65+1)*($NS$65-347+1)/$NU$65,$NN$65/$NT$65)),0)</f>
        <v/>
      </c>
      <c r="MN65" s="402">
        <f>IF(AND(348&gt;=$NR$65,348&lt;=$NS$65),IF($NP$65="Single_Point",IF(348=$NR$65,$NN$65,0),IF($NP$65="Bell_Curve",$NN$65*(348-$NR$65+1)*($NS$65-348+1)/$NU$65,$NN$65/$NT$65)),0)</f>
        <v/>
      </c>
      <c r="MO65" s="402">
        <f>IF(AND(349&gt;=$NR$65,349&lt;=$NS$65),IF($NP$65="Single_Point",IF(349=$NR$65,$NN$65,0),IF($NP$65="Bell_Curve",$NN$65*(349-$NR$65+1)*($NS$65-349+1)/$NU$65,$NN$65/$NT$65)),0)</f>
        <v/>
      </c>
      <c r="MP65" s="402">
        <f>IF(AND(350&gt;=$NR$65,350&lt;=$NS$65),IF($NP$65="Single_Point",IF(350=$NR$65,$NN$65,0),IF($NP$65="Bell_Curve",$NN$65*(350-$NR$65+1)*($NS$65-350+1)/$NU$65,$NN$65/$NT$65)),0)</f>
        <v/>
      </c>
      <c r="MQ65" s="402">
        <f>IF(AND(351&gt;=$NR$65,351&lt;=$NS$65),IF($NP$65="Single_Point",IF(351=$NR$65,$NN$65,0),IF($NP$65="Bell_Curve",$NN$65*(351-$NR$65+1)*($NS$65-351+1)/$NU$65,$NN$65/$NT$65)),0)</f>
        <v/>
      </c>
      <c r="MR65" s="402">
        <f>IF(AND(352&gt;=$NR$65,352&lt;=$NS$65),IF($NP$65="Single_Point",IF(352=$NR$65,$NN$65,0),IF($NP$65="Bell_Curve",$NN$65*(352-$NR$65+1)*($NS$65-352+1)/$NU$65,$NN$65/$NT$65)),0)</f>
        <v/>
      </c>
      <c r="MS65" s="402">
        <f>IF(AND(353&gt;=$NR$65,353&lt;=$NS$65),IF($NP$65="Single_Point",IF(353=$NR$65,$NN$65,0),IF($NP$65="Bell_Curve",$NN$65*(353-$NR$65+1)*($NS$65-353+1)/$NU$65,$NN$65/$NT$65)),0)</f>
        <v/>
      </c>
      <c r="MT65" s="402">
        <f>IF(AND(354&gt;=$NR$65,354&lt;=$NS$65),IF($NP$65="Single_Point",IF(354=$NR$65,$NN$65,0),IF($NP$65="Bell_Curve",$NN$65*(354-$NR$65+1)*($NS$65-354+1)/$NU$65,$NN$65/$NT$65)),0)</f>
        <v/>
      </c>
      <c r="MU65" s="402">
        <f>IF(AND(355&gt;=$NR$65,355&lt;=$NS$65),IF($NP$65="Single_Point",IF(355=$NR$65,$NN$65,0),IF($NP$65="Bell_Curve",$NN$65*(355-$NR$65+1)*($NS$65-355+1)/$NU$65,$NN$65/$NT$65)),0)</f>
        <v/>
      </c>
      <c r="MV65" s="402">
        <f>IF(AND(356&gt;=$NR$65,356&lt;=$NS$65),IF($NP$65="Single_Point",IF(356=$NR$65,$NN$65,0),IF($NP$65="Bell_Curve",$NN$65*(356-$NR$65+1)*($NS$65-356+1)/$NU$65,$NN$65/$NT$65)),0)</f>
        <v/>
      </c>
      <c r="MW65" s="402">
        <f>IF(AND(357&gt;=$NR$65,357&lt;=$NS$65),IF($NP$65="Single_Point",IF(357=$NR$65,$NN$65,0),IF($NP$65="Bell_Curve",$NN$65*(357-$NR$65+1)*($NS$65-357+1)/$NU$65,$NN$65/$NT$65)),0)</f>
        <v/>
      </c>
      <c r="MX65" s="402">
        <f>IF(AND(358&gt;=$NR$65,358&lt;=$NS$65),IF($NP$65="Single_Point",IF(358=$NR$65,$NN$65,0),IF($NP$65="Bell_Curve",$NN$65*(358-$NR$65+1)*($NS$65-358+1)/$NU$65,$NN$65/$NT$65)),0)</f>
        <v/>
      </c>
      <c r="MY65" s="402">
        <f>IF(AND(359&gt;=$NR$65,359&lt;=$NS$65),IF($NP$65="Single_Point",IF(359=$NR$65,$NN$65,0),IF($NP$65="Bell_Curve",$NN$65*(359-$NR$65+1)*($NS$65-359+1)/$NU$65,$NN$65/$NT$65)),0)</f>
        <v/>
      </c>
      <c r="MZ65" s="402">
        <f>IF(AND(360&gt;=$NR$65,360&lt;=$NS$65),IF($NP$65="Single_Point",IF(360=$NR$65,$NN$65,0),IF($NP$65="Bell_Curve",$NN$65*(360-$NR$65+1)*($NS$65-360+1)/$NU$65,$NN$65/$NT$65)),0)</f>
        <v/>
      </c>
      <c r="NA65" s="402">
        <f>IF(AND(361&gt;=$NR$65,361&lt;=$NS$65),IF($NP$65="Single_Point",IF(361=$NR$65,$NN$65,0),IF($NP$65="Bell_Curve",$NN$65*(361-$NR$65+1)*($NS$65-361+1)/$NU$65,$NN$65/$NT$65)),0)</f>
        <v/>
      </c>
      <c r="NB65" s="402">
        <f>IF(AND(362&gt;=$NR$65,362&lt;=$NS$65),IF($NP$65="Single_Point",IF(362=$NR$65,$NN$65,0),IF($NP$65="Bell_Curve",$NN$65*(362-$NR$65+1)*($NS$65-362+1)/$NU$65,$NN$65/$NT$65)),0)</f>
        <v/>
      </c>
      <c r="NC65" s="402">
        <f>IF(AND(363&gt;=$NR$65,363&lt;=$NS$65),IF($NP$65="Single_Point",IF(363=$NR$65,$NN$65,0),IF($NP$65="Bell_Curve",$NN$65*(363-$NR$65+1)*($NS$65-363+1)/$NU$65,$NN$65/$NT$65)),0)</f>
        <v/>
      </c>
      <c r="ND65" s="402">
        <f>IF(AND(364&gt;=$NR$65,364&lt;=$NS$65),IF($NP$65="Single_Point",IF(364=$NR$65,$NN$65,0),IF($NP$65="Bell_Curve",$NN$65*(364-$NR$65+1)*($NS$65-364+1)/$NU$65,$NN$65/$NT$65)),0)</f>
        <v/>
      </c>
      <c r="NE65" s="402">
        <f>IF(AND(365&gt;=$NR$65,365&lt;=$NS$65),IF($NP$65="Single_Point",IF(365=$NR$65,$NN$65,0),IF($NP$65="Bell_Curve",$NN$65*(365-$NR$65+1)*($NS$65-365+1)/$NU$65,$NN$65/$NT$65)),0)</f>
        <v/>
      </c>
      <c r="NF65" s="402">
        <f>IF(AND(366&gt;=$NR$65,366&lt;=$NS$65),IF($NP$65="Single_Point",IF(366=$NR$65,$NN$65,0),IF($NP$65="Bell_Curve",$NN$65*(366-$NR$65+1)*($NS$65-366+1)/$NU$65,$NN$65/$NT$65)),0)</f>
        <v/>
      </c>
      <c r="NG65" s="402">
        <f>IF(AND(367&gt;=$NR$65,367&lt;=$NS$65),IF($NP$65="Single_Point",IF(367=$NR$65,$NN$65,0),IF($NP$65="Bell_Curve",$NN$65*(367-$NR$65+1)*($NS$65-367+1)/$NU$65,$NN$65/$NT$65)),0)</f>
        <v/>
      </c>
      <c r="NH65" s="402">
        <f>IF(AND(368&gt;=$NR$65,368&lt;=$NS$65),IF($NP$65="Single_Point",IF(368=$NR$65,$NN$65,0),IF($NP$65="Bell_Curve",$NN$65*(368-$NR$65+1)*($NS$65-368+1)/$NU$65,$NN$65/$NT$65)),0)</f>
        <v/>
      </c>
      <c r="NI65" s="402">
        <f>IF(AND(369&gt;=$NR$65,369&lt;=$NS$65),IF($NP$65="Single_Point",IF(369=$NR$65,$NN$65,0),IF($NP$65="Bell_Curve",$NN$65*(369-$NR$65+1)*($NS$65-369+1)/$NU$65,$NN$65/$NT$65)),0)</f>
        <v/>
      </c>
      <c r="NJ65" s="402">
        <f>IF(AND(370&gt;=$NR$65,370&lt;=$NS$65),IF($NP$65="Single_Point",IF(370=$NR$65,$NN$65,0),IF($NP$65="Bell_Curve",$NN$65*(370-$NR$65+1)*($NS$65-370+1)/$NU$65,$NN$65/$NT$65)),0)</f>
        <v/>
      </c>
      <c r="NK65" s="402">
        <f>IF(AND(371&gt;=$NR$65,371&lt;=$NS$65),IF($NP$65="Single_Point",IF(371=$NR$65,$NN$65,0),IF($NP$65="Bell_Curve",$NN$65*(371-$NR$65+1)*($NS$65-371+1)/$NU$65,$NN$65/$NT$65)),0)</f>
        <v/>
      </c>
      <c r="NL65" s="402">
        <f>IF(AND(372&gt;=$NR$65,372&lt;=$NS$65),IF($NP$65="Single_Point",IF(372=$NR$65,$NN$65,0),IF($NP$65="Bell_Curve",$NN$65*(372-$NR$65+1)*($NS$65-372+1)/$NU$65,$NN$65/$NT$65)),0)</f>
        <v/>
      </c>
      <c r="NM65">
        <f>Budget!C64</f>
        <v/>
      </c>
      <c r="NN65">
        <f>Budget!J64</f>
        <v/>
      </c>
      <c r="NO65">
        <f>Budget!G64</f>
        <v/>
      </c>
      <c r="NP65">
        <f>Budget!H64</f>
        <v/>
      </c>
      <c r="NQ65">
        <f>Budget!I64</f>
        <v/>
      </c>
      <c r="NR65">
        <f>MAX(1,MIN(372,INDEX(MilestoneStart,MATCH(NO65,MilestoneNames,0))+NQ65))</f>
        <v/>
      </c>
      <c r="NS65">
        <f>MAX(NR65,MIN(372,INDEX(MilestoneEnd,MATCH(NO65,MilestoneNames,0))+NQ65))</f>
        <v/>
      </c>
      <c r="NT65">
        <f>NS65-NR65+1</f>
        <v/>
      </c>
      <c r="NU65">
        <f>NT65*(NT65+1)*(NT65+2)/6</f>
        <v/>
      </c>
    </row>
    <row r="66">
      <c r="B66" s="316">
        <f>Budget!B65</f>
        <v/>
      </c>
      <c r="D66" s="402">
        <f>SUM(E66:NL66)</f>
        <v/>
      </c>
      <c r="E66" s="402">
        <f>IF(AND(1&gt;=$NR$66,1&lt;=$NS$66),IF($NP$66="Single_Point",IF(1=$NR$66,$NN$66,0),IF($NP$66="Bell_Curve",$NN$66*(1-$NR$66+1)*($NS$66-1+1)/$NU$66,$NN$66/$NT$66)),0)</f>
        <v/>
      </c>
      <c r="F66" s="402">
        <f>IF(AND(2&gt;=$NR$66,2&lt;=$NS$66),IF($NP$66="Single_Point",IF(2=$NR$66,$NN$66,0),IF($NP$66="Bell_Curve",$NN$66*(2-$NR$66+1)*($NS$66-2+1)/$NU$66,$NN$66/$NT$66)),0)</f>
        <v/>
      </c>
      <c r="G66" s="402">
        <f>IF(AND(3&gt;=$NR$66,3&lt;=$NS$66),IF($NP$66="Single_Point",IF(3=$NR$66,$NN$66,0),IF($NP$66="Bell_Curve",$NN$66*(3-$NR$66+1)*($NS$66-3+1)/$NU$66,$NN$66/$NT$66)),0)</f>
        <v/>
      </c>
      <c r="H66" s="402">
        <f>IF(AND(4&gt;=$NR$66,4&lt;=$NS$66),IF($NP$66="Single_Point",IF(4=$NR$66,$NN$66,0),IF($NP$66="Bell_Curve",$NN$66*(4-$NR$66+1)*($NS$66-4+1)/$NU$66,$NN$66/$NT$66)),0)</f>
        <v/>
      </c>
      <c r="I66" s="402">
        <f>IF(AND(5&gt;=$NR$66,5&lt;=$NS$66),IF($NP$66="Single_Point",IF(5=$NR$66,$NN$66,0),IF($NP$66="Bell_Curve",$NN$66*(5-$NR$66+1)*($NS$66-5+1)/$NU$66,$NN$66/$NT$66)),0)</f>
        <v/>
      </c>
      <c r="J66" s="402">
        <f>IF(AND(6&gt;=$NR$66,6&lt;=$NS$66),IF($NP$66="Single_Point",IF(6=$NR$66,$NN$66,0),IF($NP$66="Bell_Curve",$NN$66*(6-$NR$66+1)*($NS$66-6+1)/$NU$66,$NN$66/$NT$66)),0)</f>
        <v/>
      </c>
      <c r="K66" s="402">
        <f>IF(AND(7&gt;=$NR$66,7&lt;=$NS$66),IF($NP$66="Single_Point",IF(7=$NR$66,$NN$66,0),IF($NP$66="Bell_Curve",$NN$66*(7-$NR$66+1)*($NS$66-7+1)/$NU$66,$NN$66/$NT$66)),0)</f>
        <v/>
      </c>
      <c r="L66" s="402">
        <f>IF(AND(8&gt;=$NR$66,8&lt;=$NS$66),IF($NP$66="Single_Point",IF(8=$NR$66,$NN$66,0),IF($NP$66="Bell_Curve",$NN$66*(8-$NR$66+1)*($NS$66-8+1)/$NU$66,$NN$66/$NT$66)),0)</f>
        <v/>
      </c>
      <c r="M66" s="402">
        <f>IF(AND(9&gt;=$NR$66,9&lt;=$NS$66),IF($NP$66="Single_Point",IF(9=$NR$66,$NN$66,0),IF($NP$66="Bell_Curve",$NN$66*(9-$NR$66+1)*($NS$66-9+1)/$NU$66,$NN$66/$NT$66)),0)</f>
        <v/>
      </c>
      <c r="N66" s="402">
        <f>IF(AND(10&gt;=$NR$66,10&lt;=$NS$66),IF($NP$66="Single_Point",IF(10=$NR$66,$NN$66,0),IF($NP$66="Bell_Curve",$NN$66*(10-$NR$66+1)*($NS$66-10+1)/$NU$66,$NN$66/$NT$66)),0)</f>
        <v/>
      </c>
      <c r="O66" s="402">
        <f>IF(AND(11&gt;=$NR$66,11&lt;=$NS$66),IF($NP$66="Single_Point",IF(11=$NR$66,$NN$66,0),IF($NP$66="Bell_Curve",$NN$66*(11-$NR$66+1)*($NS$66-11+1)/$NU$66,$NN$66/$NT$66)),0)</f>
        <v/>
      </c>
      <c r="P66" s="402">
        <f>IF(AND(12&gt;=$NR$66,12&lt;=$NS$66),IF($NP$66="Single_Point",IF(12=$NR$66,$NN$66,0),IF($NP$66="Bell_Curve",$NN$66*(12-$NR$66+1)*($NS$66-12+1)/$NU$66,$NN$66/$NT$66)),0)</f>
        <v/>
      </c>
      <c r="Q66" s="402">
        <f>IF(AND(13&gt;=$NR$66,13&lt;=$NS$66),IF($NP$66="Single_Point",IF(13=$NR$66,$NN$66,0),IF($NP$66="Bell_Curve",$NN$66*(13-$NR$66+1)*($NS$66-13+1)/$NU$66,$NN$66/$NT$66)),0)</f>
        <v/>
      </c>
      <c r="R66" s="402">
        <f>IF(AND(14&gt;=$NR$66,14&lt;=$NS$66),IF($NP$66="Single_Point",IF(14=$NR$66,$NN$66,0),IF($NP$66="Bell_Curve",$NN$66*(14-$NR$66+1)*($NS$66-14+1)/$NU$66,$NN$66/$NT$66)),0)</f>
        <v/>
      </c>
      <c r="S66" s="402">
        <f>IF(AND(15&gt;=$NR$66,15&lt;=$NS$66),IF($NP$66="Single_Point",IF(15=$NR$66,$NN$66,0),IF($NP$66="Bell_Curve",$NN$66*(15-$NR$66+1)*($NS$66-15+1)/$NU$66,$NN$66/$NT$66)),0)</f>
        <v/>
      </c>
      <c r="T66" s="402">
        <f>IF(AND(16&gt;=$NR$66,16&lt;=$NS$66),IF($NP$66="Single_Point",IF(16=$NR$66,$NN$66,0),IF($NP$66="Bell_Curve",$NN$66*(16-$NR$66+1)*($NS$66-16+1)/$NU$66,$NN$66/$NT$66)),0)</f>
        <v/>
      </c>
      <c r="U66" s="402">
        <f>IF(AND(17&gt;=$NR$66,17&lt;=$NS$66),IF($NP$66="Single_Point",IF(17=$NR$66,$NN$66,0),IF($NP$66="Bell_Curve",$NN$66*(17-$NR$66+1)*($NS$66-17+1)/$NU$66,$NN$66/$NT$66)),0)</f>
        <v/>
      </c>
      <c r="V66" s="402">
        <f>IF(AND(18&gt;=$NR$66,18&lt;=$NS$66),IF($NP$66="Single_Point",IF(18=$NR$66,$NN$66,0),IF($NP$66="Bell_Curve",$NN$66*(18-$NR$66+1)*($NS$66-18+1)/$NU$66,$NN$66/$NT$66)),0)</f>
        <v/>
      </c>
      <c r="W66" s="402">
        <f>IF(AND(19&gt;=$NR$66,19&lt;=$NS$66),IF($NP$66="Single_Point",IF(19=$NR$66,$NN$66,0),IF($NP$66="Bell_Curve",$NN$66*(19-$NR$66+1)*($NS$66-19+1)/$NU$66,$NN$66/$NT$66)),0)</f>
        <v/>
      </c>
      <c r="X66" s="402">
        <f>IF(AND(20&gt;=$NR$66,20&lt;=$NS$66),IF($NP$66="Single_Point",IF(20=$NR$66,$NN$66,0),IF($NP$66="Bell_Curve",$NN$66*(20-$NR$66+1)*($NS$66-20+1)/$NU$66,$NN$66/$NT$66)),0)</f>
        <v/>
      </c>
      <c r="Y66" s="402">
        <f>IF(AND(21&gt;=$NR$66,21&lt;=$NS$66),IF($NP$66="Single_Point",IF(21=$NR$66,$NN$66,0),IF($NP$66="Bell_Curve",$NN$66*(21-$NR$66+1)*($NS$66-21+1)/$NU$66,$NN$66/$NT$66)),0)</f>
        <v/>
      </c>
      <c r="Z66" s="402">
        <f>IF(AND(22&gt;=$NR$66,22&lt;=$NS$66),IF($NP$66="Single_Point",IF(22=$NR$66,$NN$66,0),IF($NP$66="Bell_Curve",$NN$66*(22-$NR$66+1)*($NS$66-22+1)/$NU$66,$NN$66/$NT$66)),0)</f>
        <v/>
      </c>
      <c r="AA66" s="402">
        <f>IF(AND(23&gt;=$NR$66,23&lt;=$NS$66),IF($NP$66="Single_Point",IF(23=$NR$66,$NN$66,0),IF($NP$66="Bell_Curve",$NN$66*(23-$NR$66+1)*($NS$66-23+1)/$NU$66,$NN$66/$NT$66)),0)</f>
        <v/>
      </c>
      <c r="AB66" s="402">
        <f>IF(AND(24&gt;=$NR$66,24&lt;=$NS$66),IF($NP$66="Single_Point",IF(24=$NR$66,$NN$66,0),IF($NP$66="Bell_Curve",$NN$66*(24-$NR$66+1)*($NS$66-24+1)/$NU$66,$NN$66/$NT$66)),0)</f>
        <v/>
      </c>
      <c r="AC66" s="402">
        <f>IF(AND(25&gt;=$NR$66,25&lt;=$NS$66),IF($NP$66="Single_Point",IF(25=$NR$66,$NN$66,0),IF($NP$66="Bell_Curve",$NN$66*(25-$NR$66+1)*($NS$66-25+1)/$NU$66,$NN$66/$NT$66)),0)</f>
        <v/>
      </c>
      <c r="AD66" s="402">
        <f>IF(AND(26&gt;=$NR$66,26&lt;=$NS$66),IF($NP$66="Single_Point",IF(26=$NR$66,$NN$66,0),IF($NP$66="Bell_Curve",$NN$66*(26-$NR$66+1)*($NS$66-26+1)/$NU$66,$NN$66/$NT$66)),0)</f>
        <v/>
      </c>
      <c r="AE66" s="402">
        <f>IF(AND(27&gt;=$NR$66,27&lt;=$NS$66),IF($NP$66="Single_Point",IF(27=$NR$66,$NN$66,0),IF($NP$66="Bell_Curve",$NN$66*(27-$NR$66+1)*($NS$66-27+1)/$NU$66,$NN$66/$NT$66)),0)</f>
        <v/>
      </c>
      <c r="AF66" s="402">
        <f>IF(AND(28&gt;=$NR$66,28&lt;=$NS$66),IF($NP$66="Single_Point",IF(28=$NR$66,$NN$66,0),IF($NP$66="Bell_Curve",$NN$66*(28-$NR$66+1)*($NS$66-28+1)/$NU$66,$NN$66/$NT$66)),0)</f>
        <v/>
      </c>
      <c r="AG66" s="402">
        <f>IF(AND(29&gt;=$NR$66,29&lt;=$NS$66),IF($NP$66="Single_Point",IF(29=$NR$66,$NN$66,0),IF($NP$66="Bell_Curve",$NN$66*(29-$NR$66+1)*($NS$66-29+1)/$NU$66,$NN$66/$NT$66)),0)</f>
        <v/>
      </c>
      <c r="AH66" s="402">
        <f>IF(AND(30&gt;=$NR$66,30&lt;=$NS$66),IF($NP$66="Single_Point",IF(30=$NR$66,$NN$66,0),IF($NP$66="Bell_Curve",$NN$66*(30-$NR$66+1)*($NS$66-30+1)/$NU$66,$NN$66/$NT$66)),0)</f>
        <v/>
      </c>
      <c r="AI66" s="402">
        <f>IF(AND(31&gt;=$NR$66,31&lt;=$NS$66),IF($NP$66="Single_Point",IF(31=$NR$66,$NN$66,0),IF($NP$66="Bell_Curve",$NN$66*(31-$NR$66+1)*($NS$66-31+1)/$NU$66,$NN$66/$NT$66)),0)</f>
        <v/>
      </c>
      <c r="AJ66" s="402">
        <f>IF(AND(32&gt;=$NR$66,32&lt;=$NS$66),IF($NP$66="Single_Point",IF(32=$NR$66,$NN$66,0),IF($NP$66="Bell_Curve",$NN$66*(32-$NR$66+1)*($NS$66-32+1)/$NU$66,$NN$66/$NT$66)),0)</f>
        <v/>
      </c>
      <c r="AK66" s="402">
        <f>IF(AND(33&gt;=$NR$66,33&lt;=$NS$66),IF($NP$66="Single_Point",IF(33=$NR$66,$NN$66,0),IF($NP$66="Bell_Curve",$NN$66*(33-$NR$66+1)*($NS$66-33+1)/$NU$66,$NN$66/$NT$66)),0)</f>
        <v/>
      </c>
      <c r="AL66" s="402">
        <f>IF(AND(34&gt;=$NR$66,34&lt;=$NS$66),IF($NP$66="Single_Point",IF(34=$NR$66,$NN$66,0),IF($NP$66="Bell_Curve",$NN$66*(34-$NR$66+1)*($NS$66-34+1)/$NU$66,$NN$66/$NT$66)),0)</f>
        <v/>
      </c>
      <c r="AM66" s="402">
        <f>IF(AND(35&gt;=$NR$66,35&lt;=$NS$66),IF($NP$66="Single_Point",IF(35=$NR$66,$NN$66,0),IF($NP$66="Bell_Curve",$NN$66*(35-$NR$66+1)*($NS$66-35+1)/$NU$66,$NN$66/$NT$66)),0)</f>
        <v/>
      </c>
      <c r="AN66" s="402">
        <f>IF(AND(36&gt;=$NR$66,36&lt;=$NS$66),IF($NP$66="Single_Point",IF(36=$NR$66,$NN$66,0),IF($NP$66="Bell_Curve",$NN$66*(36-$NR$66+1)*($NS$66-36+1)/$NU$66,$NN$66/$NT$66)),0)</f>
        <v/>
      </c>
      <c r="AO66" s="402">
        <f>IF(AND(37&gt;=$NR$66,37&lt;=$NS$66),IF($NP$66="Single_Point",IF(37=$NR$66,$NN$66,0),IF($NP$66="Bell_Curve",$NN$66*(37-$NR$66+1)*($NS$66-37+1)/$NU$66,$NN$66/$NT$66)),0)</f>
        <v/>
      </c>
      <c r="AP66" s="402">
        <f>IF(AND(38&gt;=$NR$66,38&lt;=$NS$66),IF($NP$66="Single_Point",IF(38=$NR$66,$NN$66,0),IF($NP$66="Bell_Curve",$NN$66*(38-$NR$66+1)*($NS$66-38+1)/$NU$66,$NN$66/$NT$66)),0)</f>
        <v/>
      </c>
      <c r="AQ66" s="402">
        <f>IF(AND(39&gt;=$NR$66,39&lt;=$NS$66),IF($NP$66="Single_Point",IF(39=$NR$66,$NN$66,0),IF($NP$66="Bell_Curve",$NN$66*(39-$NR$66+1)*($NS$66-39+1)/$NU$66,$NN$66/$NT$66)),0)</f>
        <v/>
      </c>
      <c r="AR66" s="402">
        <f>IF(AND(40&gt;=$NR$66,40&lt;=$NS$66),IF($NP$66="Single_Point",IF(40=$NR$66,$NN$66,0),IF($NP$66="Bell_Curve",$NN$66*(40-$NR$66+1)*($NS$66-40+1)/$NU$66,$NN$66/$NT$66)),0)</f>
        <v/>
      </c>
      <c r="AS66" s="402">
        <f>IF(AND(41&gt;=$NR$66,41&lt;=$NS$66),IF($NP$66="Single_Point",IF(41=$NR$66,$NN$66,0),IF($NP$66="Bell_Curve",$NN$66*(41-$NR$66+1)*($NS$66-41+1)/$NU$66,$NN$66/$NT$66)),0)</f>
        <v/>
      </c>
      <c r="AT66" s="402">
        <f>IF(AND(42&gt;=$NR$66,42&lt;=$NS$66),IF($NP$66="Single_Point",IF(42=$NR$66,$NN$66,0),IF($NP$66="Bell_Curve",$NN$66*(42-$NR$66+1)*($NS$66-42+1)/$NU$66,$NN$66/$NT$66)),0)</f>
        <v/>
      </c>
      <c r="AU66" s="402">
        <f>IF(AND(43&gt;=$NR$66,43&lt;=$NS$66),IF($NP$66="Single_Point",IF(43=$NR$66,$NN$66,0),IF($NP$66="Bell_Curve",$NN$66*(43-$NR$66+1)*($NS$66-43+1)/$NU$66,$NN$66/$NT$66)),0)</f>
        <v/>
      </c>
      <c r="AV66" s="402">
        <f>IF(AND(44&gt;=$NR$66,44&lt;=$NS$66),IF($NP$66="Single_Point",IF(44=$NR$66,$NN$66,0),IF($NP$66="Bell_Curve",$NN$66*(44-$NR$66+1)*($NS$66-44+1)/$NU$66,$NN$66/$NT$66)),0)</f>
        <v/>
      </c>
      <c r="AW66" s="402">
        <f>IF(AND(45&gt;=$NR$66,45&lt;=$NS$66),IF($NP$66="Single_Point",IF(45=$NR$66,$NN$66,0),IF($NP$66="Bell_Curve",$NN$66*(45-$NR$66+1)*($NS$66-45+1)/$NU$66,$NN$66/$NT$66)),0)</f>
        <v/>
      </c>
      <c r="AX66" s="402">
        <f>IF(AND(46&gt;=$NR$66,46&lt;=$NS$66),IF($NP$66="Single_Point",IF(46=$NR$66,$NN$66,0),IF($NP$66="Bell_Curve",$NN$66*(46-$NR$66+1)*($NS$66-46+1)/$NU$66,$NN$66/$NT$66)),0)</f>
        <v/>
      </c>
      <c r="AY66" s="402">
        <f>IF(AND(47&gt;=$NR$66,47&lt;=$NS$66),IF($NP$66="Single_Point",IF(47=$NR$66,$NN$66,0),IF($NP$66="Bell_Curve",$NN$66*(47-$NR$66+1)*($NS$66-47+1)/$NU$66,$NN$66/$NT$66)),0)</f>
        <v/>
      </c>
      <c r="AZ66" s="402">
        <f>IF(AND(48&gt;=$NR$66,48&lt;=$NS$66),IF($NP$66="Single_Point",IF(48=$NR$66,$NN$66,0),IF($NP$66="Bell_Curve",$NN$66*(48-$NR$66+1)*($NS$66-48+1)/$NU$66,$NN$66/$NT$66)),0)</f>
        <v/>
      </c>
      <c r="BA66" s="402">
        <f>IF(AND(49&gt;=$NR$66,49&lt;=$NS$66),IF($NP$66="Single_Point",IF(49=$NR$66,$NN$66,0),IF($NP$66="Bell_Curve",$NN$66*(49-$NR$66+1)*($NS$66-49+1)/$NU$66,$NN$66/$NT$66)),0)</f>
        <v/>
      </c>
      <c r="BB66" s="402">
        <f>IF(AND(50&gt;=$NR$66,50&lt;=$NS$66),IF($NP$66="Single_Point",IF(50=$NR$66,$NN$66,0),IF($NP$66="Bell_Curve",$NN$66*(50-$NR$66+1)*($NS$66-50+1)/$NU$66,$NN$66/$NT$66)),0)</f>
        <v/>
      </c>
      <c r="BC66" s="402">
        <f>IF(AND(51&gt;=$NR$66,51&lt;=$NS$66),IF($NP$66="Single_Point",IF(51=$NR$66,$NN$66,0),IF($NP$66="Bell_Curve",$NN$66*(51-$NR$66+1)*($NS$66-51+1)/$NU$66,$NN$66/$NT$66)),0)</f>
        <v/>
      </c>
      <c r="BD66" s="402">
        <f>IF(AND(52&gt;=$NR$66,52&lt;=$NS$66),IF($NP$66="Single_Point",IF(52=$NR$66,$NN$66,0),IF($NP$66="Bell_Curve",$NN$66*(52-$NR$66+1)*($NS$66-52+1)/$NU$66,$NN$66/$NT$66)),0)</f>
        <v/>
      </c>
      <c r="BE66" s="402">
        <f>IF(AND(53&gt;=$NR$66,53&lt;=$NS$66),IF($NP$66="Single_Point",IF(53=$NR$66,$NN$66,0),IF($NP$66="Bell_Curve",$NN$66*(53-$NR$66+1)*($NS$66-53+1)/$NU$66,$NN$66/$NT$66)),0)</f>
        <v/>
      </c>
      <c r="BF66" s="402">
        <f>IF(AND(54&gt;=$NR$66,54&lt;=$NS$66),IF($NP$66="Single_Point",IF(54=$NR$66,$NN$66,0),IF($NP$66="Bell_Curve",$NN$66*(54-$NR$66+1)*($NS$66-54+1)/$NU$66,$NN$66/$NT$66)),0)</f>
        <v/>
      </c>
      <c r="BG66" s="402">
        <f>IF(AND(55&gt;=$NR$66,55&lt;=$NS$66),IF($NP$66="Single_Point",IF(55=$NR$66,$NN$66,0),IF($NP$66="Bell_Curve",$NN$66*(55-$NR$66+1)*($NS$66-55+1)/$NU$66,$NN$66/$NT$66)),0)</f>
        <v/>
      </c>
      <c r="BH66" s="402">
        <f>IF(AND(56&gt;=$NR$66,56&lt;=$NS$66),IF($NP$66="Single_Point",IF(56=$NR$66,$NN$66,0),IF($NP$66="Bell_Curve",$NN$66*(56-$NR$66+1)*($NS$66-56+1)/$NU$66,$NN$66/$NT$66)),0)</f>
        <v/>
      </c>
      <c r="BI66" s="402">
        <f>IF(AND(57&gt;=$NR$66,57&lt;=$NS$66),IF($NP$66="Single_Point",IF(57=$NR$66,$NN$66,0),IF($NP$66="Bell_Curve",$NN$66*(57-$NR$66+1)*($NS$66-57+1)/$NU$66,$NN$66/$NT$66)),0)</f>
        <v/>
      </c>
      <c r="BJ66" s="402">
        <f>IF(AND(58&gt;=$NR$66,58&lt;=$NS$66),IF($NP$66="Single_Point",IF(58=$NR$66,$NN$66,0),IF($NP$66="Bell_Curve",$NN$66*(58-$NR$66+1)*($NS$66-58+1)/$NU$66,$NN$66/$NT$66)),0)</f>
        <v/>
      </c>
      <c r="BK66" s="402">
        <f>IF(AND(59&gt;=$NR$66,59&lt;=$NS$66),IF($NP$66="Single_Point",IF(59=$NR$66,$NN$66,0),IF($NP$66="Bell_Curve",$NN$66*(59-$NR$66+1)*($NS$66-59+1)/$NU$66,$NN$66/$NT$66)),0)</f>
        <v/>
      </c>
      <c r="BL66" s="402">
        <f>IF(AND(60&gt;=$NR$66,60&lt;=$NS$66),IF($NP$66="Single_Point",IF(60=$NR$66,$NN$66,0),IF($NP$66="Bell_Curve",$NN$66*(60-$NR$66+1)*($NS$66-60+1)/$NU$66,$NN$66/$NT$66)),0)</f>
        <v/>
      </c>
      <c r="BM66" s="402">
        <f>IF(AND(61&gt;=$NR$66,61&lt;=$NS$66),IF($NP$66="Single_Point",IF(61=$NR$66,$NN$66,0),IF($NP$66="Bell_Curve",$NN$66*(61-$NR$66+1)*($NS$66-61+1)/$NU$66,$NN$66/$NT$66)),0)</f>
        <v/>
      </c>
      <c r="BN66" s="402">
        <f>IF(AND(62&gt;=$NR$66,62&lt;=$NS$66),IF($NP$66="Single_Point",IF(62=$NR$66,$NN$66,0),IF($NP$66="Bell_Curve",$NN$66*(62-$NR$66+1)*($NS$66-62+1)/$NU$66,$NN$66/$NT$66)),0)</f>
        <v/>
      </c>
      <c r="BO66" s="402">
        <f>IF(AND(63&gt;=$NR$66,63&lt;=$NS$66),IF($NP$66="Single_Point",IF(63=$NR$66,$NN$66,0),IF($NP$66="Bell_Curve",$NN$66*(63-$NR$66+1)*($NS$66-63+1)/$NU$66,$NN$66/$NT$66)),0)</f>
        <v/>
      </c>
      <c r="BP66" s="402">
        <f>IF(AND(64&gt;=$NR$66,64&lt;=$NS$66),IF($NP$66="Single_Point",IF(64=$NR$66,$NN$66,0),IF($NP$66="Bell_Curve",$NN$66*(64-$NR$66+1)*($NS$66-64+1)/$NU$66,$NN$66/$NT$66)),0)</f>
        <v/>
      </c>
      <c r="BQ66" s="402">
        <f>IF(AND(65&gt;=$NR$66,65&lt;=$NS$66),IF($NP$66="Single_Point",IF(65=$NR$66,$NN$66,0),IF($NP$66="Bell_Curve",$NN$66*(65-$NR$66+1)*($NS$66-65+1)/$NU$66,$NN$66/$NT$66)),0)</f>
        <v/>
      </c>
      <c r="BR66" s="402">
        <f>IF(AND(66&gt;=$NR$66,66&lt;=$NS$66),IF($NP$66="Single_Point",IF(66=$NR$66,$NN$66,0),IF($NP$66="Bell_Curve",$NN$66*(66-$NR$66+1)*($NS$66-66+1)/$NU$66,$NN$66/$NT$66)),0)</f>
        <v/>
      </c>
      <c r="BS66" s="402">
        <f>IF(AND(67&gt;=$NR$66,67&lt;=$NS$66),IF($NP$66="Single_Point",IF(67=$NR$66,$NN$66,0),IF($NP$66="Bell_Curve",$NN$66*(67-$NR$66+1)*($NS$66-67+1)/$NU$66,$NN$66/$NT$66)),0)</f>
        <v/>
      </c>
      <c r="BT66" s="402">
        <f>IF(AND(68&gt;=$NR$66,68&lt;=$NS$66),IF($NP$66="Single_Point",IF(68=$NR$66,$NN$66,0),IF($NP$66="Bell_Curve",$NN$66*(68-$NR$66+1)*($NS$66-68+1)/$NU$66,$NN$66/$NT$66)),0)</f>
        <v/>
      </c>
      <c r="BU66" s="402">
        <f>IF(AND(69&gt;=$NR$66,69&lt;=$NS$66),IF($NP$66="Single_Point",IF(69=$NR$66,$NN$66,0),IF($NP$66="Bell_Curve",$NN$66*(69-$NR$66+1)*($NS$66-69+1)/$NU$66,$NN$66/$NT$66)),0)</f>
        <v/>
      </c>
      <c r="BV66" s="402">
        <f>IF(AND(70&gt;=$NR$66,70&lt;=$NS$66),IF($NP$66="Single_Point",IF(70=$NR$66,$NN$66,0),IF($NP$66="Bell_Curve",$NN$66*(70-$NR$66+1)*($NS$66-70+1)/$NU$66,$NN$66/$NT$66)),0)</f>
        <v/>
      </c>
      <c r="BW66" s="402">
        <f>IF(AND(71&gt;=$NR$66,71&lt;=$NS$66),IF($NP$66="Single_Point",IF(71=$NR$66,$NN$66,0),IF($NP$66="Bell_Curve",$NN$66*(71-$NR$66+1)*($NS$66-71+1)/$NU$66,$NN$66/$NT$66)),0)</f>
        <v/>
      </c>
      <c r="BX66" s="402">
        <f>IF(AND(72&gt;=$NR$66,72&lt;=$NS$66),IF($NP$66="Single_Point",IF(72=$NR$66,$NN$66,0),IF($NP$66="Bell_Curve",$NN$66*(72-$NR$66+1)*($NS$66-72+1)/$NU$66,$NN$66/$NT$66)),0)</f>
        <v/>
      </c>
      <c r="BY66" s="402">
        <f>IF(AND(73&gt;=$NR$66,73&lt;=$NS$66),IF($NP$66="Single_Point",IF(73=$NR$66,$NN$66,0),IF($NP$66="Bell_Curve",$NN$66*(73-$NR$66+1)*($NS$66-73+1)/$NU$66,$NN$66/$NT$66)),0)</f>
        <v/>
      </c>
      <c r="BZ66" s="402">
        <f>IF(AND(74&gt;=$NR$66,74&lt;=$NS$66),IF($NP$66="Single_Point",IF(74=$NR$66,$NN$66,0),IF($NP$66="Bell_Curve",$NN$66*(74-$NR$66+1)*($NS$66-74+1)/$NU$66,$NN$66/$NT$66)),0)</f>
        <v/>
      </c>
      <c r="CA66" s="402">
        <f>IF(AND(75&gt;=$NR$66,75&lt;=$NS$66),IF($NP$66="Single_Point",IF(75=$NR$66,$NN$66,0),IF($NP$66="Bell_Curve",$NN$66*(75-$NR$66+1)*($NS$66-75+1)/$NU$66,$NN$66/$NT$66)),0)</f>
        <v/>
      </c>
      <c r="CB66" s="402">
        <f>IF(AND(76&gt;=$NR$66,76&lt;=$NS$66),IF($NP$66="Single_Point",IF(76=$NR$66,$NN$66,0),IF($NP$66="Bell_Curve",$NN$66*(76-$NR$66+1)*($NS$66-76+1)/$NU$66,$NN$66/$NT$66)),0)</f>
        <v/>
      </c>
      <c r="CC66" s="402">
        <f>IF(AND(77&gt;=$NR$66,77&lt;=$NS$66),IF($NP$66="Single_Point",IF(77=$NR$66,$NN$66,0),IF($NP$66="Bell_Curve",$NN$66*(77-$NR$66+1)*($NS$66-77+1)/$NU$66,$NN$66/$NT$66)),0)</f>
        <v/>
      </c>
      <c r="CD66" s="402">
        <f>IF(AND(78&gt;=$NR$66,78&lt;=$NS$66),IF($NP$66="Single_Point",IF(78=$NR$66,$NN$66,0),IF($NP$66="Bell_Curve",$NN$66*(78-$NR$66+1)*($NS$66-78+1)/$NU$66,$NN$66/$NT$66)),0)</f>
        <v/>
      </c>
      <c r="CE66" s="402">
        <f>IF(AND(79&gt;=$NR$66,79&lt;=$NS$66),IF($NP$66="Single_Point",IF(79=$NR$66,$NN$66,0),IF($NP$66="Bell_Curve",$NN$66*(79-$NR$66+1)*($NS$66-79+1)/$NU$66,$NN$66/$NT$66)),0)</f>
        <v/>
      </c>
      <c r="CF66" s="402">
        <f>IF(AND(80&gt;=$NR$66,80&lt;=$NS$66),IF($NP$66="Single_Point",IF(80=$NR$66,$NN$66,0),IF($NP$66="Bell_Curve",$NN$66*(80-$NR$66+1)*($NS$66-80+1)/$NU$66,$NN$66/$NT$66)),0)</f>
        <v/>
      </c>
      <c r="CG66" s="402">
        <f>IF(AND(81&gt;=$NR$66,81&lt;=$NS$66),IF($NP$66="Single_Point",IF(81=$NR$66,$NN$66,0),IF($NP$66="Bell_Curve",$NN$66*(81-$NR$66+1)*($NS$66-81+1)/$NU$66,$NN$66/$NT$66)),0)</f>
        <v/>
      </c>
      <c r="CH66" s="402">
        <f>IF(AND(82&gt;=$NR$66,82&lt;=$NS$66),IF($NP$66="Single_Point",IF(82=$NR$66,$NN$66,0),IF($NP$66="Bell_Curve",$NN$66*(82-$NR$66+1)*($NS$66-82+1)/$NU$66,$NN$66/$NT$66)),0)</f>
        <v/>
      </c>
      <c r="CI66" s="402">
        <f>IF(AND(83&gt;=$NR$66,83&lt;=$NS$66),IF($NP$66="Single_Point",IF(83=$NR$66,$NN$66,0),IF($NP$66="Bell_Curve",$NN$66*(83-$NR$66+1)*($NS$66-83+1)/$NU$66,$NN$66/$NT$66)),0)</f>
        <v/>
      </c>
      <c r="CJ66" s="402">
        <f>IF(AND(84&gt;=$NR$66,84&lt;=$NS$66),IF($NP$66="Single_Point",IF(84=$NR$66,$NN$66,0),IF($NP$66="Bell_Curve",$NN$66*(84-$NR$66+1)*($NS$66-84+1)/$NU$66,$NN$66/$NT$66)),0)</f>
        <v/>
      </c>
      <c r="CK66" s="402">
        <f>IF(AND(85&gt;=$NR$66,85&lt;=$NS$66),IF($NP$66="Single_Point",IF(85=$NR$66,$NN$66,0),IF($NP$66="Bell_Curve",$NN$66*(85-$NR$66+1)*($NS$66-85+1)/$NU$66,$NN$66/$NT$66)),0)</f>
        <v/>
      </c>
      <c r="CL66" s="402">
        <f>IF(AND(86&gt;=$NR$66,86&lt;=$NS$66),IF($NP$66="Single_Point",IF(86=$NR$66,$NN$66,0),IF($NP$66="Bell_Curve",$NN$66*(86-$NR$66+1)*($NS$66-86+1)/$NU$66,$NN$66/$NT$66)),0)</f>
        <v/>
      </c>
      <c r="CM66" s="402">
        <f>IF(AND(87&gt;=$NR$66,87&lt;=$NS$66),IF($NP$66="Single_Point",IF(87=$NR$66,$NN$66,0),IF($NP$66="Bell_Curve",$NN$66*(87-$NR$66+1)*($NS$66-87+1)/$NU$66,$NN$66/$NT$66)),0)</f>
        <v/>
      </c>
      <c r="CN66" s="402">
        <f>IF(AND(88&gt;=$NR$66,88&lt;=$NS$66),IF($NP$66="Single_Point",IF(88=$NR$66,$NN$66,0),IF($NP$66="Bell_Curve",$NN$66*(88-$NR$66+1)*($NS$66-88+1)/$NU$66,$NN$66/$NT$66)),0)</f>
        <v/>
      </c>
      <c r="CO66" s="402">
        <f>IF(AND(89&gt;=$NR$66,89&lt;=$NS$66),IF($NP$66="Single_Point",IF(89=$NR$66,$NN$66,0),IF($NP$66="Bell_Curve",$NN$66*(89-$NR$66+1)*($NS$66-89+1)/$NU$66,$NN$66/$NT$66)),0)</f>
        <v/>
      </c>
      <c r="CP66" s="402">
        <f>IF(AND(90&gt;=$NR$66,90&lt;=$NS$66),IF($NP$66="Single_Point",IF(90=$NR$66,$NN$66,0),IF($NP$66="Bell_Curve",$NN$66*(90-$NR$66+1)*($NS$66-90+1)/$NU$66,$NN$66/$NT$66)),0)</f>
        <v/>
      </c>
      <c r="CQ66" s="402">
        <f>IF(AND(91&gt;=$NR$66,91&lt;=$NS$66),IF($NP$66="Single_Point",IF(91=$NR$66,$NN$66,0),IF($NP$66="Bell_Curve",$NN$66*(91-$NR$66+1)*($NS$66-91+1)/$NU$66,$NN$66/$NT$66)),0)</f>
        <v/>
      </c>
      <c r="CR66" s="402">
        <f>IF(AND(92&gt;=$NR$66,92&lt;=$NS$66),IF($NP$66="Single_Point",IF(92=$NR$66,$NN$66,0),IF($NP$66="Bell_Curve",$NN$66*(92-$NR$66+1)*($NS$66-92+1)/$NU$66,$NN$66/$NT$66)),0)</f>
        <v/>
      </c>
      <c r="CS66" s="402">
        <f>IF(AND(93&gt;=$NR$66,93&lt;=$NS$66),IF($NP$66="Single_Point",IF(93=$NR$66,$NN$66,0),IF($NP$66="Bell_Curve",$NN$66*(93-$NR$66+1)*($NS$66-93+1)/$NU$66,$NN$66/$NT$66)),0)</f>
        <v/>
      </c>
      <c r="CT66" s="402">
        <f>IF(AND(94&gt;=$NR$66,94&lt;=$NS$66),IF($NP$66="Single_Point",IF(94=$NR$66,$NN$66,0),IF($NP$66="Bell_Curve",$NN$66*(94-$NR$66+1)*($NS$66-94+1)/$NU$66,$NN$66/$NT$66)),0)</f>
        <v/>
      </c>
      <c r="CU66" s="402">
        <f>IF(AND(95&gt;=$NR$66,95&lt;=$NS$66),IF($NP$66="Single_Point",IF(95=$NR$66,$NN$66,0),IF($NP$66="Bell_Curve",$NN$66*(95-$NR$66+1)*($NS$66-95+1)/$NU$66,$NN$66/$NT$66)),0)</f>
        <v/>
      </c>
      <c r="CV66" s="402">
        <f>IF(AND(96&gt;=$NR$66,96&lt;=$NS$66),IF($NP$66="Single_Point",IF(96=$NR$66,$NN$66,0),IF($NP$66="Bell_Curve",$NN$66*(96-$NR$66+1)*($NS$66-96+1)/$NU$66,$NN$66/$NT$66)),0)</f>
        <v/>
      </c>
      <c r="CW66" s="402">
        <f>IF(AND(97&gt;=$NR$66,97&lt;=$NS$66),IF($NP$66="Single_Point",IF(97=$NR$66,$NN$66,0),IF($NP$66="Bell_Curve",$NN$66*(97-$NR$66+1)*($NS$66-97+1)/$NU$66,$NN$66/$NT$66)),0)</f>
        <v/>
      </c>
      <c r="CX66" s="402">
        <f>IF(AND(98&gt;=$NR$66,98&lt;=$NS$66),IF($NP$66="Single_Point",IF(98=$NR$66,$NN$66,0),IF($NP$66="Bell_Curve",$NN$66*(98-$NR$66+1)*($NS$66-98+1)/$NU$66,$NN$66/$NT$66)),0)</f>
        <v/>
      </c>
      <c r="CY66" s="402">
        <f>IF(AND(99&gt;=$NR$66,99&lt;=$NS$66),IF($NP$66="Single_Point",IF(99=$NR$66,$NN$66,0),IF($NP$66="Bell_Curve",$NN$66*(99-$NR$66+1)*($NS$66-99+1)/$NU$66,$NN$66/$NT$66)),0)</f>
        <v/>
      </c>
      <c r="CZ66" s="402">
        <f>IF(AND(100&gt;=$NR$66,100&lt;=$NS$66),IF($NP$66="Single_Point",IF(100=$NR$66,$NN$66,0),IF($NP$66="Bell_Curve",$NN$66*(100-$NR$66+1)*($NS$66-100+1)/$NU$66,$NN$66/$NT$66)),0)</f>
        <v/>
      </c>
      <c r="DA66" s="402">
        <f>IF(AND(101&gt;=$NR$66,101&lt;=$NS$66),IF($NP$66="Single_Point",IF(101=$NR$66,$NN$66,0),IF($NP$66="Bell_Curve",$NN$66*(101-$NR$66+1)*($NS$66-101+1)/$NU$66,$NN$66/$NT$66)),0)</f>
        <v/>
      </c>
      <c r="DB66" s="402">
        <f>IF(AND(102&gt;=$NR$66,102&lt;=$NS$66),IF($NP$66="Single_Point",IF(102=$NR$66,$NN$66,0),IF($NP$66="Bell_Curve",$NN$66*(102-$NR$66+1)*($NS$66-102+1)/$NU$66,$NN$66/$NT$66)),0)</f>
        <v/>
      </c>
      <c r="DC66" s="402">
        <f>IF(AND(103&gt;=$NR$66,103&lt;=$NS$66),IF($NP$66="Single_Point",IF(103=$NR$66,$NN$66,0),IF($NP$66="Bell_Curve",$NN$66*(103-$NR$66+1)*($NS$66-103+1)/$NU$66,$NN$66/$NT$66)),0)</f>
        <v/>
      </c>
      <c r="DD66" s="402">
        <f>IF(AND(104&gt;=$NR$66,104&lt;=$NS$66),IF($NP$66="Single_Point",IF(104=$NR$66,$NN$66,0),IF($NP$66="Bell_Curve",$NN$66*(104-$NR$66+1)*($NS$66-104+1)/$NU$66,$NN$66/$NT$66)),0)</f>
        <v/>
      </c>
      <c r="DE66" s="402">
        <f>IF(AND(105&gt;=$NR$66,105&lt;=$NS$66),IF($NP$66="Single_Point",IF(105=$NR$66,$NN$66,0),IF($NP$66="Bell_Curve",$NN$66*(105-$NR$66+1)*($NS$66-105+1)/$NU$66,$NN$66/$NT$66)),0)</f>
        <v/>
      </c>
      <c r="DF66" s="402">
        <f>IF(AND(106&gt;=$NR$66,106&lt;=$NS$66),IF($NP$66="Single_Point",IF(106=$NR$66,$NN$66,0),IF($NP$66="Bell_Curve",$NN$66*(106-$NR$66+1)*($NS$66-106+1)/$NU$66,$NN$66/$NT$66)),0)</f>
        <v/>
      </c>
      <c r="DG66" s="402">
        <f>IF(AND(107&gt;=$NR$66,107&lt;=$NS$66),IF($NP$66="Single_Point",IF(107=$NR$66,$NN$66,0),IF($NP$66="Bell_Curve",$NN$66*(107-$NR$66+1)*($NS$66-107+1)/$NU$66,$NN$66/$NT$66)),0)</f>
        <v/>
      </c>
      <c r="DH66" s="402">
        <f>IF(AND(108&gt;=$NR$66,108&lt;=$NS$66),IF($NP$66="Single_Point",IF(108=$NR$66,$NN$66,0),IF($NP$66="Bell_Curve",$NN$66*(108-$NR$66+1)*($NS$66-108+1)/$NU$66,$NN$66/$NT$66)),0)</f>
        <v/>
      </c>
      <c r="DI66" s="402">
        <f>IF(AND(109&gt;=$NR$66,109&lt;=$NS$66),IF($NP$66="Single_Point",IF(109=$NR$66,$NN$66,0),IF($NP$66="Bell_Curve",$NN$66*(109-$NR$66+1)*($NS$66-109+1)/$NU$66,$NN$66/$NT$66)),0)</f>
        <v/>
      </c>
      <c r="DJ66" s="402">
        <f>IF(AND(110&gt;=$NR$66,110&lt;=$NS$66),IF($NP$66="Single_Point",IF(110=$NR$66,$NN$66,0),IF($NP$66="Bell_Curve",$NN$66*(110-$NR$66+1)*($NS$66-110+1)/$NU$66,$NN$66/$NT$66)),0)</f>
        <v/>
      </c>
      <c r="DK66" s="402">
        <f>IF(AND(111&gt;=$NR$66,111&lt;=$NS$66),IF($NP$66="Single_Point",IF(111=$NR$66,$NN$66,0),IF($NP$66="Bell_Curve",$NN$66*(111-$NR$66+1)*($NS$66-111+1)/$NU$66,$NN$66/$NT$66)),0)</f>
        <v/>
      </c>
      <c r="DL66" s="402">
        <f>IF(AND(112&gt;=$NR$66,112&lt;=$NS$66),IF($NP$66="Single_Point",IF(112=$NR$66,$NN$66,0),IF($NP$66="Bell_Curve",$NN$66*(112-$NR$66+1)*($NS$66-112+1)/$NU$66,$NN$66/$NT$66)),0)</f>
        <v/>
      </c>
      <c r="DM66" s="402">
        <f>IF(AND(113&gt;=$NR$66,113&lt;=$NS$66),IF($NP$66="Single_Point",IF(113=$NR$66,$NN$66,0),IF($NP$66="Bell_Curve",$NN$66*(113-$NR$66+1)*($NS$66-113+1)/$NU$66,$NN$66/$NT$66)),0)</f>
        <v/>
      </c>
      <c r="DN66" s="402">
        <f>IF(AND(114&gt;=$NR$66,114&lt;=$NS$66),IF($NP$66="Single_Point",IF(114=$NR$66,$NN$66,0),IF($NP$66="Bell_Curve",$NN$66*(114-$NR$66+1)*($NS$66-114+1)/$NU$66,$NN$66/$NT$66)),0)</f>
        <v/>
      </c>
      <c r="DO66" s="402">
        <f>IF(AND(115&gt;=$NR$66,115&lt;=$NS$66),IF($NP$66="Single_Point",IF(115=$NR$66,$NN$66,0),IF($NP$66="Bell_Curve",$NN$66*(115-$NR$66+1)*($NS$66-115+1)/$NU$66,$NN$66/$NT$66)),0)</f>
        <v/>
      </c>
      <c r="DP66" s="402">
        <f>IF(AND(116&gt;=$NR$66,116&lt;=$NS$66),IF($NP$66="Single_Point",IF(116=$NR$66,$NN$66,0),IF($NP$66="Bell_Curve",$NN$66*(116-$NR$66+1)*($NS$66-116+1)/$NU$66,$NN$66/$NT$66)),0)</f>
        <v/>
      </c>
      <c r="DQ66" s="402">
        <f>IF(AND(117&gt;=$NR$66,117&lt;=$NS$66),IF($NP$66="Single_Point",IF(117=$NR$66,$NN$66,0),IF($NP$66="Bell_Curve",$NN$66*(117-$NR$66+1)*($NS$66-117+1)/$NU$66,$NN$66/$NT$66)),0)</f>
        <v/>
      </c>
      <c r="DR66" s="402">
        <f>IF(AND(118&gt;=$NR$66,118&lt;=$NS$66),IF($NP$66="Single_Point",IF(118=$NR$66,$NN$66,0),IF($NP$66="Bell_Curve",$NN$66*(118-$NR$66+1)*($NS$66-118+1)/$NU$66,$NN$66/$NT$66)),0)</f>
        <v/>
      </c>
      <c r="DS66" s="402">
        <f>IF(AND(119&gt;=$NR$66,119&lt;=$NS$66),IF($NP$66="Single_Point",IF(119=$NR$66,$NN$66,0),IF($NP$66="Bell_Curve",$NN$66*(119-$NR$66+1)*($NS$66-119+1)/$NU$66,$NN$66/$NT$66)),0)</f>
        <v/>
      </c>
      <c r="DT66" s="402">
        <f>IF(AND(120&gt;=$NR$66,120&lt;=$NS$66),IF($NP$66="Single_Point",IF(120=$NR$66,$NN$66,0),IF($NP$66="Bell_Curve",$NN$66*(120-$NR$66+1)*($NS$66-120+1)/$NU$66,$NN$66/$NT$66)),0)</f>
        <v/>
      </c>
      <c r="DU66" s="402">
        <f>IF(AND(121&gt;=$NR$66,121&lt;=$NS$66),IF($NP$66="Single_Point",IF(121=$NR$66,$NN$66,0),IF($NP$66="Bell_Curve",$NN$66*(121-$NR$66+1)*($NS$66-121+1)/$NU$66,$NN$66/$NT$66)),0)</f>
        <v/>
      </c>
      <c r="DV66" s="402">
        <f>IF(AND(122&gt;=$NR$66,122&lt;=$NS$66),IF($NP$66="Single_Point",IF(122=$NR$66,$NN$66,0),IF($NP$66="Bell_Curve",$NN$66*(122-$NR$66+1)*($NS$66-122+1)/$NU$66,$NN$66/$NT$66)),0)</f>
        <v/>
      </c>
      <c r="DW66" s="402">
        <f>IF(AND(123&gt;=$NR$66,123&lt;=$NS$66),IF($NP$66="Single_Point",IF(123=$NR$66,$NN$66,0),IF($NP$66="Bell_Curve",$NN$66*(123-$NR$66+1)*($NS$66-123+1)/$NU$66,$NN$66/$NT$66)),0)</f>
        <v/>
      </c>
      <c r="DX66" s="402">
        <f>IF(AND(124&gt;=$NR$66,124&lt;=$NS$66),IF($NP$66="Single_Point",IF(124=$NR$66,$NN$66,0),IF($NP$66="Bell_Curve",$NN$66*(124-$NR$66+1)*($NS$66-124+1)/$NU$66,$NN$66/$NT$66)),0)</f>
        <v/>
      </c>
      <c r="DY66" s="402">
        <f>IF(AND(125&gt;=$NR$66,125&lt;=$NS$66),IF($NP$66="Single_Point",IF(125=$NR$66,$NN$66,0),IF($NP$66="Bell_Curve",$NN$66*(125-$NR$66+1)*($NS$66-125+1)/$NU$66,$NN$66/$NT$66)),0)</f>
        <v/>
      </c>
      <c r="DZ66" s="402">
        <f>IF(AND(126&gt;=$NR$66,126&lt;=$NS$66),IF($NP$66="Single_Point",IF(126=$NR$66,$NN$66,0),IF($NP$66="Bell_Curve",$NN$66*(126-$NR$66+1)*($NS$66-126+1)/$NU$66,$NN$66/$NT$66)),0)</f>
        <v/>
      </c>
      <c r="EA66" s="402">
        <f>IF(AND(127&gt;=$NR$66,127&lt;=$NS$66),IF($NP$66="Single_Point",IF(127=$NR$66,$NN$66,0),IF($NP$66="Bell_Curve",$NN$66*(127-$NR$66+1)*($NS$66-127+1)/$NU$66,$NN$66/$NT$66)),0)</f>
        <v/>
      </c>
      <c r="EB66" s="402">
        <f>IF(AND(128&gt;=$NR$66,128&lt;=$NS$66),IF($NP$66="Single_Point",IF(128=$NR$66,$NN$66,0),IF($NP$66="Bell_Curve",$NN$66*(128-$NR$66+1)*($NS$66-128+1)/$NU$66,$NN$66/$NT$66)),0)</f>
        <v/>
      </c>
      <c r="EC66" s="402">
        <f>IF(AND(129&gt;=$NR$66,129&lt;=$NS$66),IF($NP$66="Single_Point",IF(129=$NR$66,$NN$66,0),IF($NP$66="Bell_Curve",$NN$66*(129-$NR$66+1)*($NS$66-129+1)/$NU$66,$NN$66/$NT$66)),0)</f>
        <v/>
      </c>
      <c r="ED66" s="402">
        <f>IF(AND(130&gt;=$NR$66,130&lt;=$NS$66),IF($NP$66="Single_Point",IF(130=$NR$66,$NN$66,0),IF($NP$66="Bell_Curve",$NN$66*(130-$NR$66+1)*($NS$66-130+1)/$NU$66,$NN$66/$NT$66)),0)</f>
        <v/>
      </c>
      <c r="EE66" s="402">
        <f>IF(AND(131&gt;=$NR$66,131&lt;=$NS$66),IF($NP$66="Single_Point",IF(131=$NR$66,$NN$66,0),IF($NP$66="Bell_Curve",$NN$66*(131-$NR$66+1)*($NS$66-131+1)/$NU$66,$NN$66/$NT$66)),0)</f>
        <v/>
      </c>
      <c r="EF66" s="402">
        <f>IF(AND(132&gt;=$NR$66,132&lt;=$NS$66),IF($NP$66="Single_Point",IF(132=$NR$66,$NN$66,0),IF($NP$66="Bell_Curve",$NN$66*(132-$NR$66+1)*($NS$66-132+1)/$NU$66,$NN$66/$NT$66)),0)</f>
        <v/>
      </c>
      <c r="EG66" s="402">
        <f>IF(AND(133&gt;=$NR$66,133&lt;=$NS$66),IF($NP$66="Single_Point",IF(133=$NR$66,$NN$66,0),IF($NP$66="Bell_Curve",$NN$66*(133-$NR$66+1)*($NS$66-133+1)/$NU$66,$NN$66/$NT$66)),0)</f>
        <v/>
      </c>
      <c r="EH66" s="402">
        <f>IF(AND(134&gt;=$NR$66,134&lt;=$NS$66),IF($NP$66="Single_Point",IF(134=$NR$66,$NN$66,0),IF($NP$66="Bell_Curve",$NN$66*(134-$NR$66+1)*($NS$66-134+1)/$NU$66,$NN$66/$NT$66)),0)</f>
        <v/>
      </c>
      <c r="EI66" s="402">
        <f>IF(AND(135&gt;=$NR$66,135&lt;=$NS$66),IF($NP$66="Single_Point",IF(135=$NR$66,$NN$66,0),IF($NP$66="Bell_Curve",$NN$66*(135-$NR$66+1)*($NS$66-135+1)/$NU$66,$NN$66/$NT$66)),0)</f>
        <v/>
      </c>
      <c r="EJ66" s="402">
        <f>IF(AND(136&gt;=$NR$66,136&lt;=$NS$66),IF($NP$66="Single_Point",IF(136=$NR$66,$NN$66,0),IF($NP$66="Bell_Curve",$NN$66*(136-$NR$66+1)*($NS$66-136+1)/$NU$66,$NN$66/$NT$66)),0)</f>
        <v/>
      </c>
      <c r="EK66" s="402">
        <f>IF(AND(137&gt;=$NR$66,137&lt;=$NS$66),IF($NP$66="Single_Point",IF(137=$NR$66,$NN$66,0),IF($NP$66="Bell_Curve",$NN$66*(137-$NR$66+1)*($NS$66-137+1)/$NU$66,$NN$66/$NT$66)),0)</f>
        <v/>
      </c>
      <c r="EL66" s="402">
        <f>IF(AND(138&gt;=$NR$66,138&lt;=$NS$66),IF($NP$66="Single_Point",IF(138=$NR$66,$NN$66,0),IF($NP$66="Bell_Curve",$NN$66*(138-$NR$66+1)*($NS$66-138+1)/$NU$66,$NN$66/$NT$66)),0)</f>
        <v/>
      </c>
      <c r="EM66" s="402">
        <f>IF(AND(139&gt;=$NR$66,139&lt;=$NS$66),IF($NP$66="Single_Point",IF(139=$NR$66,$NN$66,0),IF($NP$66="Bell_Curve",$NN$66*(139-$NR$66+1)*($NS$66-139+1)/$NU$66,$NN$66/$NT$66)),0)</f>
        <v/>
      </c>
      <c r="EN66" s="402">
        <f>IF(AND(140&gt;=$NR$66,140&lt;=$NS$66),IF($NP$66="Single_Point",IF(140=$NR$66,$NN$66,0),IF($NP$66="Bell_Curve",$NN$66*(140-$NR$66+1)*($NS$66-140+1)/$NU$66,$NN$66/$NT$66)),0)</f>
        <v/>
      </c>
      <c r="EO66" s="402">
        <f>IF(AND(141&gt;=$NR$66,141&lt;=$NS$66),IF($NP$66="Single_Point",IF(141=$NR$66,$NN$66,0),IF($NP$66="Bell_Curve",$NN$66*(141-$NR$66+1)*($NS$66-141+1)/$NU$66,$NN$66/$NT$66)),0)</f>
        <v/>
      </c>
      <c r="EP66" s="402">
        <f>IF(AND(142&gt;=$NR$66,142&lt;=$NS$66),IF($NP$66="Single_Point",IF(142=$NR$66,$NN$66,0),IF($NP$66="Bell_Curve",$NN$66*(142-$NR$66+1)*($NS$66-142+1)/$NU$66,$NN$66/$NT$66)),0)</f>
        <v/>
      </c>
      <c r="EQ66" s="402">
        <f>IF(AND(143&gt;=$NR$66,143&lt;=$NS$66),IF($NP$66="Single_Point",IF(143=$NR$66,$NN$66,0),IF($NP$66="Bell_Curve",$NN$66*(143-$NR$66+1)*($NS$66-143+1)/$NU$66,$NN$66/$NT$66)),0)</f>
        <v/>
      </c>
      <c r="ER66" s="402">
        <f>IF(AND(144&gt;=$NR$66,144&lt;=$NS$66),IF($NP$66="Single_Point",IF(144=$NR$66,$NN$66,0),IF($NP$66="Bell_Curve",$NN$66*(144-$NR$66+1)*($NS$66-144+1)/$NU$66,$NN$66/$NT$66)),0)</f>
        <v/>
      </c>
      <c r="ES66" s="402">
        <f>IF(AND(145&gt;=$NR$66,145&lt;=$NS$66),IF($NP$66="Single_Point",IF(145=$NR$66,$NN$66,0),IF($NP$66="Bell_Curve",$NN$66*(145-$NR$66+1)*($NS$66-145+1)/$NU$66,$NN$66/$NT$66)),0)</f>
        <v/>
      </c>
      <c r="ET66" s="402">
        <f>IF(AND(146&gt;=$NR$66,146&lt;=$NS$66),IF($NP$66="Single_Point",IF(146=$NR$66,$NN$66,0),IF($NP$66="Bell_Curve",$NN$66*(146-$NR$66+1)*($NS$66-146+1)/$NU$66,$NN$66/$NT$66)),0)</f>
        <v/>
      </c>
      <c r="EU66" s="402">
        <f>IF(AND(147&gt;=$NR$66,147&lt;=$NS$66),IF($NP$66="Single_Point",IF(147=$NR$66,$NN$66,0),IF($NP$66="Bell_Curve",$NN$66*(147-$NR$66+1)*($NS$66-147+1)/$NU$66,$NN$66/$NT$66)),0)</f>
        <v/>
      </c>
      <c r="EV66" s="402">
        <f>IF(AND(148&gt;=$NR$66,148&lt;=$NS$66),IF($NP$66="Single_Point",IF(148=$NR$66,$NN$66,0),IF($NP$66="Bell_Curve",$NN$66*(148-$NR$66+1)*($NS$66-148+1)/$NU$66,$NN$66/$NT$66)),0)</f>
        <v/>
      </c>
      <c r="EW66" s="402">
        <f>IF(AND(149&gt;=$NR$66,149&lt;=$NS$66),IF($NP$66="Single_Point",IF(149=$NR$66,$NN$66,0),IF($NP$66="Bell_Curve",$NN$66*(149-$NR$66+1)*($NS$66-149+1)/$NU$66,$NN$66/$NT$66)),0)</f>
        <v/>
      </c>
      <c r="EX66" s="402">
        <f>IF(AND(150&gt;=$NR$66,150&lt;=$NS$66),IF($NP$66="Single_Point",IF(150=$NR$66,$NN$66,0),IF($NP$66="Bell_Curve",$NN$66*(150-$NR$66+1)*($NS$66-150+1)/$NU$66,$NN$66/$NT$66)),0)</f>
        <v/>
      </c>
      <c r="EY66" s="402">
        <f>IF(AND(151&gt;=$NR$66,151&lt;=$NS$66),IF($NP$66="Single_Point",IF(151=$NR$66,$NN$66,0),IF($NP$66="Bell_Curve",$NN$66*(151-$NR$66+1)*($NS$66-151+1)/$NU$66,$NN$66/$NT$66)),0)</f>
        <v/>
      </c>
      <c r="EZ66" s="402">
        <f>IF(AND(152&gt;=$NR$66,152&lt;=$NS$66),IF($NP$66="Single_Point",IF(152=$NR$66,$NN$66,0),IF($NP$66="Bell_Curve",$NN$66*(152-$NR$66+1)*($NS$66-152+1)/$NU$66,$NN$66/$NT$66)),0)</f>
        <v/>
      </c>
      <c r="FA66" s="402">
        <f>IF(AND(153&gt;=$NR$66,153&lt;=$NS$66),IF($NP$66="Single_Point",IF(153=$NR$66,$NN$66,0),IF($NP$66="Bell_Curve",$NN$66*(153-$NR$66+1)*($NS$66-153+1)/$NU$66,$NN$66/$NT$66)),0)</f>
        <v/>
      </c>
      <c r="FB66" s="402">
        <f>IF(AND(154&gt;=$NR$66,154&lt;=$NS$66),IF($NP$66="Single_Point",IF(154=$NR$66,$NN$66,0),IF($NP$66="Bell_Curve",$NN$66*(154-$NR$66+1)*($NS$66-154+1)/$NU$66,$NN$66/$NT$66)),0)</f>
        <v/>
      </c>
      <c r="FC66" s="402">
        <f>IF(AND(155&gt;=$NR$66,155&lt;=$NS$66),IF($NP$66="Single_Point",IF(155=$NR$66,$NN$66,0),IF($NP$66="Bell_Curve",$NN$66*(155-$NR$66+1)*($NS$66-155+1)/$NU$66,$NN$66/$NT$66)),0)</f>
        <v/>
      </c>
      <c r="FD66" s="402">
        <f>IF(AND(156&gt;=$NR$66,156&lt;=$NS$66),IF($NP$66="Single_Point",IF(156=$NR$66,$NN$66,0),IF($NP$66="Bell_Curve",$NN$66*(156-$NR$66+1)*($NS$66-156+1)/$NU$66,$NN$66/$NT$66)),0)</f>
        <v/>
      </c>
      <c r="FE66" s="402">
        <f>IF(AND(157&gt;=$NR$66,157&lt;=$NS$66),IF($NP$66="Single_Point",IF(157=$NR$66,$NN$66,0),IF($NP$66="Bell_Curve",$NN$66*(157-$NR$66+1)*($NS$66-157+1)/$NU$66,$NN$66/$NT$66)),0)</f>
        <v/>
      </c>
      <c r="FF66" s="402">
        <f>IF(AND(158&gt;=$NR$66,158&lt;=$NS$66),IF($NP$66="Single_Point",IF(158=$NR$66,$NN$66,0),IF($NP$66="Bell_Curve",$NN$66*(158-$NR$66+1)*($NS$66-158+1)/$NU$66,$NN$66/$NT$66)),0)</f>
        <v/>
      </c>
      <c r="FG66" s="402">
        <f>IF(AND(159&gt;=$NR$66,159&lt;=$NS$66),IF($NP$66="Single_Point",IF(159=$NR$66,$NN$66,0),IF($NP$66="Bell_Curve",$NN$66*(159-$NR$66+1)*($NS$66-159+1)/$NU$66,$NN$66/$NT$66)),0)</f>
        <v/>
      </c>
      <c r="FH66" s="402">
        <f>IF(AND(160&gt;=$NR$66,160&lt;=$NS$66),IF($NP$66="Single_Point",IF(160=$NR$66,$NN$66,0),IF($NP$66="Bell_Curve",$NN$66*(160-$NR$66+1)*($NS$66-160+1)/$NU$66,$NN$66/$NT$66)),0)</f>
        <v/>
      </c>
      <c r="FI66" s="402">
        <f>IF(AND(161&gt;=$NR$66,161&lt;=$NS$66),IF($NP$66="Single_Point",IF(161=$NR$66,$NN$66,0),IF($NP$66="Bell_Curve",$NN$66*(161-$NR$66+1)*($NS$66-161+1)/$NU$66,$NN$66/$NT$66)),0)</f>
        <v/>
      </c>
      <c r="FJ66" s="402">
        <f>IF(AND(162&gt;=$NR$66,162&lt;=$NS$66),IF($NP$66="Single_Point",IF(162=$NR$66,$NN$66,0),IF($NP$66="Bell_Curve",$NN$66*(162-$NR$66+1)*($NS$66-162+1)/$NU$66,$NN$66/$NT$66)),0)</f>
        <v/>
      </c>
      <c r="FK66" s="402">
        <f>IF(AND(163&gt;=$NR$66,163&lt;=$NS$66),IF($NP$66="Single_Point",IF(163=$NR$66,$NN$66,0),IF($NP$66="Bell_Curve",$NN$66*(163-$NR$66+1)*($NS$66-163+1)/$NU$66,$NN$66/$NT$66)),0)</f>
        <v/>
      </c>
      <c r="FL66" s="402">
        <f>IF(AND(164&gt;=$NR$66,164&lt;=$NS$66),IF($NP$66="Single_Point",IF(164=$NR$66,$NN$66,0),IF($NP$66="Bell_Curve",$NN$66*(164-$NR$66+1)*($NS$66-164+1)/$NU$66,$NN$66/$NT$66)),0)</f>
        <v/>
      </c>
      <c r="FM66" s="402">
        <f>IF(AND(165&gt;=$NR$66,165&lt;=$NS$66),IF($NP$66="Single_Point",IF(165=$NR$66,$NN$66,0),IF($NP$66="Bell_Curve",$NN$66*(165-$NR$66+1)*($NS$66-165+1)/$NU$66,$NN$66/$NT$66)),0)</f>
        <v/>
      </c>
      <c r="FN66" s="402">
        <f>IF(AND(166&gt;=$NR$66,166&lt;=$NS$66),IF($NP$66="Single_Point",IF(166=$NR$66,$NN$66,0),IF($NP$66="Bell_Curve",$NN$66*(166-$NR$66+1)*($NS$66-166+1)/$NU$66,$NN$66/$NT$66)),0)</f>
        <v/>
      </c>
      <c r="FO66" s="402">
        <f>IF(AND(167&gt;=$NR$66,167&lt;=$NS$66),IF($NP$66="Single_Point",IF(167=$NR$66,$NN$66,0),IF($NP$66="Bell_Curve",$NN$66*(167-$NR$66+1)*($NS$66-167+1)/$NU$66,$NN$66/$NT$66)),0)</f>
        <v/>
      </c>
      <c r="FP66" s="402">
        <f>IF(AND(168&gt;=$NR$66,168&lt;=$NS$66),IF($NP$66="Single_Point",IF(168=$NR$66,$NN$66,0),IF($NP$66="Bell_Curve",$NN$66*(168-$NR$66+1)*($NS$66-168+1)/$NU$66,$NN$66/$NT$66)),0)</f>
        <v/>
      </c>
      <c r="FQ66" s="402">
        <f>IF(AND(169&gt;=$NR$66,169&lt;=$NS$66),IF($NP$66="Single_Point",IF(169=$NR$66,$NN$66,0),IF($NP$66="Bell_Curve",$NN$66*(169-$NR$66+1)*($NS$66-169+1)/$NU$66,$NN$66/$NT$66)),0)</f>
        <v/>
      </c>
      <c r="FR66" s="402">
        <f>IF(AND(170&gt;=$NR$66,170&lt;=$NS$66),IF($NP$66="Single_Point",IF(170=$NR$66,$NN$66,0),IF($NP$66="Bell_Curve",$NN$66*(170-$NR$66+1)*($NS$66-170+1)/$NU$66,$NN$66/$NT$66)),0)</f>
        <v/>
      </c>
      <c r="FS66" s="402">
        <f>IF(AND(171&gt;=$NR$66,171&lt;=$NS$66),IF($NP$66="Single_Point",IF(171=$NR$66,$NN$66,0),IF($NP$66="Bell_Curve",$NN$66*(171-$NR$66+1)*($NS$66-171+1)/$NU$66,$NN$66/$NT$66)),0)</f>
        <v/>
      </c>
      <c r="FT66" s="402">
        <f>IF(AND(172&gt;=$NR$66,172&lt;=$NS$66),IF($NP$66="Single_Point",IF(172=$NR$66,$NN$66,0),IF($NP$66="Bell_Curve",$NN$66*(172-$NR$66+1)*($NS$66-172+1)/$NU$66,$NN$66/$NT$66)),0)</f>
        <v/>
      </c>
      <c r="FU66" s="402">
        <f>IF(AND(173&gt;=$NR$66,173&lt;=$NS$66),IF($NP$66="Single_Point",IF(173=$NR$66,$NN$66,0),IF($NP$66="Bell_Curve",$NN$66*(173-$NR$66+1)*($NS$66-173+1)/$NU$66,$NN$66/$NT$66)),0)</f>
        <v/>
      </c>
      <c r="FV66" s="402">
        <f>IF(AND(174&gt;=$NR$66,174&lt;=$NS$66),IF($NP$66="Single_Point",IF(174=$NR$66,$NN$66,0),IF($NP$66="Bell_Curve",$NN$66*(174-$NR$66+1)*($NS$66-174+1)/$NU$66,$NN$66/$NT$66)),0)</f>
        <v/>
      </c>
      <c r="FW66" s="402">
        <f>IF(AND(175&gt;=$NR$66,175&lt;=$NS$66),IF($NP$66="Single_Point",IF(175=$NR$66,$NN$66,0),IF($NP$66="Bell_Curve",$NN$66*(175-$NR$66+1)*($NS$66-175+1)/$NU$66,$NN$66/$NT$66)),0)</f>
        <v/>
      </c>
      <c r="FX66" s="402">
        <f>IF(AND(176&gt;=$NR$66,176&lt;=$NS$66),IF($NP$66="Single_Point",IF(176=$NR$66,$NN$66,0),IF($NP$66="Bell_Curve",$NN$66*(176-$NR$66+1)*($NS$66-176+1)/$NU$66,$NN$66/$NT$66)),0)</f>
        <v/>
      </c>
      <c r="FY66" s="402">
        <f>IF(AND(177&gt;=$NR$66,177&lt;=$NS$66),IF($NP$66="Single_Point",IF(177=$NR$66,$NN$66,0),IF($NP$66="Bell_Curve",$NN$66*(177-$NR$66+1)*($NS$66-177+1)/$NU$66,$NN$66/$NT$66)),0)</f>
        <v/>
      </c>
      <c r="FZ66" s="402">
        <f>IF(AND(178&gt;=$NR$66,178&lt;=$NS$66),IF($NP$66="Single_Point",IF(178=$NR$66,$NN$66,0),IF($NP$66="Bell_Curve",$NN$66*(178-$NR$66+1)*($NS$66-178+1)/$NU$66,$NN$66/$NT$66)),0)</f>
        <v/>
      </c>
      <c r="GA66" s="402">
        <f>IF(AND(179&gt;=$NR$66,179&lt;=$NS$66),IF($NP$66="Single_Point",IF(179=$NR$66,$NN$66,0),IF($NP$66="Bell_Curve",$NN$66*(179-$NR$66+1)*($NS$66-179+1)/$NU$66,$NN$66/$NT$66)),0)</f>
        <v/>
      </c>
      <c r="GB66" s="402">
        <f>IF(AND(180&gt;=$NR$66,180&lt;=$NS$66),IF($NP$66="Single_Point",IF(180=$NR$66,$NN$66,0),IF($NP$66="Bell_Curve",$NN$66*(180-$NR$66+1)*($NS$66-180+1)/$NU$66,$NN$66/$NT$66)),0)</f>
        <v/>
      </c>
      <c r="GC66" s="402">
        <f>IF(AND(181&gt;=$NR$66,181&lt;=$NS$66),IF($NP$66="Single_Point",IF(181=$NR$66,$NN$66,0),IF($NP$66="Bell_Curve",$NN$66*(181-$NR$66+1)*($NS$66-181+1)/$NU$66,$NN$66/$NT$66)),0)</f>
        <v/>
      </c>
      <c r="GD66" s="402">
        <f>IF(AND(182&gt;=$NR$66,182&lt;=$NS$66),IF($NP$66="Single_Point",IF(182=$NR$66,$NN$66,0),IF($NP$66="Bell_Curve",$NN$66*(182-$NR$66+1)*($NS$66-182+1)/$NU$66,$NN$66/$NT$66)),0)</f>
        <v/>
      </c>
      <c r="GE66" s="402">
        <f>IF(AND(183&gt;=$NR$66,183&lt;=$NS$66),IF($NP$66="Single_Point",IF(183=$NR$66,$NN$66,0),IF($NP$66="Bell_Curve",$NN$66*(183-$NR$66+1)*($NS$66-183+1)/$NU$66,$NN$66/$NT$66)),0)</f>
        <v/>
      </c>
      <c r="GF66" s="402">
        <f>IF(AND(184&gt;=$NR$66,184&lt;=$NS$66),IF($NP$66="Single_Point",IF(184=$NR$66,$NN$66,0),IF($NP$66="Bell_Curve",$NN$66*(184-$NR$66+1)*($NS$66-184+1)/$NU$66,$NN$66/$NT$66)),0)</f>
        <v/>
      </c>
      <c r="GG66" s="402">
        <f>IF(AND(185&gt;=$NR$66,185&lt;=$NS$66),IF($NP$66="Single_Point",IF(185=$NR$66,$NN$66,0),IF($NP$66="Bell_Curve",$NN$66*(185-$NR$66+1)*($NS$66-185+1)/$NU$66,$NN$66/$NT$66)),0)</f>
        <v/>
      </c>
      <c r="GH66" s="402">
        <f>IF(AND(186&gt;=$NR$66,186&lt;=$NS$66),IF($NP$66="Single_Point",IF(186=$NR$66,$NN$66,0),IF($NP$66="Bell_Curve",$NN$66*(186-$NR$66+1)*($NS$66-186+1)/$NU$66,$NN$66/$NT$66)),0)</f>
        <v/>
      </c>
      <c r="GI66" s="402">
        <f>IF(AND(187&gt;=$NR$66,187&lt;=$NS$66),IF($NP$66="Single_Point",IF(187=$NR$66,$NN$66,0),IF($NP$66="Bell_Curve",$NN$66*(187-$NR$66+1)*($NS$66-187+1)/$NU$66,$NN$66/$NT$66)),0)</f>
        <v/>
      </c>
      <c r="GJ66" s="402">
        <f>IF(AND(188&gt;=$NR$66,188&lt;=$NS$66),IF($NP$66="Single_Point",IF(188=$NR$66,$NN$66,0),IF($NP$66="Bell_Curve",$NN$66*(188-$NR$66+1)*($NS$66-188+1)/$NU$66,$NN$66/$NT$66)),0)</f>
        <v/>
      </c>
      <c r="GK66" s="402">
        <f>IF(AND(189&gt;=$NR$66,189&lt;=$NS$66),IF($NP$66="Single_Point",IF(189=$NR$66,$NN$66,0),IF($NP$66="Bell_Curve",$NN$66*(189-$NR$66+1)*($NS$66-189+1)/$NU$66,$NN$66/$NT$66)),0)</f>
        <v/>
      </c>
      <c r="GL66" s="402">
        <f>IF(AND(190&gt;=$NR$66,190&lt;=$NS$66),IF($NP$66="Single_Point",IF(190=$NR$66,$NN$66,0),IF($NP$66="Bell_Curve",$NN$66*(190-$NR$66+1)*($NS$66-190+1)/$NU$66,$NN$66/$NT$66)),0)</f>
        <v/>
      </c>
      <c r="GM66" s="402">
        <f>IF(AND(191&gt;=$NR$66,191&lt;=$NS$66),IF($NP$66="Single_Point",IF(191=$NR$66,$NN$66,0),IF($NP$66="Bell_Curve",$NN$66*(191-$NR$66+1)*($NS$66-191+1)/$NU$66,$NN$66/$NT$66)),0)</f>
        <v/>
      </c>
      <c r="GN66" s="402">
        <f>IF(AND(192&gt;=$NR$66,192&lt;=$NS$66),IF($NP$66="Single_Point",IF(192=$NR$66,$NN$66,0),IF($NP$66="Bell_Curve",$NN$66*(192-$NR$66+1)*($NS$66-192+1)/$NU$66,$NN$66/$NT$66)),0)</f>
        <v/>
      </c>
      <c r="GO66" s="402">
        <f>IF(AND(193&gt;=$NR$66,193&lt;=$NS$66),IF($NP$66="Single_Point",IF(193=$NR$66,$NN$66,0),IF($NP$66="Bell_Curve",$NN$66*(193-$NR$66+1)*($NS$66-193+1)/$NU$66,$NN$66/$NT$66)),0)</f>
        <v/>
      </c>
      <c r="GP66" s="402">
        <f>IF(AND(194&gt;=$NR$66,194&lt;=$NS$66),IF($NP$66="Single_Point",IF(194=$NR$66,$NN$66,0),IF($NP$66="Bell_Curve",$NN$66*(194-$NR$66+1)*($NS$66-194+1)/$NU$66,$NN$66/$NT$66)),0)</f>
        <v/>
      </c>
      <c r="GQ66" s="402">
        <f>IF(AND(195&gt;=$NR$66,195&lt;=$NS$66),IF($NP$66="Single_Point",IF(195=$NR$66,$NN$66,0),IF($NP$66="Bell_Curve",$NN$66*(195-$NR$66+1)*($NS$66-195+1)/$NU$66,$NN$66/$NT$66)),0)</f>
        <v/>
      </c>
      <c r="GR66" s="402">
        <f>IF(AND(196&gt;=$NR$66,196&lt;=$NS$66),IF($NP$66="Single_Point",IF(196=$NR$66,$NN$66,0),IF($NP$66="Bell_Curve",$NN$66*(196-$NR$66+1)*($NS$66-196+1)/$NU$66,$NN$66/$NT$66)),0)</f>
        <v/>
      </c>
      <c r="GS66" s="402">
        <f>IF(AND(197&gt;=$NR$66,197&lt;=$NS$66),IF($NP$66="Single_Point",IF(197=$NR$66,$NN$66,0),IF($NP$66="Bell_Curve",$NN$66*(197-$NR$66+1)*($NS$66-197+1)/$NU$66,$NN$66/$NT$66)),0)</f>
        <v/>
      </c>
      <c r="GT66" s="402">
        <f>IF(AND(198&gt;=$NR$66,198&lt;=$NS$66),IF($NP$66="Single_Point",IF(198=$NR$66,$NN$66,0),IF($NP$66="Bell_Curve",$NN$66*(198-$NR$66+1)*($NS$66-198+1)/$NU$66,$NN$66/$NT$66)),0)</f>
        <v/>
      </c>
      <c r="GU66" s="402">
        <f>IF(AND(199&gt;=$NR$66,199&lt;=$NS$66),IF($NP$66="Single_Point",IF(199=$NR$66,$NN$66,0),IF($NP$66="Bell_Curve",$NN$66*(199-$NR$66+1)*($NS$66-199+1)/$NU$66,$NN$66/$NT$66)),0)</f>
        <v/>
      </c>
      <c r="GV66" s="402">
        <f>IF(AND(200&gt;=$NR$66,200&lt;=$NS$66),IF($NP$66="Single_Point",IF(200=$NR$66,$NN$66,0),IF($NP$66="Bell_Curve",$NN$66*(200-$NR$66+1)*($NS$66-200+1)/$NU$66,$NN$66/$NT$66)),0)</f>
        <v/>
      </c>
      <c r="GW66" s="402">
        <f>IF(AND(201&gt;=$NR$66,201&lt;=$NS$66),IF($NP$66="Single_Point",IF(201=$NR$66,$NN$66,0),IF($NP$66="Bell_Curve",$NN$66*(201-$NR$66+1)*($NS$66-201+1)/$NU$66,$NN$66/$NT$66)),0)</f>
        <v/>
      </c>
      <c r="GX66" s="402">
        <f>IF(AND(202&gt;=$NR$66,202&lt;=$NS$66),IF($NP$66="Single_Point",IF(202=$NR$66,$NN$66,0),IF($NP$66="Bell_Curve",$NN$66*(202-$NR$66+1)*($NS$66-202+1)/$NU$66,$NN$66/$NT$66)),0)</f>
        <v/>
      </c>
      <c r="GY66" s="402">
        <f>IF(AND(203&gt;=$NR$66,203&lt;=$NS$66),IF($NP$66="Single_Point",IF(203=$NR$66,$NN$66,0),IF($NP$66="Bell_Curve",$NN$66*(203-$NR$66+1)*($NS$66-203+1)/$NU$66,$NN$66/$NT$66)),0)</f>
        <v/>
      </c>
      <c r="GZ66" s="402">
        <f>IF(AND(204&gt;=$NR$66,204&lt;=$NS$66),IF($NP$66="Single_Point",IF(204=$NR$66,$NN$66,0),IF($NP$66="Bell_Curve",$NN$66*(204-$NR$66+1)*($NS$66-204+1)/$NU$66,$NN$66/$NT$66)),0)</f>
        <v/>
      </c>
      <c r="HA66" s="402">
        <f>IF(AND(205&gt;=$NR$66,205&lt;=$NS$66),IF($NP$66="Single_Point",IF(205=$NR$66,$NN$66,0),IF($NP$66="Bell_Curve",$NN$66*(205-$NR$66+1)*($NS$66-205+1)/$NU$66,$NN$66/$NT$66)),0)</f>
        <v/>
      </c>
      <c r="HB66" s="402">
        <f>IF(AND(206&gt;=$NR$66,206&lt;=$NS$66),IF($NP$66="Single_Point",IF(206=$NR$66,$NN$66,0),IF($NP$66="Bell_Curve",$NN$66*(206-$NR$66+1)*($NS$66-206+1)/$NU$66,$NN$66/$NT$66)),0)</f>
        <v/>
      </c>
      <c r="HC66" s="402">
        <f>IF(AND(207&gt;=$NR$66,207&lt;=$NS$66),IF($NP$66="Single_Point",IF(207=$NR$66,$NN$66,0),IF($NP$66="Bell_Curve",$NN$66*(207-$NR$66+1)*($NS$66-207+1)/$NU$66,$NN$66/$NT$66)),0)</f>
        <v/>
      </c>
      <c r="HD66" s="402">
        <f>IF(AND(208&gt;=$NR$66,208&lt;=$NS$66),IF($NP$66="Single_Point",IF(208=$NR$66,$NN$66,0),IF($NP$66="Bell_Curve",$NN$66*(208-$NR$66+1)*($NS$66-208+1)/$NU$66,$NN$66/$NT$66)),0)</f>
        <v/>
      </c>
      <c r="HE66" s="402">
        <f>IF(AND(209&gt;=$NR$66,209&lt;=$NS$66),IF($NP$66="Single_Point",IF(209=$NR$66,$NN$66,0),IF($NP$66="Bell_Curve",$NN$66*(209-$NR$66+1)*($NS$66-209+1)/$NU$66,$NN$66/$NT$66)),0)</f>
        <v/>
      </c>
      <c r="HF66" s="402">
        <f>IF(AND(210&gt;=$NR$66,210&lt;=$NS$66),IF($NP$66="Single_Point",IF(210=$NR$66,$NN$66,0),IF($NP$66="Bell_Curve",$NN$66*(210-$NR$66+1)*($NS$66-210+1)/$NU$66,$NN$66/$NT$66)),0)</f>
        <v/>
      </c>
      <c r="HG66" s="402">
        <f>IF(AND(211&gt;=$NR$66,211&lt;=$NS$66),IF($NP$66="Single_Point",IF(211=$NR$66,$NN$66,0),IF($NP$66="Bell_Curve",$NN$66*(211-$NR$66+1)*($NS$66-211+1)/$NU$66,$NN$66/$NT$66)),0)</f>
        <v/>
      </c>
      <c r="HH66" s="402">
        <f>IF(AND(212&gt;=$NR$66,212&lt;=$NS$66),IF($NP$66="Single_Point",IF(212=$NR$66,$NN$66,0),IF($NP$66="Bell_Curve",$NN$66*(212-$NR$66+1)*($NS$66-212+1)/$NU$66,$NN$66/$NT$66)),0)</f>
        <v/>
      </c>
      <c r="HI66" s="402">
        <f>IF(AND(213&gt;=$NR$66,213&lt;=$NS$66),IF($NP$66="Single_Point",IF(213=$NR$66,$NN$66,0),IF($NP$66="Bell_Curve",$NN$66*(213-$NR$66+1)*($NS$66-213+1)/$NU$66,$NN$66/$NT$66)),0)</f>
        <v/>
      </c>
      <c r="HJ66" s="402">
        <f>IF(AND(214&gt;=$NR$66,214&lt;=$NS$66),IF($NP$66="Single_Point",IF(214=$NR$66,$NN$66,0),IF($NP$66="Bell_Curve",$NN$66*(214-$NR$66+1)*($NS$66-214+1)/$NU$66,$NN$66/$NT$66)),0)</f>
        <v/>
      </c>
      <c r="HK66" s="402">
        <f>IF(AND(215&gt;=$NR$66,215&lt;=$NS$66),IF($NP$66="Single_Point",IF(215=$NR$66,$NN$66,0),IF($NP$66="Bell_Curve",$NN$66*(215-$NR$66+1)*($NS$66-215+1)/$NU$66,$NN$66/$NT$66)),0)</f>
        <v/>
      </c>
      <c r="HL66" s="402">
        <f>IF(AND(216&gt;=$NR$66,216&lt;=$NS$66),IF($NP$66="Single_Point",IF(216=$NR$66,$NN$66,0),IF($NP$66="Bell_Curve",$NN$66*(216-$NR$66+1)*($NS$66-216+1)/$NU$66,$NN$66/$NT$66)),0)</f>
        <v/>
      </c>
      <c r="HM66" s="402">
        <f>IF(AND(217&gt;=$NR$66,217&lt;=$NS$66),IF($NP$66="Single_Point",IF(217=$NR$66,$NN$66,0),IF($NP$66="Bell_Curve",$NN$66*(217-$NR$66+1)*($NS$66-217+1)/$NU$66,$NN$66/$NT$66)),0)</f>
        <v/>
      </c>
      <c r="HN66" s="402">
        <f>IF(AND(218&gt;=$NR$66,218&lt;=$NS$66),IF($NP$66="Single_Point",IF(218=$NR$66,$NN$66,0),IF($NP$66="Bell_Curve",$NN$66*(218-$NR$66+1)*($NS$66-218+1)/$NU$66,$NN$66/$NT$66)),0)</f>
        <v/>
      </c>
      <c r="HO66" s="402">
        <f>IF(AND(219&gt;=$NR$66,219&lt;=$NS$66),IF($NP$66="Single_Point",IF(219=$NR$66,$NN$66,0),IF($NP$66="Bell_Curve",$NN$66*(219-$NR$66+1)*($NS$66-219+1)/$NU$66,$NN$66/$NT$66)),0)</f>
        <v/>
      </c>
      <c r="HP66" s="402">
        <f>IF(AND(220&gt;=$NR$66,220&lt;=$NS$66),IF($NP$66="Single_Point",IF(220=$NR$66,$NN$66,0),IF($NP$66="Bell_Curve",$NN$66*(220-$NR$66+1)*($NS$66-220+1)/$NU$66,$NN$66/$NT$66)),0)</f>
        <v/>
      </c>
      <c r="HQ66" s="402">
        <f>IF(AND(221&gt;=$NR$66,221&lt;=$NS$66),IF($NP$66="Single_Point",IF(221=$NR$66,$NN$66,0),IF($NP$66="Bell_Curve",$NN$66*(221-$NR$66+1)*($NS$66-221+1)/$NU$66,$NN$66/$NT$66)),0)</f>
        <v/>
      </c>
      <c r="HR66" s="402">
        <f>IF(AND(222&gt;=$NR$66,222&lt;=$NS$66),IF($NP$66="Single_Point",IF(222=$NR$66,$NN$66,0),IF($NP$66="Bell_Curve",$NN$66*(222-$NR$66+1)*($NS$66-222+1)/$NU$66,$NN$66/$NT$66)),0)</f>
        <v/>
      </c>
      <c r="HS66" s="402">
        <f>IF(AND(223&gt;=$NR$66,223&lt;=$NS$66),IF($NP$66="Single_Point",IF(223=$NR$66,$NN$66,0),IF($NP$66="Bell_Curve",$NN$66*(223-$NR$66+1)*($NS$66-223+1)/$NU$66,$NN$66/$NT$66)),0)</f>
        <v/>
      </c>
      <c r="HT66" s="402">
        <f>IF(AND(224&gt;=$NR$66,224&lt;=$NS$66),IF($NP$66="Single_Point",IF(224=$NR$66,$NN$66,0),IF($NP$66="Bell_Curve",$NN$66*(224-$NR$66+1)*($NS$66-224+1)/$NU$66,$NN$66/$NT$66)),0)</f>
        <v/>
      </c>
      <c r="HU66" s="402">
        <f>IF(AND(225&gt;=$NR$66,225&lt;=$NS$66),IF($NP$66="Single_Point",IF(225=$NR$66,$NN$66,0),IF($NP$66="Bell_Curve",$NN$66*(225-$NR$66+1)*($NS$66-225+1)/$NU$66,$NN$66/$NT$66)),0)</f>
        <v/>
      </c>
      <c r="HV66" s="402">
        <f>IF(AND(226&gt;=$NR$66,226&lt;=$NS$66),IF($NP$66="Single_Point",IF(226=$NR$66,$NN$66,0),IF($NP$66="Bell_Curve",$NN$66*(226-$NR$66+1)*($NS$66-226+1)/$NU$66,$NN$66/$NT$66)),0)</f>
        <v/>
      </c>
      <c r="HW66" s="402">
        <f>IF(AND(227&gt;=$NR$66,227&lt;=$NS$66),IF($NP$66="Single_Point",IF(227=$NR$66,$NN$66,0),IF($NP$66="Bell_Curve",$NN$66*(227-$NR$66+1)*($NS$66-227+1)/$NU$66,$NN$66/$NT$66)),0)</f>
        <v/>
      </c>
      <c r="HX66" s="402">
        <f>IF(AND(228&gt;=$NR$66,228&lt;=$NS$66),IF($NP$66="Single_Point",IF(228=$NR$66,$NN$66,0),IF($NP$66="Bell_Curve",$NN$66*(228-$NR$66+1)*($NS$66-228+1)/$NU$66,$NN$66/$NT$66)),0)</f>
        <v/>
      </c>
      <c r="HY66" s="402">
        <f>IF(AND(229&gt;=$NR$66,229&lt;=$NS$66),IF($NP$66="Single_Point",IF(229=$NR$66,$NN$66,0),IF($NP$66="Bell_Curve",$NN$66*(229-$NR$66+1)*($NS$66-229+1)/$NU$66,$NN$66/$NT$66)),0)</f>
        <v/>
      </c>
      <c r="HZ66" s="402">
        <f>IF(AND(230&gt;=$NR$66,230&lt;=$NS$66),IF($NP$66="Single_Point",IF(230=$NR$66,$NN$66,0),IF($NP$66="Bell_Curve",$NN$66*(230-$NR$66+1)*($NS$66-230+1)/$NU$66,$NN$66/$NT$66)),0)</f>
        <v/>
      </c>
      <c r="IA66" s="402">
        <f>IF(AND(231&gt;=$NR$66,231&lt;=$NS$66),IF($NP$66="Single_Point",IF(231=$NR$66,$NN$66,0),IF($NP$66="Bell_Curve",$NN$66*(231-$NR$66+1)*($NS$66-231+1)/$NU$66,$NN$66/$NT$66)),0)</f>
        <v/>
      </c>
      <c r="IB66" s="402">
        <f>IF(AND(232&gt;=$NR$66,232&lt;=$NS$66),IF($NP$66="Single_Point",IF(232=$NR$66,$NN$66,0),IF($NP$66="Bell_Curve",$NN$66*(232-$NR$66+1)*($NS$66-232+1)/$NU$66,$NN$66/$NT$66)),0)</f>
        <v/>
      </c>
      <c r="IC66" s="402">
        <f>IF(AND(233&gt;=$NR$66,233&lt;=$NS$66),IF($NP$66="Single_Point",IF(233=$NR$66,$NN$66,0),IF($NP$66="Bell_Curve",$NN$66*(233-$NR$66+1)*($NS$66-233+1)/$NU$66,$NN$66/$NT$66)),0)</f>
        <v/>
      </c>
      <c r="ID66" s="402">
        <f>IF(AND(234&gt;=$NR$66,234&lt;=$NS$66),IF($NP$66="Single_Point",IF(234=$NR$66,$NN$66,0),IF($NP$66="Bell_Curve",$NN$66*(234-$NR$66+1)*($NS$66-234+1)/$NU$66,$NN$66/$NT$66)),0)</f>
        <v/>
      </c>
      <c r="IE66" s="402">
        <f>IF(AND(235&gt;=$NR$66,235&lt;=$NS$66),IF($NP$66="Single_Point",IF(235=$NR$66,$NN$66,0),IF($NP$66="Bell_Curve",$NN$66*(235-$NR$66+1)*($NS$66-235+1)/$NU$66,$NN$66/$NT$66)),0)</f>
        <v/>
      </c>
      <c r="IF66" s="402">
        <f>IF(AND(236&gt;=$NR$66,236&lt;=$NS$66),IF($NP$66="Single_Point",IF(236=$NR$66,$NN$66,0),IF($NP$66="Bell_Curve",$NN$66*(236-$NR$66+1)*($NS$66-236+1)/$NU$66,$NN$66/$NT$66)),0)</f>
        <v/>
      </c>
      <c r="IG66" s="402">
        <f>IF(AND(237&gt;=$NR$66,237&lt;=$NS$66),IF($NP$66="Single_Point",IF(237=$NR$66,$NN$66,0),IF($NP$66="Bell_Curve",$NN$66*(237-$NR$66+1)*($NS$66-237+1)/$NU$66,$NN$66/$NT$66)),0)</f>
        <v/>
      </c>
      <c r="IH66" s="402">
        <f>IF(AND(238&gt;=$NR$66,238&lt;=$NS$66),IF($NP$66="Single_Point",IF(238=$NR$66,$NN$66,0),IF($NP$66="Bell_Curve",$NN$66*(238-$NR$66+1)*($NS$66-238+1)/$NU$66,$NN$66/$NT$66)),0)</f>
        <v/>
      </c>
      <c r="II66" s="402">
        <f>IF(AND(239&gt;=$NR$66,239&lt;=$NS$66),IF($NP$66="Single_Point",IF(239=$NR$66,$NN$66,0),IF($NP$66="Bell_Curve",$NN$66*(239-$NR$66+1)*($NS$66-239+1)/$NU$66,$NN$66/$NT$66)),0)</f>
        <v/>
      </c>
      <c r="IJ66" s="402">
        <f>IF(AND(240&gt;=$NR$66,240&lt;=$NS$66),IF($NP$66="Single_Point",IF(240=$NR$66,$NN$66,0),IF($NP$66="Bell_Curve",$NN$66*(240-$NR$66+1)*($NS$66-240+1)/$NU$66,$NN$66/$NT$66)),0)</f>
        <v/>
      </c>
      <c r="IK66" s="402">
        <f>IF(AND(241&gt;=$NR$66,241&lt;=$NS$66),IF($NP$66="Single_Point",IF(241=$NR$66,$NN$66,0),IF($NP$66="Bell_Curve",$NN$66*(241-$NR$66+1)*($NS$66-241+1)/$NU$66,$NN$66/$NT$66)),0)</f>
        <v/>
      </c>
      <c r="IL66" s="402">
        <f>IF(AND(242&gt;=$NR$66,242&lt;=$NS$66),IF($NP$66="Single_Point",IF(242=$NR$66,$NN$66,0),IF($NP$66="Bell_Curve",$NN$66*(242-$NR$66+1)*($NS$66-242+1)/$NU$66,$NN$66/$NT$66)),0)</f>
        <v/>
      </c>
      <c r="IM66" s="402">
        <f>IF(AND(243&gt;=$NR$66,243&lt;=$NS$66),IF($NP$66="Single_Point",IF(243=$NR$66,$NN$66,0),IF($NP$66="Bell_Curve",$NN$66*(243-$NR$66+1)*($NS$66-243+1)/$NU$66,$NN$66/$NT$66)),0)</f>
        <v/>
      </c>
      <c r="IN66" s="402">
        <f>IF(AND(244&gt;=$NR$66,244&lt;=$NS$66),IF($NP$66="Single_Point",IF(244=$NR$66,$NN$66,0),IF($NP$66="Bell_Curve",$NN$66*(244-$NR$66+1)*($NS$66-244+1)/$NU$66,$NN$66/$NT$66)),0)</f>
        <v/>
      </c>
      <c r="IO66" s="402">
        <f>IF(AND(245&gt;=$NR$66,245&lt;=$NS$66),IF($NP$66="Single_Point",IF(245=$NR$66,$NN$66,0),IF($NP$66="Bell_Curve",$NN$66*(245-$NR$66+1)*($NS$66-245+1)/$NU$66,$NN$66/$NT$66)),0)</f>
        <v/>
      </c>
      <c r="IP66" s="402">
        <f>IF(AND(246&gt;=$NR$66,246&lt;=$NS$66),IF($NP$66="Single_Point",IF(246=$NR$66,$NN$66,0),IF($NP$66="Bell_Curve",$NN$66*(246-$NR$66+1)*($NS$66-246+1)/$NU$66,$NN$66/$NT$66)),0)</f>
        <v/>
      </c>
      <c r="IQ66" s="402">
        <f>IF(AND(247&gt;=$NR$66,247&lt;=$NS$66),IF($NP$66="Single_Point",IF(247=$NR$66,$NN$66,0),IF($NP$66="Bell_Curve",$NN$66*(247-$NR$66+1)*($NS$66-247+1)/$NU$66,$NN$66/$NT$66)),0)</f>
        <v/>
      </c>
      <c r="IR66" s="402">
        <f>IF(AND(248&gt;=$NR$66,248&lt;=$NS$66),IF($NP$66="Single_Point",IF(248=$NR$66,$NN$66,0),IF($NP$66="Bell_Curve",$NN$66*(248-$NR$66+1)*($NS$66-248+1)/$NU$66,$NN$66/$NT$66)),0)</f>
        <v/>
      </c>
      <c r="IS66" s="402">
        <f>IF(AND(249&gt;=$NR$66,249&lt;=$NS$66),IF($NP$66="Single_Point",IF(249=$NR$66,$NN$66,0),IF($NP$66="Bell_Curve",$NN$66*(249-$NR$66+1)*($NS$66-249+1)/$NU$66,$NN$66/$NT$66)),0)</f>
        <v/>
      </c>
      <c r="IT66" s="402">
        <f>IF(AND(250&gt;=$NR$66,250&lt;=$NS$66),IF($NP$66="Single_Point",IF(250=$NR$66,$NN$66,0),IF($NP$66="Bell_Curve",$NN$66*(250-$NR$66+1)*($NS$66-250+1)/$NU$66,$NN$66/$NT$66)),0)</f>
        <v/>
      </c>
      <c r="IU66" s="402">
        <f>IF(AND(251&gt;=$NR$66,251&lt;=$NS$66),IF($NP$66="Single_Point",IF(251=$NR$66,$NN$66,0),IF($NP$66="Bell_Curve",$NN$66*(251-$NR$66+1)*($NS$66-251+1)/$NU$66,$NN$66/$NT$66)),0)</f>
        <v/>
      </c>
      <c r="IV66" s="402">
        <f>IF(AND(252&gt;=$NR$66,252&lt;=$NS$66),IF($NP$66="Single_Point",IF(252=$NR$66,$NN$66,0),IF($NP$66="Bell_Curve",$NN$66*(252-$NR$66+1)*($NS$66-252+1)/$NU$66,$NN$66/$NT$66)),0)</f>
        <v/>
      </c>
      <c r="IW66" s="402">
        <f>IF(AND(253&gt;=$NR$66,253&lt;=$NS$66),IF($NP$66="Single_Point",IF(253=$NR$66,$NN$66,0),IF($NP$66="Bell_Curve",$NN$66*(253-$NR$66+1)*($NS$66-253+1)/$NU$66,$NN$66/$NT$66)),0)</f>
        <v/>
      </c>
      <c r="IX66" s="402">
        <f>IF(AND(254&gt;=$NR$66,254&lt;=$NS$66),IF($NP$66="Single_Point",IF(254=$NR$66,$NN$66,0),IF($NP$66="Bell_Curve",$NN$66*(254-$NR$66+1)*($NS$66-254+1)/$NU$66,$NN$66/$NT$66)),0)</f>
        <v/>
      </c>
      <c r="IY66" s="402">
        <f>IF(AND(255&gt;=$NR$66,255&lt;=$NS$66),IF($NP$66="Single_Point",IF(255=$NR$66,$NN$66,0),IF($NP$66="Bell_Curve",$NN$66*(255-$NR$66+1)*($NS$66-255+1)/$NU$66,$NN$66/$NT$66)),0)</f>
        <v/>
      </c>
      <c r="IZ66" s="402">
        <f>IF(AND(256&gt;=$NR$66,256&lt;=$NS$66),IF($NP$66="Single_Point",IF(256=$NR$66,$NN$66,0),IF($NP$66="Bell_Curve",$NN$66*(256-$NR$66+1)*($NS$66-256+1)/$NU$66,$NN$66/$NT$66)),0)</f>
        <v/>
      </c>
      <c r="JA66" s="402">
        <f>IF(AND(257&gt;=$NR$66,257&lt;=$NS$66),IF($NP$66="Single_Point",IF(257=$NR$66,$NN$66,0),IF($NP$66="Bell_Curve",$NN$66*(257-$NR$66+1)*($NS$66-257+1)/$NU$66,$NN$66/$NT$66)),0)</f>
        <v/>
      </c>
      <c r="JB66" s="402">
        <f>IF(AND(258&gt;=$NR$66,258&lt;=$NS$66),IF($NP$66="Single_Point",IF(258=$NR$66,$NN$66,0),IF($NP$66="Bell_Curve",$NN$66*(258-$NR$66+1)*($NS$66-258+1)/$NU$66,$NN$66/$NT$66)),0)</f>
        <v/>
      </c>
      <c r="JC66" s="402">
        <f>IF(AND(259&gt;=$NR$66,259&lt;=$NS$66),IF($NP$66="Single_Point",IF(259=$NR$66,$NN$66,0),IF($NP$66="Bell_Curve",$NN$66*(259-$NR$66+1)*($NS$66-259+1)/$NU$66,$NN$66/$NT$66)),0)</f>
        <v/>
      </c>
      <c r="JD66" s="402">
        <f>IF(AND(260&gt;=$NR$66,260&lt;=$NS$66),IF($NP$66="Single_Point",IF(260=$NR$66,$NN$66,0),IF($NP$66="Bell_Curve",$NN$66*(260-$NR$66+1)*($NS$66-260+1)/$NU$66,$NN$66/$NT$66)),0)</f>
        <v/>
      </c>
      <c r="JE66" s="402">
        <f>IF(AND(261&gt;=$NR$66,261&lt;=$NS$66),IF($NP$66="Single_Point",IF(261=$NR$66,$NN$66,0),IF($NP$66="Bell_Curve",$NN$66*(261-$NR$66+1)*($NS$66-261+1)/$NU$66,$NN$66/$NT$66)),0)</f>
        <v/>
      </c>
      <c r="JF66" s="402">
        <f>IF(AND(262&gt;=$NR$66,262&lt;=$NS$66),IF($NP$66="Single_Point",IF(262=$NR$66,$NN$66,0),IF($NP$66="Bell_Curve",$NN$66*(262-$NR$66+1)*($NS$66-262+1)/$NU$66,$NN$66/$NT$66)),0)</f>
        <v/>
      </c>
      <c r="JG66" s="402">
        <f>IF(AND(263&gt;=$NR$66,263&lt;=$NS$66),IF($NP$66="Single_Point",IF(263=$NR$66,$NN$66,0),IF($NP$66="Bell_Curve",$NN$66*(263-$NR$66+1)*($NS$66-263+1)/$NU$66,$NN$66/$NT$66)),0)</f>
        <v/>
      </c>
      <c r="JH66" s="402">
        <f>IF(AND(264&gt;=$NR$66,264&lt;=$NS$66),IF($NP$66="Single_Point",IF(264=$NR$66,$NN$66,0),IF($NP$66="Bell_Curve",$NN$66*(264-$NR$66+1)*($NS$66-264+1)/$NU$66,$NN$66/$NT$66)),0)</f>
        <v/>
      </c>
      <c r="JI66" s="402">
        <f>IF(AND(265&gt;=$NR$66,265&lt;=$NS$66),IF($NP$66="Single_Point",IF(265=$NR$66,$NN$66,0),IF($NP$66="Bell_Curve",$NN$66*(265-$NR$66+1)*($NS$66-265+1)/$NU$66,$NN$66/$NT$66)),0)</f>
        <v/>
      </c>
      <c r="JJ66" s="402">
        <f>IF(AND(266&gt;=$NR$66,266&lt;=$NS$66),IF($NP$66="Single_Point",IF(266=$NR$66,$NN$66,0),IF($NP$66="Bell_Curve",$NN$66*(266-$NR$66+1)*($NS$66-266+1)/$NU$66,$NN$66/$NT$66)),0)</f>
        <v/>
      </c>
      <c r="JK66" s="402">
        <f>IF(AND(267&gt;=$NR$66,267&lt;=$NS$66),IF($NP$66="Single_Point",IF(267=$NR$66,$NN$66,0),IF($NP$66="Bell_Curve",$NN$66*(267-$NR$66+1)*($NS$66-267+1)/$NU$66,$NN$66/$NT$66)),0)</f>
        <v/>
      </c>
      <c r="JL66" s="402">
        <f>IF(AND(268&gt;=$NR$66,268&lt;=$NS$66),IF($NP$66="Single_Point",IF(268=$NR$66,$NN$66,0),IF($NP$66="Bell_Curve",$NN$66*(268-$NR$66+1)*($NS$66-268+1)/$NU$66,$NN$66/$NT$66)),0)</f>
        <v/>
      </c>
      <c r="JM66" s="402">
        <f>IF(AND(269&gt;=$NR$66,269&lt;=$NS$66),IF($NP$66="Single_Point",IF(269=$NR$66,$NN$66,0),IF($NP$66="Bell_Curve",$NN$66*(269-$NR$66+1)*($NS$66-269+1)/$NU$66,$NN$66/$NT$66)),0)</f>
        <v/>
      </c>
      <c r="JN66" s="402">
        <f>IF(AND(270&gt;=$NR$66,270&lt;=$NS$66),IF($NP$66="Single_Point",IF(270=$NR$66,$NN$66,0),IF($NP$66="Bell_Curve",$NN$66*(270-$NR$66+1)*($NS$66-270+1)/$NU$66,$NN$66/$NT$66)),0)</f>
        <v/>
      </c>
      <c r="JO66" s="402">
        <f>IF(AND(271&gt;=$NR$66,271&lt;=$NS$66),IF($NP$66="Single_Point",IF(271=$NR$66,$NN$66,0),IF($NP$66="Bell_Curve",$NN$66*(271-$NR$66+1)*($NS$66-271+1)/$NU$66,$NN$66/$NT$66)),0)</f>
        <v/>
      </c>
      <c r="JP66" s="402">
        <f>IF(AND(272&gt;=$NR$66,272&lt;=$NS$66),IF($NP$66="Single_Point",IF(272=$NR$66,$NN$66,0),IF($NP$66="Bell_Curve",$NN$66*(272-$NR$66+1)*($NS$66-272+1)/$NU$66,$NN$66/$NT$66)),0)</f>
        <v/>
      </c>
      <c r="JQ66" s="402">
        <f>IF(AND(273&gt;=$NR$66,273&lt;=$NS$66),IF($NP$66="Single_Point",IF(273=$NR$66,$NN$66,0),IF($NP$66="Bell_Curve",$NN$66*(273-$NR$66+1)*($NS$66-273+1)/$NU$66,$NN$66/$NT$66)),0)</f>
        <v/>
      </c>
      <c r="JR66" s="402">
        <f>IF(AND(274&gt;=$NR$66,274&lt;=$NS$66),IF($NP$66="Single_Point",IF(274=$NR$66,$NN$66,0),IF($NP$66="Bell_Curve",$NN$66*(274-$NR$66+1)*($NS$66-274+1)/$NU$66,$NN$66/$NT$66)),0)</f>
        <v/>
      </c>
      <c r="JS66" s="402">
        <f>IF(AND(275&gt;=$NR$66,275&lt;=$NS$66),IF($NP$66="Single_Point",IF(275=$NR$66,$NN$66,0),IF($NP$66="Bell_Curve",$NN$66*(275-$NR$66+1)*($NS$66-275+1)/$NU$66,$NN$66/$NT$66)),0)</f>
        <v/>
      </c>
      <c r="JT66" s="402">
        <f>IF(AND(276&gt;=$NR$66,276&lt;=$NS$66),IF($NP$66="Single_Point",IF(276=$NR$66,$NN$66,0),IF($NP$66="Bell_Curve",$NN$66*(276-$NR$66+1)*($NS$66-276+1)/$NU$66,$NN$66/$NT$66)),0)</f>
        <v/>
      </c>
      <c r="JU66" s="402">
        <f>IF(AND(277&gt;=$NR$66,277&lt;=$NS$66),IF($NP$66="Single_Point",IF(277=$NR$66,$NN$66,0),IF($NP$66="Bell_Curve",$NN$66*(277-$NR$66+1)*($NS$66-277+1)/$NU$66,$NN$66/$NT$66)),0)</f>
        <v/>
      </c>
      <c r="JV66" s="402">
        <f>IF(AND(278&gt;=$NR$66,278&lt;=$NS$66),IF($NP$66="Single_Point",IF(278=$NR$66,$NN$66,0),IF($NP$66="Bell_Curve",$NN$66*(278-$NR$66+1)*($NS$66-278+1)/$NU$66,$NN$66/$NT$66)),0)</f>
        <v/>
      </c>
      <c r="JW66" s="402">
        <f>IF(AND(279&gt;=$NR$66,279&lt;=$NS$66),IF($NP$66="Single_Point",IF(279=$NR$66,$NN$66,0),IF($NP$66="Bell_Curve",$NN$66*(279-$NR$66+1)*($NS$66-279+1)/$NU$66,$NN$66/$NT$66)),0)</f>
        <v/>
      </c>
      <c r="JX66" s="402">
        <f>IF(AND(280&gt;=$NR$66,280&lt;=$NS$66),IF($NP$66="Single_Point",IF(280=$NR$66,$NN$66,0),IF($NP$66="Bell_Curve",$NN$66*(280-$NR$66+1)*($NS$66-280+1)/$NU$66,$NN$66/$NT$66)),0)</f>
        <v/>
      </c>
      <c r="JY66" s="402">
        <f>IF(AND(281&gt;=$NR$66,281&lt;=$NS$66),IF($NP$66="Single_Point",IF(281=$NR$66,$NN$66,0),IF($NP$66="Bell_Curve",$NN$66*(281-$NR$66+1)*($NS$66-281+1)/$NU$66,$NN$66/$NT$66)),0)</f>
        <v/>
      </c>
      <c r="JZ66" s="402">
        <f>IF(AND(282&gt;=$NR$66,282&lt;=$NS$66),IF($NP$66="Single_Point",IF(282=$NR$66,$NN$66,0),IF($NP$66="Bell_Curve",$NN$66*(282-$NR$66+1)*($NS$66-282+1)/$NU$66,$NN$66/$NT$66)),0)</f>
        <v/>
      </c>
      <c r="KA66" s="402">
        <f>IF(AND(283&gt;=$NR$66,283&lt;=$NS$66),IF($NP$66="Single_Point",IF(283=$NR$66,$NN$66,0),IF($NP$66="Bell_Curve",$NN$66*(283-$NR$66+1)*($NS$66-283+1)/$NU$66,$NN$66/$NT$66)),0)</f>
        <v/>
      </c>
      <c r="KB66" s="402">
        <f>IF(AND(284&gt;=$NR$66,284&lt;=$NS$66),IF($NP$66="Single_Point",IF(284=$NR$66,$NN$66,0),IF($NP$66="Bell_Curve",$NN$66*(284-$NR$66+1)*($NS$66-284+1)/$NU$66,$NN$66/$NT$66)),0)</f>
        <v/>
      </c>
      <c r="KC66" s="402">
        <f>IF(AND(285&gt;=$NR$66,285&lt;=$NS$66),IF($NP$66="Single_Point",IF(285=$NR$66,$NN$66,0),IF($NP$66="Bell_Curve",$NN$66*(285-$NR$66+1)*($NS$66-285+1)/$NU$66,$NN$66/$NT$66)),0)</f>
        <v/>
      </c>
      <c r="KD66" s="402">
        <f>IF(AND(286&gt;=$NR$66,286&lt;=$NS$66),IF($NP$66="Single_Point",IF(286=$NR$66,$NN$66,0),IF($NP$66="Bell_Curve",$NN$66*(286-$NR$66+1)*($NS$66-286+1)/$NU$66,$NN$66/$NT$66)),0)</f>
        <v/>
      </c>
      <c r="KE66" s="402">
        <f>IF(AND(287&gt;=$NR$66,287&lt;=$NS$66),IF($NP$66="Single_Point",IF(287=$NR$66,$NN$66,0),IF($NP$66="Bell_Curve",$NN$66*(287-$NR$66+1)*($NS$66-287+1)/$NU$66,$NN$66/$NT$66)),0)</f>
        <v/>
      </c>
      <c r="KF66" s="402">
        <f>IF(AND(288&gt;=$NR$66,288&lt;=$NS$66),IF($NP$66="Single_Point",IF(288=$NR$66,$NN$66,0),IF($NP$66="Bell_Curve",$NN$66*(288-$NR$66+1)*($NS$66-288+1)/$NU$66,$NN$66/$NT$66)),0)</f>
        <v/>
      </c>
      <c r="KG66" s="402">
        <f>IF(AND(289&gt;=$NR$66,289&lt;=$NS$66),IF($NP$66="Single_Point",IF(289=$NR$66,$NN$66,0),IF($NP$66="Bell_Curve",$NN$66*(289-$NR$66+1)*($NS$66-289+1)/$NU$66,$NN$66/$NT$66)),0)</f>
        <v/>
      </c>
      <c r="KH66" s="402">
        <f>IF(AND(290&gt;=$NR$66,290&lt;=$NS$66),IF($NP$66="Single_Point",IF(290=$NR$66,$NN$66,0),IF($NP$66="Bell_Curve",$NN$66*(290-$NR$66+1)*($NS$66-290+1)/$NU$66,$NN$66/$NT$66)),0)</f>
        <v/>
      </c>
      <c r="KI66" s="402">
        <f>IF(AND(291&gt;=$NR$66,291&lt;=$NS$66),IF($NP$66="Single_Point",IF(291=$NR$66,$NN$66,0),IF($NP$66="Bell_Curve",$NN$66*(291-$NR$66+1)*($NS$66-291+1)/$NU$66,$NN$66/$NT$66)),0)</f>
        <v/>
      </c>
      <c r="KJ66" s="402">
        <f>IF(AND(292&gt;=$NR$66,292&lt;=$NS$66),IF($NP$66="Single_Point",IF(292=$NR$66,$NN$66,0),IF($NP$66="Bell_Curve",$NN$66*(292-$NR$66+1)*($NS$66-292+1)/$NU$66,$NN$66/$NT$66)),0)</f>
        <v/>
      </c>
      <c r="KK66" s="402">
        <f>IF(AND(293&gt;=$NR$66,293&lt;=$NS$66),IF($NP$66="Single_Point",IF(293=$NR$66,$NN$66,0),IF($NP$66="Bell_Curve",$NN$66*(293-$NR$66+1)*($NS$66-293+1)/$NU$66,$NN$66/$NT$66)),0)</f>
        <v/>
      </c>
      <c r="KL66" s="402">
        <f>IF(AND(294&gt;=$NR$66,294&lt;=$NS$66),IF($NP$66="Single_Point",IF(294=$NR$66,$NN$66,0),IF($NP$66="Bell_Curve",$NN$66*(294-$NR$66+1)*($NS$66-294+1)/$NU$66,$NN$66/$NT$66)),0)</f>
        <v/>
      </c>
      <c r="KM66" s="402">
        <f>IF(AND(295&gt;=$NR$66,295&lt;=$NS$66),IF($NP$66="Single_Point",IF(295=$NR$66,$NN$66,0),IF($NP$66="Bell_Curve",$NN$66*(295-$NR$66+1)*($NS$66-295+1)/$NU$66,$NN$66/$NT$66)),0)</f>
        <v/>
      </c>
      <c r="KN66" s="402">
        <f>IF(AND(296&gt;=$NR$66,296&lt;=$NS$66),IF($NP$66="Single_Point",IF(296=$NR$66,$NN$66,0),IF($NP$66="Bell_Curve",$NN$66*(296-$NR$66+1)*($NS$66-296+1)/$NU$66,$NN$66/$NT$66)),0)</f>
        <v/>
      </c>
      <c r="KO66" s="402">
        <f>IF(AND(297&gt;=$NR$66,297&lt;=$NS$66),IF($NP$66="Single_Point",IF(297=$NR$66,$NN$66,0),IF($NP$66="Bell_Curve",$NN$66*(297-$NR$66+1)*($NS$66-297+1)/$NU$66,$NN$66/$NT$66)),0)</f>
        <v/>
      </c>
      <c r="KP66" s="402">
        <f>IF(AND(298&gt;=$NR$66,298&lt;=$NS$66),IF($NP$66="Single_Point",IF(298=$NR$66,$NN$66,0),IF($NP$66="Bell_Curve",$NN$66*(298-$NR$66+1)*($NS$66-298+1)/$NU$66,$NN$66/$NT$66)),0)</f>
        <v/>
      </c>
      <c r="KQ66" s="402">
        <f>IF(AND(299&gt;=$NR$66,299&lt;=$NS$66),IF($NP$66="Single_Point",IF(299=$NR$66,$NN$66,0),IF($NP$66="Bell_Curve",$NN$66*(299-$NR$66+1)*($NS$66-299+1)/$NU$66,$NN$66/$NT$66)),0)</f>
        <v/>
      </c>
      <c r="KR66" s="402">
        <f>IF(AND(300&gt;=$NR$66,300&lt;=$NS$66),IF($NP$66="Single_Point",IF(300=$NR$66,$NN$66,0),IF($NP$66="Bell_Curve",$NN$66*(300-$NR$66+1)*($NS$66-300+1)/$NU$66,$NN$66/$NT$66)),0)</f>
        <v/>
      </c>
      <c r="KS66" s="402">
        <f>IF(AND(301&gt;=$NR$66,301&lt;=$NS$66),IF($NP$66="Single_Point",IF(301=$NR$66,$NN$66,0),IF($NP$66="Bell_Curve",$NN$66*(301-$NR$66+1)*($NS$66-301+1)/$NU$66,$NN$66/$NT$66)),0)</f>
        <v/>
      </c>
      <c r="KT66" s="402">
        <f>IF(AND(302&gt;=$NR$66,302&lt;=$NS$66),IF($NP$66="Single_Point",IF(302=$NR$66,$NN$66,0),IF($NP$66="Bell_Curve",$NN$66*(302-$NR$66+1)*($NS$66-302+1)/$NU$66,$NN$66/$NT$66)),0)</f>
        <v/>
      </c>
      <c r="KU66" s="402">
        <f>IF(AND(303&gt;=$NR$66,303&lt;=$NS$66),IF($NP$66="Single_Point",IF(303=$NR$66,$NN$66,0),IF($NP$66="Bell_Curve",$NN$66*(303-$NR$66+1)*($NS$66-303+1)/$NU$66,$NN$66/$NT$66)),0)</f>
        <v/>
      </c>
      <c r="KV66" s="402">
        <f>IF(AND(304&gt;=$NR$66,304&lt;=$NS$66),IF($NP$66="Single_Point",IF(304=$NR$66,$NN$66,0),IF($NP$66="Bell_Curve",$NN$66*(304-$NR$66+1)*($NS$66-304+1)/$NU$66,$NN$66/$NT$66)),0)</f>
        <v/>
      </c>
      <c r="KW66" s="402">
        <f>IF(AND(305&gt;=$NR$66,305&lt;=$NS$66),IF($NP$66="Single_Point",IF(305=$NR$66,$NN$66,0),IF($NP$66="Bell_Curve",$NN$66*(305-$NR$66+1)*($NS$66-305+1)/$NU$66,$NN$66/$NT$66)),0)</f>
        <v/>
      </c>
      <c r="KX66" s="402">
        <f>IF(AND(306&gt;=$NR$66,306&lt;=$NS$66),IF($NP$66="Single_Point",IF(306=$NR$66,$NN$66,0),IF($NP$66="Bell_Curve",$NN$66*(306-$NR$66+1)*($NS$66-306+1)/$NU$66,$NN$66/$NT$66)),0)</f>
        <v/>
      </c>
      <c r="KY66" s="402">
        <f>IF(AND(307&gt;=$NR$66,307&lt;=$NS$66),IF($NP$66="Single_Point",IF(307=$NR$66,$NN$66,0),IF($NP$66="Bell_Curve",$NN$66*(307-$NR$66+1)*($NS$66-307+1)/$NU$66,$NN$66/$NT$66)),0)</f>
        <v/>
      </c>
      <c r="KZ66" s="402">
        <f>IF(AND(308&gt;=$NR$66,308&lt;=$NS$66),IF($NP$66="Single_Point",IF(308=$NR$66,$NN$66,0),IF($NP$66="Bell_Curve",$NN$66*(308-$NR$66+1)*($NS$66-308+1)/$NU$66,$NN$66/$NT$66)),0)</f>
        <v/>
      </c>
      <c r="LA66" s="402">
        <f>IF(AND(309&gt;=$NR$66,309&lt;=$NS$66),IF($NP$66="Single_Point",IF(309=$NR$66,$NN$66,0),IF($NP$66="Bell_Curve",$NN$66*(309-$NR$66+1)*($NS$66-309+1)/$NU$66,$NN$66/$NT$66)),0)</f>
        <v/>
      </c>
      <c r="LB66" s="402">
        <f>IF(AND(310&gt;=$NR$66,310&lt;=$NS$66),IF($NP$66="Single_Point",IF(310=$NR$66,$NN$66,0),IF($NP$66="Bell_Curve",$NN$66*(310-$NR$66+1)*($NS$66-310+1)/$NU$66,$NN$66/$NT$66)),0)</f>
        <v/>
      </c>
      <c r="LC66" s="402">
        <f>IF(AND(311&gt;=$NR$66,311&lt;=$NS$66),IF($NP$66="Single_Point",IF(311=$NR$66,$NN$66,0),IF($NP$66="Bell_Curve",$NN$66*(311-$NR$66+1)*($NS$66-311+1)/$NU$66,$NN$66/$NT$66)),0)</f>
        <v/>
      </c>
      <c r="LD66" s="402">
        <f>IF(AND(312&gt;=$NR$66,312&lt;=$NS$66),IF($NP$66="Single_Point",IF(312=$NR$66,$NN$66,0),IF($NP$66="Bell_Curve",$NN$66*(312-$NR$66+1)*($NS$66-312+1)/$NU$66,$NN$66/$NT$66)),0)</f>
        <v/>
      </c>
      <c r="LE66" s="402">
        <f>IF(AND(313&gt;=$NR$66,313&lt;=$NS$66),IF($NP$66="Single_Point",IF(313=$NR$66,$NN$66,0),IF($NP$66="Bell_Curve",$NN$66*(313-$NR$66+1)*($NS$66-313+1)/$NU$66,$NN$66/$NT$66)),0)</f>
        <v/>
      </c>
      <c r="LF66" s="402">
        <f>IF(AND(314&gt;=$NR$66,314&lt;=$NS$66),IF($NP$66="Single_Point",IF(314=$NR$66,$NN$66,0),IF($NP$66="Bell_Curve",$NN$66*(314-$NR$66+1)*($NS$66-314+1)/$NU$66,$NN$66/$NT$66)),0)</f>
        <v/>
      </c>
      <c r="LG66" s="402">
        <f>IF(AND(315&gt;=$NR$66,315&lt;=$NS$66),IF($NP$66="Single_Point",IF(315=$NR$66,$NN$66,0),IF($NP$66="Bell_Curve",$NN$66*(315-$NR$66+1)*($NS$66-315+1)/$NU$66,$NN$66/$NT$66)),0)</f>
        <v/>
      </c>
      <c r="LH66" s="402">
        <f>IF(AND(316&gt;=$NR$66,316&lt;=$NS$66),IF($NP$66="Single_Point",IF(316=$NR$66,$NN$66,0),IF($NP$66="Bell_Curve",$NN$66*(316-$NR$66+1)*($NS$66-316+1)/$NU$66,$NN$66/$NT$66)),0)</f>
        <v/>
      </c>
      <c r="LI66" s="402">
        <f>IF(AND(317&gt;=$NR$66,317&lt;=$NS$66),IF($NP$66="Single_Point",IF(317=$NR$66,$NN$66,0),IF($NP$66="Bell_Curve",$NN$66*(317-$NR$66+1)*($NS$66-317+1)/$NU$66,$NN$66/$NT$66)),0)</f>
        <v/>
      </c>
      <c r="LJ66" s="402">
        <f>IF(AND(318&gt;=$NR$66,318&lt;=$NS$66),IF($NP$66="Single_Point",IF(318=$NR$66,$NN$66,0),IF($NP$66="Bell_Curve",$NN$66*(318-$NR$66+1)*($NS$66-318+1)/$NU$66,$NN$66/$NT$66)),0)</f>
        <v/>
      </c>
      <c r="LK66" s="402">
        <f>IF(AND(319&gt;=$NR$66,319&lt;=$NS$66),IF($NP$66="Single_Point",IF(319=$NR$66,$NN$66,0),IF($NP$66="Bell_Curve",$NN$66*(319-$NR$66+1)*($NS$66-319+1)/$NU$66,$NN$66/$NT$66)),0)</f>
        <v/>
      </c>
      <c r="LL66" s="402">
        <f>IF(AND(320&gt;=$NR$66,320&lt;=$NS$66),IF($NP$66="Single_Point",IF(320=$NR$66,$NN$66,0),IF($NP$66="Bell_Curve",$NN$66*(320-$NR$66+1)*($NS$66-320+1)/$NU$66,$NN$66/$NT$66)),0)</f>
        <v/>
      </c>
      <c r="LM66" s="402">
        <f>IF(AND(321&gt;=$NR$66,321&lt;=$NS$66),IF($NP$66="Single_Point",IF(321=$NR$66,$NN$66,0),IF($NP$66="Bell_Curve",$NN$66*(321-$NR$66+1)*($NS$66-321+1)/$NU$66,$NN$66/$NT$66)),0)</f>
        <v/>
      </c>
      <c r="LN66" s="402">
        <f>IF(AND(322&gt;=$NR$66,322&lt;=$NS$66),IF($NP$66="Single_Point",IF(322=$NR$66,$NN$66,0),IF($NP$66="Bell_Curve",$NN$66*(322-$NR$66+1)*($NS$66-322+1)/$NU$66,$NN$66/$NT$66)),0)</f>
        <v/>
      </c>
      <c r="LO66" s="402">
        <f>IF(AND(323&gt;=$NR$66,323&lt;=$NS$66),IF($NP$66="Single_Point",IF(323=$NR$66,$NN$66,0),IF($NP$66="Bell_Curve",$NN$66*(323-$NR$66+1)*($NS$66-323+1)/$NU$66,$NN$66/$NT$66)),0)</f>
        <v/>
      </c>
      <c r="LP66" s="402">
        <f>IF(AND(324&gt;=$NR$66,324&lt;=$NS$66),IF($NP$66="Single_Point",IF(324=$NR$66,$NN$66,0),IF($NP$66="Bell_Curve",$NN$66*(324-$NR$66+1)*($NS$66-324+1)/$NU$66,$NN$66/$NT$66)),0)</f>
        <v/>
      </c>
      <c r="LQ66" s="402">
        <f>IF(AND(325&gt;=$NR$66,325&lt;=$NS$66),IF($NP$66="Single_Point",IF(325=$NR$66,$NN$66,0),IF($NP$66="Bell_Curve",$NN$66*(325-$NR$66+1)*($NS$66-325+1)/$NU$66,$NN$66/$NT$66)),0)</f>
        <v/>
      </c>
      <c r="LR66" s="402">
        <f>IF(AND(326&gt;=$NR$66,326&lt;=$NS$66),IF($NP$66="Single_Point",IF(326=$NR$66,$NN$66,0),IF($NP$66="Bell_Curve",$NN$66*(326-$NR$66+1)*($NS$66-326+1)/$NU$66,$NN$66/$NT$66)),0)</f>
        <v/>
      </c>
      <c r="LS66" s="402">
        <f>IF(AND(327&gt;=$NR$66,327&lt;=$NS$66),IF($NP$66="Single_Point",IF(327=$NR$66,$NN$66,0),IF($NP$66="Bell_Curve",$NN$66*(327-$NR$66+1)*($NS$66-327+1)/$NU$66,$NN$66/$NT$66)),0)</f>
        <v/>
      </c>
      <c r="LT66" s="402">
        <f>IF(AND(328&gt;=$NR$66,328&lt;=$NS$66),IF($NP$66="Single_Point",IF(328=$NR$66,$NN$66,0),IF($NP$66="Bell_Curve",$NN$66*(328-$NR$66+1)*($NS$66-328+1)/$NU$66,$NN$66/$NT$66)),0)</f>
        <v/>
      </c>
      <c r="LU66" s="402">
        <f>IF(AND(329&gt;=$NR$66,329&lt;=$NS$66),IF($NP$66="Single_Point",IF(329=$NR$66,$NN$66,0),IF($NP$66="Bell_Curve",$NN$66*(329-$NR$66+1)*($NS$66-329+1)/$NU$66,$NN$66/$NT$66)),0)</f>
        <v/>
      </c>
      <c r="LV66" s="402">
        <f>IF(AND(330&gt;=$NR$66,330&lt;=$NS$66),IF($NP$66="Single_Point",IF(330=$NR$66,$NN$66,0),IF($NP$66="Bell_Curve",$NN$66*(330-$NR$66+1)*($NS$66-330+1)/$NU$66,$NN$66/$NT$66)),0)</f>
        <v/>
      </c>
      <c r="LW66" s="402">
        <f>IF(AND(331&gt;=$NR$66,331&lt;=$NS$66),IF($NP$66="Single_Point",IF(331=$NR$66,$NN$66,0),IF($NP$66="Bell_Curve",$NN$66*(331-$NR$66+1)*($NS$66-331+1)/$NU$66,$NN$66/$NT$66)),0)</f>
        <v/>
      </c>
      <c r="LX66" s="402">
        <f>IF(AND(332&gt;=$NR$66,332&lt;=$NS$66),IF($NP$66="Single_Point",IF(332=$NR$66,$NN$66,0),IF($NP$66="Bell_Curve",$NN$66*(332-$NR$66+1)*($NS$66-332+1)/$NU$66,$NN$66/$NT$66)),0)</f>
        <v/>
      </c>
      <c r="LY66" s="402">
        <f>IF(AND(333&gt;=$NR$66,333&lt;=$NS$66),IF($NP$66="Single_Point",IF(333=$NR$66,$NN$66,0),IF($NP$66="Bell_Curve",$NN$66*(333-$NR$66+1)*($NS$66-333+1)/$NU$66,$NN$66/$NT$66)),0)</f>
        <v/>
      </c>
      <c r="LZ66" s="402">
        <f>IF(AND(334&gt;=$NR$66,334&lt;=$NS$66),IF($NP$66="Single_Point",IF(334=$NR$66,$NN$66,0),IF($NP$66="Bell_Curve",$NN$66*(334-$NR$66+1)*($NS$66-334+1)/$NU$66,$NN$66/$NT$66)),0)</f>
        <v/>
      </c>
      <c r="MA66" s="402">
        <f>IF(AND(335&gt;=$NR$66,335&lt;=$NS$66),IF($NP$66="Single_Point",IF(335=$NR$66,$NN$66,0),IF($NP$66="Bell_Curve",$NN$66*(335-$NR$66+1)*($NS$66-335+1)/$NU$66,$NN$66/$NT$66)),0)</f>
        <v/>
      </c>
      <c r="MB66" s="402">
        <f>IF(AND(336&gt;=$NR$66,336&lt;=$NS$66),IF($NP$66="Single_Point",IF(336=$NR$66,$NN$66,0),IF($NP$66="Bell_Curve",$NN$66*(336-$NR$66+1)*($NS$66-336+1)/$NU$66,$NN$66/$NT$66)),0)</f>
        <v/>
      </c>
      <c r="MC66" s="402">
        <f>IF(AND(337&gt;=$NR$66,337&lt;=$NS$66),IF($NP$66="Single_Point",IF(337=$NR$66,$NN$66,0),IF($NP$66="Bell_Curve",$NN$66*(337-$NR$66+1)*($NS$66-337+1)/$NU$66,$NN$66/$NT$66)),0)</f>
        <v/>
      </c>
      <c r="MD66" s="402">
        <f>IF(AND(338&gt;=$NR$66,338&lt;=$NS$66),IF($NP$66="Single_Point",IF(338=$NR$66,$NN$66,0),IF($NP$66="Bell_Curve",$NN$66*(338-$NR$66+1)*($NS$66-338+1)/$NU$66,$NN$66/$NT$66)),0)</f>
        <v/>
      </c>
      <c r="ME66" s="402">
        <f>IF(AND(339&gt;=$NR$66,339&lt;=$NS$66),IF($NP$66="Single_Point",IF(339=$NR$66,$NN$66,0),IF($NP$66="Bell_Curve",$NN$66*(339-$NR$66+1)*($NS$66-339+1)/$NU$66,$NN$66/$NT$66)),0)</f>
        <v/>
      </c>
      <c r="MF66" s="402">
        <f>IF(AND(340&gt;=$NR$66,340&lt;=$NS$66),IF($NP$66="Single_Point",IF(340=$NR$66,$NN$66,0),IF($NP$66="Bell_Curve",$NN$66*(340-$NR$66+1)*($NS$66-340+1)/$NU$66,$NN$66/$NT$66)),0)</f>
        <v/>
      </c>
      <c r="MG66" s="402">
        <f>IF(AND(341&gt;=$NR$66,341&lt;=$NS$66),IF($NP$66="Single_Point",IF(341=$NR$66,$NN$66,0),IF($NP$66="Bell_Curve",$NN$66*(341-$NR$66+1)*($NS$66-341+1)/$NU$66,$NN$66/$NT$66)),0)</f>
        <v/>
      </c>
      <c r="MH66" s="402">
        <f>IF(AND(342&gt;=$NR$66,342&lt;=$NS$66),IF($NP$66="Single_Point",IF(342=$NR$66,$NN$66,0),IF($NP$66="Bell_Curve",$NN$66*(342-$NR$66+1)*($NS$66-342+1)/$NU$66,$NN$66/$NT$66)),0)</f>
        <v/>
      </c>
      <c r="MI66" s="402">
        <f>IF(AND(343&gt;=$NR$66,343&lt;=$NS$66),IF($NP$66="Single_Point",IF(343=$NR$66,$NN$66,0),IF($NP$66="Bell_Curve",$NN$66*(343-$NR$66+1)*($NS$66-343+1)/$NU$66,$NN$66/$NT$66)),0)</f>
        <v/>
      </c>
      <c r="MJ66" s="402">
        <f>IF(AND(344&gt;=$NR$66,344&lt;=$NS$66),IF($NP$66="Single_Point",IF(344=$NR$66,$NN$66,0),IF($NP$66="Bell_Curve",$NN$66*(344-$NR$66+1)*($NS$66-344+1)/$NU$66,$NN$66/$NT$66)),0)</f>
        <v/>
      </c>
      <c r="MK66" s="402">
        <f>IF(AND(345&gt;=$NR$66,345&lt;=$NS$66),IF($NP$66="Single_Point",IF(345=$NR$66,$NN$66,0),IF($NP$66="Bell_Curve",$NN$66*(345-$NR$66+1)*($NS$66-345+1)/$NU$66,$NN$66/$NT$66)),0)</f>
        <v/>
      </c>
      <c r="ML66" s="402">
        <f>IF(AND(346&gt;=$NR$66,346&lt;=$NS$66),IF($NP$66="Single_Point",IF(346=$NR$66,$NN$66,0),IF($NP$66="Bell_Curve",$NN$66*(346-$NR$66+1)*($NS$66-346+1)/$NU$66,$NN$66/$NT$66)),0)</f>
        <v/>
      </c>
      <c r="MM66" s="402">
        <f>IF(AND(347&gt;=$NR$66,347&lt;=$NS$66),IF($NP$66="Single_Point",IF(347=$NR$66,$NN$66,0),IF($NP$66="Bell_Curve",$NN$66*(347-$NR$66+1)*($NS$66-347+1)/$NU$66,$NN$66/$NT$66)),0)</f>
        <v/>
      </c>
      <c r="MN66" s="402">
        <f>IF(AND(348&gt;=$NR$66,348&lt;=$NS$66),IF($NP$66="Single_Point",IF(348=$NR$66,$NN$66,0),IF($NP$66="Bell_Curve",$NN$66*(348-$NR$66+1)*($NS$66-348+1)/$NU$66,$NN$66/$NT$66)),0)</f>
        <v/>
      </c>
      <c r="MO66" s="402">
        <f>IF(AND(349&gt;=$NR$66,349&lt;=$NS$66),IF($NP$66="Single_Point",IF(349=$NR$66,$NN$66,0),IF($NP$66="Bell_Curve",$NN$66*(349-$NR$66+1)*($NS$66-349+1)/$NU$66,$NN$66/$NT$66)),0)</f>
        <v/>
      </c>
      <c r="MP66" s="402">
        <f>IF(AND(350&gt;=$NR$66,350&lt;=$NS$66),IF($NP$66="Single_Point",IF(350=$NR$66,$NN$66,0),IF($NP$66="Bell_Curve",$NN$66*(350-$NR$66+1)*($NS$66-350+1)/$NU$66,$NN$66/$NT$66)),0)</f>
        <v/>
      </c>
      <c r="MQ66" s="402">
        <f>IF(AND(351&gt;=$NR$66,351&lt;=$NS$66),IF($NP$66="Single_Point",IF(351=$NR$66,$NN$66,0),IF($NP$66="Bell_Curve",$NN$66*(351-$NR$66+1)*($NS$66-351+1)/$NU$66,$NN$66/$NT$66)),0)</f>
        <v/>
      </c>
      <c r="MR66" s="402">
        <f>IF(AND(352&gt;=$NR$66,352&lt;=$NS$66),IF($NP$66="Single_Point",IF(352=$NR$66,$NN$66,0),IF($NP$66="Bell_Curve",$NN$66*(352-$NR$66+1)*($NS$66-352+1)/$NU$66,$NN$66/$NT$66)),0)</f>
        <v/>
      </c>
      <c r="MS66" s="402">
        <f>IF(AND(353&gt;=$NR$66,353&lt;=$NS$66),IF($NP$66="Single_Point",IF(353=$NR$66,$NN$66,0),IF($NP$66="Bell_Curve",$NN$66*(353-$NR$66+1)*($NS$66-353+1)/$NU$66,$NN$66/$NT$66)),0)</f>
        <v/>
      </c>
      <c r="MT66" s="402">
        <f>IF(AND(354&gt;=$NR$66,354&lt;=$NS$66),IF($NP$66="Single_Point",IF(354=$NR$66,$NN$66,0),IF($NP$66="Bell_Curve",$NN$66*(354-$NR$66+1)*($NS$66-354+1)/$NU$66,$NN$66/$NT$66)),0)</f>
        <v/>
      </c>
      <c r="MU66" s="402">
        <f>IF(AND(355&gt;=$NR$66,355&lt;=$NS$66),IF($NP$66="Single_Point",IF(355=$NR$66,$NN$66,0),IF($NP$66="Bell_Curve",$NN$66*(355-$NR$66+1)*($NS$66-355+1)/$NU$66,$NN$66/$NT$66)),0)</f>
        <v/>
      </c>
      <c r="MV66" s="402">
        <f>IF(AND(356&gt;=$NR$66,356&lt;=$NS$66),IF($NP$66="Single_Point",IF(356=$NR$66,$NN$66,0),IF($NP$66="Bell_Curve",$NN$66*(356-$NR$66+1)*($NS$66-356+1)/$NU$66,$NN$66/$NT$66)),0)</f>
        <v/>
      </c>
      <c r="MW66" s="402">
        <f>IF(AND(357&gt;=$NR$66,357&lt;=$NS$66),IF($NP$66="Single_Point",IF(357=$NR$66,$NN$66,0),IF($NP$66="Bell_Curve",$NN$66*(357-$NR$66+1)*($NS$66-357+1)/$NU$66,$NN$66/$NT$66)),0)</f>
        <v/>
      </c>
      <c r="MX66" s="402">
        <f>IF(AND(358&gt;=$NR$66,358&lt;=$NS$66),IF($NP$66="Single_Point",IF(358=$NR$66,$NN$66,0),IF($NP$66="Bell_Curve",$NN$66*(358-$NR$66+1)*($NS$66-358+1)/$NU$66,$NN$66/$NT$66)),0)</f>
        <v/>
      </c>
      <c r="MY66" s="402">
        <f>IF(AND(359&gt;=$NR$66,359&lt;=$NS$66),IF($NP$66="Single_Point",IF(359=$NR$66,$NN$66,0),IF($NP$66="Bell_Curve",$NN$66*(359-$NR$66+1)*($NS$66-359+1)/$NU$66,$NN$66/$NT$66)),0)</f>
        <v/>
      </c>
      <c r="MZ66" s="402">
        <f>IF(AND(360&gt;=$NR$66,360&lt;=$NS$66),IF($NP$66="Single_Point",IF(360=$NR$66,$NN$66,0),IF($NP$66="Bell_Curve",$NN$66*(360-$NR$66+1)*($NS$66-360+1)/$NU$66,$NN$66/$NT$66)),0)</f>
        <v/>
      </c>
      <c r="NA66" s="402">
        <f>IF(AND(361&gt;=$NR$66,361&lt;=$NS$66),IF($NP$66="Single_Point",IF(361=$NR$66,$NN$66,0),IF($NP$66="Bell_Curve",$NN$66*(361-$NR$66+1)*($NS$66-361+1)/$NU$66,$NN$66/$NT$66)),0)</f>
        <v/>
      </c>
      <c r="NB66" s="402">
        <f>IF(AND(362&gt;=$NR$66,362&lt;=$NS$66),IF($NP$66="Single_Point",IF(362=$NR$66,$NN$66,0),IF($NP$66="Bell_Curve",$NN$66*(362-$NR$66+1)*($NS$66-362+1)/$NU$66,$NN$66/$NT$66)),0)</f>
        <v/>
      </c>
      <c r="NC66" s="402">
        <f>IF(AND(363&gt;=$NR$66,363&lt;=$NS$66),IF($NP$66="Single_Point",IF(363=$NR$66,$NN$66,0),IF($NP$66="Bell_Curve",$NN$66*(363-$NR$66+1)*($NS$66-363+1)/$NU$66,$NN$66/$NT$66)),0)</f>
        <v/>
      </c>
      <c r="ND66" s="402">
        <f>IF(AND(364&gt;=$NR$66,364&lt;=$NS$66),IF($NP$66="Single_Point",IF(364=$NR$66,$NN$66,0),IF($NP$66="Bell_Curve",$NN$66*(364-$NR$66+1)*($NS$66-364+1)/$NU$66,$NN$66/$NT$66)),0)</f>
        <v/>
      </c>
      <c r="NE66" s="402">
        <f>IF(AND(365&gt;=$NR$66,365&lt;=$NS$66),IF($NP$66="Single_Point",IF(365=$NR$66,$NN$66,0),IF($NP$66="Bell_Curve",$NN$66*(365-$NR$66+1)*($NS$66-365+1)/$NU$66,$NN$66/$NT$66)),0)</f>
        <v/>
      </c>
      <c r="NF66" s="402">
        <f>IF(AND(366&gt;=$NR$66,366&lt;=$NS$66),IF($NP$66="Single_Point",IF(366=$NR$66,$NN$66,0),IF($NP$66="Bell_Curve",$NN$66*(366-$NR$66+1)*($NS$66-366+1)/$NU$66,$NN$66/$NT$66)),0)</f>
        <v/>
      </c>
      <c r="NG66" s="402">
        <f>IF(AND(367&gt;=$NR$66,367&lt;=$NS$66),IF($NP$66="Single_Point",IF(367=$NR$66,$NN$66,0),IF($NP$66="Bell_Curve",$NN$66*(367-$NR$66+1)*($NS$66-367+1)/$NU$66,$NN$66/$NT$66)),0)</f>
        <v/>
      </c>
      <c r="NH66" s="402">
        <f>IF(AND(368&gt;=$NR$66,368&lt;=$NS$66),IF($NP$66="Single_Point",IF(368=$NR$66,$NN$66,0),IF($NP$66="Bell_Curve",$NN$66*(368-$NR$66+1)*($NS$66-368+1)/$NU$66,$NN$66/$NT$66)),0)</f>
        <v/>
      </c>
      <c r="NI66" s="402">
        <f>IF(AND(369&gt;=$NR$66,369&lt;=$NS$66),IF($NP$66="Single_Point",IF(369=$NR$66,$NN$66,0),IF($NP$66="Bell_Curve",$NN$66*(369-$NR$66+1)*($NS$66-369+1)/$NU$66,$NN$66/$NT$66)),0)</f>
        <v/>
      </c>
      <c r="NJ66" s="402">
        <f>IF(AND(370&gt;=$NR$66,370&lt;=$NS$66),IF($NP$66="Single_Point",IF(370=$NR$66,$NN$66,0),IF($NP$66="Bell_Curve",$NN$66*(370-$NR$66+1)*($NS$66-370+1)/$NU$66,$NN$66/$NT$66)),0)</f>
        <v/>
      </c>
      <c r="NK66" s="402">
        <f>IF(AND(371&gt;=$NR$66,371&lt;=$NS$66),IF($NP$66="Single_Point",IF(371=$NR$66,$NN$66,0),IF($NP$66="Bell_Curve",$NN$66*(371-$NR$66+1)*($NS$66-371+1)/$NU$66,$NN$66/$NT$66)),0)</f>
        <v/>
      </c>
      <c r="NL66" s="402">
        <f>IF(AND(372&gt;=$NR$66,372&lt;=$NS$66),IF($NP$66="Single_Point",IF(372=$NR$66,$NN$66,0),IF($NP$66="Bell_Curve",$NN$66*(372-$NR$66+1)*($NS$66-372+1)/$NU$66,$NN$66/$NT$66)),0)</f>
        <v/>
      </c>
      <c r="NM66">
        <f>Budget!C65</f>
        <v/>
      </c>
      <c r="NN66">
        <f>Budget!J65</f>
        <v/>
      </c>
      <c r="NO66">
        <f>Budget!G65</f>
        <v/>
      </c>
      <c r="NP66">
        <f>Budget!H65</f>
        <v/>
      </c>
      <c r="NQ66">
        <f>Budget!I65</f>
        <v/>
      </c>
      <c r="NR66">
        <f>MAX(1,MIN(372,INDEX(MilestoneStart,MATCH(NO66,MilestoneNames,0))+NQ66))</f>
        <v/>
      </c>
      <c r="NS66">
        <f>MAX(NR66,MIN(372,INDEX(MilestoneEnd,MATCH(NO66,MilestoneNames,0))+NQ66))</f>
        <v/>
      </c>
      <c r="NT66">
        <f>NS66-NR66+1</f>
        <v/>
      </c>
      <c r="NU66">
        <f>NT66*(NT66+1)*(NT66+2)/6</f>
        <v/>
      </c>
    </row>
    <row r="67">
      <c r="B67" s="316">
        <f>Budget!B66</f>
        <v/>
      </c>
      <c r="D67" s="402">
        <f>SUM(E67:NL67)</f>
        <v/>
      </c>
      <c r="E67" s="402">
        <f>IF(AND(1&gt;=$NR$67,1&lt;=$NS$67),IF($NP$67="Single_Point",IF(1=$NR$67,$NN$67,0),IF($NP$67="Bell_Curve",$NN$67*(1-$NR$67+1)*($NS$67-1+1)/$NU$67,$NN$67/$NT$67)),0)</f>
        <v/>
      </c>
      <c r="F67" s="402">
        <f>IF(AND(2&gt;=$NR$67,2&lt;=$NS$67),IF($NP$67="Single_Point",IF(2=$NR$67,$NN$67,0),IF($NP$67="Bell_Curve",$NN$67*(2-$NR$67+1)*($NS$67-2+1)/$NU$67,$NN$67/$NT$67)),0)</f>
        <v/>
      </c>
      <c r="G67" s="402">
        <f>IF(AND(3&gt;=$NR$67,3&lt;=$NS$67),IF($NP$67="Single_Point",IF(3=$NR$67,$NN$67,0),IF($NP$67="Bell_Curve",$NN$67*(3-$NR$67+1)*($NS$67-3+1)/$NU$67,$NN$67/$NT$67)),0)</f>
        <v/>
      </c>
      <c r="H67" s="402">
        <f>IF(AND(4&gt;=$NR$67,4&lt;=$NS$67),IF($NP$67="Single_Point",IF(4=$NR$67,$NN$67,0),IF($NP$67="Bell_Curve",$NN$67*(4-$NR$67+1)*($NS$67-4+1)/$NU$67,$NN$67/$NT$67)),0)</f>
        <v/>
      </c>
      <c r="I67" s="402">
        <f>IF(AND(5&gt;=$NR$67,5&lt;=$NS$67),IF($NP$67="Single_Point",IF(5=$NR$67,$NN$67,0),IF($NP$67="Bell_Curve",$NN$67*(5-$NR$67+1)*($NS$67-5+1)/$NU$67,$NN$67/$NT$67)),0)</f>
        <v/>
      </c>
      <c r="J67" s="402">
        <f>IF(AND(6&gt;=$NR$67,6&lt;=$NS$67),IF($NP$67="Single_Point",IF(6=$NR$67,$NN$67,0),IF($NP$67="Bell_Curve",$NN$67*(6-$NR$67+1)*($NS$67-6+1)/$NU$67,$NN$67/$NT$67)),0)</f>
        <v/>
      </c>
      <c r="K67" s="402">
        <f>IF(AND(7&gt;=$NR$67,7&lt;=$NS$67),IF($NP$67="Single_Point",IF(7=$NR$67,$NN$67,0),IF($NP$67="Bell_Curve",$NN$67*(7-$NR$67+1)*($NS$67-7+1)/$NU$67,$NN$67/$NT$67)),0)</f>
        <v/>
      </c>
      <c r="L67" s="402">
        <f>IF(AND(8&gt;=$NR$67,8&lt;=$NS$67),IF($NP$67="Single_Point",IF(8=$NR$67,$NN$67,0),IF($NP$67="Bell_Curve",$NN$67*(8-$NR$67+1)*($NS$67-8+1)/$NU$67,$NN$67/$NT$67)),0)</f>
        <v/>
      </c>
      <c r="M67" s="402">
        <f>IF(AND(9&gt;=$NR$67,9&lt;=$NS$67),IF($NP$67="Single_Point",IF(9=$NR$67,$NN$67,0),IF($NP$67="Bell_Curve",$NN$67*(9-$NR$67+1)*($NS$67-9+1)/$NU$67,$NN$67/$NT$67)),0)</f>
        <v/>
      </c>
      <c r="N67" s="402">
        <f>IF(AND(10&gt;=$NR$67,10&lt;=$NS$67),IF($NP$67="Single_Point",IF(10=$NR$67,$NN$67,0),IF($NP$67="Bell_Curve",$NN$67*(10-$NR$67+1)*($NS$67-10+1)/$NU$67,$NN$67/$NT$67)),0)</f>
        <v/>
      </c>
      <c r="O67" s="402">
        <f>IF(AND(11&gt;=$NR$67,11&lt;=$NS$67),IF($NP$67="Single_Point",IF(11=$NR$67,$NN$67,0),IF($NP$67="Bell_Curve",$NN$67*(11-$NR$67+1)*($NS$67-11+1)/$NU$67,$NN$67/$NT$67)),0)</f>
        <v/>
      </c>
      <c r="P67" s="402">
        <f>IF(AND(12&gt;=$NR$67,12&lt;=$NS$67),IF($NP$67="Single_Point",IF(12=$NR$67,$NN$67,0),IF($NP$67="Bell_Curve",$NN$67*(12-$NR$67+1)*($NS$67-12+1)/$NU$67,$NN$67/$NT$67)),0)</f>
        <v/>
      </c>
      <c r="Q67" s="402">
        <f>IF(AND(13&gt;=$NR$67,13&lt;=$NS$67),IF($NP$67="Single_Point",IF(13=$NR$67,$NN$67,0),IF($NP$67="Bell_Curve",$NN$67*(13-$NR$67+1)*($NS$67-13+1)/$NU$67,$NN$67/$NT$67)),0)</f>
        <v/>
      </c>
      <c r="R67" s="402">
        <f>IF(AND(14&gt;=$NR$67,14&lt;=$NS$67),IF($NP$67="Single_Point",IF(14=$NR$67,$NN$67,0),IF($NP$67="Bell_Curve",$NN$67*(14-$NR$67+1)*($NS$67-14+1)/$NU$67,$NN$67/$NT$67)),0)</f>
        <v/>
      </c>
      <c r="S67" s="402">
        <f>IF(AND(15&gt;=$NR$67,15&lt;=$NS$67),IF($NP$67="Single_Point",IF(15=$NR$67,$NN$67,0),IF($NP$67="Bell_Curve",$NN$67*(15-$NR$67+1)*($NS$67-15+1)/$NU$67,$NN$67/$NT$67)),0)</f>
        <v/>
      </c>
      <c r="T67" s="402">
        <f>IF(AND(16&gt;=$NR$67,16&lt;=$NS$67),IF($NP$67="Single_Point",IF(16=$NR$67,$NN$67,0),IF($NP$67="Bell_Curve",$NN$67*(16-$NR$67+1)*($NS$67-16+1)/$NU$67,$NN$67/$NT$67)),0)</f>
        <v/>
      </c>
      <c r="U67" s="402">
        <f>IF(AND(17&gt;=$NR$67,17&lt;=$NS$67),IF($NP$67="Single_Point",IF(17=$NR$67,$NN$67,0),IF($NP$67="Bell_Curve",$NN$67*(17-$NR$67+1)*($NS$67-17+1)/$NU$67,$NN$67/$NT$67)),0)</f>
        <v/>
      </c>
      <c r="V67" s="402">
        <f>IF(AND(18&gt;=$NR$67,18&lt;=$NS$67),IF($NP$67="Single_Point",IF(18=$NR$67,$NN$67,0),IF($NP$67="Bell_Curve",$NN$67*(18-$NR$67+1)*($NS$67-18+1)/$NU$67,$NN$67/$NT$67)),0)</f>
        <v/>
      </c>
      <c r="W67" s="402">
        <f>IF(AND(19&gt;=$NR$67,19&lt;=$NS$67),IF($NP$67="Single_Point",IF(19=$NR$67,$NN$67,0),IF($NP$67="Bell_Curve",$NN$67*(19-$NR$67+1)*($NS$67-19+1)/$NU$67,$NN$67/$NT$67)),0)</f>
        <v/>
      </c>
      <c r="X67" s="402">
        <f>IF(AND(20&gt;=$NR$67,20&lt;=$NS$67),IF($NP$67="Single_Point",IF(20=$NR$67,$NN$67,0),IF($NP$67="Bell_Curve",$NN$67*(20-$NR$67+1)*($NS$67-20+1)/$NU$67,$NN$67/$NT$67)),0)</f>
        <v/>
      </c>
      <c r="Y67" s="402">
        <f>IF(AND(21&gt;=$NR$67,21&lt;=$NS$67),IF($NP$67="Single_Point",IF(21=$NR$67,$NN$67,0),IF($NP$67="Bell_Curve",$NN$67*(21-$NR$67+1)*($NS$67-21+1)/$NU$67,$NN$67/$NT$67)),0)</f>
        <v/>
      </c>
      <c r="Z67" s="402">
        <f>IF(AND(22&gt;=$NR$67,22&lt;=$NS$67),IF($NP$67="Single_Point",IF(22=$NR$67,$NN$67,0),IF($NP$67="Bell_Curve",$NN$67*(22-$NR$67+1)*($NS$67-22+1)/$NU$67,$NN$67/$NT$67)),0)</f>
        <v/>
      </c>
      <c r="AA67" s="402">
        <f>IF(AND(23&gt;=$NR$67,23&lt;=$NS$67),IF($NP$67="Single_Point",IF(23=$NR$67,$NN$67,0),IF($NP$67="Bell_Curve",$NN$67*(23-$NR$67+1)*($NS$67-23+1)/$NU$67,$NN$67/$NT$67)),0)</f>
        <v/>
      </c>
      <c r="AB67" s="402">
        <f>IF(AND(24&gt;=$NR$67,24&lt;=$NS$67),IF($NP$67="Single_Point",IF(24=$NR$67,$NN$67,0),IF($NP$67="Bell_Curve",$NN$67*(24-$NR$67+1)*($NS$67-24+1)/$NU$67,$NN$67/$NT$67)),0)</f>
        <v/>
      </c>
      <c r="AC67" s="402">
        <f>IF(AND(25&gt;=$NR$67,25&lt;=$NS$67),IF($NP$67="Single_Point",IF(25=$NR$67,$NN$67,0),IF($NP$67="Bell_Curve",$NN$67*(25-$NR$67+1)*($NS$67-25+1)/$NU$67,$NN$67/$NT$67)),0)</f>
        <v/>
      </c>
      <c r="AD67" s="402">
        <f>IF(AND(26&gt;=$NR$67,26&lt;=$NS$67),IF($NP$67="Single_Point",IF(26=$NR$67,$NN$67,0),IF($NP$67="Bell_Curve",$NN$67*(26-$NR$67+1)*($NS$67-26+1)/$NU$67,$NN$67/$NT$67)),0)</f>
        <v/>
      </c>
      <c r="AE67" s="402">
        <f>IF(AND(27&gt;=$NR$67,27&lt;=$NS$67),IF($NP$67="Single_Point",IF(27=$NR$67,$NN$67,0),IF($NP$67="Bell_Curve",$NN$67*(27-$NR$67+1)*($NS$67-27+1)/$NU$67,$NN$67/$NT$67)),0)</f>
        <v/>
      </c>
      <c r="AF67" s="402">
        <f>IF(AND(28&gt;=$NR$67,28&lt;=$NS$67),IF($NP$67="Single_Point",IF(28=$NR$67,$NN$67,0),IF($NP$67="Bell_Curve",$NN$67*(28-$NR$67+1)*($NS$67-28+1)/$NU$67,$NN$67/$NT$67)),0)</f>
        <v/>
      </c>
      <c r="AG67" s="402">
        <f>IF(AND(29&gt;=$NR$67,29&lt;=$NS$67),IF($NP$67="Single_Point",IF(29=$NR$67,$NN$67,0),IF($NP$67="Bell_Curve",$NN$67*(29-$NR$67+1)*($NS$67-29+1)/$NU$67,$NN$67/$NT$67)),0)</f>
        <v/>
      </c>
      <c r="AH67" s="402">
        <f>IF(AND(30&gt;=$NR$67,30&lt;=$NS$67),IF($NP$67="Single_Point",IF(30=$NR$67,$NN$67,0),IF($NP$67="Bell_Curve",$NN$67*(30-$NR$67+1)*($NS$67-30+1)/$NU$67,$NN$67/$NT$67)),0)</f>
        <v/>
      </c>
      <c r="AI67" s="402">
        <f>IF(AND(31&gt;=$NR$67,31&lt;=$NS$67),IF($NP$67="Single_Point",IF(31=$NR$67,$NN$67,0),IF($NP$67="Bell_Curve",$NN$67*(31-$NR$67+1)*($NS$67-31+1)/$NU$67,$NN$67/$NT$67)),0)</f>
        <v/>
      </c>
      <c r="AJ67" s="402">
        <f>IF(AND(32&gt;=$NR$67,32&lt;=$NS$67),IF($NP$67="Single_Point",IF(32=$NR$67,$NN$67,0),IF($NP$67="Bell_Curve",$NN$67*(32-$NR$67+1)*($NS$67-32+1)/$NU$67,$NN$67/$NT$67)),0)</f>
        <v/>
      </c>
      <c r="AK67" s="402">
        <f>IF(AND(33&gt;=$NR$67,33&lt;=$NS$67),IF($NP$67="Single_Point",IF(33=$NR$67,$NN$67,0),IF($NP$67="Bell_Curve",$NN$67*(33-$NR$67+1)*($NS$67-33+1)/$NU$67,$NN$67/$NT$67)),0)</f>
        <v/>
      </c>
      <c r="AL67" s="402">
        <f>IF(AND(34&gt;=$NR$67,34&lt;=$NS$67),IF($NP$67="Single_Point",IF(34=$NR$67,$NN$67,0),IF($NP$67="Bell_Curve",$NN$67*(34-$NR$67+1)*($NS$67-34+1)/$NU$67,$NN$67/$NT$67)),0)</f>
        <v/>
      </c>
      <c r="AM67" s="402">
        <f>IF(AND(35&gt;=$NR$67,35&lt;=$NS$67),IF($NP$67="Single_Point",IF(35=$NR$67,$NN$67,0),IF($NP$67="Bell_Curve",$NN$67*(35-$NR$67+1)*($NS$67-35+1)/$NU$67,$NN$67/$NT$67)),0)</f>
        <v/>
      </c>
      <c r="AN67" s="402">
        <f>IF(AND(36&gt;=$NR$67,36&lt;=$NS$67),IF($NP$67="Single_Point",IF(36=$NR$67,$NN$67,0),IF($NP$67="Bell_Curve",$NN$67*(36-$NR$67+1)*($NS$67-36+1)/$NU$67,$NN$67/$NT$67)),0)</f>
        <v/>
      </c>
      <c r="AO67" s="402">
        <f>IF(AND(37&gt;=$NR$67,37&lt;=$NS$67),IF($NP$67="Single_Point",IF(37=$NR$67,$NN$67,0),IF($NP$67="Bell_Curve",$NN$67*(37-$NR$67+1)*($NS$67-37+1)/$NU$67,$NN$67/$NT$67)),0)</f>
        <v/>
      </c>
      <c r="AP67" s="402">
        <f>IF(AND(38&gt;=$NR$67,38&lt;=$NS$67),IF($NP$67="Single_Point",IF(38=$NR$67,$NN$67,0),IF($NP$67="Bell_Curve",$NN$67*(38-$NR$67+1)*($NS$67-38+1)/$NU$67,$NN$67/$NT$67)),0)</f>
        <v/>
      </c>
      <c r="AQ67" s="402">
        <f>IF(AND(39&gt;=$NR$67,39&lt;=$NS$67),IF($NP$67="Single_Point",IF(39=$NR$67,$NN$67,0),IF($NP$67="Bell_Curve",$NN$67*(39-$NR$67+1)*($NS$67-39+1)/$NU$67,$NN$67/$NT$67)),0)</f>
        <v/>
      </c>
      <c r="AR67" s="402">
        <f>IF(AND(40&gt;=$NR$67,40&lt;=$NS$67),IF($NP$67="Single_Point",IF(40=$NR$67,$NN$67,0),IF($NP$67="Bell_Curve",$NN$67*(40-$NR$67+1)*($NS$67-40+1)/$NU$67,$NN$67/$NT$67)),0)</f>
        <v/>
      </c>
      <c r="AS67" s="402">
        <f>IF(AND(41&gt;=$NR$67,41&lt;=$NS$67),IF($NP$67="Single_Point",IF(41=$NR$67,$NN$67,0),IF($NP$67="Bell_Curve",$NN$67*(41-$NR$67+1)*($NS$67-41+1)/$NU$67,$NN$67/$NT$67)),0)</f>
        <v/>
      </c>
      <c r="AT67" s="402">
        <f>IF(AND(42&gt;=$NR$67,42&lt;=$NS$67),IF($NP$67="Single_Point",IF(42=$NR$67,$NN$67,0),IF($NP$67="Bell_Curve",$NN$67*(42-$NR$67+1)*($NS$67-42+1)/$NU$67,$NN$67/$NT$67)),0)</f>
        <v/>
      </c>
      <c r="AU67" s="402">
        <f>IF(AND(43&gt;=$NR$67,43&lt;=$NS$67),IF($NP$67="Single_Point",IF(43=$NR$67,$NN$67,0),IF($NP$67="Bell_Curve",$NN$67*(43-$NR$67+1)*($NS$67-43+1)/$NU$67,$NN$67/$NT$67)),0)</f>
        <v/>
      </c>
      <c r="AV67" s="402">
        <f>IF(AND(44&gt;=$NR$67,44&lt;=$NS$67),IF($NP$67="Single_Point",IF(44=$NR$67,$NN$67,0),IF($NP$67="Bell_Curve",$NN$67*(44-$NR$67+1)*($NS$67-44+1)/$NU$67,$NN$67/$NT$67)),0)</f>
        <v/>
      </c>
      <c r="AW67" s="402">
        <f>IF(AND(45&gt;=$NR$67,45&lt;=$NS$67),IF($NP$67="Single_Point",IF(45=$NR$67,$NN$67,0),IF($NP$67="Bell_Curve",$NN$67*(45-$NR$67+1)*($NS$67-45+1)/$NU$67,$NN$67/$NT$67)),0)</f>
        <v/>
      </c>
      <c r="AX67" s="402">
        <f>IF(AND(46&gt;=$NR$67,46&lt;=$NS$67),IF($NP$67="Single_Point",IF(46=$NR$67,$NN$67,0),IF($NP$67="Bell_Curve",$NN$67*(46-$NR$67+1)*($NS$67-46+1)/$NU$67,$NN$67/$NT$67)),0)</f>
        <v/>
      </c>
      <c r="AY67" s="402">
        <f>IF(AND(47&gt;=$NR$67,47&lt;=$NS$67),IF($NP$67="Single_Point",IF(47=$NR$67,$NN$67,0),IF($NP$67="Bell_Curve",$NN$67*(47-$NR$67+1)*($NS$67-47+1)/$NU$67,$NN$67/$NT$67)),0)</f>
        <v/>
      </c>
      <c r="AZ67" s="402">
        <f>IF(AND(48&gt;=$NR$67,48&lt;=$NS$67),IF($NP$67="Single_Point",IF(48=$NR$67,$NN$67,0),IF($NP$67="Bell_Curve",$NN$67*(48-$NR$67+1)*($NS$67-48+1)/$NU$67,$NN$67/$NT$67)),0)</f>
        <v/>
      </c>
      <c r="BA67" s="402">
        <f>IF(AND(49&gt;=$NR$67,49&lt;=$NS$67),IF($NP$67="Single_Point",IF(49=$NR$67,$NN$67,0),IF($NP$67="Bell_Curve",$NN$67*(49-$NR$67+1)*($NS$67-49+1)/$NU$67,$NN$67/$NT$67)),0)</f>
        <v/>
      </c>
      <c r="BB67" s="402">
        <f>IF(AND(50&gt;=$NR$67,50&lt;=$NS$67),IF($NP$67="Single_Point",IF(50=$NR$67,$NN$67,0),IF($NP$67="Bell_Curve",$NN$67*(50-$NR$67+1)*($NS$67-50+1)/$NU$67,$NN$67/$NT$67)),0)</f>
        <v/>
      </c>
      <c r="BC67" s="402">
        <f>IF(AND(51&gt;=$NR$67,51&lt;=$NS$67),IF($NP$67="Single_Point",IF(51=$NR$67,$NN$67,0),IF($NP$67="Bell_Curve",$NN$67*(51-$NR$67+1)*($NS$67-51+1)/$NU$67,$NN$67/$NT$67)),0)</f>
        <v/>
      </c>
      <c r="BD67" s="402">
        <f>IF(AND(52&gt;=$NR$67,52&lt;=$NS$67),IF($NP$67="Single_Point",IF(52=$NR$67,$NN$67,0),IF($NP$67="Bell_Curve",$NN$67*(52-$NR$67+1)*($NS$67-52+1)/$NU$67,$NN$67/$NT$67)),0)</f>
        <v/>
      </c>
      <c r="BE67" s="402">
        <f>IF(AND(53&gt;=$NR$67,53&lt;=$NS$67),IF($NP$67="Single_Point",IF(53=$NR$67,$NN$67,0),IF($NP$67="Bell_Curve",$NN$67*(53-$NR$67+1)*($NS$67-53+1)/$NU$67,$NN$67/$NT$67)),0)</f>
        <v/>
      </c>
      <c r="BF67" s="402">
        <f>IF(AND(54&gt;=$NR$67,54&lt;=$NS$67),IF($NP$67="Single_Point",IF(54=$NR$67,$NN$67,0),IF($NP$67="Bell_Curve",$NN$67*(54-$NR$67+1)*($NS$67-54+1)/$NU$67,$NN$67/$NT$67)),0)</f>
        <v/>
      </c>
      <c r="BG67" s="402">
        <f>IF(AND(55&gt;=$NR$67,55&lt;=$NS$67),IF($NP$67="Single_Point",IF(55=$NR$67,$NN$67,0),IF($NP$67="Bell_Curve",$NN$67*(55-$NR$67+1)*($NS$67-55+1)/$NU$67,$NN$67/$NT$67)),0)</f>
        <v/>
      </c>
      <c r="BH67" s="402">
        <f>IF(AND(56&gt;=$NR$67,56&lt;=$NS$67),IF($NP$67="Single_Point",IF(56=$NR$67,$NN$67,0),IF($NP$67="Bell_Curve",$NN$67*(56-$NR$67+1)*($NS$67-56+1)/$NU$67,$NN$67/$NT$67)),0)</f>
        <v/>
      </c>
      <c r="BI67" s="402">
        <f>IF(AND(57&gt;=$NR$67,57&lt;=$NS$67),IF($NP$67="Single_Point",IF(57=$NR$67,$NN$67,0),IF($NP$67="Bell_Curve",$NN$67*(57-$NR$67+1)*($NS$67-57+1)/$NU$67,$NN$67/$NT$67)),0)</f>
        <v/>
      </c>
      <c r="BJ67" s="402">
        <f>IF(AND(58&gt;=$NR$67,58&lt;=$NS$67),IF($NP$67="Single_Point",IF(58=$NR$67,$NN$67,0),IF($NP$67="Bell_Curve",$NN$67*(58-$NR$67+1)*($NS$67-58+1)/$NU$67,$NN$67/$NT$67)),0)</f>
        <v/>
      </c>
      <c r="BK67" s="402">
        <f>IF(AND(59&gt;=$NR$67,59&lt;=$NS$67),IF($NP$67="Single_Point",IF(59=$NR$67,$NN$67,0),IF($NP$67="Bell_Curve",$NN$67*(59-$NR$67+1)*($NS$67-59+1)/$NU$67,$NN$67/$NT$67)),0)</f>
        <v/>
      </c>
      <c r="BL67" s="402">
        <f>IF(AND(60&gt;=$NR$67,60&lt;=$NS$67),IF($NP$67="Single_Point",IF(60=$NR$67,$NN$67,0),IF($NP$67="Bell_Curve",$NN$67*(60-$NR$67+1)*($NS$67-60+1)/$NU$67,$NN$67/$NT$67)),0)</f>
        <v/>
      </c>
      <c r="BM67" s="402">
        <f>IF(AND(61&gt;=$NR$67,61&lt;=$NS$67),IF($NP$67="Single_Point",IF(61=$NR$67,$NN$67,0),IF($NP$67="Bell_Curve",$NN$67*(61-$NR$67+1)*($NS$67-61+1)/$NU$67,$NN$67/$NT$67)),0)</f>
        <v/>
      </c>
      <c r="BN67" s="402">
        <f>IF(AND(62&gt;=$NR$67,62&lt;=$NS$67),IF($NP$67="Single_Point",IF(62=$NR$67,$NN$67,0),IF($NP$67="Bell_Curve",$NN$67*(62-$NR$67+1)*($NS$67-62+1)/$NU$67,$NN$67/$NT$67)),0)</f>
        <v/>
      </c>
      <c r="BO67" s="402">
        <f>IF(AND(63&gt;=$NR$67,63&lt;=$NS$67),IF($NP$67="Single_Point",IF(63=$NR$67,$NN$67,0),IF($NP$67="Bell_Curve",$NN$67*(63-$NR$67+1)*($NS$67-63+1)/$NU$67,$NN$67/$NT$67)),0)</f>
        <v/>
      </c>
      <c r="BP67" s="402">
        <f>IF(AND(64&gt;=$NR$67,64&lt;=$NS$67),IF($NP$67="Single_Point",IF(64=$NR$67,$NN$67,0),IF($NP$67="Bell_Curve",$NN$67*(64-$NR$67+1)*($NS$67-64+1)/$NU$67,$NN$67/$NT$67)),0)</f>
        <v/>
      </c>
      <c r="BQ67" s="402">
        <f>IF(AND(65&gt;=$NR$67,65&lt;=$NS$67),IF($NP$67="Single_Point",IF(65=$NR$67,$NN$67,0),IF($NP$67="Bell_Curve",$NN$67*(65-$NR$67+1)*($NS$67-65+1)/$NU$67,$NN$67/$NT$67)),0)</f>
        <v/>
      </c>
      <c r="BR67" s="402">
        <f>IF(AND(66&gt;=$NR$67,66&lt;=$NS$67),IF($NP$67="Single_Point",IF(66=$NR$67,$NN$67,0),IF($NP$67="Bell_Curve",$NN$67*(66-$NR$67+1)*($NS$67-66+1)/$NU$67,$NN$67/$NT$67)),0)</f>
        <v/>
      </c>
      <c r="BS67" s="402">
        <f>IF(AND(67&gt;=$NR$67,67&lt;=$NS$67),IF($NP$67="Single_Point",IF(67=$NR$67,$NN$67,0),IF($NP$67="Bell_Curve",$NN$67*(67-$NR$67+1)*($NS$67-67+1)/$NU$67,$NN$67/$NT$67)),0)</f>
        <v/>
      </c>
      <c r="BT67" s="402">
        <f>IF(AND(68&gt;=$NR$67,68&lt;=$NS$67),IF($NP$67="Single_Point",IF(68=$NR$67,$NN$67,0),IF($NP$67="Bell_Curve",$NN$67*(68-$NR$67+1)*($NS$67-68+1)/$NU$67,$NN$67/$NT$67)),0)</f>
        <v/>
      </c>
      <c r="BU67" s="402">
        <f>IF(AND(69&gt;=$NR$67,69&lt;=$NS$67),IF($NP$67="Single_Point",IF(69=$NR$67,$NN$67,0),IF($NP$67="Bell_Curve",$NN$67*(69-$NR$67+1)*($NS$67-69+1)/$NU$67,$NN$67/$NT$67)),0)</f>
        <v/>
      </c>
      <c r="BV67" s="402">
        <f>IF(AND(70&gt;=$NR$67,70&lt;=$NS$67),IF($NP$67="Single_Point",IF(70=$NR$67,$NN$67,0),IF($NP$67="Bell_Curve",$NN$67*(70-$NR$67+1)*($NS$67-70+1)/$NU$67,$NN$67/$NT$67)),0)</f>
        <v/>
      </c>
      <c r="BW67" s="402">
        <f>IF(AND(71&gt;=$NR$67,71&lt;=$NS$67),IF($NP$67="Single_Point",IF(71=$NR$67,$NN$67,0),IF($NP$67="Bell_Curve",$NN$67*(71-$NR$67+1)*($NS$67-71+1)/$NU$67,$NN$67/$NT$67)),0)</f>
        <v/>
      </c>
      <c r="BX67" s="402">
        <f>IF(AND(72&gt;=$NR$67,72&lt;=$NS$67),IF($NP$67="Single_Point",IF(72=$NR$67,$NN$67,0),IF($NP$67="Bell_Curve",$NN$67*(72-$NR$67+1)*($NS$67-72+1)/$NU$67,$NN$67/$NT$67)),0)</f>
        <v/>
      </c>
      <c r="BY67" s="402">
        <f>IF(AND(73&gt;=$NR$67,73&lt;=$NS$67),IF($NP$67="Single_Point",IF(73=$NR$67,$NN$67,0),IF($NP$67="Bell_Curve",$NN$67*(73-$NR$67+1)*($NS$67-73+1)/$NU$67,$NN$67/$NT$67)),0)</f>
        <v/>
      </c>
      <c r="BZ67" s="402">
        <f>IF(AND(74&gt;=$NR$67,74&lt;=$NS$67),IF($NP$67="Single_Point",IF(74=$NR$67,$NN$67,0),IF($NP$67="Bell_Curve",$NN$67*(74-$NR$67+1)*($NS$67-74+1)/$NU$67,$NN$67/$NT$67)),0)</f>
        <v/>
      </c>
      <c r="CA67" s="402">
        <f>IF(AND(75&gt;=$NR$67,75&lt;=$NS$67),IF($NP$67="Single_Point",IF(75=$NR$67,$NN$67,0),IF($NP$67="Bell_Curve",$NN$67*(75-$NR$67+1)*($NS$67-75+1)/$NU$67,$NN$67/$NT$67)),0)</f>
        <v/>
      </c>
      <c r="CB67" s="402">
        <f>IF(AND(76&gt;=$NR$67,76&lt;=$NS$67),IF($NP$67="Single_Point",IF(76=$NR$67,$NN$67,0),IF($NP$67="Bell_Curve",$NN$67*(76-$NR$67+1)*($NS$67-76+1)/$NU$67,$NN$67/$NT$67)),0)</f>
        <v/>
      </c>
      <c r="CC67" s="402">
        <f>IF(AND(77&gt;=$NR$67,77&lt;=$NS$67),IF($NP$67="Single_Point",IF(77=$NR$67,$NN$67,0),IF($NP$67="Bell_Curve",$NN$67*(77-$NR$67+1)*($NS$67-77+1)/$NU$67,$NN$67/$NT$67)),0)</f>
        <v/>
      </c>
      <c r="CD67" s="402">
        <f>IF(AND(78&gt;=$NR$67,78&lt;=$NS$67),IF($NP$67="Single_Point",IF(78=$NR$67,$NN$67,0),IF($NP$67="Bell_Curve",$NN$67*(78-$NR$67+1)*($NS$67-78+1)/$NU$67,$NN$67/$NT$67)),0)</f>
        <v/>
      </c>
      <c r="CE67" s="402">
        <f>IF(AND(79&gt;=$NR$67,79&lt;=$NS$67),IF($NP$67="Single_Point",IF(79=$NR$67,$NN$67,0),IF($NP$67="Bell_Curve",$NN$67*(79-$NR$67+1)*($NS$67-79+1)/$NU$67,$NN$67/$NT$67)),0)</f>
        <v/>
      </c>
      <c r="CF67" s="402">
        <f>IF(AND(80&gt;=$NR$67,80&lt;=$NS$67),IF($NP$67="Single_Point",IF(80=$NR$67,$NN$67,0),IF($NP$67="Bell_Curve",$NN$67*(80-$NR$67+1)*($NS$67-80+1)/$NU$67,$NN$67/$NT$67)),0)</f>
        <v/>
      </c>
      <c r="CG67" s="402">
        <f>IF(AND(81&gt;=$NR$67,81&lt;=$NS$67),IF($NP$67="Single_Point",IF(81=$NR$67,$NN$67,0),IF($NP$67="Bell_Curve",$NN$67*(81-$NR$67+1)*($NS$67-81+1)/$NU$67,$NN$67/$NT$67)),0)</f>
        <v/>
      </c>
      <c r="CH67" s="402">
        <f>IF(AND(82&gt;=$NR$67,82&lt;=$NS$67),IF($NP$67="Single_Point",IF(82=$NR$67,$NN$67,0),IF($NP$67="Bell_Curve",$NN$67*(82-$NR$67+1)*($NS$67-82+1)/$NU$67,$NN$67/$NT$67)),0)</f>
        <v/>
      </c>
      <c r="CI67" s="402">
        <f>IF(AND(83&gt;=$NR$67,83&lt;=$NS$67),IF($NP$67="Single_Point",IF(83=$NR$67,$NN$67,0),IF($NP$67="Bell_Curve",$NN$67*(83-$NR$67+1)*($NS$67-83+1)/$NU$67,$NN$67/$NT$67)),0)</f>
        <v/>
      </c>
      <c r="CJ67" s="402">
        <f>IF(AND(84&gt;=$NR$67,84&lt;=$NS$67),IF($NP$67="Single_Point",IF(84=$NR$67,$NN$67,0),IF($NP$67="Bell_Curve",$NN$67*(84-$NR$67+1)*($NS$67-84+1)/$NU$67,$NN$67/$NT$67)),0)</f>
        <v/>
      </c>
      <c r="CK67" s="402">
        <f>IF(AND(85&gt;=$NR$67,85&lt;=$NS$67),IF($NP$67="Single_Point",IF(85=$NR$67,$NN$67,0),IF($NP$67="Bell_Curve",$NN$67*(85-$NR$67+1)*($NS$67-85+1)/$NU$67,$NN$67/$NT$67)),0)</f>
        <v/>
      </c>
      <c r="CL67" s="402">
        <f>IF(AND(86&gt;=$NR$67,86&lt;=$NS$67),IF($NP$67="Single_Point",IF(86=$NR$67,$NN$67,0),IF($NP$67="Bell_Curve",$NN$67*(86-$NR$67+1)*($NS$67-86+1)/$NU$67,$NN$67/$NT$67)),0)</f>
        <v/>
      </c>
      <c r="CM67" s="402">
        <f>IF(AND(87&gt;=$NR$67,87&lt;=$NS$67),IF($NP$67="Single_Point",IF(87=$NR$67,$NN$67,0),IF($NP$67="Bell_Curve",$NN$67*(87-$NR$67+1)*($NS$67-87+1)/$NU$67,$NN$67/$NT$67)),0)</f>
        <v/>
      </c>
      <c r="CN67" s="402">
        <f>IF(AND(88&gt;=$NR$67,88&lt;=$NS$67),IF($NP$67="Single_Point",IF(88=$NR$67,$NN$67,0),IF($NP$67="Bell_Curve",$NN$67*(88-$NR$67+1)*($NS$67-88+1)/$NU$67,$NN$67/$NT$67)),0)</f>
        <v/>
      </c>
      <c r="CO67" s="402">
        <f>IF(AND(89&gt;=$NR$67,89&lt;=$NS$67),IF($NP$67="Single_Point",IF(89=$NR$67,$NN$67,0),IF($NP$67="Bell_Curve",$NN$67*(89-$NR$67+1)*($NS$67-89+1)/$NU$67,$NN$67/$NT$67)),0)</f>
        <v/>
      </c>
      <c r="CP67" s="402">
        <f>IF(AND(90&gt;=$NR$67,90&lt;=$NS$67),IF($NP$67="Single_Point",IF(90=$NR$67,$NN$67,0),IF($NP$67="Bell_Curve",$NN$67*(90-$NR$67+1)*($NS$67-90+1)/$NU$67,$NN$67/$NT$67)),0)</f>
        <v/>
      </c>
      <c r="CQ67" s="402">
        <f>IF(AND(91&gt;=$NR$67,91&lt;=$NS$67),IF($NP$67="Single_Point",IF(91=$NR$67,$NN$67,0),IF($NP$67="Bell_Curve",$NN$67*(91-$NR$67+1)*($NS$67-91+1)/$NU$67,$NN$67/$NT$67)),0)</f>
        <v/>
      </c>
      <c r="CR67" s="402">
        <f>IF(AND(92&gt;=$NR$67,92&lt;=$NS$67),IF($NP$67="Single_Point",IF(92=$NR$67,$NN$67,0),IF($NP$67="Bell_Curve",$NN$67*(92-$NR$67+1)*($NS$67-92+1)/$NU$67,$NN$67/$NT$67)),0)</f>
        <v/>
      </c>
      <c r="CS67" s="402">
        <f>IF(AND(93&gt;=$NR$67,93&lt;=$NS$67),IF($NP$67="Single_Point",IF(93=$NR$67,$NN$67,0),IF($NP$67="Bell_Curve",$NN$67*(93-$NR$67+1)*($NS$67-93+1)/$NU$67,$NN$67/$NT$67)),0)</f>
        <v/>
      </c>
      <c r="CT67" s="402">
        <f>IF(AND(94&gt;=$NR$67,94&lt;=$NS$67),IF($NP$67="Single_Point",IF(94=$NR$67,$NN$67,0),IF($NP$67="Bell_Curve",$NN$67*(94-$NR$67+1)*($NS$67-94+1)/$NU$67,$NN$67/$NT$67)),0)</f>
        <v/>
      </c>
      <c r="CU67" s="402">
        <f>IF(AND(95&gt;=$NR$67,95&lt;=$NS$67),IF($NP$67="Single_Point",IF(95=$NR$67,$NN$67,0),IF($NP$67="Bell_Curve",$NN$67*(95-$NR$67+1)*($NS$67-95+1)/$NU$67,$NN$67/$NT$67)),0)</f>
        <v/>
      </c>
      <c r="CV67" s="402">
        <f>IF(AND(96&gt;=$NR$67,96&lt;=$NS$67),IF($NP$67="Single_Point",IF(96=$NR$67,$NN$67,0),IF($NP$67="Bell_Curve",$NN$67*(96-$NR$67+1)*($NS$67-96+1)/$NU$67,$NN$67/$NT$67)),0)</f>
        <v/>
      </c>
      <c r="CW67" s="402">
        <f>IF(AND(97&gt;=$NR$67,97&lt;=$NS$67),IF($NP$67="Single_Point",IF(97=$NR$67,$NN$67,0),IF($NP$67="Bell_Curve",$NN$67*(97-$NR$67+1)*($NS$67-97+1)/$NU$67,$NN$67/$NT$67)),0)</f>
        <v/>
      </c>
      <c r="CX67" s="402">
        <f>IF(AND(98&gt;=$NR$67,98&lt;=$NS$67),IF($NP$67="Single_Point",IF(98=$NR$67,$NN$67,0),IF($NP$67="Bell_Curve",$NN$67*(98-$NR$67+1)*($NS$67-98+1)/$NU$67,$NN$67/$NT$67)),0)</f>
        <v/>
      </c>
      <c r="CY67" s="402">
        <f>IF(AND(99&gt;=$NR$67,99&lt;=$NS$67),IF($NP$67="Single_Point",IF(99=$NR$67,$NN$67,0),IF($NP$67="Bell_Curve",$NN$67*(99-$NR$67+1)*($NS$67-99+1)/$NU$67,$NN$67/$NT$67)),0)</f>
        <v/>
      </c>
      <c r="CZ67" s="402">
        <f>IF(AND(100&gt;=$NR$67,100&lt;=$NS$67),IF($NP$67="Single_Point",IF(100=$NR$67,$NN$67,0),IF($NP$67="Bell_Curve",$NN$67*(100-$NR$67+1)*($NS$67-100+1)/$NU$67,$NN$67/$NT$67)),0)</f>
        <v/>
      </c>
      <c r="DA67" s="402">
        <f>IF(AND(101&gt;=$NR$67,101&lt;=$NS$67),IF($NP$67="Single_Point",IF(101=$NR$67,$NN$67,0),IF($NP$67="Bell_Curve",$NN$67*(101-$NR$67+1)*($NS$67-101+1)/$NU$67,$NN$67/$NT$67)),0)</f>
        <v/>
      </c>
      <c r="DB67" s="402">
        <f>IF(AND(102&gt;=$NR$67,102&lt;=$NS$67),IF($NP$67="Single_Point",IF(102=$NR$67,$NN$67,0),IF($NP$67="Bell_Curve",$NN$67*(102-$NR$67+1)*($NS$67-102+1)/$NU$67,$NN$67/$NT$67)),0)</f>
        <v/>
      </c>
      <c r="DC67" s="402">
        <f>IF(AND(103&gt;=$NR$67,103&lt;=$NS$67),IF($NP$67="Single_Point",IF(103=$NR$67,$NN$67,0),IF($NP$67="Bell_Curve",$NN$67*(103-$NR$67+1)*($NS$67-103+1)/$NU$67,$NN$67/$NT$67)),0)</f>
        <v/>
      </c>
      <c r="DD67" s="402">
        <f>IF(AND(104&gt;=$NR$67,104&lt;=$NS$67),IF($NP$67="Single_Point",IF(104=$NR$67,$NN$67,0),IF($NP$67="Bell_Curve",$NN$67*(104-$NR$67+1)*($NS$67-104+1)/$NU$67,$NN$67/$NT$67)),0)</f>
        <v/>
      </c>
      <c r="DE67" s="402">
        <f>IF(AND(105&gt;=$NR$67,105&lt;=$NS$67),IF($NP$67="Single_Point",IF(105=$NR$67,$NN$67,0),IF($NP$67="Bell_Curve",$NN$67*(105-$NR$67+1)*($NS$67-105+1)/$NU$67,$NN$67/$NT$67)),0)</f>
        <v/>
      </c>
      <c r="DF67" s="402">
        <f>IF(AND(106&gt;=$NR$67,106&lt;=$NS$67),IF($NP$67="Single_Point",IF(106=$NR$67,$NN$67,0),IF($NP$67="Bell_Curve",$NN$67*(106-$NR$67+1)*($NS$67-106+1)/$NU$67,$NN$67/$NT$67)),0)</f>
        <v/>
      </c>
      <c r="DG67" s="402">
        <f>IF(AND(107&gt;=$NR$67,107&lt;=$NS$67),IF($NP$67="Single_Point",IF(107=$NR$67,$NN$67,0),IF($NP$67="Bell_Curve",$NN$67*(107-$NR$67+1)*($NS$67-107+1)/$NU$67,$NN$67/$NT$67)),0)</f>
        <v/>
      </c>
      <c r="DH67" s="402">
        <f>IF(AND(108&gt;=$NR$67,108&lt;=$NS$67),IF($NP$67="Single_Point",IF(108=$NR$67,$NN$67,0),IF($NP$67="Bell_Curve",$NN$67*(108-$NR$67+1)*($NS$67-108+1)/$NU$67,$NN$67/$NT$67)),0)</f>
        <v/>
      </c>
      <c r="DI67" s="402">
        <f>IF(AND(109&gt;=$NR$67,109&lt;=$NS$67),IF($NP$67="Single_Point",IF(109=$NR$67,$NN$67,0),IF($NP$67="Bell_Curve",$NN$67*(109-$NR$67+1)*($NS$67-109+1)/$NU$67,$NN$67/$NT$67)),0)</f>
        <v/>
      </c>
      <c r="DJ67" s="402">
        <f>IF(AND(110&gt;=$NR$67,110&lt;=$NS$67),IF($NP$67="Single_Point",IF(110=$NR$67,$NN$67,0),IF($NP$67="Bell_Curve",$NN$67*(110-$NR$67+1)*($NS$67-110+1)/$NU$67,$NN$67/$NT$67)),0)</f>
        <v/>
      </c>
      <c r="DK67" s="402">
        <f>IF(AND(111&gt;=$NR$67,111&lt;=$NS$67),IF($NP$67="Single_Point",IF(111=$NR$67,$NN$67,0),IF($NP$67="Bell_Curve",$NN$67*(111-$NR$67+1)*($NS$67-111+1)/$NU$67,$NN$67/$NT$67)),0)</f>
        <v/>
      </c>
      <c r="DL67" s="402">
        <f>IF(AND(112&gt;=$NR$67,112&lt;=$NS$67),IF($NP$67="Single_Point",IF(112=$NR$67,$NN$67,0),IF($NP$67="Bell_Curve",$NN$67*(112-$NR$67+1)*($NS$67-112+1)/$NU$67,$NN$67/$NT$67)),0)</f>
        <v/>
      </c>
      <c r="DM67" s="402">
        <f>IF(AND(113&gt;=$NR$67,113&lt;=$NS$67),IF($NP$67="Single_Point",IF(113=$NR$67,$NN$67,0),IF($NP$67="Bell_Curve",$NN$67*(113-$NR$67+1)*($NS$67-113+1)/$NU$67,$NN$67/$NT$67)),0)</f>
        <v/>
      </c>
      <c r="DN67" s="402">
        <f>IF(AND(114&gt;=$NR$67,114&lt;=$NS$67),IF($NP$67="Single_Point",IF(114=$NR$67,$NN$67,0),IF($NP$67="Bell_Curve",$NN$67*(114-$NR$67+1)*($NS$67-114+1)/$NU$67,$NN$67/$NT$67)),0)</f>
        <v/>
      </c>
      <c r="DO67" s="402">
        <f>IF(AND(115&gt;=$NR$67,115&lt;=$NS$67),IF($NP$67="Single_Point",IF(115=$NR$67,$NN$67,0),IF($NP$67="Bell_Curve",$NN$67*(115-$NR$67+1)*($NS$67-115+1)/$NU$67,$NN$67/$NT$67)),0)</f>
        <v/>
      </c>
      <c r="DP67" s="402">
        <f>IF(AND(116&gt;=$NR$67,116&lt;=$NS$67),IF($NP$67="Single_Point",IF(116=$NR$67,$NN$67,0),IF($NP$67="Bell_Curve",$NN$67*(116-$NR$67+1)*($NS$67-116+1)/$NU$67,$NN$67/$NT$67)),0)</f>
        <v/>
      </c>
      <c r="DQ67" s="402">
        <f>IF(AND(117&gt;=$NR$67,117&lt;=$NS$67),IF($NP$67="Single_Point",IF(117=$NR$67,$NN$67,0),IF($NP$67="Bell_Curve",$NN$67*(117-$NR$67+1)*($NS$67-117+1)/$NU$67,$NN$67/$NT$67)),0)</f>
        <v/>
      </c>
      <c r="DR67" s="402">
        <f>IF(AND(118&gt;=$NR$67,118&lt;=$NS$67),IF($NP$67="Single_Point",IF(118=$NR$67,$NN$67,0),IF($NP$67="Bell_Curve",$NN$67*(118-$NR$67+1)*($NS$67-118+1)/$NU$67,$NN$67/$NT$67)),0)</f>
        <v/>
      </c>
      <c r="DS67" s="402">
        <f>IF(AND(119&gt;=$NR$67,119&lt;=$NS$67),IF($NP$67="Single_Point",IF(119=$NR$67,$NN$67,0),IF($NP$67="Bell_Curve",$NN$67*(119-$NR$67+1)*($NS$67-119+1)/$NU$67,$NN$67/$NT$67)),0)</f>
        <v/>
      </c>
      <c r="DT67" s="402">
        <f>IF(AND(120&gt;=$NR$67,120&lt;=$NS$67),IF($NP$67="Single_Point",IF(120=$NR$67,$NN$67,0),IF($NP$67="Bell_Curve",$NN$67*(120-$NR$67+1)*($NS$67-120+1)/$NU$67,$NN$67/$NT$67)),0)</f>
        <v/>
      </c>
      <c r="DU67" s="402">
        <f>IF(AND(121&gt;=$NR$67,121&lt;=$NS$67),IF($NP$67="Single_Point",IF(121=$NR$67,$NN$67,0),IF($NP$67="Bell_Curve",$NN$67*(121-$NR$67+1)*($NS$67-121+1)/$NU$67,$NN$67/$NT$67)),0)</f>
        <v/>
      </c>
      <c r="DV67" s="402">
        <f>IF(AND(122&gt;=$NR$67,122&lt;=$NS$67),IF($NP$67="Single_Point",IF(122=$NR$67,$NN$67,0),IF($NP$67="Bell_Curve",$NN$67*(122-$NR$67+1)*($NS$67-122+1)/$NU$67,$NN$67/$NT$67)),0)</f>
        <v/>
      </c>
      <c r="DW67" s="402">
        <f>IF(AND(123&gt;=$NR$67,123&lt;=$NS$67),IF($NP$67="Single_Point",IF(123=$NR$67,$NN$67,0),IF($NP$67="Bell_Curve",$NN$67*(123-$NR$67+1)*($NS$67-123+1)/$NU$67,$NN$67/$NT$67)),0)</f>
        <v/>
      </c>
      <c r="DX67" s="402">
        <f>IF(AND(124&gt;=$NR$67,124&lt;=$NS$67),IF($NP$67="Single_Point",IF(124=$NR$67,$NN$67,0),IF($NP$67="Bell_Curve",$NN$67*(124-$NR$67+1)*($NS$67-124+1)/$NU$67,$NN$67/$NT$67)),0)</f>
        <v/>
      </c>
      <c r="DY67" s="402">
        <f>IF(AND(125&gt;=$NR$67,125&lt;=$NS$67),IF($NP$67="Single_Point",IF(125=$NR$67,$NN$67,0),IF($NP$67="Bell_Curve",$NN$67*(125-$NR$67+1)*($NS$67-125+1)/$NU$67,$NN$67/$NT$67)),0)</f>
        <v/>
      </c>
      <c r="DZ67" s="402">
        <f>IF(AND(126&gt;=$NR$67,126&lt;=$NS$67),IF($NP$67="Single_Point",IF(126=$NR$67,$NN$67,0),IF($NP$67="Bell_Curve",$NN$67*(126-$NR$67+1)*($NS$67-126+1)/$NU$67,$NN$67/$NT$67)),0)</f>
        <v/>
      </c>
      <c r="EA67" s="402">
        <f>IF(AND(127&gt;=$NR$67,127&lt;=$NS$67),IF($NP$67="Single_Point",IF(127=$NR$67,$NN$67,0),IF($NP$67="Bell_Curve",$NN$67*(127-$NR$67+1)*($NS$67-127+1)/$NU$67,$NN$67/$NT$67)),0)</f>
        <v/>
      </c>
      <c r="EB67" s="402">
        <f>IF(AND(128&gt;=$NR$67,128&lt;=$NS$67),IF($NP$67="Single_Point",IF(128=$NR$67,$NN$67,0),IF($NP$67="Bell_Curve",$NN$67*(128-$NR$67+1)*($NS$67-128+1)/$NU$67,$NN$67/$NT$67)),0)</f>
        <v/>
      </c>
      <c r="EC67" s="402">
        <f>IF(AND(129&gt;=$NR$67,129&lt;=$NS$67),IF($NP$67="Single_Point",IF(129=$NR$67,$NN$67,0),IF($NP$67="Bell_Curve",$NN$67*(129-$NR$67+1)*($NS$67-129+1)/$NU$67,$NN$67/$NT$67)),0)</f>
        <v/>
      </c>
      <c r="ED67" s="402">
        <f>IF(AND(130&gt;=$NR$67,130&lt;=$NS$67),IF($NP$67="Single_Point",IF(130=$NR$67,$NN$67,0),IF($NP$67="Bell_Curve",$NN$67*(130-$NR$67+1)*($NS$67-130+1)/$NU$67,$NN$67/$NT$67)),0)</f>
        <v/>
      </c>
      <c r="EE67" s="402">
        <f>IF(AND(131&gt;=$NR$67,131&lt;=$NS$67),IF($NP$67="Single_Point",IF(131=$NR$67,$NN$67,0),IF($NP$67="Bell_Curve",$NN$67*(131-$NR$67+1)*($NS$67-131+1)/$NU$67,$NN$67/$NT$67)),0)</f>
        <v/>
      </c>
      <c r="EF67" s="402">
        <f>IF(AND(132&gt;=$NR$67,132&lt;=$NS$67),IF($NP$67="Single_Point",IF(132=$NR$67,$NN$67,0),IF($NP$67="Bell_Curve",$NN$67*(132-$NR$67+1)*($NS$67-132+1)/$NU$67,$NN$67/$NT$67)),0)</f>
        <v/>
      </c>
      <c r="EG67" s="402">
        <f>IF(AND(133&gt;=$NR$67,133&lt;=$NS$67),IF($NP$67="Single_Point",IF(133=$NR$67,$NN$67,0),IF($NP$67="Bell_Curve",$NN$67*(133-$NR$67+1)*($NS$67-133+1)/$NU$67,$NN$67/$NT$67)),0)</f>
        <v/>
      </c>
      <c r="EH67" s="402">
        <f>IF(AND(134&gt;=$NR$67,134&lt;=$NS$67),IF($NP$67="Single_Point",IF(134=$NR$67,$NN$67,0),IF($NP$67="Bell_Curve",$NN$67*(134-$NR$67+1)*($NS$67-134+1)/$NU$67,$NN$67/$NT$67)),0)</f>
        <v/>
      </c>
      <c r="EI67" s="402">
        <f>IF(AND(135&gt;=$NR$67,135&lt;=$NS$67),IF($NP$67="Single_Point",IF(135=$NR$67,$NN$67,0),IF($NP$67="Bell_Curve",$NN$67*(135-$NR$67+1)*($NS$67-135+1)/$NU$67,$NN$67/$NT$67)),0)</f>
        <v/>
      </c>
      <c r="EJ67" s="402">
        <f>IF(AND(136&gt;=$NR$67,136&lt;=$NS$67),IF($NP$67="Single_Point",IF(136=$NR$67,$NN$67,0),IF($NP$67="Bell_Curve",$NN$67*(136-$NR$67+1)*($NS$67-136+1)/$NU$67,$NN$67/$NT$67)),0)</f>
        <v/>
      </c>
      <c r="EK67" s="402">
        <f>IF(AND(137&gt;=$NR$67,137&lt;=$NS$67),IF($NP$67="Single_Point",IF(137=$NR$67,$NN$67,0),IF($NP$67="Bell_Curve",$NN$67*(137-$NR$67+1)*($NS$67-137+1)/$NU$67,$NN$67/$NT$67)),0)</f>
        <v/>
      </c>
      <c r="EL67" s="402">
        <f>IF(AND(138&gt;=$NR$67,138&lt;=$NS$67),IF($NP$67="Single_Point",IF(138=$NR$67,$NN$67,0),IF($NP$67="Bell_Curve",$NN$67*(138-$NR$67+1)*($NS$67-138+1)/$NU$67,$NN$67/$NT$67)),0)</f>
        <v/>
      </c>
      <c r="EM67" s="402">
        <f>IF(AND(139&gt;=$NR$67,139&lt;=$NS$67),IF($NP$67="Single_Point",IF(139=$NR$67,$NN$67,0),IF($NP$67="Bell_Curve",$NN$67*(139-$NR$67+1)*($NS$67-139+1)/$NU$67,$NN$67/$NT$67)),0)</f>
        <v/>
      </c>
      <c r="EN67" s="402">
        <f>IF(AND(140&gt;=$NR$67,140&lt;=$NS$67),IF($NP$67="Single_Point",IF(140=$NR$67,$NN$67,0),IF($NP$67="Bell_Curve",$NN$67*(140-$NR$67+1)*($NS$67-140+1)/$NU$67,$NN$67/$NT$67)),0)</f>
        <v/>
      </c>
      <c r="EO67" s="402">
        <f>IF(AND(141&gt;=$NR$67,141&lt;=$NS$67),IF($NP$67="Single_Point",IF(141=$NR$67,$NN$67,0),IF($NP$67="Bell_Curve",$NN$67*(141-$NR$67+1)*($NS$67-141+1)/$NU$67,$NN$67/$NT$67)),0)</f>
        <v/>
      </c>
      <c r="EP67" s="402">
        <f>IF(AND(142&gt;=$NR$67,142&lt;=$NS$67),IF($NP$67="Single_Point",IF(142=$NR$67,$NN$67,0),IF($NP$67="Bell_Curve",$NN$67*(142-$NR$67+1)*($NS$67-142+1)/$NU$67,$NN$67/$NT$67)),0)</f>
        <v/>
      </c>
      <c r="EQ67" s="402">
        <f>IF(AND(143&gt;=$NR$67,143&lt;=$NS$67),IF($NP$67="Single_Point",IF(143=$NR$67,$NN$67,0),IF($NP$67="Bell_Curve",$NN$67*(143-$NR$67+1)*($NS$67-143+1)/$NU$67,$NN$67/$NT$67)),0)</f>
        <v/>
      </c>
      <c r="ER67" s="402">
        <f>IF(AND(144&gt;=$NR$67,144&lt;=$NS$67),IF($NP$67="Single_Point",IF(144=$NR$67,$NN$67,0),IF($NP$67="Bell_Curve",$NN$67*(144-$NR$67+1)*($NS$67-144+1)/$NU$67,$NN$67/$NT$67)),0)</f>
        <v/>
      </c>
      <c r="ES67" s="402">
        <f>IF(AND(145&gt;=$NR$67,145&lt;=$NS$67),IF($NP$67="Single_Point",IF(145=$NR$67,$NN$67,0),IF($NP$67="Bell_Curve",$NN$67*(145-$NR$67+1)*($NS$67-145+1)/$NU$67,$NN$67/$NT$67)),0)</f>
        <v/>
      </c>
      <c r="ET67" s="402">
        <f>IF(AND(146&gt;=$NR$67,146&lt;=$NS$67),IF($NP$67="Single_Point",IF(146=$NR$67,$NN$67,0),IF($NP$67="Bell_Curve",$NN$67*(146-$NR$67+1)*($NS$67-146+1)/$NU$67,$NN$67/$NT$67)),0)</f>
        <v/>
      </c>
      <c r="EU67" s="402">
        <f>IF(AND(147&gt;=$NR$67,147&lt;=$NS$67),IF($NP$67="Single_Point",IF(147=$NR$67,$NN$67,0),IF($NP$67="Bell_Curve",$NN$67*(147-$NR$67+1)*($NS$67-147+1)/$NU$67,$NN$67/$NT$67)),0)</f>
        <v/>
      </c>
      <c r="EV67" s="402">
        <f>IF(AND(148&gt;=$NR$67,148&lt;=$NS$67),IF($NP$67="Single_Point",IF(148=$NR$67,$NN$67,0),IF($NP$67="Bell_Curve",$NN$67*(148-$NR$67+1)*($NS$67-148+1)/$NU$67,$NN$67/$NT$67)),0)</f>
        <v/>
      </c>
      <c r="EW67" s="402">
        <f>IF(AND(149&gt;=$NR$67,149&lt;=$NS$67),IF($NP$67="Single_Point",IF(149=$NR$67,$NN$67,0),IF($NP$67="Bell_Curve",$NN$67*(149-$NR$67+1)*($NS$67-149+1)/$NU$67,$NN$67/$NT$67)),0)</f>
        <v/>
      </c>
      <c r="EX67" s="402">
        <f>IF(AND(150&gt;=$NR$67,150&lt;=$NS$67),IF($NP$67="Single_Point",IF(150=$NR$67,$NN$67,0),IF($NP$67="Bell_Curve",$NN$67*(150-$NR$67+1)*($NS$67-150+1)/$NU$67,$NN$67/$NT$67)),0)</f>
        <v/>
      </c>
      <c r="EY67" s="402">
        <f>IF(AND(151&gt;=$NR$67,151&lt;=$NS$67),IF($NP$67="Single_Point",IF(151=$NR$67,$NN$67,0),IF($NP$67="Bell_Curve",$NN$67*(151-$NR$67+1)*($NS$67-151+1)/$NU$67,$NN$67/$NT$67)),0)</f>
        <v/>
      </c>
      <c r="EZ67" s="402">
        <f>IF(AND(152&gt;=$NR$67,152&lt;=$NS$67),IF($NP$67="Single_Point",IF(152=$NR$67,$NN$67,0),IF($NP$67="Bell_Curve",$NN$67*(152-$NR$67+1)*($NS$67-152+1)/$NU$67,$NN$67/$NT$67)),0)</f>
        <v/>
      </c>
      <c r="FA67" s="402">
        <f>IF(AND(153&gt;=$NR$67,153&lt;=$NS$67),IF($NP$67="Single_Point",IF(153=$NR$67,$NN$67,0),IF($NP$67="Bell_Curve",$NN$67*(153-$NR$67+1)*($NS$67-153+1)/$NU$67,$NN$67/$NT$67)),0)</f>
        <v/>
      </c>
      <c r="FB67" s="402">
        <f>IF(AND(154&gt;=$NR$67,154&lt;=$NS$67),IF($NP$67="Single_Point",IF(154=$NR$67,$NN$67,0),IF($NP$67="Bell_Curve",$NN$67*(154-$NR$67+1)*($NS$67-154+1)/$NU$67,$NN$67/$NT$67)),0)</f>
        <v/>
      </c>
      <c r="FC67" s="402">
        <f>IF(AND(155&gt;=$NR$67,155&lt;=$NS$67),IF($NP$67="Single_Point",IF(155=$NR$67,$NN$67,0),IF($NP$67="Bell_Curve",$NN$67*(155-$NR$67+1)*($NS$67-155+1)/$NU$67,$NN$67/$NT$67)),0)</f>
        <v/>
      </c>
      <c r="FD67" s="402">
        <f>IF(AND(156&gt;=$NR$67,156&lt;=$NS$67),IF($NP$67="Single_Point",IF(156=$NR$67,$NN$67,0),IF($NP$67="Bell_Curve",$NN$67*(156-$NR$67+1)*($NS$67-156+1)/$NU$67,$NN$67/$NT$67)),0)</f>
        <v/>
      </c>
      <c r="FE67" s="402">
        <f>IF(AND(157&gt;=$NR$67,157&lt;=$NS$67),IF($NP$67="Single_Point",IF(157=$NR$67,$NN$67,0),IF($NP$67="Bell_Curve",$NN$67*(157-$NR$67+1)*($NS$67-157+1)/$NU$67,$NN$67/$NT$67)),0)</f>
        <v/>
      </c>
      <c r="FF67" s="402">
        <f>IF(AND(158&gt;=$NR$67,158&lt;=$NS$67),IF($NP$67="Single_Point",IF(158=$NR$67,$NN$67,0),IF($NP$67="Bell_Curve",$NN$67*(158-$NR$67+1)*($NS$67-158+1)/$NU$67,$NN$67/$NT$67)),0)</f>
        <v/>
      </c>
      <c r="FG67" s="402">
        <f>IF(AND(159&gt;=$NR$67,159&lt;=$NS$67),IF($NP$67="Single_Point",IF(159=$NR$67,$NN$67,0),IF($NP$67="Bell_Curve",$NN$67*(159-$NR$67+1)*($NS$67-159+1)/$NU$67,$NN$67/$NT$67)),0)</f>
        <v/>
      </c>
      <c r="FH67" s="402">
        <f>IF(AND(160&gt;=$NR$67,160&lt;=$NS$67),IF($NP$67="Single_Point",IF(160=$NR$67,$NN$67,0),IF($NP$67="Bell_Curve",$NN$67*(160-$NR$67+1)*($NS$67-160+1)/$NU$67,$NN$67/$NT$67)),0)</f>
        <v/>
      </c>
      <c r="FI67" s="402">
        <f>IF(AND(161&gt;=$NR$67,161&lt;=$NS$67),IF($NP$67="Single_Point",IF(161=$NR$67,$NN$67,0),IF($NP$67="Bell_Curve",$NN$67*(161-$NR$67+1)*($NS$67-161+1)/$NU$67,$NN$67/$NT$67)),0)</f>
        <v/>
      </c>
      <c r="FJ67" s="402">
        <f>IF(AND(162&gt;=$NR$67,162&lt;=$NS$67),IF($NP$67="Single_Point",IF(162=$NR$67,$NN$67,0),IF($NP$67="Bell_Curve",$NN$67*(162-$NR$67+1)*($NS$67-162+1)/$NU$67,$NN$67/$NT$67)),0)</f>
        <v/>
      </c>
      <c r="FK67" s="402">
        <f>IF(AND(163&gt;=$NR$67,163&lt;=$NS$67),IF($NP$67="Single_Point",IF(163=$NR$67,$NN$67,0),IF($NP$67="Bell_Curve",$NN$67*(163-$NR$67+1)*($NS$67-163+1)/$NU$67,$NN$67/$NT$67)),0)</f>
        <v/>
      </c>
      <c r="FL67" s="402">
        <f>IF(AND(164&gt;=$NR$67,164&lt;=$NS$67),IF($NP$67="Single_Point",IF(164=$NR$67,$NN$67,0),IF($NP$67="Bell_Curve",$NN$67*(164-$NR$67+1)*($NS$67-164+1)/$NU$67,$NN$67/$NT$67)),0)</f>
        <v/>
      </c>
      <c r="FM67" s="402">
        <f>IF(AND(165&gt;=$NR$67,165&lt;=$NS$67),IF($NP$67="Single_Point",IF(165=$NR$67,$NN$67,0),IF($NP$67="Bell_Curve",$NN$67*(165-$NR$67+1)*($NS$67-165+1)/$NU$67,$NN$67/$NT$67)),0)</f>
        <v/>
      </c>
      <c r="FN67" s="402">
        <f>IF(AND(166&gt;=$NR$67,166&lt;=$NS$67),IF($NP$67="Single_Point",IF(166=$NR$67,$NN$67,0),IF($NP$67="Bell_Curve",$NN$67*(166-$NR$67+1)*($NS$67-166+1)/$NU$67,$NN$67/$NT$67)),0)</f>
        <v/>
      </c>
      <c r="FO67" s="402">
        <f>IF(AND(167&gt;=$NR$67,167&lt;=$NS$67),IF($NP$67="Single_Point",IF(167=$NR$67,$NN$67,0),IF($NP$67="Bell_Curve",$NN$67*(167-$NR$67+1)*($NS$67-167+1)/$NU$67,$NN$67/$NT$67)),0)</f>
        <v/>
      </c>
      <c r="FP67" s="402">
        <f>IF(AND(168&gt;=$NR$67,168&lt;=$NS$67),IF($NP$67="Single_Point",IF(168=$NR$67,$NN$67,0),IF($NP$67="Bell_Curve",$NN$67*(168-$NR$67+1)*($NS$67-168+1)/$NU$67,$NN$67/$NT$67)),0)</f>
        <v/>
      </c>
      <c r="FQ67" s="402">
        <f>IF(AND(169&gt;=$NR$67,169&lt;=$NS$67),IF($NP$67="Single_Point",IF(169=$NR$67,$NN$67,0),IF($NP$67="Bell_Curve",$NN$67*(169-$NR$67+1)*($NS$67-169+1)/$NU$67,$NN$67/$NT$67)),0)</f>
        <v/>
      </c>
      <c r="FR67" s="402">
        <f>IF(AND(170&gt;=$NR$67,170&lt;=$NS$67),IF($NP$67="Single_Point",IF(170=$NR$67,$NN$67,0),IF($NP$67="Bell_Curve",$NN$67*(170-$NR$67+1)*($NS$67-170+1)/$NU$67,$NN$67/$NT$67)),0)</f>
        <v/>
      </c>
      <c r="FS67" s="402">
        <f>IF(AND(171&gt;=$NR$67,171&lt;=$NS$67),IF($NP$67="Single_Point",IF(171=$NR$67,$NN$67,0),IF($NP$67="Bell_Curve",$NN$67*(171-$NR$67+1)*($NS$67-171+1)/$NU$67,$NN$67/$NT$67)),0)</f>
        <v/>
      </c>
      <c r="FT67" s="402">
        <f>IF(AND(172&gt;=$NR$67,172&lt;=$NS$67),IF($NP$67="Single_Point",IF(172=$NR$67,$NN$67,0),IF($NP$67="Bell_Curve",$NN$67*(172-$NR$67+1)*($NS$67-172+1)/$NU$67,$NN$67/$NT$67)),0)</f>
        <v/>
      </c>
      <c r="FU67" s="402">
        <f>IF(AND(173&gt;=$NR$67,173&lt;=$NS$67),IF($NP$67="Single_Point",IF(173=$NR$67,$NN$67,0),IF($NP$67="Bell_Curve",$NN$67*(173-$NR$67+1)*($NS$67-173+1)/$NU$67,$NN$67/$NT$67)),0)</f>
        <v/>
      </c>
      <c r="FV67" s="402">
        <f>IF(AND(174&gt;=$NR$67,174&lt;=$NS$67),IF($NP$67="Single_Point",IF(174=$NR$67,$NN$67,0),IF($NP$67="Bell_Curve",$NN$67*(174-$NR$67+1)*($NS$67-174+1)/$NU$67,$NN$67/$NT$67)),0)</f>
        <v/>
      </c>
      <c r="FW67" s="402">
        <f>IF(AND(175&gt;=$NR$67,175&lt;=$NS$67),IF($NP$67="Single_Point",IF(175=$NR$67,$NN$67,0),IF($NP$67="Bell_Curve",$NN$67*(175-$NR$67+1)*($NS$67-175+1)/$NU$67,$NN$67/$NT$67)),0)</f>
        <v/>
      </c>
      <c r="FX67" s="402">
        <f>IF(AND(176&gt;=$NR$67,176&lt;=$NS$67),IF($NP$67="Single_Point",IF(176=$NR$67,$NN$67,0),IF($NP$67="Bell_Curve",$NN$67*(176-$NR$67+1)*($NS$67-176+1)/$NU$67,$NN$67/$NT$67)),0)</f>
        <v/>
      </c>
      <c r="FY67" s="402">
        <f>IF(AND(177&gt;=$NR$67,177&lt;=$NS$67),IF($NP$67="Single_Point",IF(177=$NR$67,$NN$67,0),IF($NP$67="Bell_Curve",$NN$67*(177-$NR$67+1)*($NS$67-177+1)/$NU$67,$NN$67/$NT$67)),0)</f>
        <v/>
      </c>
      <c r="FZ67" s="402">
        <f>IF(AND(178&gt;=$NR$67,178&lt;=$NS$67),IF($NP$67="Single_Point",IF(178=$NR$67,$NN$67,0),IF($NP$67="Bell_Curve",$NN$67*(178-$NR$67+1)*($NS$67-178+1)/$NU$67,$NN$67/$NT$67)),0)</f>
        <v/>
      </c>
      <c r="GA67" s="402">
        <f>IF(AND(179&gt;=$NR$67,179&lt;=$NS$67),IF($NP$67="Single_Point",IF(179=$NR$67,$NN$67,0),IF($NP$67="Bell_Curve",$NN$67*(179-$NR$67+1)*($NS$67-179+1)/$NU$67,$NN$67/$NT$67)),0)</f>
        <v/>
      </c>
      <c r="GB67" s="402">
        <f>IF(AND(180&gt;=$NR$67,180&lt;=$NS$67),IF($NP$67="Single_Point",IF(180=$NR$67,$NN$67,0),IF($NP$67="Bell_Curve",$NN$67*(180-$NR$67+1)*($NS$67-180+1)/$NU$67,$NN$67/$NT$67)),0)</f>
        <v/>
      </c>
      <c r="GC67" s="402">
        <f>IF(AND(181&gt;=$NR$67,181&lt;=$NS$67),IF($NP$67="Single_Point",IF(181=$NR$67,$NN$67,0),IF($NP$67="Bell_Curve",$NN$67*(181-$NR$67+1)*($NS$67-181+1)/$NU$67,$NN$67/$NT$67)),0)</f>
        <v/>
      </c>
      <c r="GD67" s="402">
        <f>IF(AND(182&gt;=$NR$67,182&lt;=$NS$67),IF($NP$67="Single_Point",IF(182=$NR$67,$NN$67,0),IF($NP$67="Bell_Curve",$NN$67*(182-$NR$67+1)*($NS$67-182+1)/$NU$67,$NN$67/$NT$67)),0)</f>
        <v/>
      </c>
      <c r="GE67" s="402">
        <f>IF(AND(183&gt;=$NR$67,183&lt;=$NS$67),IF($NP$67="Single_Point",IF(183=$NR$67,$NN$67,0),IF($NP$67="Bell_Curve",$NN$67*(183-$NR$67+1)*($NS$67-183+1)/$NU$67,$NN$67/$NT$67)),0)</f>
        <v/>
      </c>
      <c r="GF67" s="402">
        <f>IF(AND(184&gt;=$NR$67,184&lt;=$NS$67),IF($NP$67="Single_Point",IF(184=$NR$67,$NN$67,0),IF($NP$67="Bell_Curve",$NN$67*(184-$NR$67+1)*($NS$67-184+1)/$NU$67,$NN$67/$NT$67)),0)</f>
        <v/>
      </c>
      <c r="GG67" s="402">
        <f>IF(AND(185&gt;=$NR$67,185&lt;=$NS$67),IF($NP$67="Single_Point",IF(185=$NR$67,$NN$67,0),IF($NP$67="Bell_Curve",$NN$67*(185-$NR$67+1)*($NS$67-185+1)/$NU$67,$NN$67/$NT$67)),0)</f>
        <v/>
      </c>
      <c r="GH67" s="402">
        <f>IF(AND(186&gt;=$NR$67,186&lt;=$NS$67),IF($NP$67="Single_Point",IF(186=$NR$67,$NN$67,0),IF($NP$67="Bell_Curve",$NN$67*(186-$NR$67+1)*($NS$67-186+1)/$NU$67,$NN$67/$NT$67)),0)</f>
        <v/>
      </c>
      <c r="GI67" s="402">
        <f>IF(AND(187&gt;=$NR$67,187&lt;=$NS$67),IF($NP$67="Single_Point",IF(187=$NR$67,$NN$67,0),IF($NP$67="Bell_Curve",$NN$67*(187-$NR$67+1)*($NS$67-187+1)/$NU$67,$NN$67/$NT$67)),0)</f>
        <v/>
      </c>
      <c r="GJ67" s="402">
        <f>IF(AND(188&gt;=$NR$67,188&lt;=$NS$67),IF($NP$67="Single_Point",IF(188=$NR$67,$NN$67,0),IF($NP$67="Bell_Curve",$NN$67*(188-$NR$67+1)*($NS$67-188+1)/$NU$67,$NN$67/$NT$67)),0)</f>
        <v/>
      </c>
      <c r="GK67" s="402">
        <f>IF(AND(189&gt;=$NR$67,189&lt;=$NS$67),IF($NP$67="Single_Point",IF(189=$NR$67,$NN$67,0),IF($NP$67="Bell_Curve",$NN$67*(189-$NR$67+1)*($NS$67-189+1)/$NU$67,$NN$67/$NT$67)),0)</f>
        <v/>
      </c>
      <c r="GL67" s="402">
        <f>IF(AND(190&gt;=$NR$67,190&lt;=$NS$67),IF($NP$67="Single_Point",IF(190=$NR$67,$NN$67,0),IF($NP$67="Bell_Curve",$NN$67*(190-$NR$67+1)*($NS$67-190+1)/$NU$67,$NN$67/$NT$67)),0)</f>
        <v/>
      </c>
      <c r="GM67" s="402">
        <f>IF(AND(191&gt;=$NR$67,191&lt;=$NS$67),IF($NP$67="Single_Point",IF(191=$NR$67,$NN$67,0),IF($NP$67="Bell_Curve",$NN$67*(191-$NR$67+1)*($NS$67-191+1)/$NU$67,$NN$67/$NT$67)),0)</f>
        <v/>
      </c>
      <c r="GN67" s="402">
        <f>IF(AND(192&gt;=$NR$67,192&lt;=$NS$67),IF($NP$67="Single_Point",IF(192=$NR$67,$NN$67,0),IF($NP$67="Bell_Curve",$NN$67*(192-$NR$67+1)*($NS$67-192+1)/$NU$67,$NN$67/$NT$67)),0)</f>
        <v/>
      </c>
      <c r="GO67" s="402">
        <f>IF(AND(193&gt;=$NR$67,193&lt;=$NS$67),IF($NP$67="Single_Point",IF(193=$NR$67,$NN$67,0),IF($NP$67="Bell_Curve",$NN$67*(193-$NR$67+1)*($NS$67-193+1)/$NU$67,$NN$67/$NT$67)),0)</f>
        <v/>
      </c>
      <c r="GP67" s="402">
        <f>IF(AND(194&gt;=$NR$67,194&lt;=$NS$67),IF($NP$67="Single_Point",IF(194=$NR$67,$NN$67,0),IF($NP$67="Bell_Curve",$NN$67*(194-$NR$67+1)*($NS$67-194+1)/$NU$67,$NN$67/$NT$67)),0)</f>
        <v/>
      </c>
      <c r="GQ67" s="402">
        <f>IF(AND(195&gt;=$NR$67,195&lt;=$NS$67),IF($NP$67="Single_Point",IF(195=$NR$67,$NN$67,0),IF($NP$67="Bell_Curve",$NN$67*(195-$NR$67+1)*($NS$67-195+1)/$NU$67,$NN$67/$NT$67)),0)</f>
        <v/>
      </c>
      <c r="GR67" s="402">
        <f>IF(AND(196&gt;=$NR$67,196&lt;=$NS$67),IF($NP$67="Single_Point",IF(196=$NR$67,$NN$67,0),IF($NP$67="Bell_Curve",$NN$67*(196-$NR$67+1)*($NS$67-196+1)/$NU$67,$NN$67/$NT$67)),0)</f>
        <v/>
      </c>
      <c r="GS67" s="402">
        <f>IF(AND(197&gt;=$NR$67,197&lt;=$NS$67),IF($NP$67="Single_Point",IF(197=$NR$67,$NN$67,0),IF($NP$67="Bell_Curve",$NN$67*(197-$NR$67+1)*($NS$67-197+1)/$NU$67,$NN$67/$NT$67)),0)</f>
        <v/>
      </c>
      <c r="GT67" s="402">
        <f>IF(AND(198&gt;=$NR$67,198&lt;=$NS$67),IF($NP$67="Single_Point",IF(198=$NR$67,$NN$67,0),IF($NP$67="Bell_Curve",$NN$67*(198-$NR$67+1)*($NS$67-198+1)/$NU$67,$NN$67/$NT$67)),0)</f>
        <v/>
      </c>
      <c r="GU67" s="402">
        <f>IF(AND(199&gt;=$NR$67,199&lt;=$NS$67),IF($NP$67="Single_Point",IF(199=$NR$67,$NN$67,0),IF($NP$67="Bell_Curve",$NN$67*(199-$NR$67+1)*($NS$67-199+1)/$NU$67,$NN$67/$NT$67)),0)</f>
        <v/>
      </c>
      <c r="GV67" s="402">
        <f>IF(AND(200&gt;=$NR$67,200&lt;=$NS$67),IF($NP$67="Single_Point",IF(200=$NR$67,$NN$67,0),IF($NP$67="Bell_Curve",$NN$67*(200-$NR$67+1)*($NS$67-200+1)/$NU$67,$NN$67/$NT$67)),0)</f>
        <v/>
      </c>
      <c r="GW67" s="402">
        <f>IF(AND(201&gt;=$NR$67,201&lt;=$NS$67),IF($NP$67="Single_Point",IF(201=$NR$67,$NN$67,0),IF($NP$67="Bell_Curve",$NN$67*(201-$NR$67+1)*($NS$67-201+1)/$NU$67,$NN$67/$NT$67)),0)</f>
        <v/>
      </c>
      <c r="GX67" s="402">
        <f>IF(AND(202&gt;=$NR$67,202&lt;=$NS$67),IF($NP$67="Single_Point",IF(202=$NR$67,$NN$67,0),IF($NP$67="Bell_Curve",$NN$67*(202-$NR$67+1)*($NS$67-202+1)/$NU$67,$NN$67/$NT$67)),0)</f>
        <v/>
      </c>
      <c r="GY67" s="402">
        <f>IF(AND(203&gt;=$NR$67,203&lt;=$NS$67),IF($NP$67="Single_Point",IF(203=$NR$67,$NN$67,0),IF($NP$67="Bell_Curve",$NN$67*(203-$NR$67+1)*($NS$67-203+1)/$NU$67,$NN$67/$NT$67)),0)</f>
        <v/>
      </c>
      <c r="GZ67" s="402">
        <f>IF(AND(204&gt;=$NR$67,204&lt;=$NS$67),IF($NP$67="Single_Point",IF(204=$NR$67,$NN$67,0),IF($NP$67="Bell_Curve",$NN$67*(204-$NR$67+1)*($NS$67-204+1)/$NU$67,$NN$67/$NT$67)),0)</f>
        <v/>
      </c>
      <c r="HA67" s="402">
        <f>IF(AND(205&gt;=$NR$67,205&lt;=$NS$67),IF($NP$67="Single_Point",IF(205=$NR$67,$NN$67,0),IF($NP$67="Bell_Curve",$NN$67*(205-$NR$67+1)*($NS$67-205+1)/$NU$67,$NN$67/$NT$67)),0)</f>
        <v/>
      </c>
      <c r="HB67" s="402">
        <f>IF(AND(206&gt;=$NR$67,206&lt;=$NS$67),IF($NP$67="Single_Point",IF(206=$NR$67,$NN$67,0),IF($NP$67="Bell_Curve",$NN$67*(206-$NR$67+1)*($NS$67-206+1)/$NU$67,$NN$67/$NT$67)),0)</f>
        <v/>
      </c>
      <c r="HC67" s="402">
        <f>IF(AND(207&gt;=$NR$67,207&lt;=$NS$67),IF($NP$67="Single_Point",IF(207=$NR$67,$NN$67,0),IF($NP$67="Bell_Curve",$NN$67*(207-$NR$67+1)*($NS$67-207+1)/$NU$67,$NN$67/$NT$67)),0)</f>
        <v/>
      </c>
      <c r="HD67" s="402">
        <f>IF(AND(208&gt;=$NR$67,208&lt;=$NS$67),IF($NP$67="Single_Point",IF(208=$NR$67,$NN$67,0),IF($NP$67="Bell_Curve",$NN$67*(208-$NR$67+1)*($NS$67-208+1)/$NU$67,$NN$67/$NT$67)),0)</f>
        <v/>
      </c>
      <c r="HE67" s="402">
        <f>IF(AND(209&gt;=$NR$67,209&lt;=$NS$67),IF($NP$67="Single_Point",IF(209=$NR$67,$NN$67,0),IF($NP$67="Bell_Curve",$NN$67*(209-$NR$67+1)*($NS$67-209+1)/$NU$67,$NN$67/$NT$67)),0)</f>
        <v/>
      </c>
      <c r="HF67" s="402">
        <f>IF(AND(210&gt;=$NR$67,210&lt;=$NS$67),IF($NP$67="Single_Point",IF(210=$NR$67,$NN$67,0),IF($NP$67="Bell_Curve",$NN$67*(210-$NR$67+1)*($NS$67-210+1)/$NU$67,$NN$67/$NT$67)),0)</f>
        <v/>
      </c>
      <c r="HG67" s="402">
        <f>IF(AND(211&gt;=$NR$67,211&lt;=$NS$67),IF($NP$67="Single_Point",IF(211=$NR$67,$NN$67,0),IF($NP$67="Bell_Curve",$NN$67*(211-$NR$67+1)*($NS$67-211+1)/$NU$67,$NN$67/$NT$67)),0)</f>
        <v/>
      </c>
      <c r="HH67" s="402">
        <f>IF(AND(212&gt;=$NR$67,212&lt;=$NS$67),IF($NP$67="Single_Point",IF(212=$NR$67,$NN$67,0),IF($NP$67="Bell_Curve",$NN$67*(212-$NR$67+1)*($NS$67-212+1)/$NU$67,$NN$67/$NT$67)),0)</f>
        <v/>
      </c>
      <c r="HI67" s="402">
        <f>IF(AND(213&gt;=$NR$67,213&lt;=$NS$67),IF($NP$67="Single_Point",IF(213=$NR$67,$NN$67,0),IF($NP$67="Bell_Curve",$NN$67*(213-$NR$67+1)*($NS$67-213+1)/$NU$67,$NN$67/$NT$67)),0)</f>
        <v/>
      </c>
      <c r="HJ67" s="402">
        <f>IF(AND(214&gt;=$NR$67,214&lt;=$NS$67),IF($NP$67="Single_Point",IF(214=$NR$67,$NN$67,0),IF($NP$67="Bell_Curve",$NN$67*(214-$NR$67+1)*($NS$67-214+1)/$NU$67,$NN$67/$NT$67)),0)</f>
        <v/>
      </c>
      <c r="HK67" s="402">
        <f>IF(AND(215&gt;=$NR$67,215&lt;=$NS$67),IF($NP$67="Single_Point",IF(215=$NR$67,$NN$67,0),IF($NP$67="Bell_Curve",$NN$67*(215-$NR$67+1)*($NS$67-215+1)/$NU$67,$NN$67/$NT$67)),0)</f>
        <v/>
      </c>
      <c r="HL67" s="402">
        <f>IF(AND(216&gt;=$NR$67,216&lt;=$NS$67),IF($NP$67="Single_Point",IF(216=$NR$67,$NN$67,0),IF($NP$67="Bell_Curve",$NN$67*(216-$NR$67+1)*($NS$67-216+1)/$NU$67,$NN$67/$NT$67)),0)</f>
        <v/>
      </c>
      <c r="HM67" s="402">
        <f>IF(AND(217&gt;=$NR$67,217&lt;=$NS$67),IF($NP$67="Single_Point",IF(217=$NR$67,$NN$67,0),IF($NP$67="Bell_Curve",$NN$67*(217-$NR$67+1)*($NS$67-217+1)/$NU$67,$NN$67/$NT$67)),0)</f>
        <v/>
      </c>
      <c r="HN67" s="402">
        <f>IF(AND(218&gt;=$NR$67,218&lt;=$NS$67),IF($NP$67="Single_Point",IF(218=$NR$67,$NN$67,0),IF($NP$67="Bell_Curve",$NN$67*(218-$NR$67+1)*($NS$67-218+1)/$NU$67,$NN$67/$NT$67)),0)</f>
        <v/>
      </c>
      <c r="HO67" s="402">
        <f>IF(AND(219&gt;=$NR$67,219&lt;=$NS$67),IF($NP$67="Single_Point",IF(219=$NR$67,$NN$67,0),IF($NP$67="Bell_Curve",$NN$67*(219-$NR$67+1)*($NS$67-219+1)/$NU$67,$NN$67/$NT$67)),0)</f>
        <v/>
      </c>
      <c r="HP67" s="402">
        <f>IF(AND(220&gt;=$NR$67,220&lt;=$NS$67),IF($NP$67="Single_Point",IF(220=$NR$67,$NN$67,0),IF($NP$67="Bell_Curve",$NN$67*(220-$NR$67+1)*($NS$67-220+1)/$NU$67,$NN$67/$NT$67)),0)</f>
        <v/>
      </c>
      <c r="HQ67" s="402">
        <f>IF(AND(221&gt;=$NR$67,221&lt;=$NS$67),IF($NP$67="Single_Point",IF(221=$NR$67,$NN$67,0),IF($NP$67="Bell_Curve",$NN$67*(221-$NR$67+1)*($NS$67-221+1)/$NU$67,$NN$67/$NT$67)),0)</f>
        <v/>
      </c>
      <c r="HR67" s="402">
        <f>IF(AND(222&gt;=$NR$67,222&lt;=$NS$67),IF($NP$67="Single_Point",IF(222=$NR$67,$NN$67,0),IF($NP$67="Bell_Curve",$NN$67*(222-$NR$67+1)*($NS$67-222+1)/$NU$67,$NN$67/$NT$67)),0)</f>
        <v/>
      </c>
      <c r="HS67" s="402">
        <f>IF(AND(223&gt;=$NR$67,223&lt;=$NS$67),IF($NP$67="Single_Point",IF(223=$NR$67,$NN$67,0),IF($NP$67="Bell_Curve",$NN$67*(223-$NR$67+1)*($NS$67-223+1)/$NU$67,$NN$67/$NT$67)),0)</f>
        <v/>
      </c>
      <c r="HT67" s="402">
        <f>IF(AND(224&gt;=$NR$67,224&lt;=$NS$67),IF($NP$67="Single_Point",IF(224=$NR$67,$NN$67,0),IF($NP$67="Bell_Curve",$NN$67*(224-$NR$67+1)*($NS$67-224+1)/$NU$67,$NN$67/$NT$67)),0)</f>
        <v/>
      </c>
      <c r="HU67" s="402">
        <f>IF(AND(225&gt;=$NR$67,225&lt;=$NS$67),IF($NP$67="Single_Point",IF(225=$NR$67,$NN$67,0),IF($NP$67="Bell_Curve",$NN$67*(225-$NR$67+1)*($NS$67-225+1)/$NU$67,$NN$67/$NT$67)),0)</f>
        <v/>
      </c>
      <c r="HV67" s="402">
        <f>IF(AND(226&gt;=$NR$67,226&lt;=$NS$67),IF($NP$67="Single_Point",IF(226=$NR$67,$NN$67,0),IF($NP$67="Bell_Curve",$NN$67*(226-$NR$67+1)*($NS$67-226+1)/$NU$67,$NN$67/$NT$67)),0)</f>
        <v/>
      </c>
      <c r="HW67" s="402">
        <f>IF(AND(227&gt;=$NR$67,227&lt;=$NS$67),IF($NP$67="Single_Point",IF(227=$NR$67,$NN$67,0),IF($NP$67="Bell_Curve",$NN$67*(227-$NR$67+1)*($NS$67-227+1)/$NU$67,$NN$67/$NT$67)),0)</f>
        <v/>
      </c>
      <c r="HX67" s="402">
        <f>IF(AND(228&gt;=$NR$67,228&lt;=$NS$67),IF($NP$67="Single_Point",IF(228=$NR$67,$NN$67,0),IF($NP$67="Bell_Curve",$NN$67*(228-$NR$67+1)*($NS$67-228+1)/$NU$67,$NN$67/$NT$67)),0)</f>
        <v/>
      </c>
      <c r="HY67" s="402">
        <f>IF(AND(229&gt;=$NR$67,229&lt;=$NS$67),IF($NP$67="Single_Point",IF(229=$NR$67,$NN$67,0),IF($NP$67="Bell_Curve",$NN$67*(229-$NR$67+1)*($NS$67-229+1)/$NU$67,$NN$67/$NT$67)),0)</f>
        <v/>
      </c>
      <c r="HZ67" s="402">
        <f>IF(AND(230&gt;=$NR$67,230&lt;=$NS$67),IF($NP$67="Single_Point",IF(230=$NR$67,$NN$67,0),IF($NP$67="Bell_Curve",$NN$67*(230-$NR$67+1)*($NS$67-230+1)/$NU$67,$NN$67/$NT$67)),0)</f>
        <v/>
      </c>
      <c r="IA67" s="402">
        <f>IF(AND(231&gt;=$NR$67,231&lt;=$NS$67),IF($NP$67="Single_Point",IF(231=$NR$67,$NN$67,0),IF($NP$67="Bell_Curve",$NN$67*(231-$NR$67+1)*($NS$67-231+1)/$NU$67,$NN$67/$NT$67)),0)</f>
        <v/>
      </c>
      <c r="IB67" s="402">
        <f>IF(AND(232&gt;=$NR$67,232&lt;=$NS$67),IF($NP$67="Single_Point",IF(232=$NR$67,$NN$67,0),IF($NP$67="Bell_Curve",$NN$67*(232-$NR$67+1)*($NS$67-232+1)/$NU$67,$NN$67/$NT$67)),0)</f>
        <v/>
      </c>
      <c r="IC67" s="402">
        <f>IF(AND(233&gt;=$NR$67,233&lt;=$NS$67),IF($NP$67="Single_Point",IF(233=$NR$67,$NN$67,0),IF($NP$67="Bell_Curve",$NN$67*(233-$NR$67+1)*($NS$67-233+1)/$NU$67,$NN$67/$NT$67)),0)</f>
        <v/>
      </c>
      <c r="ID67" s="402">
        <f>IF(AND(234&gt;=$NR$67,234&lt;=$NS$67),IF($NP$67="Single_Point",IF(234=$NR$67,$NN$67,0),IF($NP$67="Bell_Curve",$NN$67*(234-$NR$67+1)*($NS$67-234+1)/$NU$67,$NN$67/$NT$67)),0)</f>
        <v/>
      </c>
      <c r="IE67" s="402">
        <f>IF(AND(235&gt;=$NR$67,235&lt;=$NS$67),IF($NP$67="Single_Point",IF(235=$NR$67,$NN$67,0),IF($NP$67="Bell_Curve",$NN$67*(235-$NR$67+1)*($NS$67-235+1)/$NU$67,$NN$67/$NT$67)),0)</f>
        <v/>
      </c>
      <c r="IF67" s="402">
        <f>IF(AND(236&gt;=$NR$67,236&lt;=$NS$67),IF($NP$67="Single_Point",IF(236=$NR$67,$NN$67,0),IF($NP$67="Bell_Curve",$NN$67*(236-$NR$67+1)*($NS$67-236+1)/$NU$67,$NN$67/$NT$67)),0)</f>
        <v/>
      </c>
      <c r="IG67" s="402">
        <f>IF(AND(237&gt;=$NR$67,237&lt;=$NS$67),IF($NP$67="Single_Point",IF(237=$NR$67,$NN$67,0),IF($NP$67="Bell_Curve",$NN$67*(237-$NR$67+1)*($NS$67-237+1)/$NU$67,$NN$67/$NT$67)),0)</f>
        <v/>
      </c>
      <c r="IH67" s="402">
        <f>IF(AND(238&gt;=$NR$67,238&lt;=$NS$67),IF($NP$67="Single_Point",IF(238=$NR$67,$NN$67,0),IF($NP$67="Bell_Curve",$NN$67*(238-$NR$67+1)*($NS$67-238+1)/$NU$67,$NN$67/$NT$67)),0)</f>
        <v/>
      </c>
      <c r="II67" s="402">
        <f>IF(AND(239&gt;=$NR$67,239&lt;=$NS$67),IF($NP$67="Single_Point",IF(239=$NR$67,$NN$67,0),IF($NP$67="Bell_Curve",$NN$67*(239-$NR$67+1)*($NS$67-239+1)/$NU$67,$NN$67/$NT$67)),0)</f>
        <v/>
      </c>
      <c r="IJ67" s="402">
        <f>IF(AND(240&gt;=$NR$67,240&lt;=$NS$67),IF($NP$67="Single_Point",IF(240=$NR$67,$NN$67,0),IF($NP$67="Bell_Curve",$NN$67*(240-$NR$67+1)*($NS$67-240+1)/$NU$67,$NN$67/$NT$67)),0)</f>
        <v/>
      </c>
      <c r="IK67" s="402">
        <f>IF(AND(241&gt;=$NR$67,241&lt;=$NS$67),IF($NP$67="Single_Point",IF(241=$NR$67,$NN$67,0),IF($NP$67="Bell_Curve",$NN$67*(241-$NR$67+1)*($NS$67-241+1)/$NU$67,$NN$67/$NT$67)),0)</f>
        <v/>
      </c>
      <c r="IL67" s="402">
        <f>IF(AND(242&gt;=$NR$67,242&lt;=$NS$67),IF($NP$67="Single_Point",IF(242=$NR$67,$NN$67,0),IF($NP$67="Bell_Curve",$NN$67*(242-$NR$67+1)*($NS$67-242+1)/$NU$67,$NN$67/$NT$67)),0)</f>
        <v/>
      </c>
      <c r="IM67" s="402">
        <f>IF(AND(243&gt;=$NR$67,243&lt;=$NS$67),IF($NP$67="Single_Point",IF(243=$NR$67,$NN$67,0),IF($NP$67="Bell_Curve",$NN$67*(243-$NR$67+1)*($NS$67-243+1)/$NU$67,$NN$67/$NT$67)),0)</f>
        <v/>
      </c>
      <c r="IN67" s="402">
        <f>IF(AND(244&gt;=$NR$67,244&lt;=$NS$67),IF($NP$67="Single_Point",IF(244=$NR$67,$NN$67,0),IF($NP$67="Bell_Curve",$NN$67*(244-$NR$67+1)*($NS$67-244+1)/$NU$67,$NN$67/$NT$67)),0)</f>
        <v/>
      </c>
      <c r="IO67" s="402">
        <f>IF(AND(245&gt;=$NR$67,245&lt;=$NS$67),IF($NP$67="Single_Point",IF(245=$NR$67,$NN$67,0),IF($NP$67="Bell_Curve",$NN$67*(245-$NR$67+1)*($NS$67-245+1)/$NU$67,$NN$67/$NT$67)),0)</f>
        <v/>
      </c>
      <c r="IP67" s="402">
        <f>IF(AND(246&gt;=$NR$67,246&lt;=$NS$67),IF($NP$67="Single_Point",IF(246=$NR$67,$NN$67,0),IF($NP$67="Bell_Curve",$NN$67*(246-$NR$67+1)*($NS$67-246+1)/$NU$67,$NN$67/$NT$67)),0)</f>
        <v/>
      </c>
      <c r="IQ67" s="402">
        <f>IF(AND(247&gt;=$NR$67,247&lt;=$NS$67),IF($NP$67="Single_Point",IF(247=$NR$67,$NN$67,0),IF($NP$67="Bell_Curve",$NN$67*(247-$NR$67+1)*($NS$67-247+1)/$NU$67,$NN$67/$NT$67)),0)</f>
        <v/>
      </c>
      <c r="IR67" s="402">
        <f>IF(AND(248&gt;=$NR$67,248&lt;=$NS$67),IF($NP$67="Single_Point",IF(248=$NR$67,$NN$67,0),IF($NP$67="Bell_Curve",$NN$67*(248-$NR$67+1)*($NS$67-248+1)/$NU$67,$NN$67/$NT$67)),0)</f>
        <v/>
      </c>
      <c r="IS67" s="402">
        <f>IF(AND(249&gt;=$NR$67,249&lt;=$NS$67),IF($NP$67="Single_Point",IF(249=$NR$67,$NN$67,0),IF($NP$67="Bell_Curve",$NN$67*(249-$NR$67+1)*($NS$67-249+1)/$NU$67,$NN$67/$NT$67)),0)</f>
        <v/>
      </c>
      <c r="IT67" s="402">
        <f>IF(AND(250&gt;=$NR$67,250&lt;=$NS$67),IF($NP$67="Single_Point",IF(250=$NR$67,$NN$67,0),IF($NP$67="Bell_Curve",$NN$67*(250-$NR$67+1)*($NS$67-250+1)/$NU$67,$NN$67/$NT$67)),0)</f>
        <v/>
      </c>
      <c r="IU67" s="402">
        <f>IF(AND(251&gt;=$NR$67,251&lt;=$NS$67),IF($NP$67="Single_Point",IF(251=$NR$67,$NN$67,0),IF($NP$67="Bell_Curve",$NN$67*(251-$NR$67+1)*($NS$67-251+1)/$NU$67,$NN$67/$NT$67)),0)</f>
        <v/>
      </c>
      <c r="IV67" s="402">
        <f>IF(AND(252&gt;=$NR$67,252&lt;=$NS$67),IF($NP$67="Single_Point",IF(252=$NR$67,$NN$67,0),IF($NP$67="Bell_Curve",$NN$67*(252-$NR$67+1)*($NS$67-252+1)/$NU$67,$NN$67/$NT$67)),0)</f>
        <v/>
      </c>
      <c r="IW67" s="402">
        <f>IF(AND(253&gt;=$NR$67,253&lt;=$NS$67),IF($NP$67="Single_Point",IF(253=$NR$67,$NN$67,0),IF($NP$67="Bell_Curve",$NN$67*(253-$NR$67+1)*($NS$67-253+1)/$NU$67,$NN$67/$NT$67)),0)</f>
        <v/>
      </c>
      <c r="IX67" s="402">
        <f>IF(AND(254&gt;=$NR$67,254&lt;=$NS$67),IF($NP$67="Single_Point",IF(254=$NR$67,$NN$67,0),IF($NP$67="Bell_Curve",$NN$67*(254-$NR$67+1)*($NS$67-254+1)/$NU$67,$NN$67/$NT$67)),0)</f>
        <v/>
      </c>
      <c r="IY67" s="402">
        <f>IF(AND(255&gt;=$NR$67,255&lt;=$NS$67),IF($NP$67="Single_Point",IF(255=$NR$67,$NN$67,0),IF($NP$67="Bell_Curve",$NN$67*(255-$NR$67+1)*($NS$67-255+1)/$NU$67,$NN$67/$NT$67)),0)</f>
        <v/>
      </c>
      <c r="IZ67" s="402">
        <f>IF(AND(256&gt;=$NR$67,256&lt;=$NS$67),IF($NP$67="Single_Point",IF(256=$NR$67,$NN$67,0),IF($NP$67="Bell_Curve",$NN$67*(256-$NR$67+1)*($NS$67-256+1)/$NU$67,$NN$67/$NT$67)),0)</f>
        <v/>
      </c>
      <c r="JA67" s="402">
        <f>IF(AND(257&gt;=$NR$67,257&lt;=$NS$67),IF($NP$67="Single_Point",IF(257=$NR$67,$NN$67,0),IF($NP$67="Bell_Curve",$NN$67*(257-$NR$67+1)*($NS$67-257+1)/$NU$67,$NN$67/$NT$67)),0)</f>
        <v/>
      </c>
      <c r="JB67" s="402">
        <f>IF(AND(258&gt;=$NR$67,258&lt;=$NS$67),IF($NP$67="Single_Point",IF(258=$NR$67,$NN$67,0),IF($NP$67="Bell_Curve",$NN$67*(258-$NR$67+1)*($NS$67-258+1)/$NU$67,$NN$67/$NT$67)),0)</f>
        <v/>
      </c>
      <c r="JC67" s="402">
        <f>IF(AND(259&gt;=$NR$67,259&lt;=$NS$67),IF($NP$67="Single_Point",IF(259=$NR$67,$NN$67,0),IF($NP$67="Bell_Curve",$NN$67*(259-$NR$67+1)*($NS$67-259+1)/$NU$67,$NN$67/$NT$67)),0)</f>
        <v/>
      </c>
      <c r="JD67" s="402">
        <f>IF(AND(260&gt;=$NR$67,260&lt;=$NS$67),IF($NP$67="Single_Point",IF(260=$NR$67,$NN$67,0),IF($NP$67="Bell_Curve",$NN$67*(260-$NR$67+1)*($NS$67-260+1)/$NU$67,$NN$67/$NT$67)),0)</f>
        <v/>
      </c>
      <c r="JE67" s="402">
        <f>IF(AND(261&gt;=$NR$67,261&lt;=$NS$67),IF($NP$67="Single_Point",IF(261=$NR$67,$NN$67,0),IF($NP$67="Bell_Curve",$NN$67*(261-$NR$67+1)*($NS$67-261+1)/$NU$67,$NN$67/$NT$67)),0)</f>
        <v/>
      </c>
      <c r="JF67" s="402">
        <f>IF(AND(262&gt;=$NR$67,262&lt;=$NS$67),IF($NP$67="Single_Point",IF(262=$NR$67,$NN$67,0),IF($NP$67="Bell_Curve",$NN$67*(262-$NR$67+1)*($NS$67-262+1)/$NU$67,$NN$67/$NT$67)),0)</f>
        <v/>
      </c>
      <c r="JG67" s="402">
        <f>IF(AND(263&gt;=$NR$67,263&lt;=$NS$67),IF($NP$67="Single_Point",IF(263=$NR$67,$NN$67,0),IF($NP$67="Bell_Curve",$NN$67*(263-$NR$67+1)*($NS$67-263+1)/$NU$67,$NN$67/$NT$67)),0)</f>
        <v/>
      </c>
      <c r="JH67" s="402">
        <f>IF(AND(264&gt;=$NR$67,264&lt;=$NS$67),IF($NP$67="Single_Point",IF(264=$NR$67,$NN$67,0),IF($NP$67="Bell_Curve",$NN$67*(264-$NR$67+1)*($NS$67-264+1)/$NU$67,$NN$67/$NT$67)),0)</f>
        <v/>
      </c>
      <c r="JI67" s="402">
        <f>IF(AND(265&gt;=$NR$67,265&lt;=$NS$67),IF($NP$67="Single_Point",IF(265=$NR$67,$NN$67,0),IF($NP$67="Bell_Curve",$NN$67*(265-$NR$67+1)*($NS$67-265+1)/$NU$67,$NN$67/$NT$67)),0)</f>
        <v/>
      </c>
      <c r="JJ67" s="402">
        <f>IF(AND(266&gt;=$NR$67,266&lt;=$NS$67),IF($NP$67="Single_Point",IF(266=$NR$67,$NN$67,0),IF($NP$67="Bell_Curve",$NN$67*(266-$NR$67+1)*($NS$67-266+1)/$NU$67,$NN$67/$NT$67)),0)</f>
        <v/>
      </c>
      <c r="JK67" s="402">
        <f>IF(AND(267&gt;=$NR$67,267&lt;=$NS$67),IF($NP$67="Single_Point",IF(267=$NR$67,$NN$67,0),IF($NP$67="Bell_Curve",$NN$67*(267-$NR$67+1)*($NS$67-267+1)/$NU$67,$NN$67/$NT$67)),0)</f>
        <v/>
      </c>
      <c r="JL67" s="402">
        <f>IF(AND(268&gt;=$NR$67,268&lt;=$NS$67),IF($NP$67="Single_Point",IF(268=$NR$67,$NN$67,0),IF($NP$67="Bell_Curve",$NN$67*(268-$NR$67+1)*($NS$67-268+1)/$NU$67,$NN$67/$NT$67)),0)</f>
        <v/>
      </c>
      <c r="JM67" s="402">
        <f>IF(AND(269&gt;=$NR$67,269&lt;=$NS$67),IF($NP$67="Single_Point",IF(269=$NR$67,$NN$67,0),IF($NP$67="Bell_Curve",$NN$67*(269-$NR$67+1)*($NS$67-269+1)/$NU$67,$NN$67/$NT$67)),0)</f>
        <v/>
      </c>
      <c r="JN67" s="402">
        <f>IF(AND(270&gt;=$NR$67,270&lt;=$NS$67),IF($NP$67="Single_Point",IF(270=$NR$67,$NN$67,0),IF($NP$67="Bell_Curve",$NN$67*(270-$NR$67+1)*($NS$67-270+1)/$NU$67,$NN$67/$NT$67)),0)</f>
        <v/>
      </c>
      <c r="JO67" s="402">
        <f>IF(AND(271&gt;=$NR$67,271&lt;=$NS$67),IF($NP$67="Single_Point",IF(271=$NR$67,$NN$67,0),IF($NP$67="Bell_Curve",$NN$67*(271-$NR$67+1)*($NS$67-271+1)/$NU$67,$NN$67/$NT$67)),0)</f>
        <v/>
      </c>
      <c r="JP67" s="402">
        <f>IF(AND(272&gt;=$NR$67,272&lt;=$NS$67),IF($NP$67="Single_Point",IF(272=$NR$67,$NN$67,0),IF($NP$67="Bell_Curve",$NN$67*(272-$NR$67+1)*($NS$67-272+1)/$NU$67,$NN$67/$NT$67)),0)</f>
        <v/>
      </c>
      <c r="JQ67" s="402">
        <f>IF(AND(273&gt;=$NR$67,273&lt;=$NS$67),IF($NP$67="Single_Point",IF(273=$NR$67,$NN$67,0),IF($NP$67="Bell_Curve",$NN$67*(273-$NR$67+1)*($NS$67-273+1)/$NU$67,$NN$67/$NT$67)),0)</f>
        <v/>
      </c>
      <c r="JR67" s="402">
        <f>IF(AND(274&gt;=$NR$67,274&lt;=$NS$67),IF($NP$67="Single_Point",IF(274=$NR$67,$NN$67,0),IF($NP$67="Bell_Curve",$NN$67*(274-$NR$67+1)*($NS$67-274+1)/$NU$67,$NN$67/$NT$67)),0)</f>
        <v/>
      </c>
      <c r="JS67" s="402">
        <f>IF(AND(275&gt;=$NR$67,275&lt;=$NS$67),IF($NP$67="Single_Point",IF(275=$NR$67,$NN$67,0),IF($NP$67="Bell_Curve",$NN$67*(275-$NR$67+1)*($NS$67-275+1)/$NU$67,$NN$67/$NT$67)),0)</f>
        <v/>
      </c>
      <c r="JT67" s="402">
        <f>IF(AND(276&gt;=$NR$67,276&lt;=$NS$67),IF($NP$67="Single_Point",IF(276=$NR$67,$NN$67,0),IF($NP$67="Bell_Curve",$NN$67*(276-$NR$67+1)*($NS$67-276+1)/$NU$67,$NN$67/$NT$67)),0)</f>
        <v/>
      </c>
      <c r="JU67" s="402">
        <f>IF(AND(277&gt;=$NR$67,277&lt;=$NS$67),IF($NP$67="Single_Point",IF(277=$NR$67,$NN$67,0),IF($NP$67="Bell_Curve",$NN$67*(277-$NR$67+1)*($NS$67-277+1)/$NU$67,$NN$67/$NT$67)),0)</f>
        <v/>
      </c>
      <c r="JV67" s="402">
        <f>IF(AND(278&gt;=$NR$67,278&lt;=$NS$67),IF($NP$67="Single_Point",IF(278=$NR$67,$NN$67,0),IF($NP$67="Bell_Curve",$NN$67*(278-$NR$67+1)*($NS$67-278+1)/$NU$67,$NN$67/$NT$67)),0)</f>
        <v/>
      </c>
      <c r="JW67" s="402">
        <f>IF(AND(279&gt;=$NR$67,279&lt;=$NS$67),IF($NP$67="Single_Point",IF(279=$NR$67,$NN$67,0),IF($NP$67="Bell_Curve",$NN$67*(279-$NR$67+1)*($NS$67-279+1)/$NU$67,$NN$67/$NT$67)),0)</f>
        <v/>
      </c>
      <c r="JX67" s="402">
        <f>IF(AND(280&gt;=$NR$67,280&lt;=$NS$67),IF($NP$67="Single_Point",IF(280=$NR$67,$NN$67,0),IF($NP$67="Bell_Curve",$NN$67*(280-$NR$67+1)*($NS$67-280+1)/$NU$67,$NN$67/$NT$67)),0)</f>
        <v/>
      </c>
      <c r="JY67" s="402">
        <f>IF(AND(281&gt;=$NR$67,281&lt;=$NS$67),IF($NP$67="Single_Point",IF(281=$NR$67,$NN$67,0),IF($NP$67="Bell_Curve",$NN$67*(281-$NR$67+1)*($NS$67-281+1)/$NU$67,$NN$67/$NT$67)),0)</f>
        <v/>
      </c>
      <c r="JZ67" s="402">
        <f>IF(AND(282&gt;=$NR$67,282&lt;=$NS$67),IF($NP$67="Single_Point",IF(282=$NR$67,$NN$67,0),IF($NP$67="Bell_Curve",$NN$67*(282-$NR$67+1)*($NS$67-282+1)/$NU$67,$NN$67/$NT$67)),0)</f>
        <v/>
      </c>
      <c r="KA67" s="402">
        <f>IF(AND(283&gt;=$NR$67,283&lt;=$NS$67),IF($NP$67="Single_Point",IF(283=$NR$67,$NN$67,0),IF($NP$67="Bell_Curve",$NN$67*(283-$NR$67+1)*($NS$67-283+1)/$NU$67,$NN$67/$NT$67)),0)</f>
        <v/>
      </c>
      <c r="KB67" s="402">
        <f>IF(AND(284&gt;=$NR$67,284&lt;=$NS$67),IF($NP$67="Single_Point",IF(284=$NR$67,$NN$67,0),IF($NP$67="Bell_Curve",$NN$67*(284-$NR$67+1)*($NS$67-284+1)/$NU$67,$NN$67/$NT$67)),0)</f>
        <v/>
      </c>
      <c r="KC67" s="402">
        <f>IF(AND(285&gt;=$NR$67,285&lt;=$NS$67),IF($NP$67="Single_Point",IF(285=$NR$67,$NN$67,0),IF($NP$67="Bell_Curve",$NN$67*(285-$NR$67+1)*($NS$67-285+1)/$NU$67,$NN$67/$NT$67)),0)</f>
        <v/>
      </c>
      <c r="KD67" s="402">
        <f>IF(AND(286&gt;=$NR$67,286&lt;=$NS$67),IF($NP$67="Single_Point",IF(286=$NR$67,$NN$67,0),IF($NP$67="Bell_Curve",$NN$67*(286-$NR$67+1)*($NS$67-286+1)/$NU$67,$NN$67/$NT$67)),0)</f>
        <v/>
      </c>
      <c r="KE67" s="402">
        <f>IF(AND(287&gt;=$NR$67,287&lt;=$NS$67),IF($NP$67="Single_Point",IF(287=$NR$67,$NN$67,0),IF($NP$67="Bell_Curve",$NN$67*(287-$NR$67+1)*($NS$67-287+1)/$NU$67,$NN$67/$NT$67)),0)</f>
        <v/>
      </c>
      <c r="KF67" s="402">
        <f>IF(AND(288&gt;=$NR$67,288&lt;=$NS$67),IF($NP$67="Single_Point",IF(288=$NR$67,$NN$67,0),IF($NP$67="Bell_Curve",$NN$67*(288-$NR$67+1)*($NS$67-288+1)/$NU$67,$NN$67/$NT$67)),0)</f>
        <v/>
      </c>
      <c r="KG67" s="402">
        <f>IF(AND(289&gt;=$NR$67,289&lt;=$NS$67),IF($NP$67="Single_Point",IF(289=$NR$67,$NN$67,0),IF($NP$67="Bell_Curve",$NN$67*(289-$NR$67+1)*($NS$67-289+1)/$NU$67,$NN$67/$NT$67)),0)</f>
        <v/>
      </c>
      <c r="KH67" s="402">
        <f>IF(AND(290&gt;=$NR$67,290&lt;=$NS$67),IF($NP$67="Single_Point",IF(290=$NR$67,$NN$67,0),IF($NP$67="Bell_Curve",$NN$67*(290-$NR$67+1)*($NS$67-290+1)/$NU$67,$NN$67/$NT$67)),0)</f>
        <v/>
      </c>
      <c r="KI67" s="402">
        <f>IF(AND(291&gt;=$NR$67,291&lt;=$NS$67),IF($NP$67="Single_Point",IF(291=$NR$67,$NN$67,0),IF($NP$67="Bell_Curve",$NN$67*(291-$NR$67+1)*($NS$67-291+1)/$NU$67,$NN$67/$NT$67)),0)</f>
        <v/>
      </c>
      <c r="KJ67" s="402">
        <f>IF(AND(292&gt;=$NR$67,292&lt;=$NS$67),IF($NP$67="Single_Point",IF(292=$NR$67,$NN$67,0),IF($NP$67="Bell_Curve",$NN$67*(292-$NR$67+1)*($NS$67-292+1)/$NU$67,$NN$67/$NT$67)),0)</f>
        <v/>
      </c>
      <c r="KK67" s="402">
        <f>IF(AND(293&gt;=$NR$67,293&lt;=$NS$67),IF($NP$67="Single_Point",IF(293=$NR$67,$NN$67,0),IF($NP$67="Bell_Curve",$NN$67*(293-$NR$67+1)*($NS$67-293+1)/$NU$67,$NN$67/$NT$67)),0)</f>
        <v/>
      </c>
      <c r="KL67" s="402">
        <f>IF(AND(294&gt;=$NR$67,294&lt;=$NS$67),IF($NP$67="Single_Point",IF(294=$NR$67,$NN$67,0),IF($NP$67="Bell_Curve",$NN$67*(294-$NR$67+1)*($NS$67-294+1)/$NU$67,$NN$67/$NT$67)),0)</f>
        <v/>
      </c>
      <c r="KM67" s="402">
        <f>IF(AND(295&gt;=$NR$67,295&lt;=$NS$67),IF($NP$67="Single_Point",IF(295=$NR$67,$NN$67,0),IF($NP$67="Bell_Curve",$NN$67*(295-$NR$67+1)*($NS$67-295+1)/$NU$67,$NN$67/$NT$67)),0)</f>
        <v/>
      </c>
      <c r="KN67" s="402">
        <f>IF(AND(296&gt;=$NR$67,296&lt;=$NS$67),IF($NP$67="Single_Point",IF(296=$NR$67,$NN$67,0),IF($NP$67="Bell_Curve",$NN$67*(296-$NR$67+1)*($NS$67-296+1)/$NU$67,$NN$67/$NT$67)),0)</f>
        <v/>
      </c>
      <c r="KO67" s="402">
        <f>IF(AND(297&gt;=$NR$67,297&lt;=$NS$67),IF($NP$67="Single_Point",IF(297=$NR$67,$NN$67,0),IF($NP$67="Bell_Curve",$NN$67*(297-$NR$67+1)*($NS$67-297+1)/$NU$67,$NN$67/$NT$67)),0)</f>
        <v/>
      </c>
      <c r="KP67" s="402">
        <f>IF(AND(298&gt;=$NR$67,298&lt;=$NS$67),IF($NP$67="Single_Point",IF(298=$NR$67,$NN$67,0),IF($NP$67="Bell_Curve",$NN$67*(298-$NR$67+1)*($NS$67-298+1)/$NU$67,$NN$67/$NT$67)),0)</f>
        <v/>
      </c>
      <c r="KQ67" s="402">
        <f>IF(AND(299&gt;=$NR$67,299&lt;=$NS$67),IF($NP$67="Single_Point",IF(299=$NR$67,$NN$67,0),IF($NP$67="Bell_Curve",$NN$67*(299-$NR$67+1)*($NS$67-299+1)/$NU$67,$NN$67/$NT$67)),0)</f>
        <v/>
      </c>
      <c r="KR67" s="402">
        <f>IF(AND(300&gt;=$NR$67,300&lt;=$NS$67),IF($NP$67="Single_Point",IF(300=$NR$67,$NN$67,0),IF($NP$67="Bell_Curve",$NN$67*(300-$NR$67+1)*($NS$67-300+1)/$NU$67,$NN$67/$NT$67)),0)</f>
        <v/>
      </c>
      <c r="KS67" s="402">
        <f>IF(AND(301&gt;=$NR$67,301&lt;=$NS$67),IF($NP$67="Single_Point",IF(301=$NR$67,$NN$67,0),IF($NP$67="Bell_Curve",$NN$67*(301-$NR$67+1)*($NS$67-301+1)/$NU$67,$NN$67/$NT$67)),0)</f>
        <v/>
      </c>
      <c r="KT67" s="402">
        <f>IF(AND(302&gt;=$NR$67,302&lt;=$NS$67),IF($NP$67="Single_Point",IF(302=$NR$67,$NN$67,0),IF($NP$67="Bell_Curve",$NN$67*(302-$NR$67+1)*($NS$67-302+1)/$NU$67,$NN$67/$NT$67)),0)</f>
        <v/>
      </c>
      <c r="KU67" s="402">
        <f>IF(AND(303&gt;=$NR$67,303&lt;=$NS$67),IF($NP$67="Single_Point",IF(303=$NR$67,$NN$67,0),IF($NP$67="Bell_Curve",$NN$67*(303-$NR$67+1)*($NS$67-303+1)/$NU$67,$NN$67/$NT$67)),0)</f>
        <v/>
      </c>
      <c r="KV67" s="402">
        <f>IF(AND(304&gt;=$NR$67,304&lt;=$NS$67),IF($NP$67="Single_Point",IF(304=$NR$67,$NN$67,0),IF($NP$67="Bell_Curve",$NN$67*(304-$NR$67+1)*($NS$67-304+1)/$NU$67,$NN$67/$NT$67)),0)</f>
        <v/>
      </c>
      <c r="KW67" s="402">
        <f>IF(AND(305&gt;=$NR$67,305&lt;=$NS$67),IF($NP$67="Single_Point",IF(305=$NR$67,$NN$67,0),IF($NP$67="Bell_Curve",$NN$67*(305-$NR$67+1)*($NS$67-305+1)/$NU$67,$NN$67/$NT$67)),0)</f>
        <v/>
      </c>
      <c r="KX67" s="402">
        <f>IF(AND(306&gt;=$NR$67,306&lt;=$NS$67),IF($NP$67="Single_Point",IF(306=$NR$67,$NN$67,0),IF($NP$67="Bell_Curve",$NN$67*(306-$NR$67+1)*($NS$67-306+1)/$NU$67,$NN$67/$NT$67)),0)</f>
        <v/>
      </c>
      <c r="KY67" s="402">
        <f>IF(AND(307&gt;=$NR$67,307&lt;=$NS$67),IF($NP$67="Single_Point",IF(307=$NR$67,$NN$67,0),IF($NP$67="Bell_Curve",$NN$67*(307-$NR$67+1)*($NS$67-307+1)/$NU$67,$NN$67/$NT$67)),0)</f>
        <v/>
      </c>
      <c r="KZ67" s="402">
        <f>IF(AND(308&gt;=$NR$67,308&lt;=$NS$67),IF($NP$67="Single_Point",IF(308=$NR$67,$NN$67,0),IF($NP$67="Bell_Curve",$NN$67*(308-$NR$67+1)*($NS$67-308+1)/$NU$67,$NN$67/$NT$67)),0)</f>
        <v/>
      </c>
      <c r="LA67" s="402">
        <f>IF(AND(309&gt;=$NR$67,309&lt;=$NS$67),IF($NP$67="Single_Point",IF(309=$NR$67,$NN$67,0),IF($NP$67="Bell_Curve",$NN$67*(309-$NR$67+1)*($NS$67-309+1)/$NU$67,$NN$67/$NT$67)),0)</f>
        <v/>
      </c>
      <c r="LB67" s="402">
        <f>IF(AND(310&gt;=$NR$67,310&lt;=$NS$67),IF($NP$67="Single_Point",IF(310=$NR$67,$NN$67,0),IF($NP$67="Bell_Curve",$NN$67*(310-$NR$67+1)*($NS$67-310+1)/$NU$67,$NN$67/$NT$67)),0)</f>
        <v/>
      </c>
      <c r="LC67" s="402">
        <f>IF(AND(311&gt;=$NR$67,311&lt;=$NS$67),IF($NP$67="Single_Point",IF(311=$NR$67,$NN$67,0),IF($NP$67="Bell_Curve",$NN$67*(311-$NR$67+1)*($NS$67-311+1)/$NU$67,$NN$67/$NT$67)),0)</f>
        <v/>
      </c>
      <c r="LD67" s="402">
        <f>IF(AND(312&gt;=$NR$67,312&lt;=$NS$67),IF($NP$67="Single_Point",IF(312=$NR$67,$NN$67,0),IF($NP$67="Bell_Curve",$NN$67*(312-$NR$67+1)*($NS$67-312+1)/$NU$67,$NN$67/$NT$67)),0)</f>
        <v/>
      </c>
      <c r="LE67" s="402">
        <f>IF(AND(313&gt;=$NR$67,313&lt;=$NS$67),IF($NP$67="Single_Point",IF(313=$NR$67,$NN$67,0),IF($NP$67="Bell_Curve",$NN$67*(313-$NR$67+1)*($NS$67-313+1)/$NU$67,$NN$67/$NT$67)),0)</f>
        <v/>
      </c>
      <c r="LF67" s="402">
        <f>IF(AND(314&gt;=$NR$67,314&lt;=$NS$67),IF($NP$67="Single_Point",IF(314=$NR$67,$NN$67,0),IF($NP$67="Bell_Curve",$NN$67*(314-$NR$67+1)*($NS$67-314+1)/$NU$67,$NN$67/$NT$67)),0)</f>
        <v/>
      </c>
      <c r="LG67" s="402">
        <f>IF(AND(315&gt;=$NR$67,315&lt;=$NS$67),IF($NP$67="Single_Point",IF(315=$NR$67,$NN$67,0),IF($NP$67="Bell_Curve",$NN$67*(315-$NR$67+1)*($NS$67-315+1)/$NU$67,$NN$67/$NT$67)),0)</f>
        <v/>
      </c>
      <c r="LH67" s="402">
        <f>IF(AND(316&gt;=$NR$67,316&lt;=$NS$67),IF($NP$67="Single_Point",IF(316=$NR$67,$NN$67,0),IF($NP$67="Bell_Curve",$NN$67*(316-$NR$67+1)*($NS$67-316+1)/$NU$67,$NN$67/$NT$67)),0)</f>
        <v/>
      </c>
      <c r="LI67" s="402">
        <f>IF(AND(317&gt;=$NR$67,317&lt;=$NS$67),IF($NP$67="Single_Point",IF(317=$NR$67,$NN$67,0),IF($NP$67="Bell_Curve",$NN$67*(317-$NR$67+1)*($NS$67-317+1)/$NU$67,$NN$67/$NT$67)),0)</f>
        <v/>
      </c>
      <c r="LJ67" s="402">
        <f>IF(AND(318&gt;=$NR$67,318&lt;=$NS$67),IF($NP$67="Single_Point",IF(318=$NR$67,$NN$67,0),IF($NP$67="Bell_Curve",$NN$67*(318-$NR$67+1)*($NS$67-318+1)/$NU$67,$NN$67/$NT$67)),0)</f>
        <v/>
      </c>
      <c r="LK67" s="402">
        <f>IF(AND(319&gt;=$NR$67,319&lt;=$NS$67),IF($NP$67="Single_Point",IF(319=$NR$67,$NN$67,0),IF($NP$67="Bell_Curve",$NN$67*(319-$NR$67+1)*($NS$67-319+1)/$NU$67,$NN$67/$NT$67)),0)</f>
        <v/>
      </c>
      <c r="LL67" s="402">
        <f>IF(AND(320&gt;=$NR$67,320&lt;=$NS$67),IF($NP$67="Single_Point",IF(320=$NR$67,$NN$67,0),IF($NP$67="Bell_Curve",$NN$67*(320-$NR$67+1)*($NS$67-320+1)/$NU$67,$NN$67/$NT$67)),0)</f>
        <v/>
      </c>
      <c r="LM67" s="402">
        <f>IF(AND(321&gt;=$NR$67,321&lt;=$NS$67),IF($NP$67="Single_Point",IF(321=$NR$67,$NN$67,0),IF($NP$67="Bell_Curve",$NN$67*(321-$NR$67+1)*($NS$67-321+1)/$NU$67,$NN$67/$NT$67)),0)</f>
        <v/>
      </c>
      <c r="LN67" s="402">
        <f>IF(AND(322&gt;=$NR$67,322&lt;=$NS$67),IF($NP$67="Single_Point",IF(322=$NR$67,$NN$67,0),IF($NP$67="Bell_Curve",$NN$67*(322-$NR$67+1)*($NS$67-322+1)/$NU$67,$NN$67/$NT$67)),0)</f>
        <v/>
      </c>
      <c r="LO67" s="402">
        <f>IF(AND(323&gt;=$NR$67,323&lt;=$NS$67),IF($NP$67="Single_Point",IF(323=$NR$67,$NN$67,0),IF($NP$67="Bell_Curve",$NN$67*(323-$NR$67+1)*($NS$67-323+1)/$NU$67,$NN$67/$NT$67)),0)</f>
        <v/>
      </c>
      <c r="LP67" s="402">
        <f>IF(AND(324&gt;=$NR$67,324&lt;=$NS$67),IF($NP$67="Single_Point",IF(324=$NR$67,$NN$67,0),IF($NP$67="Bell_Curve",$NN$67*(324-$NR$67+1)*($NS$67-324+1)/$NU$67,$NN$67/$NT$67)),0)</f>
        <v/>
      </c>
      <c r="LQ67" s="402">
        <f>IF(AND(325&gt;=$NR$67,325&lt;=$NS$67),IF($NP$67="Single_Point",IF(325=$NR$67,$NN$67,0),IF($NP$67="Bell_Curve",$NN$67*(325-$NR$67+1)*($NS$67-325+1)/$NU$67,$NN$67/$NT$67)),0)</f>
        <v/>
      </c>
      <c r="LR67" s="402">
        <f>IF(AND(326&gt;=$NR$67,326&lt;=$NS$67),IF($NP$67="Single_Point",IF(326=$NR$67,$NN$67,0),IF($NP$67="Bell_Curve",$NN$67*(326-$NR$67+1)*($NS$67-326+1)/$NU$67,$NN$67/$NT$67)),0)</f>
        <v/>
      </c>
      <c r="LS67" s="402">
        <f>IF(AND(327&gt;=$NR$67,327&lt;=$NS$67),IF($NP$67="Single_Point",IF(327=$NR$67,$NN$67,0),IF($NP$67="Bell_Curve",$NN$67*(327-$NR$67+1)*($NS$67-327+1)/$NU$67,$NN$67/$NT$67)),0)</f>
        <v/>
      </c>
      <c r="LT67" s="402">
        <f>IF(AND(328&gt;=$NR$67,328&lt;=$NS$67),IF($NP$67="Single_Point",IF(328=$NR$67,$NN$67,0),IF($NP$67="Bell_Curve",$NN$67*(328-$NR$67+1)*($NS$67-328+1)/$NU$67,$NN$67/$NT$67)),0)</f>
        <v/>
      </c>
      <c r="LU67" s="402">
        <f>IF(AND(329&gt;=$NR$67,329&lt;=$NS$67),IF($NP$67="Single_Point",IF(329=$NR$67,$NN$67,0),IF($NP$67="Bell_Curve",$NN$67*(329-$NR$67+1)*($NS$67-329+1)/$NU$67,$NN$67/$NT$67)),0)</f>
        <v/>
      </c>
      <c r="LV67" s="402">
        <f>IF(AND(330&gt;=$NR$67,330&lt;=$NS$67),IF($NP$67="Single_Point",IF(330=$NR$67,$NN$67,0),IF($NP$67="Bell_Curve",$NN$67*(330-$NR$67+1)*($NS$67-330+1)/$NU$67,$NN$67/$NT$67)),0)</f>
        <v/>
      </c>
      <c r="LW67" s="402">
        <f>IF(AND(331&gt;=$NR$67,331&lt;=$NS$67),IF($NP$67="Single_Point",IF(331=$NR$67,$NN$67,0),IF($NP$67="Bell_Curve",$NN$67*(331-$NR$67+1)*($NS$67-331+1)/$NU$67,$NN$67/$NT$67)),0)</f>
        <v/>
      </c>
      <c r="LX67" s="402">
        <f>IF(AND(332&gt;=$NR$67,332&lt;=$NS$67),IF($NP$67="Single_Point",IF(332=$NR$67,$NN$67,0),IF($NP$67="Bell_Curve",$NN$67*(332-$NR$67+1)*($NS$67-332+1)/$NU$67,$NN$67/$NT$67)),0)</f>
        <v/>
      </c>
      <c r="LY67" s="402">
        <f>IF(AND(333&gt;=$NR$67,333&lt;=$NS$67),IF($NP$67="Single_Point",IF(333=$NR$67,$NN$67,0),IF($NP$67="Bell_Curve",$NN$67*(333-$NR$67+1)*($NS$67-333+1)/$NU$67,$NN$67/$NT$67)),0)</f>
        <v/>
      </c>
      <c r="LZ67" s="402">
        <f>IF(AND(334&gt;=$NR$67,334&lt;=$NS$67),IF($NP$67="Single_Point",IF(334=$NR$67,$NN$67,0),IF($NP$67="Bell_Curve",$NN$67*(334-$NR$67+1)*($NS$67-334+1)/$NU$67,$NN$67/$NT$67)),0)</f>
        <v/>
      </c>
      <c r="MA67" s="402">
        <f>IF(AND(335&gt;=$NR$67,335&lt;=$NS$67),IF($NP$67="Single_Point",IF(335=$NR$67,$NN$67,0),IF($NP$67="Bell_Curve",$NN$67*(335-$NR$67+1)*($NS$67-335+1)/$NU$67,$NN$67/$NT$67)),0)</f>
        <v/>
      </c>
      <c r="MB67" s="402">
        <f>IF(AND(336&gt;=$NR$67,336&lt;=$NS$67),IF($NP$67="Single_Point",IF(336=$NR$67,$NN$67,0),IF($NP$67="Bell_Curve",$NN$67*(336-$NR$67+1)*($NS$67-336+1)/$NU$67,$NN$67/$NT$67)),0)</f>
        <v/>
      </c>
      <c r="MC67" s="402">
        <f>IF(AND(337&gt;=$NR$67,337&lt;=$NS$67),IF($NP$67="Single_Point",IF(337=$NR$67,$NN$67,0),IF($NP$67="Bell_Curve",$NN$67*(337-$NR$67+1)*($NS$67-337+1)/$NU$67,$NN$67/$NT$67)),0)</f>
        <v/>
      </c>
      <c r="MD67" s="402">
        <f>IF(AND(338&gt;=$NR$67,338&lt;=$NS$67),IF($NP$67="Single_Point",IF(338=$NR$67,$NN$67,0),IF($NP$67="Bell_Curve",$NN$67*(338-$NR$67+1)*($NS$67-338+1)/$NU$67,$NN$67/$NT$67)),0)</f>
        <v/>
      </c>
      <c r="ME67" s="402">
        <f>IF(AND(339&gt;=$NR$67,339&lt;=$NS$67),IF($NP$67="Single_Point",IF(339=$NR$67,$NN$67,0),IF($NP$67="Bell_Curve",$NN$67*(339-$NR$67+1)*($NS$67-339+1)/$NU$67,$NN$67/$NT$67)),0)</f>
        <v/>
      </c>
      <c r="MF67" s="402">
        <f>IF(AND(340&gt;=$NR$67,340&lt;=$NS$67),IF($NP$67="Single_Point",IF(340=$NR$67,$NN$67,0),IF($NP$67="Bell_Curve",$NN$67*(340-$NR$67+1)*($NS$67-340+1)/$NU$67,$NN$67/$NT$67)),0)</f>
        <v/>
      </c>
      <c r="MG67" s="402">
        <f>IF(AND(341&gt;=$NR$67,341&lt;=$NS$67),IF($NP$67="Single_Point",IF(341=$NR$67,$NN$67,0),IF($NP$67="Bell_Curve",$NN$67*(341-$NR$67+1)*($NS$67-341+1)/$NU$67,$NN$67/$NT$67)),0)</f>
        <v/>
      </c>
      <c r="MH67" s="402">
        <f>IF(AND(342&gt;=$NR$67,342&lt;=$NS$67),IF($NP$67="Single_Point",IF(342=$NR$67,$NN$67,0),IF($NP$67="Bell_Curve",$NN$67*(342-$NR$67+1)*($NS$67-342+1)/$NU$67,$NN$67/$NT$67)),0)</f>
        <v/>
      </c>
      <c r="MI67" s="402">
        <f>IF(AND(343&gt;=$NR$67,343&lt;=$NS$67),IF($NP$67="Single_Point",IF(343=$NR$67,$NN$67,0),IF($NP$67="Bell_Curve",$NN$67*(343-$NR$67+1)*($NS$67-343+1)/$NU$67,$NN$67/$NT$67)),0)</f>
        <v/>
      </c>
      <c r="MJ67" s="402">
        <f>IF(AND(344&gt;=$NR$67,344&lt;=$NS$67),IF($NP$67="Single_Point",IF(344=$NR$67,$NN$67,0),IF($NP$67="Bell_Curve",$NN$67*(344-$NR$67+1)*($NS$67-344+1)/$NU$67,$NN$67/$NT$67)),0)</f>
        <v/>
      </c>
      <c r="MK67" s="402">
        <f>IF(AND(345&gt;=$NR$67,345&lt;=$NS$67),IF($NP$67="Single_Point",IF(345=$NR$67,$NN$67,0),IF($NP$67="Bell_Curve",$NN$67*(345-$NR$67+1)*($NS$67-345+1)/$NU$67,$NN$67/$NT$67)),0)</f>
        <v/>
      </c>
      <c r="ML67" s="402">
        <f>IF(AND(346&gt;=$NR$67,346&lt;=$NS$67),IF($NP$67="Single_Point",IF(346=$NR$67,$NN$67,0),IF($NP$67="Bell_Curve",$NN$67*(346-$NR$67+1)*($NS$67-346+1)/$NU$67,$NN$67/$NT$67)),0)</f>
        <v/>
      </c>
      <c r="MM67" s="402">
        <f>IF(AND(347&gt;=$NR$67,347&lt;=$NS$67),IF($NP$67="Single_Point",IF(347=$NR$67,$NN$67,0),IF($NP$67="Bell_Curve",$NN$67*(347-$NR$67+1)*($NS$67-347+1)/$NU$67,$NN$67/$NT$67)),0)</f>
        <v/>
      </c>
      <c r="MN67" s="402">
        <f>IF(AND(348&gt;=$NR$67,348&lt;=$NS$67),IF($NP$67="Single_Point",IF(348=$NR$67,$NN$67,0),IF($NP$67="Bell_Curve",$NN$67*(348-$NR$67+1)*($NS$67-348+1)/$NU$67,$NN$67/$NT$67)),0)</f>
        <v/>
      </c>
      <c r="MO67" s="402">
        <f>IF(AND(349&gt;=$NR$67,349&lt;=$NS$67),IF($NP$67="Single_Point",IF(349=$NR$67,$NN$67,0),IF($NP$67="Bell_Curve",$NN$67*(349-$NR$67+1)*($NS$67-349+1)/$NU$67,$NN$67/$NT$67)),0)</f>
        <v/>
      </c>
      <c r="MP67" s="402">
        <f>IF(AND(350&gt;=$NR$67,350&lt;=$NS$67),IF($NP$67="Single_Point",IF(350=$NR$67,$NN$67,0),IF($NP$67="Bell_Curve",$NN$67*(350-$NR$67+1)*($NS$67-350+1)/$NU$67,$NN$67/$NT$67)),0)</f>
        <v/>
      </c>
      <c r="MQ67" s="402">
        <f>IF(AND(351&gt;=$NR$67,351&lt;=$NS$67),IF($NP$67="Single_Point",IF(351=$NR$67,$NN$67,0),IF($NP$67="Bell_Curve",$NN$67*(351-$NR$67+1)*($NS$67-351+1)/$NU$67,$NN$67/$NT$67)),0)</f>
        <v/>
      </c>
      <c r="MR67" s="402">
        <f>IF(AND(352&gt;=$NR$67,352&lt;=$NS$67),IF($NP$67="Single_Point",IF(352=$NR$67,$NN$67,0),IF($NP$67="Bell_Curve",$NN$67*(352-$NR$67+1)*($NS$67-352+1)/$NU$67,$NN$67/$NT$67)),0)</f>
        <v/>
      </c>
      <c r="MS67" s="402">
        <f>IF(AND(353&gt;=$NR$67,353&lt;=$NS$67),IF($NP$67="Single_Point",IF(353=$NR$67,$NN$67,0),IF($NP$67="Bell_Curve",$NN$67*(353-$NR$67+1)*($NS$67-353+1)/$NU$67,$NN$67/$NT$67)),0)</f>
        <v/>
      </c>
      <c r="MT67" s="402">
        <f>IF(AND(354&gt;=$NR$67,354&lt;=$NS$67),IF($NP$67="Single_Point",IF(354=$NR$67,$NN$67,0),IF($NP$67="Bell_Curve",$NN$67*(354-$NR$67+1)*($NS$67-354+1)/$NU$67,$NN$67/$NT$67)),0)</f>
        <v/>
      </c>
      <c r="MU67" s="402">
        <f>IF(AND(355&gt;=$NR$67,355&lt;=$NS$67),IF($NP$67="Single_Point",IF(355=$NR$67,$NN$67,0),IF($NP$67="Bell_Curve",$NN$67*(355-$NR$67+1)*($NS$67-355+1)/$NU$67,$NN$67/$NT$67)),0)</f>
        <v/>
      </c>
      <c r="MV67" s="402">
        <f>IF(AND(356&gt;=$NR$67,356&lt;=$NS$67),IF($NP$67="Single_Point",IF(356=$NR$67,$NN$67,0),IF($NP$67="Bell_Curve",$NN$67*(356-$NR$67+1)*($NS$67-356+1)/$NU$67,$NN$67/$NT$67)),0)</f>
        <v/>
      </c>
      <c r="MW67" s="402">
        <f>IF(AND(357&gt;=$NR$67,357&lt;=$NS$67),IF($NP$67="Single_Point",IF(357=$NR$67,$NN$67,0),IF($NP$67="Bell_Curve",$NN$67*(357-$NR$67+1)*($NS$67-357+1)/$NU$67,$NN$67/$NT$67)),0)</f>
        <v/>
      </c>
      <c r="MX67" s="402">
        <f>IF(AND(358&gt;=$NR$67,358&lt;=$NS$67),IF($NP$67="Single_Point",IF(358=$NR$67,$NN$67,0),IF($NP$67="Bell_Curve",$NN$67*(358-$NR$67+1)*($NS$67-358+1)/$NU$67,$NN$67/$NT$67)),0)</f>
        <v/>
      </c>
      <c r="MY67" s="402">
        <f>IF(AND(359&gt;=$NR$67,359&lt;=$NS$67),IF($NP$67="Single_Point",IF(359=$NR$67,$NN$67,0),IF($NP$67="Bell_Curve",$NN$67*(359-$NR$67+1)*($NS$67-359+1)/$NU$67,$NN$67/$NT$67)),0)</f>
        <v/>
      </c>
      <c r="MZ67" s="402">
        <f>IF(AND(360&gt;=$NR$67,360&lt;=$NS$67),IF($NP$67="Single_Point",IF(360=$NR$67,$NN$67,0),IF($NP$67="Bell_Curve",$NN$67*(360-$NR$67+1)*($NS$67-360+1)/$NU$67,$NN$67/$NT$67)),0)</f>
        <v/>
      </c>
      <c r="NA67" s="402">
        <f>IF(AND(361&gt;=$NR$67,361&lt;=$NS$67),IF($NP$67="Single_Point",IF(361=$NR$67,$NN$67,0),IF($NP$67="Bell_Curve",$NN$67*(361-$NR$67+1)*($NS$67-361+1)/$NU$67,$NN$67/$NT$67)),0)</f>
        <v/>
      </c>
      <c r="NB67" s="402">
        <f>IF(AND(362&gt;=$NR$67,362&lt;=$NS$67),IF($NP$67="Single_Point",IF(362=$NR$67,$NN$67,0),IF($NP$67="Bell_Curve",$NN$67*(362-$NR$67+1)*($NS$67-362+1)/$NU$67,$NN$67/$NT$67)),0)</f>
        <v/>
      </c>
      <c r="NC67" s="402">
        <f>IF(AND(363&gt;=$NR$67,363&lt;=$NS$67),IF($NP$67="Single_Point",IF(363=$NR$67,$NN$67,0),IF($NP$67="Bell_Curve",$NN$67*(363-$NR$67+1)*($NS$67-363+1)/$NU$67,$NN$67/$NT$67)),0)</f>
        <v/>
      </c>
      <c r="ND67" s="402">
        <f>IF(AND(364&gt;=$NR$67,364&lt;=$NS$67),IF($NP$67="Single_Point",IF(364=$NR$67,$NN$67,0),IF($NP$67="Bell_Curve",$NN$67*(364-$NR$67+1)*($NS$67-364+1)/$NU$67,$NN$67/$NT$67)),0)</f>
        <v/>
      </c>
      <c r="NE67" s="402">
        <f>IF(AND(365&gt;=$NR$67,365&lt;=$NS$67),IF($NP$67="Single_Point",IF(365=$NR$67,$NN$67,0),IF($NP$67="Bell_Curve",$NN$67*(365-$NR$67+1)*($NS$67-365+1)/$NU$67,$NN$67/$NT$67)),0)</f>
        <v/>
      </c>
      <c r="NF67" s="402">
        <f>IF(AND(366&gt;=$NR$67,366&lt;=$NS$67),IF($NP$67="Single_Point",IF(366=$NR$67,$NN$67,0),IF($NP$67="Bell_Curve",$NN$67*(366-$NR$67+1)*($NS$67-366+1)/$NU$67,$NN$67/$NT$67)),0)</f>
        <v/>
      </c>
      <c r="NG67" s="402">
        <f>IF(AND(367&gt;=$NR$67,367&lt;=$NS$67),IF($NP$67="Single_Point",IF(367=$NR$67,$NN$67,0),IF($NP$67="Bell_Curve",$NN$67*(367-$NR$67+1)*($NS$67-367+1)/$NU$67,$NN$67/$NT$67)),0)</f>
        <v/>
      </c>
      <c r="NH67" s="402">
        <f>IF(AND(368&gt;=$NR$67,368&lt;=$NS$67),IF($NP$67="Single_Point",IF(368=$NR$67,$NN$67,0),IF($NP$67="Bell_Curve",$NN$67*(368-$NR$67+1)*($NS$67-368+1)/$NU$67,$NN$67/$NT$67)),0)</f>
        <v/>
      </c>
      <c r="NI67" s="402">
        <f>IF(AND(369&gt;=$NR$67,369&lt;=$NS$67),IF($NP$67="Single_Point",IF(369=$NR$67,$NN$67,0),IF($NP$67="Bell_Curve",$NN$67*(369-$NR$67+1)*($NS$67-369+1)/$NU$67,$NN$67/$NT$67)),0)</f>
        <v/>
      </c>
      <c r="NJ67" s="402">
        <f>IF(AND(370&gt;=$NR$67,370&lt;=$NS$67),IF($NP$67="Single_Point",IF(370=$NR$67,$NN$67,0),IF($NP$67="Bell_Curve",$NN$67*(370-$NR$67+1)*($NS$67-370+1)/$NU$67,$NN$67/$NT$67)),0)</f>
        <v/>
      </c>
      <c r="NK67" s="402">
        <f>IF(AND(371&gt;=$NR$67,371&lt;=$NS$67),IF($NP$67="Single_Point",IF(371=$NR$67,$NN$67,0),IF($NP$67="Bell_Curve",$NN$67*(371-$NR$67+1)*($NS$67-371+1)/$NU$67,$NN$67/$NT$67)),0)</f>
        <v/>
      </c>
      <c r="NL67" s="402">
        <f>IF(AND(372&gt;=$NR$67,372&lt;=$NS$67),IF($NP$67="Single_Point",IF(372=$NR$67,$NN$67,0),IF($NP$67="Bell_Curve",$NN$67*(372-$NR$67+1)*($NS$67-372+1)/$NU$67,$NN$67/$NT$67)),0)</f>
        <v/>
      </c>
      <c r="NM67">
        <f>Budget!C66</f>
        <v/>
      </c>
      <c r="NN67">
        <f>Budget!J66</f>
        <v/>
      </c>
      <c r="NO67">
        <f>Budget!G66</f>
        <v/>
      </c>
      <c r="NP67">
        <f>Budget!H66</f>
        <v/>
      </c>
      <c r="NQ67">
        <f>Budget!I66</f>
        <v/>
      </c>
      <c r="NR67">
        <f>MAX(1,MIN(372,INDEX(MilestoneStart,MATCH(NO67,MilestoneNames,0))+NQ67))</f>
        <v/>
      </c>
      <c r="NS67">
        <f>MAX(NR67,MIN(372,INDEX(MilestoneEnd,MATCH(NO67,MilestoneNames,0))+NQ67))</f>
        <v/>
      </c>
      <c r="NT67">
        <f>NS67-NR67+1</f>
        <v/>
      </c>
      <c r="NU67">
        <f>NT67*(NT67+1)*(NT67+2)/6</f>
        <v/>
      </c>
    </row>
    <row r="68">
      <c r="B68" s="316">
        <f>Budget!B67</f>
        <v/>
      </c>
      <c r="D68" s="402">
        <f>SUM(E68:NL68)</f>
        <v/>
      </c>
      <c r="E68" s="402">
        <f>IF(AND(1&gt;=$NR$68,1&lt;=$NS$68),IF($NP$68="Single_Point",IF(1=$NR$68,$NN$68,0),IF($NP$68="Bell_Curve",$NN$68*(1-$NR$68+1)*($NS$68-1+1)/$NU$68,$NN$68/$NT$68)),0)</f>
        <v/>
      </c>
      <c r="F68" s="402">
        <f>IF(AND(2&gt;=$NR$68,2&lt;=$NS$68),IF($NP$68="Single_Point",IF(2=$NR$68,$NN$68,0),IF($NP$68="Bell_Curve",$NN$68*(2-$NR$68+1)*($NS$68-2+1)/$NU$68,$NN$68/$NT$68)),0)</f>
        <v/>
      </c>
      <c r="G68" s="402">
        <f>IF(AND(3&gt;=$NR$68,3&lt;=$NS$68),IF($NP$68="Single_Point",IF(3=$NR$68,$NN$68,0),IF($NP$68="Bell_Curve",$NN$68*(3-$NR$68+1)*($NS$68-3+1)/$NU$68,$NN$68/$NT$68)),0)</f>
        <v/>
      </c>
      <c r="H68" s="402">
        <f>IF(AND(4&gt;=$NR$68,4&lt;=$NS$68),IF($NP$68="Single_Point",IF(4=$NR$68,$NN$68,0),IF($NP$68="Bell_Curve",$NN$68*(4-$NR$68+1)*($NS$68-4+1)/$NU$68,$NN$68/$NT$68)),0)</f>
        <v/>
      </c>
      <c r="I68" s="402">
        <f>IF(AND(5&gt;=$NR$68,5&lt;=$NS$68),IF($NP$68="Single_Point",IF(5=$NR$68,$NN$68,0),IF($NP$68="Bell_Curve",$NN$68*(5-$NR$68+1)*($NS$68-5+1)/$NU$68,$NN$68/$NT$68)),0)</f>
        <v/>
      </c>
      <c r="J68" s="402">
        <f>IF(AND(6&gt;=$NR$68,6&lt;=$NS$68),IF($NP$68="Single_Point",IF(6=$NR$68,$NN$68,0),IF($NP$68="Bell_Curve",$NN$68*(6-$NR$68+1)*($NS$68-6+1)/$NU$68,$NN$68/$NT$68)),0)</f>
        <v/>
      </c>
      <c r="K68" s="402">
        <f>IF(AND(7&gt;=$NR$68,7&lt;=$NS$68),IF($NP$68="Single_Point",IF(7=$NR$68,$NN$68,0),IF($NP$68="Bell_Curve",$NN$68*(7-$NR$68+1)*($NS$68-7+1)/$NU$68,$NN$68/$NT$68)),0)</f>
        <v/>
      </c>
      <c r="L68" s="402">
        <f>IF(AND(8&gt;=$NR$68,8&lt;=$NS$68),IF($NP$68="Single_Point",IF(8=$NR$68,$NN$68,0),IF($NP$68="Bell_Curve",$NN$68*(8-$NR$68+1)*($NS$68-8+1)/$NU$68,$NN$68/$NT$68)),0)</f>
        <v/>
      </c>
      <c r="M68" s="402">
        <f>IF(AND(9&gt;=$NR$68,9&lt;=$NS$68),IF($NP$68="Single_Point",IF(9=$NR$68,$NN$68,0),IF($NP$68="Bell_Curve",$NN$68*(9-$NR$68+1)*($NS$68-9+1)/$NU$68,$NN$68/$NT$68)),0)</f>
        <v/>
      </c>
      <c r="N68" s="402">
        <f>IF(AND(10&gt;=$NR$68,10&lt;=$NS$68),IF($NP$68="Single_Point",IF(10=$NR$68,$NN$68,0),IF($NP$68="Bell_Curve",$NN$68*(10-$NR$68+1)*($NS$68-10+1)/$NU$68,$NN$68/$NT$68)),0)</f>
        <v/>
      </c>
      <c r="O68" s="402">
        <f>IF(AND(11&gt;=$NR$68,11&lt;=$NS$68),IF($NP$68="Single_Point",IF(11=$NR$68,$NN$68,0),IF($NP$68="Bell_Curve",$NN$68*(11-$NR$68+1)*($NS$68-11+1)/$NU$68,$NN$68/$NT$68)),0)</f>
        <v/>
      </c>
      <c r="P68" s="402">
        <f>IF(AND(12&gt;=$NR$68,12&lt;=$NS$68),IF($NP$68="Single_Point",IF(12=$NR$68,$NN$68,0),IF($NP$68="Bell_Curve",$NN$68*(12-$NR$68+1)*($NS$68-12+1)/$NU$68,$NN$68/$NT$68)),0)</f>
        <v/>
      </c>
      <c r="Q68" s="402">
        <f>IF(AND(13&gt;=$NR$68,13&lt;=$NS$68),IF($NP$68="Single_Point",IF(13=$NR$68,$NN$68,0),IF($NP$68="Bell_Curve",$NN$68*(13-$NR$68+1)*($NS$68-13+1)/$NU$68,$NN$68/$NT$68)),0)</f>
        <v/>
      </c>
      <c r="R68" s="402">
        <f>IF(AND(14&gt;=$NR$68,14&lt;=$NS$68),IF($NP$68="Single_Point",IF(14=$NR$68,$NN$68,0),IF($NP$68="Bell_Curve",$NN$68*(14-$NR$68+1)*($NS$68-14+1)/$NU$68,$NN$68/$NT$68)),0)</f>
        <v/>
      </c>
      <c r="S68" s="402">
        <f>IF(AND(15&gt;=$NR$68,15&lt;=$NS$68),IF($NP$68="Single_Point",IF(15=$NR$68,$NN$68,0),IF($NP$68="Bell_Curve",$NN$68*(15-$NR$68+1)*($NS$68-15+1)/$NU$68,$NN$68/$NT$68)),0)</f>
        <v/>
      </c>
      <c r="T68" s="402">
        <f>IF(AND(16&gt;=$NR$68,16&lt;=$NS$68),IF($NP$68="Single_Point",IF(16=$NR$68,$NN$68,0),IF($NP$68="Bell_Curve",$NN$68*(16-$NR$68+1)*($NS$68-16+1)/$NU$68,$NN$68/$NT$68)),0)</f>
        <v/>
      </c>
      <c r="U68" s="402">
        <f>IF(AND(17&gt;=$NR$68,17&lt;=$NS$68),IF($NP$68="Single_Point",IF(17=$NR$68,$NN$68,0),IF($NP$68="Bell_Curve",$NN$68*(17-$NR$68+1)*($NS$68-17+1)/$NU$68,$NN$68/$NT$68)),0)</f>
        <v/>
      </c>
      <c r="V68" s="402">
        <f>IF(AND(18&gt;=$NR$68,18&lt;=$NS$68),IF($NP$68="Single_Point",IF(18=$NR$68,$NN$68,0),IF($NP$68="Bell_Curve",$NN$68*(18-$NR$68+1)*($NS$68-18+1)/$NU$68,$NN$68/$NT$68)),0)</f>
        <v/>
      </c>
      <c r="W68" s="402">
        <f>IF(AND(19&gt;=$NR$68,19&lt;=$NS$68),IF($NP$68="Single_Point",IF(19=$NR$68,$NN$68,0),IF($NP$68="Bell_Curve",$NN$68*(19-$NR$68+1)*($NS$68-19+1)/$NU$68,$NN$68/$NT$68)),0)</f>
        <v/>
      </c>
      <c r="X68" s="402">
        <f>IF(AND(20&gt;=$NR$68,20&lt;=$NS$68),IF($NP$68="Single_Point",IF(20=$NR$68,$NN$68,0),IF($NP$68="Bell_Curve",$NN$68*(20-$NR$68+1)*($NS$68-20+1)/$NU$68,$NN$68/$NT$68)),0)</f>
        <v/>
      </c>
      <c r="Y68" s="402">
        <f>IF(AND(21&gt;=$NR$68,21&lt;=$NS$68),IF($NP$68="Single_Point",IF(21=$NR$68,$NN$68,0),IF($NP$68="Bell_Curve",$NN$68*(21-$NR$68+1)*($NS$68-21+1)/$NU$68,$NN$68/$NT$68)),0)</f>
        <v/>
      </c>
      <c r="Z68" s="402">
        <f>IF(AND(22&gt;=$NR$68,22&lt;=$NS$68),IF($NP$68="Single_Point",IF(22=$NR$68,$NN$68,0),IF($NP$68="Bell_Curve",$NN$68*(22-$NR$68+1)*($NS$68-22+1)/$NU$68,$NN$68/$NT$68)),0)</f>
        <v/>
      </c>
      <c r="AA68" s="402">
        <f>IF(AND(23&gt;=$NR$68,23&lt;=$NS$68),IF($NP$68="Single_Point",IF(23=$NR$68,$NN$68,0),IF($NP$68="Bell_Curve",$NN$68*(23-$NR$68+1)*($NS$68-23+1)/$NU$68,$NN$68/$NT$68)),0)</f>
        <v/>
      </c>
      <c r="AB68" s="402">
        <f>IF(AND(24&gt;=$NR$68,24&lt;=$NS$68),IF($NP$68="Single_Point",IF(24=$NR$68,$NN$68,0),IF($NP$68="Bell_Curve",$NN$68*(24-$NR$68+1)*($NS$68-24+1)/$NU$68,$NN$68/$NT$68)),0)</f>
        <v/>
      </c>
      <c r="AC68" s="402">
        <f>IF(AND(25&gt;=$NR$68,25&lt;=$NS$68),IF($NP$68="Single_Point",IF(25=$NR$68,$NN$68,0),IF($NP$68="Bell_Curve",$NN$68*(25-$NR$68+1)*($NS$68-25+1)/$NU$68,$NN$68/$NT$68)),0)</f>
        <v/>
      </c>
      <c r="AD68" s="402">
        <f>IF(AND(26&gt;=$NR$68,26&lt;=$NS$68),IF($NP$68="Single_Point",IF(26=$NR$68,$NN$68,0),IF($NP$68="Bell_Curve",$NN$68*(26-$NR$68+1)*($NS$68-26+1)/$NU$68,$NN$68/$NT$68)),0)</f>
        <v/>
      </c>
      <c r="AE68" s="402">
        <f>IF(AND(27&gt;=$NR$68,27&lt;=$NS$68),IF($NP$68="Single_Point",IF(27=$NR$68,$NN$68,0),IF($NP$68="Bell_Curve",$NN$68*(27-$NR$68+1)*($NS$68-27+1)/$NU$68,$NN$68/$NT$68)),0)</f>
        <v/>
      </c>
      <c r="AF68" s="402">
        <f>IF(AND(28&gt;=$NR$68,28&lt;=$NS$68),IF($NP$68="Single_Point",IF(28=$NR$68,$NN$68,0),IF($NP$68="Bell_Curve",$NN$68*(28-$NR$68+1)*($NS$68-28+1)/$NU$68,$NN$68/$NT$68)),0)</f>
        <v/>
      </c>
      <c r="AG68" s="402">
        <f>IF(AND(29&gt;=$NR$68,29&lt;=$NS$68),IF($NP$68="Single_Point",IF(29=$NR$68,$NN$68,0),IF($NP$68="Bell_Curve",$NN$68*(29-$NR$68+1)*($NS$68-29+1)/$NU$68,$NN$68/$NT$68)),0)</f>
        <v/>
      </c>
      <c r="AH68" s="402">
        <f>IF(AND(30&gt;=$NR$68,30&lt;=$NS$68),IF($NP$68="Single_Point",IF(30=$NR$68,$NN$68,0),IF($NP$68="Bell_Curve",$NN$68*(30-$NR$68+1)*($NS$68-30+1)/$NU$68,$NN$68/$NT$68)),0)</f>
        <v/>
      </c>
      <c r="AI68" s="402">
        <f>IF(AND(31&gt;=$NR$68,31&lt;=$NS$68),IF($NP$68="Single_Point",IF(31=$NR$68,$NN$68,0),IF($NP$68="Bell_Curve",$NN$68*(31-$NR$68+1)*($NS$68-31+1)/$NU$68,$NN$68/$NT$68)),0)</f>
        <v/>
      </c>
      <c r="AJ68" s="402">
        <f>IF(AND(32&gt;=$NR$68,32&lt;=$NS$68),IF($NP$68="Single_Point",IF(32=$NR$68,$NN$68,0),IF($NP$68="Bell_Curve",$NN$68*(32-$NR$68+1)*($NS$68-32+1)/$NU$68,$NN$68/$NT$68)),0)</f>
        <v/>
      </c>
      <c r="AK68" s="402">
        <f>IF(AND(33&gt;=$NR$68,33&lt;=$NS$68),IF($NP$68="Single_Point",IF(33=$NR$68,$NN$68,0),IF($NP$68="Bell_Curve",$NN$68*(33-$NR$68+1)*($NS$68-33+1)/$NU$68,$NN$68/$NT$68)),0)</f>
        <v/>
      </c>
      <c r="AL68" s="402">
        <f>IF(AND(34&gt;=$NR$68,34&lt;=$NS$68),IF($NP$68="Single_Point",IF(34=$NR$68,$NN$68,0),IF($NP$68="Bell_Curve",$NN$68*(34-$NR$68+1)*($NS$68-34+1)/$NU$68,$NN$68/$NT$68)),0)</f>
        <v/>
      </c>
      <c r="AM68" s="402">
        <f>IF(AND(35&gt;=$NR$68,35&lt;=$NS$68),IF($NP$68="Single_Point",IF(35=$NR$68,$NN$68,0),IF($NP$68="Bell_Curve",$NN$68*(35-$NR$68+1)*($NS$68-35+1)/$NU$68,$NN$68/$NT$68)),0)</f>
        <v/>
      </c>
      <c r="AN68" s="402">
        <f>IF(AND(36&gt;=$NR$68,36&lt;=$NS$68),IF($NP$68="Single_Point",IF(36=$NR$68,$NN$68,0),IF($NP$68="Bell_Curve",$NN$68*(36-$NR$68+1)*($NS$68-36+1)/$NU$68,$NN$68/$NT$68)),0)</f>
        <v/>
      </c>
      <c r="AO68" s="402">
        <f>IF(AND(37&gt;=$NR$68,37&lt;=$NS$68),IF($NP$68="Single_Point",IF(37=$NR$68,$NN$68,0),IF($NP$68="Bell_Curve",$NN$68*(37-$NR$68+1)*($NS$68-37+1)/$NU$68,$NN$68/$NT$68)),0)</f>
        <v/>
      </c>
      <c r="AP68" s="402">
        <f>IF(AND(38&gt;=$NR$68,38&lt;=$NS$68),IF($NP$68="Single_Point",IF(38=$NR$68,$NN$68,0),IF($NP$68="Bell_Curve",$NN$68*(38-$NR$68+1)*($NS$68-38+1)/$NU$68,$NN$68/$NT$68)),0)</f>
        <v/>
      </c>
      <c r="AQ68" s="402">
        <f>IF(AND(39&gt;=$NR$68,39&lt;=$NS$68),IF($NP$68="Single_Point",IF(39=$NR$68,$NN$68,0),IF($NP$68="Bell_Curve",$NN$68*(39-$NR$68+1)*($NS$68-39+1)/$NU$68,$NN$68/$NT$68)),0)</f>
        <v/>
      </c>
      <c r="AR68" s="402">
        <f>IF(AND(40&gt;=$NR$68,40&lt;=$NS$68),IF($NP$68="Single_Point",IF(40=$NR$68,$NN$68,0),IF($NP$68="Bell_Curve",$NN$68*(40-$NR$68+1)*($NS$68-40+1)/$NU$68,$NN$68/$NT$68)),0)</f>
        <v/>
      </c>
      <c r="AS68" s="402">
        <f>IF(AND(41&gt;=$NR$68,41&lt;=$NS$68),IF($NP$68="Single_Point",IF(41=$NR$68,$NN$68,0),IF($NP$68="Bell_Curve",$NN$68*(41-$NR$68+1)*($NS$68-41+1)/$NU$68,$NN$68/$NT$68)),0)</f>
        <v/>
      </c>
      <c r="AT68" s="402">
        <f>IF(AND(42&gt;=$NR$68,42&lt;=$NS$68),IF($NP$68="Single_Point",IF(42=$NR$68,$NN$68,0),IF($NP$68="Bell_Curve",$NN$68*(42-$NR$68+1)*($NS$68-42+1)/$NU$68,$NN$68/$NT$68)),0)</f>
        <v/>
      </c>
      <c r="AU68" s="402">
        <f>IF(AND(43&gt;=$NR$68,43&lt;=$NS$68),IF($NP$68="Single_Point",IF(43=$NR$68,$NN$68,0),IF($NP$68="Bell_Curve",$NN$68*(43-$NR$68+1)*($NS$68-43+1)/$NU$68,$NN$68/$NT$68)),0)</f>
        <v/>
      </c>
      <c r="AV68" s="402">
        <f>IF(AND(44&gt;=$NR$68,44&lt;=$NS$68),IF($NP$68="Single_Point",IF(44=$NR$68,$NN$68,0),IF($NP$68="Bell_Curve",$NN$68*(44-$NR$68+1)*($NS$68-44+1)/$NU$68,$NN$68/$NT$68)),0)</f>
        <v/>
      </c>
      <c r="AW68" s="402">
        <f>IF(AND(45&gt;=$NR$68,45&lt;=$NS$68),IF($NP$68="Single_Point",IF(45=$NR$68,$NN$68,0),IF($NP$68="Bell_Curve",$NN$68*(45-$NR$68+1)*($NS$68-45+1)/$NU$68,$NN$68/$NT$68)),0)</f>
        <v/>
      </c>
      <c r="AX68" s="402">
        <f>IF(AND(46&gt;=$NR$68,46&lt;=$NS$68),IF($NP$68="Single_Point",IF(46=$NR$68,$NN$68,0),IF($NP$68="Bell_Curve",$NN$68*(46-$NR$68+1)*($NS$68-46+1)/$NU$68,$NN$68/$NT$68)),0)</f>
        <v/>
      </c>
      <c r="AY68" s="402">
        <f>IF(AND(47&gt;=$NR$68,47&lt;=$NS$68),IF($NP$68="Single_Point",IF(47=$NR$68,$NN$68,0),IF($NP$68="Bell_Curve",$NN$68*(47-$NR$68+1)*($NS$68-47+1)/$NU$68,$NN$68/$NT$68)),0)</f>
        <v/>
      </c>
      <c r="AZ68" s="402">
        <f>IF(AND(48&gt;=$NR$68,48&lt;=$NS$68),IF($NP$68="Single_Point",IF(48=$NR$68,$NN$68,0),IF($NP$68="Bell_Curve",$NN$68*(48-$NR$68+1)*($NS$68-48+1)/$NU$68,$NN$68/$NT$68)),0)</f>
        <v/>
      </c>
      <c r="BA68" s="402">
        <f>IF(AND(49&gt;=$NR$68,49&lt;=$NS$68),IF($NP$68="Single_Point",IF(49=$NR$68,$NN$68,0),IF($NP$68="Bell_Curve",$NN$68*(49-$NR$68+1)*($NS$68-49+1)/$NU$68,$NN$68/$NT$68)),0)</f>
        <v/>
      </c>
      <c r="BB68" s="402">
        <f>IF(AND(50&gt;=$NR$68,50&lt;=$NS$68),IF($NP$68="Single_Point",IF(50=$NR$68,$NN$68,0),IF($NP$68="Bell_Curve",$NN$68*(50-$NR$68+1)*($NS$68-50+1)/$NU$68,$NN$68/$NT$68)),0)</f>
        <v/>
      </c>
      <c r="BC68" s="402">
        <f>IF(AND(51&gt;=$NR$68,51&lt;=$NS$68),IF($NP$68="Single_Point",IF(51=$NR$68,$NN$68,0),IF($NP$68="Bell_Curve",$NN$68*(51-$NR$68+1)*($NS$68-51+1)/$NU$68,$NN$68/$NT$68)),0)</f>
        <v/>
      </c>
      <c r="BD68" s="402">
        <f>IF(AND(52&gt;=$NR$68,52&lt;=$NS$68),IF($NP$68="Single_Point",IF(52=$NR$68,$NN$68,0),IF($NP$68="Bell_Curve",$NN$68*(52-$NR$68+1)*($NS$68-52+1)/$NU$68,$NN$68/$NT$68)),0)</f>
        <v/>
      </c>
      <c r="BE68" s="402">
        <f>IF(AND(53&gt;=$NR$68,53&lt;=$NS$68),IF($NP$68="Single_Point",IF(53=$NR$68,$NN$68,0),IF($NP$68="Bell_Curve",$NN$68*(53-$NR$68+1)*($NS$68-53+1)/$NU$68,$NN$68/$NT$68)),0)</f>
        <v/>
      </c>
      <c r="BF68" s="402">
        <f>IF(AND(54&gt;=$NR$68,54&lt;=$NS$68),IF($NP$68="Single_Point",IF(54=$NR$68,$NN$68,0),IF($NP$68="Bell_Curve",$NN$68*(54-$NR$68+1)*($NS$68-54+1)/$NU$68,$NN$68/$NT$68)),0)</f>
        <v/>
      </c>
      <c r="BG68" s="402">
        <f>IF(AND(55&gt;=$NR$68,55&lt;=$NS$68),IF($NP$68="Single_Point",IF(55=$NR$68,$NN$68,0),IF($NP$68="Bell_Curve",$NN$68*(55-$NR$68+1)*($NS$68-55+1)/$NU$68,$NN$68/$NT$68)),0)</f>
        <v/>
      </c>
      <c r="BH68" s="402">
        <f>IF(AND(56&gt;=$NR$68,56&lt;=$NS$68),IF($NP$68="Single_Point",IF(56=$NR$68,$NN$68,0),IF($NP$68="Bell_Curve",$NN$68*(56-$NR$68+1)*($NS$68-56+1)/$NU$68,$NN$68/$NT$68)),0)</f>
        <v/>
      </c>
      <c r="BI68" s="402">
        <f>IF(AND(57&gt;=$NR$68,57&lt;=$NS$68),IF($NP$68="Single_Point",IF(57=$NR$68,$NN$68,0),IF($NP$68="Bell_Curve",$NN$68*(57-$NR$68+1)*($NS$68-57+1)/$NU$68,$NN$68/$NT$68)),0)</f>
        <v/>
      </c>
      <c r="BJ68" s="402">
        <f>IF(AND(58&gt;=$NR$68,58&lt;=$NS$68),IF($NP$68="Single_Point",IF(58=$NR$68,$NN$68,0),IF($NP$68="Bell_Curve",$NN$68*(58-$NR$68+1)*($NS$68-58+1)/$NU$68,$NN$68/$NT$68)),0)</f>
        <v/>
      </c>
      <c r="BK68" s="402">
        <f>IF(AND(59&gt;=$NR$68,59&lt;=$NS$68),IF($NP$68="Single_Point",IF(59=$NR$68,$NN$68,0),IF($NP$68="Bell_Curve",$NN$68*(59-$NR$68+1)*($NS$68-59+1)/$NU$68,$NN$68/$NT$68)),0)</f>
        <v/>
      </c>
      <c r="BL68" s="402">
        <f>IF(AND(60&gt;=$NR$68,60&lt;=$NS$68),IF($NP$68="Single_Point",IF(60=$NR$68,$NN$68,0),IF($NP$68="Bell_Curve",$NN$68*(60-$NR$68+1)*($NS$68-60+1)/$NU$68,$NN$68/$NT$68)),0)</f>
        <v/>
      </c>
      <c r="BM68" s="402">
        <f>IF(AND(61&gt;=$NR$68,61&lt;=$NS$68),IF($NP$68="Single_Point",IF(61=$NR$68,$NN$68,0),IF($NP$68="Bell_Curve",$NN$68*(61-$NR$68+1)*($NS$68-61+1)/$NU$68,$NN$68/$NT$68)),0)</f>
        <v/>
      </c>
      <c r="BN68" s="402">
        <f>IF(AND(62&gt;=$NR$68,62&lt;=$NS$68),IF($NP$68="Single_Point",IF(62=$NR$68,$NN$68,0),IF($NP$68="Bell_Curve",$NN$68*(62-$NR$68+1)*($NS$68-62+1)/$NU$68,$NN$68/$NT$68)),0)</f>
        <v/>
      </c>
      <c r="BO68" s="402">
        <f>IF(AND(63&gt;=$NR$68,63&lt;=$NS$68),IF($NP$68="Single_Point",IF(63=$NR$68,$NN$68,0),IF($NP$68="Bell_Curve",$NN$68*(63-$NR$68+1)*($NS$68-63+1)/$NU$68,$NN$68/$NT$68)),0)</f>
        <v/>
      </c>
      <c r="BP68" s="402">
        <f>IF(AND(64&gt;=$NR$68,64&lt;=$NS$68),IF($NP$68="Single_Point",IF(64=$NR$68,$NN$68,0),IF($NP$68="Bell_Curve",$NN$68*(64-$NR$68+1)*($NS$68-64+1)/$NU$68,$NN$68/$NT$68)),0)</f>
        <v/>
      </c>
      <c r="BQ68" s="402">
        <f>IF(AND(65&gt;=$NR$68,65&lt;=$NS$68),IF($NP$68="Single_Point",IF(65=$NR$68,$NN$68,0),IF($NP$68="Bell_Curve",$NN$68*(65-$NR$68+1)*($NS$68-65+1)/$NU$68,$NN$68/$NT$68)),0)</f>
        <v/>
      </c>
      <c r="BR68" s="402">
        <f>IF(AND(66&gt;=$NR$68,66&lt;=$NS$68),IF($NP$68="Single_Point",IF(66=$NR$68,$NN$68,0),IF($NP$68="Bell_Curve",$NN$68*(66-$NR$68+1)*($NS$68-66+1)/$NU$68,$NN$68/$NT$68)),0)</f>
        <v/>
      </c>
      <c r="BS68" s="402">
        <f>IF(AND(67&gt;=$NR$68,67&lt;=$NS$68),IF($NP$68="Single_Point",IF(67=$NR$68,$NN$68,0),IF($NP$68="Bell_Curve",$NN$68*(67-$NR$68+1)*($NS$68-67+1)/$NU$68,$NN$68/$NT$68)),0)</f>
        <v/>
      </c>
      <c r="BT68" s="402">
        <f>IF(AND(68&gt;=$NR$68,68&lt;=$NS$68),IF($NP$68="Single_Point",IF(68=$NR$68,$NN$68,0),IF($NP$68="Bell_Curve",$NN$68*(68-$NR$68+1)*($NS$68-68+1)/$NU$68,$NN$68/$NT$68)),0)</f>
        <v/>
      </c>
      <c r="BU68" s="402">
        <f>IF(AND(69&gt;=$NR$68,69&lt;=$NS$68),IF($NP$68="Single_Point",IF(69=$NR$68,$NN$68,0),IF($NP$68="Bell_Curve",$NN$68*(69-$NR$68+1)*($NS$68-69+1)/$NU$68,$NN$68/$NT$68)),0)</f>
        <v/>
      </c>
      <c r="BV68" s="402">
        <f>IF(AND(70&gt;=$NR$68,70&lt;=$NS$68),IF($NP$68="Single_Point",IF(70=$NR$68,$NN$68,0),IF($NP$68="Bell_Curve",$NN$68*(70-$NR$68+1)*($NS$68-70+1)/$NU$68,$NN$68/$NT$68)),0)</f>
        <v/>
      </c>
      <c r="BW68" s="402">
        <f>IF(AND(71&gt;=$NR$68,71&lt;=$NS$68),IF($NP$68="Single_Point",IF(71=$NR$68,$NN$68,0),IF($NP$68="Bell_Curve",$NN$68*(71-$NR$68+1)*($NS$68-71+1)/$NU$68,$NN$68/$NT$68)),0)</f>
        <v/>
      </c>
      <c r="BX68" s="402">
        <f>IF(AND(72&gt;=$NR$68,72&lt;=$NS$68),IF($NP$68="Single_Point",IF(72=$NR$68,$NN$68,0),IF($NP$68="Bell_Curve",$NN$68*(72-$NR$68+1)*($NS$68-72+1)/$NU$68,$NN$68/$NT$68)),0)</f>
        <v/>
      </c>
      <c r="BY68" s="402">
        <f>IF(AND(73&gt;=$NR$68,73&lt;=$NS$68),IF($NP$68="Single_Point",IF(73=$NR$68,$NN$68,0),IF($NP$68="Bell_Curve",$NN$68*(73-$NR$68+1)*($NS$68-73+1)/$NU$68,$NN$68/$NT$68)),0)</f>
        <v/>
      </c>
      <c r="BZ68" s="402">
        <f>IF(AND(74&gt;=$NR$68,74&lt;=$NS$68),IF($NP$68="Single_Point",IF(74=$NR$68,$NN$68,0),IF($NP$68="Bell_Curve",$NN$68*(74-$NR$68+1)*($NS$68-74+1)/$NU$68,$NN$68/$NT$68)),0)</f>
        <v/>
      </c>
      <c r="CA68" s="402">
        <f>IF(AND(75&gt;=$NR$68,75&lt;=$NS$68),IF($NP$68="Single_Point",IF(75=$NR$68,$NN$68,0),IF($NP$68="Bell_Curve",$NN$68*(75-$NR$68+1)*($NS$68-75+1)/$NU$68,$NN$68/$NT$68)),0)</f>
        <v/>
      </c>
      <c r="CB68" s="402">
        <f>IF(AND(76&gt;=$NR$68,76&lt;=$NS$68),IF($NP$68="Single_Point",IF(76=$NR$68,$NN$68,0),IF($NP$68="Bell_Curve",$NN$68*(76-$NR$68+1)*($NS$68-76+1)/$NU$68,$NN$68/$NT$68)),0)</f>
        <v/>
      </c>
      <c r="CC68" s="402">
        <f>IF(AND(77&gt;=$NR$68,77&lt;=$NS$68),IF($NP$68="Single_Point",IF(77=$NR$68,$NN$68,0),IF($NP$68="Bell_Curve",$NN$68*(77-$NR$68+1)*($NS$68-77+1)/$NU$68,$NN$68/$NT$68)),0)</f>
        <v/>
      </c>
      <c r="CD68" s="402">
        <f>IF(AND(78&gt;=$NR$68,78&lt;=$NS$68),IF($NP$68="Single_Point",IF(78=$NR$68,$NN$68,0),IF($NP$68="Bell_Curve",$NN$68*(78-$NR$68+1)*($NS$68-78+1)/$NU$68,$NN$68/$NT$68)),0)</f>
        <v/>
      </c>
      <c r="CE68" s="402">
        <f>IF(AND(79&gt;=$NR$68,79&lt;=$NS$68),IF($NP$68="Single_Point",IF(79=$NR$68,$NN$68,0),IF($NP$68="Bell_Curve",$NN$68*(79-$NR$68+1)*($NS$68-79+1)/$NU$68,$NN$68/$NT$68)),0)</f>
        <v/>
      </c>
      <c r="CF68" s="402">
        <f>IF(AND(80&gt;=$NR$68,80&lt;=$NS$68),IF($NP$68="Single_Point",IF(80=$NR$68,$NN$68,0),IF($NP$68="Bell_Curve",$NN$68*(80-$NR$68+1)*($NS$68-80+1)/$NU$68,$NN$68/$NT$68)),0)</f>
        <v/>
      </c>
      <c r="CG68" s="402">
        <f>IF(AND(81&gt;=$NR$68,81&lt;=$NS$68),IF($NP$68="Single_Point",IF(81=$NR$68,$NN$68,0),IF($NP$68="Bell_Curve",$NN$68*(81-$NR$68+1)*($NS$68-81+1)/$NU$68,$NN$68/$NT$68)),0)</f>
        <v/>
      </c>
      <c r="CH68" s="402">
        <f>IF(AND(82&gt;=$NR$68,82&lt;=$NS$68),IF($NP$68="Single_Point",IF(82=$NR$68,$NN$68,0),IF($NP$68="Bell_Curve",$NN$68*(82-$NR$68+1)*($NS$68-82+1)/$NU$68,$NN$68/$NT$68)),0)</f>
        <v/>
      </c>
      <c r="CI68" s="402">
        <f>IF(AND(83&gt;=$NR$68,83&lt;=$NS$68),IF($NP$68="Single_Point",IF(83=$NR$68,$NN$68,0),IF($NP$68="Bell_Curve",$NN$68*(83-$NR$68+1)*($NS$68-83+1)/$NU$68,$NN$68/$NT$68)),0)</f>
        <v/>
      </c>
      <c r="CJ68" s="402">
        <f>IF(AND(84&gt;=$NR$68,84&lt;=$NS$68),IF($NP$68="Single_Point",IF(84=$NR$68,$NN$68,0),IF($NP$68="Bell_Curve",$NN$68*(84-$NR$68+1)*($NS$68-84+1)/$NU$68,$NN$68/$NT$68)),0)</f>
        <v/>
      </c>
      <c r="CK68" s="402">
        <f>IF(AND(85&gt;=$NR$68,85&lt;=$NS$68),IF($NP$68="Single_Point",IF(85=$NR$68,$NN$68,0),IF($NP$68="Bell_Curve",$NN$68*(85-$NR$68+1)*($NS$68-85+1)/$NU$68,$NN$68/$NT$68)),0)</f>
        <v/>
      </c>
      <c r="CL68" s="402">
        <f>IF(AND(86&gt;=$NR$68,86&lt;=$NS$68),IF($NP$68="Single_Point",IF(86=$NR$68,$NN$68,0),IF($NP$68="Bell_Curve",$NN$68*(86-$NR$68+1)*($NS$68-86+1)/$NU$68,$NN$68/$NT$68)),0)</f>
        <v/>
      </c>
      <c r="CM68" s="402">
        <f>IF(AND(87&gt;=$NR$68,87&lt;=$NS$68),IF($NP$68="Single_Point",IF(87=$NR$68,$NN$68,0),IF($NP$68="Bell_Curve",$NN$68*(87-$NR$68+1)*($NS$68-87+1)/$NU$68,$NN$68/$NT$68)),0)</f>
        <v/>
      </c>
      <c r="CN68" s="402">
        <f>IF(AND(88&gt;=$NR$68,88&lt;=$NS$68),IF($NP$68="Single_Point",IF(88=$NR$68,$NN$68,0),IF($NP$68="Bell_Curve",$NN$68*(88-$NR$68+1)*($NS$68-88+1)/$NU$68,$NN$68/$NT$68)),0)</f>
        <v/>
      </c>
      <c r="CO68" s="402">
        <f>IF(AND(89&gt;=$NR$68,89&lt;=$NS$68),IF($NP$68="Single_Point",IF(89=$NR$68,$NN$68,0),IF($NP$68="Bell_Curve",$NN$68*(89-$NR$68+1)*($NS$68-89+1)/$NU$68,$NN$68/$NT$68)),0)</f>
        <v/>
      </c>
      <c r="CP68" s="402">
        <f>IF(AND(90&gt;=$NR$68,90&lt;=$NS$68),IF($NP$68="Single_Point",IF(90=$NR$68,$NN$68,0),IF($NP$68="Bell_Curve",$NN$68*(90-$NR$68+1)*($NS$68-90+1)/$NU$68,$NN$68/$NT$68)),0)</f>
        <v/>
      </c>
      <c r="CQ68" s="402">
        <f>IF(AND(91&gt;=$NR$68,91&lt;=$NS$68),IF($NP$68="Single_Point",IF(91=$NR$68,$NN$68,0),IF($NP$68="Bell_Curve",$NN$68*(91-$NR$68+1)*($NS$68-91+1)/$NU$68,$NN$68/$NT$68)),0)</f>
        <v/>
      </c>
      <c r="CR68" s="402">
        <f>IF(AND(92&gt;=$NR$68,92&lt;=$NS$68),IF($NP$68="Single_Point",IF(92=$NR$68,$NN$68,0),IF($NP$68="Bell_Curve",$NN$68*(92-$NR$68+1)*($NS$68-92+1)/$NU$68,$NN$68/$NT$68)),0)</f>
        <v/>
      </c>
      <c r="CS68" s="402">
        <f>IF(AND(93&gt;=$NR$68,93&lt;=$NS$68),IF($NP$68="Single_Point",IF(93=$NR$68,$NN$68,0),IF($NP$68="Bell_Curve",$NN$68*(93-$NR$68+1)*($NS$68-93+1)/$NU$68,$NN$68/$NT$68)),0)</f>
        <v/>
      </c>
      <c r="CT68" s="402">
        <f>IF(AND(94&gt;=$NR$68,94&lt;=$NS$68),IF($NP$68="Single_Point",IF(94=$NR$68,$NN$68,0),IF($NP$68="Bell_Curve",$NN$68*(94-$NR$68+1)*($NS$68-94+1)/$NU$68,$NN$68/$NT$68)),0)</f>
        <v/>
      </c>
      <c r="CU68" s="402">
        <f>IF(AND(95&gt;=$NR$68,95&lt;=$NS$68),IF($NP$68="Single_Point",IF(95=$NR$68,$NN$68,0),IF($NP$68="Bell_Curve",$NN$68*(95-$NR$68+1)*($NS$68-95+1)/$NU$68,$NN$68/$NT$68)),0)</f>
        <v/>
      </c>
      <c r="CV68" s="402">
        <f>IF(AND(96&gt;=$NR$68,96&lt;=$NS$68),IF($NP$68="Single_Point",IF(96=$NR$68,$NN$68,0),IF($NP$68="Bell_Curve",$NN$68*(96-$NR$68+1)*($NS$68-96+1)/$NU$68,$NN$68/$NT$68)),0)</f>
        <v/>
      </c>
      <c r="CW68" s="402">
        <f>IF(AND(97&gt;=$NR$68,97&lt;=$NS$68),IF($NP$68="Single_Point",IF(97=$NR$68,$NN$68,0),IF($NP$68="Bell_Curve",$NN$68*(97-$NR$68+1)*($NS$68-97+1)/$NU$68,$NN$68/$NT$68)),0)</f>
        <v/>
      </c>
      <c r="CX68" s="402">
        <f>IF(AND(98&gt;=$NR$68,98&lt;=$NS$68),IF($NP$68="Single_Point",IF(98=$NR$68,$NN$68,0),IF($NP$68="Bell_Curve",$NN$68*(98-$NR$68+1)*($NS$68-98+1)/$NU$68,$NN$68/$NT$68)),0)</f>
        <v/>
      </c>
      <c r="CY68" s="402">
        <f>IF(AND(99&gt;=$NR$68,99&lt;=$NS$68),IF($NP$68="Single_Point",IF(99=$NR$68,$NN$68,0),IF($NP$68="Bell_Curve",$NN$68*(99-$NR$68+1)*($NS$68-99+1)/$NU$68,$NN$68/$NT$68)),0)</f>
        <v/>
      </c>
      <c r="CZ68" s="402">
        <f>IF(AND(100&gt;=$NR$68,100&lt;=$NS$68),IF($NP$68="Single_Point",IF(100=$NR$68,$NN$68,0),IF($NP$68="Bell_Curve",$NN$68*(100-$NR$68+1)*($NS$68-100+1)/$NU$68,$NN$68/$NT$68)),0)</f>
        <v/>
      </c>
      <c r="DA68" s="402">
        <f>IF(AND(101&gt;=$NR$68,101&lt;=$NS$68),IF($NP$68="Single_Point",IF(101=$NR$68,$NN$68,0),IF($NP$68="Bell_Curve",$NN$68*(101-$NR$68+1)*($NS$68-101+1)/$NU$68,$NN$68/$NT$68)),0)</f>
        <v/>
      </c>
      <c r="DB68" s="402">
        <f>IF(AND(102&gt;=$NR$68,102&lt;=$NS$68),IF($NP$68="Single_Point",IF(102=$NR$68,$NN$68,0),IF($NP$68="Bell_Curve",$NN$68*(102-$NR$68+1)*($NS$68-102+1)/$NU$68,$NN$68/$NT$68)),0)</f>
        <v/>
      </c>
      <c r="DC68" s="402">
        <f>IF(AND(103&gt;=$NR$68,103&lt;=$NS$68),IF($NP$68="Single_Point",IF(103=$NR$68,$NN$68,0),IF($NP$68="Bell_Curve",$NN$68*(103-$NR$68+1)*($NS$68-103+1)/$NU$68,$NN$68/$NT$68)),0)</f>
        <v/>
      </c>
      <c r="DD68" s="402">
        <f>IF(AND(104&gt;=$NR$68,104&lt;=$NS$68),IF($NP$68="Single_Point",IF(104=$NR$68,$NN$68,0),IF($NP$68="Bell_Curve",$NN$68*(104-$NR$68+1)*($NS$68-104+1)/$NU$68,$NN$68/$NT$68)),0)</f>
        <v/>
      </c>
      <c r="DE68" s="402">
        <f>IF(AND(105&gt;=$NR$68,105&lt;=$NS$68),IF($NP$68="Single_Point",IF(105=$NR$68,$NN$68,0),IF($NP$68="Bell_Curve",$NN$68*(105-$NR$68+1)*($NS$68-105+1)/$NU$68,$NN$68/$NT$68)),0)</f>
        <v/>
      </c>
      <c r="DF68" s="402">
        <f>IF(AND(106&gt;=$NR$68,106&lt;=$NS$68),IF($NP$68="Single_Point",IF(106=$NR$68,$NN$68,0),IF($NP$68="Bell_Curve",$NN$68*(106-$NR$68+1)*($NS$68-106+1)/$NU$68,$NN$68/$NT$68)),0)</f>
        <v/>
      </c>
      <c r="DG68" s="402">
        <f>IF(AND(107&gt;=$NR$68,107&lt;=$NS$68),IF($NP$68="Single_Point",IF(107=$NR$68,$NN$68,0),IF($NP$68="Bell_Curve",$NN$68*(107-$NR$68+1)*($NS$68-107+1)/$NU$68,$NN$68/$NT$68)),0)</f>
        <v/>
      </c>
      <c r="DH68" s="402">
        <f>IF(AND(108&gt;=$NR$68,108&lt;=$NS$68),IF($NP$68="Single_Point",IF(108=$NR$68,$NN$68,0),IF($NP$68="Bell_Curve",$NN$68*(108-$NR$68+1)*($NS$68-108+1)/$NU$68,$NN$68/$NT$68)),0)</f>
        <v/>
      </c>
      <c r="DI68" s="402">
        <f>IF(AND(109&gt;=$NR$68,109&lt;=$NS$68),IF($NP$68="Single_Point",IF(109=$NR$68,$NN$68,0),IF($NP$68="Bell_Curve",$NN$68*(109-$NR$68+1)*($NS$68-109+1)/$NU$68,$NN$68/$NT$68)),0)</f>
        <v/>
      </c>
      <c r="DJ68" s="402">
        <f>IF(AND(110&gt;=$NR$68,110&lt;=$NS$68),IF($NP$68="Single_Point",IF(110=$NR$68,$NN$68,0),IF($NP$68="Bell_Curve",$NN$68*(110-$NR$68+1)*($NS$68-110+1)/$NU$68,$NN$68/$NT$68)),0)</f>
        <v/>
      </c>
      <c r="DK68" s="402">
        <f>IF(AND(111&gt;=$NR$68,111&lt;=$NS$68),IF($NP$68="Single_Point",IF(111=$NR$68,$NN$68,0),IF($NP$68="Bell_Curve",$NN$68*(111-$NR$68+1)*($NS$68-111+1)/$NU$68,$NN$68/$NT$68)),0)</f>
        <v/>
      </c>
      <c r="DL68" s="402">
        <f>IF(AND(112&gt;=$NR$68,112&lt;=$NS$68),IF($NP$68="Single_Point",IF(112=$NR$68,$NN$68,0),IF($NP$68="Bell_Curve",$NN$68*(112-$NR$68+1)*($NS$68-112+1)/$NU$68,$NN$68/$NT$68)),0)</f>
        <v/>
      </c>
      <c r="DM68" s="402">
        <f>IF(AND(113&gt;=$NR$68,113&lt;=$NS$68),IF($NP$68="Single_Point",IF(113=$NR$68,$NN$68,0),IF($NP$68="Bell_Curve",$NN$68*(113-$NR$68+1)*($NS$68-113+1)/$NU$68,$NN$68/$NT$68)),0)</f>
        <v/>
      </c>
      <c r="DN68" s="402">
        <f>IF(AND(114&gt;=$NR$68,114&lt;=$NS$68),IF($NP$68="Single_Point",IF(114=$NR$68,$NN$68,0),IF($NP$68="Bell_Curve",$NN$68*(114-$NR$68+1)*($NS$68-114+1)/$NU$68,$NN$68/$NT$68)),0)</f>
        <v/>
      </c>
      <c r="DO68" s="402">
        <f>IF(AND(115&gt;=$NR$68,115&lt;=$NS$68),IF($NP$68="Single_Point",IF(115=$NR$68,$NN$68,0),IF($NP$68="Bell_Curve",$NN$68*(115-$NR$68+1)*($NS$68-115+1)/$NU$68,$NN$68/$NT$68)),0)</f>
        <v/>
      </c>
      <c r="DP68" s="402">
        <f>IF(AND(116&gt;=$NR$68,116&lt;=$NS$68),IF($NP$68="Single_Point",IF(116=$NR$68,$NN$68,0),IF($NP$68="Bell_Curve",$NN$68*(116-$NR$68+1)*($NS$68-116+1)/$NU$68,$NN$68/$NT$68)),0)</f>
        <v/>
      </c>
      <c r="DQ68" s="402">
        <f>IF(AND(117&gt;=$NR$68,117&lt;=$NS$68),IF($NP$68="Single_Point",IF(117=$NR$68,$NN$68,0),IF($NP$68="Bell_Curve",$NN$68*(117-$NR$68+1)*($NS$68-117+1)/$NU$68,$NN$68/$NT$68)),0)</f>
        <v/>
      </c>
      <c r="DR68" s="402">
        <f>IF(AND(118&gt;=$NR$68,118&lt;=$NS$68),IF($NP$68="Single_Point",IF(118=$NR$68,$NN$68,0),IF($NP$68="Bell_Curve",$NN$68*(118-$NR$68+1)*($NS$68-118+1)/$NU$68,$NN$68/$NT$68)),0)</f>
        <v/>
      </c>
      <c r="DS68" s="402">
        <f>IF(AND(119&gt;=$NR$68,119&lt;=$NS$68),IF($NP$68="Single_Point",IF(119=$NR$68,$NN$68,0),IF($NP$68="Bell_Curve",$NN$68*(119-$NR$68+1)*($NS$68-119+1)/$NU$68,$NN$68/$NT$68)),0)</f>
        <v/>
      </c>
      <c r="DT68" s="402">
        <f>IF(AND(120&gt;=$NR$68,120&lt;=$NS$68),IF($NP$68="Single_Point",IF(120=$NR$68,$NN$68,0),IF($NP$68="Bell_Curve",$NN$68*(120-$NR$68+1)*($NS$68-120+1)/$NU$68,$NN$68/$NT$68)),0)</f>
        <v/>
      </c>
      <c r="DU68" s="402">
        <f>IF(AND(121&gt;=$NR$68,121&lt;=$NS$68),IF($NP$68="Single_Point",IF(121=$NR$68,$NN$68,0),IF($NP$68="Bell_Curve",$NN$68*(121-$NR$68+1)*($NS$68-121+1)/$NU$68,$NN$68/$NT$68)),0)</f>
        <v/>
      </c>
      <c r="DV68" s="402">
        <f>IF(AND(122&gt;=$NR$68,122&lt;=$NS$68),IF($NP$68="Single_Point",IF(122=$NR$68,$NN$68,0),IF($NP$68="Bell_Curve",$NN$68*(122-$NR$68+1)*($NS$68-122+1)/$NU$68,$NN$68/$NT$68)),0)</f>
        <v/>
      </c>
      <c r="DW68" s="402">
        <f>IF(AND(123&gt;=$NR$68,123&lt;=$NS$68),IF($NP$68="Single_Point",IF(123=$NR$68,$NN$68,0),IF($NP$68="Bell_Curve",$NN$68*(123-$NR$68+1)*($NS$68-123+1)/$NU$68,$NN$68/$NT$68)),0)</f>
        <v/>
      </c>
      <c r="DX68" s="402">
        <f>IF(AND(124&gt;=$NR$68,124&lt;=$NS$68),IF($NP$68="Single_Point",IF(124=$NR$68,$NN$68,0),IF($NP$68="Bell_Curve",$NN$68*(124-$NR$68+1)*($NS$68-124+1)/$NU$68,$NN$68/$NT$68)),0)</f>
        <v/>
      </c>
      <c r="DY68" s="402">
        <f>IF(AND(125&gt;=$NR$68,125&lt;=$NS$68),IF($NP$68="Single_Point",IF(125=$NR$68,$NN$68,0),IF($NP$68="Bell_Curve",$NN$68*(125-$NR$68+1)*($NS$68-125+1)/$NU$68,$NN$68/$NT$68)),0)</f>
        <v/>
      </c>
      <c r="DZ68" s="402">
        <f>IF(AND(126&gt;=$NR$68,126&lt;=$NS$68),IF($NP$68="Single_Point",IF(126=$NR$68,$NN$68,0),IF($NP$68="Bell_Curve",$NN$68*(126-$NR$68+1)*($NS$68-126+1)/$NU$68,$NN$68/$NT$68)),0)</f>
        <v/>
      </c>
      <c r="EA68" s="402">
        <f>IF(AND(127&gt;=$NR$68,127&lt;=$NS$68),IF($NP$68="Single_Point",IF(127=$NR$68,$NN$68,0),IF($NP$68="Bell_Curve",$NN$68*(127-$NR$68+1)*($NS$68-127+1)/$NU$68,$NN$68/$NT$68)),0)</f>
        <v/>
      </c>
      <c r="EB68" s="402">
        <f>IF(AND(128&gt;=$NR$68,128&lt;=$NS$68),IF($NP$68="Single_Point",IF(128=$NR$68,$NN$68,0),IF($NP$68="Bell_Curve",$NN$68*(128-$NR$68+1)*($NS$68-128+1)/$NU$68,$NN$68/$NT$68)),0)</f>
        <v/>
      </c>
      <c r="EC68" s="402">
        <f>IF(AND(129&gt;=$NR$68,129&lt;=$NS$68),IF($NP$68="Single_Point",IF(129=$NR$68,$NN$68,0),IF($NP$68="Bell_Curve",$NN$68*(129-$NR$68+1)*($NS$68-129+1)/$NU$68,$NN$68/$NT$68)),0)</f>
        <v/>
      </c>
      <c r="ED68" s="402">
        <f>IF(AND(130&gt;=$NR$68,130&lt;=$NS$68),IF($NP$68="Single_Point",IF(130=$NR$68,$NN$68,0),IF($NP$68="Bell_Curve",$NN$68*(130-$NR$68+1)*($NS$68-130+1)/$NU$68,$NN$68/$NT$68)),0)</f>
        <v/>
      </c>
      <c r="EE68" s="402">
        <f>IF(AND(131&gt;=$NR$68,131&lt;=$NS$68),IF($NP$68="Single_Point",IF(131=$NR$68,$NN$68,0),IF($NP$68="Bell_Curve",$NN$68*(131-$NR$68+1)*($NS$68-131+1)/$NU$68,$NN$68/$NT$68)),0)</f>
        <v/>
      </c>
      <c r="EF68" s="402">
        <f>IF(AND(132&gt;=$NR$68,132&lt;=$NS$68),IF($NP$68="Single_Point",IF(132=$NR$68,$NN$68,0),IF($NP$68="Bell_Curve",$NN$68*(132-$NR$68+1)*($NS$68-132+1)/$NU$68,$NN$68/$NT$68)),0)</f>
        <v/>
      </c>
      <c r="EG68" s="402">
        <f>IF(AND(133&gt;=$NR$68,133&lt;=$NS$68),IF($NP$68="Single_Point",IF(133=$NR$68,$NN$68,0),IF($NP$68="Bell_Curve",$NN$68*(133-$NR$68+1)*($NS$68-133+1)/$NU$68,$NN$68/$NT$68)),0)</f>
        <v/>
      </c>
      <c r="EH68" s="402">
        <f>IF(AND(134&gt;=$NR$68,134&lt;=$NS$68),IF($NP$68="Single_Point",IF(134=$NR$68,$NN$68,0),IF($NP$68="Bell_Curve",$NN$68*(134-$NR$68+1)*($NS$68-134+1)/$NU$68,$NN$68/$NT$68)),0)</f>
        <v/>
      </c>
      <c r="EI68" s="402">
        <f>IF(AND(135&gt;=$NR$68,135&lt;=$NS$68),IF($NP$68="Single_Point",IF(135=$NR$68,$NN$68,0),IF($NP$68="Bell_Curve",$NN$68*(135-$NR$68+1)*($NS$68-135+1)/$NU$68,$NN$68/$NT$68)),0)</f>
        <v/>
      </c>
      <c r="EJ68" s="402">
        <f>IF(AND(136&gt;=$NR$68,136&lt;=$NS$68),IF($NP$68="Single_Point",IF(136=$NR$68,$NN$68,0),IF($NP$68="Bell_Curve",$NN$68*(136-$NR$68+1)*($NS$68-136+1)/$NU$68,$NN$68/$NT$68)),0)</f>
        <v/>
      </c>
      <c r="EK68" s="402">
        <f>IF(AND(137&gt;=$NR$68,137&lt;=$NS$68),IF($NP$68="Single_Point",IF(137=$NR$68,$NN$68,0),IF($NP$68="Bell_Curve",$NN$68*(137-$NR$68+1)*($NS$68-137+1)/$NU$68,$NN$68/$NT$68)),0)</f>
        <v/>
      </c>
      <c r="EL68" s="402">
        <f>IF(AND(138&gt;=$NR$68,138&lt;=$NS$68),IF($NP$68="Single_Point",IF(138=$NR$68,$NN$68,0),IF($NP$68="Bell_Curve",$NN$68*(138-$NR$68+1)*($NS$68-138+1)/$NU$68,$NN$68/$NT$68)),0)</f>
        <v/>
      </c>
      <c r="EM68" s="402">
        <f>IF(AND(139&gt;=$NR$68,139&lt;=$NS$68),IF($NP$68="Single_Point",IF(139=$NR$68,$NN$68,0),IF($NP$68="Bell_Curve",$NN$68*(139-$NR$68+1)*($NS$68-139+1)/$NU$68,$NN$68/$NT$68)),0)</f>
        <v/>
      </c>
      <c r="EN68" s="402">
        <f>IF(AND(140&gt;=$NR$68,140&lt;=$NS$68),IF($NP$68="Single_Point",IF(140=$NR$68,$NN$68,0),IF($NP$68="Bell_Curve",$NN$68*(140-$NR$68+1)*($NS$68-140+1)/$NU$68,$NN$68/$NT$68)),0)</f>
        <v/>
      </c>
      <c r="EO68" s="402">
        <f>IF(AND(141&gt;=$NR$68,141&lt;=$NS$68),IF($NP$68="Single_Point",IF(141=$NR$68,$NN$68,0),IF($NP$68="Bell_Curve",$NN$68*(141-$NR$68+1)*($NS$68-141+1)/$NU$68,$NN$68/$NT$68)),0)</f>
        <v/>
      </c>
      <c r="EP68" s="402">
        <f>IF(AND(142&gt;=$NR$68,142&lt;=$NS$68),IF($NP$68="Single_Point",IF(142=$NR$68,$NN$68,0),IF($NP$68="Bell_Curve",$NN$68*(142-$NR$68+1)*($NS$68-142+1)/$NU$68,$NN$68/$NT$68)),0)</f>
        <v/>
      </c>
      <c r="EQ68" s="402">
        <f>IF(AND(143&gt;=$NR$68,143&lt;=$NS$68),IF($NP$68="Single_Point",IF(143=$NR$68,$NN$68,0),IF($NP$68="Bell_Curve",$NN$68*(143-$NR$68+1)*($NS$68-143+1)/$NU$68,$NN$68/$NT$68)),0)</f>
        <v/>
      </c>
      <c r="ER68" s="402">
        <f>IF(AND(144&gt;=$NR$68,144&lt;=$NS$68),IF($NP$68="Single_Point",IF(144=$NR$68,$NN$68,0),IF($NP$68="Bell_Curve",$NN$68*(144-$NR$68+1)*($NS$68-144+1)/$NU$68,$NN$68/$NT$68)),0)</f>
        <v/>
      </c>
      <c r="ES68" s="402">
        <f>IF(AND(145&gt;=$NR$68,145&lt;=$NS$68),IF($NP$68="Single_Point",IF(145=$NR$68,$NN$68,0),IF($NP$68="Bell_Curve",$NN$68*(145-$NR$68+1)*($NS$68-145+1)/$NU$68,$NN$68/$NT$68)),0)</f>
        <v/>
      </c>
      <c r="ET68" s="402">
        <f>IF(AND(146&gt;=$NR$68,146&lt;=$NS$68),IF($NP$68="Single_Point",IF(146=$NR$68,$NN$68,0),IF($NP$68="Bell_Curve",$NN$68*(146-$NR$68+1)*($NS$68-146+1)/$NU$68,$NN$68/$NT$68)),0)</f>
        <v/>
      </c>
      <c r="EU68" s="402">
        <f>IF(AND(147&gt;=$NR$68,147&lt;=$NS$68),IF($NP$68="Single_Point",IF(147=$NR$68,$NN$68,0),IF($NP$68="Bell_Curve",$NN$68*(147-$NR$68+1)*($NS$68-147+1)/$NU$68,$NN$68/$NT$68)),0)</f>
        <v/>
      </c>
      <c r="EV68" s="402">
        <f>IF(AND(148&gt;=$NR$68,148&lt;=$NS$68),IF($NP$68="Single_Point",IF(148=$NR$68,$NN$68,0),IF($NP$68="Bell_Curve",$NN$68*(148-$NR$68+1)*($NS$68-148+1)/$NU$68,$NN$68/$NT$68)),0)</f>
        <v/>
      </c>
      <c r="EW68" s="402">
        <f>IF(AND(149&gt;=$NR$68,149&lt;=$NS$68),IF($NP$68="Single_Point",IF(149=$NR$68,$NN$68,0),IF($NP$68="Bell_Curve",$NN$68*(149-$NR$68+1)*($NS$68-149+1)/$NU$68,$NN$68/$NT$68)),0)</f>
        <v/>
      </c>
      <c r="EX68" s="402">
        <f>IF(AND(150&gt;=$NR$68,150&lt;=$NS$68),IF($NP$68="Single_Point",IF(150=$NR$68,$NN$68,0),IF($NP$68="Bell_Curve",$NN$68*(150-$NR$68+1)*($NS$68-150+1)/$NU$68,$NN$68/$NT$68)),0)</f>
        <v/>
      </c>
      <c r="EY68" s="402">
        <f>IF(AND(151&gt;=$NR$68,151&lt;=$NS$68),IF($NP$68="Single_Point",IF(151=$NR$68,$NN$68,0),IF($NP$68="Bell_Curve",$NN$68*(151-$NR$68+1)*($NS$68-151+1)/$NU$68,$NN$68/$NT$68)),0)</f>
        <v/>
      </c>
      <c r="EZ68" s="402">
        <f>IF(AND(152&gt;=$NR$68,152&lt;=$NS$68),IF($NP$68="Single_Point",IF(152=$NR$68,$NN$68,0),IF($NP$68="Bell_Curve",$NN$68*(152-$NR$68+1)*($NS$68-152+1)/$NU$68,$NN$68/$NT$68)),0)</f>
        <v/>
      </c>
      <c r="FA68" s="402">
        <f>IF(AND(153&gt;=$NR$68,153&lt;=$NS$68),IF($NP$68="Single_Point",IF(153=$NR$68,$NN$68,0),IF($NP$68="Bell_Curve",$NN$68*(153-$NR$68+1)*($NS$68-153+1)/$NU$68,$NN$68/$NT$68)),0)</f>
        <v/>
      </c>
      <c r="FB68" s="402">
        <f>IF(AND(154&gt;=$NR$68,154&lt;=$NS$68),IF($NP$68="Single_Point",IF(154=$NR$68,$NN$68,0),IF($NP$68="Bell_Curve",$NN$68*(154-$NR$68+1)*($NS$68-154+1)/$NU$68,$NN$68/$NT$68)),0)</f>
        <v/>
      </c>
      <c r="FC68" s="402">
        <f>IF(AND(155&gt;=$NR$68,155&lt;=$NS$68),IF($NP$68="Single_Point",IF(155=$NR$68,$NN$68,0),IF($NP$68="Bell_Curve",$NN$68*(155-$NR$68+1)*($NS$68-155+1)/$NU$68,$NN$68/$NT$68)),0)</f>
        <v/>
      </c>
      <c r="FD68" s="402">
        <f>IF(AND(156&gt;=$NR$68,156&lt;=$NS$68),IF($NP$68="Single_Point",IF(156=$NR$68,$NN$68,0),IF($NP$68="Bell_Curve",$NN$68*(156-$NR$68+1)*($NS$68-156+1)/$NU$68,$NN$68/$NT$68)),0)</f>
        <v/>
      </c>
      <c r="FE68" s="402">
        <f>IF(AND(157&gt;=$NR$68,157&lt;=$NS$68),IF($NP$68="Single_Point",IF(157=$NR$68,$NN$68,0),IF($NP$68="Bell_Curve",$NN$68*(157-$NR$68+1)*($NS$68-157+1)/$NU$68,$NN$68/$NT$68)),0)</f>
        <v/>
      </c>
      <c r="FF68" s="402">
        <f>IF(AND(158&gt;=$NR$68,158&lt;=$NS$68),IF($NP$68="Single_Point",IF(158=$NR$68,$NN$68,0),IF($NP$68="Bell_Curve",$NN$68*(158-$NR$68+1)*($NS$68-158+1)/$NU$68,$NN$68/$NT$68)),0)</f>
        <v/>
      </c>
      <c r="FG68" s="402">
        <f>IF(AND(159&gt;=$NR$68,159&lt;=$NS$68),IF($NP$68="Single_Point",IF(159=$NR$68,$NN$68,0),IF($NP$68="Bell_Curve",$NN$68*(159-$NR$68+1)*($NS$68-159+1)/$NU$68,$NN$68/$NT$68)),0)</f>
        <v/>
      </c>
      <c r="FH68" s="402">
        <f>IF(AND(160&gt;=$NR$68,160&lt;=$NS$68),IF($NP$68="Single_Point",IF(160=$NR$68,$NN$68,0),IF($NP$68="Bell_Curve",$NN$68*(160-$NR$68+1)*($NS$68-160+1)/$NU$68,$NN$68/$NT$68)),0)</f>
        <v/>
      </c>
      <c r="FI68" s="402">
        <f>IF(AND(161&gt;=$NR$68,161&lt;=$NS$68),IF($NP$68="Single_Point",IF(161=$NR$68,$NN$68,0),IF($NP$68="Bell_Curve",$NN$68*(161-$NR$68+1)*($NS$68-161+1)/$NU$68,$NN$68/$NT$68)),0)</f>
        <v/>
      </c>
      <c r="FJ68" s="402">
        <f>IF(AND(162&gt;=$NR$68,162&lt;=$NS$68),IF($NP$68="Single_Point",IF(162=$NR$68,$NN$68,0),IF($NP$68="Bell_Curve",$NN$68*(162-$NR$68+1)*($NS$68-162+1)/$NU$68,$NN$68/$NT$68)),0)</f>
        <v/>
      </c>
      <c r="FK68" s="402">
        <f>IF(AND(163&gt;=$NR$68,163&lt;=$NS$68),IF($NP$68="Single_Point",IF(163=$NR$68,$NN$68,0),IF($NP$68="Bell_Curve",$NN$68*(163-$NR$68+1)*($NS$68-163+1)/$NU$68,$NN$68/$NT$68)),0)</f>
        <v/>
      </c>
      <c r="FL68" s="402">
        <f>IF(AND(164&gt;=$NR$68,164&lt;=$NS$68),IF($NP$68="Single_Point",IF(164=$NR$68,$NN$68,0),IF($NP$68="Bell_Curve",$NN$68*(164-$NR$68+1)*($NS$68-164+1)/$NU$68,$NN$68/$NT$68)),0)</f>
        <v/>
      </c>
      <c r="FM68" s="402">
        <f>IF(AND(165&gt;=$NR$68,165&lt;=$NS$68),IF($NP$68="Single_Point",IF(165=$NR$68,$NN$68,0),IF($NP$68="Bell_Curve",$NN$68*(165-$NR$68+1)*($NS$68-165+1)/$NU$68,$NN$68/$NT$68)),0)</f>
        <v/>
      </c>
      <c r="FN68" s="402">
        <f>IF(AND(166&gt;=$NR$68,166&lt;=$NS$68),IF($NP$68="Single_Point",IF(166=$NR$68,$NN$68,0),IF($NP$68="Bell_Curve",$NN$68*(166-$NR$68+1)*($NS$68-166+1)/$NU$68,$NN$68/$NT$68)),0)</f>
        <v/>
      </c>
      <c r="FO68" s="402">
        <f>IF(AND(167&gt;=$NR$68,167&lt;=$NS$68),IF($NP$68="Single_Point",IF(167=$NR$68,$NN$68,0),IF($NP$68="Bell_Curve",$NN$68*(167-$NR$68+1)*($NS$68-167+1)/$NU$68,$NN$68/$NT$68)),0)</f>
        <v/>
      </c>
      <c r="FP68" s="402">
        <f>IF(AND(168&gt;=$NR$68,168&lt;=$NS$68),IF($NP$68="Single_Point",IF(168=$NR$68,$NN$68,0),IF($NP$68="Bell_Curve",$NN$68*(168-$NR$68+1)*($NS$68-168+1)/$NU$68,$NN$68/$NT$68)),0)</f>
        <v/>
      </c>
      <c r="FQ68" s="402">
        <f>IF(AND(169&gt;=$NR$68,169&lt;=$NS$68),IF($NP$68="Single_Point",IF(169=$NR$68,$NN$68,0),IF($NP$68="Bell_Curve",$NN$68*(169-$NR$68+1)*($NS$68-169+1)/$NU$68,$NN$68/$NT$68)),0)</f>
        <v/>
      </c>
      <c r="FR68" s="402">
        <f>IF(AND(170&gt;=$NR$68,170&lt;=$NS$68),IF($NP$68="Single_Point",IF(170=$NR$68,$NN$68,0),IF($NP$68="Bell_Curve",$NN$68*(170-$NR$68+1)*($NS$68-170+1)/$NU$68,$NN$68/$NT$68)),0)</f>
        <v/>
      </c>
      <c r="FS68" s="402">
        <f>IF(AND(171&gt;=$NR$68,171&lt;=$NS$68),IF($NP$68="Single_Point",IF(171=$NR$68,$NN$68,0),IF($NP$68="Bell_Curve",$NN$68*(171-$NR$68+1)*($NS$68-171+1)/$NU$68,$NN$68/$NT$68)),0)</f>
        <v/>
      </c>
      <c r="FT68" s="402">
        <f>IF(AND(172&gt;=$NR$68,172&lt;=$NS$68),IF($NP$68="Single_Point",IF(172=$NR$68,$NN$68,0),IF($NP$68="Bell_Curve",$NN$68*(172-$NR$68+1)*($NS$68-172+1)/$NU$68,$NN$68/$NT$68)),0)</f>
        <v/>
      </c>
      <c r="FU68" s="402">
        <f>IF(AND(173&gt;=$NR$68,173&lt;=$NS$68),IF($NP$68="Single_Point",IF(173=$NR$68,$NN$68,0),IF($NP$68="Bell_Curve",$NN$68*(173-$NR$68+1)*($NS$68-173+1)/$NU$68,$NN$68/$NT$68)),0)</f>
        <v/>
      </c>
      <c r="FV68" s="402">
        <f>IF(AND(174&gt;=$NR$68,174&lt;=$NS$68),IF($NP$68="Single_Point",IF(174=$NR$68,$NN$68,0),IF($NP$68="Bell_Curve",$NN$68*(174-$NR$68+1)*($NS$68-174+1)/$NU$68,$NN$68/$NT$68)),0)</f>
        <v/>
      </c>
      <c r="FW68" s="402">
        <f>IF(AND(175&gt;=$NR$68,175&lt;=$NS$68),IF($NP$68="Single_Point",IF(175=$NR$68,$NN$68,0),IF($NP$68="Bell_Curve",$NN$68*(175-$NR$68+1)*($NS$68-175+1)/$NU$68,$NN$68/$NT$68)),0)</f>
        <v/>
      </c>
      <c r="FX68" s="402">
        <f>IF(AND(176&gt;=$NR$68,176&lt;=$NS$68),IF($NP$68="Single_Point",IF(176=$NR$68,$NN$68,0),IF($NP$68="Bell_Curve",$NN$68*(176-$NR$68+1)*($NS$68-176+1)/$NU$68,$NN$68/$NT$68)),0)</f>
        <v/>
      </c>
      <c r="FY68" s="402">
        <f>IF(AND(177&gt;=$NR$68,177&lt;=$NS$68),IF($NP$68="Single_Point",IF(177=$NR$68,$NN$68,0),IF($NP$68="Bell_Curve",$NN$68*(177-$NR$68+1)*($NS$68-177+1)/$NU$68,$NN$68/$NT$68)),0)</f>
        <v/>
      </c>
      <c r="FZ68" s="402">
        <f>IF(AND(178&gt;=$NR$68,178&lt;=$NS$68),IF($NP$68="Single_Point",IF(178=$NR$68,$NN$68,0),IF($NP$68="Bell_Curve",$NN$68*(178-$NR$68+1)*($NS$68-178+1)/$NU$68,$NN$68/$NT$68)),0)</f>
        <v/>
      </c>
      <c r="GA68" s="402">
        <f>IF(AND(179&gt;=$NR$68,179&lt;=$NS$68),IF($NP$68="Single_Point",IF(179=$NR$68,$NN$68,0),IF($NP$68="Bell_Curve",$NN$68*(179-$NR$68+1)*($NS$68-179+1)/$NU$68,$NN$68/$NT$68)),0)</f>
        <v/>
      </c>
      <c r="GB68" s="402">
        <f>IF(AND(180&gt;=$NR$68,180&lt;=$NS$68),IF($NP$68="Single_Point",IF(180=$NR$68,$NN$68,0),IF($NP$68="Bell_Curve",$NN$68*(180-$NR$68+1)*($NS$68-180+1)/$NU$68,$NN$68/$NT$68)),0)</f>
        <v/>
      </c>
      <c r="GC68" s="402">
        <f>IF(AND(181&gt;=$NR$68,181&lt;=$NS$68),IF($NP$68="Single_Point",IF(181=$NR$68,$NN$68,0),IF($NP$68="Bell_Curve",$NN$68*(181-$NR$68+1)*($NS$68-181+1)/$NU$68,$NN$68/$NT$68)),0)</f>
        <v/>
      </c>
      <c r="GD68" s="402">
        <f>IF(AND(182&gt;=$NR$68,182&lt;=$NS$68),IF($NP$68="Single_Point",IF(182=$NR$68,$NN$68,0),IF($NP$68="Bell_Curve",$NN$68*(182-$NR$68+1)*($NS$68-182+1)/$NU$68,$NN$68/$NT$68)),0)</f>
        <v/>
      </c>
      <c r="GE68" s="402">
        <f>IF(AND(183&gt;=$NR$68,183&lt;=$NS$68),IF($NP$68="Single_Point",IF(183=$NR$68,$NN$68,0),IF($NP$68="Bell_Curve",$NN$68*(183-$NR$68+1)*($NS$68-183+1)/$NU$68,$NN$68/$NT$68)),0)</f>
        <v/>
      </c>
      <c r="GF68" s="402">
        <f>IF(AND(184&gt;=$NR$68,184&lt;=$NS$68),IF($NP$68="Single_Point",IF(184=$NR$68,$NN$68,0),IF($NP$68="Bell_Curve",$NN$68*(184-$NR$68+1)*($NS$68-184+1)/$NU$68,$NN$68/$NT$68)),0)</f>
        <v/>
      </c>
      <c r="GG68" s="402">
        <f>IF(AND(185&gt;=$NR$68,185&lt;=$NS$68),IF($NP$68="Single_Point",IF(185=$NR$68,$NN$68,0),IF($NP$68="Bell_Curve",$NN$68*(185-$NR$68+1)*($NS$68-185+1)/$NU$68,$NN$68/$NT$68)),0)</f>
        <v/>
      </c>
      <c r="GH68" s="402">
        <f>IF(AND(186&gt;=$NR$68,186&lt;=$NS$68),IF($NP$68="Single_Point",IF(186=$NR$68,$NN$68,0),IF($NP$68="Bell_Curve",$NN$68*(186-$NR$68+1)*($NS$68-186+1)/$NU$68,$NN$68/$NT$68)),0)</f>
        <v/>
      </c>
      <c r="GI68" s="402">
        <f>IF(AND(187&gt;=$NR$68,187&lt;=$NS$68),IF($NP$68="Single_Point",IF(187=$NR$68,$NN$68,0),IF($NP$68="Bell_Curve",$NN$68*(187-$NR$68+1)*($NS$68-187+1)/$NU$68,$NN$68/$NT$68)),0)</f>
        <v/>
      </c>
      <c r="GJ68" s="402">
        <f>IF(AND(188&gt;=$NR$68,188&lt;=$NS$68),IF($NP$68="Single_Point",IF(188=$NR$68,$NN$68,0),IF($NP$68="Bell_Curve",$NN$68*(188-$NR$68+1)*($NS$68-188+1)/$NU$68,$NN$68/$NT$68)),0)</f>
        <v/>
      </c>
      <c r="GK68" s="402">
        <f>IF(AND(189&gt;=$NR$68,189&lt;=$NS$68),IF($NP$68="Single_Point",IF(189=$NR$68,$NN$68,0),IF($NP$68="Bell_Curve",$NN$68*(189-$NR$68+1)*($NS$68-189+1)/$NU$68,$NN$68/$NT$68)),0)</f>
        <v/>
      </c>
      <c r="GL68" s="402">
        <f>IF(AND(190&gt;=$NR$68,190&lt;=$NS$68),IF($NP$68="Single_Point",IF(190=$NR$68,$NN$68,0),IF($NP$68="Bell_Curve",$NN$68*(190-$NR$68+1)*($NS$68-190+1)/$NU$68,$NN$68/$NT$68)),0)</f>
        <v/>
      </c>
      <c r="GM68" s="402">
        <f>IF(AND(191&gt;=$NR$68,191&lt;=$NS$68),IF($NP$68="Single_Point",IF(191=$NR$68,$NN$68,0),IF($NP$68="Bell_Curve",$NN$68*(191-$NR$68+1)*($NS$68-191+1)/$NU$68,$NN$68/$NT$68)),0)</f>
        <v/>
      </c>
      <c r="GN68" s="402">
        <f>IF(AND(192&gt;=$NR$68,192&lt;=$NS$68),IF($NP$68="Single_Point",IF(192=$NR$68,$NN$68,0),IF($NP$68="Bell_Curve",$NN$68*(192-$NR$68+1)*($NS$68-192+1)/$NU$68,$NN$68/$NT$68)),0)</f>
        <v/>
      </c>
      <c r="GO68" s="402">
        <f>IF(AND(193&gt;=$NR$68,193&lt;=$NS$68),IF($NP$68="Single_Point",IF(193=$NR$68,$NN$68,0),IF($NP$68="Bell_Curve",$NN$68*(193-$NR$68+1)*($NS$68-193+1)/$NU$68,$NN$68/$NT$68)),0)</f>
        <v/>
      </c>
      <c r="GP68" s="402">
        <f>IF(AND(194&gt;=$NR$68,194&lt;=$NS$68),IF($NP$68="Single_Point",IF(194=$NR$68,$NN$68,0),IF($NP$68="Bell_Curve",$NN$68*(194-$NR$68+1)*($NS$68-194+1)/$NU$68,$NN$68/$NT$68)),0)</f>
        <v/>
      </c>
      <c r="GQ68" s="402">
        <f>IF(AND(195&gt;=$NR$68,195&lt;=$NS$68),IF($NP$68="Single_Point",IF(195=$NR$68,$NN$68,0),IF($NP$68="Bell_Curve",$NN$68*(195-$NR$68+1)*($NS$68-195+1)/$NU$68,$NN$68/$NT$68)),0)</f>
        <v/>
      </c>
      <c r="GR68" s="402">
        <f>IF(AND(196&gt;=$NR$68,196&lt;=$NS$68),IF($NP$68="Single_Point",IF(196=$NR$68,$NN$68,0),IF($NP$68="Bell_Curve",$NN$68*(196-$NR$68+1)*($NS$68-196+1)/$NU$68,$NN$68/$NT$68)),0)</f>
        <v/>
      </c>
      <c r="GS68" s="402">
        <f>IF(AND(197&gt;=$NR$68,197&lt;=$NS$68),IF($NP$68="Single_Point",IF(197=$NR$68,$NN$68,0),IF($NP$68="Bell_Curve",$NN$68*(197-$NR$68+1)*($NS$68-197+1)/$NU$68,$NN$68/$NT$68)),0)</f>
        <v/>
      </c>
      <c r="GT68" s="402">
        <f>IF(AND(198&gt;=$NR$68,198&lt;=$NS$68),IF($NP$68="Single_Point",IF(198=$NR$68,$NN$68,0),IF($NP$68="Bell_Curve",$NN$68*(198-$NR$68+1)*($NS$68-198+1)/$NU$68,$NN$68/$NT$68)),0)</f>
        <v/>
      </c>
      <c r="GU68" s="402">
        <f>IF(AND(199&gt;=$NR$68,199&lt;=$NS$68),IF($NP$68="Single_Point",IF(199=$NR$68,$NN$68,0),IF($NP$68="Bell_Curve",$NN$68*(199-$NR$68+1)*($NS$68-199+1)/$NU$68,$NN$68/$NT$68)),0)</f>
        <v/>
      </c>
      <c r="GV68" s="402">
        <f>IF(AND(200&gt;=$NR$68,200&lt;=$NS$68),IF($NP$68="Single_Point",IF(200=$NR$68,$NN$68,0),IF($NP$68="Bell_Curve",$NN$68*(200-$NR$68+1)*($NS$68-200+1)/$NU$68,$NN$68/$NT$68)),0)</f>
        <v/>
      </c>
      <c r="GW68" s="402">
        <f>IF(AND(201&gt;=$NR$68,201&lt;=$NS$68),IF($NP$68="Single_Point",IF(201=$NR$68,$NN$68,0),IF($NP$68="Bell_Curve",$NN$68*(201-$NR$68+1)*($NS$68-201+1)/$NU$68,$NN$68/$NT$68)),0)</f>
        <v/>
      </c>
      <c r="GX68" s="402">
        <f>IF(AND(202&gt;=$NR$68,202&lt;=$NS$68),IF($NP$68="Single_Point",IF(202=$NR$68,$NN$68,0),IF($NP$68="Bell_Curve",$NN$68*(202-$NR$68+1)*($NS$68-202+1)/$NU$68,$NN$68/$NT$68)),0)</f>
        <v/>
      </c>
      <c r="GY68" s="402">
        <f>IF(AND(203&gt;=$NR$68,203&lt;=$NS$68),IF($NP$68="Single_Point",IF(203=$NR$68,$NN$68,0),IF($NP$68="Bell_Curve",$NN$68*(203-$NR$68+1)*($NS$68-203+1)/$NU$68,$NN$68/$NT$68)),0)</f>
        <v/>
      </c>
      <c r="GZ68" s="402">
        <f>IF(AND(204&gt;=$NR$68,204&lt;=$NS$68),IF($NP$68="Single_Point",IF(204=$NR$68,$NN$68,0),IF($NP$68="Bell_Curve",$NN$68*(204-$NR$68+1)*($NS$68-204+1)/$NU$68,$NN$68/$NT$68)),0)</f>
        <v/>
      </c>
      <c r="HA68" s="402">
        <f>IF(AND(205&gt;=$NR$68,205&lt;=$NS$68),IF($NP$68="Single_Point",IF(205=$NR$68,$NN$68,0),IF($NP$68="Bell_Curve",$NN$68*(205-$NR$68+1)*($NS$68-205+1)/$NU$68,$NN$68/$NT$68)),0)</f>
        <v/>
      </c>
      <c r="HB68" s="402">
        <f>IF(AND(206&gt;=$NR$68,206&lt;=$NS$68),IF($NP$68="Single_Point",IF(206=$NR$68,$NN$68,0),IF($NP$68="Bell_Curve",$NN$68*(206-$NR$68+1)*($NS$68-206+1)/$NU$68,$NN$68/$NT$68)),0)</f>
        <v/>
      </c>
      <c r="HC68" s="402">
        <f>IF(AND(207&gt;=$NR$68,207&lt;=$NS$68),IF($NP$68="Single_Point",IF(207=$NR$68,$NN$68,0),IF($NP$68="Bell_Curve",$NN$68*(207-$NR$68+1)*($NS$68-207+1)/$NU$68,$NN$68/$NT$68)),0)</f>
        <v/>
      </c>
      <c r="HD68" s="402">
        <f>IF(AND(208&gt;=$NR$68,208&lt;=$NS$68),IF($NP$68="Single_Point",IF(208=$NR$68,$NN$68,0),IF($NP$68="Bell_Curve",$NN$68*(208-$NR$68+1)*($NS$68-208+1)/$NU$68,$NN$68/$NT$68)),0)</f>
        <v/>
      </c>
      <c r="HE68" s="402">
        <f>IF(AND(209&gt;=$NR$68,209&lt;=$NS$68),IF($NP$68="Single_Point",IF(209=$NR$68,$NN$68,0),IF($NP$68="Bell_Curve",$NN$68*(209-$NR$68+1)*($NS$68-209+1)/$NU$68,$NN$68/$NT$68)),0)</f>
        <v/>
      </c>
      <c r="HF68" s="402">
        <f>IF(AND(210&gt;=$NR$68,210&lt;=$NS$68),IF($NP$68="Single_Point",IF(210=$NR$68,$NN$68,0),IF($NP$68="Bell_Curve",$NN$68*(210-$NR$68+1)*($NS$68-210+1)/$NU$68,$NN$68/$NT$68)),0)</f>
        <v/>
      </c>
      <c r="HG68" s="402">
        <f>IF(AND(211&gt;=$NR$68,211&lt;=$NS$68),IF($NP$68="Single_Point",IF(211=$NR$68,$NN$68,0),IF($NP$68="Bell_Curve",$NN$68*(211-$NR$68+1)*($NS$68-211+1)/$NU$68,$NN$68/$NT$68)),0)</f>
        <v/>
      </c>
      <c r="HH68" s="402">
        <f>IF(AND(212&gt;=$NR$68,212&lt;=$NS$68),IF($NP$68="Single_Point",IF(212=$NR$68,$NN$68,0),IF($NP$68="Bell_Curve",$NN$68*(212-$NR$68+1)*($NS$68-212+1)/$NU$68,$NN$68/$NT$68)),0)</f>
        <v/>
      </c>
      <c r="HI68" s="402">
        <f>IF(AND(213&gt;=$NR$68,213&lt;=$NS$68),IF($NP$68="Single_Point",IF(213=$NR$68,$NN$68,0),IF($NP$68="Bell_Curve",$NN$68*(213-$NR$68+1)*($NS$68-213+1)/$NU$68,$NN$68/$NT$68)),0)</f>
        <v/>
      </c>
      <c r="HJ68" s="402">
        <f>IF(AND(214&gt;=$NR$68,214&lt;=$NS$68),IF($NP$68="Single_Point",IF(214=$NR$68,$NN$68,0),IF($NP$68="Bell_Curve",$NN$68*(214-$NR$68+1)*($NS$68-214+1)/$NU$68,$NN$68/$NT$68)),0)</f>
        <v/>
      </c>
      <c r="HK68" s="402">
        <f>IF(AND(215&gt;=$NR$68,215&lt;=$NS$68),IF($NP$68="Single_Point",IF(215=$NR$68,$NN$68,0),IF($NP$68="Bell_Curve",$NN$68*(215-$NR$68+1)*($NS$68-215+1)/$NU$68,$NN$68/$NT$68)),0)</f>
        <v/>
      </c>
      <c r="HL68" s="402">
        <f>IF(AND(216&gt;=$NR$68,216&lt;=$NS$68),IF($NP$68="Single_Point",IF(216=$NR$68,$NN$68,0),IF($NP$68="Bell_Curve",$NN$68*(216-$NR$68+1)*($NS$68-216+1)/$NU$68,$NN$68/$NT$68)),0)</f>
        <v/>
      </c>
      <c r="HM68" s="402">
        <f>IF(AND(217&gt;=$NR$68,217&lt;=$NS$68),IF($NP$68="Single_Point",IF(217=$NR$68,$NN$68,0),IF($NP$68="Bell_Curve",$NN$68*(217-$NR$68+1)*($NS$68-217+1)/$NU$68,$NN$68/$NT$68)),0)</f>
        <v/>
      </c>
      <c r="HN68" s="402">
        <f>IF(AND(218&gt;=$NR$68,218&lt;=$NS$68),IF($NP$68="Single_Point",IF(218=$NR$68,$NN$68,0),IF($NP$68="Bell_Curve",$NN$68*(218-$NR$68+1)*($NS$68-218+1)/$NU$68,$NN$68/$NT$68)),0)</f>
        <v/>
      </c>
      <c r="HO68" s="402">
        <f>IF(AND(219&gt;=$NR$68,219&lt;=$NS$68),IF($NP$68="Single_Point",IF(219=$NR$68,$NN$68,0),IF($NP$68="Bell_Curve",$NN$68*(219-$NR$68+1)*($NS$68-219+1)/$NU$68,$NN$68/$NT$68)),0)</f>
        <v/>
      </c>
      <c r="HP68" s="402">
        <f>IF(AND(220&gt;=$NR$68,220&lt;=$NS$68),IF($NP$68="Single_Point",IF(220=$NR$68,$NN$68,0),IF($NP$68="Bell_Curve",$NN$68*(220-$NR$68+1)*($NS$68-220+1)/$NU$68,$NN$68/$NT$68)),0)</f>
        <v/>
      </c>
      <c r="HQ68" s="402">
        <f>IF(AND(221&gt;=$NR$68,221&lt;=$NS$68),IF($NP$68="Single_Point",IF(221=$NR$68,$NN$68,0),IF($NP$68="Bell_Curve",$NN$68*(221-$NR$68+1)*($NS$68-221+1)/$NU$68,$NN$68/$NT$68)),0)</f>
        <v/>
      </c>
      <c r="HR68" s="402">
        <f>IF(AND(222&gt;=$NR$68,222&lt;=$NS$68),IF($NP$68="Single_Point",IF(222=$NR$68,$NN$68,0),IF($NP$68="Bell_Curve",$NN$68*(222-$NR$68+1)*($NS$68-222+1)/$NU$68,$NN$68/$NT$68)),0)</f>
        <v/>
      </c>
      <c r="HS68" s="402">
        <f>IF(AND(223&gt;=$NR$68,223&lt;=$NS$68),IF($NP$68="Single_Point",IF(223=$NR$68,$NN$68,0),IF($NP$68="Bell_Curve",$NN$68*(223-$NR$68+1)*($NS$68-223+1)/$NU$68,$NN$68/$NT$68)),0)</f>
        <v/>
      </c>
      <c r="HT68" s="402">
        <f>IF(AND(224&gt;=$NR$68,224&lt;=$NS$68),IF($NP$68="Single_Point",IF(224=$NR$68,$NN$68,0),IF($NP$68="Bell_Curve",$NN$68*(224-$NR$68+1)*($NS$68-224+1)/$NU$68,$NN$68/$NT$68)),0)</f>
        <v/>
      </c>
      <c r="HU68" s="402">
        <f>IF(AND(225&gt;=$NR$68,225&lt;=$NS$68),IF($NP$68="Single_Point",IF(225=$NR$68,$NN$68,0),IF($NP$68="Bell_Curve",$NN$68*(225-$NR$68+1)*($NS$68-225+1)/$NU$68,$NN$68/$NT$68)),0)</f>
        <v/>
      </c>
      <c r="HV68" s="402">
        <f>IF(AND(226&gt;=$NR$68,226&lt;=$NS$68),IF($NP$68="Single_Point",IF(226=$NR$68,$NN$68,0),IF($NP$68="Bell_Curve",$NN$68*(226-$NR$68+1)*($NS$68-226+1)/$NU$68,$NN$68/$NT$68)),0)</f>
        <v/>
      </c>
      <c r="HW68" s="402">
        <f>IF(AND(227&gt;=$NR$68,227&lt;=$NS$68),IF($NP$68="Single_Point",IF(227=$NR$68,$NN$68,0),IF($NP$68="Bell_Curve",$NN$68*(227-$NR$68+1)*($NS$68-227+1)/$NU$68,$NN$68/$NT$68)),0)</f>
        <v/>
      </c>
      <c r="HX68" s="402">
        <f>IF(AND(228&gt;=$NR$68,228&lt;=$NS$68),IF($NP$68="Single_Point",IF(228=$NR$68,$NN$68,0),IF($NP$68="Bell_Curve",$NN$68*(228-$NR$68+1)*($NS$68-228+1)/$NU$68,$NN$68/$NT$68)),0)</f>
        <v/>
      </c>
      <c r="HY68" s="402">
        <f>IF(AND(229&gt;=$NR$68,229&lt;=$NS$68),IF($NP$68="Single_Point",IF(229=$NR$68,$NN$68,0),IF($NP$68="Bell_Curve",$NN$68*(229-$NR$68+1)*($NS$68-229+1)/$NU$68,$NN$68/$NT$68)),0)</f>
        <v/>
      </c>
      <c r="HZ68" s="402">
        <f>IF(AND(230&gt;=$NR$68,230&lt;=$NS$68),IF($NP$68="Single_Point",IF(230=$NR$68,$NN$68,0),IF($NP$68="Bell_Curve",$NN$68*(230-$NR$68+1)*($NS$68-230+1)/$NU$68,$NN$68/$NT$68)),0)</f>
        <v/>
      </c>
      <c r="IA68" s="402">
        <f>IF(AND(231&gt;=$NR$68,231&lt;=$NS$68),IF($NP$68="Single_Point",IF(231=$NR$68,$NN$68,0),IF($NP$68="Bell_Curve",$NN$68*(231-$NR$68+1)*($NS$68-231+1)/$NU$68,$NN$68/$NT$68)),0)</f>
        <v/>
      </c>
      <c r="IB68" s="402">
        <f>IF(AND(232&gt;=$NR$68,232&lt;=$NS$68),IF($NP$68="Single_Point",IF(232=$NR$68,$NN$68,0),IF($NP$68="Bell_Curve",$NN$68*(232-$NR$68+1)*($NS$68-232+1)/$NU$68,$NN$68/$NT$68)),0)</f>
        <v/>
      </c>
      <c r="IC68" s="402">
        <f>IF(AND(233&gt;=$NR$68,233&lt;=$NS$68),IF($NP$68="Single_Point",IF(233=$NR$68,$NN$68,0),IF($NP$68="Bell_Curve",$NN$68*(233-$NR$68+1)*($NS$68-233+1)/$NU$68,$NN$68/$NT$68)),0)</f>
        <v/>
      </c>
      <c r="ID68" s="402">
        <f>IF(AND(234&gt;=$NR$68,234&lt;=$NS$68),IF($NP$68="Single_Point",IF(234=$NR$68,$NN$68,0),IF($NP$68="Bell_Curve",$NN$68*(234-$NR$68+1)*($NS$68-234+1)/$NU$68,$NN$68/$NT$68)),0)</f>
        <v/>
      </c>
      <c r="IE68" s="402">
        <f>IF(AND(235&gt;=$NR$68,235&lt;=$NS$68),IF($NP$68="Single_Point",IF(235=$NR$68,$NN$68,0),IF($NP$68="Bell_Curve",$NN$68*(235-$NR$68+1)*($NS$68-235+1)/$NU$68,$NN$68/$NT$68)),0)</f>
        <v/>
      </c>
      <c r="IF68" s="402">
        <f>IF(AND(236&gt;=$NR$68,236&lt;=$NS$68),IF($NP$68="Single_Point",IF(236=$NR$68,$NN$68,0),IF($NP$68="Bell_Curve",$NN$68*(236-$NR$68+1)*($NS$68-236+1)/$NU$68,$NN$68/$NT$68)),0)</f>
        <v/>
      </c>
      <c r="IG68" s="402">
        <f>IF(AND(237&gt;=$NR$68,237&lt;=$NS$68),IF($NP$68="Single_Point",IF(237=$NR$68,$NN$68,0),IF($NP$68="Bell_Curve",$NN$68*(237-$NR$68+1)*($NS$68-237+1)/$NU$68,$NN$68/$NT$68)),0)</f>
        <v/>
      </c>
      <c r="IH68" s="402">
        <f>IF(AND(238&gt;=$NR$68,238&lt;=$NS$68),IF($NP$68="Single_Point",IF(238=$NR$68,$NN$68,0),IF($NP$68="Bell_Curve",$NN$68*(238-$NR$68+1)*($NS$68-238+1)/$NU$68,$NN$68/$NT$68)),0)</f>
        <v/>
      </c>
      <c r="II68" s="402">
        <f>IF(AND(239&gt;=$NR$68,239&lt;=$NS$68),IF($NP$68="Single_Point",IF(239=$NR$68,$NN$68,0),IF($NP$68="Bell_Curve",$NN$68*(239-$NR$68+1)*($NS$68-239+1)/$NU$68,$NN$68/$NT$68)),0)</f>
        <v/>
      </c>
      <c r="IJ68" s="402">
        <f>IF(AND(240&gt;=$NR$68,240&lt;=$NS$68),IF($NP$68="Single_Point",IF(240=$NR$68,$NN$68,0),IF($NP$68="Bell_Curve",$NN$68*(240-$NR$68+1)*($NS$68-240+1)/$NU$68,$NN$68/$NT$68)),0)</f>
        <v/>
      </c>
      <c r="IK68" s="402">
        <f>IF(AND(241&gt;=$NR$68,241&lt;=$NS$68),IF($NP$68="Single_Point",IF(241=$NR$68,$NN$68,0),IF($NP$68="Bell_Curve",$NN$68*(241-$NR$68+1)*($NS$68-241+1)/$NU$68,$NN$68/$NT$68)),0)</f>
        <v/>
      </c>
      <c r="IL68" s="402">
        <f>IF(AND(242&gt;=$NR$68,242&lt;=$NS$68),IF($NP$68="Single_Point",IF(242=$NR$68,$NN$68,0),IF($NP$68="Bell_Curve",$NN$68*(242-$NR$68+1)*($NS$68-242+1)/$NU$68,$NN$68/$NT$68)),0)</f>
        <v/>
      </c>
      <c r="IM68" s="402">
        <f>IF(AND(243&gt;=$NR$68,243&lt;=$NS$68),IF($NP$68="Single_Point",IF(243=$NR$68,$NN$68,0),IF($NP$68="Bell_Curve",$NN$68*(243-$NR$68+1)*($NS$68-243+1)/$NU$68,$NN$68/$NT$68)),0)</f>
        <v/>
      </c>
      <c r="IN68" s="402">
        <f>IF(AND(244&gt;=$NR$68,244&lt;=$NS$68),IF($NP$68="Single_Point",IF(244=$NR$68,$NN$68,0),IF($NP$68="Bell_Curve",$NN$68*(244-$NR$68+1)*($NS$68-244+1)/$NU$68,$NN$68/$NT$68)),0)</f>
        <v/>
      </c>
      <c r="IO68" s="402">
        <f>IF(AND(245&gt;=$NR$68,245&lt;=$NS$68),IF($NP$68="Single_Point",IF(245=$NR$68,$NN$68,0),IF($NP$68="Bell_Curve",$NN$68*(245-$NR$68+1)*($NS$68-245+1)/$NU$68,$NN$68/$NT$68)),0)</f>
        <v/>
      </c>
      <c r="IP68" s="402">
        <f>IF(AND(246&gt;=$NR$68,246&lt;=$NS$68),IF($NP$68="Single_Point",IF(246=$NR$68,$NN$68,0),IF($NP$68="Bell_Curve",$NN$68*(246-$NR$68+1)*($NS$68-246+1)/$NU$68,$NN$68/$NT$68)),0)</f>
        <v/>
      </c>
      <c r="IQ68" s="402">
        <f>IF(AND(247&gt;=$NR$68,247&lt;=$NS$68),IF($NP$68="Single_Point",IF(247=$NR$68,$NN$68,0),IF($NP$68="Bell_Curve",$NN$68*(247-$NR$68+1)*($NS$68-247+1)/$NU$68,$NN$68/$NT$68)),0)</f>
        <v/>
      </c>
      <c r="IR68" s="402">
        <f>IF(AND(248&gt;=$NR$68,248&lt;=$NS$68),IF($NP$68="Single_Point",IF(248=$NR$68,$NN$68,0),IF($NP$68="Bell_Curve",$NN$68*(248-$NR$68+1)*($NS$68-248+1)/$NU$68,$NN$68/$NT$68)),0)</f>
        <v/>
      </c>
      <c r="IS68" s="402">
        <f>IF(AND(249&gt;=$NR$68,249&lt;=$NS$68),IF($NP$68="Single_Point",IF(249=$NR$68,$NN$68,0),IF($NP$68="Bell_Curve",$NN$68*(249-$NR$68+1)*($NS$68-249+1)/$NU$68,$NN$68/$NT$68)),0)</f>
        <v/>
      </c>
      <c r="IT68" s="402">
        <f>IF(AND(250&gt;=$NR$68,250&lt;=$NS$68),IF($NP$68="Single_Point",IF(250=$NR$68,$NN$68,0),IF($NP$68="Bell_Curve",$NN$68*(250-$NR$68+1)*($NS$68-250+1)/$NU$68,$NN$68/$NT$68)),0)</f>
        <v/>
      </c>
      <c r="IU68" s="402">
        <f>IF(AND(251&gt;=$NR$68,251&lt;=$NS$68),IF($NP$68="Single_Point",IF(251=$NR$68,$NN$68,0),IF($NP$68="Bell_Curve",$NN$68*(251-$NR$68+1)*($NS$68-251+1)/$NU$68,$NN$68/$NT$68)),0)</f>
        <v/>
      </c>
      <c r="IV68" s="402">
        <f>IF(AND(252&gt;=$NR$68,252&lt;=$NS$68),IF($NP$68="Single_Point",IF(252=$NR$68,$NN$68,0),IF($NP$68="Bell_Curve",$NN$68*(252-$NR$68+1)*($NS$68-252+1)/$NU$68,$NN$68/$NT$68)),0)</f>
        <v/>
      </c>
      <c r="IW68" s="402">
        <f>IF(AND(253&gt;=$NR$68,253&lt;=$NS$68),IF($NP$68="Single_Point",IF(253=$NR$68,$NN$68,0),IF($NP$68="Bell_Curve",$NN$68*(253-$NR$68+1)*($NS$68-253+1)/$NU$68,$NN$68/$NT$68)),0)</f>
        <v/>
      </c>
      <c r="IX68" s="402">
        <f>IF(AND(254&gt;=$NR$68,254&lt;=$NS$68),IF($NP$68="Single_Point",IF(254=$NR$68,$NN$68,0),IF($NP$68="Bell_Curve",$NN$68*(254-$NR$68+1)*($NS$68-254+1)/$NU$68,$NN$68/$NT$68)),0)</f>
        <v/>
      </c>
      <c r="IY68" s="402">
        <f>IF(AND(255&gt;=$NR$68,255&lt;=$NS$68),IF($NP$68="Single_Point",IF(255=$NR$68,$NN$68,0),IF($NP$68="Bell_Curve",$NN$68*(255-$NR$68+1)*($NS$68-255+1)/$NU$68,$NN$68/$NT$68)),0)</f>
        <v/>
      </c>
      <c r="IZ68" s="402">
        <f>IF(AND(256&gt;=$NR$68,256&lt;=$NS$68),IF($NP$68="Single_Point",IF(256=$NR$68,$NN$68,0),IF($NP$68="Bell_Curve",$NN$68*(256-$NR$68+1)*($NS$68-256+1)/$NU$68,$NN$68/$NT$68)),0)</f>
        <v/>
      </c>
      <c r="JA68" s="402">
        <f>IF(AND(257&gt;=$NR$68,257&lt;=$NS$68),IF($NP$68="Single_Point",IF(257=$NR$68,$NN$68,0),IF($NP$68="Bell_Curve",$NN$68*(257-$NR$68+1)*($NS$68-257+1)/$NU$68,$NN$68/$NT$68)),0)</f>
        <v/>
      </c>
      <c r="JB68" s="402">
        <f>IF(AND(258&gt;=$NR$68,258&lt;=$NS$68),IF($NP$68="Single_Point",IF(258=$NR$68,$NN$68,0),IF($NP$68="Bell_Curve",$NN$68*(258-$NR$68+1)*($NS$68-258+1)/$NU$68,$NN$68/$NT$68)),0)</f>
        <v/>
      </c>
      <c r="JC68" s="402">
        <f>IF(AND(259&gt;=$NR$68,259&lt;=$NS$68),IF($NP$68="Single_Point",IF(259=$NR$68,$NN$68,0),IF($NP$68="Bell_Curve",$NN$68*(259-$NR$68+1)*($NS$68-259+1)/$NU$68,$NN$68/$NT$68)),0)</f>
        <v/>
      </c>
      <c r="JD68" s="402">
        <f>IF(AND(260&gt;=$NR$68,260&lt;=$NS$68),IF($NP$68="Single_Point",IF(260=$NR$68,$NN$68,0),IF($NP$68="Bell_Curve",$NN$68*(260-$NR$68+1)*($NS$68-260+1)/$NU$68,$NN$68/$NT$68)),0)</f>
        <v/>
      </c>
      <c r="JE68" s="402">
        <f>IF(AND(261&gt;=$NR$68,261&lt;=$NS$68),IF($NP$68="Single_Point",IF(261=$NR$68,$NN$68,0),IF($NP$68="Bell_Curve",$NN$68*(261-$NR$68+1)*($NS$68-261+1)/$NU$68,$NN$68/$NT$68)),0)</f>
        <v/>
      </c>
      <c r="JF68" s="402">
        <f>IF(AND(262&gt;=$NR$68,262&lt;=$NS$68),IF($NP$68="Single_Point",IF(262=$NR$68,$NN$68,0),IF($NP$68="Bell_Curve",$NN$68*(262-$NR$68+1)*($NS$68-262+1)/$NU$68,$NN$68/$NT$68)),0)</f>
        <v/>
      </c>
      <c r="JG68" s="402">
        <f>IF(AND(263&gt;=$NR$68,263&lt;=$NS$68),IF($NP$68="Single_Point",IF(263=$NR$68,$NN$68,0),IF($NP$68="Bell_Curve",$NN$68*(263-$NR$68+1)*($NS$68-263+1)/$NU$68,$NN$68/$NT$68)),0)</f>
        <v/>
      </c>
      <c r="JH68" s="402">
        <f>IF(AND(264&gt;=$NR$68,264&lt;=$NS$68),IF($NP$68="Single_Point",IF(264=$NR$68,$NN$68,0),IF($NP$68="Bell_Curve",$NN$68*(264-$NR$68+1)*($NS$68-264+1)/$NU$68,$NN$68/$NT$68)),0)</f>
        <v/>
      </c>
      <c r="JI68" s="402">
        <f>IF(AND(265&gt;=$NR$68,265&lt;=$NS$68),IF($NP$68="Single_Point",IF(265=$NR$68,$NN$68,0),IF($NP$68="Bell_Curve",$NN$68*(265-$NR$68+1)*($NS$68-265+1)/$NU$68,$NN$68/$NT$68)),0)</f>
        <v/>
      </c>
      <c r="JJ68" s="402">
        <f>IF(AND(266&gt;=$NR$68,266&lt;=$NS$68),IF($NP$68="Single_Point",IF(266=$NR$68,$NN$68,0),IF($NP$68="Bell_Curve",$NN$68*(266-$NR$68+1)*($NS$68-266+1)/$NU$68,$NN$68/$NT$68)),0)</f>
        <v/>
      </c>
      <c r="JK68" s="402">
        <f>IF(AND(267&gt;=$NR$68,267&lt;=$NS$68),IF($NP$68="Single_Point",IF(267=$NR$68,$NN$68,0),IF($NP$68="Bell_Curve",$NN$68*(267-$NR$68+1)*($NS$68-267+1)/$NU$68,$NN$68/$NT$68)),0)</f>
        <v/>
      </c>
      <c r="JL68" s="402">
        <f>IF(AND(268&gt;=$NR$68,268&lt;=$NS$68),IF($NP$68="Single_Point",IF(268=$NR$68,$NN$68,0),IF($NP$68="Bell_Curve",$NN$68*(268-$NR$68+1)*($NS$68-268+1)/$NU$68,$NN$68/$NT$68)),0)</f>
        <v/>
      </c>
      <c r="JM68" s="402">
        <f>IF(AND(269&gt;=$NR$68,269&lt;=$NS$68),IF($NP$68="Single_Point",IF(269=$NR$68,$NN$68,0),IF($NP$68="Bell_Curve",$NN$68*(269-$NR$68+1)*($NS$68-269+1)/$NU$68,$NN$68/$NT$68)),0)</f>
        <v/>
      </c>
      <c r="JN68" s="402">
        <f>IF(AND(270&gt;=$NR$68,270&lt;=$NS$68),IF($NP$68="Single_Point",IF(270=$NR$68,$NN$68,0),IF($NP$68="Bell_Curve",$NN$68*(270-$NR$68+1)*($NS$68-270+1)/$NU$68,$NN$68/$NT$68)),0)</f>
        <v/>
      </c>
      <c r="JO68" s="402">
        <f>IF(AND(271&gt;=$NR$68,271&lt;=$NS$68),IF($NP$68="Single_Point",IF(271=$NR$68,$NN$68,0),IF($NP$68="Bell_Curve",$NN$68*(271-$NR$68+1)*($NS$68-271+1)/$NU$68,$NN$68/$NT$68)),0)</f>
        <v/>
      </c>
      <c r="JP68" s="402">
        <f>IF(AND(272&gt;=$NR$68,272&lt;=$NS$68),IF($NP$68="Single_Point",IF(272=$NR$68,$NN$68,0),IF($NP$68="Bell_Curve",$NN$68*(272-$NR$68+1)*($NS$68-272+1)/$NU$68,$NN$68/$NT$68)),0)</f>
        <v/>
      </c>
      <c r="JQ68" s="402">
        <f>IF(AND(273&gt;=$NR$68,273&lt;=$NS$68),IF($NP$68="Single_Point",IF(273=$NR$68,$NN$68,0),IF($NP$68="Bell_Curve",$NN$68*(273-$NR$68+1)*($NS$68-273+1)/$NU$68,$NN$68/$NT$68)),0)</f>
        <v/>
      </c>
      <c r="JR68" s="402">
        <f>IF(AND(274&gt;=$NR$68,274&lt;=$NS$68),IF($NP$68="Single_Point",IF(274=$NR$68,$NN$68,0),IF($NP$68="Bell_Curve",$NN$68*(274-$NR$68+1)*($NS$68-274+1)/$NU$68,$NN$68/$NT$68)),0)</f>
        <v/>
      </c>
      <c r="JS68" s="402">
        <f>IF(AND(275&gt;=$NR$68,275&lt;=$NS$68),IF($NP$68="Single_Point",IF(275=$NR$68,$NN$68,0),IF($NP$68="Bell_Curve",$NN$68*(275-$NR$68+1)*($NS$68-275+1)/$NU$68,$NN$68/$NT$68)),0)</f>
        <v/>
      </c>
      <c r="JT68" s="402">
        <f>IF(AND(276&gt;=$NR$68,276&lt;=$NS$68),IF($NP$68="Single_Point",IF(276=$NR$68,$NN$68,0),IF($NP$68="Bell_Curve",$NN$68*(276-$NR$68+1)*($NS$68-276+1)/$NU$68,$NN$68/$NT$68)),0)</f>
        <v/>
      </c>
      <c r="JU68" s="402">
        <f>IF(AND(277&gt;=$NR$68,277&lt;=$NS$68),IF($NP$68="Single_Point",IF(277=$NR$68,$NN$68,0),IF($NP$68="Bell_Curve",$NN$68*(277-$NR$68+1)*($NS$68-277+1)/$NU$68,$NN$68/$NT$68)),0)</f>
        <v/>
      </c>
      <c r="JV68" s="402">
        <f>IF(AND(278&gt;=$NR$68,278&lt;=$NS$68),IF($NP$68="Single_Point",IF(278=$NR$68,$NN$68,0),IF($NP$68="Bell_Curve",$NN$68*(278-$NR$68+1)*($NS$68-278+1)/$NU$68,$NN$68/$NT$68)),0)</f>
        <v/>
      </c>
      <c r="JW68" s="402">
        <f>IF(AND(279&gt;=$NR$68,279&lt;=$NS$68),IF($NP$68="Single_Point",IF(279=$NR$68,$NN$68,0),IF($NP$68="Bell_Curve",$NN$68*(279-$NR$68+1)*($NS$68-279+1)/$NU$68,$NN$68/$NT$68)),0)</f>
        <v/>
      </c>
      <c r="JX68" s="402">
        <f>IF(AND(280&gt;=$NR$68,280&lt;=$NS$68),IF($NP$68="Single_Point",IF(280=$NR$68,$NN$68,0),IF($NP$68="Bell_Curve",$NN$68*(280-$NR$68+1)*($NS$68-280+1)/$NU$68,$NN$68/$NT$68)),0)</f>
        <v/>
      </c>
      <c r="JY68" s="402">
        <f>IF(AND(281&gt;=$NR$68,281&lt;=$NS$68),IF($NP$68="Single_Point",IF(281=$NR$68,$NN$68,0),IF($NP$68="Bell_Curve",$NN$68*(281-$NR$68+1)*($NS$68-281+1)/$NU$68,$NN$68/$NT$68)),0)</f>
        <v/>
      </c>
      <c r="JZ68" s="402">
        <f>IF(AND(282&gt;=$NR$68,282&lt;=$NS$68),IF($NP$68="Single_Point",IF(282=$NR$68,$NN$68,0),IF($NP$68="Bell_Curve",$NN$68*(282-$NR$68+1)*($NS$68-282+1)/$NU$68,$NN$68/$NT$68)),0)</f>
        <v/>
      </c>
      <c r="KA68" s="402">
        <f>IF(AND(283&gt;=$NR$68,283&lt;=$NS$68),IF($NP$68="Single_Point",IF(283=$NR$68,$NN$68,0),IF($NP$68="Bell_Curve",$NN$68*(283-$NR$68+1)*($NS$68-283+1)/$NU$68,$NN$68/$NT$68)),0)</f>
        <v/>
      </c>
      <c r="KB68" s="402">
        <f>IF(AND(284&gt;=$NR$68,284&lt;=$NS$68),IF($NP$68="Single_Point",IF(284=$NR$68,$NN$68,0),IF($NP$68="Bell_Curve",$NN$68*(284-$NR$68+1)*($NS$68-284+1)/$NU$68,$NN$68/$NT$68)),0)</f>
        <v/>
      </c>
      <c r="KC68" s="402">
        <f>IF(AND(285&gt;=$NR$68,285&lt;=$NS$68),IF($NP$68="Single_Point",IF(285=$NR$68,$NN$68,0),IF($NP$68="Bell_Curve",$NN$68*(285-$NR$68+1)*($NS$68-285+1)/$NU$68,$NN$68/$NT$68)),0)</f>
        <v/>
      </c>
      <c r="KD68" s="402">
        <f>IF(AND(286&gt;=$NR$68,286&lt;=$NS$68),IF($NP$68="Single_Point",IF(286=$NR$68,$NN$68,0),IF($NP$68="Bell_Curve",$NN$68*(286-$NR$68+1)*($NS$68-286+1)/$NU$68,$NN$68/$NT$68)),0)</f>
        <v/>
      </c>
      <c r="KE68" s="402">
        <f>IF(AND(287&gt;=$NR$68,287&lt;=$NS$68),IF($NP$68="Single_Point",IF(287=$NR$68,$NN$68,0),IF($NP$68="Bell_Curve",$NN$68*(287-$NR$68+1)*($NS$68-287+1)/$NU$68,$NN$68/$NT$68)),0)</f>
        <v/>
      </c>
      <c r="KF68" s="402">
        <f>IF(AND(288&gt;=$NR$68,288&lt;=$NS$68),IF($NP$68="Single_Point",IF(288=$NR$68,$NN$68,0),IF($NP$68="Bell_Curve",$NN$68*(288-$NR$68+1)*($NS$68-288+1)/$NU$68,$NN$68/$NT$68)),0)</f>
        <v/>
      </c>
      <c r="KG68" s="402">
        <f>IF(AND(289&gt;=$NR$68,289&lt;=$NS$68),IF($NP$68="Single_Point",IF(289=$NR$68,$NN$68,0),IF($NP$68="Bell_Curve",$NN$68*(289-$NR$68+1)*($NS$68-289+1)/$NU$68,$NN$68/$NT$68)),0)</f>
        <v/>
      </c>
      <c r="KH68" s="402">
        <f>IF(AND(290&gt;=$NR$68,290&lt;=$NS$68),IF($NP$68="Single_Point",IF(290=$NR$68,$NN$68,0),IF($NP$68="Bell_Curve",$NN$68*(290-$NR$68+1)*($NS$68-290+1)/$NU$68,$NN$68/$NT$68)),0)</f>
        <v/>
      </c>
      <c r="KI68" s="402">
        <f>IF(AND(291&gt;=$NR$68,291&lt;=$NS$68),IF($NP$68="Single_Point",IF(291=$NR$68,$NN$68,0),IF($NP$68="Bell_Curve",$NN$68*(291-$NR$68+1)*($NS$68-291+1)/$NU$68,$NN$68/$NT$68)),0)</f>
        <v/>
      </c>
      <c r="KJ68" s="402">
        <f>IF(AND(292&gt;=$NR$68,292&lt;=$NS$68),IF($NP$68="Single_Point",IF(292=$NR$68,$NN$68,0),IF($NP$68="Bell_Curve",$NN$68*(292-$NR$68+1)*($NS$68-292+1)/$NU$68,$NN$68/$NT$68)),0)</f>
        <v/>
      </c>
      <c r="KK68" s="402">
        <f>IF(AND(293&gt;=$NR$68,293&lt;=$NS$68),IF($NP$68="Single_Point",IF(293=$NR$68,$NN$68,0),IF($NP$68="Bell_Curve",$NN$68*(293-$NR$68+1)*($NS$68-293+1)/$NU$68,$NN$68/$NT$68)),0)</f>
        <v/>
      </c>
      <c r="KL68" s="402">
        <f>IF(AND(294&gt;=$NR$68,294&lt;=$NS$68),IF($NP$68="Single_Point",IF(294=$NR$68,$NN$68,0),IF($NP$68="Bell_Curve",$NN$68*(294-$NR$68+1)*($NS$68-294+1)/$NU$68,$NN$68/$NT$68)),0)</f>
        <v/>
      </c>
      <c r="KM68" s="402">
        <f>IF(AND(295&gt;=$NR$68,295&lt;=$NS$68),IF($NP$68="Single_Point",IF(295=$NR$68,$NN$68,0),IF($NP$68="Bell_Curve",$NN$68*(295-$NR$68+1)*($NS$68-295+1)/$NU$68,$NN$68/$NT$68)),0)</f>
        <v/>
      </c>
      <c r="KN68" s="402">
        <f>IF(AND(296&gt;=$NR$68,296&lt;=$NS$68),IF($NP$68="Single_Point",IF(296=$NR$68,$NN$68,0),IF($NP$68="Bell_Curve",$NN$68*(296-$NR$68+1)*($NS$68-296+1)/$NU$68,$NN$68/$NT$68)),0)</f>
        <v/>
      </c>
      <c r="KO68" s="402">
        <f>IF(AND(297&gt;=$NR$68,297&lt;=$NS$68),IF($NP$68="Single_Point",IF(297=$NR$68,$NN$68,0),IF($NP$68="Bell_Curve",$NN$68*(297-$NR$68+1)*($NS$68-297+1)/$NU$68,$NN$68/$NT$68)),0)</f>
        <v/>
      </c>
      <c r="KP68" s="402">
        <f>IF(AND(298&gt;=$NR$68,298&lt;=$NS$68),IF($NP$68="Single_Point",IF(298=$NR$68,$NN$68,0),IF($NP$68="Bell_Curve",$NN$68*(298-$NR$68+1)*($NS$68-298+1)/$NU$68,$NN$68/$NT$68)),0)</f>
        <v/>
      </c>
      <c r="KQ68" s="402">
        <f>IF(AND(299&gt;=$NR$68,299&lt;=$NS$68),IF($NP$68="Single_Point",IF(299=$NR$68,$NN$68,0),IF($NP$68="Bell_Curve",$NN$68*(299-$NR$68+1)*($NS$68-299+1)/$NU$68,$NN$68/$NT$68)),0)</f>
        <v/>
      </c>
      <c r="KR68" s="402">
        <f>IF(AND(300&gt;=$NR$68,300&lt;=$NS$68),IF($NP$68="Single_Point",IF(300=$NR$68,$NN$68,0),IF($NP$68="Bell_Curve",$NN$68*(300-$NR$68+1)*($NS$68-300+1)/$NU$68,$NN$68/$NT$68)),0)</f>
        <v/>
      </c>
      <c r="KS68" s="402">
        <f>IF(AND(301&gt;=$NR$68,301&lt;=$NS$68),IF($NP$68="Single_Point",IF(301=$NR$68,$NN$68,0),IF($NP$68="Bell_Curve",$NN$68*(301-$NR$68+1)*($NS$68-301+1)/$NU$68,$NN$68/$NT$68)),0)</f>
        <v/>
      </c>
      <c r="KT68" s="402">
        <f>IF(AND(302&gt;=$NR$68,302&lt;=$NS$68),IF($NP$68="Single_Point",IF(302=$NR$68,$NN$68,0),IF($NP$68="Bell_Curve",$NN$68*(302-$NR$68+1)*($NS$68-302+1)/$NU$68,$NN$68/$NT$68)),0)</f>
        <v/>
      </c>
      <c r="KU68" s="402">
        <f>IF(AND(303&gt;=$NR$68,303&lt;=$NS$68),IF($NP$68="Single_Point",IF(303=$NR$68,$NN$68,0),IF($NP$68="Bell_Curve",$NN$68*(303-$NR$68+1)*($NS$68-303+1)/$NU$68,$NN$68/$NT$68)),0)</f>
        <v/>
      </c>
      <c r="KV68" s="402">
        <f>IF(AND(304&gt;=$NR$68,304&lt;=$NS$68),IF($NP$68="Single_Point",IF(304=$NR$68,$NN$68,0),IF($NP$68="Bell_Curve",$NN$68*(304-$NR$68+1)*($NS$68-304+1)/$NU$68,$NN$68/$NT$68)),0)</f>
        <v/>
      </c>
      <c r="KW68" s="402">
        <f>IF(AND(305&gt;=$NR$68,305&lt;=$NS$68),IF($NP$68="Single_Point",IF(305=$NR$68,$NN$68,0),IF($NP$68="Bell_Curve",$NN$68*(305-$NR$68+1)*($NS$68-305+1)/$NU$68,$NN$68/$NT$68)),0)</f>
        <v/>
      </c>
      <c r="KX68" s="402">
        <f>IF(AND(306&gt;=$NR$68,306&lt;=$NS$68),IF($NP$68="Single_Point",IF(306=$NR$68,$NN$68,0),IF($NP$68="Bell_Curve",$NN$68*(306-$NR$68+1)*($NS$68-306+1)/$NU$68,$NN$68/$NT$68)),0)</f>
        <v/>
      </c>
      <c r="KY68" s="402">
        <f>IF(AND(307&gt;=$NR$68,307&lt;=$NS$68),IF($NP$68="Single_Point",IF(307=$NR$68,$NN$68,0),IF($NP$68="Bell_Curve",$NN$68*(307-$NR$68+1)*($NS$68-307+1)/$NU$68,$NN$68/$NT$68)),0)</f>
        <v/>
      </c>
      <c r="KZ68" s="402">
        <f>IF(AND(308&gt;=$NR$68,308&lt;=$NS$68),IF($NP$68="Single_Point",IF(308=$NR$68,$NN$68,0),IF($NP$68="Bell_Curve",$NN$68*(308-$NR$68+1)*($NS$68-308+1)/$NU$68,$NN$68/$NT$68)),0)</f>
        <v/>
      </c>
      <c r="LA68" s="402">
        <f>IF(AND(309&gt;=$NR$68,309&lt;=$NS$68),IF($NP$68="Single_Point",IF(309=$NR$68,$NN$68,0),IF($NP$68="Bell_Curve",$NN$68*(309-$NR$68+1)*($NS$68-309+1)/$NU$68,$NN$68/$NT$68)),0)</f>
        <v/>
      </c>
      <c r="LB68" s="402">
        <f>IF(AND(310&gt;=$NR$68,310&lt;=$NS$68),IF($NP$68="Single_Point",IF(310=$NR$68,$NN$68,0),IF($NP$68="Bell_Curve",$NN$68*(310-$NR$68+1)*($NS$68-310+1)/$NU$68,$NN$68/$NT$68)),0)</f>
        <v/>
      </c>
      <c r="LC68" s="402">
        <f>IF(AND(311&gt;=$NR$68,311&lt;=$NS$68),IF($NP$68="Single_Point",IF(311=$NR$68,$NN$68,0),IF($NP$68="Bell_Curve",$NN$68*(311-$NR$68+1)*($NS$68-311+1)/$NU$68,$NN$68/$NT$68)),0)</f>
        <v/>
      </c>
      <c r="LD68" s="402">
        <f>IF(AND(312&gt;=$NR$68,312&lt;=$NS$68),IF($NP$68="Single_Point",IF(312=$NR$68,$NN$68,0),IF($NP$68="Bell_Curve",$NN$68*(312-$NR$68+1)*($NS$68-312+1)/$NU$68,$NN$68/$NT$68)),0)</f>
        <v/>
      </c>
      <c r="LE68" s="402">
        <f>IF(AND(313&gt;=$NR$68,313&lt;=$NS$68),IF($NP$68="Single_Point",IF(313=$NR$68,$NN$68,0),IF($NP$68="Bell_Curve",$NN$68*(313-$NR$68+1)*($NS$68-313+1)/$NU$68,$NN$68/$NT$68)),0)</f>
        <v/>
      </c>
      <c r="LF68" s="402">
        <f>IF(AND(314&gt;=$NR$68,314&lt;=$NS$68),IF($NP$68="Single_Point",IF(314=$NR$68,$NN$68,0),IF($NP$68="Bell_Curve",$NN$68*(314-$NR$68+1)*($NS$68-314+1)/$NU$68,$NN$68/$NT$68)),0)</f>
        <v/>
      </c>
      <c r="LG68" s="402">
        <f>IF(AND(315&gt;=$NR$68,315&lt;=$NS$68),IF($NP$68="Single_Point",IF(315=$NR$68,$NN$68,0),IF($NP$68="Bell_Curve",$NN$68*(315-$NR$68+1)*($NS$68-315+1)/$NU$68,$NN$68/$NT$68)),0)</f>
        <v/>
      </c>
      <c r="LH68" s="402">
        <f>IF(AND(316&gt;=$NR$68,316&lt;=$NS$68),IF($NP$68="Single_Point",IF(316=$NR$68,$NN$68,0),IF($NP$68="Bell_Curve",$NN$68*(316-$NR$68+1)*($NS$68-316+1)/$NU$68,$NN$68/$NT$68)),0)</f>
        <v/>
      </c>
      <c r="LI68" s="402">
        <f>IF(AND(317&gt;=$NR$68,317&lt;=$NS$68),IF($NP$68="Single_Point",IF(317=$NR$68,$NN$68,0),IF($NP$68="Bell_Curve",$NN$68*(317-$NR$68+1)*($NS$68-317+1)/$NU$68,$NN$68/$NT$68)),0)</f>
        <v/>
      </c>
      <c r="LJ68" s="402">
        <f>IF(AND(318&gt;=$NR$68,318&lt;=$NS$68),IF($NP$68="Single_Point",IF(318=$NR$68,$NN$68,0),IF($NP$68="Bell_Curve",$NN$68*(318-$NR$68+1)*($NS$68-318+1)/$NU$68,$NN$68/$NT$68)),0)</f>
        <v/>
      </c>
      <c r="LK68" s="402">
        <f>IF(AND(319&gt;=$NR$68,319&lt;=$NS$68),IF($NP$68="Single_Point",IF(319=$NR$68,$NN$68,0),IF($NP$68="Bell_Curve",$NN$68*(319-$NR$68+1)*($NS$68-319+1)/$NU$68,$NN$68/$NT$68)),0)</f>
        <v/>
      </c>
      <c r="LL68" s="402">
        <f>IF(AND(320&gt;=$NR$68,320&lt;=$NS$68),IF($NP$68="Single_Point",IF(320=$NR$68,$NN$68,0),IF($NP$68="Bell_Curve",$NN$68*(320-$NR$68+1)*($NS$68-320+1)/$NU$68,$NN$68/$NT$68)),0)</f>
        <v/>
      </c>
      <c r="LM68" s="402">
        <f>IF(AND(321&gt;=$NR$68,321&lt;=$NS$68),IF($NP$68="Single_Point",IF(321=$NR$68,$NN$68,0),IF($NP$68="Bell_Curve",$NN$68*(321-$NR$68+1)*($NS$68-321+1)/$NU$68,$NN$68/$NT$68)),0)</f>
        <v/>
      </c>
      <c r="LN68" s="402">
        <f>IF(AND(322&gt;=$NR$68,322&lt;=$NS$68),IF($NP$68="Single_Point",IF(322=$NR$68,$NN$68,0),IF($NP$68="Bell_Curve",$NN$68*(322-$NR$68+1)*($NS$68-322+1)/$NU$68,$NN$68/$NT$68)),0)</f>
        <v/>
      </c>
      <c r="LO68" s="402">
        <f>IF(AND(323&gt;=$NR$68,323&lt;=$NS$68),IF($NP$68="Single_Point",IF(323=$NR$68,$NN$68,0),IF($NP$68="Bell_Curve",$NN$68*(323-$NR$68+1)*($NS$68-323+1)/$NU$68,$NN$68/$NT$68)),0)</f>
        <v/>
      </c>
      <c r="LP68" s="402">
        <f>IF(AND(324&gt;=$NR$68,324&lt;=$NS$68),IF($NP$68="Single_Point",IF(324=$NR$68,$NN$68,0),IF($NP$68="Bell_Curve",$NN$68*(324-$NR$68+1)*($NS$68-324+1)/$NU$68,$NN$68/$NT$68)),0)</f>
        <v/>
      </c>
      <c r="LQ68" s="402">
        <f>IF(AND(325&gt;=$NR$68,325&lt;=$NS$68),IF($NP$68="Single_Point",IF(325=$NR$68,$NN$68,0),IF($NP$68="Bell_Curve",$NN$68*(325-$NR$68+1)*($NS$68-325+1)/$NU$68,$NN$68/$NT$68)),0)</f>
        <v/>
      </c>
      <c r="LR68" s="402">
        <f>IF(AND(326&gt;=$NR$68,326&lt;=$NS$68),IF($NP$68="Single_Point",IF(326=$NR$68,$NN$68,0),IF($NP$68="Bell_Curve",$NN$68*(326-$NR$68+1)*($NS$68-326+1)/$NU$68,$NN$68/$NT$68)),0)</f>
        <v/>
      </c>
      <c r="LS68" s="402">
        <f>IF(AND(327&gt;=$NR$68,327&lt;=$NS$68),IF($NP$68="Single_Point",IF(327=$NR$68,$NN$68,0),IF($NP$68="Bell_Curve",$NN$68*(327-$NR$68+1)*($NS$68-327+1)/$NU$68,$NN$68/$NT$68)),0)</f>
        <v/>
      </c>
      <c r="LT68" s="402">
        <f>IF(AND(328&gt;=$NR$68,328&lt;=$NS$68),IF($NP$68="Single_Point",IF(328=$NR$68,$NN$68,0),IF($NP$68="Bell_Curve",$NN$68*(328-$NR$68+1)*($NS$68-328+1)/$NU$68,$NN$68/$NT$68)),0)</f>
        <v/>
      </c>
      <c r="LU68" s="402">
        <f>IF(AND(329&gt;=$NR$68,329&lt;=$NS$68),IF($NP$68="Single_Point",IF(329=$NR$68,$NN$68,0),IF($NP$68="Bell_Curve",$NN$68*(329-$NR$68+1)*($NS$68-329+1)/$NU$68,$NN$68/$NT$68)),0)</f>
        <v/>
      </c>
      <c r="LV68" s="402">
        <f>IF(AND(330&gt;=$NR$68,330&lt;=$NS$68),IF($NP$68="Single_Point",IF(330=$NR$68,$NN$68,0),IF($NP$68="Bell_Curve",$NN$68*(330-$NR$68+1)*($NS$68-330+1)/$NU$68,$NN$68/$NT$68)),0)</f>
        <v/>
      </c>
      <c r="LW68" s="402">
        <f>IF(AND(331&gt;=$NR$68,331&lt;=$NS$68),IF($NP$68="Single_Point",IF(331=$NR$68,$NN$68,0),IF($NP$68="Bell_Curve",$NN$68*(331-$NR$68+1)*($NS$68-331+1)/$NU$68,$NN$68/$NT$68)),0)</f>
        <v/>
      </c>
      <c r="LX68" s="402">
        <f>IF(AND(332&gt;=$NR$68,332&lt;=$NS$68),IF($NP$68="Single_Point",IF(332=$NR$68,$NN$68,0),IF($NP$68="Bell_Curve",$NN$68*(332-$NR$68+1)*($NS$68-332+1)/$NU$68,$NN$68/$NT$68)),0)</f>
        <v/>
      </c>
      <c r="LY68" s="402">
        <f>IF(AND(333&gt;=$NR$68,333&lt;=$NS$68),IF($NP$68="Single_Point",IF(333=$NR$68,$NN$68,0),IF($NP$68="Bell_Curve",$NN$68*(333-$NR$68+1)*($NS$68-333+1)/$NU$68,$NN$68/$NT$68)),0)</f>
        <v/>
      </c>
      <c r="LZ68" s="402">
        <f>IF(AND(334&gt;=$NR$68,334&lt;=$NS$68),IF($NP$68="Single_Point",IF(334=$NR$68,$NN$68,0),IF($NP$68="Bell_Curve",$NN$68*(334-$NR$68+1)*($NS$68-334+1)/$NU$68,$NN$68/$NT$68)),0)</f>
        <v/>
      </c>
      <c r="MA68" s="402">
        <f>IF(AND(335&gt;=$NR$68,335&lt;=$NS$68),IF($NP$68="Single_Point",IF(335=$NR$68,$NN$68,0),IF($NP$68="Bell_Curve",$NN$68*(335-$NR$68+1)*($NS$68-335+1)/$NU$68,$NN$68/$NT$68)),0)</f>
        <v/>
      </c>
      <c r="MB68" s="402">
        <f>IF(AND(336&gt;=$NR$68,336&lt;=$NS$68),IF($NP$68="Single_Point",IF(336=$NR$68,$NN$68,0),IF($NP$68="Bell_Curve",$NN$68*(336-$NR$68+1)*($NS$68-336+1)/$NU$68,$NN$68/$NT$68)),0)</f>
        <v/>
      </c>
      <c r="MC68" s="402">
        <f>IF(AND(337&gt;=$NR$68,337&lt;=$NS$68),IF($NP$68="Single_Point",IF(337=$NR$68,$NN$68,0),IF($NP$68="Bell_Curve",$NN$68*(337-$NR$68+1)*($NS$68-337+1)/$NU$68,$NN$68/$NT$68)),0)</f>
        <v/>
      </c>
      <c r="MD68" s="402">
        <f>IF(AND(338&gt;=$NR$68,338&lt;=$NS$68),IF($NP$68="Single_Point",IF(338=$NR$68,$NN$68,0),IF($NP$68="Bell_Curve",$NN$68*(338-$NR$68+1)*($NS$68-338+1)/$NU$68,$NN$68/$NT$68)),0)</f>
        <v/>
      </c>
      <c r="ME68" s="402">
        <f>IF(AND(339&gt;=$NR$68,339&lt;=$NS$68),IF($NP$68="Single_Point",IF(339=$NR$68,$NN$68,0),IF($NP$68="Bell_Curve",$NN$68*(339-$NR$68+1)*($NS$68-339+1)/$NU$68,$NN$68/$NT$68)),0)</f>
        <v/>
      </c>
      <c r="MF68" s="402">
        <f>IF(AND(340&gt;=$NR$68,340&lt;=$NS$68),IF($NP$68="Single_Point",IF(340=$NR$68,$NN$68,0),IF($NP$68="Bell_Curve",$NN$68*(340-$NR$68+1)*($NS$68-340+1)/$NU$68,$NN$68/$NT$68)),0)</f>
        <v/>
      </c>
      <c r="MG68" s="402">
        <f>IF(AND(341&gt;=$NR$68,341&lt;=$NS$68),IF($NP$68="Single_Point",IF(341=$NR$68,$NN$68,0),IF($NP$68="Bell_Curve",$NN$68*(341-$NR$68+1)*($NS$68-341+1)/$NU$68,$NN$68/$NT$68)),0)</f>
        <v/>
      </c>
      <c r="MH68" s="402">
        <f>IF(AND(342&gt;=$NR$68,342&lt;=$NS$68),IF($NP$68="Single_Point",IF(342=$NR$68,$NN$68,0),IF($NP$68="Bell_Curve",$NN$68*(342-$NR$68+1)*($NS$68-342+1)/$NU$68,$NN$68/$NT$68)),0)</f>
        <v/>
      </c>
      <c r="MI68" s="402">
        <f>IF(AND(343&gt;=$NR$68,343&lt;=$NS$68),IF($NP$68="Single_Point",IF(343=$NR$68,$NN$68,0),IF($NP$68="Bell_Curve",$NN$68*(343-$NR$68+1)*($NS$68-343+1)/$NU$68,$NN$68/$NT$68)),0)</f>
        <v/>
      </c>
      <c r="MJ68" s="402">
        <f>IF(AND(344&gt;=$NR$68,344&lt;=$NS$68),IF($NP$68="Single_Point",IF(344=$NR$68,$NN$68,0),IF($NP$68="Bell_Curve",$NN$68*(344-$NR$68+1)*($NS$68-344+1)/$NU$68,$NN$68/$NT$68)),0)</f>
        <v/>
      </c>
      <c r="MK68" s="402">
        <f>IF(AND(345&gt;=$NR$68,345&lt;=$NS$68),IF($NP$68="Single_Point",IF(345=$NR$68,$NN$68,0),IF($NP$68="Bell_Curve",$NN$68*(345-$NR$68+1)*($NS$68-345+1)/$NU$68,$NN$68/$NT$68)),0)</f>
        <v/>
      </c>
      <c r="ML68" s="402">
        <f>IF(AND(346&gt;=$NR$68,346&lt;=$NS$68),IF($NP$68="Single_Point",IF(346=$NR$68,$NN$68,0),IF($NP$68="Bell_Curve",$NN$68*(346-$NR$68+1)*($NS$68-346+1)/$NU$68,$NN$68/$NT$68)),0)</f>
        <v/>
      </c>
      <c r="MM68" s="402">
        <f>IF(AND(347&gt;=$NR$68,347&lt;=$NS$68),IF($NP$68="Single_Point",IF(347=$NR$68,$NN$68,0),IF($NP$68="Bell_Curve",$NN$68*(347-$NR$68+1)*($NS$68-347+1)/$NU$68,$NN$68/$NT$68)),0)</f>
        <v/>
      </c>
      <c r="MN68" s="402">
        <f>IF(AND(348&gt;=$NR$68,348&lt;=$NS$68),IF($NP$68="Single_Point",IF(348=$NR$68,$NN$68,0),IF($NP$68="Bell_Curve",$NN$68*(348-$NR$68+1)*($NS$68-348+1)/$NU$68,$NN$68/$NT$68)),0)</f>
        <v/>
      </c>
      <c r="MO68" s="402">
        <f>IF(AND(349&gt;=$NR$68,349&lt;=$NS$68),IF($NP$68="Single_Point",IF(349=$NR$68,$NN$68,0),IF($NP$68="Bell_Curve",$NN$68*(349-$NR$68+1)*($NS$68-349+1)/$NU$68,$NN$68/$NT$68)),0)</f>
        <v/>
      </c>
      <c r="MP68" s="402">
        <f>IF(AND(350&gt;=$NR$68,350&lt;=$NS$68),IF($NP$68="Single_Point",IF(350=$NR$68,$NN$68,0),IF($NP$68="Bell_Curve",$NN$68*(350-$NR$68+1)*($NS$68-350+1)/$NU$68,$NN$68/$NT$68)),0)</f>
        <v/>
      </c>
      <c r="MQ68" s="402">
        <f>IF(AND(351&gt;=$NR$68,351&lt;=$NS$68),IF($NP$68="Single_Point",IF(351=$NR$68,$NN$68,0),IF($NP$68="Bell_Curve",$NN$68*(351-$NR$68+1)*($NS$68-351+1)/$NU$68,$NN$68/$NT$68)),0)</f>
        <v/>
      </c>
      <c r="MR68" s="402">
        <f>IF(AND(352&gt;=$NR$68,352&lt;=$NS$68),IF($NP$68="Single_Point",IF(352=$NR$68,$NN$68,0),IF($NP$68="Bell_Curve",$NN$68*(352-$NR$68+1)*($NS$68-352+1)/$NU$68,$NN$68/$NT$68)),0)</f>
        <v/>
      </c>
      <c r="MS68" s="402">
        <f>IF(AND(353&gt;=$NR$68,353&lt;=$NS$68),IF($NP$68="Single_Point",IF(353=$NR$68,$NN$68,0),IF($NP$68="Bell_Curve",$NN$68*(353-$NR$68+1)*($NS$68-353+1)/$NU$68,$NN$68/$NT$68)),0)</f>
        <v/>
      </c>
      <c r="MT68" s="402">
        <f>IF(AND(354&gt;=$NR$68,354&lt;=$NS$68),IF($NP$68="Single_Point",IF(354=$NR$68,$NN$68,0),IF($NP$68="Bell_Curve",$NN$68*(354-$NR$68+1)*($NS$68-354+1)/$NU$68,$NN$68/$NT$68)),0)</f>
        <v/>
      </c>
      <c r="MU68" s="402">
        <f>IF(AND(355&gt;=$NR$68,355&lt;=$NS$68),IF($NP$68="Single_Point",IF(355=$NR$68,$NN$68,0),IF($NP$68="Bell_Curve",$NN$68*(355-$NR$68+1)*($NS$68-355+1)/$NU$68,$NN$68/$NT$68)),0)</f>
        <v/>
      </c>
      <c r="MV68" s="402">
        <f>IF(AND(356&gt;=$NR$68,356&lt;=$NS$68),IF($NP$68="Single_Point",IF(356=$NR$68,$NN$68,0),IF($NP$68="Bell_Curve",$NN$68*(356-$NR$68+1)*($NS$68-356+1)/$NU$68,$NN$68/$NT$68)),0)</f>
        <v/>
      </c>
      <c r="MW68" s="402">
        <f>IF(AND(357&gt;=$NR$68,357&lt;=$NS$68),IF($NP$68="Single_Point",IF(357=$NR$68,$NN$68,0),IF($NP$68="Bell_Curve",$NN$68*(357-$NR$68+1)*($NS$68-357+1)/$NU$68,$NN$68/$NT$68)),0)</f>
        <v/>
      </c>
      <c r="MX68" s="402">
        <f>IF(AND(358&gt;=$NR$68,358&lt;=$NS$68),IF($NP$68="Single_Point",IF(358=$NR$68,$NN$68,0),IF($NP$68="Bell_Curve",$NN$68*(358-$NR$68+1)*($NS$68-358+1)/$NU$68,$NN$68/$NT$68)),0)</f>
        <v/>
      </c>
      <c r="MY68" s="402">
        <f>IF(AND(359&gt;=$NR$68,359&lt;=$NS$68),IF($NP$68="Single_Point",IF(359=$NR$68,$NN$68,0),IF($NP$68="Bell_Curve",$NN$68*(359-$NR$68+1)*($NS$68-359+1)/$NU$68,$NN$68/$NT$68)),0)</f>
        <v/>
      </c>
      <c r="MZ68" s="402">
        <f>IF(AND(360&gt;=$NR$68,360&lt;=$NS$68),IF($NP$68="Single_Point",IF(360=$NR$68,$NN$68,0),IF($NP$68="Bell_Curve",$NN$68*(360-$NR$68+1)*($NS$68-360+1)/$NU$68,$NN$68/$NT$68)),0)</f>
        <v/>
      </c>
      <c r="NA68" s="402">
        <f>IF(AND(361&gt;=$NR$68,361&lt;=$NS$68),IF($NP$68="Single_Point",IF(361=$NR$68,$NN$68,0),IF($NP$68="Bell_Curve",$NN$68*(361-$NR$68+1)*($NS$68-361+1)/$NU$68,$NN$68/$NT$68)),0)</f>
        <v/>
      </c>
      <c r="NB68" s="402">
        <f>IF(AND(362&gt;=$NR$68,362&lt;=$NS$68),IF($NP$68="Single_Point",IF(362=$NR$68,$NN$68,0),IF($NP$68="Bell_Curve",$NN$68*(362-$NR$68+1)*($NS$68-362+1)/$NU$68,$NN$68/$NT$68)),0)</f>
        <v/>
      </c>
      <c r="NC68" s="402">
        <f>IF(AND(363&gt;=$NR$68,363&lt;=$NS$68),IF($NP$68="Single_Point",IF(363=$NR$68,$NN$68,0),IF($NP$68="Bell_Curve",$NN$68*(363-$NR$68+1)*($NS$68-363+1)/$NU$68,$NN$68/$NT$68)),0)</f>
        <v/>
      </c>
      <c r="ND68" s="402">
        <f>IF(AND(364&gt;=$NR$68,364&lt;=$NS$68),IF($NP$68="Single_Point",IF(364=$NR$68,$NN$68,0),IF($NP$68="Bell_Curve",$NN$68*(364-$NR$68+1)*($NS$68-364+1)/$NU$68,$NN$68/$NT$68)),0)</f>
        <v/>
      </c>
      <c r="NE68" s="402">
        <f>IF(AND(365&gt;=$NR$68,365&lt;=$NS$68),IF($NP$68="Single_Point",IF(365=$NR$68,$NN$68,0),IF($NP$68="Bell_Curve",$NN$68*(365-$NR$68+1)*($NS$68-365+1)/$NU$68,$NN$68/$NT$68)),0)</f>
        <v/>
      </c>
      <c r="NF68" s="402">
        <f>IF(AND(366&gt;=$NR$68,366&lt;=$NS$68),IF($NP$68="Single_Point",IF(366=$NR$68,$NN$68,0),IF($NP$68="Bell_Curve",$NN$68*(366-$NR$68+1)*($NS$68-366+1)/$NU$68,$NN$68/$NT$68)),0)</f>
        <v/>
      </c>
      <c r="NG68" s="402">
        <f>IF(AND(367&gt;=$NR$68,367&lt;=$NS$68),IF($NP$68="Single_Point",IF(367=$NR$68,$NN$68,0),IF($NP$68="Bell_Curve",$NN$68*(367-$NR$68+1)*($NS$68-367+1)/$NU$68,$NN$68/$NT$68)),0)</f>
        <v/>
      </c>
      <c r="NH68" s="402">
        <f>IF(AND(368&gt;=$NR$68,368&lt;=$NS$68),IF($NP$68="Single_Point",IF(368=$NR$68,$NN$68,0),IF($NP$68="Bell_Curve",$NN$68*(368-$NR$68+1)*($NS$68-368+1)/$NU$68,$NN$68/$NT$68)),0)</f>
        <v/>
      </c>
      <c r="NI68" s="402">
        <f>IF(AND(369&gt;=$NR$68,369&lt;=$NS$68),IF($NP$68="Single_Point",IF(369=$NR$68,$NN$68,0),IF($NP$68="Bell_Curve",$NN$68*(369-$NR$68+1)*($NS$68-369+1)/$NU$68,$NN$68/$NT$68)),0)</f>
        <v/>
      </c>
      <c r="NJ68" s="402">
        <f>IF(AND(370&gt;=$NR$68,370&lt;=$NS$68),IF($NP$68="Single_Point",IF(370=$NR$68,$NN$68,0),IF($NP$68="Bell_Curve",$NN$68*(370-$NR$68+1)*($NS$68-370+1)/$NU$68,$NN$68/$NT$68)),0)</f>
        <v/>
      </c>
      <c r="NK68" s="402">
        <f>IF(AND(371&gt;=$NR$68,371&lt;=$NS$68),IF($NP$68="Single_Point",IF(371=$NR$68,$NN$68,0),IF($NP$68="Bell_Curve",$NN$68*(371-$NR$68+1)*($NS$68-371+1)/$NU$68,$NN$68/$NT$68)),0)</f>
        <v/>
      </c>
      <c r="NL68" s="402">
        <f>IF(AND(372&gt;=$NR$68,372&lt;=$NS$68),IF($NP$68="Single_Point",IF(372=$NR$68,$NN$68,0),IF($NP$68="Bell_Curve",$NN$68*(372-$NR$68+1)*($NS$68-372+1)/$NU$68,$NN$68/$NT$68)),0)</f>
        <v/>
      </c>
      <c r="NM68">
        <f>Budget!C67</f>
        <v/>
      </c>
      <c r="NN68">
        <f>Budget!J67</f>
        <v/>
      </c>
      <c r="NO68">
        <f>Budget!G67</f>
        <v/>
      </c>
      <c r="NP68">
        <f>Budget!H67</f>
        <v/>
      </c>
      <c r="NQ68">
        <f>Budget!I67</f>
        <v/>
      </c>
      <c r="NR68">
        <f>MAX(1,MIN(372,INDEX(MilestoneStart,MATCH(NO68,MilestoneNames,0))+NQ68))</f>
        <v/>
      </c>
      <c r="NS68">
        <f>MAX(NR68,MIN(372,INDEX(MilestoneEnd,MATCH(NO68,MilestoneNames,0))+NQ68))</f>
        <v/>
      </c>
      <c r="NT68">
        <f>NS68-NR68+1</f>
        <v/>
      </c>
      <c r="NU68">
        <f>NT68*(NT68+1)*(NT68+2)/6</f>
        <v/>
      </c>
    </row>
    <row r="69">
      <c r="B69" s="316">
        <f>Budget!B68</f>
        <v/>
      </c>
      <c r="D69" s="402">
        <f>SUM(E69:NL69)</f>
        <v/>
      </c>
      <c r="E69" s="402">
        <f>IF(AND(1&gt;=$NR$69,1&lt;=$NS$69),IF($NP$69="Single_Point",IF(1=$NR$69,$NN$69,0),IF($NP$69="Bell_Curve",$NN$69*(1-$NR$69+1)*($NS$69-1+1)/$NU$69,$NN$69/$NT$69)),0)</f>
        <v/>
      </c>
      <c r="F69" s="402">
        <f>IF(AND(2&gt;=$NR$69,2&lt;=$NS$69),IF($NP$69="Single_Point",IF(2=$NR$69,$NN$69,0),IF($NP$69="Bell_Curve",$NN$69*(2-$NR$69+1)*($NS$69-2+1)/$NU$69,$NN$69/$NT$69)),0)</f>
        <v/>
      </c>
      <c r="G69" s="402">
        <f>IF(AND(3&gt;=$NR$69,3&lt;=$NS$69),IF($NP$69="Single_Point",IF(3=$NR$69,$NN$69,0),IF($NP$69="Bell_Curve",$NN$69*(3-$NR$69+1)*($NS$69-3+1)/$NU$69,$NN$69/$NT$69)),0)</f>
        <v/>
      </c>
      <c r="H69" s="402">
        <f>IF(AND(4&gt;=$NR$69,4&lt;=$NS$69),IF($NP$69="Single_Point",IF(4=$NR$69,$NN$69,0),IF($NP$69="Bell_Curve",$NN$69*(4-$NR$69+1)*($NS$69-4+1)/$NU$69,$NN$69/$NT$69)),0)</f>
        <v/>
      </c>
      <c r="I69" s="402">
        <f>IF(AND(5&gt;=$NR$69,5&lt;=$NS$69),IF($NP$69="Single_Point",IF(5=$NR$69,$NN$69,0),IF($NP$69="Bell_Curve",$NN$69*(5-$NR$69+1)*($NS$69-5+1)/$NU$69,$NN$69/$NT$69)),0)</f>
        <v/>
      </c>
      <c r="J69" s="402">
        <f>IF(AND(6&gt;=$NR$69,6&lt;=$NS$69),IF($NP$69="Single_Point",IF(6=$NR$69,$NN$69,0),IF($NP$69="Bell_Curve",$NN$69*(6-$NR$69+1)*($NS$69-6+1)/$NU$69,$NN$69/$NT$69)),0)</f>
        <v/>
      </c>
      <c r="K69" s="402">
        <f>IF(AND(7&gt;=$NR$69,7&lt;=$NS$69),IF($NP$69="Single_Point",IF(7=$NR$69,$NN$69,0),IF($NP$69="Bell_Curve",$NN$69*(7-$NR$69+1)*($NS$69-7+1)/$NU$69,$NN$69/$NT$69)),0)</f>
        <v/>
      </c>
      <c r="L69" s="402">
        <f>IF(AND(8&gt;=$NR$69,8&lt;=$NS$69),IF($NP$69="Single_Point",IF(8=$NR$69,$NN$69,0),IF($NP$69="Bell_Curve",$NN$69*(8-$NR$69+1)*($NS$69-8+1)/$NU$69,$NN$69/$NT$69)),0)</f>
        <v/>
      </c>
      <c r="M69" s="402">
        <f>IF(AND(9&gt;=$NR$69,9&lt;=$NS$69),IF($NP$69="Single_Point",IF(9=$NR$69,$NN$69,0),IF($NP$69="Bell_Curve",$NN$69*(9-$NR$69+1)*($NS$69-9+1)/$NU$69,$NN$69/$NT$69)),0)</f>
        <v/>
      </c>
      <c r="N69" s="402">
        <f>IF(AND(10&gt;=$NR$69,10&lt;=$NS$69),IF($NP$69="Single_Point",IF(10=$NR$69,$NN$69,0),IF($NP$69="Bell_Curve",$NN$69*(10-$NR$69+1)*($NS$69-10+1)/$NU$69,$NN$69/$NT$69)),0)</f>
        <v/>
      </c>
      <c r="O69" s="402">
        <f>IF(AND(11&gt;=$NR$69,11&lt;=$NS$69),IF($NP$69="Single_Point",IF(11=$NR$69,$NN$69,0),IF($NP$69="Bell_Curve",$NN$69*(11-$NR$69+1)*($NS$69-11+1)/$NU$69,$NN$69/$NT$69)),0)</f>
        <v/>
      </c>
      <c r="P69" s="402">
        <f>IF(AND(12&gt;=$NR$69,12&lt;=$NS$69),IF($NP$69="Single_Point",IF(12=$NR$69,$NN$69,0),IF($NP$69="Bell_Curve",$NN$69*(12-$NR$69+1)*($NS$69-12+1)/$NU$69,$NN$69/$NT$69)),0)</f>
        <v/>
      </c>
      <c r="Q69" s="402">
        <f>IF(AND(13&gt;=$NR$69,13&lt;=$NS$69),IF($NP$69="Single_Point",IF(13=$NR$69,$NN$69,0),IF($NP$69="Bell_Curve",$NN$69*(13-$NR$69+1)*($NS$69-13+1)/$NU$69,$NN$69/$NT$69)),0)</f>
        <v/>
      </c>
      <c r="R69" s="402">
        <f>IF(AND(14&gt;=$NR$69,14&lt;=$NS$69),IF($NP$69="Single_Point",IF(14=$NR$69,$NN$69,0),IF($NP$69="Bell_Curve",$NN$69*(14-$NR$69+1)*($NS$69-14+1)/$NU$69,$NN$69/$NT$69)),0)</f>
        <v/>
      </c>
      <c r="S69" s="402">
        <f>IF(AND(15&gt;=$NR$69,15&lt;=$NS$69),IF($NP$69="Single_Point",IF(15=$NR$69,$NN$69,0),IF($NP$69="Bell_Curve",$NN$69*(15-$NR$69+1)*($NS$69-15+1)/$NU$69,$NN$69/$NT$69)),0)</f>
        <v/>
      </c>
      <c r="T69" s="402">
        <f>IF(AND(16&gt;=$NR$69,16&lt;=$NS$69),IF($NP$69="Single_Point",IF(16=$NR$69,$NN$69,0),IF($NP$69="Bell_Curve",$NN$69*(16-$NR$69+1)*($NS$69-16+1)/$NU$69,$NN$69/$NT$69)),0)</f>
        <v/>
      </c>
      <c r="U69" s="402">
        <f>IF(AND(17&gt;=$NR$69,17&lt;=$NS$69),IF($NP$69="Single_Point",IF(17=$NR$69,$NN$69,0),IF($NP$69="Bell_Curve",$NN$69*(17-$NR$69+1)*($NS$69-17+1)/$NU$69,$NN$69/$NT$69)),0)</f>
        <v/>
      </c>
      <c r="V69" s="402">
        <f>IF(AND(18&gt;=$NR$69,18&lt;=$NS$69),IF($NP$69="Single_Point",IF(18=$NR$69,$NN$69,0),IF($NP$69="Bell_Curve",$NN$69*(18-$NR$69+1)*($NS$69-18+1)/$NU$69,$NN$69/$NT$69)),0)</f>
        <v/>
      </c>
      <c r="W69" s="402">
        <f>IF(AND(19&gt;=$NR$69,19&lt;=$NS$69),IF($NP$69="Single_Point",IF(19=$NR$69,$NN$69,0),IF($NP$69="Bell_Curve",$NN$69*(19-$NR$69+1)*($NS$69-19+1)/$NU$69,$NN$69/$NT$69)),0)</f>
        <v/>
      </c>
      <c r="X69" s="402">
        <f>IF(AND(20&gt;=$NR$69,20&lt;=$NS$69),IF($NP$69="Single_Point",IF(20=$NR$69,$NN$69,0),IF($NP$69="Bell_Curve",$NN$69*(20-$NR$69+1)*($NS$69-20+1)/$NU$69,$NN$69/$NT$69)),0)</f>
        <v/>
      </c>
      <c r="Y69" s="402">
        <f>IF(AND(21&gt;=$NR$69,21&lt;=$NS$69),IF($NP$69="Single_Point",IF(21=$NR$69,$NN$69,0),IF($NP$69="Bell_Curve",$NN$69*(21-$NR$69+1)*($NS$69-21+1)/$NU$69,$NN$69/$NT$69)),0)</f>
        <v/>
      </c>
      <c r="Z69" s="402">
        <f>IF(AND(22&gt;=$NR$69,22&lt;=$NS$69),IF($NP$69="Single_Point",IF(22=$NR$69,$NN$69,0),IF($NP$69="Bell_Curve",$NN$69*(22-$NR$69+1)*($NS$69-22+1)/$NU$69,$NN$69/$NT$69)),0)</f>
        <v/>
      </c>
      <c r="AA69" s="402">
        <f>IF(AND(23&gt;=$NR$69,23&lt;=$NS$69),IF($NP$69="Single_Point",IF(23=$NR$69,$NN$69,0),IF($NP$69="Bell_Curve",$NN$69*(23-$NR$69+1)*($NS$69-23+1)/$NU$69,$NN$69/$NT$69)),0)</f>
        <v/>
      </c>
      <c r="AB69" s="402">
        <f>IF(AND(24&gt;=$NR$69,24&lt;=$NS$69),IF($NP$69="Single_Point",IF(24=$NR$69,$NN$69,0),IF($NP$69="Bell_Curve",$NN$69*(24-$NR$69+1)*($NS$69-24+1)/$NU$69,$NN$69/$NT$69)),0)</f>
        <v/>
      </c>
      <c r="AC69" s="402">
        <f>IF(AND(25&gt;=$NR$69,25&lt;=$NS$69),IF($NP$69="Single_Point",IF(25=$NR$69,$NN$69,0),IF($NP$69="Bell_Curve",$NN$69*(25-$NR$69+1)*($NS$69-25+1)/$NU$69,$NN$69/$NT$69)),0)</f>
        <v/>
      </c>
      <c r="AD69" s="402">
        <f>IF(AND(26&gt;=$NR$69,26&lt;=$NS$69),IF($NP$69="Single_Point",IF(26=$NR$69,$NN$69,0),IF($NP$69="Bell_Curve",$NN$69*(26-$NR$69+1)*($NS$69-26+1)/$NU$69,$NN$69/$NT$69)),0)</f>
        <v/>
      </c>
      <c r="AE69" s="402">
        <f>IF(AND(27&gt;=$NR$69,27&lt;=$NS$69),IF($NP$69="Single_Point",IF(27=$NR$69,$NN$69,0),IF($NP$69="Bell_Curve",$NN$69*(27-$NR$69+1)*($NS$69-27+1)/$NU$69,$NN$69/$NT$69)),0)</f>
        <v/>
      </c>
      <c r="AF69" s="402">
        <f>IF(AND(28&gt;=$NR$69,28&lt;=$NS$69),IF($NP$69="Single_Point",IF(28=$NR$69,$NN$69,0),IF($NP$69="Bell_Curve",$NN$69*(28-$NR$69+1)*($NS$69-28+1)/$NU$69,$NN$69/$NT$69)),0)</f>
        <v/>
      </c>
      <c r="AG69" s="402">
        <f>IF(AND(29&gt;=$NR$69,29&lt;=$NS$69),IF($NP$69="Single_Point",IF(29=$NR$69,$NN$69,0),IF($NP$69="Bell_Curve",$NN$69*(29-$NR$69+1)*($NS$69-29+1)/$NU$69,$NN$69/$NT$69)),0)</f>
        <v/>
      </c>
      <c r="AH69" s="402">
        <f>IF(AND(30&gt;=$NR$69,30&lt;=$NS$69),IF($NP$69="Single_Point",IF(30=$NR$69,$NN$69,0),IF($NP$69="Bell_Curve",$NN$69*(30-$NR$69+1)*($NS$69-30+1)/$NU$69,$NN$69/$NT$69)),0)</f>
        <v/>
      </c>
      <c r="AI69" s="402">
        <f>IF(AND(31&gt;=$NR$69,31&lt;=$NS$69),IF($NP$69="Single_Point",IF(31=$NR$69,$NN$69,0),IF($NP$69="Bell_Curve",$NN$69*(31-$NR$69+1)*($NS$69-31+1)/$NU$69,$NN$69/$NT$69)),0)</f>
        <v/>
      </c>
      <c r="AJ69" s="402">
        <f>IF(AND(32&gt;=$NR$69,32&lt;=$NS$69),IF($NP$69="Single_Point",IF(32=$NR$69,$NN$69,0),IF($NP$69="Bell_Curve",$NN$69*(32-$NR$69+1)*($NS$69-32+1)/$NU$69,$NN$69/$NT$69)),0)</f>
        <v/>
      </c>
      <c r="AK69" s="402">
        <f>IF(AND(33&gt;=$NR$69,33&lt;=$NS$69),IF($NP$69="Single_Point",IF(33=$NR$69,$NN$69,0),IF($NP$69="Bell_Curve",$NN$69*(33-$NR$69+1)*($NS$69-33+1)/$NU$69,$NN$69/$NT$69)),0)</f>
        <v/>
      </c>
      <c r="AL69" s="402">
        <f>IF(AND(34&gt;=$NR$69,34&lt;=$NS$69),IF($NP$69="Single_Point",IF(34=$NR$69,$NN$69,0),IF($NP$69="Bell_Curve",$NN$69*(34-$NR$69+1)*($NS$69-34+1)/$NU$69,$NN$69/$NT$69)),0)</f>
        <v/>
      </c>
      <c r="AM69" s="402">
        <f>IF(AND(35&gt;=$NR$69,35&lt;=$NS$69),IF($NP$69="Single_Point",IF(35=$NR$69,$NN$69,0),IF($NP$69="Bell_Curve",$NN$69*(35-$NR$69+1)*($NS$69-35+1)/$NU$69,$NN$69/$NT$69)),0)</f>
        <v/>
      </c>
      <c r="AN69" s="402">
        <f>IF(AND(36&gt;=$NR$69,36&lt;=$NS$69),IF($NP$69="Single_Point",IF(36=$NR$69,$NN$69,0),IF($NP$69="Bell_Curve",$NN$69*(36-$NR$69+1)*($NS$69-36+1)/$NU$69,$NN$69/$NT$69)),0)</f>
        <v/>
      </c>
      <c r="AO69" s="402">
        <f>IF(AND(37&gt;=$NR$69,37&lt;=$NS$69),IF($NP$69="Single_Point",IF(37=$NR$69,$NN$69,0),IF($NP$69="Bell_Curve",$NN$69*(37-$NR$69+1)*($NS$69-37+1)/$NU$69,$NN$69/$NT$69)),0)</f>
        <v/>
      </c>
      <c r="AP69" s="402">
        <f>IF(AND(38&gt;=$NR$69,38&lt;=$NS$69),IF($NP$69="Single_Point",IF(38=$NR$69,$NN$69,0),IF($NP$69="Bell_Curve",$NN$69*(38-$NR$69+1)*($NS$69-38+1)/$NU$69,$NN$69/$NT$69)),0)</f>
        <v/>
      </c>
      <c r="AQ69" s="402">
        <f>IF(AND(39&gt;=$NR$69,39&lt;=$NS$69),IF($NP$69="Single_Point",IF(39=$NR$69,$NN$69,0),IF($NP$69="Bell_Curve",$NN$69*(39-$NR$69+1)*($NS$69-39+1)/$NU$69,$NN$69/$NT$69)),0)</f>
        <v/>
      </c>
      <c r="AR69" s="402">
        <f>IF(AND(40&gt;=$NR$69,40&lt;=$NS$69),IF($NP$69="Single_Point",IF(40=$NR$69,$NN$69,0),IF($NP$69="Bell_Curve",$NN$69*(40-$NR$69+1)*($NS$69-40+1)/$NU$69,$NN$69/$NT$69)),0)</f>
        <v/>
      </c>
      <c r="AS69" s="402">
        <f>IF(AND(41&gt;=$NR$69,41&lt;=$NS$69),IF($NP$69="Single_Point",IF(41=$NR$69,$NN$69,0),IF($NP$69="Bell_Curve",$NN$69*(41-$NR$69+1)*($NS$69-41+1)/$NU$69,$NN$69/$NT$69)),0)</f>
        <v/>
      </c>
      <c r="AT69" s="402">
        <f>IF(AND(42&gt;=$NR$69,42&lt;=$NS$69),IF($NP$69="Single_Point",IF(42=$NR$69,$NN$69,0),IF($NP$69="Bell_Curve",$NN$69*(42-$NR$69+1)*($NS$69-42+1)/$NU$69,$NN$69/$NT$69)),0)</f>
        <v/>
      </c>
      <c r="AU69" s="402">
        <f>IF(AND(43&gt;=$NR$69,43&lt;=$NS$69),IF($NP$69="Single_Point",IF(43=$NR$69,$NN$69,0),IF($NP$69="Bell_Curve",$NN$69*(43-$NR$69+1)*($NS$69-43+1)/$NU$69,$NN$69/$NT$69)),0)</f>
        <v/>
      </c>
      <c r="AV69" s="402">
        <f>IF(AND(44&gt;=$NR$69,44&lt;=$NS$69),IF($NP$69="Single_Point",IF(44=$NR$69,$NN$69,0),IF($NP$69="Bell_Curve",$NN$69*(44-$NR$69+1)*($NS$69-44+1)/$NU$69,$NN$69/$NT$69)),0)</f>
        <v/>
      </c>
      <c r="AW69" s="402">
        <f>IF(AND(45&gt;=$NR$69,45&lt;=$NS$69),IF($NP$69="Single_Point",IF(45=$NR$69,$NN$69,0),IF($NP$69="Bell_Curve",$NN$69*(45-$NR$69+1)*($NS$69-45+1)/$NU$69,$NN$69/$NT$69)),0)</f>
        <v/>
      </c>
      <c r="AX69" s="402">
        <f>IF(AND(46&gt;=$NR$69,46&lt;=$NS$69),IF($NP$69="Single_Point",IF(46=$NR$69,$NN$69,0),IF($NP$69="Bell_Curve",$NN$69*(46-$NR$69+1)*($NS$69-46+1)/$NU$69,$NN$69/$NT$69)),0)</f>
        <v/>
      </c>
      <c r="AY69" s="402">
        <f>IF(AND(47&gt;=$NR$69,47&lt;=$NS$69),IF($NP$69="Single_Point",IF(47=$NR$69,$NN$69,0),IF($NP$69="Bell_Curve",$NN$69*(47-$NR$69+1)*($NS$69-47+1)/$NU$69,$NN$69/$NT$69)),0)</f>
        <v/>
      </c>
      <c r="AZ69" s="402">
        <f>IF(AND(48&gt;=$NR$69,48&lt;=$NS$69),IF($NP$69="Single_Point",IF(48=$NR$69,$NN$69,0),IF($NP$69="Bell_Curve",$NN$69*(48-$NR$69+1)*($NS$69-48+1)/$NU$69,$NN$69/$NT$69)),0)</f>
        <v/>
      </c>
      <c r="BA69" s="402">
        <f>IF(AND(49&gt;=$NR$69,49&lt;=$NS$69),IF($NP$69="Single_Point",IF(49=$NR$69,$NN$69,0),IF($NP$69="Bell_Curve",$NN$69*(49-$NR$69+1)*($NS$69-49+1)/$NU$69,$NN$69/$NT$69)),0)</f>
        <v/>
      </c>
      <c r="BB69" s="402">
        <f>IF(AND(50&gt;=$NR$69,50&lt;=$NS$69),IF($NP$69="Single_Point",IF(50=$NR$69,$NN$69,0),IF($NP$69="Bell_Curve",$NN$69*(50-$NR$69+1)*($NS$69-50+1)/$NU$69,$NN$69/$NT$69)),0)</f>
        <v/>
      </c>
      <c r="BC69" s="402">
        <f>IF(AND(51&gt;=$NR$69,51&lt;=$NS$69),IF($NP$69="Single_Point",IF(51=$NR$69,$NN$69,0),IF($NP$69="Bell_Curve",$NN$69*(51-$NR$69+1)*($NS$69-51+1)/$NU$69,$NN$69/$NT$69)),0)</f>
        <v/>
      </c>
      <c r="BD69" s="402">
        <f>IF(AND(52&gt;=$NR$69,52&lt;=$NS$69),IF($NP$69="Single_Point",IF(52=$NR$69,$NN$69,0),IF($NP$69="Bell_Curve",$NN$69*(52-$NR$69+1)*($NS$69-52+1)/$NU$69,$NN$69/$NT$69)),0)</f>
        <v/>
      </c>
      <c r="BE69" s="402">
        <f>IF(AND(53&gt;=$NR$69,53&lt;=$NS$69),IF($NP$69="Single_Point",IF(53=$NR$69,$NN$69,0),IF($NP$69="Bell_Curve",$NN$69*(53-$NR$69+1)*($NS$69-53+1)/$NU$69,$NN$69/$NT$69)),0)</f>
        <v/>
      </c>
      <c r="BF69" s="402">
        <f>IF(AND(54&gt;=$NR$69,54&lt;=$NS$69),IF($NP$69="Single_Point",IF(54=$NR$69,$NN$69,0),IF($NP$69="Bell_Curve",$NN$69*(54-$NR$69+1)*($NS$69-54+1)/$NU$69,$NN$69/$NT$69)),0)</f>
        <v/>
      </c>
      <c r="BG69" s="402">
        <f>IF(AND(55&gt;=$NR$69,55&lt;=$NS$69),IF($NP$69="Single_Point",IF(55=$NR$69,$NN$69,0),IF($NP$69="Bell_Curve",$NN$69*(55-$NR$69+1)*($NS$69-55+1)/$NU$69,$NN$69/$NT$69)),0)</f>
        <v/>
      </c>
      <c r="BH69" s="402">
        <f>IF(AND(56&gt;=$NR$69,56&lt;=$NS$69),IF($NP$69="Single_Point",IF(56=$NR$69,$NN$69,0),IF($NP$69="Bell_Curve",$NN$69*(56-$NR$69+1)*($NS$69-56+1)/$NU$69,$NN$69/$NT$69)),0)</f>
        <v/>
      </c>
      <c r="BI69" s="402">
        <f>IF(AND(57&gt;=$NR$69,57&lt;=$NS$69),IF($NP$69="Single_Point",IF(57=$NR$69,$NN$69,0),IF($NP$69="Bell_Curve",$NN$69*(57-$NR$69+1)*($NS$69-57+1)/$NU$69,$NN$69/$NT$69)),0)</f>
        <v/>
      </c>
      <c r="BJ69" s="402">
        <f>IF(AND(58&gt;=$NR$69,58&lt;=$NS$69),IF($NP$69="Single_Point",IF(58=$NR$69,$NN$69,0),IF($NP$69="Bell_Curve",$NN$69*(58-$NR$69+1)*($NS$69-58+1)/$NU$69,$NN$69/$NT$69)),0)</f>
        <v/>
      </c>
      <c r="BK69" s="402">
        <f>IF(AND(59&gt;=$NR$69,59&lt;=$NS$69),IF($NP$69="Single_Point",IF(59=$NR$69,$NN$69,0),IF($NP$69="Bell_Curve",$NN$69*(59-$NR$69+1)*($NS$69-59+1)/$NU$69,$NN$69/$NT$69)),0)</f>
        <v/>
      </c>
      <c r="BL69" s="402">
        <f>IF(AND(60&gt;=$NR$69,60&lt;=$NS$69),IF($NP$69="Single_Point",IF(60=$NR$69,$NN$69,0),IF($NP$69="Bell_Curve",$NN$69*(60-$NR$69+1)*($NS$69-60+1)/$NU$69,$NN$69/$NT$69)),0)</f>
        <v/>
      </c>
      <c r="BM69" s="402">
        <f>IF(AND(61&gt;=$NR$69,61&lt;=$NS$69),IF($NP$69="Single_Point",IF(61=$NR$69,$NN$69,0),IF($NP$69="Bell_Curve",$NN$69*(61-$NR$69+1)*($NS$69-61+1)/$NU$69,$NN$69/$NT$69)),0)</f>
        <v/>
      </c>
      <c r="BN69" s="402">
        <f>IF(AND(62&gt;=$NR$69,62&lt;=$NS$69),IF($NP$69="Single_Point",IF(62=$NR$69,$NN$69,0),IF($NP$69="Bell_Curve",$NN$69*(62-$NR$69+1)*($NS$69-62+1)/$NU$69,$NN$69/$NT$69)),0)</f>
        <v/>
      </c>
      <c r="BO69" s="402">
        <f>IF(AND(63&gt;=$NR$69,63&lt;=$NS$69),IF($NP$69="Single_Point",IF(63=$NR$69,$NN$69,0),IF($NP$69="Bell_Curve",$NN$69*(63-$NR$69+1)*($NS$69-63+1)/$NU$69,$NN$69/$NT$69)),0)</f>
        <v/>
      </c>
      <c r="BP69" s="402">
        <f>IF(AND(64&gt;=$NR$69,64&lt;=$NS$69),IF($NP$69="Single_Point",IF(64=$NR$69,$NN$69,0),IF($NP$69="Bell_Curve",$NN$69*(64-$NR$69+1)*($NS$69-64+1)/$NU$69,$NN$69/$NT$69)),0)</f>
        <v/>
      </c>
      <c r="BQ69" s="402">
        <f>IF(AND(65&gt;=$NR$69,65&lt;=$NS$69),IF($NP$69="Single_Point",IF(65=$NR$69,$NN$69,0),IF($NP$69="Bell_Curve",$NN$69*(65-$NR$69+1)*($NS$69-65+1)/$NU$69,$NN$69/$NT$69)),0)</f>
        <v/>
      </c>
      <c r="BR69" s="402">
        <f>IF(AND(66&gt;=$NR$69,66&lt;=$NS$69),IF($NP$69="Single_Point",IF(66=$NR$69,$NN$69,0),IF($NP$69="Bell_Curve",$NN$69*(66-$NR$69+1)*($NS$69-66+1)/$NU$69,$NN$69/$NT$69)),0)</f>
        <v/>
      </c>
      <c r="BS69" s="402">
        <f>IF(AND(67&gt;=$NR$69,67&lt;=$NS$69),IF($NP$69="Single_Point",IF(67=$NR$69,$NN$69,0),IF($NP$69="Bell_Curve",$NN$69*(67-$NR$69+1)*($NS$69-67+1)/$NU$69,$NN$69/$NT$69)),0)</f>
        <v/>
      </c>
      <c r="BT69" s="402">
        <f>IF(AND(68&gt;=$NR$69,68&lt;=$NS$69),IF($NP$69="Single_Point",IF(68=$NR$69,$NN$69,0),IF($NP$69="Bell_Curve",$NN$69*(68-$NR$69+1)*($NS$69-68+1)/$NU$69,$NN$69/$NT$69)),0)</f>
        <v/>
      </c>
      <c r="BU69" s="402">
        <f>IF(AND(69&gt;=$NR$69,69&lt;=$NS$69),IF($NP$69="Single_Point",IF(69=$NR$69,$NN$69,0),IF($NP$69="Bell_Curve",$NN$69*(69-$NR$69+1)*($NS$69-69+1)/$NU$69,$NN$69/$NT$69)),0)</f>
        <v/>
      </c>
      <c r="BV69" s="402">
        <f>IF(AND(70&gt;=$NR$69,70&lt;=$NS$69),IF($NP$69="Single_Point",IF(70=$NR$69,$NN$69,0),IF($NP$69="Bell_Curve",$NN$69*(70-$NR$69+1)*($NS$69-70+1)/$NU$69,$NN$69/$NT$69)),0)</f>
        <v/>
      </c>
      <c r="BW69" s="402">
        <f>IF(AND(71&gt;=$NR$69,71&lt;=$NS$69),IF($NP$69="Single_Point",IF(71=$NR$69,$NN$69,0),IF($NP$69="Bell_Curve",$NN$69*(71-$NR$69+1)*($NS$69-71+1)/$NU$69,$NN$69/$NT$69)),0)</f>
        <v/>
      </c>
      <c r="BX69" s="402">
        <f>IF(AND(72&gt;=$NR$69,72&lt;=$NS$69),IF($NP$69="Single_Point",IF(72=$NR$69,$NN$69,0),IF($NP$69="Bell_Curve",$NN$69*(72-$NR$69+1)*($NS$69-72+1)/$NU$69,$NN$69/$NT$69)),0)</f>
        <v/>
      </c>
      <c r="BY69" s="402">
        <f>IF(AND(73&gt;=$NR$69,73&lt;=$NS$69),IF($NP$69="Single_Point",IF(73=$NR$69,$NN$69,0),IF($NP$69="Bell_Curve",$NN$69*(73-$NR$69+1)*($NS$69-73+1)/$NU$69,$NN$69/$NT$69)),0)</f>
        <v/>
      </c>
      <c r="BZ69" s="402">
        <f>IF(AND(74&gt;=$NR$69,74&lt;=$NS$69),IF($NP$69="Single_Point",IF(74=$NR$69,$NN$69,0),IF($NP$69="Bell_Curve",$NN$69*(74-$NR$69+1)*($NS$69-74+1)/$NU$69,$NN$69/$NT$69)),0)</f>
        <v/>
      </c>
      <c r="CA69" s="402">
        <f>IF(AND(75&gt;=$NR$69,75&lt;=$NS$69),IF($NP$69="Single_Point",IF(75=$NR$69,$NN$69,0),IF($NP$69="Bell_Curve",$NN$69*(75-$NR$69+1)*($NS$69-75+1)/$NU$69,$NN$69/$NT$69)),0)</f>
        <v/>
      </c>
      <c r="CB69" s="402">
        <f>IF(AND(76&gt;=$NR$69,76&lt;=$NS$69),IF($NP$69="Single_Point",IF(76=$NR$69,$NN$69,0),IF($NP$69="Bell_Curve",$NN$69*(76-$NR$69+1)*($NS$69-76+1)/$NU$69,$NN$69/$NT$69)),0)</f>
        <v/>
      </c>
      <c r="CC69" s="402">
        <f>IF(AND(77&gt;=$NR$69,77&lt;=$NS$69),IF($NP$69="Single_Point",IF(77=$NR$69,$NN$69,0),IF($NP$69="Bell_Curve",$NN$69*(77-$NR$69+1)*($NS$69-77+1)/$NU$69,$NN$69/$NT$69)),0)</f>
        <v/>
      </c>
      <c r="CD69" s="402">
        <f>IF(AND(78&gt;=$NR$69,78&lt;=$NS$69),IF($NP$69="Single_Point",IF(78=$NR$69,$NN$69,0),IF($NP$69="Bell_Curve",$NN$69*(78-$NR$69+1)*($NS$69-78+1)/$NU$69,$NN$69/$NT$69)),0)</f>
        <v/>
      </c>
      <c r="CE69" s="402">
        <f>IF(AND(79&gt;=$NR$69,79&lt;=$NS$69),IF($NP$69="Single_Point",IF(79=$NR$69,$NN$69,0),IF($NP$69="Bell_Curve",$NN$69*(79-$NR$69+1)*($NS$69-79+1)/$NU$69,$NN$69/$NT$69)),0)</f>
        <v/>
      </c>
      <c r="CF69" s="402">
        <f>IF(AND(80&gt;=$NR$69,80&lt;=$NS$69),IF($NP$69="Single_Point",IF(80=$NR$69,$NN$69,0),IF($NP$69="Bell_Curve",$NN$69*(80-$NR$69+1)*($NS$69-80+1)/$NU$69,$NN$69/$NT$69)),0)</f>
        <v/>
      </c>
      <c r="CG69" s="402">
        <f>IF(AND(81&gt;=$NR$69,81&lt;=$NS$69),IF($NP$69="Single_Point",IF(81=$NR$69,$NN$69,0),IF($NP$69="Bell_Curve",$NN$69*(81-$NR$69+1)*($NS$69-81+1)/$NU$69,$NN$69/$NT$69)),0)</f>
        <v/>
      </c>
      <c r="CH69" s="402">
        <f>IF(AND(82&gt;=$NR$69,82&lt;=$NS$69),IF($NP$69="Single_Point",IF(82=$NR$69,$NN$69,0),IF($NP$69="Bell_Curve",$NN$69*(82-$NR$69+1)*($NS$69-82+1)/$NU$69,$NN$69/$NT$69)),0)</f>
        <v/>
      </c>
      <c r="CI69" s="402">
        <f>IF(AND(83&gt;=$NR$69,83&lt;=$NS$69),IF($NP$69="Single_Point",IF(83=$NR$69,$NN$69,0),IF($NP$69="Bell_Curve",$NN$69*(83-$NR$69+1)*($NS$69-83+1)/$NU$69,$NN$69/$NT$69)),0)</f>
        <v/>
      </c>
      <c r="CJ69" s="402">
        <f>IF(AND(84&gt;=$NR$69,84&lt;=$NS$69),IF($NP$69="Single_Point",IF(84=$NR$69,$NN$69,0),IF($NP$69="Bell_Curve",$NN$69*(84-$NR$69+1)*($NS$69-84+1)/$NU$69,$NN$69/$NT$69)),0)</f>
        <v/>
      </c>
      <c r="CK69" s="402">
        <f>IF(AND(85&gt;=$NR$69,85&lt;=$NS$69),IF($NP$69="Single_Point",IF(85=$NR$69,$NN$69,0),IF($NP$69="Bell_Curve",$NN$69*(85-$NR$69+1)*($NS$69-85+1)/$NU$69,$NN$69/$NT$69)),0)</f>
        <v/>
      </c>
      <c r="CL69" s="402">
        <f>IF(AND(86&gt;=$NR$69,86&lt;=$NS$69),IF($NP$69="Single_Point",IF(86=$NR$69,$NN$69,0),IF($NP$69="Bell_Curve",$NN$69*(86-$NR$69+1)*($NS$69-86+1)/$NU$69,$NN$69/$NT$69)),0)</f>
        <v/>
      </c>
      <c r="CM69" s="402">
        <f>IF(AND(87&gt;=$NR$69,87&lt;=$NS$69),IF($NP$69="Single_Point",IF(87=$NR$69,$NN$69,0),IF($NP$69="Bell_Curve",$NN$69*(87-$NR$69+1)*($NS$69-87+1)/$NU$69,$NN$69/$NT$69)),0)</f>
        <v/>
      </c>
      <c r="CN69" s="402">
        <f>IF(AND(88&gt;=$NR$69,88&lt;=$NS$69),IF($NP$69="Single_Point",IF(88=$NR$69,$NN$69,0),IF($NP$69="Bell_Curve",$NN$69*(88-$NR$69+1)*($NS$69-88+1)/$NU$69,$NN$69/$NT$69)),0)</f>
        <v/>
      </c>
      <c r="CO69" s="402">
        <f>IF(AND(89&gt;=$NR$69,89&lt;=$NS$69),IF($NP$69="Single_Point",IF(89=$NR$69,$NN$69,0),IF($NP$69="Bell_Curve",$NN$69*(89-$NR$69+1)*($NS$69-89+1)/$NU$69,$NN$69/$NT$69)),0)</f>
        <v/>
      </c>
      <c r="CP69" s="402">
        <f>IF(AND(90&gt;=$NR$69,90&lt;=$NS$69),IF($NP$69="Single_Point",IF(90=$NR$69,$NN$69,0),IF($NP$69="Bell_Curve",$NN$69*(90-$NR$69+1)*($NS$69-90+1)/$NU$69,$NN$69/$NT$69)),0)</f>
        <v/>
      </c>
      <c r="CQ69" s="402">
        <f>IF(AND(91&gt;=$NR$69,91&lt;=$NS$69),IF($NP$69="Single_Point",IF(91=$NR$69,$NN$69,0),IF($NP$69="Bell_Curve",$NN$69*(91-$NR$69+1)*($NS$69-91+1)/$NU$69,$NN$69/$NT$69)),0)</f>
        <v/>
      </c>
      <c r="CR69" s="402">
        <f>IF(AND(92&gt;=$NR$69,92&lt;=$NS$69),IF($NP$69="Single_Point",IF(92=$NR$69,$NN$69,0),IF($NP$69="Bell_Curve",$NN$69*(92-$NR$69+1)*($NS$69-92+1)/$NU$69,$NN$69/$NT$69)),0)</f>
        <v/>
      </c>
      <c r="CS69" s="402">
        <f>IF(AND(93&gt;=$NR$69,93&lt;=$NS$69),IF($NP$69="Single_Point",IF(93=$NR$69,$NN$69,0),IF($NP$69="Bell_Curve",$NN$69*(93-$NR$69+1)*($NS$69-93+1)/$NU$69,$NN$69/$NT$69)),0)</f>
        <v/>
      </c>
      <c r="CT69" s="402">
        <f>IF(AND(94&gt;=$NR$69,94&lt;=$NS$69),IF($NP$69="Single_Point",IF(94=$NR$69,$NN$69,0),IF($NP$69="Bell_Curve",$NN$69*(94-$NR$69+1)*($NS$69-94+1)/$NU$69,$NN$69/$NT$69)),0)</f>
        <v/>
      </c>
      <c r="CU69" s="402">
        <f>IF(AND(95&gt;=$NR$69,95&lt;=$NS$69),IF($NP$69="Single_Point",IF(95=$NR$69,$NN$69,0),IF($NP$69="Bell_Curve",$NN$69*(95-$NR$69+1)*($NS$69-95+1)/$NU$69,$NN$69/$NT$69)),0)</f>
        <v/>
      </c>
      <c r="CV69" s="402">
        <f>IF(AND(96&gt;=$NR$69,96&lt;=$NS$69),IF($NP$69="Single_Point",IF(96=$NR$69,$NN$69,0),IF($NP$69="Bell_Curve",$NN$69*(96-$NR$69+1)*($NS$69-96+1)/$NU$69,$NN$69/$NT$69)),0)</f>
        <v/>
      </c>
      <c r="CW69" s="402">
        <f>IF(AND(97&gt;=$NR$69,97&lt;=$NS$69),IF($NP$69="Single_Point",IF(97=$NR$69,$NN$69,0),IF($NP$69="Bell_Curve",$NN$69*(97-$NR$69+1)*($NS$69-97+1)/$NU$69,$NN$69/$NT$69)),0)</f>
        <v/>
      </c>
      <c r="CX69" s="402">
        <f>IF(AND(98&gt;=$NR$69,98&lt;=$NS$69),IF($NP$69="Single_Point",IF(98=$NR$69,$NN$69,0),IF($NP$69="Bell_Curve",$NN$69*(98-$NR$69+1)*($NS$69-98+1)/$NU$69,$NN$69/$NT$69)),0)</f>
        <v/>
      </c>
      <c r="CY69" s="402">
        <f>IF(AND(99&gt;=$NR$69,99&lt;=$NS$69),IF($NP$69="Single_Point",IF(99=$NR$69,$NN$69,0),IF($NP$69="Bell_Curve",$NN$69*(99-$NR$69+1)*($NS$69-99+1)/$NU$69,$NN$69/$NT$69)),0)</f>
        <v/>
      </c>
      <c r="CZ69" s="402">
        <f>IF(AND(100&gt;=$NR$69,100&lt;=$NS$69),IF($NP$69="Single_Point",IF(100=$NR$69,$NN$69,0),IF($NP$69="Bell_Curve",$NN$69*(100-$NR$69+1)*($NS$69-100+1)/$NU$69,$NN$69/$NT$69)),0)</f>
        <v/>
      </c>
      <c r="DA69" s="402">
        <f>IF(AND(101&gt;=$NR$69,101&lt;=$NS$69),IF($NP$69="Single_Point",IF(101=$NR$69,$NN$69,0),IF($NP$69="Bell_Curve",$NN$69*(101-$NR$69+1)*($NS$69-101+1)/$NU$69,$NN$69/$NT$69)),0)</f>
        <v/>
      </c>
      <c r="DB69" s="402">
        <f>IF(AND(102&gt;=$NR$69,102&lt;=$NS$69),IF($NP$69="Single_Point",IF(102=$NR$69,$NN$69,0),IF($NP$69="Bell_Curve",$NN$69*(102-$NR$69+1)*($NS$69-102+1)/$NU$69,$NN$69/$NT$69)),0)</f>
        <v/>
      </c>
      <c r="DC69" s="402">
        <f>IF(AND(103&gt;=$NR$69,103&lt;=$NS$69),IF($NP$69="Single_Point",IF(103=$NR$69,$NN$69,0),IF($NP$69="Bell_Curve",$NN$69*(103-$NR$69+1)*($NS$69-103+1)/$NU$69,$NN$69/$NT$69)),0)</f>
        <v/>
      </c>
      <c r="DD69" s="402">
        <f>IF(AND(104&gt;=$NR$69,104&lt;=$NS$69),IF($NP$69="Single_Point",IF(104=$NR$69,$NN$69,0),IF($NP$69="Bell_Curve",$NN$69*(104-$NR$69+1)*($NS$69-104+1)/$NU$69,$NN$69/$NT$69)),0)</f>
        <v/>
      </c>
      <c r="DE69" s="402">
        <f>IF(AND(105&gt;=$NR$69,105&lt;=$NS$69),IF($NP$69="Single_Point",IF(105=$NR$69,$NN$69,0),IF($NP$69="Bell_Curve",$NN$69*(105-$NR$69+1)*($NS$69-105+1)/$NU$69,$NN$69/$NT$69)),0)</f>
        <v/>
      </c>
      <c r="DF69" s="402">
        <f>IF(AND(106&gt;=$NR$69,106&lt;=$NS$69),IF($NP$69="Single_Point",IF(106=$NR$69,$NN$69,0),IF($NP$69="Bell_Curve",$NN$69*(106-$NR$69+1)*($NS$69-106+1)/$NU$69,$NN$69/$NT$69)),0)</f>
        <v/>
      </c>
      <c r="DG69" s="402">
        <f>IF(AND(107&gt;=$NR$69,107&lt;=$NS$69),IF($NP$69="Single_Point",IF(107=$NR$69,$NN$69,0),IF($NP$69="Bell_Curve",$NN$69*(107-$NR$69+1)*($NS$69-107+1)/$NU$69,$NN$69/$NT$69)),0)</f>
        <v/>
      </c>
      <c r="DH69" s="402">
        <f>IF(AND(108&gt;=$NR$69,108&lt;=$NS$69),IF($NP$69="Single_Point",IF(108=$NR$69,$NN$69,0),IF($NP$69="Bell_Curve",$NN$69*(108-$NR$69+1)*($NS$69-108+1)/$NU$69,$NN$69/$NT$69)),0)</f>
        <v/>
      </c>
      <c r="DI69" s="402">
        <f>IF(AND(109&gt;=$NR$69,109&lt;=$NS$69),IF($NP$69="Single_Point",IF(109=$NR$69,$NN$69,0),IF($NP$69="Bell_Curve",$NN$69*(109-$NR$69+1)*($NS$69-109+1)/$NU$69,$NN$69/$NT$69)),0)</f>
        <v/>
      </c>
      <c r="DJ69" s="402">
        <f>IF(AND(110&gt;=$NR$69,110&lt;=$NS$69),IF($NP$69="Single_Point",IF(110=$NR$69,$NN$69,0),IF($NP$69="Bell_Curve",$NN$69*(110-$NR$69+1)*($NS$69-110+1)/$NU$69,$NN$69/$NT$69)),0)</f>
        <v/>
      </c>
      <c r="DK69" s="402">
        <f>IF(AND(111&gt;=$NR$69,111&lt;=$NS$69),IF($NP$69="Single_Point",IF(111=$NR$69,$NN$69,0),IF($NP$69="Bell_Curve",$NN$69*(111-$NR$69+1)*($NS$69-111+1)/$NU$69,$NN$69/$NT$69)),0)</f>
        <v/>
      </c>
      <c r="DL69" s="402">
        <f>IF(AND(112&gt;=$NR$69,112&lt;=$NS$69),IF($NP$69="Single_Point",IF(112=$NR$69,$NN$69,0),IF($NP$69="Bell_Curve",$NN$69*(112-$NR$69+1)*($NS$69-112+1)/$NU$69,$NN$69/$NT$69)),0)</f>
        <v/>
      </c>
      <c r="DM69" s="402">
        <f>IF(AND(113&gt;=$NR$69,113&lt;=$NS$69),IF($NP$69="Single_Point",IF(113=$NR$69,$NN$69,0),IF($NP$69="Bell_Curve",$NN$69*(113-$NR$69+1)*($NS$69-113+1)/$NU$69,$NN$69/$NT$69)),0)</f>
        <v/>
      </c>
      <c r="DN69" s="402">
        <f>IF(AND(114&gt;=$NR$69,114&lt;=$NS$69),IF($NP$69="Single_Point",IF(114=$NR$69,$NN$69,0),IF($NP$69="Bell_Curve",$NN$69*(114-$NR$69+1)*($NS$69-114+1)/$NU$69,$NN$69/$NT$69)),0)</f>
        <v/>
      </c>
      <c r="DO69" s="402">
        <f>IF(AND(115&gt;=$NR$69,115&lt;=$NS$69),IF($NP$69="Single_Point",IF(115=$NR$69,$NN$69,0),IF($NP$69="Bell_Curve",$NN$69*(115-$NR$69+1)*($NS$69-115+1)/$NU$69,$NN$69/$NT$69)),0)</f>
        <v/>
      </c>
      <c r="DP69" s="402">
        <f>IF(AND(116&gt;=$NR$69,116&lt;=$NS$69),IF($NP$69="Single_Point",IF(116=$NR$69,$NN$69,0),IF($NP$69="Bell_Curve",$NN$69*(116-$NR$69+1)*($NS$69-116+1)/$NU$69,$NN$69/$NT$69)),0)</f>
        <v/>
      </c>
      <c r="DQ69" s="402">
        <f>IF(AND(117&gt;=$NR$69,117&lt;=$NS$69),IF($NP$69="Single_Point",IF(117=$NR$69,$NN$69,0),IF($NP$69="Bell_Curve",$NN$69*(117-$NR$69+1)*($NS$69-117+1)/$NU$69,$NN$69/$NT$69)),0)</f>
        <v/>
      </c>
      <c r="DR69" s="402">
        <f>IF(AND(118&gt;=$NR$69,118&lt;=$NS$69),IF($NP$69="Single_Point",IF(118=$NR$69,$NN$69,0),IF($NP$69="Bell_Curve",$NN$69*(118-$NR$69+1)*($NS$69-118+1)/$NU$69,$NN$69/$NT$69)),0)</f>
        <v/>
      </c>
      <c r="DS69" s="402">
        <f>IF(AND(119&gt;=$NR$69,119&lt;=$NS$69),IF($NP$69="Single_Point",IF(119=$NR$69,$NN$69,0),IF($NP$69="Bell_Curve",$NN$69*(119-$NR$69+1)*($NS$69-119+1)/$NU$69,$NN$69/$NT$69)),0)</f>
        <v/>
      </c>
      <c r="DT69" s="402">
        <f>IF(AND(120&gt;=$NR$69,120&lt;=$NS$69),IF($NP$69="Single_Point",IF(120=$NR$69,$NN$69,0),IF($NP$69="Bell_Curve",$NN$69*(120-$NR$69+1)*($NS$69-120+1)/$NU$69,$NN$69/$NT$69)),0)</f>
        <v/>
      </c>
      <c r="DU69" s="402">
        <f>IF(AND(121&gt;=$NR$69,121&lt;=$NS$69),IF($NP$69="Single_Point",IF(121=$NR$69,$NN$69,0),IF($NP$69="Bell_Curve",$NN$69*(121-$NR$69+1)*($NS$69-121+1)/$NU$69,$NN$69/$NT$69)),0)</f>
        <v/>
      </c>
      <c r="DV69" s="402">
        <f>IF(AND(122&gt;=$NR$69,122&lt;=$NS$69),IF($NP$69="Single_Point",IF(122=$NR$69,$NN$69,0),IF($NP$69="Bell_Curve",$NN$69*(122-$NR$69+1)*($NS$69-122+1)/$NU$69,$NN$69/$NT$69)),0)</f>
        <v/>
      </c>
      <c r="DW69" s="402">
        <f>IF(AND(123&gt;=$NR$69,123&lt;=$NS$69),IF($NP$69="Single_Point",IF(123=$NR$69,$NN$69,0),IF($NP$69="Bell_Curve",$NN$69*(123-$NR$69+1)*($NS$69-123+1)/$NU$69,$NN$69/$NT$69)),0)</f>
        <v/>
      </c>
      <c r="DX69" s="402">
        <f>IF(AND(124&gt;=$NR$69,124&lt;=$NS$69),IF($NP$69="Single_Point",IF(124=$NR$69,$NN$69,0),IF($NP$69="Bell_Curve",$NN$69*(124-$NR$69+1)*($NS$69-124+1)/$NU$69,$NN$69/$NT$69)),0)</f>
        <v/>
      </c>
      <c r="DY69" s="402">
        <f>IF(AND(125&gt;=$NR$69,125&lt;=$NS$69),IF($NP$69="Single_Point",IF(125=$NR$69,$NN$69,0),IF($NP$69="Bell_Curve",$NN$69*(125-$NR$69+1)*($NS$69-125+1)/$NU$69,$NN$69/$NT$69)),0)</f>
        <v/>
      </c>
      <c r="DZ69" s="402">
        <f>IF(AND(126&gt;=$NR$69,126&lt;=$NS$69),IF($NP$69="Single_Point",IF(126=$NR$69,$NN$69,0),IF($NP$69="Bell_Curve",$NN$69*(126-$NR$69+1)*($NS$69-126+1)/$NU$69,$NN$69/$NT$69)),0)</f>
        <v/>
      </c>
      <c r="EA69" s="402">
        <f>IF(AND(127&gt;=$NR$69,127&lt;=$NS$69),IF($NP$69="Single_Point",IF(127=$NR$69,$NN$69,0),IF($NP$69="Bell_Curve",$NN$69*(127-$NR$69+1)*($NS$69-127+1)/$NU$69,$NN$69/$NT$69)),0)</f>
        <v/>
      </c>
      <c r="EB69" s="402">
        <f>IF(AND(128&gt;=$NR$69,128&lt;=$NS$69),IF($NP$69="Single_Point",IF(128=$NR$69,$NN$69,0),IF($NP$69="Bell_Curve",$NN$69*(128-$NR$69+1)*($NS$69-128+1)/$NU$69,$NN$69/$NT$69)),0)</f>
        <v/>
      </c>
      <c r="EC69" s="402">
        <f>IF(AND(129&gt;=$NR$69,129&lt;=$NS$69),IF($NP$69="Single_Point",IF(129=$NR$69,$NN$69,0),IF($NP$69="Bell_Curve",$NN$69*(129-$NR$69+1)*($NS$69-129+1)/$NU$69,$NN$69/$NT$69)),0)</f>
        <v/>
      </c>
      <c r="ED69" s="402">
        <f>IF(AND(130&gt;=$NR$69,130&lt;=$NS$69),IF($NP$69="Single_Point",IF(130=$NR$69,$NN$69,0),IF($NP$69="Bell_Curve",$NN$69*(130-$NR$69+1)*($NS$69-130+1)/$NU$69,$NN$69/$NT$69)),0)</f>
        <v/>
      </c>
      <c r="EE69" s="402">
        <f>IF(AND(131&gt;=$NR$69,131&lt;=$NS$69),IF($NP$69="Single_Point",IF(131=$NR$69,$NN$69,0),IF($NP$69="Bell_Curve",$NN$69*(131-$NR$69+1)*($NS$69-131+1)/$NU$69,$NN$69/$NT$69)),0)</f>
        <v/>
      </c>
      <c r="EF69" s="402">
        <f>IF(AND(132&gt;=$NR$69,132&lt;=$NS$69),IF($NP$69="Single_Point",IF(132=$NR$69,$NN$69,0),IF($NP$69="Bell_Curve",$NN$69*(132-$NR$69+1)*($NS$69-132+1)/$NU$69,$NN$69/$NT$69)),0)</f>
        <v/>
      </c>
      <c r="EG69" s="402">
        <f>IF(AND(133&gt;=$NR$69,133&lt;=$NS$69),IF($NP$69="Single_Point",IF(133=$NR$69,$NN$69,0),IF($NP$69="Bell_Curve",$NN$69*(133-$NR$69+1)*($NS$69-133+1)/$NU$69,$NN$69/$NT$69)),0)</f>
        <v/>
      </c>
      <c r="EH69" s="402">
        <f>IF(AND(134&gt;=$NR$69,134&lt;=$NS$69),IF($NP$69="Single_Point",IF(134=$NR$69,$NN$69,0),IF($NP$69="Bell_Curve",$NN$69*(134-$NR$69+1)*($NS$69-134+1)/$NU$69,$NN$69/$NT$69)),0)</f>
        <v/>
      </c>
      <c r="EI69" s="402">
        <f>IF(AND(135&gt;=$NR$69,135&lt;=$NS$69),IF($NP$69="Single_Point",IF(135=$NR$69,$NN$69,0),IF($NP$69="Bell_Curve",$NN$69*(135-$NR$69+1)*($NS$69-135+1)/$NU$69,$NN$69/$NT$69)),0)</f>
        <v/>
      </c>
      <c r="EJ69" s="402">
        <f>IF(AND(136&gt;=$NR$69,136&lt;=$NS$69),IF($NP$69="Single_Point",IF(136=$NR$69,$NN$69,0),IF($NP$69="Bell_Curve",$NN$69*(136-$NR$69+1)*($NS$69-136+1)/$NU$69,$NN$69/$NT$69)),0)</f>
        <v/>
      </c>
      <c r="EK69" s="402">
        <f>IF(AND(137&gt;=$NR$69,137&lt;=$NS$69),IF($NP$69="Single_Point",IF(137=$NR$69,$NN$69,0),IF($NP$69="Bell_Curve",$NN$69*(137-$NR$69+1)*($NS$69-137+1)/$NU$69,$NN$69/$NT$69)),0)</f>
        <v/>
      </c>
      <c r="EL69" s="402">
        <f>IF(AND(138&gt;=$NR$69,138&lt;=$NS$69),IF($NP$69="Single_Point",IF(138=$NR$69,$NN$69,0),IF($NP$69="Bell_Curve",$NN$69*(138-$NR$69+1)*($NS$69-138+1)/$NU$69,$NN$69/$NT$69)),0)</f>
        <v/>
      </c>
      <c r="EM69" s="402">
        <f>IF(AND(139&gt;=$NR$69,139&lt;=$NS$69),IF($NP$69="Single_Point",IF(139=$NR$69,$NN$69,0),IF($NP$69="Bell_Curve",$NN$69*(139-$NR$69+1)*($NS$69-139+1)/$NU$69,$NN$69/$NT$69)),0)</f>
        <v/>
      </c>
      <c r="EN69" s="402">
        <f>IF(AND(140&gt;=$NR$69,140&lt;=$NS$69),IF($NP$69="Single_Point",IF(140=$NR$69,$NN$69,0),IF($NP$69="Bell_Curve",$NN$69*(140-$NR$69+1)*($NS$69-140+1)/$NU$69,$NN$69/$NT$69)),0)</f>
        <v/>
      </c>
      <c r="EO69" s="402">
        <f>IF(AND(141&gt;=$NR$69,141&lt;=$NS$69),IF($NP$69="Single_Point",IF(141=$NR$69,$NN$69,0),IF($NP$69="Bell_Curve",$NN$69*(141-$NR$69+1)*($NS$69-141+1)/$NU$69,$NN$69/$NT$69)),0)</f>
        <v/>
      </c>
      <c r="EP69" s="402">
        <f>IF(AND(142&gt;=$NR$69,142&lt;=$NS$69),IF($NP$69="Single_Point",IF(142=$NR$69,$NN$69,0),IF($NP$69="Bell_Curve",$NN$69*(142-$NR$69+1)*($NS$69-142+1)/$NU$69,$NN$69/$NT$69)),0)</f>
        <v/>
      </c>
      <c r="EQ69" s="402">
        <f>IF(AND(143&gt;=$NR$69,143&lt;=$NS$69),IF($NP$69="Single_Point",IF(143=$NR$69,$NN$69,0),IF($NP$69="Bell_Curve",$NN$69*(143-$NR$69+1)*($NS$69-143+1)/$NU$69,$NN$69/$NT$69)),0)</f>
        <v/>
      </c>
      <c r="ER69" s="402">
        <f>IF(AND(144&gt;=$NR$69,144&lt;=$NS$69),IF($NP$69="Single_Point",IF(144=$NR$69,$NN$69,0),IF($NP$69="Bell_Curve",$NN$69*(144-$NR$69+1)*($NS$69-144+1)/$NU$69,$NN$69/$NT$69)),0)</f>
        <v/>
      </c>
      <c r="ES69" s="402">
        <f>IF(AND(145&gt;=$NR$69,145&lt;=$NS$69),IF($NP$69="Single_Point",IF(145=$NR$69,$NN$69,0),IF($NP$69="Bell_Curve",$NN$69*(145-$NR$69+1)*($NS$69-145+1)/$NU$69,$NN$69/$NT$69)),0)</f>
        <v/>
      </c>
      <c r="ET69" s="402">
        <f>IF(AND(146&gt;=$NR$69,146&lt;=$NS$69),IF($NP$69="Single_Point",IF(146=$NR$69,$NN$69,0),IF($NP$69="Bell_Curve",$NN$69*(146-$NR$69+1)*($NS$69-146+1)/$NU$69,$NN$69/$NT$69)),0)</f>
        <v/>
      </c>
      <c r="EU69" s="402">
        <f>IF(AND(147&gt;=$NR$69,147&lt;=$NS$69),IF($NP$69="Single_Point",IF(147=$NR$69,$NN$69,0),IF($NP$69="Bell_Curve",$NN$69*(147-$NR$69+1)*($NS$69-147+1)/$NU$69,$NN$69/$NT$69)),0)</f>
        <v/>
      </c>
      <c r="EV69" s="402">
        <f>IF(AND(148&gt;=$NR$69,148&lt;=$NS$69),IF($NP$69="Single_Point",IF(148=$NR$69,$NN$69,0),IF($NP$69="Bell_Curve",$NN$69*(148-$NR$69+1)*($NS$69-148+1)/$NU$69,$NN$69/$NT$69)),0)</f>
        <v/>
      </c>
      <c r="EW69" s="402">
        <f>IF(AND(149&gt;=$NR$69,149&lt;=$NS$69),IF($NP$69="Single_Point",IF(149=$NR$69,$NN$69,0),IF($NP$69="Bell_Curve",$NN$69*(149-$NR$69+1)*($NS$69-149+1)/$NU$69,$NN$69/$NT$69)),0)</f>
        <v/>
      </c>
      <c r="EX69" s="402">
        <f>IF(AND(150&gt;=$NR$69,150&lt;=$NS$69),IF($NP$69="Single_Point",IF(150=$NR$69,$NN$69,0),IF($NP$69="Bell_Curve",$NN$69*(150-$NR$69+1)*($NS$69-150+1)/$NU$69,$NN$69/$NT$69)),0)</f>
        <v/>
      </c>
      <c r="EY69" s="402">
        <f>IF(AND(151&gt;=$NR$69,151&lt;=$NS$69),IF($NP$69="Single_Point",IF(151=$NR$69,$NN$69,0),IF($NP$69="Bell_Curve",$NN$69*(151-$NR$69+1)*($NS$69-151+1)/$NU$69,$NN$69/$NT$69)),0)</f>
        <v/>
      </c>
      <c r="EZ69" s="402">
        <f>IF(AND(152&gt;=$NR$69,152&lt;=$NS$69),IF($NP$69="Single_Point",IF(152=$NR$69,$NN$69,0),IF($NP$69="Bell_Curve",$NN$69*(152-$NR$69+1)*($NS$69-152+1)/$NU$69,$NN$69/$NT$69)),0)</f>
        <v/>
      </c>
      <c r="FA69" s="402">
        <f>IF(AND(153&gt;=$NR$69,153&lt;=$NS$69),IF($NP$69="Single_Point",IF(153=$NR$69,$NN$69,0),IF($NP$69="Bell_Curve",$NN$69*(153-$NR$69+1)*($NS$69-153+1)/$NU$69,$NN$69/$NT$69)),0)</f>
        <v/>
      </c>
      <c r="FB69" s="402">
        <f>IF(AND(154&gt;=$NR$69,154&lt;=$NS$69),IF($NP$69="Single_Point",IF(154=$NR$69,$NN$69,0),IF($NP$69="Bell_Curve",$NN$69*(154-$NR$69+1)*($NS$69-154+1)/$NU$69,$NN$69/$NT$69)),0)</f>
        <v/>
      </c>
      <c r="FC69" s="402">
        <f>IF(AND(155&gt;=$NR$69,155&lt;=$NS$69),IF($NP$69="Single_Point",IF(155=$NR$69,$NN$69,0),IF($NP$69="Bell_Curve",$NN$69*(155-$NR$69+1)*($NS$69-155+1)/$NU$69,$NN$69/$NT$69)),0)</f>
        <v/>
      </c>
      <c r="FD69" s="402">
        <f>IF(AND(156&gt;=$NR$69,156&lt;=$NS$69),IF($NP$69="Single_Point",IF(156=$NR$69,$NN$69,0),IF($NP$69="Bell_Curve",$NN$69*(156-$NR$69+1)*($NS$69-156+1)/$NU$69,$NN$69/$NT$69)),0)</f>
        <v/>
      </c>
      <c r="FE69" s="402">
        <f>IF(AND(157&gt;=$NR$69,157&lt;=$NS$69),IF($NP$69="Single_Point",IF(157=$NR$69,$NN$69,0),IF($NP$69="Bell_Curve",$NN$69*(157-$NR$69+1)*($NS$69-157+1)/$NU$69,$NN$69/$NT$69)),0)</f>
        <v/>
      </c>
      <c r="FF69" s="402">
        <f>IF(AND(158&gt;=$NR$69,158&lt;=$NS$69),IF($NP$69="Single_Point",IF(158=$NR$69,$NN$69,0),IF($NP$69="Bell_Curve",$NN$69*(158-$NR$69+1)*($NS$69-158+1)/$NU$69,$NN$69/$NT$69)),0)</f>
        <v/>
      </c>
      <c r="FG69" s="402">
        <f>IF(AND(159&gt;=$NR$69,159&lt;=$NS$69),IF($NP$69="Single_Point",IF(159=$NR$69,$NN$69,0),IF($NP$69="Bell_Curve",$NN$69*(159-$NR$69+1)*($NS$69-159+1)/$NU$69,$NN$69/$NT$69)),0)</f>
        <v/>
      </c>
      <c r="FH69" s="402">
        <f>IF(AND(160&gt;=$NR$69,160&lt;=$NS$69),IF($NP$69="Single_Point",IF(160=$NR$69,$NN$69,0),IF($NP$69="Bell_Curve",$NN$69*(160-$NR$69+1)*($NS$69-160+1)/$NU$69,$NN$69/$NT$69)),0)</f>
        <v/>
      </c>
      <c r="FI69" s="402">
        <f>IF(AND(161&gt;=$NR$69,161&lt;=$NS$69),IF($NP$69="Single_Point",IF(161=$NR$69,$NN$69,0),IF($NP$69="Bell_Curve",$NN$69*(161-$NR$69+1)*($NS$69-161+1)/$NU$69,$NN$69/$NT$69)),0)</f>
        <v/>
      </c>
      <c r="FJ69" s="402">
        <f>IF(AND(162&gt;=$NR$69,162&lt;=$NS$69),IF($NP$69="Single_Point",IF(162=$NR$69,$NN$69,0),IF($NP$69="Bell_Curve",$NN$69*(162-$NR$69+1)*($NS$69-162+1)/$NU$69,$NN$69/$NT$69)),0)</f>
        <v/>
      </c>
      <c r="FK69" s="402">
        <f>IF(AND(163&gt;=$NR$69,163&lt;=$NS$69),IF($NP$69="Single_Point",IF(163=$NR$69,$NN$69,0),IF($NP$69="Bell_Curve",$NN$69*(163-$NR$69+1)*($NS$69-163+1)/$NU$69,$NN$69/$NT$69)),0)</f>
        <v/>
      </c>
      <c r="FL69" s="402">
        <f>IF(AND(164&gt;=$NR$69,164&lt;=$NS$69),IF($NP$69="Single_Point",IF(164=$NR$69,$NN$69,0),IF($NP$69="Bell_Curve",$NN$69*(164-$NR$69+1)*($NS$69-164+1)/$NU$69,$NN$69/$NT$69)),0)</f>
        <v/>
      </c>
      <c r="FM69" s="402">
        <f>IF(AND(165&gt;=$NR$69,165&lt;=$NS$69),IF($NP$69="Single_Point",IF(165=$NR$69,$NN$69,0),IF($NP$69="Bell_Curve",$NN$69*(165-$NR$69+1)*($NS$69-165+1)/$NU$69,$NN$69/$NT$69)),0)</f>
        <v/>
      </c>
      <c r="FN69" s="402">
        <f>IF(AND(166&gt;=$NR$69,166&lt;=$NS$69),IF($NP$69="Single_Point",IF(166=$NR$69,$NN$69,0),IF($NP$69="Bell_Curve",$NN$69*(166-$NR$69+1)*($NS$69-166+1)/$NU$69,$NN$69/$NT$69)),0)</f>
        <v/>
      </c>
      <c r="FO69" s="402">
        <f>IF(AND(167&gt;=$NR$69,167&lt;=$NS$69),IF($NP$69="Single_Point",IF(167=$NR$69,$NN$69,0),IF($NP$69="Bell_Curve",$NN$69*(167-$NR$69+1)*($NS$69-167+1)/$NU$69,$NN$69/$NT$69)),0)</f>
        <v/>
      </c>
      <c r="FP69" s="402">
        <f>IF(AND(168&gt;=$NR$69,168&lt;=$NS$69),IF($NP$69="Single_Point",IF(168=$NR$69,$NN$69,0),IF($NP$69="Bell_Curve",$NN$69*(168-$NR$69+1)*($NS$69-168+1)/$NU$69,$NN$69/$NT$69)),0)</f>
        <v/>
      </c>
      <c r="FQ69" s="402">
        <f>IF(AND(169&gt;=$NR$69,169&lt;=$NS$69),IF($NP$69="Single_Point",IF(169=$NR$69,$NN$69,0),IF($NP$69="Bell_Curve",$NN$69*(169-$NR$69+1)*($NS$69-169+1)/$NU$69,$NN$69/$NT$69)),0)</f>
        <v/>
      </c>
      <c r="FR69" s="402">
        <f>IF(AND(170&gt;=$NR$69,170&lt;=$NS$69),IF($NP$69="Single_Point",IF(170=$NR$69,$NN$69,0),IF($NP$69="Bell_Curve",$NN$69*(170-$NR$69+1)*($NS$69-170+1)/$NU$69,$NN$69/$NT$69)),0)</f>
        <v/>
      </c>
      <c r="FS69" s="402">
        <f>IF(AND(171&gt;=$NR$69,171&lt;=$NS$69),IF($NP$69="Single_Point",IF(171=$NR$69,$NN$69,0),IF($NP$69="Bell_Curve",$NN$69*(171-$NR$69+1)*($NS$69-171+1)/$NU$69,$NN$69/$NT$69)),0)</f>
        <v/>
      </c>
      <c r="FT69" s="402">
        <f>IF(AND(172&gt;=$NR$69,172&lt;=$NS$69),IF($NP$69="Single_Point",IF(172=$NR$69,$NN$69,0),IF($NP$69="Bell_Curve",$NN$69*(172-$NR$69+1)*($NS$69-172+1)/$NU$69,$NN$69/$NT$69)),0)</f>
        <v/>
      </c>
      <c r="FU69" s="402">
        <f>IF(AND(173&gt;=$NR$69,173&lt;=$NS$69),IF($NP$69="Single_Point",IF(173=$NR$69,$NN$69,0),IF($NP$69="Bell_Curve",$NN$69*(173-$NR$69+1)*($NS$69-173+1)/$NU$69,$NN$69/$NT$69)),0)</f>
        <v/>
      </c>
      <c r="FV69" s="402">
        <f>IF(AND(174&gt;=$NR$69,174&lt;=$NS$69),IF($NP$69="Single_Point",IF(174=$NR$69,$NN$69,0),IF($NP$69="Bell_Curve",$NN$69*(174-$NR$69+1)*($NS$69-174+1)/$NU$69,$NN$69/$NT$69)),0)</f>
        <v/>
      </c>
      <c r="FW69" s="402">
        <f>IF(AND(175&gt;=$NR$69,175&lt;=$NS$69),IF($NP$69="Single_Point",IF(175=$NR$69,$NN$69,0),IF($NP$69="Bell_Curve",$NN$69*(175-$NR$69+1)*($NS$69-175+1)/$NU$69,$NN$69/$NT$69)),0)</f>
        <v/>
      </c>
      <c r="FX69" s="402">
        <f>IF(AND(176&gt;=$NR$69,176&lt;=$NS$69),IF($NP$69="Single_Point",IF(176=$NR$69,$NN$69,0),IF($NP$69="Bell_Curve",$NN$69*(176-$NR$69+1)*($NS$69-176+1)/$NU$69,$NN$69/$NT$69)),0)</f>
        <v/>
      </c>
      <c r="FY69" s="402">
        <f>IF(AND(177&gt;=$NR$69,177&lt;=$NS$69),IF($NP$69="Single_Point",IF(177=$NR$69,$NN$69,0),IF($NP$69="Bell_Curve",$NN$69*(177-$NR$69+1)*($NS$69-177+1)/$NU$69,$NN$69/$NT$69)),0)</f>
        <v/>
      </c>
      <c r="FZ69" s="402">
        <f>IF(AND(178&gt;=$NR$69,178&lt;=$NS$69),IF($NP$69="Single_Point",IF(178=$NR$69,$NN$69,0),IF($NP$69="Bell_Curve",$NN$69*(178-$NR$69+1)*($NS$69-178+1)/$NU$69,$NN$69/$NT$69)),0)</f>
        <v/>
      </c>
      <c r="GA69" s="402">
        <f>IF(AND(179&gt;=$NR$69,179&lt;=$NS$69),IF($NP$69="Single_Point",IF(179=$NR$69,$NN$69,0),IF($NP$69="Bell_Curve",$NN$69*(179-$NR$69+1)*($NS$69-179+1)/$NU$69,$NN$69/$NT$69)),0)</f>
        <v/>
      </c>
      <c r="GB69" s="402">
        <f>IF(AND(180&gt;=$NR$69,180&lt;=$NS$69),IF($NP$69="Single_Point",IF(180=$NR$69,$NN$69,0),IF($NP$69="Bell_Curve",$NN$69*(180-$NR$69+1)*($NS$69-180+1)/$NU$69,$NN$69/$NT$69)),0)</f>
        <v/>
      </c>
      <c r="GC69" s="402">
        <f>IF(AND(181&gt;=$NR$69,181&lt;=$NS$69),IF($NP$69="Single_Point",IF(181=$NR$69,$NN$69,0),IF($NP$69="Bell_Curve",$NN$69*(181-$NR$69+1)*($NS$69-181+1)/$NU$69,$NN$69/$NT$69)),0)</f>
        <v/>
      </c>
      <c r="GD69" s="402">
        <f>IF(AND(182&gt;=$NR$69,182&lt;=$NS$69),IF($NP$69="Single_Point",IF(182=$NR$69,$NN$69,0),IF($NP$69="Bell_Curve",$NN$69*(182-$NR$69+1)*($NS$69-182+1)/$NU$69,$NN$69/$NT$69)),0)</f>
        <v/>
      </c>
      <c r="GE69" s="402">
        <f>IF(AND(183&gt;=$NR$69,183&lt;=$NS$69),IF($NP$69="Single_Point",IF(183=$NR$69,$NN$69,0),IF($NP$69="Bell_Curve",$NN$69*(183-$NR$69+1)*($NS$69-183+1)/$NU$69,$NN$69/$NT$69)),0)</f>
        <v/>
      </c>
      <c r="GF69" s="402">
        <f>IF(AND(184&gt;=$NR$69,184&lt;=$NS$69),IF($NP$69="Single_Point",IF(184=$NR$69,$NN$69,0),IF($NP$69="Bell_Curve",$NN$69*(184-$NR$69+1)*($NS$69-184+1)/$NU$69,$NN$69/$NT$69)),0)</f>
        <v/>
      </c>
      <c r="GG69" s="402">
        <f>IF(AND(185&gt;=$NR$69,185&lt;=$NS$69),IF($NP$69="Single_Point",IF(185=$NR$69,$NN$69,0),IF($NP$69="Bell_Curve",$NN$69*(185-$NR$69+1)*($NS$69-185+1)/$NU$69,$NN$69/$NT$69)),0)</f>
        <v/>
      </c>
      <c r="GH69" s="402">
        <f>IF(AND(186&gt;=$NR$69,186&lt;=$NS$69),IF($NP$69="Single_Point",IF(186=$NR$69,$NN$69,0),IF($NP$69="Bell_Curve",$NN$69*(186-$NR$69+1)*($NS$69-186+1)/$NU$69,$NN$69/$NT$69)),0)</f>
        <v/>
      </c>
      <c r="GI69" s="402">
        <f>IF(AND(187&gt;=$NR$69,187&lt;=$NS$69),IF($NP$69="Single_Point",IF(187=$NR$69,$NN$69,0),IF($NP$69="Bell_Curve",$NN$69*(187-$NR$69+1)*($NS$69-187+1)/$NU$69,$NN$69/$NT$69)),0)</f>
        <v/>
      </c>
      <c r="GJ69" s="402">
        <f>IF(AND(188&gt;=$NR$69,188&lt;=$NS$69),IF($NP$69="Single_Point",IF(188=$NR$69,$NN$69,0),IF($NP$69="Bell_Curve",$NN$69*(188-$NR$69+1)*($NS$69-188+1)/$NU$69,$NN$69/$NT$69)),0)</f>
        <v/>
      </c>
      <c r="GK69" s="402">
        <f>IF(AND(189&gt;=$NR$69,189&lt;=$NS$69),IF($NP$69="Single_Point",IF(189=$NR$69,$NN$69,0),IF($NP$69="Bell_Curve",$NN$69*(189-$NR$69+1)*($NS$69-189+1)/$NU$69,$NN$69/$NT$69)),0)</f>
        <v/>
      </c>
      <c r="GL69" s="402">
        <f>IF(AND(190&gt;=$NR$69,190&lt;=$NS$69),IF($NP$69="Single_Point",IF(190=$NR$69,$NN$69,0),IF($NP$69="Bell_Curve",$NN$69*(190-$NR$69+1)*($NS$69-190+1)/$NU$69,$NN$69/$NT$69)),0)</f>
        <v/>
      </c>
      <c r="GM69" s="402">
        <f>IF(AND(191&gt;=$NR$69,191&lt;=$NS$69),IF($NP$69="Single_Point",IF(191=$NR$69,$NN$69,0),IF($NP$69="Bell_Curve",$NN$69*(191-$NR$69+1)*($NS$69-191+1)/$NU$69,$NN$69/$NT$69)),0)</f>
        <v/>
      </c>
      <c r="GN69" s="402">
        <f>IF(AND(192&gt;=$NR$69,192&lt;=$NS$69),IF($NP$69="Single_Point",IF(192=$NR$69,$NN$69,0),IF($NP$69="Bell_Curve",$NN$69*(192-$NR$69+1)*($NS$69-192+1)/$NU$69,$NN$69/$NT$69)),0)</f>
        <v/>
      </c>
      <c r="GO69" s="402">
        <f>IF(AND(193&gt;=$NR$69,193&lt;=$NS$69),IF($NP$69="Single_Point",IF(193=$NR$69,$NN$69,0),IF($NP$69="Bell_Curve",$NN$69*(193-$NR$69+1)*($NS$69-193+1)/$NU$69,$NN$69/$NT$69)),0)</f>
        <v/>
      </c>
      <c r="GP69" s="402">
        <f>IF(AND(194&gt;=$NR$69,194&lt;=$NS$69),IF($NP$69="Single_Point",IF(194=$NR$69,$NN$69,0),IF($NP$69="Bell_Curve",$NN$69*(194-$NR$69+1)*($NS$69-194+1)/$NU$69,$NN$69/$NT$69)),0)</f>
        <v/>
      </c>
      <c r="GQ69" s="402">
        <f>IF(AND(195&gt;=$NR$69,195&lt;=$NS$69),IF($NP$69="Single_Point",IF(195=$NR$69,$NN$69,0),IF($NP$69="Bell_Curve",$NN$69*(195-$NR$69+1)*($NS$69-195+1)/$NU$69,$NN$69/$NT$69)),0)</f>
        <v/>
      </c>
      <c r="GR69" s="402">
        <f>IF(AND(196&gt;=$NR$69,196&lt;=$NS$69),IF($NP$69="Single_Point",IF(196=$NR$69,$NN$69,0),IF($NP$69="Bell_Curve",$NN$69*(196-$NR$69+1)*($NS$69-196+1)/$NU$69,$NN$69/$NT$69)),0)</f>
        <v/>
      </c>
      <c r="GS69" s="402">
        <f>IF(AND(197&gt;=$NR$69,197&lt;=$NS$69),IF($NP$69="Single_Point",IF(197=$NR$69,$NN$69,0),IF($NP$69="Bell_Curve",$NN$69*(197-$NR$69+1)*($NS$69-197+1)/$NU$69,$NN$69/$NT$69)),0)</f>
        <v/>
      </c>
      <c r="GT69" s="402">
        <f>IF(AND(198&gt;=$NR$69,198&lt;=$NS$69),IF($NP$69="Single_Point",IF(198=$NR$69,$NN$69,0),IF($NP$69="Bell_Curve",$NN$69*(198-$NR$69+1)*($NS$69-198+1)/$NU$69,$NN$69/$NT$69)),0)</f>
        <v/>
      </c>
      <c r="GU69" s="402">
        <f>IF(AND(199&gt;=$NR$69,199&lt;=$NS$69),IF($NP$69="Single_Point",IF(199=$NR$69,$NN$69,0),IF($NP$69="Bell_Curve",$NN$69*(199-$NR$69+1)*($NS$69-199+1)/$NU$69,$NN$69/$NT$69)),0)</f>
        <v/>
      </c>
      <c r="GV69" s="402">
        <f>IF(AND(200&gt;=$NR$69,200&lt;=$NS$69),IF($NP$69="Single_Point",IF(200=$NR$69,$NN$69,0),IF($NP$69="Bell_Curve",$NN$69*(200-$NR$69+1)*($NS$69-200+1)/$NU$69,$NN$69/$NT$69)),0)</f>
        <v/>
      </c>
      <c r="GW69" s="402">
        <f>IF(AND(201&gt;=$NR$69,201&lt;=$NS$69),IF($NP$69="Single_Point",IF(201=$NR$69,$NN$69,0),IF($NP$69="Bell_Curve",$NN$69*(201-$NR$69+1)*($NS$69-201+1)/$NU$69,$NN$69/$NT$69)),0)</f>
        <v/>
      </c>
      <c r="GX69" s="402">
        <f>IF(AND(202&gt;=$NR$69,202&lt;=$NS$69),IF($NP$69="Single_Point",IF(202=$NR$69,$NN$69,0),IF($NP$69="Bell_Curve",$NN$69*(202-$NR$69+1)*($NS$69-202+1)/$NU$69,$NN$69/$NT$69)),0)</f>
        <v/>
      </c>
      <c r="GY69" s="402">
        <f>IF(AND(203&gt;=$NR$69,203&lt;=$NS$69),IF($NP$69="Single_Point",IF(203=$NR$69,$NN$69,0),IF($NP$69="Bell_Curve",$NN$69*(203-$NR$69+1)*($NS$69-203+1)/$NU$69,$NN$69/$NT$69)),0)</f>
        <v/>
      </c>
      <c r="GZ69" s="402">
        <f>IF(AND(204&gt;=$NR$69,204&lt;=$NS$69),IF($NP$69="Single_Point",IF(204=$NR$69,$NN$69,0),IF($NP$69="Bell_Curve",$NN$69*(204-$NR$69+1)*($NS$69-204+1)/$NU$69,$NN$69/$NT$69)),0)</f>
        <v/>
      </c>
      <c r="HA69" s="402">
        <f>IF(AND(205&gt;=$NR$69,205&lt;=$NS$69),IF($NP$69="Single_Point",IF(205=$NR$69,$NN$69,0),IF($NP$69="Bell_Curve",$NN$69*(205-$NR$69+1)*($NS$69-205+1)/$NU$69,$NN$69/$NT$69)),0)</f>
        <v/>
      </c>
      <c r="HB69" s="402">
        <f>IF(AND(206&gt;=$NR$69,206&lt;=$NS$69),IF($NP$69="Single_Point",IF(206=$NR$69,$NN$69,0),IF($NP$69="Bell_Curve",$NN$69*(206-$NR$69+1)*($NS$69-206+1)/$NU$69,$NN$69/$NT$69)),0)</f>
        <v/>
      </c>
      <c r="HC69" s="402">
        <f>IF(AND(207&gt;=$NR$69,207&lt;=$NS$69),IF($NP$69="Single_Point",IF(207=$NR$69,$NN$69,0),IF($NP$69="Bell_Curve",$NN$69*(207-$NR$69+1)*($NS$69-207+1)/$NU$69,$NN$69/$NT$69)),0)</f>
        <v/>
      </c>
      <c r="HD69" s="402">
        <f>IF(AND(208&gt;=$NR$69,208&lt;=$NS$69),IF($NP$69="Single_Point",IF(208=$NR$69,$NN$69,0),IF($NP$69="Bell_Curve",$NN$69*(208-$NR$69+1)*($NS$69-208+1)/$NU$69,$NN$69/$NT$69)),0)</f>
        <v/>
      </c>
      <c r="HE69" s="402">
        <f>IF(AND(209&gt;=$NR$69,209&lt;=$NS$69),IF($NP$69="Single_Point",IF(209=$NR$69,$NN$69,0),IF($NP$69="Bell_Curve",$NN$69*(209-$NR$69+1)*($NS$69-209+1)/$NU$69,$NN$69/$NT$69)),0)</f>
        <v/>
      </c>
      <c r="HF69" s="402">
        <f>IF(AND(210&gt;=$NR$69,210&lt;=$NS$69),IF($NP$69="Single_Point",IF(210=$NR$69,$NN$69,0),IF($NP$69="Bell_Curve",$NN$69*(210-$NR$69+1)*($NS$69-210+1)/$NU$69,$NN$69/$NT$69)),0)</f>
        <v/>
      </c>
      <c r="HG69" s="402">
        <f>IF(AND(211&gt;=$NR$69,211&lt;=$NS$69),IF($NP$69="Single_Point",IF(211=$NR$69,$NN$69,0),IF($NP$69="Bell_Curve",$NN$69*(211-$NR$69+1)*($NS$69-211+1)/$NU$69,$NN$69/$NT$69)),0)</f>
        <v/>
      </c>
      <c r="HH69" s="402">
        <f>IF(AND(212&gt;=$NR$69,212&lt;=$NS$69),IF($NP$69="Single_Point",IF(212=$NR$69,$NN$69,0),IF($NP$69="Bell_Curve",$NN$69*(212-$NR$69+1)*($NS$69-212+1)/$NU$69,$NN$69/$NT$69)),0)</f>
        <v/>
      </c>
      <c r="HI69" s="402">
        <f>IF(AND(213&gt;=$NR$69,213&lt;=$NS$69),IF($NP$69="Single_Point",IF(213=$NR$69,$NN$69,0),IF($NP$69="Bell_Curve",$NN$69*(213-$NR$69+1)*($NS$69-213+1)/$NU$69,$NN$69/$NT$69)),0)</f>
        <v/>
      </c>
      <c r="HJ69" s="402">
        <f>IF(AND(214&gt;=$NR$69,214&lt;=$NS$69),IF($NP$69="Single_Point",IF(214=$NR$69,$NN$69,0),IF($NP$69="Bell_Curve",$NN$69*(214-$NR$69+1)*($NS$69-214+1)/$NU$69,$NN$69/$NT$69)),0)</f>
        <v/>
      </c>
      <c r="HK69" s="402">
        <f>IF(AND(215&gt;=$NR$69,215&lt;=$NS$69),IF($NP$69="Single_Point",IF(215=$NR$69,$NN$69,0),IF($NP$69="Bell_Curve",$NN$69*(215-$NR$69+1)*($NS$69-215+1)/$NU$69,$NN$69/$NT$69)),0)</f>
        <v/>
      </c>
      <c r="HL69" s="402">
        <f>IF(AND(216&gt;=$NR$69,216&lt;=$NS$69),IF($NP$69="Single_Point",IF(216=$NR$69,$NN$69,0),IF($NP$69="Bell_Curve",$NN$69*(216-$NR$69+1)*($NS$69-216+1)/$NU$69,$NN$69/$NT$69)),0)</f>
        <v/>
      </c>
      <c r="HM69" s="402">
        <f>IF(AND(217&gt;=$NR$69,217&lt;=$NS$69),IF($NP$69="Single_Point",IF(217=$NR$69,$NN$69,0),IF($NP$69="Bell_Curve",$NN$69*(217-$NR$69+1)*($NS$69-217+1)/$NU$69,$NN$69/$NT$69)),0)</f>
        <v/>
      </c>
      <c r="HN69" s="402">
        <f>IF(AND(218&gt;=$NR$69,218&lt;=$NS$69),IF($NP$69="Single_Point",IF(218=$NR$69,$NN$69,0),IF($NP$69="Bell_Curve",$NN$69*(218-$NR$69+1)*($NS$69-218+1)/$NU$69,$NN$69/$NT$69)),0)</f>
        <v/>
      </c>
      <c r="HO69" s="402">
        <f>IF(AND(219&gt;=$NR$69,219&lt;=$NS$69),IF($NP$69="Single_Point",IF(219=$NR$69,$NN$69,0),IF($NP$69="Bell_Curve",$NN$69*(219-$NR$69+1)*($NS$69-219+1)/$NU$69,$NN$69/$NT$69)),0)</f>
        <v/>
      </c>
      <c r="HP69" s="402">
        <f>IF(AND(220&gt;=$NR$69,220&lt;=$NS$69),IF($NP$69="Single_Point",IF(220=$NR$69,$NN$69,0),IF($NP$69="Bell_Curve",$NN$69*(220-$NR$69+1)*($NS$69-220+1)/$NU$69,$NN$69/$NT$69)),0)</f>
        <v/>
      </c>
      <c r="HQ69" s="402">
        <f>IF(AND(221&gt;=$NR$69,221&lt;=$NS$69),IF($NP$69="Single_Point",IF(221=$NR$69,$NN$69,0),IF($NP$69="Bell_Curve",$NN$69*(221-$NR$69+1)*($NS$69-221+1)/$NU$69,$NN$69/$NT$69)),0)</f>
        <v/>
      </c>
      <c r="HR69" s="402">
        <f>IF(AND(222&gt;=$NR$69,222&lt;=$NS$69),IF($NP$69="Single_Point",IF(222=$NR$69,$NN$69,0),IF($NP$69="Bell_Curve",$NN$69*(222-$NR$69+1)*($NS$69-222+1)/$NU$69,$NN$69/$NT$69)),0)</f>
        <v/>
      </c>
      <c r="HS69" s="402">
        <f>IF(AND(223&gt;=$NR$69,223&lt;=$NS$69),IF($NP$69="Single_Point",IF(223=$NR$69,$NN$69,0),IF($NP$69="Bell_Curve",$NN$69*(223-$NR$69+1)*($NS$69-223+1)/$NU$69,$NN$69/$NT$69)),0)</f>
        <v/>
      </c>
      <c r="HT69" s="402">
        <f>IF(AND(224&gt;=$NR$69,224&lt;=$NS$69),IF($NP$69="Single_Point",IF(224=$NR$69,$NN$69,0),IF($NP$69="Bell_Curve",$NN$69*(224-$NR$69+1)*($NS$69-224+1)/$NU$69,$NN$69/$NT$69)),0)</f>
        <v/>
      </c>
      <c r="HU69" s="402">
        <f>IF(AND(225&gt;=$NR$69,225&lt;=$NS$69),IF($NP$69="Single_Point",IF(225=$NR$69,$NN$69,0),IF($NP$69="Bell_Curve",$NN$69*(225-$NR$69+1)*($NS$69-225+1)/$NU$69,$NN$69/$NT$69)),0)</f>
        <v/>
      </c>
      <c r="HV69" s="402">
        <f>IF(AND(226&gt;=$NR$69,226&lt;=$NS$69),IF($NP$69="Single_Point",IF(226=$NR$69,$NN$69,0),IF($NP$69="Bell_Curve",$NN$69*(226-$NR$69+1)*($NS$69-226+1)/$NU$69,$NN$69/$NT$69)),0)</f>
        <v/>
      </c>
      <c r="HW69" s="402">
        <f>IF(AND(227&gt;=$NR$69,227&lt;=$NS$69),IF($NP$69="Single_Point",IF(227=$NR$69,$NN$69,0),IF($NP$69="Bell_Curve",$NN$69*(227-$NR$69+1)*($NS$69-227+1)/$NU$69,$NN$69/$NT$69)),0)</f>
        <v/>
      </c>
      <c r="HX69" s="402">
        <f>IF(AND(228&gt;=$NR$69,228&lt;=$NS$69),IF($NP$69="Single_Point",IF(228=$NR$69,$NN$69,0),IF($NP$69="Bell_Curve",$NN$69*(228-$NR$69+1)*($NS$69-228+1)/$NU$69,$NN$69/$NT$69)),0)</f>
        <v/>
      </c>
      <c r="HY69" s="402">
        <f>IF(AND(229&gt;=$NR$69,229&lt;=$NS$69),IF($NP$69="Single_Point",IF(229=$NR$69,$NN$69,0),IF($NP$69="Bell_Curve",$NN$69*(229-$NR$69+1)*($NS$69-229+1)/$NU$69,$NN$69/$NT$69)),0)</f>
        <v/>
      </c>
      <c r="HZ69" s="402">
        <f>IF(AND(230&gt;=$NR$69,230&lt;=$NS$69),IF($NP$69="Single_Point",IF(230=$NR$69,$NN$69,0),IF($NP$69="Bell_Curve",$NN$69*(230-$NR$69+1)*($NS$69-230+1)/$NU$69,$NN$69/$NT$69)),0)</f>
        <v/>
      </c>
      <c r="IA69" s="402">
        <f>IF(AND(231&gt;=$NR$69,231&lt;=$NS$69),IF($NP$69="Single_Point",IF(231=$NR$69,$NN$69,0),IF($NP$69="Bell_Curve",$NN$69*(231-$NR$69+1)*($NS$69-231+1)/$NU$69,$NN$69/$NT$69)),0)</f>
        <v/>
      </c>
      <c r="IB69" s="402">
        <f>IF(AND(232&gt;=$NR$69,232&lt;=$NS$69),IF($NP$69="Single_Point",IF(232=$NR$69,$NN$69,0),IF($NP$69="Bell_Curve",$NN$69*(232-$NR$69+1)*($NS$69-232+1)/$NU$69,$NN$69/$NT$69)),0)</f>
        <v/>
      </c>
      <c r="IC69" s="402">
        <f>IF(AND(233&gt;=$NR$69,233&lt;=$NS$69),IF($NP$69="Single_Point",IF(233=$NR$69,$NN$69,0),IF($NP$69="Bell_Curve",$NN$69*(233-$NR$69+1)*($NS$69-233+1)/$NU$69,$NN$69/$NT$69)),0)</f>
        <v/>
      </c>
      <c r="ID69" s="402">
        <f>IF(AND(234&gt;=$NR$69,234&lt;=$NS$69),IF($NP$69="Single_Point",IF(234=$NR$69,$NN$69,0),IF($NP$69="Bell_Curve",$NN$69*(234-$NR$69+1)*($NS$69-234+1)/$NU$69,$NN$69/$NT$69)),0)</f>
        <v/>
      </c>
      <c r="IE69" s="402">
        <f>IF(AND(235&gt;=$NR$69,235&lt;=$NS$69),IF($NP$69="Single_Point",IF(235=$NR$69,$NN$69,0),IF($NP$69="Bell_Curve",$NN$69*(235-$NR$69+1)*($NS$69-235+1)/$NU$69,$NN$69/$NT$69)),0)</f>
        <v/>
      </c>
      <c r="IF69" s="402">
        <f>IF(AND(236&gt;=$NR$69,236&lt;=$NS$69),IF($NP$69="Single_Point",IF(236=$NR$69,$NN$69,0),IF($NP$69="Bell_Curve",$NN$69*(236-$NR$69+1)*($NS$69-236+1)/$NU$69,$NN$69/$NT$69)),0)</f>
        <v/>
      </c>
      <c r="IG69" s="402">
        <f>IF(AND(237&gt;=$NR$69,237&lt;=$NS$69),IF($NP$69="Single_Point",IF(237=$NR$69,$NN$69,0),IF($NP$69="Bell_Curve",$NN$69*(237-$NR$69+1)*($NS$69-237+1)/$NU$69,$NN$69/$NT$69)),0)</f>
        <v/>
      </c>
      <c r="IH69" s="402">
        <f>IF(AND(238&gt;=$NR$69,238&lt;=$NS$69),IF($NP$69="Single_Point",IF(238=$NR$69,$NN$69,0),IF($NP$69="Bell_Curve",$NN$69*(238-$NR$69+1)*($NS$69-238+1)/$NU$69,$NN$69/$NT$69)),0)</f>
        <v/>
      </c>
      <c r="II69" s="402">
        <f>IF(AND(239&gt;=$NR$69,239&lt;=$NS$69),IF($NP$69="Single_Point",IF(239=$NR$69,$NN$69,0),IF($NP$69="Bell_Curve",$NN$69*(239-$NR$69+1)*($NS$69-239+1)/$NU$69,$NN$69/$NT$69)),0)</f>
        <v/>
      </c>
      <c r="IJ69" s="402">
        <f>IF(AND(240&gt;=$NR$69,240&lt;=$NS$69),IF($NP$69="Single_Point",IF(240=$NR$69,$NN$69,0),IF($NP$69="Bell_Curve",$NN$69*(240-$NR$69+1)*($NS$69-240+1)/$NU$69,$NN$69/$NT$69)),0)</f>
        <v/>
      </c>
      <c r="IK69" s="402">
        <f>IF(AND(241&gt;=$NR$69,241&lt;=$NS$69),IF($NP$69="Single_Point",IF(241=$NR$69,$NN$69,0),IF($NP$69="Bell_Curve",$NN$69*(241-$NR$69+1)*($NS$69-241+1)/$NU$69,$NN$69/$NT$69)),0)</f>
        <v/>
      </c>
      <c r="IL69" s="402">
        <f>IF(AND(242&gt;=$NR$69,242&lt;=$NS$69),IF($NP$69="Single_Point",IF(242=$NR$69,$NN$69,0),IF($NP$69="Bell_Curve",$NN$69*(242-$NR$69+1)*($NS$69-242+1)/$NU$69,$NN$69/$NT$69)),0)</f>
        <v/>
      </c>
      <c r="IM69" s="402">
        <f>IF(AND(243&gt;=$NR$69,243&lt;=$NS$69),IF($NP$69="Single_Point",IF(243=$NR$69,$NN$69,0),IF($NP$69="Bell_Curve",$NN$69*(243-$NR$69+1)*($NS$69-243+1)/$NU$69,$NN$69/$NT$69)),0)</f>
        <v/>
      </c>
      <c r="IN69" s="402">
        <f>IF(AND(244&gt;=$NR$69,244&lt;=$NS$69),IF($NP$69="Single_Point",IF(244=$NR$69,$NN$69,0),IF($NP$69="Bell_Curve",$NN$69*(244-$NR$69+1)*($NS$69-244+1)/$NU$69,$NN$69/$NT$69)),0)</f>
        <v/>
      </c>
      <c r="IO69" s="402">
        <f>IF(AND(245&gt;=$NR$69,245&lt;=$NS$69),IF($NP$69="Single_Point",IF(245=$NR$69,$NN$69,0),IF($NP$69="Bell_Curve",$NN$69*(245-$NR$69+1)*($NS$69-245+1)/$NU$69,$NN$69/$NT$69)),0)</f>
        <v/>
      </c>
      <c r="IP69" s="402">
        <f>IF(AND(246&gt;=$NR$69,246&lt;=$NS$69),IF($NP$69="Single_Point",IF(246=$NR$69,$NN$69,0),IF($NP$69="Bell_Curve",$NN$69*(246-$NR$69+1)*($NS$69-246+1)/$NU$69,$NN$69/$NT$69)),0)</f>
        <v/>
      </c>
      <c r="IQ69" s="402">
        <f>IF(AND(247&gt;=$NR$69,247&lt;=$NS$69),IF($NP$69="Single_Point",IF(247=$NR$69,$NN$69,0),IF($NP$69="Bell_Curve",$NN$69*(247-$NR$69+1)*($NS$69-247+1)/$NU$69,$NN$69/$NT$69)),0)</f>
        <v/>
      </c>
      <c r="IR69" s="402">
        <f>IF(AND(248&gt;=$NR$69,248&lt;=$NS$69),IF($NP$69="Single_Point",IF(248=$NR$69,$NN$69,0),IF($NP$69="Bell_Curve",$NN$69*(248-$NR$69+1)*($NS$69-248+1)/$NU$69,$NN$69/$NT$69)),0)</f>
        <v/>
      </c>
      <c r="IS69" s="402">
        <f>IF(AND(249&gt;=$NR$69,249&lt;=$NS$69),IF($NP$69="Single_Point",IF(249=$NR$69,$NN$69,0),IF($NP$69="Bell_Curve",$NN$69*(249-$NR$69+1)*($NS$69-249+1)/$NU$69,$NN$69/$NT$69)),0)</f>
        <v/>
      </c>
      <c r="IT69" s="402">
        <f>IF(AND(250&gt;=$NR$69,250&lt;=$NS$69),IF($NP$69="Single_Point",IF(250=$NR$69,$NN$69,0),IF($NP$69="Bell_Curve",$NN$69*(250-$NR$69+1)*($NS$69-250+1)/$NU$69,$NN$69/$NT$69)),0)</f>
        <v/>
      </c>
      <c r="IU69" s="402">
        <f>IF(AND(251&gt;=$NR$69,251&lt;=$NS$69),IF($NP$69="Single_Point",IF(251=$NR$69,$NN$69,0),IF($NP$69="Bell_Curve",$NN$69*(251-$NR$69+1)*($NS$69-251+1)/$NU$69,$NN$69/$NT$69)),0)</f>
        <v/>
      </c>
      <c r="IV69" s="402">
        <f>IF(AND(252&gt;=$NR$69,252&lt;=$NS$69),IF($NP$69="Single_Point",IF(252=$NR$69,$NN$69,0),IF($NP$69="Bell_Curve",$NN$69*(252-$NR$69+1)*($NS$69-252+1)/$NU$69,$NN$69/$NT$69)),0)</f>
        <v/>
      </c>
      <c r="IW69" s="402">
        <f>IF(AND(253&gt;=$NR$69,253&lt;=$NS$69),IF($NP$69="Single_Point",IF(253=$NR$69,$NN$69,0),IF($NP$69="Bell_Curve",$NN$69*(253-$NR$69+1)*($NS$69-253+1)/$NU$69,$NN$69/$NT$69)),0)</f>
        <v/>
      </c>
      <c r="IX69" s="402">
        <f>IF(AND(254&gt;=$NR$69,254&lt;=$NS$69),IF($NP$69="Single_Point",IF(254=$NR$69,$NN$69,0),IF($NP$69="Bell_Curve",$NN$69*(254-$NR$69+1)*($NS$69-254+1)/$NU$69,$NN$69/$NT$69)),0)</f>
        <v/>
      </c>
      <c r="IY69" s="402">
        <f>IF(AND(255&gt;=$NR$69,255&lt;=$NS$69),IF($NP$69="Single_Point",IF(255=$NR$69,$NN$69,0),IF($NP$69="Bell_Curve",$NN$69*(255-$NR$69+1)*($NS$69-255+1)/$NU$69,$NN$69/$NT$69)),0)</f>
        <v/>
      </c>
      <c r="IZ69" s="402">
        <f>IF(AND(256&gt;=$NR$69,256&lt;=$NS$69),IF($NP$69="Single_Point",IF(256=$NR$69,$NN$69,0),IF($NP$69="Bell_Curve",$NN$69*(256-$NR$69+1)*($NS$69-256+1)/$NU$69,$NN$69/$NT$69)),0)</f>
        <v/>
      </c>
      <c r="JA69" s="402">
        <f>IF(AND(257&gt;=$NR$69,257&lt;=$NS$69),IF($NP$69="Single_Point",IF(257=$NR$69,$NN$69,0),IF($NP$69="Bell_Curve",$NN$69*(257-$NR$69+1)*($NS$69-257+1)/$NU$69,$NN$69/$NT$69)),0)</f>
        <v/>
      </c>
      <c r="JB69" s="402">
        <f>IF(AND(258&gt;=$NR$69,258&lt;=$NS$69),IF($NP$69="Single_Point",IF(258=$NR$69,$NN$69,0),IF($NP$69="Bell_Curve",$NN$69*(258-$NR$69+1)*($NS$69-258+1)/$NU$69,$NN$69/$NT$69)),0)</f>
        <v/>
      </c>
      <c r="JC69" s="402">
        <f>IF(AND(259&gt;=$NR$69,259&lt;=$NS$69),IF($NP$69="Single_Point",IF(259=$NR$69,$NN$69,0),IF($NP$69="Bell_Curve",$NN$69*(259-$NR$69+1)*($NS$69-259+1)/$NU$69,$NN$69/$NT$69)),0)</f>
        <v/>
      </c>
      <c r="JD69" s="402">
        <f>IF(AND(260&gt;=$NR$69,260&lt;=$NS$69),IF($NP$69="Single_Point",IF(260=$NR$69,$NN$69,0),IF($NP$69="Bell_Curve",$NN$69*(260-$NR$69+1)*($NS$69-260+1)/$NU$69,$NN$69/$NT$69)),0)</f>
        <v/>
      </c>
      <c r="JE69" s="402">
        <f>IF(AND(261&gt;=$NR$69,261&lt;=$NS$69),IF($NP$69="Single_Point",IF(261=$NR$69,$NN$69,0),IF($NP$69="Bell_Curve",$NN$69*(261-$NR$69+1)*($NS$69-261+1)/$NU$69,$NN$69/$NT$69)),0)</f>
        <v/>
      </c>
      <c r="JF69" s="402">
        <f>IF(AND(262&gt;=$NR$69,262&lt;=$NS$69),IF($NP$69="Single_Point",IF(262=$NR$69,$NN$69,0),IF($NP$69="Bell_Curve",$NN$69*(262-$NR$69+1)*($NS$69-262+1)/$NU$69,$NN$69/$NT$69)),0)</f>
        <v/>
      </c>
      <c r="JG69" s="402">
        <f>IF(AND(263&gt;=$NR$69,263&lt;=$NS$69),IF($NP$69="Single_Point",IF(263=$NR$69,$NN$69,0),IF($NP$69="Bell_Curve",$NN$69*(263-$NR$69+1)*($NS$69-263+1)/$NU$69,$NN$69/$NT$69)),0)</f>
        <v/>
      </c>
      <c r="JH69" s="402">
        <f>IF(AND(264&gt;=$NR$69,264&lt;=$NS$69),IF($NP$69="Single_Point",IF(264=$NR$69,$NN$69,0),IF($NP$69="Bell_Curve",$NN$69*(264-$NR$69+1)*($NS$69-264+1)/$NU$69,$NN$69/$NT$69)),0)</f>
        <v/>
      </c>
      <c r="JI69" s="402">
        <f>IF(AND(265&gt;=$NR$69,265&lt;=$NS$69),IF($NP$69="Single_Point",IF(265=$NR$69,$NN$69,0),IF($NP$69="Bell_Curve",$NN$69*(265-$NR$69+1)*($NS$69-265+1)/$NU$69,$NN$69/$NT$69)),0)</f>
        <v/>
      </c>
      <c r="JJ69" s="402">
        <f>IF(AND(266&gt;=$NR$69,266&lt;=$NS$69),IF($NP$69="Single_Point",IF(266=$NR$69,$NN$69,0),IF($NP$69="Bell_Curve",$NN$69*(266-$NR$69+1)*($NS$69-266+1)/$NU$69,$NN$69/$NT$69)),0)</f>
        <v/>
      </c>
      <c r="JK69" s="402">
        <f>IF(AND(267&gt;=$NR$69,267&lt;=$NS$69),IF($NP$69="Single_Point",IF(267=$NR$69,$NN$69,0),IF($NP$69="Bell_Curve",$NN$69*(267-$NR$69+1)*($NS$69-267+1)/$NU$69,$NN$69/$NT$69)),0)</f>
        <v/>
      </c>
      <c r="JL69" s="402">
        <f>IF(AND(268&gt;=$NR$69,268&lt;=$NS$69),IF($NP$69="Single_Point",IF(268=$NR$69,$NN$69,0),IF($NP$69="Bell_Curve",$NN$69*(268-$NR$69+1)*($NS$69-268+1)/$NU$69,$NN$69/$NT$69)),0)</f>
        <v/>
      </c>
      <c r="JM69" s="402">
        <f>IF(AND(269&gt;=$NR$69,269&lt;=$NS$69),IF($NP$69="Single_Point",IF(269=$NR$69,$NN$69,0),IF($NP$69="Bell_Curve",$NN$69*(269-$NR$69+1)*($NS$69-269+1)/$NU$69,$NN$69/$NT$69)),0)</f>
        <v/>
      </c>
      <c r="JN69" s="402">
        <f>IF(AND(270&gt;=$NR$69,270&lt;=$NS$69),IF($NP$69="Single_Point",IF(270=$NR$69,$NN$69,0),IF($NP$69="Bell_Curve",$NN$69*(270-$NR$69+1)*($NS$69-270+1)/$NU$69,$NN$69/$NT$69)),0)</f>
        <v/>
      </c>
      <c r="JO69" s="402">
        <f>IF(AND(271&gt;=$NR$69,271&lt;=$NS$69),IF($NP$69="Single_Point",IF(271=$NR$69,$NN$69,0),IF($NP$69="Bell_Curve",$NN$69*(271-$NR$69+1)*($NS$69-271+1)/$NU$69,$NN$69/$NT$69)),0)</f>
        <v/>
      </c>
      <c r="JP69" s="402">
        <f>IF(AND(272&gt;=$NR$69,272&lt;=$NS$69),IF($NP$69="Single_Point",IF(272=$NR$69,$NN$69,0),IF($NP$69="Bell_Curve",$NN$69*(272-$NR$69+1)*($NS$69-272+1)/$NU$69,$NN$69/$NT$69)),0)</f>
        <v/>
      </c>
      <c r="JQ69" s="402">
        <f>IF(AND(273&gt;=$NR$69,273&lt;=$NS$69),IF($NP$69="Single_Point",IF(273=$NR$69,$NN$69,0),IF($NP$69="Bell_Curve",$NN$69*(273-$NR$69+1)*($NS$69-273+1)/$NU$69,$NN$69/$NT$69)),0)</f>
        <v/>
      </c>
      <c r="JR69" s="402">
        <f>IF(AND(274&gt;=$NR$69,274&lt;=$NS$69),IF($NP$69="Single_Point",IF(274=$NR$69,$NN$69,0),IF($NP$69="Bell_Curve",$NN$69*(274-$NR$69+1)*($NS$69-274+1)/$NU$69,$NN$69/$NT$69)),0)</f>
        <v/>
      </c>
      <c r="JS69" s="402">
        <f>IF(AND(275&gt;=$NR$69,275&lt;=$NS$69),IF($NP$69="Single_Point",IF(275=$NR$69,$NN$69,0),IF($NP$69="Bell_Curve",$NN$69*(275-$NR$69+1)*($NS$69-275+1)/$NU$69,$NN$69/$NT$69)),0)</f>
        <v/>
      </c>
      <c r="JT69" s="402">
        <f>IF(AND(276&gt;=$NR$69,276&lt;=$NS$69),IF($NP$69="Single_Point",IF(276=$NR$69,$NN$69,0),IF($NP$69="Bell_Curve",$NN$69*(276-$NR$69+1)*($NS$69-276+1)/$NU$69,$NN$69/$NT$69)),0)</f>
        <v/>
      </c>
      <c r="JU69" s="402">
        <f>IF(AND(277&gt;=$NR$69,277&lt;=$NS$69),IF($NP$69="Single_Point",IF(277=$NR$69,$NN$69,0),IF($NP$69="Bell_Curve",$NN$69*(277-$NR$69+1)*($NS$69-277+1)/$NU$69,$NN$69/$NT$69)),0)</f>
        <v/>
      </c>
      <c r="JV69" s="402">
        <f>IF(AND(278&gt;=$NR$69,278&lt;=$NS$69),IF($NP$69="Single_Point",IF(278=$NR$69,$NN$69,0),IF($NP$69="Bell_Curve",$NN$69*(278-$NR$69+1)*($NS$69-278+1)/$NU$69,$NN$69/$NT$69)),0)</f>
        <v/>
      </c>
      <c r="JW69" s="402">
        <f>IF(AND(279&gt;=$NR$69,279&lt;=$NS$69),IF($NP$69="Single_Point",IF(279=$NR$69,$NN$69,0),IF($NP$69="Bell_Curve",$NN$69*(279-$NR$69+1)*($NS$69-279+1)/$NU$69,$NN$69/$NT$69)),0)</f>
        <v/>
      </c>
      <c r="JX69" s="402">
        <f>IF(AND(280&gt;=$NR$69,280&lt;=$NS$69),IF($NP$69="Single_Point",IF(280=$NR$69,$NN$69,0),IF($NP$69="Bell_Curve",$NN$69*(280-$NR$69+1)*($NS$69-280+1)/$NU$69,$NN$69/$NT$69)),0)</f>
        <v/>
      </c>
      <c r="JY69" s="402">
        <f>IF(AND(281&gt;=$NR$69,281&lt;=$NS$69),IF($NP$69="Single_Point",IF(281=$NR$69,$NN$69,0),IF($NP$69="Bell_Curve",$NN$69*(281-$NR$69+1)*($NS$69-281+1)/$NU$69,$NN$69/$NT$69)),0)</f>
        <v/>
      </c>
      <c r="JZ69" s="402">
        <f>IF(AND(282&gt;=$NR$69,282&lt;=$NS$69),IF($NP$69="Single_Point",IF(282=$NR$69,$NN$69,0),IF($NP$69="Bell_Curve",$NN$69*(282-$NR$69+1)*($NS$69-282+1)/$NU$69,$NN$69/$NT$69)),0)</f>
        <v/>
      </c>
      <c r="KA69" s="402">
        <f>IF(AND(283&gt;=$NR$69,283&lt;=$NS$69),IF($NP$69="Single_Point",IF(283=$NR$69,$NN$69,0),IF($NP$69="Bell_Curve",$NN$69*(283-$NR$69+1)*($NS$69-283+1)/$NU$69,$NN$69/$NT$69)),0)</f>
        <v/>
      </c>
      <c r="KB69" s="402">
        <f>IF(AND(284&gt;=$NR$69,284&lt;=$NS$69),IF($NP$69="Single_Point",IF(284=$NR$69,$NN$69,0),IF($NP$69="Bell_Curve",$NN$69*(284-$NR$69+1)*($NS$69-284+1)/$NU$69,$NN$69/$NT$69)),0)</f>
        <v/>
      </c>
      <c r="KC69" s="402">
        <f>IF(AND(285&gt;=$NR$69,285&lt;=$NS$69),IF($NP$69="Single_Point",IF(285=$NR$69,$NN$69,0),IF($NP$69="Bell_Curve",$NN$69*(285-$NR$69+1)*($NS$69-285+1)/$NU$69,$NN$69/$NT$69)),0)</f>
        <v/>
      </c>
      <c r="KD69" s="402">
        <f>IF(AND(286&gt;=$NR$69,286&lt;=$NS$69),IF($NP$69="Single_Point",IF(286=$NR$69,$NN$69,0),IF($NP$69="Bell_Curve",$NN$69*(286-$NR$69+1)*($NS$69-286+1)/$NU$69,$NN$69/$NT$69)),0)</f>
        <v/>
      </c>
      <c r="KE69" s="402">
        <f>IF(AND(287&gt;=$NR$69,287&lt;=$NS$69),IF($NP$69="Single_Point",IF(287=$NR$69,$NN$69,0),IF($NP$69="Bell_Curve",$NN$69*(287-$NR$69+1)*($NS$69-287+1)/$NU$69,$NN$69/$NT$69)),0)</f>
        <v/>
      </c>
      <c r="KF69" s="402">
        <f>IF(AND(288&gt;=$NR$69,288&lt;=$NS$69),IF($NP$69="Single_Point",IF(288=$NR$69,$NN$69,0),IF($NP$69="Bell_Curve",$NN$69*(288-$NR$69+1)*($NS$69-288+1)/$NU$69,$NN$69/$NT$69)),0)</f>
        <v/>
      </c>
      <c r="KG69" s="402">
        <f>IF(AND(289&gt;=$NR$69,289&lt;=$NS$69),IF($NP$69="Single_Point",IF(289=$NR$69,$NN$69,0),IF($NP$69="Bell_Curve",$NN$69*(289-$NR$69+1)*($NS$69-289+1)/$NU$69,$NN$69/$NT$69)),0)</f>
        <v/>
      </c>
      <c r="KH69" s="402">
        <f>IF(AND(290&gt;=$NR$69,290&lt;=$NS$69),IF($NP$69="Single_Point",IF(290=$NR$69,$NN$69,0),IF($NP$69="Bell_Curve",$NN$69*(290-$NR$69+1)*($NS$69-290+1)/$NU$69,$NN$69/$NT$69)),0)</f>
        <v/>
      </c>
      <c r="KI69" s="402">
        <f>IF(AND(291&gt;=$NR$69,291&lt;=$NS$69),IF($NP$69="Single_Point",IF(291=$NR$69,$NN$69,0),IF($NP$69="Bell_Curve",$NN$69*(291-$NR$69+1)*($NS$69-291+1)/$NU$69,$NN$69/$NT$69)),0)</f>
        <v/>
      </c>
      <c r="KJ69" s="402">
        <f>IF(AND(292&gt;=$NR$69,292&lt;=$NS$69),IF($NP$69="Single_Point",IF(292=$NR$69,$NN$69,0),IF($NP$69="Bell_Curve",$NN$69*(292-$NR$69+1)*($NS$69-292+1)/$NU$69,$NN$69/$NT$69)),0)</f>
        <v/>
      </c>
      <c r="KK69" s="402">
        <f>IF(AND(293&gt;=$NR$69,293&lt;=$NS$69),IF($NP$69="Single_Point",IF(293=$NR$69,$NN$69,0),IF($NP$69="Bell_Curve",$NN$69*(293-$NR$69+1)*($NS$69-293+1)/$NU$69,$NN$69/$NT$69)),0)</f>
        <v/>
      </c>
      <c r="KL69" s="402">
        <f>IF(AND(294&gt;=$NR$69,294&lt;=$NS$69),IF($NP$69="Single_Point",IF(294=$NR$69,$NN$69,0),IF($NP$69="Bell_Curve",$NN$69*(294-$NR$69+1)*($NS$69-294+1)/$NU$69,$NN$69/$NT$69)),0)</f>
        <v/>
      </c>
      <c r="KM69" s="402">
        <f>IF(AND(295&gt;=$NR$69,295&lt;=$NS$69),IF($NP$69="Single_Point",IF(295=$NR$69,$NN$69,0),IF($NP$69="Bell_Curve",$NN$69*(295-$NR$69+1)*($NS$69-295+1)/$NU$69,$NN$69/$NT$69)),0)</f>
        <v/>
      </c>
      <c r="KN69" s="402">
        <f>IF(AND(296&gt;=$NR$69,296&lt;=$NS$69),IF($NP$69="Single_Point",IF(296=$NR$69,$NN$69,0),IF($NP$69="Bell_Curve",$NN$69*(296-$NR$69+1)*($NS$69-296+1)/$NU$69,$NN$69/$NT$69)),0)</f>
        <v/>
      </c>
      <c r="KO69" s="402">
        <f>IF(AND(297&gt;=$NR$69,297&lt;=$NS$69),IF($NP$69="Single_Point",IF(297=$NR$69,$NN$69,0),IF($NP$69="Bell_Curve",$NN$69*(297-$NR$69+1)*($NS$69-297+1)/$NU$69,$NN$69/$NT$69)),0)</f>
        <v/>
      </c>
      <c r="KP69" s="402">
        <f>IF(AND(298&gt;=$NR$69,298&lt;=$NS$69),IF($NP$69="Single_Point",IF(298=$NR$69,$NN$69,0),IF($NP$69="Bell_Curve",$NN$69*(298-$NR$69+1)*($NS$69-298+1)/$NU$69,$NN$69/$NT$69)),0)</f>
        <v/>
      </c>
      <c r="KQ69" s="402">
        <f>IF(AND(299&gt;=$NR$69,299&lt;=$NS$69),IF($NP$69="Single_Point",IF(299=$NR$69,$NN$69,0),IF($NP$69="Bell_Curve",$NN$69*(299-$NR$69+1)*($NS$69-299+1)/$NU$69,$NN$69/$NT$69)),0)</f>
        <v/>
      </c>
      <c r="KR69" s="402">
        <f>IF(AND(300&gt;=$NR$69,300&lt;=$NS$69),IF($NP$69="Single_Point",IF(300=$NR$69,$NN$69,0),IF($NP$69="Bell_Curve",$NN$69*(300-$NR$69+1)*($NS$69-300+1)/$NU$69,$NN$69/$NT$69)),0)</f>
        <v/>
      </c>
      <c r="KS69" s="402">
        <f>IF(AND(301&gt;=$NR$69,301&lt;=$NS$69),IF($NP$69="Single_Point",IF(301=$NR$69,$NN$69,0),IF($NP$69="Bell_Curve",$NN$69*(301-$NR$69+1)*($NS$69-301+1)/$NU$69,$NN$69/$NT$69)),0)</f>
        <v/>
      </c>
      <c r="KT69" s="402">
        <f>IF(AND(302&gt;=$NR$69,302&lt;=$NS$69),IF($NP$69="Single_Point",IF(302=$NR$69,$NN$69,0),IF($NP$69="Bell_Curve",$NN$69*(302-$NR$69+1)*($NS$69-302+1)/$NU$69,$NN$69/$NT$69)),0)</f>
        <v/>
      </c>
      <c r="KU69" s="402">
        <f>IF(AND(303&gt;=$NR$69,303&lt;=$NS$69),IF($NP$69="Single_Point",IF(303=$NR$69,$NN$69,0),IF($NP$69="Bell_Curve",$NN$69*(303-$NR$69+1)*($NS$69-303+1)/$NU$69,$NN$69/$NT$69)),0)</f>
        <v/>
      </c>
      <c r="KV69" s="402">
        <f>IF(AND(304&gt;=$NR$69,304&lt;=$NS$69),IF($NP$69="Single_Point",IF(304=$NR$69,$NN$69,0),IF($NP$69="Bell_Curve",$NN$69*(304-$NR$69+1)*($NS$69-304+1)/$NU$69,$NN$69/$NT$69)),0)</f>
        <v/>
      </c>
      <c r="KW69" s="402">
        <f>IF(AND(305&gt;=$NR$69,305&lt;=$NS$69),IF($NP$69="Single_Point",IF(305=$NR$69,$NN$69,0),IF($NP$69="Bell_Curve",$NN$69*(305-$NR$69+1)*($NS$69-305+1)/$NU$69,$NN$69/$NT$69)),0)</f>
        <v/>
      </c>
      <c r="KX69" s="402">
        <f>IF(AND(306&gt;=$NR$69,306&lt;=$NS$69),IF($NP$69="Single_Point",IF(306=$NR$69,$NN$69,0),IF($NP$69="Bell_Curve",$NN$69*(306-$NR$69+1)*($NS$69-306+1)/$NU$69,$NN$69/$NT$69)),0)</f>
        <v/>
      </c>
      <c r="KY69" s="402">
        <f>IF(AND(307&gt;=$NR$69,307&lt;=$NS$69),IF($NP$69="Single_Point",IF(307=$NR$69,$NN$69,0),IF($NP$69="Bell_Curve",$NN$69*(307-$NR$69+1)*($NS$69-307+1)/$NU$69,$NN$69/$NT$69)),0)</f>
        <v/>
      </c>
      <c r="KZ69" s="402">
        <f>IF(AND(308&gt;=$NR$69,308&lt;=$NS$69),IF($NP$69="Single_Point",IF(308=$NR$69,$NN$69,0),IF($NP$69="Bell_Curve",$NN$69*(308-$NR$69+1)*($NS$69-308+1)/$NU$69,$NN$69/$NT$69)),0)</f>
        <v/>
      </c>
      <c r="LA69" s="402">
        <f>IF(AND(309&gt;=$NR$69,309&lt;=$NS$69),IF($NP$69="Single_Point",IF(309=$NR$69,$NN$69,0),IF($NP$69="Bell_Curve",$NN$69*(309-$NR$69+1)*($NS$69-309+1)/$NU$69,$NN$69/$NT$69)),0)</f>
        <v/>
      </c>
      <c r="LB69" s="402">
        <f>IF(AND(310&gt;=$NR$69,310&lt;=$NS$69),IF($NP$69="Single_Point",IF(310=$NR$69,$NN$69,0),IF($NP$69="Bell_Curve",$NN$69*(310-$NR$69+1)*($NS$69-310+1)/$NU$69,$NN$69/$NT$69)),0)</f>
        <v/>
      </c>
      <c r="LC69" s="402">
        <f>IF(AND(311&gt;=$NR$69,311&lt;=$NS$69),IF($NP$69="Single_Point",IF(311=$NR$69,$NN$69,0),IF($NP$69="Bell_Curve",$NN$69*(311-$NR$69+1)*($NS$69-311+1)/$NU$69,$NN$69/$NT$69)),0)</f>
        <v/>
      </c>
      <c r="LD69" s="402">
        <f>IF(AND(312&gt;=$NR$69,312&lt;=$NS$69),IF($NP$69="Single_Point",IF(312=$NR$69,$NN$69,0),IF($NP$69="Bell_Curve",$NN$69*(312-$NR$69+1)*($NS$69-312+1)/$NU$69,$NN$69/$NT$69)),0)</f>
        <v/>
      </c>
      <c r="LE69" s="402">
        <f>IF(AND(313&gt;=$NR$69,313&lt;=$NS$69),IF($NP$69="Single_Point",IF(313=$NR$69,$NN$69,0),IF($NP$69="Bell_Curve",$NN$69*(313-$NR$69+1)*($NS$69-313+1)/$NU$69,$NN$69/$NT$69)),0)</f>
        <v/>
      </c>
      <c r="LF69" s="402">
        <f>IF(AND(314&gt;=$NR$69,314&lt;=$NS$69),IF($NP$69="Single_Point",IF(314=$NR$69,$NN$69,0),IF($NP$69="Bell_Curve",$NN$69*(314-$NR$69+1)*($NS$69-314+1)/$NU$69,$NN$69/$NT$69)),0)</f>
        <v/>
      </c>
      <c r="LG69" s="402">
        <f>IF(AND(315&gt;=$NR$69,315&lt;=$NS$69),IF($NP$69="Single_Point",IF(315=$NR$69,$NN$69,0),IF($NP$69="Bell_Curve",$NN$69*(315-$NR$69+1)*($NS$69-315+1)/$NU$69,$NN$69/$NT$69)),0)</f>
        <v/>
      </c>
      <c r="LH69" s="402">
        <f>IF(AND(316&gt;=$NR$69,316&lt;=$NS$69),IF($NP$69="Single_Point",IF(316=$NR$69,$NN$69,0),IF($NP$69="Bell_Curve",$NN$69*(316-$NR$69+1)*($NS$69-316+1)/$NU$69,$NN$69/$NT$69)),0)</f>
        <v/>
      </c>
      <c r="LI69" s="402">
        <f>IF(AND(317&gt;=$NR$69,317&lt;=$NS$69),IF($NP$69="Single_Point",IF(317=$NR$69,$NN$69,0),IF($NP$69="Bell_Curve",$NN$69*(317-$NR$69+1)*($NS$69-317+1)/$NU$69,$NN$69/$NT$69)),0)</f>
        <v/>
      </c>
      <c r="LJ69" s="402">
        <f>IF(AND(318&gt;=$NR$69,318&lt;=$NS$69),IF($NP$69="Single_Point",IF(318=$NR$69,$NN$69,0),IF($NP$69="Bell_Curve",$NN$69*(318-$NR$69+1)*($NS$69-318+1)/$NU$69,$NN$69/$NT$69)),0)</f>
        <v/>
      </c>
      <c r="LK69" s="402">
        <f>IF(AND(319&gt;=$NR$69,319&lt;=$NS$69),IF($NP$69="Single_Point",IF(319=$NR$69,$NN$69,0),IF($NP$69="Bell_Curve",$NN$69*(319-$NR$69+1)*($NS$69-319+1)/$NU$69,$NN$69/$NT$69)),0)</f>
        <v/>
      </c>
      <c r="LL69" s="402">
        <f>IF(AND(320&gt;=$NR$69,320&lt;=$NS$69),IF($NP$69="Single_Point",IF(320=$NR$69,$NN$69,0),IF($NP$69="Bell_Curve",$NN$69*(320-$NR$69+1)*($NS$69-320+1)/$NU$69,$NN$69/$NT$69)),0)</f>
        <v/>
      </c>
      <c r="LM69" s="402">
        <f>IF(AND(321&gt;=$NR$69,321&lt;=$NS$69),IF($NP$69="Single_Point",IF(321=$NR$69,$NN$69,0),IF($NP$69="Bell_Curve",$NN$69*(321-$NR$69+1)*($NS$69-321+1)/$NU$69,$NN$69/$NT$69)),0)</f>
        <v/>
      </c>
      <c r="LN69" s="402">
        <f>IF(AND(322&gt;=$NR$69,322&lt;=$NS$69),IF($NP$69="Single_Point",IF(322=$NR$69,$NN$69,0),IF($NP$69="Bell_Curve",$NN$69*(322-$NR$69+1)*($NS$69-322+1)/$NU$69,$NN$69/$NT$69)),0)</f>
        <v/>
      </c>
      <c r="LO69" s="402">
        <f>IF(AND(323&gt;=$NR$69,323&lt;=$NS$69),IF($NP$69="Single_Point",IF(323=$NR$69,$NN$69,0),IF($NP$69="Bell_Curve",$NN$69*(323-$NR$69+1)*($NS$69-323+1)/$NU$69,$NN$69/$NT$69)),0)</f>
        <v/>
      </c>
      <c r="LP69" s="402">
        <f>IF(AND(324&gt;=$NR$69,324&lt;=$NS$69),IF($NP$69="Single_Point",IF(324=$NR$69,$NN$69,0),IF($NP$69="Bell_Curve",$NN$69*(324-$NR$69+1)*($NS$69-324+1)/$NU$69,$NN$69/$NT$69)),0)</f>
        <v/>
      </c>
      <c r="LQ69" s="402">
        <f>IF(AND(325&gt;=$NR$69,325&lt;=$NS$69),IF($NP$69="Single_Point",IF(325=$NR$69,$NN$69,0),IF($NP$69="Bell_Curve",$NN$69*(325-$NR$69+1)*($NS$69-325+1)/$NU$69,$NN$69/$NT$69)),0)</f>
        <v/>
      </c>
      <c r="LR69" s="402">
        <f>IF(AND(326&gt;=$NR$69,326&lt;=$NS$69),IF($NP$69="Single_Point",IF(326=$NR$69,$NN$69,0),IF($NP$69="Bell_Curve",$NN$69*(326-$NR$69+1)*($NS$69-326+1)/$NU$69,$NN$69/$NT$69)),0)</f>
        <v/>
      </c>
      <c r="LS69" s="402">
        <f>IF(AND(327&gt;=$NR$69,327&lt;=$NS$69),IF($NP$69="Single_Point",IF(327=$NR$69,$NN$69,0),IF($NP$69="Bell_Curve",$NN$69*(327-$NR$69+1)*($NS$69-327+1)/$NU$69,$NN$69/$NT$69)),0)</f>
        <v/>
      </c>
      <c r="LT69" s="402">
        <f>IF(AND(328&gt;=$NR$69,328&lt;=$NS$69),IF($NP$69="Single_Point",IF(328=$NR$69,$NN$69,0),IF($NP$69="Bell_Curve",$NN$69*(328-$NR$69+1)*($NS$69-328+1)/$NU$69,$NN$69/$NT$69)),0)</f>
        <v/>
      </c>
      <c r="LU69" s="402">
        <f>IF(AND(329&gt;=$NR$69,329&lt;=$NS$69),IF($NP$69="Single_Point",IF(329=$NR$69,$NN$69,0),IF($NP$69="Bell_Curve",$NN$69*(329-$NR$69+1)*($NS$69-329+1)/$NU$69,$NN$69/$NT$69)),0)</f>
        <v/>
      </c>
      <c r="LV69" s="402">
        <f>IF(AND(330&gt;=$NR$69,330&lt;=$NS$69),IF($NP$69="Single_Point",IF(330=$NR$69,$NN$69,0),IF($NP$69="Bell_Curve",$NN$69*(330-$NR$69+1)*($NS$69-330+1)/$NU$69,$NN$69/$NT$69)),0)</f>
        <v/>
      </c>
      <c r="LW69" s="402">
        <f>IF(AND(331&gt;=$NR$69,331&lt;=$NS$69),IF($NP$69="Single_Point",IF(331=$NR$69,$NN$69,0),IF($NP$69="Bell_Curve",$NN$69*(331-$NR$69+1)*($NS$69-331+1)/$NU$69,$NN$69/$NT$69)),0)</f>
        <v/>
      </c>
      <c r="LX69" s="402">
        <f>IF(AND(332&gt;=$NR$69,332&lt;=$NS$69),IF($NP$69="Single_Point",IF(332=$NR$69,$NN$69,0),IF($NP$69="Bell_Curve",$NN$69*(332-$NR$69+1)*($NS$69-332+1)/$NU$69,$NN$69/$NT$69)),0)</f>
        <v/>
      </c>
      <c r="LY69" s="402">
        <f>IF(AND(333&gt;=$NR$69,333&lt;=$NS$69),IF($NP$69="Single_Point",IF(333=$NR$69,$NN$69,0),IF($NP$69="Bell_Curve",$NN$69*(333-$NR$69+1)*($NS$69-333+1)/$NU$69,$NN$69/$NT$69)),0)</f>
        <v/>
      </c>
      <c r="LZ69" s="402">
        <f>IF(AND(334&gt;=$NR$69,334&lt;=$NS$69),IF($NP$69="Single_Point",IF(334=$NR$69,$NN$69,0),IF($NP$69="Bell_Curve",$NN$69*(334-$NR$69+1)*($NS$69-334+1)/$NU$69,$NN$69/$NT$69)),0)</f>
        <v/>
      </c>
      <c r="MA69" s="402">
        <f>IF(AND(335&gt;=$NR$69,335&lt;=$NS$69),IF($NP$69="Single_Point",IF(335=$NR$69,$NN$69,0),IF($NP$69="Bell_Curve",$NN$69*(335-$NR$69+1)*($NS$69-335+1)/$NU$69,$NN$69/$NT$69)),0)</f>
        <v/>
      </c>
      <c r="MB69" s="402">
        <f>IF(AND(336&gt;=$NR$69,336&lt;=$NS$69),IF($NP$69="Single_Point",IF(336=$NR$69,$NN$69,0),IF($NP$69="Bell_Curve",$NN$69*(336-$NR$69+1)*($NS$69-336+1)/$NU$69,$NN$69/$NT$69)),0)</f>
        <v/>
      </c>
      <c r="MC69" s="402">
        <f>IF(AND(337&gt;=$NR$69,337&lt;=$NS$69),IF($NP$69="Single_Point",IF(337=$NR$69,$NN$69,0),IF($NP$69="Bell_Curve",$NN$69*(337-$NR$69+1)*($NS$69-337+1)/$NU$69,$NN$69/$NT$69)),0)</f>
        <v/>
      </c>
      <c r="MD69" s="402">
        <f>IF(AND(338&gt;=$NR$69,338&lt;=$NS$69),IF($NP$69="Single_Point",IF(338=$NR$69,$NN$69,0),IF($NP$69="Bell_Curve",$NN$69*(338-$NR$69+1)*($NS$69-338+1)/$NU$69,$NN$69/$NT$69)),0)</f>
        <v/>
      </c>
      <c r="ME69" s="402">
        <f>IF(AND(339&gt;=$NR$69,339&lt;=$NS$69),IF($NP$69="Single_Point",IF(339=$NR$69,$NN$69,0),IF($NP$69="Bell_Curve",$NN$69*(339-$NR$69+1)*($NS$69-339+1)/$NU$69,$NN$69/$NT$69)),0)</f>
        <v/>
      </c>
      <c r="MF69" s="402">
        <f>IF(AND(340&gt;=$NR$69,340&lt;=$NS$69),IF($NP$69="Single_Point",IF(340=$NR$69,$NN$69,0),IF($NP$69="Bell_Curve",$NN$69*(340-$NR$69+1)*($NS$69-340+1)/$NU$69,$NN$69/$NT$69)),0)</f>
        <v/>
      </c>
      <c r="MG69" s="402">
        <f>IF(AND(341&gt;=$NR$69,341&lt;=$NS$69),IF($NP$69="Single_Point",IF(341=$NR$69,$NN$69,0),IF($NP$69="Bell_Curve",$NN$69*(341-$NR$69+1)*($NS$69-341+1)/$NU$69,$NN$69/$NT$69)),0)</f>
        <v/>
      </c>
      <c r="MH69" s="402">
        <f>IF(AND(342&gt;=$NR$69,342&lt;=$NS$69),IF($NP$69="Single_Point",IF(342=$NR$69,$NN$69,0),IF($NP$69="Bell_Curve",$NN$69*(342-$NR$69+1)*($NS$69-342+1)/$NU$69,$NN$69/$NT$69)),0)</f>
        <v/>
      </c>
      <c r="MI69" s="402">
        <f>IF(AND(343&gt;=$NR$69,343&lt;=$NS$69),IF($NP$69="Single_Point",IF(343=$NR$69,$NN$69,0),IF($NP$69="Bell_Curve",$NN$69*(343-$NR$69+1)*($NS$69-343+1)/$NU$69,$NN$69/$NT$69)),0)</f>
        <v/>
      </c>
      <c r="MJ69" s="402">
        <f>IF(AND(344&gt;=$NR$69,344&lt;=$NS$69),IF($NP$69="Single_Point",IF(344=$NR$69,$NN$69,0),IF($NP$69="Bell_Curve",$NN$69*(344-$NR$69+1)*($NS$69-344+1)/$NU$69,$NN$69/$NT$69)),0)</f>
        <v/>
      </c>
      <c r="MK69" s="402">
        <f>IF(AND(345&gt;=$NR$69,345&lt;=$NS$69),IF($NP$69="Single_Point",IF(345=$NR$69,$NN$69,0),IF($NP$69="Bell_Curve",$NN$69*(345-$NR$69+1)*($NS$69-345+1)/$NU$69,$NN$69/$NT$69)),0)</f>
        <v/>
      </c>
      <c r="ML69" s="402">
        <f>IF(AND(346&gt;=$NR$69,346&lt;=$NS$69),IF($NP$69="Single_Point",IF(346=$NR$69,$NN$69,0),IF($NP$69="Bell_Curve",$NN$69*(346-$NR$69+1)*($NS$69-346+1)/$NU$69,$NN$69/$NT$69)),0)</f>
        <v/>
      </c>
      <c r="MM69" s="402">
        <f>IF(AND(347&gt;=$NR$69,347&lt;=$NS$69),IF($NP$69="Single_Point",IF(347=$NR$69,$NN$69,0),IF($NP$69="Bell_Curve",$NN$69*(347-$NR$69+1)*($NS$69-347+1)/$NU$69,$NN$69/$NT$69)),0)</f>
        <v/>
      </c>
      <c r="MN69" s="402">
        <f>IF(AND(348&gt;=$NR$69,348&lt;=$NS$69),IF($NP$69="Single_Point",IF(348=$NR$69,$NN$69,0),IF($NP$69="Bell_Curve",$NN$69*(348-$NR$69+1)*($NS$69-348+1)/$NU$69,$NN$69/$NT$69)),0)</f>
        <v/>
      </c>
      <c r="MO69" s="402">
        <f>IF(AND(349&gt;=$NR$69,349&lt;=$NS$69),IF($NP$69="Single_Point",IF(349=$NR$69,$NN$69,0),IF($NP$69="Bell_Curve",$NN$69*(349-$NR$69+1)*($NS$69-349+1)/$NU$69,$NN$69/$NT$69)),0)</f>
        <v/>
      </c>
      <c r="MP69" s="402">
        <f>IF(AND(350&gt;=$NR$69,350&lt;=$NS$69),IF($NP$69="Single_Point",IF(350=$NR$69,$NN$69,0),IF($NP$69="Bell_Curve",$NN$69*(350-$NR$69+1)*($NS$69-350+1)/$NU$69,$NN$69/$NT$69)),0)</f>
        <v/>
      </c>
      <c r="MQ69" s="402">
        <f>IF(AND(351&gt;=$NR$69,351&lt;=$NS$69),IF($NP$69="Single_Point",IF(351=$NR$69,$NN$69,0),IF($NP$69="Bell_Curve",$NN$69*(351-$NR$69+1)*($NS$69-351+1)/$NU$69,$NN$69/$NT$69)),0)</f>
        <v/>
      </c>
      <c r="MR69" s="402">
        <f>IF(AND(352&gt;=$NR$69,352&lt;=$NS$69),IF($NP$69="Single_Point",IF(352=$NR$69,$NN$69,0),IF($NP$69="Bell_Curve",$NN$69*(352-$NR$69+1)*($NS$69-352+1)/$NU$69,$NN$69/$NT$69)),0)</f>
        <v/>
      </c>
      <c r="MS69" s="402">
        <f>IF(AND(353&gt;=$NR$69,353&lt;=$NS$69),IF($NP$69="Single_Point",IF(353=$NR$69,$NN$69,0),IF($NP$69="Bell_Curve",$NN$69*(353-$NR$69+1)*($NS$69-353+1)/$NU$69,$NN$69/$NT$69)),0)</f>
        <v/>
      </c>
      <c r="MT69" s="402">
        <f>IF(AND(354&gt;=$NR$69,354&lt;=$NS$69),IF($NP$69="Single_Point",IF(354=$NR$69,$NN$69,0),IF($NP$69="Bell_Curve",$NN$69*(354-$NR$69+1)*($NS$69-354+1)/$NU$69,$NN$69/$NT$69)),0)</f>
        <v/>
      </c>
      <c r="MU69" s="402">
        <f>IF(AND(355&gt;=$NR$69,355&lt;=$NS$69),IF($NP$69="Single_Point",IF(355=$NR$69,$NN$69,0),IF($NP$69="Bell_Curve",$NN$69*(355-$NR$69+1)*($NS$69-355+1)/$NU$69,$NN$69/$NT$69)),0)</f>
        <v/>
      </c>
      <c r="MV69" s="402">
        <f>IF(AND(356&gt;=$NR$69,356&lt;=$NS$69),IF($NP$69="Single_Point",IF(356=$NR$69,$NN$69,0),IF($NP$69="Bell_Curve",$NN$69*(356-$NR$69+1)*($NS$69-356+1)/$NU$69,$NN$69/$NT$69)),0)</f>
        <v/>
      </c>
      <c r="MW69" s="402">
        <f>IF(AND(357&gt;=$NR$69,357&lt;=$NS$69),IF($NP$69="Single_Point",IF(357=$NR$69,$NN$69,0),IF($NP$69="Bell_Curve",$NN$69*(357-$NR$69+1)*($NS$69-357+1)/$NU$69,$NN$69/$NT$69)),0)</f>
        <v/>
      </c>
      <c r="MX69" s="402">
        <f>IF(AND(358&gt;=$NR$69,358&lt;=$NS$69),IF($NP$69="Single_Point",IF(358=$NR$69,$NN$69,0),IF($NP$69="Bell_Curve",$NN$69*(358-$NR$69+1)*($NS$69-358+1)/$NU$69,$NN$69/$NT$69)),0)</f>
        <v/>
      </c>
      <c r="MY69" s="402">
        <f>IF(AND(359&gt;=$NR$69,359&lt;=$NS$69),IF($NP$69="Single_Point",IF(359=$NR$69,$NN$69,0),IF($NP$69="Bell_Curve",$NN$69*(359-$NR$69+1)*($NS$69-359+1)/$NU$69,$NN$69/$NT$69)),0)</f>
        <v/>
      </c>
      <c r="MZ69" s="402">
        <f>IF(AND(360&gt;=$NR$69,360&lt;=$NS$69),IF($NP$69="Single_Point",IF(360=$NR$69,$NN$69,0),IF($NP$69="Bell_Curve",$NN$69*(360-$NR$69+1)*($NS$69-360+1)/$NU$69,$NN$69/$NT$69)),0)</f>
        <v/>
      </c>
      <c r="NA69" s="402">
        <f>IF(AND(361&gt;=$NR$69,361&lt;=$NS$69),IF($NP$69="Single_Point",IF(361=$NR$69,$NN$69,0),IF($NP$69="Bell_Curve",$NN$69*(361-$NR$69+1)*($NS$69-361+1)/$NU$69,$NN$69/$NT$69)),0)</f>
        <v/>
      </c>
      <c r="NB69" s="402">
        <f>IF(AND(362&gt;=$NR$69,362&lt;=$NS$69),IF($NP$69="Single_Point",IF(362=$NR$69,$NN$69,0),IF($NP$69="Bell_Curve",$NN$69*(362-$NR$69+1)*($NS$69-362+1)/$NU$69,$NN$69/$NT$69)),0)</f>
        <v/>
      </c>
      <c r="NC69" s="402">
        <f>IF(AND(363&gt;=$NR$69,363&lt;=$NS$69),IF($NP$69="Single_Point",IF(363=$NR$69,$NN$69,0),IF($NP$69="Bell_Curve",$NN$69*(363-$NR$69+1)*($NS$69-363+1)/$NU$69,$NN$69/$NT$69)),0)</f>
        <v/>
      </c>
      <c r="ND69" s="402">
        <f>IF(AND(364&gt;=$NR$69,364&lt;=$NS$69),IF($NP$69="Single_Point",IF(364=$NR$69,$NN$69,0),IF($NP$69="Bell_Curve",$NN$69*(364-$NR$69+1)*($NS$69-364+1)/$NU$69,$NN$69/$NT$69)),0)</f>
        <v/>
      </c>
      <c r="NE69" s="402">
        <f>IF(AND(365&gt;=$NR$69,365&lt;=$NS$69),IF($NP$69="Single_Point",IF(365=$NR$69,$NN$69,0),IF($NP$69="Bell_Curve",$NN$69*(365-$NR$69+1)*($NS$69-365+1)/$NU$69,$NN$69/$NT$69)),0)</f>
        <v/>
      </c>
      <c r="NF69" s="402">
        <f>IF(AND(366&gt;=$NR$69,366&lt;=$NS$69),IF($NP$69="Single_Point",IF(366=$NR$69,$NN$69,0),IF($NP$69="Bell_Curve",$NN$69*(366-$NR$69+1)*($NS$69-366+1)/$NU$69,$NN$69/$NT$69)),0)</f>
        <v/>
      </c>
      <c r="NG69" s="402">
        <f>IF(AND(367&gt;=$NR$69,367&lt;=$NS$69),IF($NP$69="Single_Point",IF(367=$NR$69,$NN$69,0),IF($NP$69="Bell_Curve",$NN$69*(367-$NR$69+1)*($NS$69-367+1)/$NU$69,$NN$69/$NT$69)),0)</f>
        <v/>
      </c>
      <c r="NH69" s="402">
        <f>IF(AND(368&gt;=$NR$69,368&lt;=$NS$69),IF($NP$69="Single_Point",IF(368=$NR$69,$NN$69,0),IF($NP$69="Bell_Curve",$NN$69*(368-$NR$69+1)*($NS$69-368+1)/$NU$69,$NN$69/$NT$69)),0)</f>
        <v/>
      </c>
      <c r="NI69" s="402">
        <f>IF(AND(369&gt;=$NR$69,369&lt;=$NS$69),IF($NP$69="Single_Point",IF(369=$NR$69,$NN$69,0),IF($NP$69="Bell_Curve",$NN$69*(369-$NR$69+1)*($NS$69-369+1)/$NU$69,$NN$69/$NT$69)),0)</f>
        <v/>
      </c>
      <c r="NJ69" s="402">
        <f>IF(AND(370&gt;=$NR$69,370&lt;=$NS$69),IF($NP$69="Single_Point",IF(370=$NR$69,$NN$69,0),IF($NP$69="Bell_Curve",$NN$69*(370-$NR$69+1)*($NS$69-370+1)/$NU$69,$NN$69/$NT$69)),0)</f>
        <v/>
      </c>
      <c r="NK69" s="402">
        <f>IF(AND(371&gt;=$NR$69,371&lt;=$NS$69),IF($NP$69="Single_Point",IF(371=$NR$69,$NN$69,0),IF($NP$69="Bell_Curve",$NN$69*(371-$NR$69+1)*($NS$69-371+1)/$NU$69,$NN$69/$NT$69)),0)</f>
        <v/>
      </c>
      <c r="NL69" s="402">
        <f>IF(AND(372&gt;=$NR$69,372&lt;=$NS$69),IF($NP$69="Single_Point",IF(372=$NR$69,$NN$69,0),IF($NP$69="Bell_Curve",$NN$69*(372-$NR$69+1)*($NS$69-372+1)/$NU$69,$NN$69/$NT$69)),0)</f>
        <v/>
      </c>
      <c r="NM69">
        <f>Budget!C68</f>
        <v/>
      </c>
      <c r="NN69">
        <f>Budget!J68</f>
        <v/>
      </c>
      <c r="NO69">
        <f>Budget!G68</f>
        <v/>
      </c>
      <c r="NP69">
        <f>Budget!H68</f>
        <v/>
      </c>
      <c r="NQ69">
        <f>Budget!I68</f>
        <v/>
      </c>
      <c r="NR69">
        <f>MAX(1,MIN(372,INDEX(MilestoneStart,MATCH(NO69,MilestoneNames,0))+NQ69))</f>
        <v/>
      </c>
      <c r="NS69">
        <f>MAX(NR69,MIN(372,INDEX(MilestoneEnd,MATCH(NO69,MilestoneNames,0))+NQ69))</f>
        <v/>
      </c>
      <c r="NT69">
        <f>NS69-NR69+1</f>
        <v/>
      </c>
      <c r="NU69">
        <f>NT69*(NT69+1)*(NT69+2)/6</f>
        <v/>
      </c>
    </row>
    <row r="70">
      <c r="B70" s="316">
        <f>Budget!B69</f>
        <v/>
      </c>
      <c r="D70" s="402">
        <f>SUM(E70:NL70)</f>
        <v/>
      </c>
      <c r="E70" s="402">
        <f>IF(AND(1&gt;=$NR$70,1&lt;=$NS$70),IF($NP$70="Single_Point",IF(1=$NR$70,$NN$70,0),IF($NP$70="Bell_Curve",$NN$70*(1-$NR$70+1)*($NS$70-1+1)/$NU$70,$NN$70/$NT$70)),0)</f>
        <v/>
      </c>
      <c r="F70" s="402">
        <f>IF(AND(2&gt;=$NR$70,2&lt;=$NS$70),IF($NP$70="Single_Point",IF(2=$NR$70,$NN$70,0),IF($NP$70="Bell_Curve",$NN$70*(2-$NR$70+1)*($NS$70-2+1)/$NU$70,$NN$70/$NT$70)),0)</f>
        <v/>
      </c>
      <c r="G70" s="402">
        <f>IF(AND(3&gt;=$NR$70,3&lt;=$NS$70),IF($NP$70="Single_Point",IF(3=$NR$70,$NN$70,0),IF($NP$70="Bell_Curve",$NN$70*(3-$NR$70+1)*($NS$70-3+1)/$NU$70,$NN$70/$NT$70)),0)</f>
        <v/>
      </c>
      <c r="H70" s="402">
        <f>IF(AND(4&gt;=$NR$70,4&lt;=$NS$70),IF($NP$70="Single_Point",IF(4=$NR$70,$NN$70,0),IF($NP$70="Bell_Curve",$NN$70*(4-$NR$70+1)*($NS$70-4+1)/$NU$70,$NN$70/$NT$70)),0)</f>
        <v/>
      </c>
      <c r="I70" s="402">
        <f>IF(AND(5&gt;=$NR$70,5&lt;=$NS$70),IF($NP$70="Single_Point",IF(5=$NR$70,$NN$70,0),IF($NP$70="Bell_Curve",$NN$70*(5-$NR$70+1)*($NS$70-5+1)/$NU$70,$NN$70/$NT$70)),0)</f>
        <v/>
      </c>
      <c r="J70" s="402">
        <f>IF(AND(6&gt;=$NR$70,6&lt;=$NS$70),IF($NP$70="Single_Point",IF(6=$NR$70,$NN$70,0),IF($NP$70="Bell_Curve",$NN$70*(6-$NR$70+1)*($NS$70-6+1)/$NU$70,$NN$70/$NT$70)),0)</f>
        <v/>
      </c>
      <c r="K70" s="402">
        <f>IF(AND(7&gt;=$NR$70,7&lt;=$NS$70),IF($NP$70="Single_Point",IF(7=$NR$70,$NN$70,0),IF($NP$70="Bell_Curve",$NN$70*(7-$NR$70+1)*($NS$70-7+1)/$NU$70,$NN$70/$NT$70)),0)</f>
        <v/>
      </c>
      <c r="L70" s="402">
        <f>IF(AND(8&gt;=$NR$70,8&lt;=$NS$70),IF($NP$70="Single_Point",IF(8=$NR$70,$NN$70,0),IF($NP$70="Bell_Curve",$NN$70*(8-$NR$70+1)*($NS$70-8+1)/$NU$70,$NN$70/$NT$70)),0)</f>
        <v/>
      </c>
      <c r="M70" s="402">
        <f>IF(AND(9&gt;=$NR$70,9&lt;=$NS$70),IF($NP$70="Single_Point",IF(9=$NR$70,$NN$70,0),IF($NP$70="Bell_Curve",$NN$70*(9-$NR$70+1)*($NS$70-9+1)/$NU$70,$NN$70/$NT$70)),0)</f>
        <v/>
      </c>
      <c r="N70" s="402">
        <f>IF(AND(10&gt;=$NR$70,10&lt;=$NS$70),IF($NP$70="Single_Point",IF(10=$NR$70,$NN$70,0),IF($NP$70="Bell_Curve",$NN$70*(10-$NR$70+1)*($NS$70-10+1)/$NU$70,$NN$70/$NT$70)),0)</f>
        <v/>
      </c>
      <c r="O70" s="402">
        <f>IF(AND(11&gt;=$NR$70,11&lt;=$NS$70),IF($NP$70="Single_Point",IF(11=$NR$70,$NN$70,0),IF($NP$70="Bell_Curve",$NN$70*(11-$NR$70+1)*($NS$70-11+1)/$NU$70,$NN$70/$NT$70)),0)</f>
        <v/>
      </c>
      <c r="P70" s="402">
        <f>IF(AND(12&gt;=$NR$70,12&lt;=$NS$70),IF($NP$70="Single_Point",IF(12=$NR$70,$NN$70,0),IF($NP$70="Bell_Curve",$NN$70*(12-$NR$70+1)*($NS$70-12+1)/$NU$70,$NN$70/$NT$70)),0)</f>
        <v/>
      </c>
      <c r="Q70" s="402">
        <f>IF(AND(13&gt;=$NR$70,13&lt;=$NS$70),IF($NP$70="Single_Point",IF(13=$NR$70,$NN$70,0),IF($NP$70="Bell_Curve",$NN$70*(13-$NR$70+1)*($NS$70-13+1)/$NU$70,$NN$70/$NT$70)),0)</f>
        <v/>
      </c>
      <c r="R70" s="402">
        <f>IF(AND(14&gt;=$NR$70,14&lt;=$NS$70),IF($NP$70="Single_Point",IF(14=$NR$70,$NN$70,0),IF($NP$70="Bell_Curve",$NN$70*(14-$NR$70+1)*($NS$70-14+1)/$NU$70,$NN$70/$NT$70)),0)</f>
        <v/>
      </c>
      <c r="S70" s="402">
        <f>IF(AND(15&gt;=$NR$70,15&lt;=$NS$70),IF($NP$70="Single_Point",IF(15=$NR$70,$NN$70,0),IF($NP$70="Bell_Curve",$NN$70*(15-$NR$70+1)*($NS$70-15+1)/$NU$70,$NN$70/$NT$70)),0)</f>
        <v/>
      </c>
      <c r="T70" s="402">
        <f>IF(AND(16&gt;=$NR$70,16&lt;=$NS$70),IF($NP$70="Single_Point",IF(16=$NR$70,$NN$70,0),IF($NP$70="Bell_Curve",$NN$70*(16-$NR$70+1)*($NS$70-16+1)/$NU$70,$NN$70/$NT$70)),0)</f>
        <v/>
      </c>
      <c r="U70" s="402">
        <f>IF(AND(17&gt;=$NR$70,17&lt;=$NS$70),IF($NP$70="Single_Point",IF(17=$NR$70,$NN$70,0),IF($NP$70="Bell_Curve",$NN$70*(17-$NR$70+1)*($NS$70-17+1)/$NU$70,$NN$70/$NT$70)),0)</f>
        <v/>
      </c>
      <c r="V70" s="402">
        <f>IF(AND(18&gt;=$NR$70,18&lt;=$NS$70),IF($NP$70="Single_Point",IF(18=$NR$70,$NN$70,0),IF($NP$70="Bell_Curve",$NN$70*(18-$NR$70+1)*($NS$70-18+1)/$NU$70,$NN$70/$NT$70)),0)</f>
        <v/>
      </c>
      <c r="W70" s="402">
        <f>IF(AND(19&gt;=$NR$70,19&lt;=$NS$70),IF($NP$70="Single_Point",IF(19=$NR$70,$NN$70,0),IF($NP$70="Bell_Curve",$NN$70*(19-$NR$70+1)*($NS$70-19+1)/$NU$70,$NN$70/$NT$70)),0)</f>
        <v/>
      </c>
      <c r="X70" s="402">
        <f>IF(AND(20&gt;=$NR$70,20&lt;=$NS$70),IF($NP$70="Single_Point",IF(20=$NR$70,$NN$70,0),IF($NP$70="Bell_Curve",$NN$70*(20-$NR$70+1)*($NS$70-20+1)/$NU$70,$NN$70/$NT$70)),0)</f>
        <v/>
      </c>
      <c r="Y70" s="402">
        <f>IF(AND(21&gt;=$NR$70,21&lt;=$NS$70),IF($NP$70="Single_Point",IF(21=$NR$70,$NN$70,0),IF($NP$70="Bell_Curve",$NN$70*(21-$NR$70+1)*($NS$70-21+1)/$NU$70,$NN$70/$NT$70)),0)</f>
        <v/>
      </c>
      <c r="Z70" s="402">
        <f>IF(AND(22&gt;=$NR$70,22&lt;=$NS$70),IF($NP$70="Single_Point",IF(22=$NR$70,$NN$70,0),IF($NP$70="Bell_Curve",$NN$70*(22-$NR$70+1)*($NS$70-22+1)/$NU$70,$NN$70/$NT$70)),0)</f>
        <v/>
      </c>
      <c r="AA70" s="402">
        <f>IF(AND(23&gt;=$NR$70,23&lt;=$NS$70),IF($NP$70="Single_Point",IF(23=$NR$70,$NN$70,0),IF($NP$70="Bell_Curve",$NN$70*(23-$NR$70+1)*($NS$70-23+1)/$NU$70,$NN$70/$NT$70)),0)</f>
        <v/>
      </c>
      <c r="AB70" s="402">
        <f>IF(AND(24&gt;=$NR$70,24&lt;=$NS$70),IF($NP$70="Single_Point",IF(24=$NR$70,$NN$70,0),IF($NP$70="Bell_Curve",$NN$70*(24-$NR$70+1)*($NS$70-24+1)/$NU$70,$NN$70/$NT$70)),0)</f>
        <v/>
      </c>
      <c r="AC70" s="402">
        <f>IF(AND(25&gt;=$NR$70,25&lt;=$NS$70),IF($NP$70="Single_Point",IF(25=$NR$70,$NN$70,0),IF($NP$70="Bell_Curve",$NN$70*(25-$NR$70+1)*($NS$70-25+1)/$NU$70,$NN$70/$NT$70)),0)</f>
        <v/>
      </c>
      <c r="AD70" s="402">
        <f>IF(AND(26&gt;=$NR$70,26&lt;=$NS$70),IF($NP$70="Single_Point",IF(26=$NR$70,$NN$70,0),IF($NP$70="Bell_Curve",$NN$70*(26-$NR$70+1)*($NS$70-26+1)/$NU$70,$NN$70/$NT$70)),0)</f>
        <v/>
      </c>
      <c r="AE70" s="402">
        <f>IF(AND(27&gt;=$NR$70,27&lt;=$NS$70),IF($NP$70="Single_Point",IF(27=$NR$70,$NN$70,0),IF($NP$70="Bell_Curve",$NN$70*(27-$NR$70+1)*($NS$70-27+1)/$NU$70,$NN$70/$NT$70)),0)</f>
        <v/>
      </c>
      <c r="AF70" s="402">
        <f>IF(AND(28&gt;=$NR$70,28&lt;=$NS$70),IF($NP$70="Single_Point",IF(28=$NR$70,$NN$70,0),IF($NP$70="Bell_Curve",$NN$70*(28-$NR$70+1)*($NS$70-28+1)/$NU$70,$NN$70/$NT$70)),0)</f>
        <v/>
      </c>
      <c r="AG70" s="402">
        <f>IF(AND(29&gt;=$NR$70,29&lt;=$NS$70),IF($NP$70="Single_Point",IF(29=$NR$70,$NN$70,0),IF($NP$70="Bell_Curve",$NN$70*(29-$NR$70+1)*($NS$70-29+1)/$NU$70,$NN$70/$NT$70)),0)</f>
        <v/>
      </c>
      <c r="AH70" s="402">
        <f>IF(AND(30&gt;=$NR$70,30&lt;=$NS$70),IF($NP$70="Single_Point",IF(30=$NR$70,$NN$70,0),IF($NP$70="Bell_Curve",$NN$70*(30-$NR$70+1)*($NS$70-30+1)/$NU$70,$NN$70/$NT$70)),0)</f>
        <v/>
      </c>
      <c r="AI70" s="402">
        <f>IF(AND(31&gt;=$NR$70,31&lt;=$NS$70),IF($NP$70="Single_Point",IF(31=$NR$70,$NN$70,0),IF($NP$70="Bell_Curve",$NN$70*(31-$NR$70+1)*($NS$70-31+1)/$NU$70,$NN$70/$NT$70)),0)</f>
        <v/>
      </c>
      <c r="AJ70" s="402">
        <f>IF(AND(32&gt;=$NR$70,32&lt;=$NS$70),IF($NP$70="Single_Point",IF(32=$NR$70,$NN$70,0),IF($NP$70="Bell_Curve",$NN$70*(32-$NR$70+1)*($NS$70-32+1)/$NU$70,$NN$70/$NT$70)),0)</f>
        <v/>
      </c>
      <c r="AK70" s="402">
        <f>IF(AND(33&gt;=$NR$70,33&lt;=$NS$70),IF($NP$70="Single_Point",IF(33=$NR$70,$NN$70,0),IF($NP$70="Bell_Curve",$NN$70*(33-$NR$70+1)*($NS$70-33+1)/$NU$70,$NN$70/$NT$70)),0)</f>
        <v/>
      </c>
      <c r="AL70" s="402">
        <f>IF(AND(34&gt;=$NR$70,34&lt;=$NS$70),IF($NP$70="Single_Point",IF(34=$NR$70,$NN$70,0),IF($NP$70="Bell_Curve",$NN$70*(34-$NR$70+1)*($NS$70-34+1)/$NU$70,$NN$70/$NT$70)),0)</f>
        <v/>
      </c>
      <c r="AM70" s="402">
        <f>IF(AND(35&gt;=$NR$70,35&lt;=$NS$70),IF($NP$70="Single_Point",IF(35=$NR$70,$NN$70,0),IF($NP$70="Bell_Curve",$NN$70*(35-$NR$70+1)*($NS$70-35+1)/$NU$70,$NN$70/$NT$70)),0)</f>
        <v/>
      </c>
      <c r="AN70" s="402">
        <f>IF(AND(36&gt;=$NR$70,36&lt;=$NS$70),IF($NP$70="Single_Point",IF(36=$NR$70,$NN$70,0),IF($NP$70="Bell_Curve",$NN$70*(36-$NR$70+1)*($NS$70-36+1)/$NU$70,$NN$70/$NT$70)),0)</f>
        <v/>
      </c>
      <c r="AO70" s="402">
        <f>IF(AND(37&gt;=$NR$70,37&lt;=$NS$70),IF($NP$70="Single_Point",IF(37=$NR$70,$NN$70,0),IF($NP$70="Bell_Curve",$NN$70*(37-$NR$70+1)*($NS$70-37+1)/$NU$70,$NN$70/$NT$70)),0)</f>
        <v/>
      </c>
      <c r="AP70" s="402">
        <f>IF(AND(38&gt;=$NR$70,38&lt;=$NS$70),IF($NP$70="Single_Point",IF(38=$NR$70,$NN$70,0),IF($NP$70="Bell_Curve",$NN$70*(38-$NR$70+1)*($NS$70-38+1)/$NU$70,$NN$70/$NT$70)),0)</f>
        <v/>
      </c>
      <c r="AQ70" s="402">
        <f>IF(AND(39&gt;=$NR$70,39&lt;=$NS$70),IF($NP$70="Single_Point",IF(39=$NR$70,$NN$70,0),IF($NP$70="Bell_Curve",$NN$70*(39-$NR$70+1)*($NS$70-39+1)/$NU$70,$NN$70/$NT$70)),0)</f>
        <v/>
      </c>
      <c r="AR70" s="402">
        <f>IF(AND(40&gt;=$NR$70,40&lt;=$NS$70),IF($NP$70="Single_Point",IF(40=$NR$70,$NN$70,0),IF($NP$70="Bell_Curve",$NN$70*(40-$NR$70+1)*($NS$70-40+1)/$NU$70,$NN$70/$NT$70)),0)</f>
        <v/>
      </c>
      <c r="AS70" s="402">
        <f>IF(AND(41&gt;=$NR$70,41&lt;=$NS$70),IF($NP$70="Single_Point",IF(41=$NR$70,$NN$70,0),IF($NP$70="Bell_Curve",$NN$70*(41-$NR$70+1)*($NS$70-41+1)/$NU$70,$NN$70/$NT$70)),0)</f>
        <v/>
      </c>
      <c r="AT70" s="402">
        <f>IF(AND(42&gt;=$NR$70,42&lt;=$NS$70),IF($NP$70="Single_Point",IF(42=$NR$70,$NN$70,0),IF($NP$70="Bell_Curve",$NN$70*(42-$NR$70+1)*($NS$70-42+1)/$NU$70,$NN$70/$NT$70)),0)</f>
        <v/>
      </c>
      <c r="AU70" s="402">
        <f>IF(AND(43&gt;=$NR$70,43&lt;=$NS$70),IF($NP$70="Single_Point",IF(43=$NR$70,$NN$70,0),IF($NP$70="Bell_Curve",$NN$70*(43-$NR$70+1)*($NS$70-43+1)/$NU$70,$NN$70/$NT$70)),0)</f>
        <v/>
      </c>
      <c r="AV70" s="402">
        <f>IF(AND(44&gt;=$NR$70,44&lt;=$NS$70),IF($NP$70="Single_Point",IF(44=$NR$70,$NN$70,0),IF($NP$70="Bell_Curve",$NN$70*(44-$NR$70+1)*($NS$70-44+1)/$NU$70,$NN$70/$NT$70)),0)</f>
        <v/>
      </c>
      <c r="AW70" s="402">
        <f>IF(AND(45&gt;=$NR$70,45&lt;=$NS$70),IF($NP$70="Single_Point",IF(45=$NR$70,$NN$70,0),IF($NP$70="Bell_Curve",$NN$70*(45-$NR$70+1)*($NS$70-45+1)/$NU$70,$NN$70/$NT$70)),0)</f>
        <v/>
      </c>
      <c r="AX70" s="402">
        <f>IF(AND(46&gt;=$NR$70,46&lt;=$NS$70),IF($NP$70="Single_Point",IF(46=$NR$70,$NN$70,0),IF($NP$70="Bell_Curve",$NN$70*(46-$NR$70+1)*($NS$70-46+1)/$NU$70,$NN$70/$NT$70)),0)</f>
        <v/>
      </c>
      <c r="AY70" s="402">
        <f>IF(AND(47&gt;=$NR$70,47&lt;=$NS$70),IF($NP$70="Single_Point",IF(47=$NR$70,$NN$70,0),IF($NP$70="Bell_Curve",$NN$70*(47-$NR$70+1)*($NS$70-47+1)/$NU$70,$NN$70/$NT$70)),0)</f>
        <v/>
      </c>
      <c r="AZ70" s="402">
        <f>IF(AND(48&gt;=$NR$70,48&lt;=$NS$70),IF($NP$70="Single_Point",IF(48=$NR$70,$NN$70,0),IF($NP$70="Bell_Curve",$NN$70*(48-$NR$70+1)*($NS$70-48+1)/$NU$70,$NN$70/$NT$70)),0)</f>
        <v/>
      </c>
      <c r="BA70" s="402">
        <f>IF(AND(49&gt;=$NR$70,49&lt;=$NS$70),IF($NP$70="Single_Point",IF(49=$NR$70,$NN$70,0),IF($NP$70="Bell_Curve",$NN$70*(49-$NR$70+1)*($NS$70-49+1)/$NU$70,$NN$70/$NT$70)),0)</f>
        <v/>
      </c>
      <c r="BB70" s="402">
        <f>IF(AND(50&gt;=$NR$70,50&lt;=$NS$70),IF($NP$70="Single_Point",IF(50=$NR$70,$NN$70,0),IF($NP$70="Bell_Curve",$NN$70*(50-$NR$70+1)*($NS$70-50+1)/$NU$70,$NN$70/$NT$70)),0)</f>
        <v/>
      </c>
      <c r="BC70" s="402">
        <f>IF(AND(51&gt;=$NR$70,51&lt;=$NS$70),IF($NP$70="Single_Point",IF(51=$NR$70,$NN$70,0),IF($NP$70="Bell_Curve",$NN$70*(51-$NR$70+1)*($NS$70-51+1)/$NU$70,$NN$70/$NT$70)),0)</f>
        <v/>
      </c>
      <c r="BD70" s="402">
        <f>IF(AND(52&gt;=$NR$70,52&lt;=$NS$70),IF($NP$70="Single_Point",IF(52=$NR$70,$NN$70,0),IF($NP$70="Bell_Curve",$NN$70*(52-$NR$70+1)*($NS$70-52+1)/$NU$70,$NN$70/$NT$70)),0)</f>
        <v/>
      </c>
      <c r="BE70" s="402">
        <f>IF(AND(53&gt;=$NR$70,53&lt;=$NS$70),IF($NP$70="Single_Point",IF(53=$NR$70,$NN$70,0),IF($NP$70="Bell_Curve",$NN$70*(53-$NR$70+1)*($NS$70-53+1)/$NU$70,$NN$70/$NT$70)),0)</f>
        <v/>
      </c>
      <c r="BF70" s="402">
        <f>IF(AND(54&gt;=$NR$70,54&lt;=$NS$70),IF($NP$70="Single_Point",IF(54=$NR$70,$NN$70,0),IF($NP$70="Bell_Curve",$NN$70*(54-$NR$70+1)*($NS$70-54+1)/$NU$70,$NN$70/$NT$70)),0)</f>
        <v/>
      </c>
      <c r="BG70" s="402">
        <f>IF(AND(55&gt;=$NR$70,55&lt;=$NS$70),IF($NP$70="Single_Point",IF(55=$NR$70,$NN$70,0),IF($NP$70="Bell_Curve",$NN$70*(55-$NR$70+1)*($NS$70-55+1)/$NU$70,$NN$70/$NT$70)),0)</f>
        <v/>
      </c>
      <c r="BH70" s="402">
        <f>IF(AND(56&gt;=$NR$70,56&lt;=$NS$70),IF($NP$70="Single_Point",IF(56=$NR$70,$NN$70,0),IF($NP$70="Bell_Curve",$NN$70*(56-$NR$70+1)*($NS$70-56+1)/$NU$70,$NN$70/$NT$70)),0)</f>
        <v/>
      </c>
      <c r="BI70" s="402">
        <f>IF(AND(57&gt;=$NR$70,57&lt;=$NS$70),IF($NP$70="Single_Point",IF(57=$NR$70,$NN$70,0),IF($NP$70="Bell_Curve",$NN$70*(57-$NR$70+1)*($NS$70-57+1)/$NU$70,$NN$70/$NT$70)),0)</f>
        <v/>
      </c>
      <c r="BJ70" s="402">
        <f>IF(AND(58&gt;=$NR$70,58&lt;=$NS$70),IF($NP$70="Single_Point",IF(58=$NR$70,$NN$70,0),IF($NP$70="Bell_Curve",$NN$70*(58-$NR$70+1)*($NS$70-58+1)/$NU$70,$NN$70/$NT$70)),0)</f>
        <v/>
      </c>
      <c r="BK70" s="402">
        <f>IF(AND(59&gt;=$NR$70,59&lt;=$NS$70),IF($NP$70="Single_Point",IF(59=$NR$70,$NN$70,0),IF($NP$70="Bell_Curve",$NN$70*(59-$NR$70+1)*($NS$70-59+1)/$NU$70,$NN$70/$NT$70)),0)</f>
        <v/>
      </c>
      <c r="BL70" s="402">
        <f>IF(AND(60&gt;=$NR$70,60&lt;=$NS$70),IF($NP$70="Single_Point",IF(60=$NR$70,$NN$70,0),IF($NP$70="Bell_Curve",$NN$70*(60-$NR$70+1)*($NS$70-60+1)/$NU$70,$NN$70/$NT$70)),0)</f>
        <v/>
      </c>
      <c r="BM70" s="402">
        <f>IF(AND(61&gt;=$NR$70,61&lt;=$NS$70),IF($NP$70="Single_Point",IF(61=$NR$70,$NN$70,0),IF($NP$70="Bell_Curve",$NN$70*(61-$NR$70+1)*($NS$70-61+1)/$NU$70,$NN$70/$NT$70)),0)</f>
        <v/>
      </c>
      <c r="BN70" s="402">
        <f>IF(AND(62&gt;=$NR$70,62&lt;=$NS$70),IF($NP$70="Single_Point",IF(62=$NR$70,$NN$70,0),IF($NP$70="Bell_Curve",$NN$70*(62-$NR$70+1)*($NS$70-62+1)/$NU$70,$NN$70/$NT$70)),0)</f>
        <v/>
      </c>
      <c r="BO70" s="402">
        <f>IF(AND(63&gt;=$NR$70,63&lt;=$NS$70),IF($NP$70="Single_Point",IF(63=$NR$70,$NN$70,0),IF($NP$70="Bell_Curve",$NN$70*(63-$NR$70+1)*($NS$70-63+1)/$NU$70,$NN$70/$NT$70)),0)</f>
        <v/>
      </c>
      <c r="BP70" s="402">
        <f>IF(AND(64&gt;=$NR$70,64&lt;=$NS$70),IF($NP$70="Single_Point",IF(64=$NR$70,$NN$70,0),IF($NP$70="Bell_Curve",$NN$70*(64-$NR$70+1)*($NS$70-64+1)/$NU$70,$NN$70/$NT$70)),0)</f>
        <v/>
      </c>
      <c r="BQ70" s="402">
        <f>IF(AND(65&gt;=$NR$70,65&lt;=$NS$70),IF($NP$70="Single_Point",IF(65=$NR$70,$NN$70,0),IF($NP$70="Bell_Curve",$NN$70*(65-$NR$70+1)*($NS$70-65+1)/$NU$70,$NN$70/$NT$70)),0)</f>
        <v/>
      </c>
      <c r="BR70" s="402">
        <f>IF(AND(66&gt;=$NR$70,66&lt;=$NS$70),IF($NP$70="Single_Point",IF(66=$NR$70,$NN$70,0),IF($NP$70="Bell_Curve",$NN$70*(66-$NR$70+1)*($NS$70-66+1)/$NU$70,$NN$70/$NT$70)),0)</f>
        <v/>
      </c>
      <c r="BS70" s="402">
        <f>IF(AND(67&gt;=$NR$70,67&lt;=$NS$70),IF($NP$70="Single_Point",IF(67=$NR$70,$NN$70,0),IF($NP$70="Bell_Curve",$NN$70*(67-$NR$70+1)*($NS$70-67+1)/$NU$70,$NN$70/$NT$70)),0)</f>
        <v/>
      </c>
      <c r="BT70" s="402">
        <f>IF(AND(68&gt;=$NR$70,68&lt;=$NS$70),IF($NP$70="Single_Point",IF(68=$NR$70,$NN$70,0),IF($NP$70="Bell_Curve",$NN$70*(68-$NR$70+1)*($NS$70-68+1)/$NU$70,$NN$70/$NT$70)),0)</f>
        <v/>
      </c>
      <c r="BU70" s="402">
        <f>IF(AND(69&gt;=$NR$70,69&lt;=$NS$70),IF($NP$70="Single_Point",IF(69=$NR$70,$NN$70,0),IF($NP$70="Bell_Curve",$NN$70*(69-$NR$70+1)*($NS$70-69+1)/$NU$70,$NN$70/$NT$70)),0)</f>
        <v/>
      </c>
      <c r="BV70" s="402">
        <f>IF(AND(70&gt;=$NR$70,70&lt;=$NS$70),IF($NP$70="Single_Point",IF(70=$NR$70,$NN$70,0),IF($NP$70="Bell_Curve",$NN$70*(70-$NR$70+1)*($NS$70-70+1)/$NU$70,$NN$70/$NT$70)),0)</f>
        <v/>
      </c>
      <c r="BW70" s="402">
        <f>IF(AND(71&gt;=$NR$70,71&lt;=$NS$70),IF($NP$70="Single_Point",IF(71=$NR$70,$NN$70,0),IF($NP$70="Bell_Curve",$NN$70*(71-$NR$70+1)*($NS$70-71+1)/$NU$70,$NN$70/$NT$70)),0)</f>
        <v/>
      </c>
      <c r="BX70" s="402">
        <f>IF(AND(72&gt;=$NR$70,72&lt;=$NS$70),IF($NP$70="Single_Point",IF(72=$NR$70,$NN$70,0),IF($NP$70="Bell_Curve",$NN$70*(72-$NR$70+1)*($NS$70-72+1)/$NU$70,$NN$70/$NT$70)),0)</f>
        <v/>
      </c>
      <c r="BY70" s="402">
        <f>IF(AND(73&gt;=$NR$70,73&lt;=$NS$70),IF($NP$70="Single_Point",IF(73=$NR$70,$NN$70,0),IF($NP$70="Bell_Curve",$NN$70*(73-$NR$70+1)*($NS$70-73+1)/$NU$70,$NN$70/$NT$70)),0)</f>
        <v/>
      </c>
      <c r="BZ70" s="402">
        <f>IF(AND(74&gt;=$NR$70,74&lt;=$NS$70),IF($NP$70="Single_Point",IF(74=$NR$70,$NN$70,0),IF($NP$70="Bell_Curve",$NN$70*(74-$NR$70+1)*($NS$70-74+1)/$NU$70,$NN$70/$NT$70)),0)</f>
        <v/>
      </c>
      <c r="CA70" s="402">
        <f>IF(AND(75&gt;=$NR$70,75&lt;=$NS$70),IF($NP$70="Single_Point",IF(75=$NR$70,$NN$70,0),IF($NP$70="Bell_Curve",$NN$70*(75-$NR$70+1)*($NS$70-75+1)/$NU$70,$NN$70/$NT$70)),0)</f>
        <v/>
      </c>
      <c r="CB70" s="402">
        <f>IF(AND(76&gt;=$NR$70,76&lt;=$NS$70),IF($NP$70="Single_Point",IF(76=$NR$70,$NN$70,0),IF($NP$70="Bell_Curve",$NN$70*(76-$NR$70+1)*($NS$70-76+1)/$NU$70,$NN$70/$NT$70)),0)</f>
        <v/>
      </c>
      <c r="CC70" s="402">
        <f>IF(AND(77&gt;=$NR$70,77&lt;=$NS$70),IF($NP$70="Single_Point",IF(77=$NR$70,$NN$70,0),IF($NP$70="Bell_Curve",$NN$70*(77-$NR$70+1)*($NS$70-77+1)/$NU$70,$NN$70/$NT$70)),0)</f>
        <v/>
      </c>
      <c r="CD70" s="402">
        <f>IF(AND(78&gt;=$NR$70,78&lt;=$NS$70),IF($NP$70="Single_Point",IF(78=$NR$70,$NN$70,0),IF($NP$70="Bell_Curve",$NN$70*(78-$NR$70+1)*($NS$70-78+1)/$NU$70,$NN$70/$NT$70)),0)</f>
        <v/>
      </c>
      <c r="CE70" s="402">
        <f>IF(AND(79&gt;=$NR$70,79&lt;=$NS$70),IF($NP$70="Single_Point",IF(79=$NR$70,$NN$70,0),IF($NP$70="Bell_Curve",$NN$70*(79-$NR$70+1)*($NS$70-79+1)/$NU$70,$NN$70/$NT$70)),0)</f>
        <v/>
      </c>
      <c r="CF70" s="402">
        <f>IF(AND(80&gt;=$NR$70,80&lt;=$NS$70),IF($NP$70="Single_Point",IF(80=$NR$70,$NN$70,0),IF($NP$70="Bell_Curve",$NN$70*(80-$NR$70+1)*($NS$70-80+1)/$NU$70,$NN$70/$NT$70)),0)</f>
        <v/>
      </c>
      <c r="CG70" s="402">
        <f>IF(AND(81&gt;=$NR$70,81&lt;=$NS$70),IF($NP$70="Single_Point",IF(81=$NR$70,$NN$70,0),IF($NP$70="Bell_Curve",$NN$70*(81-$NR$70+1)*($NS$70-81+1)/$NU$70,$NN$70/$NT$70)),0)</f>
        <v/>
      </c>
      <c r="CH70" s="402">
        <f>IF(AND(82&gt;=$NR$70,82&lt;=$NS$70),IF($NP$70="Single_Point",IF(82=$NR$70,$NN$70,0),IF($NP$70="Bell_Curve",$NN$70*(82-$NR$70+1)*($NS$70-82+1)/$NU$70,$NN$70/$NT$70)),0)</f>
        <v/>
      </c>
      <c r="CI70" s="402">
        <f>IF(AND(83&gt;=$NR$70,83&lt;=$NS$70),IF($NP$70="Single_Point",IF(83=$NR$70,$NN$70,0),IF($NP$70="Bell_Curve",$NN$70*(83-$NR$70+1)*($NS$70-83+1)/$NU$70,$NN$70/$NT$70)),0)</f>
        <v/>
      </c>
      <c r="CJ70" s="402">
        <f>IF(AND(84&gt;=$NR$70,84&lt;=$NS$70),IF($NP$70="Single_Point",IF(84=$NR$70,$NN$70,0),IF($NP$70="Bell_Curve",$NN$70*(84-$NR$70+1)*($NS$70-84+1)/$NU$70,$NN$70/$NT$70)),0)</f>
        <v/>
      </c>
      <c r="CK70" s="402">
        <f>IF(AND(85&gt;=$NR$70,85&lt;=$NS$70),IF($NP$70="Single_Point",IF(85=$NR$70,$NN$70,0),IF($NP$70="Bell_Curve",$NN$70*(85-$NR$70+1)*($NS$70-85+1)/$NU$70,$NN$70/$NT$70)),0)</f>
        <v/>
      </c>
      <c r="CL70" s="402">
        <f>IF(AND(86&gt;=$NR$70,86&lt;=$NS$70),IF($NP$70="Single_Point",IF(86=$NR$70,$NN$70,0),IF($NP$70="Bell_Curve",$NN$70*(86-$NR$70+1)*($NS$70-86+1)/$NU$70,$NN$70/$NT$70)),0)</f>
        <v/>
      </c>
      <c r="CM70" s="402">
        <f>IF(AND(87&gt;=$NR$70,87&lt;=$NS$70),IF($NP$70="Single_Point",IF(87=$NR$70,$NN$70,0),IF($NP$70="Bell_Curve",$NN$70*(87-$NR$70+1)*($NS$70-87+1)/$NU$70,$NN$70/$NT$70)),0)</f>
        <v/>
      </c>
      <c r="CN70" s="402">
        <f>IF(AND(88&gt;=$NR$70,88&lt;=$NS$70),IF($NP$70="Single_Point",IF(88=$NR$70,$NN$70,0),IF($NP$70="Bell_Curve",$NN$70*(88-$NR$70+1)*($NS$70-88+1)/$NU$70,$NN$70/$NT$70)),0)</f>
        <v/>
      </c>
      <c r="CO70" s="402">
        <f>IF(AND(89&gt;=$NR$70,89&lt;=$NS$70),IF($NP$70="Single_Point",IF(89=$NR$70,$NN$70,0),IF($NP$70="Bell_Curve",$NN$70*(89-$NR$70+1)*($NS$70-89+1)/$NU$70,$NN$70/$NT$70)),0)</f>
        <v/>
      </c>
      <c r="CP70" s="402">
        <f>IF(AND(90&gt;=$NR$70,90&lt;=$NS$70),IF($NP$70="Single_Point",IF(90=$NR$70,$NN$70,0),IF($NP$70="Bell_Curve",$NN$70*(90-$NR$70+1)*($NS$70-90+1)/$NU$70,$NN$70/$NT$70)),0)</f>
        <v/>
      </c>
      <c r="CQ70" s="402">
        <f>IF(AND(91&gt;=$NR$70,91&lt;=$NS$70),IF($NP$70="Single_Point",IF(91=$NR$70,$NN$70,0),IF($NP$70="Bell_Curve",$NN$70*(91-$NR$70+1)*($NS$70-91+1)/$NU$70,$NN$70/$NT$70)),0)</f>
        <v/>
      </c>
      <c r="CR70" s="402">
        <f>IF(AND(92&gt;=$NR$70,92&lt;=$NS$70),IF($NP$70="Single_Point",IF(92=$NR$70,$NN$70,0),IF($NP$70="Bell_Curve",$NN$70*(92-$NR$70+1)*($NS$70-92+1)/$NU$70,$NN$70/$NT$70)),0)</f>
        <v/>
      </c>
      <c r="CS70" s="402">
        <f>IF(AND(93&gt;=$NR$70,93&lt;=$NS$70),IF($NP$70="Single_Point",IF(93=$NR$70,$NN$70,0),IF($NP$70="Bell_Curve",$NN$70*(93-$NR$70+1)*($NS$70-93+1)/$NU$70,$NN$70/$NT$70)),0)</f>
        <v/>
      </c>
      <c r="CT70" s="402">
        <f>IF(AND(94&gt;=$NR$70,94&lt;=$NS$70),IF($NP$70="Single_Point",IF(94=$NR$70,$NN$70,0),IF($NP$70="Bell_Curve",$NN$70*(94-$NR$70+1)*($NS$70-94+1)/$NU$70,$NN$70/$NT$70)),0)</f>
        <v/>
      </c>
      <c r="CU70" s="402">
        <f>IF(AND(95&gt;=$NR$70,95&lt;=$NS$70),IF($NP$70="Single_Point",IF(95=$NR$70,$NN$70,0),IF($NP$70="Bell_Curve",$NN$70*(95-$NR$70+1)*($NS$70-95+1)/$NU$70,$NN$70/$NT$70)),0)</f>
        <v/>
      </c>
      <c r="CV70" s="402">
        <f>IF(AND(96&gt;=$NR$70,96&lt;=$NS$70),IF($NP$70="Single_Point",IF(96=$NR$70,$NN$70,0),IF($NP$70="Bell_Curve",$NN$70*(96-$NR$70+1)*($NS$70-96+1)/$NU$70,$NN$70/$NT$70)),0)</f>
        <v/>
      </c>
      <c r="CW70" s="402">
        <f>IF(AND(97&gt;=$NR$70,97&lt;=$NS$70),IF($NP$70="Single_Point",IF(97=$NR$70,$NN$70,0),IF($NP$70="Bell_Curve",$NN$70*(97-$NR$70+1)*($NS$70-97+1)/$NU$70,$NN$70/$NT$70)),0)</f>
        <v/>
      </c>
      <c r="CX70" s="402">
        <f>IF(AND(98&gt;=$NR$70,98&lt;=$NS$70),IF($NP$70="Single_Point",IF(98=$NR$70,$NN$70,0),IF($NP$70="Bell_Curve",$NN$70*(98-$NR$70+1)*($NS$70-98+1)/$NU$70,$NN$70/$NT$70)),0)</f>
        <v/>
      </c>
      <c r="CY70" s="402">
        <f>IF(AND(99&gt;=$NR$70,99&lt;=$NS$70),IF($NP$70="Single_Point",IF(99=$NR$70,$NN$70,0),IF($NP$70="Bell_Curve",$NN$70*(99-$NR$70+1)*($NS$70-99+1)/$NU$70,$NN$70/$NT$70)),0)</f>
        <v/>
      </c>
      <c r="CZ70" s="402">
        <f>IF(AND(100&gt;=$NR$70,100&lt;=$NS$70),IF($NP$70="Single_Point",IF(100=$NR$70,$NN$70,0),IF($NP$70="Bell_Curve",$NN$70*(100-$NR$70+1)*($NS$70-100+1)/$NU$70,$NN$70/$NT$70)),0)</f>
        <v/>
      </c>
      <c r="DA70" s="402">
        <f>IF(AND(101&gt;=$NR$70,101&lt;=$NS$70),IF($NP$70="Single_Point",IF(101=$NR$70,$NN$70,0),IF($NP$70="Bell_Curve",$NN$70*(101-$NR$70+1)*($NS$70-101+1)/$NU$70,$NN$70/$NT$70)),0)</f>
        <v/>
      </c>
      <c r="DB70" s="402">
        <f>IF(AND(102&gt;=$NR$70,102&lt;=$NS$70),IF($NP$70="Single_Point",IF(102=$NR$70,$NN$70,0),IF($NP$70="Bell_Curve",$NN$70*(102-$NR$70+1)*($NS$70-102+1)/$NU$70,$NN$70/$NT$70)),0)</f>
        <v/>
      </c>
      <c r="DC70" s="402">
        <f>IF(AND(103&gt;=$NR$70,103&lt;=$NS$70),IF($NP$70="Single_Point",IF(103=$NR$70,$NN$70,0),IF($NP$70="Bell_Curve",$NN$70*(103-$NR$70+1)*($NS$70-103+1)/$NU$70,$NN$70/$NT$70)),0)</f>
        <v/>
      </c>
      <c r="DD70" s="402">
        <f>IF(AND(104&gt;=$NR$70,104&lt;=$NS$70),IF($NP$70="Single_Point",IF(104=$NR$70,$NN$70,0),IF($NP$70="Bell_Curve",$NN$70*(104-$NR$70+1)*($NS$70-104+1)/$NU$70,$NN$70/$NT$70)),0)</f>
        <v/>
      </c>
      <c r="DE70" s="402">
        <f>IF(AND(105&gt;=$NR$70,105&lt;=$NS$70),IF($NP$70="Single_Point",IF(105=$NR$70,$NN$70,0),IF($NP$70="Bell_Curve",$NN$70*(105-$NR$70+1)*($NS$70-105+1)/$NU$70,$NN$70/$NT$70)),0)</f>
        <v/>
      </c>
      <c r="DF70" s="402">
        <f>IF(AND(106&gt;=$NR$70,106&lt;=$NS$70),IF($NP$70="Single_Point",IF(106=$NR$70,$NN$70,0),IF($NP$70="Bell_Curve",$NN$70*(106-$NR$70+1)*($NS$70-106+1)/$NU$70,$NN$70/$NT$70)),0)</f>
        <v/>
      </c>
      <c r="DG70" s="402">
        <f>IF(AND(107&gt;=$NR$70,107&lt;=$NS$70),IF($NP$70="Single_Point",IF(107=$NR$70,$NN$70,0),IF($NP$70="Bell_Curve",$NN$70*(107-$NR$70+1)*($NS$70-107+1)/$NU$70,$NN$70/$NT$70)),0)</f>
        <v/>
      </c>
      <c r="DH70" s="402">
        <f>IF(AND(108&gt;=$NR$70,108&lt;=$NS$70),IF($NP$70="Single_Point",IF(108=$NR$70,$NN$70,0),IF($NP$70="Bell_Curve",$NN$70*(108-$NR$70+1)*($NS$70-108+1)/$NU$70,$NN$70/$NT$70)),0)</f>
        <v/>
      </c>
      <c r="DI70" s="402">
        <f>IF(AND(109&gt;=$NR$70,109&lt;=$NS$70),IF($NP$70="Single_Point",IF(109=$NR$70,$NN$70,0),IF($NP$70="Bell_Curve",$NN$70*(109-$NR$70+1)*($NS$70-109+1)/$NU$70,$NN$70/$NT$70)),0)</f>
        <v/>
      </c>
      <c r="DJ70" s="402">
        <f>IF(AND(110&gt;=$NR$70,110&lt;=$NS$70),IF($NP$70="Single_Point",IF(110=$NR$70,$NN$70,0),IF($NP$70="Bell_Curve",$NN$70*(110-$NR$70+1)*($NS$70-110+1)/$NU$70,$NN$70/$NT$70)),0)</f>
        <v/>
      </c>
      <c r="DK70" s="402">
        <f>IF(AND(111&gt;=$NR$70,111&lt;=$NS$70),IF($NP$70="Single_Point",IF(111=$NR$70,$NN$70,0),IF($NP$70="Bell_Curve",$NN$70*(111-$NR$70+1)*($NS$70-111+1)/$NU$70,$NN$70/$NT$70)),0)</f>
        <v/>
      </c>
      <c r="DL70" s="402">
        <f>IF(AND(112&gt;=$NR$70,112&lt;=$NS$70),IF($NP$70="Single_Point",IF(112=$NR$70,$NN$70,0),IF($NP$70="Bell_Curve",$NN$70*(112-$NR$70+1)*($NS$70-112+1)/$NU$70,$NN$70/$NT$70)),0)</f>
        <v/>
      </c>
      <c r="DM70" s="402">
        <f>IF(AND(113&gt;=$NR$70,113&lt;=$NS$70),IF($NP$70="Single_Point",IF(113=$NR$70,$NN$70,0),IF($NP$70="Bell_Curve",$NN$70*(113-$NR$70+1)*($NS$70-113+1)/$NU$70,$NN$70/$NT$70)),0)</f>
        <v/>
      </c>
      <c r="DN70" s="402">
        <f>IF(AND(114&gt;=$NR$70,114&lt;=$NS$70),IF($NP$70="Single_Point",IF(114=$NR$70,$NN$70,0),IF($NP$70="Bell_Curve",$NN$70*(114-$NR$70+1)*($NS$70-114+1)/$NU$70,$NN$70/$NT$70)),0)</f>
        <v/>
      </c>
      <c r="DO70" s="402">
        <f>IF(AND(115&gt;=$NR$70,115&lt;=$NS$70),IF($NP$70="Single_Point",IF(115=$NR$70,$NN$70,0),IF($NP$70="Bell_Curve",$NN$70*(115-$NR$70+1)*($NS$70-115+1)/$NU$70,$NN$70/$NT$70)),0)</f>
        <v/>
      </c>
      <c r="DP70" s="402">
        <f>IF(AND(116&gt;=$NR$70,116&lt;=$NS$70),IF($NP$70="Single_Point",IF(116=$NR$70,$NN$70,0),IF($NP$70="Bell_Curve",$NN$70*(116-$NR$70+1)*($NS$70-116+1)/$NU$70,$NN$70/$NT$70)),0)</f>
        <v/>
      </c>
      <c r="DQ70" s="402">
        <f>IF(AND(117&gt;=$NR$70,117&lt;=$NS$70),IF($NP$70="Single_Point",IF(117=$NR$70,$NN$70,0),IF($NP$70="Bell_Curve",$NN$70*(117-$NR$70+1)*($NS$70-117+1)/$NU$70,$NN$70/$NT$70)),0)</f>
        <v/>
      </c>
      <c r="DR70" s="402">
        <f>IF(AND(118&gt;=$NR$70,118&lt;=$NS$70),IF($NP$70="Single_Point",IF(118=$NR$70,$NN$70,0),IF($NP$70="Bell_Curve",$NN$70*(118-$NR$70+1)*($NS$70-118+1)/$NU$70,$NN$70/$NT$70)),0)</f>
        <v/>
      </c>
      <c r="DS70" s="402">
        <f>IF(AND(119&gt;=$NR$70,119&lt;=$NS$70),IF($NP$70="Single_Point",IF(119=$NR$70,$NN$70,0),IF($NP$70="Bell_Curve",$NN$70*(119-$NR$70+1)*($NS$70-119+1)/$NU$70,$NN$70/$NT$70)),0)</f>
        <v/>
      </c>
      <c r="DT70" s="402">
        <f>IF(AND(120&gt;=$NR$70,120&lt;=$NS$70),IF($NP$70="Single_Point",IF(120=$NR$70,$NN$70,0),IF($NP$70="Bell_Curve",$NN$70*(120-$NR$70+1)*($NS$70-120+1)/$NU$70,$NN$70/$NT$70)),0)</f>
        <v/>
      </c>
      <c r="DU70" s="402">
        <f>IF(AND(121&gt;=$NR$70,121&lt;=$NS$70),IF($NP$70="Single_Point",IF(121=$NR$70,$NN$70,0),IF($NP$70="Bell_Curve",$NN$70*(121-$NR$70+1)*($NS$70-121+1)/$NU$70,$NN$70/$NT$70)),0)</f>
        <v/>
      </c>
      <c r="DV70" s="402">
        <f>IF(AND(122&gt;=$NR$70,122&lt;=$NS$70),IF($NP$70="Single_Point",IF(122=$NR$70,$NN$70,0),IF($NP$70="Bell_Curve",$NN$70*(122-$NR$70+1)*($NS$70-122+1)/$NU$70,$NN$70/$NT$70)),0)</f>
        <v/>
      </c>
      <c r="DW70" s="402">
        <f>IF(AND(123&gt;=$NR$70,123&lt;=$NS$70),IF($NP$70="Single_Point",IF(123=$NR$70,$NN$70,0),IF($NP$70="Bell_Curve",$NN$70*(123-$NR$70+1)*($NS$70-123+1)/$NU$70,$NN$70/$NT$70)),0)</f>
        <v/>
      </c>
      <c r="DX70" s="402">
        <f>IF(AND(124&gt;=$NR$70,124&lt;=$NS$70),IF($NP$70="Single_Point",IF(124=$NR$70,$NN$70,0),IF($NP$70="Bell_Curve",$NN$70*(124-$NR$70+1)*($NS$70-124+1)/$NU$70,$NN$70/$NT$70)),0)</f>
        <v/>
      </c>
      <c r="DY70" s="402">
        <f>IF(AND(125&gt;=$NR$70,125&lt;=$NS$70),IF($NP$70="Single_Point",IF(125=$NR$70,$NN$70,0),IF($NP$70="Bell_Curve",$NN$70*(125-$NR$70+1)*($NS$70-125+1)/$NU$70,$NN$70/$NT$70)),0)</f>
        <v/>
      </c>
      <c r="DZ70" s="402">
        <f>IF(AND(126&gt;=$NR$70,126&lt;=$NS$70),IF($NP$70="Single_Point",IF(126=$NR$70,$NN$70,0),IF($NP$70="Bell_Curve",$NN$70*(126-$NR$70+1)*($NS$70-126+1)/$NU$70,$NN$70/$NT$70)),0)</f>
        <v/>
      </c>
      <c r="EA70" s="402">
        <f>IF(AND(127&gt;=$NR$70,127&lt;=$NS$70),IF($NP$70="Single_Point",IF(127=$NR$70,$NN$70,0),IF($NP$70="Bell_Curve",$NN$70*(127-$NR$70+1)*($NS$70-127+1)/$NU$70,$NN$70/$NT$70)),0)</f>
        <v/>
      </c>
      <c r="EB70" s="402">
        <f>IF(AND(128&gt;=$NR$70,128&lt;=$NS$70),IF($NP$70="Single_Point",IF(128=$NR$70,$NN$70,0),IF($NP$70="Bell_Curve",$NN$70*(128-$NR$70+1)*($NS$70-128+1)/$NU$70,$NN$70/$NT$70)),0)</f>
        <v/>
      </c>
      <c r="EC70" s="402">
        <f>IF(AND(129&gt;=$NR$70,129&lt;=$NS$70),IF($NP$70="Single_Point",IF(129=$NR$70,$NN$70,0),IF($NP$70="Bell_Curve",$NN$70*(129-$NR$70+1)*($NS$70-129+1)/$NU$70,$NN$70/$NT$70)),0)</f>
        <v/>
      </c>
      <c r="ED70" s="402">
        <f>IF(AND(130&gt;=$NR$70,130&lt;=$NS$70),IF($NP$70="Single_Point",IF(130=$NR$70,$NN$70,0),IF($NP$70="Bell_Curve",$NN$70*(130-$NR$70+1)*($NS$70-130+1)/$NU$70,$NN$70/$NT$70)),0)</f>
        <v/>
      </c>
      <c r="EE70" s="402">
        <f>IF(AND(131&gt;=$NR$70,131&lt;=$NS$70),IF($NP$70="Single_Point",IF(131=$NR$70,$NN$70,0),IF($NP$70="Bell_Curve",$NN$70*(131-$NR$70+1)*($NS$70-131+1)/$NU$70,$NN$70/$NT$70)),0)</f>
        <v/>
      </c>
      <c r="EF70" s="402">
        <f>IF(AND(132&gt;=$NR$70,132&lt;=$NS$70),IF($NP$70="Single_Point",IF(132=$NR$70,$NN$70,0),IF($NP$70="Bell_Curve",$NN$70*(132-$NR$70+1)*($NS$70-132+1)/$NU$70,$NN$70/$NT$70)),0)</f>
        <v/>
      </c>
      <c r="EG70" s="402">
        <f>IF(AND(133&gt;=$NR$70,133&lt;=$NS$70),IF($NP$70="Single_Point",IF(133=$NR$70,$NN$70,0),IF($NP$70="Bell_Curve",$NN$70*(133-$NR$70+1)*($NS$70-133+1)/$NU$70,$NN$70/$NT$70)),0)</f>
        <v/>
      </c>
      <c r="EH70" s="402">
        <f>IF(AND(134&gt;=$NR$70,134&lt;=$NS$70),IF($NP$70="Single_Point",IF(134=$NR$70,$NN$70,0),IF($NP$70="Bell_Curve",$NN$70*(134-$NR$70+1)*($NS$70-134+1)/$NU$70,$NN$70/$NT$70)),0)</f>
        <v/>
      </c>
      <c r="EI70" s="402">
        <f>IF(AND(135&gt;=$NR$70,135&lt;=$NS$70),IF($NP$70="Single_Point",IF(135=$NR$70,$NN$70,0),IF($NP$70="Bell_Curve",$NN$70*(135-$NR$70+1)*($NS$70-135+1)/$NU$70,$NN$70/$NT$70)),0)</f>
        <v/>
      </c>
      <c r="EJ70" s="402">
        <f>IF(AND(136&gt;=$NR$70,136&lt;=$NS$70),IF($NP$70="Single_Point",IF(136=$NR$70,$NN$70,0),IF($NP$70="Bell_Curve",$NN$70*(136-$NR$70+1)*($NS$70-136+1)/$NU$70,$NN$70/$NT$70)),0)</f>
        <v/>
      </c>
      <c r="EK70" s="402">
        <f>IF(AND(137&gt;=$NR$70,137&lt;=$NS$70),IF($NP$70="Single_Point",IF(137=$NR$70,$NN$70,0),IF($NP$70="Bell_Curve",$NN$70*(137-$NR$70+1)*($NS$70-137+1)/$NU$70,$NN$70/$NT$70)),0)</f>
        <v/>
      </c>
      <c r="EL70" s="402">
        <f>IF(AND(138&gt;=$NR$70,138&lt;=$NS$70),IF($NP$70="Single_Point",IF(138=$NR$70,$NN$70,0),IF($NP$70="Bell_Curve",$NN$70*(138-$NR$70+1)*($NS$70-138+1)/$NU$70,$NN$70/$NT$70)),0)</f>
        <v/>
      </c>
      <c r="EM70" s="402">
        <f>IF(AND(139&gt;=$NR$70,139&lt;=$NS$70),IF($NP$70="Single_Point",IF(139=$NR$70,$NN$70,0),IF($NP$70="Bell_Curve",$NN$70*(139-$NR$70+1)*($NS$70-139+1)/$NU$70,$NN$70/$NT$70)),0)</f>
        <v/>
      </c>
      <c r="EN70" s="402">
        <f>IF(AND(140&gt;=$NR$70,140&lt;=$NS$70),IF($NP$70="Single_Point",IF(140=$NR$70,$NN$70,0),IF($NP$70="Bell_Curve",$NN$70*(140-$NR$70+1)*($NS$70-140+1)/$NU$70,$NN$70/$NT$70)),0)</f>
        <v/>
      </c>
      <c r="EO70" s="402">
        <f>IF(AND(141&gt;=$NR$70,141&lt;=$NS$70),IF($NP$70="Single_Point",IF(141=$NR$70,$NN$70,0),IF($NP$70="Bell_Curve",$NN$70*(141-$NR$70+1)*($NS$70-141+1)/$NU$70,$NN$70/$NT$70)),0)</f>
        <v/>
      </c>
      <c r="EP70" s="402">
        <f>IF(AND(142&gt;=$NR$70,142&lt;=$NS$70),IF($NP$70="Single_Point",IF(142=$NR$70,$NN$70,0),IF($NP$70="Bell_Curve",$NN$70*(142-$NR$70+1)*($NS$70-142+1)/$NU$70,$NN$70/$NT$70)),0)</f>
        <v/>
      </c>
      <c r="EQ70" s="402">
        <f>IF(AND(143&gt;=$NR$70,143&lt;=$NS$70),IF($NP$70="Single_Point",IF(143=$NR$70,$NN$70,0),IF($NP$70="Bell_Curve",$NN$70*(143-$NR$70+1)*($NS$70-143+1)/$NU$70,$NN$70/$NT$70)),0)</f>
        <v/>
      </c>
      <c r="ER70" s="402">
        <f>IF(AND(144&gt;=$NR$70,144&lt;=$NS$70),IF($NP$70="Single_Point",IF(144=$NR$70,$NN$70,0),IF($NP$70="Bell_Curve",$NN$70*(144-$NR$70+1)*($NS$70-144+1)/$NU$70,$NN$70/$NT$70)),0)</f>
        <v/>
      </c>
      <c r="ES70" s="402">
        <f>IF(AND(145&gt;=$NR$70,145&lt;=$NS$70),IF($NP$70="Single_Point",IF(145=$NR$70,$NN$70,0),IF($NP$70="Bell_Curve",$NN$70*(145-$NR$70+1)*($NS$70-145+1)/$NU$70,$NN$70/$NT$70)),0)</f>
        <v/>
      </c>
      <c r="ET70" s="402">
        <f>IF(AND(146&gt;=$NR$70,146&lt;=$NS$70),IF($NP$70="Single_Point",IF(146=$NR$70,$NN$70,0),IF($NP$70="Bell_Curve",$NN$70*(146-$NR$70+1)*($NS$70-146+1)/$NU$70,$NN$70/$NT$70)),0)</f>
        <v/>
      </c>
      <c r="EU70" s="402">
        <f>IF(AND(147&gt;=$NR$70,147&lt;=$NS$70),IF($NP$70="Single_Point",IF(147=$NR$70,$NN$70,0),IF($NP$70="Bell_Curve",$NN$70*(147-$NR$70+1)*($NS$70-147+1)/$NU$70,$NN$70/$NT$70)),0)</f>
        <v/>
      </c>
      <c r="EV70" s="402">
        <f>IF(AND(148&gt;=$NR$70,148&lt;=$NS$70),IF($NP$70="Single_Point",IF(148=$NR$70,$NN$70,0),IF($NP$70="Bell_Curve",$NN$70*(148-$NR$70+1)*($NS$70-148+1)/$NU$70,$NN$70/$NT$70)),0)</f>
        <v/>
      </c>
      <c r="EW70" s="402">
        <f>IF(AND(149&gt;=$NR$70,149&lt;=$NS$70),IF($NP$70="Single_Point",IF(149=$NR$70,$NN$70,0),IF($NP$70="Bell_Curve",$NN$70*(149-$NR$70+1)*($NS$70-149+1)/$NU$70,$NN$70/$NT$70)),0)</f>
        <v/>
      </c>
      <c r="EX70" s="402">
        <f>IF(AND(150&gt;=$NR$70,150&lt;=$NS$70),IF($NP$70="Single_Point",IF(150=$NR$70,$NN$70,0),IF($NP$70="Bell_Curve",$NN$70*(150-$NR$70+1)*($NS$70-150+1)/$NU$70,$NN$70/$NT$70)),0)</f>
        <v/>
      </c>
      <c r="EY70" s="402">
        <f>IF(AND(151&gt;=$NR$70,151&lt;=$NS$70),IF($NP$70="Single_Point",IF(151=$NR$70,$NN$70,0),IF($NP$70="Bell_Curve",$NN$70*(151-$NR$70+1)*($NS$70-151+1)/$NU$70,$NN$70/$NT$70)),0)</f>
        <v/>
      </c>
      <c r="EZ70" s="402">
        <f>IF(AND(152&gt;=$NR$70,152&lt;=$NS$70),IF($NP$70="Single_Point",IF(152=$NR$70,$NN$70,0),IF($NP$70="Bell_Curve",$NN$70*(152-$NR$70+1)*($NS$70-152+1)/$NU$70,$NN$70/$NT$70)),0)</f>
        <v/>
      </c>
      <c r="FA70" s="402">
        <f>IF(AND(153&gt;=$NR$70,153&lt;=$NS$70),IF($NP$70="Single_Point",IF(153=$NR$70,$NN$70,0),IF($NP$70="Bell_Curve",$NN$70*(153-$NR$70+1)*($NS$70-153+1)/$NU$70,$NN$70/$NT$70)),0)</f>
        <v/>
      </c>
      <c r="FB70" s="402">
        <f>IF(AND(154&gt;=$NR$70,154&lt;=$NS$70),IF($NP$70="Single_Point",IF(154=$NR$70,$NN$70,0),IF($NP$70="Bell_Curve",$NN$70*(154-$NR$70+1)*($NS$70-154+1)/$NU$70,$NN$70/$NT$70)),0)</f>
        <v/>
      </c>
      <c r="FC70" s="402">
        <f>IF(AND(155&gt;=$NR$70,155&lt;=$NS$70),IF($NP$70="Single_Point",IF(155=$NR$70,$NN$70,0),IF($NP$70="Bell_Curve",$NN$70*(155-$NR$70+1)*($NS$70-155+1)/$NU$70,$NN$70/$NT$70)),0)</f>
        <v/>
      </c>
      <c r="FD70" s="402">
        <f>IF(AND(156&gt;=$NR$70,156&lt;=$NS$70),IF($NP$70="Single_Point",IF(156=$NR$70,$NN$70,0),IF($NP$70="Bell_Curve",$NN$70*(156-$NR$70+1)*($NS$70-156+1)/$NU$70,$NN$70/$NT$70)),0)</f>
        <v/>
      </c>
      <c r="FE70" s="402">
        <f>IF(AND(157&gt;=$NR$70,157&lt;=$NS$70),IF($NP$70="Single_Point",IF(157=$NR$70,$NN$70,0),IF($NP$70="Bell_Curve",$NN$70*(157-$NR$70+1)*($NS$70-157+1)/$NU$70,$NN$70/$NT$70)),0)</f>
        <v/>
      </c>
      <c r="FF70" s="402">
        <f>IF(AND(158&gt;=$NR$70,158&lt;=$NS$70),IF($NP$70="Single_Point",IF(158=$NR$70,$NN$70,0),IF($NP$70="Bell_Curve",$NN$70*(158-$NR$70+1)*($NS$70-158+1)/$NU$70,$NN$70/$NT$70)),0)</f>
        <v/>
      </c>
      <c r="FG70" s="402">
        <f>IF(AND(159&gt;=$NR$70,159&lt;=$NS$70),IF($NP$70="Single_Point",IF(159=$NR$70,$NN$70,0),IF($NP$70="Bell_Curve",$NN$70*(159-$NR$70+1)*($NS$70-159+1)/$NU$70,$NN$70/$NT$70)),0)</f>
        <v/>
      </c>
      <c r="FH70" s="402">
        <f>IF(AND(160&gt;=$NR$70,160&lt;=$NS$70),IF($NP$70="Single_Point",IF(160=$NR$70,$NN$70,0),IF($NP$70="Bell_Curve",$NN$70*(160-$NR$70+1)*($NS$70-160+1)/$NU$70,$NN$70/$NT$70)),0)</f>
        <v/>
      </c>
      <c r="FI70" s="402">
        <f>IF(AND(161&gt;=$NR$70,161&lt;=$NS$70),IF($NP$70="Single_Point",IF(161=$NR$70,$NN$70,0),IF($NP$70="Bell_Curve",$NN$70*(161-$NR$70+1)*($NS$70-161+1)/$NU$70,$NN$70/$NT$70)),0)</f>
        <v/>
      </c>
      <c r="FJ70" s="402">
        <f>IF(AND(162&gt;=$NR$70,162&lt;=$NS$70),IF($NP$70="Single_Point",IF(162=$NR$70,$NN$70,0),IF($NP$70="Bell_Curve",$NN$70*(162-$NR$70+1)*($NS$70-162+1)/$NU$70,$NN$70/$NT$70)),0)</f>
        <v/>
      </c>
      <c r="FK70" s="402">
        <f>IF(AND(163&gt;=$NR$70,163&lt;=$NS$70),IF($NP$70="Single_Point",IF(163=$NR$70,$NN$70,0),IF($NP$70="Bell_Curve",$NN$70*(163-$NR$70+1)*($NS$70-163+1)/$NU$70,$NN$70/$NT$70)),0)</f>
        <v/>
      </c>
      <c r="FL70" s="402">
        <f>IF(AND(164&gt;=$NR$70,164&lt;=$NS$70),IF($NP$70="Single_Point",IF(164=$NR$70,$NN$70,0),IF($NP$70="Bell_Curve",$NN$70*(164-$NR$70+1)*($NS$70-164+1)/$NU$70,$NN$70/$NT$70)),0)</f>
        <v/>
      </c>
      <c r="FM70" s="402">
        <f>IF(AND(165&gt;=$NR$70,165&lt;=$NS$70),IF($NP$70="Single_Point",IF(165=$NR$70,$NN$70,0),IF($NP$70="Bell_Curve",$NN$70*(165-$NR$70+1)*($NS$70-165+1)/$NU$70,$NN$70/$NT$70)),0)</f>
        <v/>
      </c>
      <c r="FN70" s="402">
        <f>IF(AND(166&gt;=$NR$70,166&lt;=$NS$70),IF($NP$70="Single_Point",IF(166=$NR$70,$NN$70,0),IF($NP$70="Bell_Curve",$NN$70*(166-$NR$70+1)*($NS$70-166+1)/$NU$70,$NN$70/$NT$70)),0)</f>
        <v/>
      </c>
      <c r="FO70" s="402">
        <f>IF(AND(167&gt;=$NR$70,167&lt;=$NS$70),IF($NP$70="Single_Point",IF(167=$NR$70,$NN$70,0),IF($NP$70="Bell_Curve",$NN$70*(167-$NR$70+1)*($NS$70-167+1)/$NU$70,$NN$70/$NT$70)),0)</f>
        <v/>
      </c>
      <c r="FP70" s="402">
        <f>IF(AND(168&gt;=$NR$70,168&lt;=$NS$70),IF($NP$70="Single_Point",IF(168=$NR$70,$NN$70,0),IF($NP$70="Bell_Curve",$NN$70*(168-$NR$70+1)*($NS$70-168+1)/$NU$70,$NN$70/$NT$70)),0)</f>
        <v/>
      </c>
      <c r="FQ70" s="402">
        <f>IF(AND(169&gt;=$NR$70,169&lt;=$NS$70),IF($NP$70="Single_Point",IF(169=$NR$70,$NN$70,0),IF($NP$70="Bell_Curve",$NN$70*(169-$NR$70+1)*($NS$70-169+1)/$NU$70,$NN$70/$NT$70)),0)</f>
        <v/>
      </c>
      <c r="FR70" s="402">
        <f>IF(AND(170&gt;=$NR$70,170&lt;=$NS$70),IF($NP$70="Single_Point",IF(170=$NR$70,$NN$70,0),IF($NP$70="Bell_Curve",$NN$70*(170-$NR$70+1)*($NS$70-170+1)/$NU$70,$NN$70/$NT$70)),0)</f>
        <v/>
      </c>
      <c r="FS70" s="402">
        <f>IF(AND(171&gt;=$NR$70,171&lt;=$NS$70),IF($NP$70="Single_Point",IF(171=$NR$70,$NN$70,0),IF($NP$70="Bell_Curve",$NN$70*(171-$NR$70+1)*($NS$70-171+1)/$NU$70,$NN$70/$NT$70)),0)</f>
        <v/>
      </c>
      <c r="FT70" s="402">
        <f>IF(AND(172&gt;=$NR$70,172&lt;=$NS$70),IF($NP$70="Single_Point",IF(172=$NR$70,$NN$70,0),IF($NP$70="Bell_Curve",$NN$70*(172-$NR$70+1)*($NS$70-172+1)/$NU$70,$NN$70/$NT$70)),0)</f>
        <v/>
      </c>
      <c r="FU70" s="402">
        <f>IF(AND(173&gt;=$NR$70,173&lt;=$NS$70),IF($NP$70="Single_Point",IF(173=$NR$70,$NN$70,0),IF($NP$70="Bell_Curve",$NN$70*(173-$NR$70+1)*($NS$70-173+1)/$NU$70,$NN$70/$NT$70)),0)</f>
        <v/>
      </c>
      <c r="FV70" s="402">
        <f>IF(AND(174&gt;=$NR$70,174&lt;=$NS$70),IF($NP$70="Single_Point",IF(174=$NR$70,$NN$70,0),IF($NP$70="Bell_Curve",$NN$70*(174-$NR$70+1)*($NS$70-174+1)/$NU$70,$NN$70/$NT$70)),0)</f>
        <v/>
      </c>
      <c r="FW70" s="402">
        <f>IF(AND(175&gt;=$NR$70,175&lt;=$NS$70),IF($NP$70="Single_Point",IF(175=$NR$70,$NN$70,0),IF($NP$70="Bell_Curve",$NN$70*(175-$NR$70+1)*($NS$70-175+1)/$NU$70,$NN$70/$NT$70)),0)</f>
        <v/>
      </c>
      <c r="FX70" s="402">
        <f>IF(AND(176&gt;=$NR$70,176&lt;=$NS$70),IF($NP$70="Single_Point",IF(176=$NR$70,$NN$70,0),IF($NP$70="Bell_Curve",$NN$70*(176-$NR$70+1)*($NS$70-176+1)/$NU$70,$NN$70/$NT$70)),0)</f>
        <v/>
      </c>
      <c r="FY70" s="402">
        <f>IF(AND(177&gt;=$NR$70,177&lt;=$NS$70),IF($NP$70="Single_Point",IF(177=$NR$70,$NN$70,0),IF($NP$70="Bell_Curve",$NN$70*(177-$NR$70+1)*($NS$70-177+1)/$NU$70,$NN$70/$NT$70)),0)</f>
        <v/>
      </c>
      <c r="FZ70" s="402">
        <f>IF(AND(178&gt;=$NR$70,178&lt;=$NS$70),IF($NP$70="Single_Point",IF(178=$NR$70,$NN$70,0),IF($NP$70="Bell_Curve",$NN$70*(178-$NR$70+1)*($NS$70-178+1)/$NU$70,$NN$70/$NT$70)),0)</f>
        <v/>
      </c>
      <c r="GA70" s="402">
        <f>IF(AND(179&gt;=$NR$70,179&lt;=$NS$70),IF($NP$70="Single_Point",IF(179=$NR$70,$NN$70,0),IF($NP$70="Bell_Curve",$NN$70*(179-$NR$70+1)*($NS$70-179+1)/$NU$70,$NN$70/$NT$70)),0)</f>
        <v/>
      </c>
      <c r="GB70" s="402">
        <f>IF(AND(180&gt;=$NR$70,180&lt;=$NS$70),IF($NP$70="Single_Point",IF(180=$NR$70,$NN$70,0),IF($NP$70="Bell_Curve",$NN$70*(180-$NR$70+1)*($NS$70-180+1)/$NU$70,$NN$70/$NT$70)),0)</f>
        <v/>
      </c>
      <c r="GC70" s="402">
        <f>IF(AND(181&gt;=$NR$70,181&lt;=$NS$70),IF($NP$70="Single_Point",IF(181=$NR$70,$NN$70,0),IF($NP$70="Bell_Curve",$NN$70*(181-$NR$70+1)*($NS$70-181+1)/$NU$70,$NN$70/$NT$70)),0)</f>
        <v/>
      </c>
      <c r="GD70" s="402">
        <f>IF(AND(182&gt;=$NR$70,182&lt;=$NS$70),IF($NP$70="Single_Point",IF(182=$NR$70,$NN$70,0),IF($NP$70="Bell_Curve",$NN$70*(182-$NR$70+1)*($NS$70-182+1)/$NU$70,$NN$70/$NT$70)),0)</f>
        <v/>
      </c>
      <c r="GE70" s="402">
        <f>IF(AND(183&gt;=$NR$70,183&lt;=$NS$70),IF($NP$70="Single_Point",IF(183=$NR$70,$NN$70,0),IF($NP$70="Bell_Curve",$NN$70*(183-$NR$70+1)*($NS$70-183+1)/$NU$70,$NN$70/$NT$70)),0)</f>
        <v/>
      </c>
      <c r="GF70" s="402">
        <f>IF(AND(184&gt;=$NR$70,184&lt;=$NS$70),IF($NP$70="Single_Point",IF(184=$NR$70,$NN$70,0),IF($NP$70="Bell_Curve",$NN$70*(184-$NR$70+1)*($NS$70-184+1)/$NU$70,$NN$70/$NT$70)),0)</f>
        <v/>
      </c>
      <c r="GG70" s="402">
        <f>IF(AND(185&gt;=$NR$70,185&lt;=$NS$70),IF($NP$70="Single_Point",IF(185=$NR$70,$NN$70,0),IF($NP$70="Bell_Curve",$NN$70*(185-$NR$70+1)*($NS$70-185+1)/$NU$70,$NN$70/$NT$70)),0)</f>
        <v/>
      </c>
      <c r="GH70" s="402">
        <f>IF(AND(186&gt;=$NR$70,186&lt;=$NS$70),IF($NP$70="Single_Point",IF(186=$NR$70,$NN$70,0),IF($NP$70="Bell_Curve",$NN$70*(186-$NR$70+1)*($NS$70-186+1)/$NU$70,$NN$70/$NT$70)),0)</f>
        <v/>
      </c>
      <c r="GI70" s="402">
        <f>IF(AND(187&gt;=$NR$70,187&lt;=$NS$70),IF($NP$70="Single_Point",IF(187=$NR$70,$NN$70,0),IF($NP$70="Bell_Curve",$NN$70*(187-$NR$70+1)*($NS$70-187+1)/$NU$70,$NN$70/$NT$70)),0)</f>
        <v/>
      </c>
      <c r="GJ70" s="402">
        <f>IF(AND(188&gt;=$NR$70,188&lt;=$NS$70),IF($NP$70="Single_Point",IF(188=$NR$70,$NN$70,0),IF($NP$70="Bell_Curve",$NN$70*(188-$NR$70+1)*($NS$70-188+1)/$NU$70,$NN$70/$NT$70)),0)</f>
        <v/>
      </c>
      <c r="GK70" s="402">
        <f>IF(AND(189&gt;=$NR$70,189&lt;=$NS$70),IF($NP$70="Single_Point",IF(189=$NR$70,$NN$70,0),IF($NP$70="Bell_Curve",$NN$70*(189-$NR$70+1)*($NS$70-189+1)/$NU$70,$NN$70/$NT$70)),0)</f>
        <v/>
      </c>
      <c r="GL70" s="402">
        <f>IF(AND(190&gt;=$NR$70,190&lt;=$NS$70),IF($NP$70="Single_Point",IF(190=$NR$70,$NN$70,0),IF($NP$70="Bell_Curve",$NN$70*(190-$NR$70+1)*($NS$70-190+1)/$NU$70,$NN$70/$NT$70)),0)</f>
        <v/>
      </c>
      <c r="GM70" s="402">
        <f>IF(AND(191&gt;=$NR$70,191&lt;=$NS$70),IF($NP$70="Single_Point",IF(191=$NR$70,$NN$70,0),IF($NP$70="Bell_Curve",$NN$70*(191-$NR$70+1)*($NS$70-191+1)/$NU$70,$NN$70/$NT$70)),0)</f>
        <v/>
      </c>
      <c r="GN70" s="402">
        <f>IF(AND(192&gt;=$NR$70,192&lt;=$NS$70),IF($NP$70="Single_Point",IF(192=$NR$70,$NN$70,0),IF($NP$70="Bell_Curve",$NN$70*(192-$NR$70+1)*($NS$70-192+1)/$NU$70,$NN$70/$NT$70)),0)</f>
        <v/>
      </c>
      <c r="GO70" s="402">
        <f>IF(AND(193&gt;=$NR$70,193&lt;=$NS$70),IF($NP$70="Single_Point",IF(193=$NR$70,$NN$70,0),IF($NP$70="Bell_Curve",$NN$70*(193-$NR$70+1)*($NS$70-193+1)/$NU$70,$NN$70/$NT$70)),0)</f>
        <v/>
      </c>
      <c r="GP70" s="402">
        <f>IF(AND(194&gt;=$NR$70,194&lt;=$NS$70),IF($NP$70="Single_Point",IF(194=$NR$70,$NN$70,0),IF($NP$70="Bell_Curve",$NN$70*(194-$NR$70+1)*($NS$70-194+1)/$NU$70,$NN$70/$NT$70)),0)</f>
        <v/>
      </c>
      <c r="GQ70" s="402">
        <f>IF(AND(195&gt;=$NR$70,195&lt;=$NS$70),IF($NP$70="Single_Point",IF(195=$NR$70,$NN$70,0),IF($NP$70="Bell_Curve",$NN$70*(195-$NR$70+1)*($NS$70-195+1)/$NU$70,$NN$70/$NT$70)),0)</f>
        <v/>
      </c>
      <c r="GR70" s="402">
        <f>IF(AND(196&gt;=$NR$70,196&lt;=$NS$70),IF($NP$70="Single_Point",IF(196=$NR$70,$NN$70,0),IF($NP$70="Bell_Curve",$NN$70*(196-$NR$70+1)*($NS$70-196+1)/$NU$70,$NN$70/$NT$70)),0)</f>
        <v/>
      </c>
      <c r="GS70" s="402">
        <f>IF(AND(197&gt;=$NR$70,197&lt;=$NS$70),IF($NP$70="Single_Point",IF(197=$NR$70,$NN$70,0),IF($NP$70="Bell_Curve",$NN$70*(197-$NR$70+1)*($NS$70-197+1)/$NU$70,$NN$70/$NT$70)),0)</f>
        <v/>
      </c>
      <c r="GT70" s="402">
        <f>IF(AND(198&gt;=$NR$70,198&lt;=$NS$70),IF($NP$70="Single_Point",IF(198=$NR$70,$NN$70,0),IF($NP$70="Bell_Curve",$NN$70*(198-$NR$70+1)*($NS$70-198+1)/$NU$70,$NN$70/$NT$70)),0)</f>
        <v/>
      </c>
      <c r="GU70" s="402">
        <f>IF(AND(199&gt;=$NR$70,199&lt;=$NS$70),IF($NP$70="Single_Point",IF(199=$NR$70,$NN$70,0),IF($NP$70="Bell_Curve",$NN$70*(199-$NR$70+1)*($NS$70-199+1)/$NU$70,$NN$70/$NT$70)),0)</f>
        <v/>
      </c>
      <c r="GV70" s="402">
        <f>IF(AND(200&gt;=$NR$70,200&lt;=$NS$70),IF($NP$70="Single_Point",IF(200=$NR$70,$NN$70,0),IF($NP$70="Bell_Curve",$NN$70*(200-$NR$70+1)*($NS$70-200+1)/$NU$70,$NN$70/$NT$70)),0)</f>
        <v/>
      </c>
      <c r="GW70" s="402">
        <f>IF(AND(201&gt;=$NR$70,201&lt;=$NS$70),IF($NP$70="Single_Point",IF(201=$NR$70,$NN$70,0),IF($NP$70="Bell_Curve",$NN$70*(201-$NR$70+1)*($NS$70-201+1)/$NU$70,$NN$70/$NT$70)),0)</f>
        <v/>
      </c>
      <c r="GX70" s="402">
        <f>IF(AND(202&gt;=$NR$70,202&lt;=$NS$70),IF($NP$70="Single_Point",IF(202=$NR$70,$NN$70,0),IF($NP$70="Bell_Curve",$NN$70*(202-$NR$70+1)*($NS$70-202+1)/$NU$70,$NN$70/$NT$70)),0)</f>
        <v/>
      </c>
      <c r="GY70" s="402">
        <f>IF(AND(203&gt;=$NR$70,203&lt;=$NS$70),IF($NP$70="Single_Point",IF(203=$NR$70,$NN$70,0),IF($NP$70="Bell_Curve",$NN$70*(203-$NR$70+1)*($NS$70-203+1)/$NU$70,$NN$70/$NT$70)),0)</f>
        <v/>
      </c>
      <c r="GZ70" s="402">
        <f>IF(AND(204&gt;=$NR$70,204&lt;=$NS$70),IF($NP$70="Single_Point",IF(204=$NR$70,$NN$70,0),IF($NP$70="Bell_Curve",$NN$70*(204-$NR$70+1)*($NS$70-204+1)/$NU$70,$NN$70/$NT$70)),0)</f>
        <v/>
      </c>
      <c r="HA70" s="402">
        <f>IF(AND(205&gt;=$NR$70,205&lt;=$NS$70),IF($NP$70="Single_Point",IF(205=$NR$70,$NN$70,0),IF($NP$70="Bell_Curve",$NN$70*(205-$NR$70+1)*($NS$70-205+1)/$NU$70,$NN$70/$NT$70)),0)</f>
        <v/>
      </c>
      <c r="HB70" s="402">
        <f>IF(AND(206&gt;=$NR$70,206&lt;=$NS$70),IF($NP$70="Single_Point",IF(206=$NR$70,$NN$70,0),IF($NP$70="Bell_Curve",$NN$70*(206-$NR$70+1)*($NS$70-206+1)/$NU$70,$NN$70/$NT$70)),0)</f>
        <v/>
      </c>
      <c r="HC70" s="402">
        <f>IF(AND(207&gt;=$NR$70,207&lt;=$NS$70),IF($NP$70="Single_Point",IF(207=$NR$70,$NN$70,0),IF($NP$70="Bell_Curve",$NN$70*(207-$NR$70+1)*($NS$70-207+1)/$NU$70,$NN$70/$NT$70)),0)</f>
        <v/>
      </c>
      <c r="HD70" s="402">
        <f>IF(AND(208&gt;=$NR$70,208&lt;=$NS$70),IF($NP$70="Single_Point",IF(208=$NR$70,$NN$70,0),IF($NP$70="Bell_Curve",$NN$70*(208-$NR$70+1)*($NS$70-208+1)/$NU$70,$NN$70/$NT$70)),0)</f>
        <v/>
      </c>
      <c r="HE70" s="402">
        <f>IF(AND(209&gt;=$NR$70,209&lt;=$NS$70),IF($NP$70="Single_Point",IF(209=$NR$70,$NN$70,0),IF($NP$70="Bell_Curve",$NN$70*(209-$NR$70+1)*($NS$70-209+1)/$NU$70,$NN$70/$NT$70)),0)</f>
        <v/>
      </c>
      <c r="HF70" s="402">
        <f>IF(AND(210&gt;=$NR$70,210&lt;=$NS$70),IF($NP$70="Single_Point",IF(210=$NR$70,$NN$70,0),IF($NP$70="Bell_Curve",$NN$70*(210-$NR$70+1)*($NS$70-210+1)/$NU$70,$NN$70/$NT$70)),0)</f>
        <v/>
      </c>
      <c r="HG70" s="402">
        <f>IF(AND(211&gt;=$NR$70,211&lt;=$NS$70),IF($NP$70="Single_Point",IF(211=$NR$70,$NN$70,0),IF($NP$70="Bell_Curve",$NN$70*(211-$NR$70+1)*($NS$70-211+1)/$NU$70,$NN$70/$NT$70)),0)</f>
        <v/>
      </c>
      <c r="HH70" s="402">
        <f>IF(AND(212&gt;=$NR$70,212&lt;=$NS$70),IF($NP$70="Single_Point",IF(212=$NR$70,$NN$70,0),IF($NP$70="Bell_Curve",$NN$70*(212-$NR$70+1)*($NS$70-212+1)/$NU$70,$NN$70/$NT$70)),0)</f>
        <v/>
      </c>
      <c r="HI70" s="402">
        <f>IF(AND(213&gt;=$NR$70,213&lt;=$NS$70),IF($NP$70="Single_Point",IF(213=$NR$70,$NN$70,0),IF($NP$70="Bell_Curve",$NN$70*(213-$NR$70+1)*($NS$70-213+1)/$NU$70,$NN$70/$NT$70)),0)</f>
        <v/>
      </c>
      <c r="HJ70" s="402">
        <f>IF(AND(214&gt;=$NR$70,214&lt;=$NS$70),IF($NP$70="Single_Point",IF(214=$NR$70,$NN$70,0),IF($NP$70="Bell_Curve",$NN$70*(214-$NR$70+1)*($NS$70-214+1)/$NU$70,$NN$70/$NT$70)),0)</f>
        <v/>
      </c>
      <c r="HK70" s="402">
        <f>IF(AND(215&gt;=$NR$70,215&lt;=$NS$70),IF($NP$70="Single_Point",IF(215=$NR$70,$NN$70,0),IF($NP$70="Bell_Curve",$NN$70*(215-$NR$70+1)*($NS$70-215+1)/$NU$70,$NN$70/$NT$70)),0)</f>
        <v/>
      </c>
      <c r="HL70" s="402">
        <f>IF(AND(216&gt;=$NR$70,216&lt;=$NS$70),IF($NP$70="Single_Point",IF(216=$NR$70,$NN$70,0),IF($NP$70="Bell_Curve",$NN$70*(216-$NR$70+1)*($NS$70-216+1)/$NU$70,$NN$70/$NT$70)),0)</f>
        <v/>
      </c>
      <c r="HM70" s="402">
        <f>IF(AND(217&gt;=$NR$70,217&lt;=$NS$70),IF($NP$70="Single_Point",IF(217=$NR$70,$NN$70,0),IF($NP$70="Bell_Curve",$NN$70*(217-$NR$70+1)*($NS$70-217+1)/$NU$70,$NN$70/$NT$70)),0)</f>
        <v/>
      </c>
      <c r="HN70" s="402">
        <f>IF(AND(218&gt;=$NR$70,218&lt;=$NS$70),IF($NP$70="Single_Point",IF(218=$NR$70,$NN$70,0),IF($NP$70="Bell_Curve",$NN$70*(218-$NR$70+1)*($NS$70-218+1)/$NU$70,$NN$70/$NT$70)),0)</f>
        <v/>
      </c>
      <c r="HO70" s="402">
        <f>IF(AND(219&gt;=$NR$70,219&lt;=$NS$70),IF($NP$70="Single_Point",IF(219=$NR$70,$NN$70,0),IF($NP$70="Bell_Curve",$NN$70*(219-$NR$70+1)*($NS$70-219+1)/$NU$70,$NN$70/$NT$70)),0)</f>
        <v/>
      </c>
      <c r="HP70" s="402">
        <f>IF(AND(220&gt;=$NR$70,220&lt;=$NS$70),IF($NP$70="Single_Point",IF(220=$NR$70,$NN$70,0),IF($NP$70="Bell_Curve",$NN$70*(220-$NR$70+1)*($NS$70-220+1)/$NU$70,$NN$70/$NT$70)),0)</f>
        <v/>
      </c>
      <c r="HQ70" s="402">
        <f>IF(AND(221&gt;=$NR$70,221&lt;=$NS$70),IF($NP$70="Single_Point",IF(221=$NR$70,$NN$70,0),IF($NP$70="Bell_Curve",$NN$70*(221-$NR$70+1)*($NS$70-221+1)/$NU$70,$NN$70/$NT$70)),0)</f>
        <v/>
      </c>
      <c r="HR70" s="402">
        <f>IF(AND(222&gt;=$NR$70,222&lt;=$NS$70),IF($NP$70="Single_Point",IF(222=$NR$70,$NN$70,0),IF($NP$70="Bell_Curve",$NN$70*(222-$NR$70+1)*($NS$70-222+1)/$NU$70,$NN$70/$NT$70)),0)</f>
        <v/>
      </c>
      <c r="HS70" s="402">
        <f>IF(AND(223&gt;=$NR$70,223&lt;=$NS$70),IF($NP$70="Single_Point",IF(223=$NR$70,$NN$70,0),IF($NP$70="Bell_Curve",$NN$70*(223-$NR$70+1)*($NS$70-223+1)/$NU$70,$NN$70/$NT$70)),0)</f>
        <v/>
      </c>
      <c r="HT70" s="402">
        <f>IF(AND(224&gt;=$NR$70,224&lt;=$NS$70),IF($NP$70="Single_Point",IF(224=$NR$70,$NN$70,0),IF($NP$70="Bell_Curve",$NN$70*(224-$NR$70+1)*($NS$70-224+1)/$NU$70,$NN$70/$NT$70)),0)</f>
        <v/>
      </c>
      <c r="HU70" s="402">
        <f>IF(AND(225&gt;=$NR$70,225&lt;=$NS$70),IF($NP$70="Single_Point",IF(225=$NR$70,$NN$70,0),IF($NP$70="Bell_Curve",$NN$70*(225-$NR$70+1)*($NS$70-225+1)/$NU$70,$NN$70/$NT$70)),0)</f>
        <v/>
      </c>
      <c r="HV70" s="402">
        <f>IF(AND(226&gt;=$NR$70,226&lt;=$NS$70),IF($NP$70="Single_Point",IF(226=$NR$70,$NN$70,0),IF($NP$70="Bell_Curve",$NN$70*(226-$NR$70+1)*($NS$70-226+1)/$NU$70,$NN$70/$NT$70)),0)</f>
        <v/>
      </c>
      <c r="HW70" s="402">
        <f>IF(AND(227&gt;=$NR$70,227&lt;=$NS$70),IF($NP$70="Single_Point",IF(227=$NR$70,$NN$70,0),IF($NP$70="Bell_Curve",$NN$70*(227-$NR$70+1)*($NS$70-227+1)/$NU$70,$NN$70/$NT$70)),0)</f>
        <v/>
      </c>
      <c r="HX70" s="402">
        <f>IF(AND(228&gt;=$NR$70,228&lt;=$NS$70),IF($NP$70="Single_Point",IF(228=$NR$70,$NN$70,0),IF($NP$70="Bell_Curve",$NN$70*(228-$NR$70+1)*($NS$70-228+1)/$NU$70,$NN$70/$NT$70)),0)</f>
        <v/>
      </c>
      <c r="HY70" s="402">
        <f>IF(AND(229&gt;=$NR$70,229&lt;=$NS$70),IF($NP$70="Single_Point",IF(229=$NR$70,$NN$70,0),IF($NP$70="Bell_Curve",$NN$70*(229-$NR$70+1)*($NS$70-229+1)/$NU$70,$NN$70/$NT$70)),0)</f>
        <v/>
      </c>
      <c r="HZ70" s="402">
        <f>IF(AND(230&gt;=$NR$70,230&lt;=$NS$70),IF($NP$70="Single_Point",IF(230=$NR$70,$NN$70,0),IF($NP$70="Bell_Curve",$NN$70*(230-$NR$70+1)*($NS$70-230+1)/$NU$70,$NN$70/$NT$70)),0)</f>
        <v/>
      </c>
      <c r="IA70" s="402">
        <f>IF(AND(231&gt;=$NR$70,231&lt;=$NS$70),IF($NP$70="Single_Point",IF(231=$NR$70,$NN$70,0),IF($NP$70="Bell_Curve",$NN$70*(231-$NR$70+1)*($NS$70-231+1)/$NU$70,$NN$70/$NT$70)),0)</f>
        <v/>
      </c>
      <c r="IB70" s="402">
        <f>IF(AND(232&gt;=$NR$70,232&lt;=$NS$70),IF($NP$70="Single_Point",IF(232=$NR$70,$NN$70,0),IF($NP$70="Bell_Curve",$NN$70*(232-$NR$70+1)*($NS$70-232+1)/$NU$70,$NN$70/$NT$70)),0)</f>
        <v/>
      </c>
      <c r="IC70" s="402">
        <f>IF(AND(233&gt;=$NR$70,233&lt;=$NS$70),IF($NP$70="Single_Point",IF(233=$NR$70,$NN$70,0),IF($NP$70="Bell_Curve",$NN$70*(233-$NR$70+1)*($NS$70-233+1)/$NU$70,$NN$70/$NT$70)),0)</f>
        <v/>
      </c>
      <c r="ID70" s="402">
        <f>IF(AND(234&gt;=$NR$70,234&lt;=$NS$70),IF($NP$70="Single_Point",IF(234=$NR$70,$NN$70,0),IF($NP$70="Bell_Curve",$NN$70*(234-$NR$70+1)*($NS$70-234+1)/$NU$70,$NN$70/$NT$70)),0)</f>
        <v/>
      </c>
      <c r="IE70" s="402">
        <f>IF(AND(235&gt;=$NR$70,235&lt;=$NS$70),IF($NP$70="Single_Point",IF(235=$NR$70,$NN$70,0),IF($NP$70="Bell_Curve",$NN$70*(235-$NR$70+1)*($NS$70-235+1)/$NU$70,$NN$70/$NT$70)),0)</f>
        <v/>
      </c>
      <c r="IF70" s="402">
        <f>IF(AND(236&gt;=$NR$70,236&lt;=$NS$70),IF($NP$70="Single_Point",IF(236=$NR$70,$NN$70,0),IF($NP$70="Bell_Curve",$NN$70*(236-$NR$70+1)*($NS$70-236+1)/$NU$70,$NN$70/$NT$70)),0)</f>
        <v/>
      </c>
      <c r="IG70" s="402">
        <f>IF(AND(237&gt;=$NR$70,237&lt;=$NS$70),IF($NP$70="Single_Point",IF(237=$NR$70,$NN$70,0),IF($NP$70="Bell_Curve",$NN$70*(237-$NR$70+1)*($NS$70-237+1)/$NU$70,$NN$70/$NT$70)),0)</f>
        <v/>
      </c>
      <c r="IH70" s="402">
        <f>IF(AND(238&gt;=$NR$70,238&lt;=$NS$70),IF($NP$70="Single_Point",IF(238=$NR$70,$NN$70,0),IF($NP$70="Bell_Curve",$NN$70*(238-$NR$70+1)*($NS$70-238+1)/$NU$70,$NN$70/$NT$70)),0)</f>
        <v/>
      </c>
      <c r="II70" s="402">
        <f>IF(AND(239&gt;=$NR$70,239&lt;=$NS$70),IF($NP$70="Single_Point",IF(239=$NR$70,$NN$70,0),IF($NP$70="Bell_Curve",$NN$70*(239-$NR$70+1)*($NS$70-239+1)/$NU$70,$NN$70/$NT$70)),0)</f>
        <v/>
      </c>
      <c r="IJ70" s="402">
        <f>IF(AND(240&gt;=$NR$70,240&lt;=$NS$70),IF($NP$70="Single_Point",IF(240=$NR$70,$NN$70,0),IF($NP$70="Bell_Curve",$NN$70*(240-$NR$70+1)*($NS$70-240+1)/$NU$70,$NN$70/$NT$70)),0)</f>
        <v/>
      </c>
      <c r="IK70" s="402">
        <f>IF(AND(241&gt;=$NR$70,241&lt;=$NS$70),IF($NP$70="Single_Point",IF(241=$NR$70,$NN$70,0),IF($NP$70="Bell_Curve",$NN$70*(241-$NR$70+1)*($NS$70-241+1)/$NU$70,$NN$70/$NT$70)),0)</f>
        <v/>
      </c>
      <c r="IL70" s="402">
        <f>IF(AND(242&gt;=$NR$70,242&lt;=$NS$70),IF($NP$70="Single_Point",IF(242=$NR$70,$NN$70,0),IF($NP$70="Bell_Curve",$NN$70*(242-$NR$70+1)*($NS$70-242+1)/$NU$70,$NN$70/$NT$70)),0)</f>
        <v/>
      </c>
      <c r="IM70" s="402">
        <f>IF(AND(243&gt;=$NR$70,243&lt;=$NS$70),IF($NP$70="Single_Point",IF(243=$NR$70,$NN$70,0),IF($NP$70="Bell_Curve",$NN$70*(243-$NR$70+1)*($NS$70-243+1)/$NU$70,$NN$70/$NT$70)),0)</f>
        <v/>
      </c>
      <c r="IN70" s="402">
        <f>IF(AND(244&gt;=$NR$70,244&lt;=$NS$70),IF($NP$70="Single_Point",IF(244=$NR$70,$NN$70,0),IF($NP$70="Bell_Curve",$NN$70*(244-$NR$70+1)*($NS$70-244+1)/$NU$70,$NN$70/$NT$70)),0)</f>
        <v/>
      </c>
      <c r="IO70" s="402">
        <f>IF(AND(245&gt;=$NR$70,245&lt;=$NS$70),IF($NP$70="Single_Point",IF(245=$NR$70,$NN$70,0),IF($NP$70="Bell_Curve",$NN$70*(245-$NR$70+1)*($NS$70-245+1)/$NU$70,$NN$70/$NT$70)),0)</f>
        <v/>
      </c>
      <c r="IP70" s="402">
        <f>IF(AND(246&gt;=$NR$70,246&lt;=$NS$70),IF($NP$70="Single_Point",IF(246=$NR$70,$NN$70,0),IF($NP$70="Bell_Curve",$NN$70*(246-$NR$70+1)*($NS$70-246+1)/$NU$70,$NN$70/$NT$70)),0)</f>
        <v/>
      </c>
      <c r="IQ70" s="402">
        <f>IF(AND(247&gt;=$NR$70,247&lt;=$NS$70),IF($NP$70="Single_Point",IF(247=$NR$70,$NN$70,0),IF($NP$70="Bell_Curve",$NN$70*(247-$NR$70+1)*($NS$70-247+1)/$NU$70,$NN$70/$NT$70)),0)</f>
        <v/>
      </c>
      <c r="IR70" s="402">
        <f>IF(AND(248&gt;=$NR$70,248&lt;=$NS$70),IF($NP$70="Single_Point",IF(248=$NR$70,$NN$70,0),IF($NP$70="Bell_Curve",$NN$70*(248-$NR$70+1)*($NS$70-248+1)/$NU$70,$NN$70/$NT$70)),0)</f>
        <v/>
      </c>
      <c r="IS70" s="402">
        <f>IF(AND(249&gt;=$NR$70,249&lt;=$NS$70),IF($NP$70="Single_Point",IF(249=$NR$70,$NN$70,0),IF($NP$70="Bell_Curve",$NN$70*(249-$NR$70+1)*($NS$70-249+1)/$NU$70,$NN$70/$NT$70)),0)</f>
        <v/>
      </c>
      <c r="IT70" s="402">
        <f>IF(AND(250&gt;=$NR$70,250&lt;=$NS$70),IF($NP$70="Single_Point",IF(250=$NR$70,$NN$70,0),IF($NP$70="Bell_Curve",$NN$70*(250-$NR$70+1)*($NS$70-250+1)/$NU$70,$NN$70/$NT$70)),0)</f>
        <v/>
      </c>
      <c r="IU70" s="402">
        <f>IF(AND(251&gt;=$NR$70,251&lt;=$NS$70),IF($NP$70="Single_Point",IF(251=$NR$70,$NN$70,0),IF($NP$70="Bell_Curve",$NN$70*(251-$NR$70+1)*($NS$70-251+1)/$NU$70,$NN$70/$NT$70)),0)</f>
        <v/>
      </c>
      <c r="IV70" s="402">
        <f>IF(AND(252&gt;=$NR$70,252&lt;=$NS$70),IF($NP$70="Single_Point",IF(252=$NR$70,$NN$70,0),IF($NP$70="Bell_Curve",$NN$70*(252-$NR$70+1)*($NS$70-252+1)/$NU$70,$NN$70/$NT$70)),0)</f>
        <v/>
      </c>
      <c r="IW70" s="402">
        <f>IF(AND(253&gt;=$NR$70,253&lt;=$NS$70),IF($NP$70="Single_Point",IF(253=$NR$70,$NN$70,0),IF($NP$70="Bell_Curve",$NN$70*(253-$NR$70+1)*($NS$70-253+1)/$NU$70,$NN$70/$NT$70)),0)</f>
        <v/>
      </c>
      <c r="IX70" s="402">
        <f>IF(AND(254&gt;=$NR$70,254&lt;=$NS$70),IF($NP$70="Single_Point",IF(254=$NR$70,$NN$70,0),IF($NP$70="Bell_Curve",$NN$70*(254-$NR$70+1)*($NS$70-254+1)/$NU$70,$NN$70/$NT$70)),0)</f>
        <v/>
      </c>
      <c r="IY70" s="402">
        <f>IF(AND(255&gt;=$NR$70,255&lt;=$NS$70),IF($NP$70="Single_Point",IF(255=$NR$70,$NN$70,0),IF($NP$70="Bell_Curve",$NN$70*(255-$NR$70+1)*($NS$70-255+1)/$NU$70,$NN$70/$NT$70)),0)</f>
        <v/>
      </c>
      <c r="IZ70" s="402">
        <f>IF(AND(256&gt;=$NR$70,256&lt;=$NS$70),IF($NP$70="Single_Point",IF(256=$NR$70,$NN$70,0),IF($NP$70="Bell_Curve",$NN$70*(256-$NR$70+1)*($NS$70-256+1)/$NU$70,$NN$70/$NT$70)),0)</f>
        <v/>
      </c>
      <c r="JA70" s="402">
        <f>IF(AND(257&gt;=$NR$70,257&lt;=$NS$70),IF($NP$70="Single_Point",IF(257=$NR$70,$NN$70,0),IF($NP$70="Bell_Curve",$NN$70*(257-$NR$70+1)*($NS$70-257+1)/$NU$70,$NN$70/$NT$70)),0)</f>
        <v/>
      </c>
      <c r="JB70" s="402">
        <f>IF(AND(258&gt;=$NR$70,258&lt;=$NS$70),IF($NP$70="Single_Point",IF(258=$NR$70,$NN$70,0),IF($NP$70="Bell_Curve",$NN$70*(258-$NR$70+1)*($NS$70-258+1)/$NU$70,$NN$70/$NT$70)),0)</f>
        <v/>
      </c>
      <c r="JC70" s="402">
        <f>IF(AND(259&gt;=$NR$70,259&lt;=$NS$70),IF($NP$70="Single_Point",IF(259=$NR$70,$NN$70,0),IF($NP$70="Bell_Curve",$NN$70*(259-$NR$70+1)*($NS$70-259+1)/$NU$70,$NN$70/$NT$70)),0)</f>
        <v/>
      </c>
      <c r="JD70" s="402">
        <f>IF(AND(260&gt;=$NR$70,260&lt;=$NS$70),IF($NP$70="Single_Point",IF(260=$NR$70,$NN$70,0),IF($NP$70="Bell_Curve",$NN$70*(260-$NR$70+1)*($NS$70-260+1)/$NU$70,$NN$70/$NT$70)),0)</f>
        <v/>
      </c>
      <c r="JE70" s="402">
        <f>IF(AND(261&gt;=$NR$70,261&lt;=$NS$70),IF($NP$70="Single_Point",IF(261=$NR$70,$NN$70,0),IF($NP$70="Bell_Curve",$NN$70*(261-$NR$70+1)*($NS$70-261+1)/$NU$70,$NN$70/$NT$70)),0)</f>
        <v/>
      </c>
      <c r="JF70" s="402">
        <f>IF(AND(262&gt;=$NR$70,262&lt;=$NS$70),IF($NP$70="Single_Point",IF(262=$NR$70,$NN$70,0),IF($NP$70="Bell_Curve",$NN$70*(262-$NR$70+1)*($NS$70-262+1)/$NU$70,$NN$70/$NT$70)),0)</f>
        <v/>
      </c>
      <c r="JG70" s="402">
        <f>IF(AND(263&gt;=$NR$70,263&lt;=$NS$70),IF($NP$70="Single_Point",IF(263=$NR$70,$NN$70,0),IF($NP$70="Bell_Curve",$NN$70*(263-$NR$70+1)*($NS$70-263+1)/$NU$70,$NN$70/$NT$70)),0)</f>
        <v/>
      </c>
      <c r="JH70" s="402">
        <f>IF(AND(264&gt;=$NR$70,264&lt;=$NS$70),IF($NP$70="Single_Point",IF(264=$NR$70,$NN$70,0),IF($NP$70="Bell_Curve",$NN$70*(264-$NR$70+1)*($NS$70-264+1)/$NU$70,$NN$70/$NT$70)),0)</f>
        <v/>
      </c>
      <c r="JI70" s="402">
        <f>IF(AND(265&gt;=$NR$70,265&lt;=$NS$70),IF($NP$70="Single_Point",IF(265=$NR$70,$NN$70,0),IF($NP$70="Bell_Curve",$NN$70*(265-$NR$70+1)*($NS$70-265+1)/$NU$70,$NN$70/$NT$70)),0)</f>
        <v/>
      </c>
      <c r="JJ70" s="402">
        <f>IF(AND(266&gt;=$NR$70,266&lt;=$NS$70),IF($NP$70="Single_Point",IF(266=$NR$70,$NN$70,0),IF($NP$70="Bell_Curve",$NN$70*(266-$NR$70+1)*($NS$70-266+1)/$NU$70,$NN$70/$NT$70)),0)</f>
        <v/>
      </c>
      <c r="JK70" s="402">
        <f>IF(AND(267&gt;=$NR$70,267&lt;=$NS$70),IF($NP$70="Single_Point",IF(267=$NR$70,$NN$70,0),IF($NP$70="Bell_Curve",$NN$70*(267-$NR$70+1)*($NS$70-267+1)/$NU$70,$NN$70/$NT$70)),0)</f>
        <v/>
      </c>
      <c r="JL70" s="402">
        <f>IF(AND(268&gt;=$NR$70,268&lt;=$NS$70),IF($NP$70="Single_Point",IF(268=$NR$70,$NN$70,0),IF($NP$70="Bell_Curve",$NN$70*(268-$NR$70+1)*($NS$70-268+1)/$NU$70,$NN$70/$NT$70)),0)</f>
        <v/>
      </c>
      <c r="JM70" s="402">
        <f>IF(AND(269&gt;=$NR$70,269&lt;=$NS$70),IF($NP$70="Single_Point",IF(269=$NR$70,$NN$70,0),IF($NP$70="Bell_Curve",$NN$70*(269-$NR$70+1)*($NS$70-269+1)/$NU$70,$NN$70/$NT$70)),0)</f>
        <v/>
      </c>
      <c r="JN70" s="402">
        <f>IF(AND(270&gt;=$NR$70,270&lt;=$NS$70),IF($NP$70="Single_Point",IF(270=$NR$70,$NN$70,0),IF($NP$70="Bell_Curve",$NN$70*(270-$NR$70+1)*($NS$70-270+1)/$NU$70,$NN$70/$NT$70)),0)</f>
        <v/>
      </c>
      <c r="JO70" s="402">
        <f>IF(AND(271&gt;=$NR$70,271&lt;=$NS$70),IF($NP$70="Single_Point",IF(271=$NR$70,$NN$70,0),IF($NP$70="Bell_Curve",$NN$70*(271-$NR$70+1)*($NS$70-271+1)/$NU$70,$NN$70/$NT$70)),0)</f>
        <v/>
      </c>
      <c r="JP70" s="402">
        <f>IF(AND(272&gt;=$NR$70,272&lt;=$NS$70),IF($NP$70="Single_Point",IF(272=$NR$70,$NN$70,0),IF($NP$70="Bell_Curve",$NN$70*(272-$NR$70+1)*($NS$70-272+1)/$NU$70,$NN$70/$NT$70)),0)</f>
        <v/>
      </c>
      <c r="JQ70" s="402">
        <f>IF(AND(273&gt;=$NR$70,273&lt;=$NS$70),IF($NP$70="Single_Point",IF(273=$NR$70,$NN$70,0),IF($NP$70="Bell_Curve",$NN$70*(273-$NR$70+1)*($NS$70-273+1)/$NU$70,$NN$70/$NT$70)),0)</f>
        <v/>
      </c>
      <c r="JR70" s="402">
        <f>IF(AND(274&gt;=$NR$70,274&lt;=$NS$70),IF($NP$70="Single_Point",IF(274=$NR$70,$NN$70,0),IF($NP$70="Bell_Curve",$NN$70*(274-$NR$70+1)*($NS$70-274+1)/$NU$70,$NN$70/$NT$70)),0)</f>
        <v/>
      </c>
      <c r="JS70" s="402">
        <f>IF(AND(275&gt;=$NR$70,275&lt;=$NS$70),IF($NP$70="Single_Point",IF(275=$NR$70,$NN$70,0),IF($NP$70="Bell_Curve",$NN$70*(275-$NR$70+1)*($NS$70-275+1)/$NU$70,$NN$70/$NT$70)),0)</f>
        <v/>
      </c>
      <c r="JT70" s="402">
        <f>IF(AND(276&gt;=$NR$70,276&lt;=$NS$70),IF($NP$70="Single_Point",IF(276=$NR$70,$NN$70,0),IF($NP$70="Bell_Curve",$NN$70*(276-$NR$70+1)*($NS$70-276+1)/$NU$70,$NN$70/$NT$70)),0)</f>
        <v/>
      </c>
      <c r="JU70" s="402">
        <f>IF(AND(277&gt;=$NR$70,277&lt;=$NS$70),IF($NP$70="Single_Point",IF(277=$NR$70,$NN$70,0),IF($NP$70="Bell_Curve",$NN$70*(277-$NR$70+1)*($NS$70-277+1)/$NU$70,$NN$70/$NT$70)),0)</f>
        <v/>
      </c>
      <c r="JV70" s="402">
        <f>IF(AND(278&gt;=$NR$70,278&lt;=$NS$70),IF($NP$70="Single_Point",IF(278=$NR$70,$NN$70,0),IF($NP$70="Bell_Curve",$NN$70*(278-$NR$70+1)*($NS$70-278+1)/$NU$70,$NN$70/$NT$70)),0)</f>
        <v/>
      </c>
      <c r="JW70" s="402">
        <f>IF(AND(279&gt;=$NR$70,279&lt;=$NS$70),IF($NP$70="Single_Point",IF(279=$NR$70,$NN$70,0),IF($NP$70="Bell_Curve",$NN$70*(279-$NR$70+1)*($NS$70-279+1)/$NU$70,$NN$70/$NT$70)),0)</f>
        <v/>
      </c>
      <c r="JX70" s="402">
        <f>IF(AND(280&gt;=$NR$70,280&lt;=$NS$70),IF($NP$70="Single_Point",IF(280=$NR$70,$NN$70,0),IF($NP$70="Bell_Curve",$NN$70*(280-$NR$70+1)*($NS$70-280+1)/$NU$70,$NN$70/$NT$70)),0)</f>
        <v/>
      </c>
      <c r="JY70" s="402">
        <f>IF(AND(281&gt;=$NR$70,281&lt;=$NS$70),IF($NP$70="Single_Point",IF(281=$NR$70,$NN$70,0),IF($NP$70="Bell_Curve",$NN$70*(281-$NR$70+1)*($NS$70-281+1)/$NU$70,$NN$70/$NT$70)),0)</f>
        <v/>
      </c>
      <c r="JZ70" s="402">
        <f>IF(AND(282&gt;=$NR$70,282&lt;=$NS$70),IF($NP$70="Single_Point",IF(282=$NR$70,$NN$70,0),IF($NP$70="Bell_Curve",$NN$70*(282-$NR$70+1)*($NS$70-282+1)/$NU$70,$NN$70/$NT$70)),0)</f>
        <v/>
      </c>
      <c r="KA70" s="402">
        <f>IF(AND(283&gt;=$NR$70,283&lt;=$NS$70),IF($NP$70="Single_Point",IF(283=$NR$70,$NN$70,0),IF($NP$70="Bell_Curve",$NN$70*(283-$NR$70+1)*($NS$70-283+1)/$NU$70,$NN$70/$NT$70)),0)</f>
        <v/>
      </c>
      <c r="KB70" s="402">
        <f>IF(AND(284&gt;=$NR$70,284&lt;=$NS$70),IF($NP$70="Single_Point",IF(284=$NR$70,$NN$70,0),IF($NP$70="Bell_Curve",$NN$70*(284-$NR$70+1)*($NS$70-284+1)/$NU$70,$NN$70/$NT$70)),0)</f>
        <v/>
      </c>
      <c r="KC70" s="402">
        <f>IF(AND(285&gt;=$NR$70,285&lt;=$NS$70),IF($NP$70="Single_Point",IF(285=$NR$70,$NN$70,0),IF($NP$70="Bell_Curve",$NN$70*(285-$NR$70+1)*($NS$70-285+1)/$NU$70,$NN$70/$NT$70)),0)</f>
        <v/>
      </c>
      <c r="KD70" s="402">
        <f>IF(AND(286&gt;=$NR$70,286&lt;=$NS$70),IF($NP$70="Single_Point",IF(286=$NR$70,$NN$70,0),IF($NP$70="Bell_Curve",$NN$70*(286-$NR$70+1)*($NS$70-286+1)/$NU$70,$NN$70/$NT$70)),0)</f>
        <v/>
      </c>
      <c r="KE70" s="402">
        <f>IF(AND(287&gt;=$NR$70,287&lt;=$NS$70),IF($NP$70="Single_Point",IF(287=$NR$70,$NN$70,0),IF($NP$70="Bell_Curve",$NN$70*(287-$NR$70+1)*($NS$70-287+1)/$NU$70,$NN$70/$NT$70)),0)</f>
        <v/>
      </c>
      <c r="KF70" s="402">
        <f>IF(AND(288&gt;=$NR$70,288&lt;=$NS$70),IF($NP$70="Single_Point",IF(288=$NR$70,$NN$70,0),IF($NP$70="Bell_Curve",$NN$70*(288-$NR$70+1)*($NS$70-288+1)/$NU$70,$NN$70/$NT$70)),0)</f>
        <v/>
      </c>
      <c r="KG70" s="402">
        <f>IF(AND(289&gt;=$NR$70,289&lt;=$NS$70),IF($NP$70="Single_Point",IF(289=$NR$70,$NN$70,0),IF($NP$70="Bell_Curve",$NN$70*(289-$NR$70+1)*($NS$70-289+1)/$NU$70,$NN$70/$NT$70)),0)</f>
        <v/>
      </c>
      <c r="KH70" s="402">
        <f>IF(AND(290&gt;=$NR$70,290&lt;=$NS$70),IF($NP$70="Single_Point",IF(290=$NR$70,$NN$70,0),IF($NP$70="Bell_Curve",$NN$70*(290-$NR$70+1)*($NS$70-290+1)/$NU$70,$NN$70/$NT$70)),0)</f>
        <v/>
      </c>
      <c r="KI70" s="402">
        <f>IF(AND(291&gt;=$NR$70,291&lt;=$NS$70),IF($NP$70="Single_Point",IF(291=$NR$70,$NN$70,0),IF($NP$70="Bell_Curve",$NN$70*(291-$NR$70+1)*($NS$70-291+1)/$NU$70,$NN$70/$NT$70)),0)</f>
        <v/>
      </c>
      <c r="KJ70" s="402">
        <f>IF(AND(292&gt;=$NR$70,292&lt;=$NS$70),IF($NP$70="Single_Point",IF(292=$NR$70,$NN$70,0),IF($NP$70="Bell_Curve",$NN$70*(292-$NR$70+1)*($NS$70-292+1)/$NU$70,$NN$70/$NT$70)),0)</f>
        <v/>
      </c>
      <c r="KK70" s="402">
        <f>IF(AND(293&gt;=$NR$70,293&lt;=$NS$70),IF($NP$70="Single_Point",IF(293=$NR$70,$NN$70,0),IF($NP$70="Bell_Curve",$NN$70*(293-$NR$70+1)*($NS$70-293+1)/$NU$70,$NN$70/$NT$70)),0)</f>
        <v/>
      </c>
      <c r="KL70" s="402">
        <f>IF(AND(294&gt;=$NR$70,294&lt;=$NS$70),IF($NP$70="Single_Point",IF(294=$NR$70,$NN$70,0),IF($NP$70="Bell_Curve",$NN$70*(294-$NR$70+1)*($NS$70-294+1)/$NU$70,$NN$70/$NT$70)),0)</f>
        <v/>
      </c>
      <c r="KM70" s="402">
        <f>IF(AND(295&gt;=$NR$70,295&lt;=$NS$70),IF($NP$70="Single_Point",IF(295=$NR$70,$NN$70,0),IF($NP$70="Bell_Curve",$NN$70*(295-$NR$70+1)*($NS$70-295+1)/$NU$70,$NN$70/$NT$70)),0)</f>
        <v/>
      </c>
      <c r="KN70" s="402">
        <f>IF(AND(296&gt;=$NR$70,296&lt;=$NS$70),IF($NP$70="Single_Point",IF(296=$NR$70,$NN$70,0),IF($NP$70="Bell_Curve",$NN$70*(296-$NR$70+1)*($NS$70-296+1)/$NU$70,$NN$70/$NT$70)),0)</f>
        <v/>
      </c>
      <c r="KO70" s="402">
        <f>IF(AND(297&gt;=$NR$70,297&lt;=$NS$70),IF($NP$70="Single_Point",IF(297=$NR$70,$NN$70,0),IF($NP$70="Bell_Curve",$NN$70*(297-$NR$70+1)*($NS$70-297+1)/$NU$70,$NN$70/$NT$70)),0)</f>
        <v/>
      </c>
      <c r="KP70" s="402">
        <f>IF(AND(298&gt;=$NR$70,298&lt;=$NS$70),IF($NP$70="Single_Point",IF(298=$NR$70,$NN$70,0),IF($NP$70="Bell_Curve",$NN$70*(298-$NR$70+1)*($NS$70-298+1)/$NU$70,$NN$70/$NT$70)),0)</f>
        <v/>
      </c>
      <c r="KQ70" s="402">
        <f>IF(AND(299&gt;=$NR$70,299&lt;=$NS$70),IF($NP$70="Single_Point",IF(299=$NR$70,$NN$70,0),IF($NP$70="Bell_Curve",$NN$70*(299-$NR$70+1)*($NS$70-299+1)/$NU$70,$NN$70/$NT$70)),0)</f>
        <v/>
      </c>
      <c r="KR70" s="402">
        <f>IF(AND(300&gt;=$NR$70,300&lt;=$NS$70),IF($NP$70="Single_Point",IF(300=$NR$70,$NN$70,0),IF($NP$70="Bell_Curve",$NN$70*(300-$NR$70+1)*($NS$70-300+1)/$NU$70,$NN$70/$NT$70)),0)</f>
        <v/>
      </c>
      <c r="KS70" s="402">
        <f>IF(AND(301&gt;=$NR$70,301&lt;=$NS$70),IF($NP$70="Single_Point",IF(301=$NR$70,$NN$70,0),IF($NP$70="Bell_Curve",$NN$70*(301-$NR$70+1)*($NS$70-301+1)/$NU$70,$NN$70/$NT$70)),0)</f>
        <v/>
      </c>
      <c r="KT70" s="402">
        <f>IF(AND(302&gt;=$NR$70,302&lt;=$NS$70),IF($NP$70="Single_Point",IF(302=$NR$70,$NN$70,0),IF($NP$70="Bell_Curve",$NN$70*(302-$NR$70+1)*($NS$70-302+1)/$NU$70,$NN$70/$NT$70)),0)</f>
        <v/>
      </c>
      <c r="KU70" s="402">
        <f>IF(AND(303&gt;=$NR$70,303&lt;=$NS$70),IF($NP$70="Single_Point",IF(303=$NR$70,$NN$70,0),IF($NP$70="Bell_Curve",$NN$70*(303-$NR$70+1)*($NS$70-303+1)/$NU$70,$NN$70/$NT$70)),0)</f>
        <v/>
      </c>
      <c r="KV70" s="402">
        <f>IF(AND(304&gt;=$NR$70,304&lt;=$NS$70),IF($NP$70="Single_Point",IF(304=$NR$70,$NN$70,0),IF($NP$70="Bell_Curve",$NN$70*(304-$NR$70+1)*($NS$70-304+1)/$NU$70,$NN$70/$NT$70)),0)</f>
        <v/>
      </c>
      <c r="KW70" s="402">
        <f>IF(AND(305&gt;=$NR$70,305&lt;=$NS$70),IF($NP$70="Single_Point",IF(305=$NR$70,$NN$70,0),IF($NP$70="Bell_Curve",$NN$70*(305-$NR$70+1)*($NS$70-305+1)/$NU$70,$NN$70/$NT$70)),0)</f>
        <v/>
      </c>
      <c r="KX70" s="402">
        <f>IF(AND(306&gt;=$NR$70,306&lt;=$NS$70),IF($NP$70="Single_Point",IF(306=$NR$70,$NN$70,0),IF($NP$70="Bell_Curve",$NN$70*(306-$NR$70+1)*($NS$70-306+1)/$NU$70,$NN$70/$NT$70)),0)</f>
        <v/>
      </c>
      <c r="KY70" s="402">
        <f>IF(AND(307&gt;=$NR$70,307&lt;=$NS$70),IF($NP$70="Single_Point",IF(307=$NR$70,$NN$70,0),IF($NP$70="Bell_Curve",$NN$70*(307-$NR$70+1)*($NS$70-307+1)/$NU$70,$NN$70/$NT$70)),0)</f>
        <v/>
      </c>
      <c r="KZ70" s="402">
        <f>IF(AND(308&gt;=$NR$70,308&lt;=$NS$70),IF($NP$70="Single_Point",IF(308=$NR$70,$NN$70,0),IF($NP$70="Bell_Curve",$NN$70*(308-$NR$70+1)*($NS$70-308+1)/$NU$70,$NN$70/$NT$70)),0)</f>
        <v/>
      </c>
      <c r="LA70" s="402">
        <f>IF(AND(309&gt;=$NR$70,309&lt;=$NS$70),IF($NP$70="Single_Point",IF(309=$NR$70,$NN$70,0),IF($NP$70="Bell_Curve",$NN$70*(309-$NR$70+1)*($NS$70-309+1)/$NU$70,$NN$70/$NT$70)),0)</f>
        <v/>
      </c>
      <c r="LB70" s="402">
        <f>IF(AND(310&gt;=$NR$70,310&lt;=$NS$70),IF($NP$70="Single_Point",IF(310=$NR$70,$NN$70,0),IF($NP$70="Bell_Curve",$NN$70*(310-$NR$70+1)*($NS$70-310+1)/$NU$70,$NN$70/$NT$70)),0)</f>
        <v/>
      </c>
      <c r="LC70" s="402">
        <f>IF(AND(311&gt;=$NR$70,311&lt;=$NS$70),IF($NP$70="Single_Point",IF(311=$NR$70,$NN$70,0),IF($NP$70="Bell_Curve",$NN$70*(311-$NR$70+1)*($NS$70-311+1)/$NU$70,$NN$70/$NT$70)),0)</f>
        <v/>
      </c>
      <c r="LD70" s="402">
        <f>IF(AND(312&gt;=$NR$70,312&lt;=$NS$70),IF($NP$70="Single_Point",IF(312=$NR$70,$NN$70,0),IF($NP$70="Bell_Curve",$NN$70*(312-$NR$70+1)*($NS$70-312+1)/$NU$70,$NN$70/$NT$70)),0)</f>
        <v/>
      </c>
      <c r="LE70" s="402">
        <f>IF(AND(313&gt;=$NR$70,313&lt;=$NS$70),IF($NP$70="Single_Point",IF(313=$NR$70,$NN$70,0),IF($NP$70="Bell_Curve",$NN$70*(313-$NR$70+1)*($NS$70-313+1)/$NU$70,$NN$70/$NT$70)),0)</f>
        <v/>
      </c>
      <c r="LF70" s="402">
        <f>IF(AND(314&gt;=$NR$70,314&lt;=$NS$70),IF($NP$70="Single_Point",IF(314=$NR$70,$NN$70,0),IF($NP$70="Bell_Curve",$NN$70*(314-$NR$70+1)*($NS$70-314+1)/$NU$70,$NN$70/$NT$70)),0)</f>
        <v/>
      </c>
      <c r="LG70" s="402">
        <f>IF(AND(315&gt;=$NR$70,315&lt;=$NS$70),IF($NP$70="Single_Point",IF(315=$NR$70,$NN$70,0),IF($NP$70="Bell_Curve",$NN$70*(315-$NR$70+1)*($NS$70-315+1)/$NU$70,$NN$70/$NT$70)),0)</f>
        <v/>
      </c>
      <c r="LH70" s="402">
        <f>IF(AND(316&gt;=$NR$70,316&lt;=$NS$70),IF($NP$70="Single_Point",IF(316=$NR$70,$NN$70,0),IF($NP$70="Bell_Curve",$NN$70*(316-$NR$70+1)*($NS$70-316+1)/$NU$70,$NN$70/$NT$70)),0)</f>
        <v/>
      </c>
      <c r="LI70" s="402">
        <f>IF(AND(317&gt;=$NR$70,317&lt;=$NS$70),IF($NP$70="Single_Point",IF(317=$NR$70,$NN$70,0),IF($NP$70="Bell_Curve",$NN$70*(317-$NR$70+1)*($NS$70-317+1)/$NU$70,$NN$70/$NT$70)),0)</f>
        <v/>
      </c>
      <c r="LJ70" s="402">
        <f>IF(AND(318&gt;=$NR$70,318&lt;=$NS$70),IF($NP$70="Single_Point",IF(318=$NR$70,$NN$70,0),IF($NP$70="Bell_Curve",$NN$70*(318-$NR$70+1)*($NS$70-318+1)/$NU$70,$NN$70/$NT$70)),0)</f>
        <v/>
      </c>
      <c r="LK70" s="402">
        <f>IF(AND(319&gt;=$NR$70,319&lt;=$NS$70),IF($NP$70="Single_Point",IF(319=$NR$70,$NN$70,0),IF($NP$70="Bell_Curve",$NN$70*(319-$NR$70+1)*($NS$70-319+1)/$NU$70,$NN$70/$NT$70)),0)</f>
        <v/>
      </c>
      <c r="LL70" s="402">
        <f>IF(AND(320&gt;=$NR$70,320&lt;=$NS$70),IF($NP$70="Single_Point",IF(320=$NR$70,$NN$70,0),IF($NP$70="Bell_Curve",$NN$70*(320-$NR$70+1)*($NS$70-320+1)/$NU$70,$NN$70/$NT$70)),0)</f>
        <v/>
      </c>
      <c r="LM70" s="402">
        <f>IF(AND(321&gt;=$NR$70,321&lt;=$NS$70),IF($NP$70="Single_Point",IF(321=$NR$70,$NN$70,0),IF($NP$70="Bell_Curve",$NN$70*(321-$NR$70+1)*($NS$70-321+1)/$NU$70,$NN$70/$NT$70)),0)</f>
        <v/>
      </c>
      <c r="LN70" s="402">
        <f>IF(AND(322&gt;=$NR$70,322&lt;=$NS$70),IF($NP$70="Single_Point",IF(322=$NR$70,$NN$70,0),IF($NP$70="Bell_Curve",$NN$70*(322-$NR$70+1)*($NS$70-322+1)/$NU$70,$NN$70/$NT$70)),0)</f>
        <v/>
      </c>
      <c r="LO70" s="402">
        <f>IF(AND(323&gt;=$NR$70,323&lt;=$NS$70),IF($NP$70="Single_Point",IF(323=$NR$70,$NN$70,0),IF($NP$70="Bell_Curve",$NN$70*(323-$NR$70+1)*($NS$70-323+1)/$NU$70,$NN$70/$NT$70)),0)</f>
        <v/>
      </c>
      <c r="LP70" s="402">
        <f>IF(AND(324&gt;=$NR$70,324&lt;=$NS$70),IF($NP$70="Single_Point",IF(324=$NR$70,$NN$70,0),IF($NP$70="Bell_Curve",$NN$70*(324-$NR$70+1)*($NS$70-324+1)/$NU$70,$NN$70/$NT$70)),0)</f>
        <v/>
      </c>
      <c r="LQ70" s="402">
        <f>IF(AND(325&gt;=$NR$70,325&lt;=$NS$70),IF($NP$70="Single_Point",IF(325=$NR$70,$NN$70,0),IF($NP$70="Bell_Curve",$NN$70*(325-$NR$70+1)*($NS$70-325+1)/$NU$70,$NN$70/$NT$70)),0)</f>
        <v/>
      </c>
      <c r="LR70" s="402">
        <f>IF(AND(326&gt;=$NR$70,326&lt;=$NS$70),IF($NP$70="Single_Point",IF(326=$NR$70,$NN$70,0),IF($NP$70="Bell_Curve",$NN$70*(326-$NR$70+1)*($NS$70-326+1)/$NU$70,$NN$70/$NT$70)),0)</f>
        <v/>
      </c>
      <c r="LS70" s="402">
        <f>IF(AND(327&gt;=$NR$70,327&lt;=$NS$70),IF($NP$70="Single_Point",IF(327=$NR$70,$NN$70,0),IF($NP$70="Bell_Curve",$NN$70*(327-$NR$70+1)*($NS$70-327+1)/$NU$70,$NN$70/$NT$70)),0)</f>
        <v/>
      </c>
      <c r="LT70" s="402">
        <f>IF(AND(328&gt;=$NR$70,328&lt;=$NS$70),IF($NP$70="Single_Point",IF(328=$NR$70,$NN$70,0),IF($NP$70="Bell_Curve",$NN$70*(328-$NR$70+1)*($NS$70-328+1)/$NU$70,$NN$70/$NT$70)),0)</f>
        <v/>
      </c>
      <c r="LU70" s="402">
        <f>IF(AND(329&gt;=$NR$70,329&lt;=$NS$70),IF($NP$70="Single_Point",IF(329=$NR$70,$NN$70,0),IF($NP$70="Bell_Curve",$NN$70*(329-$NR$70+1)*($NS$70-329+1)/$NU$70,$NN$70/$NT$70)),0)</f>
        <v/>
      </c>
      <c r="LV70" s="402">
        <f>IF(AND(330&gt;=$NR$70,330&lt;=$NS$70),IF($NP$70="Single_Point",IF(330=$NR$70,$NN$70,0),IF($NP$70="Bell_Curve",$NN$70*(330-$NR$70+1)*($NS$70-330+1)/$NU$70,$NN$70/$NT$70)),0)</f>
        <v/>
      </c>
      <c r="LW70" s="402">
        <f>IF(AND(331&gt;=$NR$70,331&lt;=$NS$70),IF($NP$70="Single_Point",IF(331=$NR$70,$NN$70,0),IF($NP$70="Bell_Curve",$NN$70*(331-$NR$70+1)*($NS$70-331+1)/$NU$70,$NN$70/$NT$70)),0)</f>
        <v/>
      </c>
      <c r="LX70" s="402">
        <f>IF(AND(332&gt;=$NR$70,332&lt;=$NS$70),IF($NP$70="Single_Point",IF(332=$NR$70,$NN$70,0),IF($NP$70="Bell_Curve",$NN$70*(332-$NR$70+1)*($NS$70-332+1)/$NU$70,$NN$70/$NT$70)),0)</f>
        <v/>
      </c>
      <c r="LY70" s="402">
        <f>IF(AND(333&gt;=$NR$70,333&lt;=$NS$70),IF($NP$70="Single_Point",IF(333=$NR$70,$NN$70,0),IF($NP$70="Bell_Curve",$NN$70*(333-$NR$70+1)*($NS$70-333+1)/$NU$70,$NN$70/$NT$70)),0)</f>
        <v/>
      </c>
      <c r="LZ70" s="402">
        <f>IF(AND(334&gt;=$NR$70,334&lt;=$NS$70),IF($NP$70="Single_Point",IF(334=$NR$70,$NN$70,0),IF($NP$70="Bell_Curve",$NN$70*(334-$NR$70+1)*($NS$70-334+1)/$NU$70,$NN$70/$NT$70)),0)</f>
        <v/>
      </c>
      <c r="MA70" s="402">
        <f>IF(AND(335&gt;=$NR$70,335&lt;=$NS$70),IF($NP$70="Single_Point",IF(335=$NR$70,$NN$70,0),IF($NP$70="Bell_Curve",$NN$70*(335-$NR$70+1)*($NS$70-335+1)/$NU$70,$NN$70/$NT$70)),0)</f>
        <v/>
      </c>
      <c r="MB70" s="402">
        <f>IF(AND(336&gt;=$NR$70,336&lt;=$NS$70),IF($NP$70="Single_Point",IF(336=$NR$70,$NN$70,0),IF($NP$70="Bell_Curve",$NN$70*(336-$NR$70+1)*($NS$70-336+1)/$NU$70,$NN$70/$NT$70)),0)</f>
        <v/>
      </c>
      <c r="MC70" s="402">
        <f>IF(AND(337&gt;=$NR$70,337&lt;=$NS$70),IF($NP$70="Single_Point",IF(337=$NR$70,$NN$70,0),IF($NP$70="Bell_Curve",$NN$70*(337-$NR$70+1)*($NS$70-337+1)/$NU$70,$NN$70/$NT$70)),0)</f>
        <v/>
      </c>
      <c r="MD70" s="402">
        <f>IF(AND(338&gt;=$NR$70,338&lt;=$NS$70),IF($NP$70="Single_Point",IF(338=$NR$70,$NN$70,0),IF($NP$70="Bell_Curve",$NN$70*(338-$NR$70+1)*($NS$70-338+1)/$NU$70,$NN$70/$NT$70)),0)</f>
        <v/>
      </c>
      <c r="ME70" s="402">
        <f>IF(AND(339&gt;=$NR$70,339&lt;=$NS$70),IF($NP$70="Single_Point",IF(339=$NR$70,$NN$70,0),IF($NP$70="Bell_Curve",$NN$70*(339-$NR$70+1)*($NS$70-339+1)/$NU$70,$NN$70/$NT$70)),0)</f>
        <v/>
      </c>
      <c r="MF70" s="402">
        <f>IF(AND(340&gt;=$NR$70,340&lt;=$NS$70),IF($NP$70="Single_Point",IF(340=$NR$70,$NN$70,0),IF($NP$70="Bell_Curve",$NN$70*(340-$NR$70+1)*($NS$70-340+1)/$NU$70,$NN$70/$NT$70)),0)</f>
        <v/>
      </c>
      <c r="MG70" s="402">
        <f>IF(AND(341&gt;=$NR$70,341&lt;=$NS$70),IF($NP$70="Single_Point",IF(341=$NR$70,$NN$70,0),IF($NP$70="Bell_Curve",$NN$70*(341-$NR$70+1)*($NS$70-341+1)/$NU$70,$NN$70/$NT$70)),0)</f>
        <v/>
      </c>
      <c r="MH70" s="402">
        <f>IF(AND(342&gt;=$NR$70,342&lt;=$NS$70),IF($NP$70="Single_Point",IF(342=$NR$70,$NN$70,0),IF($NP$70="Bell_Curve",$NN$70*(342-$NR$70+1)*($NS$70-342+1)/$NU$70,$NN$70/$NT$70)),0)</f>
        <v/>
      </c>
      <c r="MI70" s="402">
        <f>IF(AND(343&gt;=$NR$70,343&lt;=$NS$70),IF($NP$70="Single_Point",IF(343=$NR$70,$NN$70,0),IF($NP$70="Bell_Curve",$NN$70*(343-$NR$70+1)*($NS$70-343+1)/$NU$70,$NN$70/$NT$70)),0)</f>
        <v/>
      </c>
      <c r="MJ70" s="402">
        <f>IF(AND(344&gt;=$NR$70,344&lt;=$NS$70),IF($NP$70="Single_Point",IF(344=$NR$70,$NN$70,0),IF($NP$70="Bell_Curve",$NN$70*(344-$NR$70+1)*($NS$70-344+1)/$NU$70,$NN$70/$NT$70)),0)</f>
        <v/>
      </c>
      <c r="MK70" s="402">
        <f>IF(AND(345&gt;=$NR$70,345&lt;=$NS$70),IF($NP$70="Single_Point",IF(345=$NR$70,$NN$70,0),IF($NP$70="Bell_Curve",$NN$70*(345-$NR$70+1)*($NS$70-345+1)/$NU$70,$NN$70/$NT$70)),0)</f>
        <v/>
      </c>
      <c r="ML70" s="402">
        <f>IF(AND(346&gt;=$NR$70,346&lt;=$NS$70),IF($NP$70="Single_Point",IF(346=$NR$70,$NN$70,0),IF($NP$70="Bell_Curve",$NN$70*(346-$NR$70+1)*($NS$70-346+1)/$NU$70,$NN$70/$NT$70)),0)</f>
        <v/>
      </c>
      <c r="MM70" s="402">
        <f>IF(AND(347&gt;=$NR$70,347&lt;=$NS$70),IF($NP$70="Single_Point",IF(347=$NR$70,$NN$70,0),IF($NP$70="Bell_Curve",$NN$70*(347-$NR$70+1)*($NS$70-347+1)/$NU$70,$NN$70/$NT$70)),0)</f>
        <v/>
      </c>
      <c r="MN70" s="402">
        <f>IF(AND(348&gt;=$NR$70,348&lt;=$NS$70),IF($NP$70="Single_Point",IF(348=$NR$70,$NN$70,0),IF($NP$70="Bell_Curve",$NN$70*(348-$NR$70+1)*($NS$70-348+1)/$NU$70,$NN$70/$NT$70)),0)</f>
        <v/>
      </c>
      <c r="MO70" s="402">
        <f>IF(AND(349&gt;=$NR$70,349&lt;=$NS$70),IF($NP$70="Single_Point",IF(349=$NR$70,$NN$70,0),IF($NP$70="Bell_Curve",$NN$70*(349-$NR$70+1)*($NS$70-349+1)/$NU$70,$NN$70/$NT$70)),0)</f>
        <v/>
      </c>
      <c r="MP70" s="402">
        <f>IF(AND(350&gt;=$NR$70,350&lt;=$NS$70),IF($NP$70="Single_Point",IF(350=$NR$70,$NN$70,0),IF($NP$70="Bell_Curve",$NN$70*(350-$NR$70+1)*($NS$70-350+1)/$NU$70,$NN$70/$NT$70)),0)</f>
        <v/>
      </c>
      <c r="MQ70" s="402">
        <f>IF(AND(351&gt;=$NR$70,351&lt;=$NS$70),IF($NP$70="Single_Point",IF(351=$NR$70,$NN$70,0),IF($NP$70="Bell_Curve",$NN$70*(351-$NR$70+1)*($NS$70-351+1)/$NU$70,$NN$70/$NT$70)),0)</f>
        <v/>
      </c>
      <c r="MR70" s="402">
        <f>IF(AND(352&gt;=$NR$70,352&lt;=$NS$70),IF($NP$70="Single_Point",IF(352=$NR$70,$NN$70,0),IF($NP$70="Bell_Curve",$NN$70*(352-$NR$70+1)*($NS$70-352+1)/$NU$70,$NN$70/$NT$70)),0)</f>
        <v/>
      </c>
      <c r="MS70" s="402">
        <f>IF(AND(353&gt;=$NR$70,353&lt;=$NS$70),IF($NP$70="Single_Point",IF(353=$NR$70,$NN$70,0),IF($NP$70="Bell_Curve",$NN$70*(353-$NR$70+1)*($NS$70-353+1)/$NU$70,$NN$70/$NT$70)),0)</f>
        <v/>
      </c>
      <c r="MT70" s="402">
        <f>IF(AND(354&gt;=$NR$70,354&lt;=$NS$70),IF($NP$70="Single_Point",IF(354=$NR$70,$NN$70,0),IF($NP$70="Bell_Curve",$NN$70*(354-$NR$70+1)*($NS$70-354+1)/$NU$70,$NN$70/$NT$70)),0)</f>
        <v/>
      </c>
      <c r="MU70" s="402">
        <f>IF(AND(355&gt;=$NR$70,355&lt;=$NS$70),IF($NP$70="Single_Point",IF(355=$NR$70,$NN$70,0),IF($NP$70="Bell_Curve",$NN$70*(355-$NR$70+1)*($NS$70-355+1)/$NU$70,$NN$70/$NT$70)),0)</f>
        <v/>
      </c>
      <c r="MV70" s="402">
        <f>IF(AND(356&gt;=$NR$70,356&lt;=$NS$70),IF($NP$70="Single_Point",IF(356=$NR$70,$NN$70,0),IF($NP$70="Bell_Curve",$NN$70*(356-$NR$70+1)*($NS$70-356+1)/$NU$70,$NN$70/$NT$70)),0)</f>
        <v/>
      </c>
      <c r="MW70" s="402">
        <f>IF(AND(357&gt;=$NR$70,357&lt;=$NS$70),IF($NP$70="Single_Point",IF(357=$NR$70,$NN$70,0),IF($NP$70="Bell_Curve",$NN$70*(357-$NR$70+1)*($NS$70-357+1)/$NU$70,$NN$70/$NT$70)),0)</f>
        <v/>
      </c>
      <c r="MX70" s="402">
        <f>IF(AND(358&gt;=$NR$70,358&lt;=$NS$70),IF($NP$70="Single_Point",IF(358=$NR$70,$NN$70,0),IF($NP$70="Bell_Curve",$NN$70*(358-$NR$70+1)*($NS$70-358+1)/$NU$70,$NN$70/$NT$70)),0)</f>
        <v/>
      </c>
      <c r="MY70" s="402">
        <f>IF(AND(359&gt;=$NR$70,359&lt;=$NS$70),IF($NP$70="Single_Point",IF(359=$NR$70,$NN$70,0),IF($NP$70="Bell_Curve",$NN$70*(359-$NR$70+1)*($NS$70-359+1)/$NU$70,$NN$70/$NT$70)),0)</f>
        <v/>
      </c>
      <c r="MZ70" s="402">
        <f>IF(AND(360&gt;=$NR$70,360&lt;=$NS$70),IF($NP$70="Single_Point",IF(360=$NR$70,$NN$70,0),IF($NP$70="Bell_Curve",$NN$70*(360-$NR$70+1)*($NS$70-360+1)/$NU$70,$NN$70/$NT$70)),0)</f>
        <v/>
      </c>
      <c r="NA70" s="402">
        <f>IF(AND(361&gt;=$NR$70,361&lt;=$NS$70),IF($NP$70="Single_Point",IF(361=$NR$70,$NN$70,0),IF($NP$70="Bell_Curve",$NN$70*(361-$NR$70+1)*($NS$70-361+1)/$NU$70,$NN$70/$NT$70)),0)</f>
        <v/>
      </c>
      <c r="NB70" s="402">
        <f>IF(AND(362&gt;=$NR$70,362&lt;=$NS$70),IF($NP$70="Single_Point",IF(362=$NR$70,$NN$70,0),IF($NP$70="Bell_Curve",$NN$70*(362-$NR$70+1)*($NS$70-362+1)/$NU$70,$NN$70/$NT$70)),0)</f>
        <v/>
      </c>
      <c r="NC70" s="402">
        <f>IF(AND(363&gt;=$NR$70,363&lt;=$NS$70),IF($NP$70="Single_Point",IF(363=$NR$70,$NN$70,0),IF($NP$70="Bell_Curve",$NN$70*(363-$NR$70+1)*($NS$70-363+1)/$NU$70,$NN$70/$NT$70)),0)</f>
        <v/>
      </c>
      <c r="ND70" s="402">
        <f>IF(AND(364&gt;=$NR$70,364&lt;=$NS$70),IF($NP$70="Single_Point",IF(364=$NR$70,$NN$70,0),IF($NP$70="Bell_Curve",$NN$70*(364-$NR$70+1)*($NS$70-364+1)/$NU$70,$NN$70/$NT$70)),0)</f>
        <v/>
      </c>
      <c r="NE70" s="402">
        <f>IF(AND(365&gt;=$NR$70,365&lt;=$NS$70),IF($NP$70="Single_Point",IF(365=$NR$70,$NN$70,0),IF($NP$70="Bell_Curve",$NN$70*(365-$NR$70+1)*($NS$70-365+1)/$NU$70,$NN$70/$NT$70)),0)</f>
        <v/>
      </c>
      <c r="NF70" s="402">
        <f>IF(AND(366&gt;=$NR$70,366&lt;=$NS$70),IF($NP$70="Single_Point",IF(366=$NR$70,$NN$70,0),IF($NP$70="Bell_Curve",$NN$70*(366-$NR$70+1)*($NS$70-366+1)/$NU$70,$NN$70/$NT$70)),0)</f>
        <v/>
      </c>
      <c r="NG70" s="402">
        <f>IF(AND(367&gt;=$NR$70,367&lt;=$NS$70),IF($NP$70="Single_Point",IF(367=$NR$70,$NN$70,0),IF($NP$70="Bell_Curve",$NN$70*(367-$NR$70+1)*($NS$70-367+1)/$NU$70,$NN$70/$NT$70)),0)</f>
        <v/>
      </c>
      <c r="NH70" s="402">
        <f>IF(AND(368&gt;=$NR$70,368&lt;=$NS$70),IF($NP$70="Single_Point",IF(368=$NR$70,$NN$70,0),IF($NP$70="Bell_Curve",$NN$70*(368-$NR$70+1)*($NS$70-368+1)/$NU$70,$NN$70/$NT$70)),0)</f>
        <v/>
      </c>
      <c r="NI70" s="402">
        <f>IF(AND(369&gt;=$NR$70,369&lt;=$NS$70),IF($NP$70="Single_Point",IF(369=$NR$70,$NN$70,0),IF($NP$70="Bell_Curve",$NN$70*(369-$NR$70+1)*($NS$70-369+1)/$NU$70,$NN$70/$NT$70)),0)</f>
        <v/>
      </c>
      <c r="NJ70" s="402">
        <f>IF(AND(370&gt;=$NR$70,370&lt;=$NS$70),IF($NP$70="Single_Point",IF(370=$NR$70,$NN$70,0),IF($NP$70="Bell_Curve",$NN$70*(370-$NR$70+1)*($NS$70-370+1)/$NU$70,$NN$70/$NT$70)),0)</f>
        <v/>
      </c>
      <c r="NK70" s="402">
        <f>IF(AND(371&gt;=$NR$70,371&lt;=$NS$70),IF($NP$70="Single_Point",IF(371=$NR$70,$NN$70,0),IF($NP$70="Bell_Curve",$NN$70*(371-$NR$70+1)*($NS$70-371+1)/$NU$70,$NN$70/$NT$70)),0)</f>
        <v/>
      </c>
      <c r="NL70" s="402">
        <f>IF(AND(372&gt;=$NR$70,372&lt;=$NS$70),IF($NP$70="Single_Point",IF(372=$NR$70,$NN$70,0),IF($NP$70="Bell_Curve",$NN$70*(372-$NR$70+1)*($NS$70-372+1)/$NU$70,$NN$70/$NT$70)),0)</f>
        <v/>
      </c>
      <c r="NM70">
        <f>Budget!C69</f>
        <v/>
      </c>
      <c r="NN70">
        <f>Budget!J69</f>
        <v/>
      </c>
      <c r="NO70">
        <f>Budget!G69</f>
        <v/>
      </c>
      <c r="NP70">
        <f>Budget!H69</f>
        <v/>
      </c>
      <c r="NQ70">
        <f>Budget!I69</f>
        <v/>
      </c>
      <c r="NR70">
        <f>MAX(1,MIN(372,INDEX(MilestoneStart,MATCH(NO70,MilestoneNames,0))+NQ70))</f>
        <v/>
      </c>
      <c r="NS70">
        <f>MAX(NR70,MIN(372,INDEX(MilestoneEnd,MATCH(NO70,MilestoneNames,0))+NQ70))</f>
        <v/>
      </c>
      <c r="NT70">
        <f>NS70-NR70+1</f>
        <v/>
      </c>
      <c r="NU70">
        <f>NT70*(NT70+1)*(NT70+2)/6</f>
        <v/>
      </c>
    </row>
    <row r="71">
      <c r="B71" s="316">
        <f>Budget!B70</f>
        <v/>
      </c>
      <c r="D71" s="402">
        <f>SUM(E71:NL71)</f>
        <v/>
      </c>
      <c r="E71" s="402">
        <f>IF(AND(1&gt;=$NR$71,1&lt;=$NS$71),IF($NP$71="Single_Point",IF(1=$NR$71,$NN$71,0),IF($NP$71="Bell_Curve",$NN$71*(1-$NR$71+1)*($NS$71-1+1)/$NU$71,$NN$71/$NT$71)),0)</f>
        <v/>
      </c>
      <c r="F71" s="402">
        <f>IF(AND(2&gt;=$NR$71,2&lt;=$NS$71),IF($NP$71="Single_Point",IF(2=$NR$71,$NN$71,0),IF($NP$71="Bell_Curve",$NN$71*(2-$NR$71+1)*($NS$71-2+1)/$NU$71,$NN$71/$NT$71)),0)</f>
        <v/>
      </c>
      <c r="G71" s="402">
        <f>IF(AND(3&gt;=$NR$71,3&lt;=$NS$71),IF($NP$71="Single_Point",IF(3=$NR$71,$NN$71,0),IF($NP$71="Bell_Curve",$NN$71*(3-$NR$71+1)*($NS$71-3+1)/$NU$71,$NN$71/$NT$71)),0)</f>
        <v/>
      </c>
      <c r="H71" s="402">
        <f>IF(AND(4&gt;=$NR$71,4&lt;=$NS$71),IF($NP$71="Single_Point",IF(4=$NR$71,$NN$71,0),IF($NP$71="Bell_Curve",$NN$71*(4-$NR$71+1)*($NS$71-4+1)/$NU$71,$NN$71/$NT$71)),0)</f>
        <v/>
      </c>
      <c r="I71" s="402">
        <f>IF(AND(5&gt;=$NR$71,5&lt;=$NS$71),IF($NP$71="Single_Point",IF(5=$NR$71,$NN$71,0),IF($NP$71="Bell_Curve",$NN$71*(5-$NR$71+1)*($NS$71-5+1)/$NU$71,$NN$71/$NT$71)),0)</f>
        <v/>
      </c>
      <c r="J71" s="402">
        <f>IF(AND(6&gt;=$NR$71,6&lt;=$NS$71),IF($NP$71="Single_Point",IF(6=$NR$71,$NN$71,0),IF($NP$71="Bell_Curve",$NN$71*(6-$NR$71+1)*($NS$71-6+1)/$NU$71,$NN$71/$NT$71)),0)</f>
        <v/>
      </c>
      <c r="K71" s="402">
        <f>IF(AND(7&gt;=$NR$71,7&lt;=$NS$71),IF($NP$71="Single_Point",IF(7=$NR$71,$NN$71,0),IF($NP$71="Bell_Curve",$NN$71*(7-$NR$71+1)*($NS$71-7+1)/$NU$71,$NN$71/$NT$71)),0)</f>
        <v/>
      </c>
      <c r="L71" s="402">
        <f>IF(AND(8&gt;=$NR$71,8&lt;=$NS$71),IF($NP$71="Single_Point",IF(8=$NR$71,$NN$71,0),IF($NP$71="Bell_Curve",$NN$71*(8-$NR$71+1)*($NS$71-8+1)/$NU$71,$NN$71/$NT$71)),0)</f>
        <v/>
      </c>
      <c r="M71" s="402">
        <f>IF(AND(9&gt;=$NR$71,9&lt;=$NS$71),IF($NP$71="Single_Point",IF(9=$NR$71,$NN$71,0),IF($NP$71="Bell_Curve",$NN$71*(9-$NR$71+1)*($NS$71-9+1)/$NU$71,$NN$71/$NT$71)),0)</f>
        <v/>
      </c>
      <c r="N71" s="402">
        <f>IF(AND(10&gt;=$NR$71,10&lt;=$NS$71),IF($NP$71="Single_Point",IF(10=$NR$71,$NN$71,0),IF($NP$71="Bell_Curve",$NN$71*(10-$NR$71+1)*($NS$71-10+1)/$NU$71,$NN$71/$NT$71)),0)</f>
        <v/>
      </c>
      <c r="O71" s="402">
        <f>IF(AND(11&gt;=$NR$71,11&lt;=$NS$71),IF($NP$71="Single_Point",IF(11=$NR$71,$NN$71,0),IF($NP$71="Bell_Curve",$NN$71*(11-$NR$71+1)*($NS$71-11+1)/$NU$71,$NN$71/$NT$71)),0)</f>
        <v/>
      </c>
      <c r="P71" s="402">
        <f>IF(AND(12&gt;=$NR$71,12&lt;=$NS$71),IF($NP$71="Single_Point",IF(12=$NR$71,$NN$71,0),IF($NP$71="Bell_Curve",$NN$71*(12-$NR$71+1)*($NS$71-12+1)/$NU$71,$NN$71/$NT$71)),0)</f>
        <v/>
      </c>
      <c r="Q71" s="402">
        <f>IF(AND(13&gt;=$NR$71,13&lt;=$NS$71),IF($NP$71="Single_Point",IF(13=$NR$71,$NN$71,0),IF($NP$71="Bell_Curve",$NN$71*(13-$NR$71+1)*($NS$71-13+1)/$NU$71,$NN$71/$NT$71)),0)</f>
        <v/>
      </c>
      <c r="R71" s="402">
        <f>IF(AND(14&gt;=$NR$71,14&lt;=$NS$71),IF($NP$71="Single_Point",IF(14=$NR$71,$NN$71,0),IF($NP$71="Bell_Curve",$NN$71*(14-$NR$71+1)*($NS$71-14+1)/$NU$71,$NN$71/$NT$71)),0)</f>
        <v/>
      </c>
      <c r="S71" s="402">
        <f>IF(AND(15&gt;=$NR$71,15&lt;=$NS$71),IF($NP$71="Single_Point",IF(15=$NR$71,$NN$71,0),IF($NP$71="Bell_Curve",$NN$71*(15-$NR$71+1)*($NS$71-15+1)/$NU$71,$NN$71/$NT$71)),0)</f>
        <v/>
      </c>
      <c r="T71" s="402">
        <f>IF(AND(16&gt;=$NR$71,16&lt;=$NS$71),IF($NP$71="Single_Point",IF(16=$NR$71,$NN$71,0),IF($NP$71="Bell_Curve",$NN$71*(16-$NR$71+1)*($NS$71-16+1)/$NU$71,$NN$71/$NT$71)),0)</f>
        <v/>
      </c>
      <c r="U71" s="402">
        <f>IF(AND(17&gt;=$NR$71,17&lt;=$NS$71),IF($NP$71="Single_Point",IF(17=$NR$71,$NN$71,0),IF($NP$71="Bell_Curve",$NN$71*(17-$NR$71+1)*($NS$71-17+1)/$NU$71,$NN$71/$NT$71)),0)</f>
        <v/>
      </c>
      <c r="V71" s="402">
        <f>IF(AND(18&gt;=$NR$71,18&lt;=$NS$71),IF($NP$71="Single_Point",IF(18=$NR$71,$NN$71,0),IF($NP$71="Bell_Curve",$NN$71*(18-$NR$71+1)*($NS$71-18+1)/$NU$71,$NN$71/$NT$71)),0)</f>
        <v/>
      </c>
      <c r="W71" s="402">
        <f>IF(AND(19&gt;=$NR$71,19&lt;=$NS$71),IF($NP$71="Single_Point",IF(19=$NR$71,$NN$71,0),IF($NP$71="Bell_Curve",$NN$71*(19-$NR$71+1)*($NS$71-19+1)/$NU$71,$NN$71/$NT$71)),0)</f>
        <v/>
      </c>
      <c r="X71" s="402">
        <f>IF(AND(20&gt;=$NR$71,20&lt;=$NS$71),IF($NP$71="Single_Point",IF(20=$NR$71,$NN$71,0),IF($NP$71="Bell_Curve",$NN$71*(20-$NR$71+1)*($NS$71-20+1)/$NU$71,$NN$71/$NT$71)),0)</f>
        <v/>
      </c>
      <c r="Y71" s="402">
        <f>IF(AND(21&gt;=$NR$71,21&lt;=$NS$71),IF($NP$71="Single_Point",IF(21=$NR$71,$NN$71,0),IF($NP$71="Bell_Curve",$NN$71*(21-$NR$71+1)*($NS$71-21+1)/$NU$71,$NN$71/$NT$71)),0)</f>
        <v/>
      </c>
      <c r="Z71" s="402">
        <f>IF(AND(22&gt;=$NR$71,22&lt;=$NS$71),IF($NP$71="Single_Point",IF(22=$NR$71,$NN$71,0),IF($NP$71="Bell_Curve",$NN$71*(22-$NR$71+1)*($NS$71-22+1)/$NU$71,$NN$71/$NT$71)),0)</f>
        <v/>
      </c>
      <c r="AA71" s="402">
        <f>IF(AND(23&gt;=$NR$71,23&lt;=$NS$71),IF($NP$71="Single_Point",IF(23=$NR$71,$NN$71,0),IF($NP$71="Bell_Curve",$NN$71*(23-$NR$71+1)*($NS$71-23+1)/$NU$71,$NN$71/$NT$71)),0)</f>
        <v/>
      </c>
      <c r="AB71" s="402">
        <f>IF(AND(24&gt;=$NR$71,24&lt;=$NS$71),IF($NP$71="Single_Point",IF(24=$NR$71,$NN$71,0),IF($NP$71="Bell_Curve",$NN$71*(24-$NR$71+1)*($NS$71-24+1)/$NU$71,$NN$71/$NT$71)),0)</f>
        <v/>
      </c>
      <c r="AC71" s="402">
        <f>IF(AND(25&gt;=$NR$71,25&lt;=$NS$71),IF($NP$71="Single_Point",IF(25=$NR$71,$NN$71,0),IF($NP$71="Bell_Curve",$NN$71*(25-$NR$71+1)*($NS$71-25+1)/$NU$71,$NN$71/$NT$71)),0)</f>
        <v/>
      </c>
      <c r="AD71" s="402">
        <f>IF(AND(26&gt;=$NR$71,26&lt;=$NS$71),IF($NP$71="Single_Point",IF(26=$NR$71,$NN$71,0),IF($NP$71="Bell_Curve",$NN$71*(26-$NR$71+1)*($NS$71-26+1)/$NU$71,$NN$71/$NT$71)),0)</f>
        <v/>
      </c>
      <c r="AE71" s="402">
        <f>IF(AND(27&gt;=$NR$71,27&lt;=$NS$71),IF($NP$71="Single_Point",IF(27=$NR$71,$NN$71,0),IF($NP$71="Bell_Curve",$NN$71*(27-$NR$71+1)*($NS$71-27+1)/$NU$71,$NN$71/$NT$71)),0)</f>
        <v/>
      </c>
      <c r="AF71" s="402">
        <f>IF(AND(28&gt;=$NR$71,28&lt;=$NS$71),IF($NP$71="Single_Point",IF(28=$NR$71,$NN$71,0),IF($NP$71="Bell_Curve",$NN$71*(28-$NR$71+1)*($NS$71-28+1)/$NU$71,$NN$71/$NT$71)),0)</f>
        <v/>
      </c>
      <c r="AG71" s="402">
        <f>IF(AND(29&gt;=$NR$71,29&lt;=$NS$71),IF($NP$71="Single_Point",IF(29=$NR$71,$NN$71,0),IF($NP$71="Bell_Curve",$NN$71*(29-$NR$71+1)*($NS$71-29+1)/$NU$71,$NN$71/$NT$71)),0)</f>
        <v/>
      </c>
      <c r="AH71" s="402">
        <f>IF(AND(30&gt;=$NR$71,30&lt;=$NS$71),IF($NP$71="Single_Point",IF(30=$NR$71,$NN$71,0),IF($NP$71="Bell_Curve",$NN$71*(30-$NR$71+1)*($NS$71-30+1)/$NU$71,$NN$71/$NT$71)),0)</f>
        <v/>
      </c>
      <c r="AI71" s="402">
        <f>IF(AND(31&gt;=$NR$71,31&lt;=$NS$71),IF($NP$71="Single_Point",IF(31=$NR$71,$NN$71,0),IF($NP$71="Bell_Curve",$NN$71*(31-$NR$71+1)*($NS$71-31+1)/$NU$71,$NN$71/$NT$71)),0)</f>
        <v/>
      </c>
      <c r="AJ71" s="402">
        <f>IF(AND(32&gt;=$NR$71,32&lt;=$NS$71),IF($NP$71="Single_Point",IF(32=$NR$71,$NN$71,0),IF($NP$71="Bell_Curve",$NN$71*(32-$NR$71+1)*($NS$71-32+1)/$NU$71,$NN$71/$NT$71)),0)</f>
        <v/>
      </c>
      <c r="AK71" s="402">
        <f>IF(AND(33&gt;=$NR$71,33&lt;=$NS$71),IF($NP$71="Single_Point",IF(33=$NR$71,$NN$71,0),IF($NP$71="Bell_Curve",$NN$71*(33-$NR$71+1)*($NS$71-33+1)/$NU$71,$NN$71/$NT$71)),0)</f>
        <v/>
      </c>
      <c r="AL71" s="402">
        <f>IF(AND(34&gt;=$NR$71,34&lt;=$NS$71),IF($NP$71="Single_Point",IF(34=$NR$71,$NN$71,0),IF($NP$71="Bell_Curve",$NN$71*(34-$NR$71+1)*($NS$71-34+1)/$NU$71,$NN$71/$NT$71)),0)</f>
        <v/>
      </c>
      <c r="AM71" s="402">
        <f>IF(AND(35&gt;=$NR$71,35&lt;=$NS$71),IF($NP$71="Single_Point",IF(35=$NR$71,$NN$71,0),IF($NP$71="Bell_Curve",$NN$71*(35-$NR$71+1)*($NS$71-35+1)/$NU$71,$NN$71/$NT$71)),0)</f>
        <v/>
      </c>
      <c r="AN71" s="402">
        <f>IF(AND(36&gt;=$NR$71,36&lt;=$NS$71),IF($NP$71="Single_Point",IF(36=$NR$71,$NN$71,0),IF($NP$71="Bell_Curve",$NN$71*(36-$NR$71+1)*($NS$71-36+1)/$NU$71,$NN$71/$NT$71)),0)</f>
        <v/>
      </c>
      <c r="AO71" s="402">
        <f>IF(AND(37&gt;=$NR$71,37&lt;=$NS$71),IF($NP$71="Single_Point",IF(37=$NR$71,$NN$71,0),IF($NP$71="Bell_Curve",$NN$71*(37-$NR$71+1)*($NS$71-37+1)/$NU$71,$NN$71/$NT$71)),0)</f>
        <v/>
      </c>
      <c r="AP71" s="402">
        <f>IF(AND(38&gt;=$NR$71,38&lt;=$NS$71),IF($NP$71="Single_Point",IF(38=$NR$71,$NN$71,0),IF($NP$71="Bell_Curve",$NN$71*(38-$NR$71+1)*($NS$71-38+1)/$NU$71,$NN$71/$NT$71)),0)</f>
        <v/>
      </c>
      <c r="AQ71" s="402">
        <f>IF(AND(39&gt;=$NR$71,39&lt;=$NS$71),IF($NP$71="Single_Point",IF(39=$NR$71,$NN$71,0),IF($NP$71="Bell_Curve",$NN$71*(39-$NR$71+1)*($NS$71-39+1)/$NU$71,$NN$71/$NT$71)),0)</f>
        <v/>
      </c>
      <c r="AR71" s="402">
        <f>IF(AND(40&gt;=$NR$71,40&lt;=$NS$71),IF($NP$71="Single_Point",IF(40=$NR$71,$NN$71,0),IF($NP$71="Bell_Curve",$NN$71*(40-$NR$71+1)*($NS$71-40+1)/$NU$71,$NN$71/$NT$71)),0)</f>
        <v/>
      </c>
      <c r="AS71" s="402">
        <f>IF(AND(41&gt;=$NR$71,41&lt;=$NS$71),IF($NP$71="Single_Point",IF(41=$NR$71,$NN$71,0),IF($NP$71="Bell_Curve",$NN$71*(41-$NR$71+1)*($NS$71-41+1)/$NU$71,$NN$71/$NT$71)),0)</f>
        <v/>
      </c>
      <c r="AT71" s="402">
        <f>IF(AND(42&gt;=$NR$71,42&lt;=$NS$71),IF($NP$71="Single_Point",IF(42=$NR$71,$NN$71,0),IF($NP$71="Bell_Curve",$NN$71*(42-$NR$71+1)*($NS$71-42+1)/$NU$71,$NN$71/$NT$71)),0)</f>
        <v/>
      </c>
      <c r="AU71" s="402">
        <f>IF(AND(43&gt;=$NR$71,43&lt;=$NS$71),IF($NP$71="Single_Point",IF(43=$NR$71,$NN$71,0),IF($NP$71="Bell_Curve",$NN$71*(43-$NR$71+1)*($NS$71-43+1)/$NU$71,$NN$71/$NT$71)),0)</f>
        <v/>
      </c>
      <c r="AV71" s="402">
        <f>IF(AND(44&gt;=$NR$71,44&lt;=$NS$71),IF($NP$71="Single_Point",IF(44=$NR$71,$NN$71,0),IF($NP$71="Bell_Curve",$NN$71*(44-$NR$71+1)*($NS$71-44+1)/$NU$71,$NN$71/$NT$71)),0)</f>
        <v/>
      </c>
      <c r="AW71" s="402">
        <f>IF(AND(45&gt;=$NR$71,45&lt;=$NS$71),IF($NP$71="Single_Point",IF(45=$NR$71,$NN$71,0),IF($NP$71="Bell_Curve",$NN$71*(45-$NR$71+1)*($NS$71-45+1)/$NU$71,$NN$71/$NT$71)),0)</f>
        <v/>
      </c>
      <c r="AX71" s="402">
        <f>IF(AND(46&gt;=$NR$71,46&lt;=$NS$71),IF($NP$71="Single_Point",IF(46=$NR$71,$NN$71,0),IF($NP$71="Bell_Curve",$NN$71*(46-$NR$71+1)*($NS$71-46+1)/$NU$71,$NN$71/$NT$71)),0)</f>
        <v/>
      </c>
      <c r="AY71" s="402">
        <f>IF(AND(47&gt;=$NR$71,47&lt;=$NS$71),IF($NP$71="Single_Point",IF(47=$NR$71,$NN$71,0),IF($NP$71="Bell_Curve",$NN$71*(47-$NR$71+1)*($NS$71-47+1)/$NU$71,$NN$71/$NT$71)),0)</f>
        <v/>
      </c>
      <c r="AZ71" s="402">
        <f>IF(AND(48&gt;=$NR$71,48&lt;=$NS$71),IF($NP$71="Single_Point",IF(48=$NR$71,$NN$71,0),IF($NP$71="Bell_Curve",$NN$71*(48-$NR$71+1)*($NS$71-48+1)/$NU$71,$NN$71/$NT$71)),0)</f>
        <v/>
      </c>
      <c r="BA71" s="402">
        <f>IF(AND(49&gt;=$NR$71,49&lt;=$NS$71),IF($NP$71="Single_Point",IF(49=$NR$71,$NN$71,0),IF($NP$71="Bell_Curve",$NN$71*(49-$NR$71+1)*($NS$71-49+1)/$NU$71,$NN$71/$NT$71)),0)</f>
        <v/>
      </c>
      <c r="BB71" s="402">
        <f>IF(AND(50&gt;=$NR$71,50&lt;=$NS$71),IF($NP$71="Single_Point",IF(50=$NR$71,$NN$71,0),IF($NP$71="Bell_Curve",$NN$71*(50-$NR$71+1)*($NS$71-50+1)/$NU$71,$NN$71/$NT$71)),0)</f>
        <v/>
      </c>
      <c r="BC71" s="402">
        <f>IF(AND(51&gt;=$NR$71,51&lt;=$NS$71),IF($NP$71="Single_Point",IF(51=$NR$71,$NN$71,0),IF($NP$71="Bell_Curve",$NN$71*(51-$NR$71+1)*($NS$71-51+1)/$NU$71,$NN$71/$NT$71)),0)</f>
        <v/>
      </c>
      <c r="BD71" s="402">
        <f>IF(AND(52&gt;=$NR$71,52&lt;=$NS$71),IF($NP$71="Single_Point",IF(52=$NR$71,$NN$71,0),IF($NP$71="Bell_Curve",$NN$71*(52-$NR$71+1)*($NS$71-52+1)/$NU$71,$NN$71/$NT$71)),0)</f>
        <v/>
      </c>
      <c r="BE71" s="402">
        <f>IF(AND(53&gt;=$NR$71,53&lt;=$NS$71),IF($NP$71="Single_Point",IF(53=$NR$71,$NN$71,0),IF($NP$71="Bell_Curve",$NN$71*(53-$NR$71+1)*($NS$71-53+1)/$NU$71,$NN$71/$NT$71)),0)</f>
        <v/>
      </c>
      <c r="BF71" s="402">
        <f>IF(AND(54&gt;=$NR$71,54&lt;=$NS$71),IF($NP$71="Single_Point",IF(54=$NR$71,$NN$71,0),IF($NP$71="Bell_Curve",$NN$71*(54-$NR$71+1)*($NS$71-54+1)/$NU$71,$NN$71/$NT$71)),0)</f>
        <v/>
      </c>
      <c r="BG71" s="402">
        <f>IF(AND(55&gt;=$NR$71,55&lt;=$NS$71),IF($NP$71="Single_Point",IF(55=$NR$71,$NN$71,0),IF($NP$71="Bell_Curve",$NN$71*(55-$NR$71+1)*($NS$71-55+1)/$NU$71,$NN$71/$NT$71)),0)</f>
        <v/>
      </c>
      <c r="BH71" s="402">
        <f>IF(AND(56&gt;=$NR$71,56&lt;=$NS$71),IF($NP$71="Single_Point",IF(56=$NR$71,$NN$71,0),IF($NP$71="Bell_Curve",$NN$71*(56-$NR$71+1)*($NS$71-56+1)/$NU$71,$NN$71/$NT$71)),0)</f>
        <v/>
      </c>
      <c r="BI71" s="402">
        <f>IF(AND(57&gt;=$NR$71,57&lt;=$NS$71),IF($NP$71="Single_Point",IF(57=$NR$71,$NN$71,0),IF($NP$71="Bell_Curve",$NN$71*(57-$NR$71+1)*($NS$71-57+1)/$NU$71,$NN$71/$NT$71)),0)</f>
        <v/>
      </c>
      <c r="BJ71" s="402">
        <f>IF(AND(58&gt;=$NR$71,58&lt;=$NS$71),IF($NP$71="Single_Point",IF(58=$NR$71,$NN$71,0),IF($NP$71="Bell_Curve",$NN$71*(58-$NR$71+1)*($NS$71-58+1)/$NU$71,$NN$71/$NT$71)),0)</f>
        <v/>
      </c>
      <c r="BK71" s="402">
        <f>IF(AND(59&gt;=$NR$71,59&lt;=$NS$71),IF($NP$71="Single_Point",IF(59=$NR$71,$NN$71,0),IF($NP$71="Bell_Curve",$NN$71*(59-$NR$71+1)*($NS$71-59+1)/$NU$71,$NN$71/$NT$71)),0)</f>
        <v/>
      </c>
      <c r="BL71" s="402">
        <f>IF(AND(60&gt;=$NR$71,60&lt;=$NS$71),IF($NP$71="Single_Point",IF(60=$NR$71,$NN$71,0),IF($NP$71="Bell_Curve",$NN$71*(60-$NR$71+1)*($NS$71-60+1)/$NU$71,$NN$71/$NT$71)),0)</f>
        <v/>
      </c>
      <c r="BM71" s="402">
        <f>IF(AND(61&gt;=$NR$71,61&lt;=$NS$71),IF($NP$71="Single_Point",IF(61=$NR$71,$NN$71,0),IF($NP$71="Bell_Curve",$NN$71*(61-$NR$71+1)*($NS$71-61+1)/$NU$71,$NN$71/$NT$71)),0)</f>
        <v/>
      </c>
      <c r="BN71" s="402">
        <f>IF(AND(62&gt;=$NR$71,62&lt;=$NS$71),IF($NP$71="Single_Point",IF(62=$NR$71,$NN$71,0),IF($NP$71="Bell_Curve",$NN$71*(62-$NR$71+1)*($NS$71-62+1)/$NU$71,$NN$71/$NT$71)),0)</f>
        <v/>
      </c>
      <c r="BO71" s="402">
        <f>IF(AND(63&gt;=$NR$71,63&lt;=$NS$71),IF($NP$71="Single_Point",IF(63=$NR$71,$NN$71,0),IF($NP$71="Bell_Curve",$NN$71*(63-$NR$71+1)*($NS$71-63+1)/$NU$71,$NN$71/$NT$71)),0)</f>
        <v/>
      </c>
      <c r="BP71" s="402">
        <f>IF(AND(64&gt;=$NR$71,64&lt;=$NS$71),IF($NP$71="Single_Point",IF(64=$NR$71,$NN$71,0),IF($NP$71="Bell_Curve",$NN$71*(64-$NR$71+1)*($NS$71-64+1)/$NU$71,$NN$71/$NT$71)),0)</f>
        <v/>
      </c>
      <c r="BQ71" s="402">
        <f>IF(AND(65&gt;=$NR$71,65&lt;=$NS$71),IF($NP$71="Single_Point",IF(65=$NR$71,$NN$71,0),IF($NP$71="Bell_Curve",$NN$71*(65-$NR$71+1)*($NS$71-65+1)/$NU$71,$NN$71/$NT$71)),0)</f>
        <v/>
      </c>
      <c r="BR71" s="402">
        <f>IF(AND(66&gt;=$NR$71,66&lt;=$NS$71),IF($NP$71="Single_Point",IF(66=$NR$71,$NN$71,0),IF($NP$71="Bell_Curve",$NN$71*(66-$NR$71+1)*($NS$71-66+1)/$NU$71,$NN$71/$NT$71)),0)</f>
        <v/>
      </c>
      <c r="BS71" s="402">
        <f>IF(AND(67&gt;=$NR$71,67&lt;=$NS$71),IF($NP$71="Single_Point",IF(67=$NR$71,$NN$71,0),IF($NP$71="Bell_Curve",$NN$71*(67-$NR$71+1)*($NS$71-67+1)/$NU$71,$NN$71/$NT$71)),0)</f>
        <v/>
      </c>
      <c r="BT71" s="402">
        <f>IF(AND(68&gt;=$NR$71,68&lt;=$NS$71),IF($NP$71="Single_Point",IF(68=$NR$71,$NN$71,0),IF($NP$71="Bell_Curve",$NN$71*(68-$NR$71+1)*($NS$71-68+1)/$NU$71,$NN$71/$NT$71)),0)</f>
        <v/>
      </c>
      <c r="BU71" s="402">
        <f>IF(AND(69&gt;=$NR$71,69&lt;=$NS$71),IF($NP$71="Single_Point",IF(69=$NR$71,$NN$71,0),IF($NP$71="Bell_Curve",$NN$71*(69-$NR$71+1)*($NS$71-69+1)/$NU$71,$NN$71/$NT$71)),0)</f>
        <v/>
      </c>
      <c r="BV71" s="402">
        <f>IF(AND(70&gt;=$NR$71,70&lt;=$NS$71),IF($NP$71="Single_Point",IF(70=$NR$71,$NN$71,0),IF($NP$71="Bell_Curve",$NN$71*(70-$NR$71+1)*($NS$71-70+1)/$NU$71,$NN$71/$NT$71)),0)</f>
        <v/>
      </c>
      <c r="BW71" s="402">
        <f>IF(AND(71&gt;=$NR$71,71&lt;=$NS$71),IF($NP$71="Single_Point",IF(71=$NR$71,$NN$71,0),IF($NP$71="Bell_Curve",$NN$71*(71-$NR$71+1)*($NS$71-71+1)/$NU$71,$NN$71/$NT$71)),0)</f>
        <v/>
      </c>
      <c r="BX71" s="402">
        <f>IF(AND(72&gt;=$NR$71,72&lt;=$NS$71),IF($NP$71="Single_Point",IF(72=$NR$71,$NN$71,0),IF($NP$71="Bell_Curve",$NN$71*(72-$NR$71+1)*($NS$71-72+1)/$NU$71,$NN$71/$NT$71)),0)</f>
        <v/>
      </c>
      <c r="BY71" s="402">
        <f>IF(AND(73&gt;=$NR$71,73&lt;=$NS$71),IF($NP$71="Single_Point",IF(73=$NR$71,$NN$71,0),IF($NP$71="Bell_Curve",$NN$71*(73-$NR$71+1)*($NS$71-73+1)/$NU$71,$NN$71/$NT$71)),0)</f>
        <v/>
      </c>
      <c r="BZ71" s="402">
        <f>IF(AND(74&gt;=$NR$71,74&lt;=$NS$71),IF($NP$71="Single_Point",IF(74=$NR$71,$NN$71,0),IF($NP$71="Bell_Curve",$NN$71*(74-$NR$71+1)*($NS$71-74+1)/$NU$71,$NN$71/$NT$71)),0)</f>
        <v/>
      </c>
      <c r="CA71" s="402">
        <f>IF(AND(75&gt;=$NR$71,75&lt;=$NS$71),IF($NP$71="Single_Point",IF(75=$NR$71,$NN$71,0),IF($NP$71="Bell_Curve",$NN$71*(75-$NR$71+1)*($NS$71-75+1)/$NU$71,$NN$71/$NT$71)),0)</f>
        <v/>
      </c>
      <c r="CB71" s="402">
        <f>IF(AND(76&gt;=$NR$71,76&lt;=$NS$71),IF($NP$71="Single_Point",IF(76=$NR$71,$NN$71,0),IF($NP$71="Bell_Curve",$NN$71*(76-$NR$71+1)*($NS$71-76+1)/$NU$71,$NN$71/$NT$71)),0)</f>
        <v/>
      </c>
      <c r="CC71" s="402">
        <f>IF(AND(77&gt;=$NR$71,77&lt;=$NS$71),IF($NP$71="Single_Point",IF(77=$NR$71,$NN$71,0),IF($NP$71="Bell_Curve",$NN$71*(77-$NR$71+1)*($NS$71-77+1)/$NU$71,$NN$71/$NT$71)),0)</f>
        <v/>
      </c>
      <c r="CD71" s="402">
        <f>IF(AND(78&gt;=$NR$71,78&lt;=$NS$71),IF($NP$71="Single_Point",IF(78=$NR$71,$NN$71,0),IF($NP$71="Bell_Curve",$NN$71*(78-$NR$71+1)*($NS$71-78+1)/$NU$71,$NN$71/$NT$71)),0)</f>
        <v/>
      </c>
      <c r="CE71" s="402">
        <f>IF(AND(79&gt;=$NR$71,79&lt;=$NS$71),IF($NP$71="Single_Point",IF(79=$NR$71,$NN$71,0),IF($NP$71="Bell_Curve",$NN$71*(79-$NR$71+1)*($NS$71-79+1)/$NU$71,$NN$71/$NT$71)),0)</f>
        <v/>
      </c>
      <c r="CF71" s="402">
        <f>IF(AND(80&gt;=$NR$71,80&lt;=$NS$71),IF($NP$71="Single_Point",IF(80=$NR$71,$NN$71,0),IF($NP$71="Bell_Curve",$NN$71*(80-$NR$71+1)*($NS$71-80+1)/$NU$71,$NN$71/$NT$71)),0)</f>
        <v/>
      </c>
      <c r="CG71" s="402">
        <f>IF(AND(81&gt;=$NR$71,81&lt;=$NS$71),IF($NP$71="Single_Point",IF(81=$NR$71,$NN$71,0),IF($NP$71="Bell_Curve",$NN$71*(81-$NR$71+1)*($NS$71-81+1)/$NU$71,$NN$71/$NT$71)),0)</f>
        <v/>
      </c>
      <c r="CH71" s="402">
        <f>IF(AND(82&gt;=$NR$71,82&lt;=$NS$71),IF($NP$71="Single_Point",IF(82=$NR$71,$NN$71,0),IF($NP$71="Bell_Curve",$NN$71*(82-$NR$71+1)*($NS$71-82+1)/$NU$71,$NN$71/$NT$71)),0)</f>
        <v/>
      </c>
      <c r="CI71" s="402">
        <f>IF(AND(83&gt;=$NR$71,83&lt;=$NS$71),IF($NP$71="Single_Point",IF(83=$NR$71,$NN$71,0),IF($NP$71="Bell_Curve",$NN$71*(83-$NR$71+1)*($NS$71-83+1)/$NU$71,$NN$71/$NT$71)),0)</f>
        <v/>
      </c>
      <c r="CJ71" s="402">
        <f>IF(AND(84&gt;=$NR$71,84&lt;=$NS$71),IF($NP$71="Single_Point",IF(84=$NR$71,$NN$71,0),IF($NP$71="Bell_Curve",$NN$71*(84-$NR$71+1)*($NS$71-84+1)/$NU$71,$NN$71/$NT$71)),0)</f>
        <v/>
      </c>
      <c r="CK71" s="402">
        <f>IF(AND(85&gt;=$NR$71,85&lt;=$NS$71),IF($NP$71="Single_Point",IF(85=$NR$71,$NN$71,0),IF($NP$71="Bell_Curve",$NN$71*(85-$NR$71+1)*($NS$71-85+1)/$NU$71,$NN$71/$NT$71)),0)</f>
        <v/>
      </c>
      <c r="CL71" s="402">
        <f>IF(AND(86&gt;=$NR$71,86&lt;=$NS$71),IF($NP$71="Single_Point",IF(86=$NR$71,$NN$71,0),IF($NP$71="Bell_Curve",$NN$71*(86-$NR$71+1)*($NS$71-86+1)/$NU$71,$NN$71/$NT$71)),0)</f>
        <v/>
      </c>
      <c r="CM71" s="402">
        <f>IF(AND(87&gt;=$NR$71,87&lt;=$NS$71),IF($NP$71="Single_Point",IF(87=$NR$71,$NN$71,0),IF($NP$71="Bell_Curve",$NN$71*(87-$NR$71+1)*($NS$71-87+1)/$NU$71,$NN$71/$NT$71)),0)</f>
        <v/>
      </c>
      <c r="CN71" s="402">
        <f>IF(AND(88&gt;=$NR$71,88&lt;=$NS$71),IF($NP$71="Single_Point",IF(88=$NR$71,$NN$71,0),IF($NP$71="Bell_Curve",$NN$71*(88-$NR$71+1)*($NS$71-88+1)/$NU$71,$NN$71/$NT$71)),0)</f>
        <v/>
      </c>
      <c r="CO71" s="402">
        <f>IF(AND(89&gt;=$NR$71,89&lt;=$NS$71),IF($NP$71="Single_Point",IF(89=$NR$71,$NN$71,0),IF($NP$71="Bell_Curve",$NN$71*(89-$NR$71+1)*($NS$71-89+1)/$NU$71,$NN$71/$NT$71)),0)</f>
        <v/>
      </c>
      <c r="CP71" s="402">
        <f>IF(AND(90&gt;=$NR$71,90&lt;=$NS$71),IF($NP$71="Single_Point",IF(90=$NR$71,$NN$71,0),IF($NP$71="Bell_Curve",$NN$71*(90-$NR$71+1)*($NS$71-90+1)/$NU$71,$NN$71/$NT$71)),0)</f>
        <v/>
      </c>
      <c r="CQ71" s="402">
        <f>IF(AND(91&gt;=$NR$71,91&lt;=$NS$71),IF($NP$71="Single_Point",IF(91=$NR$71,$NN$71,0),IF($NP$71="Bell_Curve",$NN$71*(91-$NR$71+1)*($NS$71-91+1)/$NU$71,$NN$71/$NT$71)),0)</f>
        <v/>
      </c>
      <c r="CR71" s="402">
        <f>IF(AND(92&gt;=$NR$71,92&lt;=$NS$71),IF($NP$71="Single_Point",IF(92=$NR$71,$NN$71,0),IF($NP$71="Bell_Curve",$NN$71*(92-$NR$71+1)*($NS$71-92+1)/$NU$71,$NN$71/$NT$71)),0)</f>
        <v/>
      </c>
      <c r="CS71" s="402">
        <f>IF(AND(93&gt;=$NR$71,93&lt;=$NS$71),IF($NP$71="Single_Point",IF(93=$NR$71,$NN$71,0),IF($NP$71="Bell_Curve",$NN$71*(93-$NR$71+1)*($NS$71-93+1)/$NU$71,$NN$71/$NT$71)),0)</f>
        <v/>
      </c>
      <c r="CT71" s="402">
        <f>IF(AND(94&gt;=$NR$71,94&lt;=$NS$71),IF($NP$71="Single_Point",IF(94=$NR$71,$NN$71,0),IF($NP$71="Bell_Curve",$NN$71*(94-$NR$71+1)*($NS$71-94+1)/$NU$71,$NN$71/$NT$71)),0)</f>
        <v/>
      </c>
      <c r="CU71" s="402">
        <f>IF(AND(95&gt;=$NR$71,95&lt;=$NS$71),IF($NP$71="Single_Point",IF(95=$NR$71,$NN$71,0),IF($NP$71="Bell_Curve",$NN$71*(95-$NR$71+1)*($NS$71-95+1)/$NU$71,$NN$71/$NT$71)),0)</f>
        <v/>
      </c>
      <c r="CV71" s="402">
        <f>IF(AND(96&gt;=$NR$71,96&lt;=$NS$71),IF($NP$71="Single_Point",IF(96=$NR$71,$NN$71,0),IF($NP$71="Bell_Curve",$NN$71*(96-$NR$71+1)*($NS$71-96+1)/$NU$71,$NN$71/$NT$71)),0)</f>
        <v/>
      </c>
      <c r="CW71" s="402">
        <f>IF(AND(97&gt;=$NR$71,97&lt;=$NS$71),IF($NP$71="Single_Point",IF(97=$NR$71,$NN$71,0),IF($NP$71="Bell_Curve",$NN$71*(97-$NR$71+1)*($NS$71-97+1)/$NU$71,$NN$71/$NT$71)),0)</f>
        <v/>
      </c>
      <c r="CX71" s="402">
        <f>IF(AND(98&gt;=$NR$71,98&lt;=$NS$71),IF($NP$71="Single_Point",IF(98=$NR$71,$NN$71,0),IF($NP$71="Bell_Curve",$NN$71*(98-$NR$71+1)*($NS$71-98+1)/$NU$71,$NN$71/$NT$71)),0)</f>
        <v/>
      </c>
      <c r="CY71" s="402">
        <f>IF(AND(99&gt;=$NR$71,99&lt;=$NS$71),IF($NP$71="Single_Point",IF(99=$NR$71,$NN$71,0),IF($NP$71="Bell_Curve",$NN$71*(99-$NR$71+1)*($NS$71-99+1)/$NU$71,$NN$71/$NT$71)),0)</f>
        <v/>
      </c>
      <c r="CZ71" s="402">
        <f>IF(AND(100&gt;=$NR$71,100&lt;=$NS$71),IF($NP$71="Single_Point",IF(100=$NR$71,$NN$71,0),IF($NP$71="Bell_Curve",$NN$71*(100-$NR$71+1)*($NS$71-100+1)/$NU$71,$NN$71/$NT$71)),0)</f>
        <v/>
      </c>
      <c r="DA71" s="402">
        <f>IF(AND(101&gt;=$NR$71,101&lt;=$NS$71),IF($NP$71="Single_Point",IF(101=$NR$71,$NN$71,0),IF($NP$71="Bell_Curve",$NN$71*(101-$NR$71+1)*($NS$71-101+1)/$NU$71,$NN$71/$NT$71)),0)</f>
        <v/>
      </c>
      <c r="DB71" s="402">
        <f>IF(AND(102&gt;=$NR$71,102&lt;=$NS$71),IF($NP$71="Single_Point",IF(102=$NR$71,$NN$71,0),IF($NP$71="Bell_Curve",$NN$71*(102-$NR$71+1)*($NS$71-102+1)/$NU$71,$NN$71/$NT$71)),0)</f>
        <v/>
      </c>
      <c r="DC71" s="402">
        <f>IF(AND(103&gt;=$NR$71,103&lt;=$NS$71),IF($NP$71="Single_Point",IF(103=$NR$71,$NN$71,0),IF($NP$71="Bell_Curve",$NN$71*(103-$NR$71+1)*($NS$71-103+1)/$NU$71,$NN$71/$NT$71)),0)</f>
        <v/>
      </c>
      <c r="DD71" s="402">
        <f>IF(AND(104&gt;=$NR$71,104&lt;=$NS$71),IF($NP$71="Single_Point",IF(104=$NR$71,$NN$71,0),IF($NP$71="Bell_Curve",$NN$71*(104-$NR$71+1)*($NS$71-104+1)/$NU$71,$NN$71/$NT$71)),0)</f>
        <v/>
      </c>
      <c r="DE71" s="402">
        <f>IF(AND(105&gt;=$NR$71,105&lt;=$NS$71),IF($NP$71="Single_Point",IF(105=$NR$71,$NN$71,0),IF($NP$71="Bell_Curve",$NN$71*(105-$NR$71+1)*($NS$71-105+1)/$NU$71,$NN$71/$NT$71)),0)</f>
        <v/>
      </c>
      <c r="DF71" s="402">
        <f>IF(AND(106&gt;=$NR$71,106&lt;=$NS$71),IF($NP$71="Single_Point",IF(106=$NR$71,$NN$71,0),IF($NP$71="Bell_Curve",$NN$71*(106-$NR$71+1)*($NS$71-106+1)/$NU$71,$NN$71/$NT$71)),0)</f>
        <v/>
      </c>
      <c r="DG71" s="402">
        <f>IF(AND(107&gt;=$NR$71,107&lt;=$NS$71),IF($NP$71="Single_Point",IF(107=$NR$71,$NN$71,0),IF($NP$71="Bell_Curve",$NN$71*(107-$NR$71+1)*($NS$71-107+1)/$NU$71,$NN$71/$NT$71)),0)</f>
        <v/>
      </c>
      <c r="DH71" s="402">
        <f>IF(AND(108&gt;=$NR$71,108&lt;=$NS$71),IF($NP$71="Single_Point",IF(108=$NR$71,$NN$71,0),IF($NP$71="Bell_Curve",$NN$71*(108-$NR$71+1)*($NS$71-108+1)/$NU$71,$NN$71/$NT$71)),0)</f>
        <v/>
      </c>
      <c r="DI71" s="402">
        <f>IF(AND(109&gt;=$NR$71,109&lt;=$NS$71),IF($NP$71="Single_Point",IF(109=$NR$71,$NN$71,0),IF($NP$71="Bell_Curve",$NN$71*(109-$NR$71+1)*($NS$71-109+1)/$NU$71,$NN$71/$NT$71)),0)</f>
        <v/>
      </c>
      <c r="DJ71" s="402">
        <f>IF(AND(110&gt;=$NR$71,110&lt;=$NS$71),IF($NP$71="Single_Point",IF(110=$NR$71,$NN$71,0),IF($NP$71="Bell_Curve",$NN$71*(110-$NR$71+1)*($NS$71-110+1)/$NU$71,$NN$71/$NT$71)),0)</f>
        <v/>
      </c>
      <c r="DK71" s="402">
        <f>IF(AND(111&gt;=$NR$71,111&lt;=$NS$71),IF($NP$71="Single_Point",IF(111=$NR$71,$NN$71,0),IF($NP$71="Bell_Curve",$NN$71*(111-$NR$71+1)*($NS$71-111+1)/$NU$71,$NN$71/$NT$71)),0)</f>
        <v/>
      </c>
      <c r="DL71" s="402">
        <f>IF(AND(112&gt;=$NR$71,112&lt;=$NS$71),IF($NP$71="Single_Point",IF(112=$NR$71,$NN$71,0),IF($NP$71="Bell_Curve",$NN$71*(112-$NR$71+1)*($NS$71-112+1)/$NU$71,$NN$71/$NT$71)),0)</f>
        <v/>
      </c>
      <c r="DM71" s="402">
        <f>IF(AND(113&gt;=$NR$71,113&lt;=$NS$71),IF($NP$71="Single_Point",IF(113=$NR$71,$NN$71,0),IF($NP$71="Bell_Curve",$NN$71*(113-$NR$71+1)*($NS$71-113+1)/$NU$71,$NN$71/$NT$71)),0)</f>
        <v/>
      </c>
      <c r="DN71" s="402">
        <f>IF(AND(114&gt;=$NR$71,114&lt;=$NS$71),IF($NP$71="Single_Point",IF(114=$NR$71,$NN$71,0),IF($NP$71="Bell_Curve",$NN$71*(114-$NR$71+1)*($NS$71-114+1)/$NU$71,$NN$71/$NT$71)),0)</f>
        <v/>
      </c>
      <c r="DO71" s="402">
        <f>IF(AND(115&gt;=$NR$71,115&lt;=$NS$71),IF($NP$71="Single_Point",IF(115=$NR$71,$NN$71,0),IF($NP$71="Bell_Curve",$NN$71*(115-$NR$71+1)*($NS$71-115+1)/$NU$71,$NN$71/$NT$71)),0)</f>
        <v/>
      </c>
      <c r="DP71" s="402">
        <f>IF(AND(116&gt;=$NR$71,116&lt;=$NS$71),IF($NP$71="Single_Point",IF(116=$NR$71,$NN$71,0),IF($NP$71="Bell_Curve",$NN$71*(116-$NR$71+1)*($NS$71-116+1)/$NU$71,$NN$71/$NT$71)),0)</f>
        <v/>
      </c>
      <c r="DQ71" s="402">
        <f>IF(AND(117&gt;=$NR$71,117&lt;=$NS$71),IF($NP$71="Single_Point",IF(117=$NR$71,$NN$71,0),IF($NP$71="Bell_Curve",$NN$71*(117-$NR$71+1)*($NS$71-117+1)/$NU$71,$NN$71/$NT$71)),0)</f>
        <v/>
      </c>
      <c r="DR71" s="402">
        <f>IF(AND(118&gt;=$NR$71,118&lt;=$NS$71),IF($NP$71="Single_Point",IF(118=$NR$71,$NN$71,0),IF($NP$71="Bell_Curve",$NN$71*(118-$NR$71+1)*($NS$71-118+1)/$NU$71,$NN$71/$NT$71)),0)</f>
        <v/>
      </c>
      <c r="DS71" s="402">
        <f>IF(AND(119&gt;=$NR$71,119&lt;=$NS$71),IF($NP$71="Single_Point",IF(119=$NR$71,$NN$71,0),IF($NP$71="Bell_Curve",$NN$71*(119-$NR$71+1)*($NS$71-119+1)/$NU$71,$NN$71/$NT$71)),0)</f>
        <v/>
      </c>
      <c r="DT71" s="402">
        <f>IF(AND(120&gt;=$NR$71,120&lt;=$NS$71),IF($NP$71="Single_Point",IF(120=$NR$71,$NN$71,0),IF($NP$71="Bell_Curve",$NN$71*(120-$NR$71+1)*($NS$71-120+1)/$NU$71,$NN$71/$NT$71)),0)</f>
        <v/>
      </c>
      <c r="DU71" s="402">
        <f>IF(AND(121&gt;=$NR$71,121&lt;=$NS$71),IF($NP$71="Single_Point",IF(121=$NR$71,$NN$71,0),IF($NP$71="Bell_Curve",$NN$71*(121-$NR$71+1)*($NS$71-121+1)/$NU$71,$NN$71/$NT$71)),0)</f>
        <v/>
      </c>
      <c r="DV71" s="402">
        <f>IF(AND(122&gt;=$NR$71,122&lt;=$NS$71),IF($NP$71="Single_Point",IF(122=$NR$71,$NN$71,0),IF($NP$71="Bell_Curve",$NN$71*(122-$NR$71+1)*($NS$71-122+1)/$NU$71,$NN$71/$NT$71)),0)</f>
        <v/>
      </c>
      <c r="DW71" s="402">
        <f>IF(AND(123&gt;=$NR$71,123&lt;=$NS$71),IF($NP$71="Single_Point",IF(123=$NR$71,$NN$71,0),IF($NP$71="Bell_Curve",$NN$71*(123-$NR$71+1)*($NS$71-123+1)/$NU$71,$NN$71/$NT$71)),0)</f>
        <v/>
      </c>
      <c r="DX71" s="402">
        <f>IF(AND(124&gt;=$NR$71,124&lt;=$NS$71),IF($NP$71="Single_Point",IF(124=$NR$71,$NN$71,0),IF($NP$71="Bell_Curve",$NN$71*(124-$NR$71+1)*($NS$71-124+1)/$NU$71,$NN$71/$NT$71)),0)</f>
        <v/>
      </c>
      <c r="DY71" s="402">
        <f>IF(AND(125&gt;=$NR$71,125&lt;=$NS$71),IF($NP$71="Single_Point",IF(125=$NR$71,$NN$71,0),IF($NP$71="Bell_Curve",$NN$71*(125-$NR$71+1)*($NS$71-125+1)/$NU$71,$NN$71/$NT$71)),0)</f>
        <v/>
      </c>
      <c r="DZ71" s="402">
        <f>IF(AND(126&gt;=$NR$71,126&lt;=$NS$71),IF($NP$71="Single_Point",IF(126=$NR$71,$NN$71,0),IF($NP$71="Bell_Curve",$NN$71*(126-$NR$71+1)*($NS$71-126+1)/$NU$71,$NN$71/$NT$71)),0)</f>
        <v/>
      </c>
      <c r="EA71" s="402">
        <f>IF(AND(127&gt;=$NR$71,127&lt;=$NS$71),IF($NP$71="Single_Point",IF(127=$NR$71,$NN$71,0),IF($NP$71="Bell_Curve",$NN$71*(127-$NR$71+1)*($NS$71-127+1)/$NU$71,$NN$71/$NT$71)),0)</f>
        <v/>
      </c>
      <c r="EB71" s="402">
        <f>IF(AND(128&gt;=$NR$71,128&lt;=$NS$71),IF($NP$71="Single_Point",IF(128=$NR$71,$NN$71,0),IF($NP$71="Bell_Curve",$NN$71*(128-$NR$71+1)*($NS$71-128+1)/$NU$71,$NN$71/$NT$71)),0)</f>
        <v/>
      </c>
      <c r="EC71" s="402">
        <f>IF(AND(129&gt;=$NR$71,129&lt;=$NS$71),IF($NP$71="Single_Point",IF(129=$NR$71,$NN$71,0),IF($NP$71="Bell_Curve",$NN$71*(129-$NR$71+1)*($NS$71-129+1)/$NU$71,$NN$71/$NT$71)),0)</f>
        <v/>
      </c>
      <c r="ED71" s="402">
        <f>IF(AND(130&gt;=$NR$71,130&lt;=$NS$71),IF($NP$71="Single_Point",IF(130=$NR$71,$NN$71,0),IF($NP$71="Bell_Curve",$NN$71*(130-$NR$71+1)*($NS$71-130+1)/$NU$71,$NN$71/$NT$71)),0)</f>
        <v/>
      </c>
      <c r="EE71" s="402">
        <f>IF(AND(131&gt;=$NR$71,131&lt;=$NS$71),IF($NP$71="Single_Point",IF(131=$NR$71,$NN$71,0),IF($NP$71="Bell_Curve",$NN$71*(131-$NR$71+1)*($NS$71-131+1)/$NU$71,$NN$71/$NT$71)),0)</f>
        <v/>
      </c>
      <c r="EF71" s="402">
        <f>IF(AND(132&gt;=$NR$71,132&lt;=$NS$71),IF($NP$71="Single_Point",IF(132=$NR$71,$NN$71,0),IF($NP$71="Bell_Curve",$NN$71*(132-$NR$71+1)*($NS$71-132+1)/$NU$71,$NN$71/$NT$71)),0)</f>
        <v/>
      </c>
      <c r="EG71" s="402">
        <f>IF(AND(133&gt;=$NR$71,133&lt;=$NS$71),IF($NP$71="Single_Point",IF(133=$NR$71,$NN$71,0),IF($NP$71="Bell_Curve",$NN$71*(133-$NR$71+1)*($NS$71-133+1)/$NU$71,$NN$71/$NT$71)),0)</f>
        <v/>
      </c>
      <c r="EH71" s="402">
        <f>IF(AND(134&gt;=$NR$71,134&lt;=$NS$71),IF($NP$71="Single_Point",IF(134=$NR$71,$NN$71,0),IF($NP$71="Bell_Curve",$NN$71*(134-$NR$71+1)*($NS$71-134+1)/$NU$71,$NN$71/$NT$71)),0)</f>
        <v/>
      </c>
      <c r="EI71" s="402">
        <f>IF(AND(135&gt;=$NR$71,135&lt;=$NS$71),IF($NP$71="Single_Point",IF(135=$NR$71,$NN$71,0),IF($NP$71="Bell_Curve",$NN$71*(135-$NR$71+1)*($NS$71-135+1)/$NU$71,$NN$71/$NT$71)),0)</f>
        <v/>
      </c>
      <c r="EJ71" s="402">
        <f>IF(AND(136&gt;=$NR$71,136&lt;=$NS$71),IF($NP$71="Single_Point",IF(136=$NR$71,$NN$71,0),IF($NP$71="Bell_Curve",$NN$71*(136-$NR$71+1)*($NS$71-136+1)/$NU$71,$NN$71/$NT$71)),0)</f>
        <v/>
      </c>
      <c r="EK71" s="402">
        <f>IF(AND(137&gt;=$NR$71,137&lt;=$NS$71),IF($NP$71="Single_Point",IF(137=$NR$71,$NN$71,0),IF($NP$71="Bell_Curve",$NN$71*(137-$NR$71+1)*($NS$71-137+1)/$NU$71,$NN$71/$NT$71)),0)</f>
        <v/>
      </c>
      <c r="EL71" s="402">
        <f>IF(AND(138&gt;=$NR$71,138&lt;=$NS$71),IF($NP$71="Single_Point",IF(138=$NR$71,$NN$71,0),IF($NP$71="Bell_Curve",$NN$71*(138-$NR$71+1)*($NS$71-138+1)/$NU$71,$NN$71/$NT$71)),0)</f>
        <v/>
      </c>
      <c r="EM71" s="402">
        <f>IF(AND(139&gt;=$NR$71,139&lt;=$NS$71),IF($NP$71="Single_Point",IF(139=$NR$71,$NN$71,0),IF($NP$71="Bell_Curve",$NN$71*(139-$NR$71+1)*($NS$71-139+1)/$NU$71,$NN$71/$NT$71)),0)</f>
        <v/>
      </c>
      <c r="EN71" s="402">
        <f>IF(AND(140&gt;=$NR$71,140&lt;=$NS$71),IF($NP$71="Single_Point",IF(140=$NR$71,$NN$71,0),IF($NP$71="Bell_Curve",$NN$71*(140-$NR$71+1)*($NS$71-140+1)/$NU$71,$NN$71/$NT$71)),0)</f>
        <v/>
      </c>
      <c r="EO71" s="402">
        <f>IF(AND(141&gt;=$NR$71,141&lt;=$NS$71),IF($NP$71="Single_Point",IF(141=$NR$71,$NN$71,0),IF($NP$71="Bell_Curve",$NN$71*(141-$NR$71+1)*($NS$71-141+1)/$NU$71,$NN$71/$NT$71)),0)</f>
        <v/>
      </c>
      <c r="EP71" s="402">
        <f>IF(AND(142&gt;=$NR$71,142&lt;=$NS$71),IF($NP$71="Single_Point",IF(142=$NR$71,$NN$71,0),IF($NP$71="Bell_Curve",$NN$71*(142-$NR$71+1)*($NS$71-142+1)/$NU$71,$NN$71/$NT$71)),0)</f>
        <v/>
      </c>
      <c r="EQ71" s="402">
        <f>IF(AND(143&gt;=$NR$71,143&lt;=$NS$71),IF($NP$71="Single_Point",IF(143=$NR$71,$NN$71,0),IF($NP$71="Bell_Curve",$NN$71*(143-$NR$71+1)*($NS$71-143+1)/$NU$71,$NN$71/$NT$71)),0)</f>
        <v/>
      </c>
      <c r="ER71" s="402">
        <f>IF(AND(144&gt;=$NR$71,144&lt;=$NS$71),IF($NP$71="Single_Point",IF(144=$NR$71,$NN$71,0),IF($NP$71="Bell_Curve",$NN$71*(144-$NR$71+1)*($NS$71-144+1)/$NU$71,$NN$71/$NT$71)),0)</f>
        <v/>
      </c>
      <c r="ES71" s="402">
        <f>IF(AND(145&gt;=$NR$71,145&lt;=$NS$71),IF($NP$71="Single_Point",IF(145=$NR$71,$NN$71,0),IF($NP$71="Bell_Curve",$NN$71*(145-$NR$71+1)*($NS$71-145+1)/$NU$71,$NN$71/$NT$71)),0)</f>
        <v/>
      </c>
      <c r="ET71" s="402">
        <f>IF(AND(146&gt;=$NR$71,146&lt;=$NS$71),IF($NP$71="Single_Point",IF(146=$NR$71,$NN$71,0),IF($NP$71="Bell_Curve",$NN$71*(146-$NR$71+1)*($NS$71-146+1)/$NU$71,$NN$71/$NT$71)),0)</f>
        <v/>
      </c>
      <c r="EU71" s="402">
        <f>IF(AND(147&gt;=$NR$71,147&lt;=$NS$71),IF($NP$71="Single_Point",IF(147=$NR$71,$NN$71,0),IF($NP$71="Bell_Curve",$NN$71*(147-$NR$71+1)*($NS$71-147+1)/$NU$71,$NN$71/$NT$71)),0)</f>
        <v/>
      </c>
      <c r="EV71" s="402">
        <f>IF(AND(148&gt;=$NR$71,148&lt;=$NS$71),IF($NP$71="Single_Point",IF(148=$NR$71,$NN$71,0),IF($NP$71="Bell_Curve",$NN$71*(148-$NR$71+1)*($NS$71-148+1)/$NU$71,$NN$71/$NT$71)),0)</f>
        <v/>
      </c>
      <c r="EW71" s="402">
        <f>IF(AND(149&gt;=$NR$71,149&lt;=$NS$71),IF($NP$71="Single_Point",IF(149=$NR$71,$NN$71,0),IF($NP$71="Bell_Curve",$NN$71*(149-$NR$71+1)*($NS$71-149+1)/$NU$71,$NN$71/$NT$71)),0)</f>
        <v/>
      </c>
      <c r="EX71" s="402">
        <f>IF(AND(150&gt;=$NR$71,150&lt;=$NS$71),IF($NP$71="Single_Point",IF(150=$NR$71,$NN$71,0),IF($NP$71="Bell_Curve",$NN$71*(150-$NR$71+1)*($NS$71-150+1)/$NU$71,$NN$71/$NT$71)),0)</f>
        <v/>
      </c>
      <c r="EY71" s="402">
        <f>IF(AND(151&gt;=$NR$71,151&lt;=$NS$71),IF($NP$71="Single_Point",IF(151=$NR$71,$NN$71,0),IF($NP$71="Bell_Curve",$NN$71*(151-$NR$71+1)*($NS$71-151+1)/$NU$71,$NN$71/$NT$71)),0)</f>
        <v/>
      </c>
      <c r="EZ71" s="402">
        <f>IF(AND(152&gt;=$NR$71,152&lt;=$NS$71),IF($NP$71="Single_Point",IF(152=$NR$71,$NN$71,0),IF($NP$71="Bell_Curve",$NN$71*(152-$NR$71+1)*($NS$71-152+1)/$NU$71,$NN$71/$NT$71)),0)</f>
        <v/>
      </c>
      <c r="FA71" s="402">
        <f>IF(AND(153&gt;=$NR$71,153&lt;=$NS$71),IF($NP$71="Single_Point",IF(153=$NR$71,$NN$71,0),IF($NP$71="Bell_Curve",$NN$71*(153-$NR$71+1)*($NS$71-153+1)/$NU$71,$NN$71/$NT$71)),0)</f>
        <v/>
      </c>
      <c r="FB71" s="402">
        <f>IF(AND(154&gt;=$NR$71,154&lt;=$NS$71),IF($NP$71="Single_Point",IF(154=$NR$71,$NN$71,0),IF($NP$71="Bell_Curve",$NN$71*(154-$NR$71+1)*($NS$71-154+1)/$NU$71,$NN$71/$NT$71)),0)</f>
        <v/>
      </c>
      <c r="FC71" s="402">
        <f>IF(AND(155&gt;=$NR$71,155&lt;=$NS$71),IF($NP$71="Single_Point",IF(155=$NR$71,$NN$71,0),IF($NP$71="Bell_Curve",$NN$71*(155-$NR$71+1)*($NS$71-155+1)/$NU$71,$NN$71/$NT$71)),0)</f>
        <v/>
      </c>
      <c r="FD71" s="402">
        <f>IF(AND(156&gt;=$NR$71,156&lt;=$NS$71),IF($NP$71="Single_Point",IF(156=$NR$71,$NN$71,0),IF($NP$71="Bell_Curve",$NN$71*(156-$NR$71+1)*($NS$71-156+1)/$NU$71,$NN$71/$NT$71)),0)</f>
        <v/>
      </c>
      <c r="FE71" s="402">
        <f>IF(AND(157&gt;=$NR$71,157&lt;=$NS$71),IF($NP$71="Single_Point",IF(157=$NR$71,$NN$71,0),IF($NP$71="Bell_Curve",$NN$71*(157-$NR$71+1)*($NS$71-157+1)/$NU$71,$NN$71/$NT$71)),0)</f>
        <v/>
      </c>
      <c r="FF71" s="402">
        <f>IF(AND(158&gt;=$NR$71,158&lt;=$NS$71),IF($NP$71="Single_Point",IF(158=$NR$71,$NN$71,0),IF($NP$71="Bell_Curve",$NN$71*(158-$NR$71+1)*($NS$71-158+1)/$NU$71,$NN$71/$NT$71)),0)</f>
        <v/>
      </c>
      <c r="FG71" s="402">
        <f>IF(AND(159&gt;=$NR$71,159&lt;=$NS$71),IF($NP$71="Single_Point",IF(159=$NR$71,$NN$71,0),IF($NP$71="Bell_Curve",$NN$71*(159-$NR$71+1)*($NS$71-159+1)/$NU$71,$NN$71/$NT$71)),0)</f>
        <v/>
      </c>
      <c r="FH71" s="402">
        <f>IF(AND(160&gt;=$NR$71,160&lt;=$NS$71),IF($NP$71="Single_Point",IF(160=$NR$71,$NN$71,0),IF($NP$71="Bell_Curve",$NN$71*(160-$NR$71+1)*($NS$71-160+1)/$NU$71,$NN$71/$NT$71)),0)</f>
        <v/>
      </c>
      <c r="FI71" s="402">
        <f>IF(AND(161&gt;=$NR$71,161&lt;=$NS$71),IF($NP$71="Single_Point",IF(161=$NR$71,$NN$71,0),IF($NP$71="Bell_Curve",$NN$71*(161-$NR$71+1)*($NS$71-161+1)/$NU$71,$NN$71/$NT$71)),0)</f>
        <v/>
      </c>
      <c r="FJ71" s="402">
        <f>IF(AND(162&gt;=$NR$71,162&lt;=$NS$71),IF($NP$71="Single_Point",IF(162=$NR$71,$NN$71,0),IF($NP$71="Bell_Curve",$NN$71*(162-$NR$71+1)*($NS$71-162+1)/$NU$71,$NN$71/$NT$71)),0)</f>
        <v/>
      </c>
      <c r="FK71" s="402">
        <f>IF(AND(163&gt;=$NR$71,163&lt;=$NS$71),IF($NP$71="Single_Point",IF(163=$NR$71,$NN$71,0),IF($NP$71="Bell_Curve",$NN$71*(163-$NR$71+1)*($NS$71-163+1)/$NU$71,$NN$71/$NT$71)),0)</f>
        <v/>
      </c>
      <c r="FL71" s="402">
        <f>IF(AND(164&gt;=$NR$71,164&lt;=$NS$71),IF($NP$71="Single_Point",IF(164=$NR$71,$NN$71,0),IF($NP$71="Bell_Curve",$NN$71*(164-$NR$71+1)*($NS$71-164+1)/$NU$71,$NN$71/$NT$71)),0)</f>
        <v/>
      </c>
      <c r="FM71" s="402">
        <f>IF(AND(165&gt;=$NR$71,165&lt;=$NS$71),IF($NP$71="Single_Point",IF(165=$NR$71,$NN$71,0),IF($NP$71="Bell_Curve",$NN$71*(165-$NR$71+1)*($NS$71-165+1)/$NU$71,$NN$71/$NT$71)),0)</f>
        <v/>
      </c>
      <c r="FN71" s="402">
        <f>IF(AND(166&gt;=$NR$71,166&lt;=$NS$71),IF($NP$71="Single_Point",IF(166=$NR$71,$NN$71,0),IF($NP$71="Bell_Curve",$NN$71*(166-$NR$71+1)*($NS$71-166+1)/$NU$71,$NN$71/$NT$71)),0)</f>
        <v/>
      </c>
      <c r="FO71" s="402">
        <f>IF(AND(167&gt;=$NR$71,167&lt;=$NS$71),IF($NP$71="Single_Point",IF(167=$NR$71,$NN$71,0),IF($NP$71="Bell_Curve",$NN$71*(167-$NR$71+1)*($NS$71-167+1)/$NU$71,$NN$71/$NT$71)),0)</f>
        <v/>
      </c>
      <c r="FP71" s="402">
        <f>IF(AND(168&gt;=$NR$71,168&lt;=$NS$71),IF($NP$71="Single_Point",IF(168=$NR$71,$NN$71,0),IF($NP$71="Bell_Curve",$NN$71*(168-$NR$71+1)*($NS$71-168+1)/$NU$71,$NN$71/$NT$71)),0)</f>
        <v/>
      </c>
      <c r="FQ71" s="402">
        <f>IF(AND(169&gt;=$NR$71,169&lt;=$NS$71),IF($NP$71="Single_Point",IF(169=$NR$71,$NN$71,0),IF($NP$71="Bell_Curve",$NN$71*(169-$NR$71+1)*($NS$71-169+1)/$NU$71,$NN$71/$NT$71)),0)</f>
        <v/>
      </c>
      <c r="FR71" s="402">
        <f>IF(AND(170&gt;=$NR$71,170&lt;=$NS$71),IF($NP$71="Single_Point",IF(170=$NR$71,$NN$71,0),IF($NP$71="Bell_Curve",$NN$71*(170-$NR$71+1)*($NS$71-170+1)/$NU$71,$NN$71/$NT$71)),0)</f>
        <v/>
      </c>
      <c r="FS71" s="402">
        <f>IF(AND(171&gt;=$NR$71,171&lt;=$NS$71),IF($NP$71="Single_Point",IF(171=$NR$71,$NN$71,0),IF($NP$71="Bell_Curve",$NN$71*(171-$NR$71+1)*($NS$71-171+1)/$NU$71,$NN$71/$NT$71)),0)</f>
        <v/>
      </c>
      <c r="FT71" s="402">
        <f>IF(AND(172&gt;=$NR$71,172&lt;=$NS$71),IF($NP$71="Single_Point",IF(172=$NR$71,$NN$71,0),IF($NP$71="Bell_Curve",$NN$71*(172-$NR$71+1)*($NS$71-172+1)/$NU$71,$NN$71/$NT$71)),0)</f>
        <v/>
      </c>
      <c r="FU71" s="402">
        <f>IF(AND(173&gt;=$NR$71,173&lt;=$NS$71),IF($NP$71="Single_Point",IF(173=$NR$71,$NN$71,0),IF($NP$71="Bell_Curve",$NN$71*(173-$NR$71+1)*($NS$71-173+1)/$NU$71,$NN$71/$NT$71)),0)</f>
        <v/>
      </c>
      <c r="FV71" s="402">
        <f>IF(AND(174&gt;=$NR$71,174&lt;=$NS$71),IF($NP$71="Single_Point",IF(174=$NR$71,$NN$71,0),IF($NP$71="Bell_Curve",$NN$71*(174-$NR$71+1)*($NS$71-174+1)/$NU$71,$NN$71/$NT$71)),0)</f>
        <v/>
      </c>
      <c r="FW71" s="402">
        <f>IF(AND(175&gt;=$NR$71,175&lt;=$NS$71),IF($NP$71="Single_Point",IF(175=$NR$71,$NN$71,0),IF($NP$71="Bell_Curve",$NN$71*(175-$NR$71+1)*($NS$71-175+1)/$NU$71,$NN$71/$NT$71)),0)</f>
        <v/>
      </c>
      <c r="FX71" s="402">
        <f>IF(AND(176&gt;=$NR$71,176&lt;=$NS$71),IF($NP$71="Single_Point",IF(176=$NR$71,$NN$71,0),IF($NP$71="Bell_Curve",$NN$71*(176-$NR$71+1)*($NS$71-176+1)/$NU$71,$NN$71/$NT$71)),0)</f>
        <v/>
      </c>
      <c r="FY71" s="402">
        <f>IF(AND(177&gt;=$NR$71,177&lt;=$NS$71),IF($NP$71="Single_Point",IF(177=$NR$71,$NN$71,0),IF($NP$71="Bell_Curve",$NN$71*(177-$NR$71+1)*($NS$71-177+1)/$NU$71,$NN$71/$NT$71)),0)</f>
        <v/>
      </c>
      <c r="FZ71" s="402">
        <f>IF(AND(178&gt;=$NR$71,178&lt;=$NS$71),IF($NP$71="Single_Point",IF(178=$NR$71,$NN$71,0),IF($NP$71="Bell_Curve",$NN$71*(178-$NR$71+1)*($NS$71-178+1)/$NU$71,$NN$71/$NT$71)),0)</f>
        <v/>
      </c>
      <c r="GA71" s="402">
        <f>IF(AND(179&gt;=$NR$71,179&lt;=$NS$71),IF($NP$71="Single_Point",IF(179=$NR$71,$NN$71,0),IF($NP$71="Bell_Curve",$NN$71*(179-$NR$71+1)*($NS$71-179+1)/$NU$71,$NN$71/$NT$71)),0)</f>
        <v/>
      </c>
      <c r="GB71" s="402">
        <f>IF(AND(180&gt;=$NR$71,180&lt;=$NS$71),IF($NP$71="Single_Point",IF(180=$NR$71,$NN$71,0),IF($NP$71="Bell_Curve",$NN$71*(180-$NR$71+1)*($NS$71-180+1)/$NU$71,$NN$71/$NT$71)),0)</f>
        <v/>
      </c>
      <c r="GC71" s="402">
        <f>IF(AND(181&gt;=$NR$71,181&lt;=$NS$71),IF($NP$71="Single_Point",IF(181=$NR$71,$NN$71,0),IF($NP$71="Bell_Curve",$NN$71*(181-$NR$71+1)*($NS$71-181+1)/$NU$71,$NN$71/$NT$71)),0)</f>
        <v/>
      </c>
      <c r="GD71" s="402">
        <f>IF(AND(182&gt;=$NR$71,182&lt;=$NS$71),IF($NP$71="Single_Point",IF(182=$NR$71,$NN$71,0),IF($NP$71="Bell_Curve",$NN$71*(182-$NR$71+1)*($NS$71-182+1)/$NU$71,$NN$71/$NT$71)),0)</f>
        <v/>
      </c>
      <c r="GE71" s="402">
        <f>IF(AND(183&gt;=$NR$71,183&lt;=$NS$71),IF($NP$71="Single_Point",IF(183=$NR$71,$NN$71,0),IF($NP$71="Bell_Curve",$NN$71*(183-$NR$71+1)*($NS$71-183+1)/$NU$71,$NN$71/$NT$71)),0)</f>
        <v/>
      </c>
      <c r="GF71" s="402">
        <f>IF(AND(184&gt;=$NR$71,184&lt;=$NS$71),IF($NP$71="Single_Point",IF(184=$NR$71,$NN$71,0),IF($NP$71="Bell_Curve",$NN$71*(184-$NR$71+1)*($NS$71-184+1)/$NU$71,$NN$71/$NT$71)),0)</f>
        <v/>
      </c>
      <c r="GG71" s="402">
        <f>IF(AND(185&gt;=$NR$71,185&lt;=$NS$71),IF($NP$71="Single_Point",IF(185=$NR$71,$NN$71,0),IF($NP$71="Bell_Curve",$NN$71*(185-$NR$71+1)*($NS$71-185+1)/$NU$71,$NN$71/$NT$71)),0)</f>
        <v/>
      </c>
      <c r="GH71" s="402">
        <f>IF(AND(186&gt;=$NR$71,186&lt;=$NS$71),IF($NP$71="Single_Point",IF(186=$NR$71,$NN$71,0),IF($NP$71="Bell_Curve",$NN$71*(186-$NR$71+1)*($NS$71-186+1)/$NU$71,$NN$71/$NT$71)),0)</f>
        <v/>
      </c>
      <c r="GI71" s="402">
        <f>IF(AND(187&gt;=$NR$71,187&lt;=$NS$71),IF($NP$71="Single_Point",IF(187=$NR$71,$NN$71,0),IF($NP$71="Bell_Curve",$NN$71*(187-$NR$71+1)*($NS$71-187+1)/$NU$71,$NN$71/$NT$71)),0)</f>
        <v/>
      </c>
      <c r="GJ71" s="402">
        <f>IF(AND(188&gt;=$NR$71,188&lt;=$NS$71),IF($NP$71="Single_Point",IF(188=$NR$71,$NN$71,0),IF($NP$71="Bell_Curve",$NN$71*(188-$NR$71+1)*($NS$71-188+1)/$NU$71,$NN$71/$NT$71)),0)</f>
        <v/>
      </c>
      <c r="GK71" s="402">
        <f>IF(AND(189&gt;=$NR$71,189&lt;=$NS$71),IF($NP$71="Single_Point",IF(189=$NR$71,$NN$71,0),IF($NP$71="Bell_Curve",$NN$71*(189-$NR$71+1)*($NS$71-189+1)/$NU$71,$NN$71/$NT$71)),0)</f>
        <v/>
      </c>
      <c r="GL71" s="402">
        <f>IF(AND(190&gt;=$NR$71,190&lt;=$NS$71),IF($NP$71="Single_Point",IF(190=$NR$71,$NN$71,0),IF($NP$71="Bell_Curve",$NN$71*(190-$NR$71+1)*($NS$71-190+1)/$NU$71,$NN$71/$NT$71)),0)</f>
        <v/>
      </c>
      <c r="GM71" s="402">
        <f>IF(AND(191&gt;=$NR$71,191&lt;=$NS$71),IF($NP$71="Single_Point",IF(191=$NR$71,$NN$71,0),IF($NP$71="Bell_Curve",$NN$71*(191-$NR$71+1)*($NS$71-191+1)/$NU$71,$NN$71/$NT$71)),0)</f>
        <v/>
      </c>
      <c r="GN71" s="402">
        <f>IF(AND(192&gt;=$NR$71,192&lt;=$NS$71),IF($NP$71="Single_Point",IF(192=$NR$71,$NN$71,0),IF($NP$71="Bell_Curve",$NN$71*(192-$NR$71+1)*($NS$71-192+1)/$NU$71,$NN$71/$NT$71)),0)</f>
        <v/>
      </c>
      <c r="GO71" s="402">
        <f>IF(AND(193&gt;=$NR$71,193&lt;=$NS$71),IF($NP$71="Single_Point",IF(193=$NR$71,$NN$71,0),IF($NP$71="Bell_Curve",$NN$71*(193-$NR$71+1)*($NS$71-193+1)/$NU$71,$NN$71/$NT$71)),0)</f>
        <v/>
      </c>
      <c r="GP71" s="402">
        <f>IF(AND(194&gt;=$NR$71,194&lt;=$NS$71),IF($NP$71="Single_Point",IF(194=$NR$71,$NN$71,0),IF($NP$71="Bell_Curve",$NN$71*(194-$NR$71+1)*($NS$71-194+1)/$NU$71,$NN$71/$NT$71)),0)</f>
        <v/>
      </c>
      <c r="GQ71" s="402">
        <f>IF(AND(195&gt;=$NR$71,195&lt;=$NS$71),IF($NP$71="Single_Point",IF(195=$NR$71,$NN$71,0),IF($NP$71="Bell_Curve",$NN$71*(195-$NR$71+1)*($NS$71-195+1)/$NU$71,$NN$71/$NT$71)),0)</f>
        <v/>
      </c>
      <c r="GR71" s="402">
        <f>IF(AND(196&gt;=$NR$71,196&lt;=$NS$71),IF($NP$71="Single_Point",IF(196=$NR$71,$NN$71,0),IF($NP$71="Bell_Curve",$NN$71*(196-$NR$71+1)*($NS$71-196+1)/$NU$71,$NN$71/$NT$71)),0)</f>
        <v/>
      </c>
      <c r="GS71" s="402">
        <f>IF(AND(197&gt;=$NR$71,197&lt;=$NS$71),IF($NP$71="Single_Point",IF(197=$NR$71,$NN$71,0),IF($NP$71="Bell_Curve",$NN$71*(197-$NR$71+1)*($NS$71-197+1)/$NU$71,$NN$71/$NT$71)),0)</f>
        <v/>
      </c>
      <c r="GT71" s="402">
        <f>IF(AND(198&gt;=$NR$71,198&lt;=$NS$71),IF($NP$71="Single_Point",IF(198=$NR$71,$NN$71,0),IF($NP$71="Bell_Curve",$NN$71*(198-$NR$71+1)*($NS$71-198+1)/$NU$71,$NN$71/$NT$71)),0)</f>
        <v/>
      </c>
      <c r="GU71" s="402">
        <f>IF(AND(199&gt;=$NR$71,199&lt;=$NS$71),IF($NP$71="Single_Point",IF(199=$NR$71,$NN$71,0),IF($NP$71="Bell_Curve",$NN$71*(199-$NR$71+1)*($NS$71-199+1)/$NU$71,$NN$71/$NT$71)),0)</f>
        <v/>
      </c>
      <c r="GV71" s="402">
        <f>IF(AND(200&gt;=$NR$71,200&lt;=$NS$71),IF($NP$71="Single_Point",IF(200=$NR$71,$NN$71,0),IF($NP$71="Bell_Curve",$NN$71*(200-$NR$71+1)*($NS$71-200+1)/$NU$71,$NN$71/$NT$71)),0)</f>
        <v/>
      </c>
      <c r="GW71" s="402">
        <f>IF(AND(201&gt;=$NR$71,201&lt;=$NS$71),IF($NP$71="Single_Point",IF(201=$NR$71,$NN$71,0),IF($NP$71="Bell_Curve",$NN$71*(201-$NR$71+1)*($NS$71-201+1)/$NU$71,$NN$71/$NT$71)),0)</f>
        <v/>
      </c>
      <c r="GX71" s="402">
        <f>IF(AND(202&gt;=$NR$71,202&lt;=$NS$71),IF($NP$71="Single_Point",IF(202=$NR$71,$NN$71,0),IF($NP$71="Bell_Curve",$NN$71*(202-$NR$71+1)*($NS$71-202+1)/$NU$71,$NN$71/$NT$71)),0)</f>
        <v/>
      </c>
      <c r="GY71" s="402">
        <f>IF(AND(203&gt;=$NR$71,203&lt;=$NS$71),IF($NP$71="Single_Point",IF(203=$NR$71,$NN$71,0),IF($NP$71="Bell_Curve",$NN$71*(203-$NR$71+1)*($NS$71-203+1)/$NU$71,$NN$71/$NT$71)),0)</f>
        <v/>
      </c>
      <c r="GZ71" s="402">
        <f>IF(AND(204&gt;=$NR$71,204&lt;=$NS$71),IF($NP$71="Single_Point",IF(204=$NR$71,$NN$71,0),IF($NP$71="Bell_Curve",$NN$71*(204-$NR$71+1)*($NS$71-204+1)/$NU$71,$NN$71/$NT$71)),0)</f>
        <v/>
      </c>
      <c r="HA71" s="402">
        <f>IF(AND(205&gt;=$NR$71,205&lt;=$NS$71),IF($NP$71="Single_Point",IF(205=$NR$71,$NN$71,0),IF($NP$71="Bell_Curve",$NN$71*(205-$NR$71+1)*($NS$71-205+1)/$NU$71,$NN$71/$NT$71)),0)</f>
        <v/>
      </c>
      <c r="HB71" s="402">
        <f>IF(AND(206&gt;=$NR$71,206&lt;=$NS$71),IF($NP$71="Single_Point",IF(206=$NR$71,$NN$71,0),IF($NP$71="Bell_Curve",$NN$71*(206-$NR$71+1)*($NS$71-206+1)/$NU$71,$NN$71/$NT$71)),0)</f>
        <v/>
      </c>
      <c r="HC71" s="402">
        <f>IF(AND(207&gt;=$NR$71,207&lt;=$NS$71),IF($NP$71="Single_Point",IF(207=$NR$71,$NN$71,0),IF($NP$71="Bell_Curve",$NN$71*(207-$NR$71+1)*($NS$71-207+1)/$NU$71,$NN$71/$NT$71)),0)</f>
        <v/>
      </c>
      <c r="HD71" s="402">
        <f>IF(AND(208&gt;=$NR$71,208&lt;=$NS$71),IF($NP$71="Single_Point",IF(208=$NR$71,$NN$71,0),IF($NP$71="Bell_Curve",$NN$71*(208-$NR$71+1)*($NS$71-208+1)/$NU$71,$NN$71/$NT$71)),0)</f>
        <v/>
      </c>
      <c r="HE71" s="402">
        <f>IF(AND(209&gt;=$NR$71,209&lt;=$NS$71),IF($NP$71="Single_Point",IF(209=$NR$71,$NN$71,0),IF($NP$71="Bell_Curve",$NN$71*(209-$NR$71+1)*($NS$71-209+1)/$NU$71,$NN$71/$NT$71)),0)</f>
        <v/>
      </c>
      <c r="HF71" s="402">
        <f>IF(AND(210&gt;=$NR$71,210&lt;=$NS$71),IF($NP$71="Single_Point",IF(210=$NR$71,$NN$71,0),IF($NP$71="Bell_Curve",$NN$71*(210-$NR$71+1)*($NS$71-210+1)/$NU$71,$NN$71/$NT$71)),0)</f>
        <v/>
      </c>
      <c r="HG71" s="402">
        <f>IF(AND(211&gt;=$NR$71,211&lt;=$NS$71),IF($NP$71="Single_Point",IF(211=$NR$71,$NN$71,0),IF($NP$71="Bell_Curve",$NN$71*(211-$NR$71+1)*($NS$71-211+1)/$NU$71,$NN$71/$NT$71)),0)</f>
        <v/>
      </c>
      <c r="HH71" s="402">
        <f>IF(AND(212&gt;=$NR$71,212&lt;=$NS$71),IF($NP$71="Single_Point",IF(212=$NR$71,$NN$71,0),IF($NP$71="Bell_Curve",$NN$71*(212-$NR$71+1)*($NS$71-212+1)/$NU$71,$NN$71/$NT$71)),0)</f>
        <v/>
      </c>
      <c r="HI71" s="402">
        <f>IF(AND(213&gt;=$NR$71,213&lt;=$NS$71),IF($NP$71="Single_Point",IF(213=$NR$71,$NN$71,0),IF($NP$71="Bell_Curve",$NN$71*(213-$NR$71+1)*($NS$71-213+1)/$NU$71,$NN$71/$NT$71)),0)</f>
        <v/>
      </c>
      <c r="HJ71" s="402">
        <f>IF(AND(214&gt;=$NR$71,214&lt;=$NS$71),IF($NP$71="Single_Point",IF(214=$NR$71,$NN$71,0),IF($NP$71="Bell_Curve",$NN$71*(214-$NR$71+1)*($NS$71-214+1)/$NU$71,$NN$71/$NT$71)),0)</f>
        <v/>
      </c>
      <c r="HK71" s="402">
        <f>IF(AND(215&gt;=$NR$71,215&lt;=$NS$71),IF($NP$71="Single_Point",IF(215=$NR$71,$NN$71,0),IF($NP$71="Bell_Curve",$NN$71*(215-$NR$71+1)*($NS$71-215+1)/$NU$71,$NN$71/$NT$71)),0)</f>
        <v/>
      </c>
      <c r="HL71" s="402">
        <f>IF(AND(216&gt;=$NR$71,216&lt;=$NS$71),IF($NP$71="Single_Point",IF(216=$NR$71,$NN$71,0),IF($NP$71="Bell_Curve",$NN$71*(216-$NR$71+1)*($NS$71-216+1)/$NU$71,$NN$71/$NT$71)),0)</f>
        <v/>
      </c>
      <c r="HM71" s="402">
        <f>IF(AND(217&gt;=$NR$71,217&lt;=$NS$71),IF($NP$71="Single_Point",IF(217=$NR$71,$NN$71,0),IF($NP$71="Bell_Curve",$NN$71*(217-$NR$71+1)*($NS$71-217+1)/$NU$71,$NN$71/$NT$71)),0)</f>
        <v/>
      </c>
      <c r="HN71" s="402">
        <f>IF(AND(218&gt;=$NR$71,218&lt;=$NS$71),IF($NP$71="Single_Point",IF(218=$NR$71,$NN$71,0),IF($NP$71="Bell_Curve",$NN$71*(218-$NR$71+1)*($NS$71-218+1)/$NU$71,$NN$71/$NT$71)),0)</f>
        <v/>
      </c>
      <c r="HO71" s="402">
        <f>IF(AND(219&gt;=$NR$71,219&lt;=$NS$71),IF($NP$71="Single_Point",IF(219=$NR$71,$NN$71,0),IF($NP$71="Bell_Curve",$NN$71*(219-$NR$71+1)*($NS$71-219+1)/$NU$71,$NN$71/$NT$71)),0)</f>
        <v/>
      </c>
      <c r="HP71" s="402">
        <f>IF(AND(220&gt;=$NR$71,220&lt;=$NS$71),IF($NP$71="Single_Point",IF(220=$NR$71,$NN$71,0),IF($NP$71="Bell_Curve",$NN$71*(220-$NR$71+1)*($NS$71-220+1)/$NU$71,$NN$71/$NT$71)),0)</f>
        <v/>
      </c>
      <c r="HQ71" s="402">
        <f>IF(AND(221&gt;=$NR$71,221&lt;=$NS$71),IF($NP$71="Single_Point",IF(221=$NR$71,$NN$71,0),IF($NP$71="Bell_Curve",$NN$71*(221-$NR$71+1)*($NS$71-221+1)/$NU$71,$NN$71/$NT$71)),0)</f>
        <v/>
      </c>
      <c r="HR71" s="402">
        <f>IF(AND(222&gt;=$NR$71,222&lt;=$NS$71),IF($NP$71="Single_Point",IF(222=$NR$71,$NN$71,0),IF($NP$71="Bell_Curve",$NN$71*(222-$NR$71+1)*($NS$71-222+1)/$NU$71,$NN$71/$NT$71)),0)</f>
        <v/>
      </c>
      <c r="HS71" s="402">
        <f>IF(AND(223&gt;=$NR$71,223&lt;=$NS$71),IF($NP$71="Single_Point",IF(223=$NR$71,$NN$71,0),IF($NP$71="Bell_Curve",$NN$71*(223-$NR$71+1)*($NS$71-223+1)/$NU$71,$NN$71/$NT$71)),0)</f>
        <v/>
      </c>
      <c r="HT71" s="402">
        <f>IF(AND(224&gt;=$NR$71,224&lt;=$NS$71),IF($NP$71="Single_Point",IF(224=$NR$71,$NN$71,0),IF($NP$71="Bell_Curve",$NN$71*(224-$NR$71+1)*($NS$71-224+1)/$NU$71,$NN$71/$NT$71)),0)</f>
        <v/>
      </c>
      <c r="HU71" s="402">
        <f>IF(AND(225&gt;=$NR$71,225&lt;=$NS$71),IF($NP$71="Single_Point",IF(225=$NR$71,$NN$71,0),IF($NP$71="Bell_Curve",$NN$71*(225-$NR$71+1)*($NS$71-225+1)/$NU$71,$NN$71/$NT$71)),0)</f>
        <v/>
      </c>
      <c r="HV71" s="402">
        <f>IF(AND(226&gt;=$NR$71,226&lt;=$NS$71),IF($NP$71="Single_Point",IF(226=$NR$71,$NN$71,0),IF($NP$71="Bell_Curve",$NN$71*(226-$NR$71+1)*($NS$71-226+1)/$NU$71,$NN$71/$NT$71)),0)</f>
        <v/>
      </c>
      <c r="HW71" s="402">
        <f>IF(AND(227&gt;=$NR$71,227&lt;=$NS$71),IF($NP$71="Single_Point",IF(227=$NR$71,$NN$71,0),IF($NP$71="Bell_Curve",$NN$71*(227-$NR$71+1)*($NS$71-227+1)/$NU$71,$NN$71/$NT$71)),0)</f>
        <v/>
      </c>
      <c r="HX71" s="402">
        <f>IF(AND(228&gt;=$NR$71,228&lt;=$NS$71),IF($NP$71="Single_Point",IF(228=$NR$71,$NN$71,0),IF($NP$71="Bell_Curve",$NN$71*(228-$NR$71+1)*($NS$71-228+1)/$NU$71,$NN$71/$NT$71)),0)</f>
        <v/>
      </c>
      <c r="HY71" s="402">
        <f>IF(AND(229&gt;=$NR$71,229&lt;=$NS$71),IF($NP$71="Single_Point",IF(229=$NR$71,$NN$71,0),IF($NP$71="Bell_Curve",$NN$71*(229-$NR$71+1)*($NS$71-229+1)/$NU$71,$NN$71/$NT$71)),0)</f>
        <v/>
      </c>
      <c r="HZ71" s="402">
        <f>IF(AND(230&gt;=$NR$71,230&lt;=$NS$71),IF($NP$71="Single_Point",IF(230=$NR$71,$NN$71,0),IF($NP$71="Bell_Curve",$NN$71*(230-$NR$71+1)*($NS$71-230+1)/$NU$71,$NN$71/$NT$71)),0)</f>
        <v/>
      </c>
      <c r="IA71" s="402">
        <f>IF(AND(231&gt;=$NR$71,231&lt;=$NS$71),IF($NP$71="Single_Point",IF(231=$NR$71,$NN$71,0),IF($NP$71="Bell_Curve",$NN$71*(231-$NR$71+1)*($NS$71-231+1)/$NU$71,$NN$71/$NT$71)),0)</f>
        <v/>
      </c>
      <c r="IB71" s="402">
        <f>IF(AND(232&gt;=$NR$71,232&lt;=$NS$71),IF($NP$71="Single_Point",IF(232=$NR$71,$NN$71,0),IF($NP$71="Bell_Curve",$NN$71*(232-$NR$71+1)*($NS$71-232+1)/$NU$71,$NN$71/$NT$71)),0)</f>
        <v/>
      </c>
      <c r="IC71" s="402">
        <f>IF(AND(233&gt;=$NR$71,233&lt;=$NS$71),IF($NP$71="Single_Point",IF(233=$NR$71,$NN$71,0),IF($NP$71="Bell_Curve",$NN$71*(233-$NR$71+1)*($NS$71-233+1)/$NU$71,$NN$71/$NT$71)),0)</f>
        <v/>
      </c>
      <c r="ID71" s="402">
        <f>IF(AND(234&gt;=$NR$71,234&lt;=$NS$71),IF($NP$71="Single_Point",IF(234=$NR$71,$NN$71,0),IF($NP$71="Bell_Curve",$NN$71*(234-$NR$71+1)*($NS$71-234+1)/$NU$71,$NN$71/$NT$71)),0)</f>
        <v/>
      </c>
      <c r="IE71" s="402">
        <f>IF(AND(235&gt;=$NR$71,235&lt;=$NS$71),IF($NP$71="Single_Point",IF(235=$NR$71,$NN$71,0),IF($NP$71="Bell_Curve",$NN$71*(235-$NR$71+1)*($NS$71-235+1)/$NU$71,$NN$71/$NT$71)),0)</f>
        <v/>
      </c>
      <c r="IF71" s="402">
        <f>IF(AND(236&gt;=$NR$71,236&lt;=$NS$71),IF($NP$71="Single_Point",IF(236=$NR$71,$NN$71,0),IF($NP$71="Bell_Curve",$NN$71*(236-$NR$71+1)*($NS$71-236+1)/$NU$71,$NN$71/$NT$71)),0)</f>
        <v/>
      </c>
      <c r="IG71" s="402">
        <f>IF(AND(237&gt;=$NR$71,237&lt;=$NS$71),IF($NP$71="Single_Point",IF(237=$NR$71,$NN$71,0),IF($NP$71="Bell_Curve",$NN$71*(237-$NR$71+1)*($NS$71-237+1)/$NU$71,$NN$71/$NT$71)),0)</f>
        <v/>
      </c>
      <c r="IH71" s="402">
        <f>IF(AND(238&gt;=$NR$71,238&lt;=$NS$71),IF($NP$71="Single_Point",IF(238=$NR$71,$NN$71,0),IF($NP$71="Bell_Curve",$NN$71*(238-$NR$71+1)*($NS$71-238+1)/$NU$71,$NN$71/$NT$71)),0)</f>
        <v/>
      </c>
      <c r="II71" s="402">
        <f>IF(AND(239&gt;=$NR$71,239&lt;=$NS$71),IF($NP$71="Single_Point",IF(239=$NR$71,$NN$71,0),IF($NP$71="Bell_Curve",$NN$71*(239-$NR$71+1)*($NS$71-239+1)/$NU$71,$NN$71/$NT$71)),0)</f>
        <v/>
      </c>
      <c r="IJ71" s="402">
        <f>IF(AND(240&gt;=$NR$71,240&lt;=$NS$71),IF($NP$71="Single_Point",IF(240=$NR$71,$NN$71,0),IF($NP$71="Bell_Curve",$NN$71*(240-$NR$71+1)*($NS$71-240+1)/$NU$71,$NN$71/$NT$71)),0)</f>
        <v/>
      </c>
      <c r="IK71" s="402">
        <f>IF(AND(241&gt;=$NR$71,241&lt;=$NS$71),IF($NP$71="Single_Point",IF(241=$NR$71,$NN$71,0),IF($NP$71="Bell_Curve",$NN$71*(241-$NR$71+1)*($NS$71-241+1)/$NU$71,$NN$71/$NT$71)),0)</f>
        <v/>
      </c>
      <c r="IL71" s="402">
        <f>IF(AND(242&gt;=$NR$71,242&lt;=$NS$71),IF($NP$71="Single_Point",IF(242=$NR$71,$NN$71,0),IF($NP$71="Bell_Curve",$NN$71*(242-$NR$71+1)*($NS$71-242+1)/$NU$71,$NN$71/$NT$71)),0)</f>
        <v/>
      </c>
      <c r="IM71" s="402">
        <f>IF(AND(243&gt;=$NR$71,243&lt;=$NS$71),IF($NP$71="Single_Point",IF(243=$NR$71,$NN$71,0),IF($NP$71="Bell_Curve",$NN$71*(243-$NR$71+1)*($NS$71-243+1)/$NU$71,$NN$71/$NT$71)),0)</f>
        <v/>
      </c>
      <c r="IN71" s="402">
        <f>IF(AND(244&gt;=$NR$71,244&lt;=$NS$71),IF($NP$71="Single_Point",IF(244=$NR$71,$NN$71,0),IF($NP$71="Bell_Curve",$NN$71*(244-$NR$71+1)*($NS$71-244+1)/$NU$71,$NN$71/$NT$71)),0)</f>
        <v/>
      </c>
      <c r="IO71" s="402">
        <f>IF(AND(245&gt;=$NR$71,245&lt;=$NS$71),IF($NP$71="Single_Point",IF(245=$NR$71,$NN$71,0),IF($NP$71="Bell_Curve",$NN$71*(245-$NR$71+1)*($NS$71-245+1)/$NU$71,$NN$71/$NT$71)),0)</f>
        <v/>
      </c>
      <c r="IP71" s="402">
        <f>IF(AND(246&gt;=$NR$71,246&lt;=$NS$71),IF($NP$71="Single_Point",IF(246=$NR$71,$NN$71,0),IF($NP$71="Bell_Curve",$NN$71*(246-$NR$71+1)*($NS$71-246+1)/$NU$71,$NN$71/$NT$71)),0)</f>
        <v/>
      </c>
      <c r="IQ71" s="402">
        <f>IF(AND(247&gt;=$NR$71,247&lt;=$NS$71),IF($NP$71="Single_Point",IF(247=$NR$71,$NN$71,0),IF($NP$71="Bell_Curve",$NN$71*(247-$NR$71+1)*($NS$71-247+1)/$NU$71,$NN$71/$NT$71)),0)</f>
        <v/>
      </c>
      <c r="IR71" s="402">
        <f>IF(AND(248&gt;=$NR$71,248&lt;=$NS$71),IF($NP$71="Single_Point",IF(248=$NR$71,$NN$71,0),IF($NP$71="Bell_Curve",$NN$71*(248-$NR$71+1)*($NS$71-248+1)/$NU$71,$NN$71/$NT$71)),0)</f>
        <v/>
      </c>
      <c r="IS71" s="402">
        <f>IF(AND(249&gt;=$NR$71,249&lt;=$NS$71),IF($NP$71="Single_Point",IF(249=$NR$71,$NN$71,0),IF($NP$71="Bell_Curve",$NN$71*(249-$NR$71+1)*($NS$71-249+1)/$NU$71,$NN$71/$NT$71)),0)</f>
        <v/>
      </c>
      <c r="IT71" s="402">
        <f>IF(AND(250&gt;=$NR$71,250&lt;=$NS$71),IF($NP$71="Single_Point",IF(250=$NR$71,$NN$71,0),IF($NP$71="Bell_Curve",$NN$71*(250-$NR$71+1)*($NS$71-250+1)/$NU$71,$NN$71/$NT$71)),0)</f>
        <v/>
      </c>
      <c r="IU71" s="402">
        <f>IF(AND(251&gt;=$NR$71,251&lt;=$NS$71),IF($NP$71="Single_Point",IF(251=$NR$71,$NN$71,0),IF($NP$71="Bell_Curve",$NN$71*(251-$NR$71+1)*($NS$71-251+1)/$NU$71,$NN$71/$NT$71)),0)</f>
        <v/>
      </c>
      <c r="IV71" s="402">
        <f>IF(AND(252&gt;=$NR$71,252&lt;=$NS$71),IF($NP$71="Single_Point",IF(252=$NR$71,$NN$71,0),IF($NP$71="Bell_Curve",$NN$71*(252-$NR$71+1)*($NS$71-252+1)/$NU$71,$NN$71/$NT$71)),0)</f>
        <v/>
      </c>
      <c r="IW71" s="402">
        <f>IF(AND(253&gt;=$NR$71,253&lt;=$NS$71),IF($NP$71="Single_Point",IF(253=$NR$71,$NN$71,0),IF($NP$71="Bell_Curve",$NN$71*(253-$NR$71+1)*($NS$71-253+1)/$NU$71,$NN$71/$NT$71)),0)</f>
        <v/>
      </c>
      <c r="IX71" s="402">
        <f>IF(AND(254&gt;=$NR$71,254&lt;=$NS$71),IF($NP$71="Single_Point",IF(254=$NR$71,$NN$71,0),IF($NP$71="Bell_Curve",$NN$71*(254-$NR$71+1)*($NS$71-254+1)/$NU$71,$NN$71/$NT$71)),0)</f>
        <v/>
      </c>
      <c r="IY71" s="402">
        <f>IF(AND(255&gt;=$NR$71,255&lt;=$NS$71),IF($NP$71="Single_Point",IF(255=$NR$71,$NN$71,0),IF($NP$71="Bell_Curve",$NN$71*(255-$NR$71+1)*($NS$71-255+1)/$NU$71,$NN$71/$NT$71)),0)</f>
        <v/>
      </c>
      <c r="IZ71" s="402">
        <f>IF(AND(256&gt;=$NR$71,256&lt;=$NS$71),IF($NP$71="Single_Point",IF(256=$NR$71,$NN$71,0),IF($NP$71="Bell_Curve",$NN$71*(256-$NR$71+1)*($NS$71-256+1)/$NU$71,$NN$71/$NT$71)),0)</f>
        <v/>
      </c>
      <c r="JA71" s="402">
        <f>IF(AND(257&gt;=$NR$71,257&lt;=$NS$71),IF($NP$71="Single_Point",IF(257=$NR$71,$NN$71,0),IF($NP$71="Bell_Curve",$NN$71*(257-$NR$71+1)*($NS$71-257+1)/$NU$71,$NN$71/$NT$71)),0)</f>
        <v/>
      </c>
      <c r="JB71" s="402">
        <f>IF(AND(258&gt;=$NR$71,258&lt;=$NS$71),IF($NP$71="Single_Point",IF(258=$NR$71,$NN$71,0),IF($NP$71="Bell_Curve",$NN$71*(258-$NR$71+1)*($NS$71-258+1)/$NU$71,$NN$71/$NT$71)),0)</f>
        <v/>
      </c>
      <c r="JC71" s="402">
        <f>IF(AND(259&gt;=$NR$71,259&lt;=$NS$71),IF($NP$71="Single_Point",IF(259=$NR$71,$NN$71,0),IF($NP$71="Bell_Curve",$NN$71*(259-$NR$71+1)*($NS$71-259+1)/$NU$71,$NN$71/$NT$71)),0)</f>
        <v/>
      </c>
      <c r="JD71" s="402">
        <f>IF(AND(260&gt;=$NR$71,260&lt;=$NS$71),IF($NP$71="Single_Point",IF(260=$NR$71,$NN$71,0),IF($NP$71="Bell_Curve",$NN$71*(260-$NR$71+1)*($NS$71-260+1)/$NU$71,$NN$71/$NT$71)),0)</f>
        <v/>
      </c>
      <c r="JE71" s="402">
        <f>IF(AND(261&gt;=$NR$71,261&lt;=$NS$71),IF($NP$71="Single_Point",IF(261=$NR$71,$NN$71,0),IF($NP$71="Bell_Curve",$NN$71*(261-$NR$71+1)*($NS$71-261+1)/$NU$71,$NN$71/$NT$71)),0)</f>
        <v/>
      </c>
      <c r="JF71" s="402">
        <f>IF(AND(262&gt;=$NR$71,262&lt;=$NS$71),IF($NP$71="Single_Point",IF(262=$NR$71,$NN$71,0),IF($NP$71="Bell_Curve",$NN$71*(262-$NR$71+1)*($NS$71-262+1)/$NU$71,$NN$71/$NT$71)),0)</f>
        <v/>
      </c>
      <c r="JG71" s="402">
        <f>IF(AND(263&gt;=$NR$71,263&lt;=$NS$71),IF($NP$71="Single_Point",IF(263=$NR$71,$NN$71,0),IF($NP$71="Bell_Curve",$NN$71*(263-$NR$71+1)*($NS$71-263+1)/$NU$71,$NN$71/$NT$71)),0)</f>
        <v/>
      </c>
      <c r="JH71" s="402">
        <f>IF(AND(264&gt;=$NR$71,264&lt;=$NS$71),IF($NP$71="Single_Point",IF(264=$NR$71,$NN$71,0),IF($NP$71="Bell_Curve",$NN$71*(264-$NR$71+1)*($NS$71-264+1)/$NU$71,$NN$71/$NT$71)),0)</f>
        <v/>
      </c>
      <c r="JI71" s="402">
        <f>IF(AND(265&gt;=$NR$71,265&lt;=$NS$71),IF($NP$71="Single_Point",IF(265=$NR$71,$NN$71,0),IF($NP$71="Bell_Curve",$NN$71*(265-$NR$71+1)*($NS$71-265+1)/$NU$71,$NN$71/$NT$71)),0)</f>
        <v/>
      </c>
      <c r="JJ71" s="402">
        <f>IF(AND(266&gt;=$NR$71,266&lt;=$NS$71),IF($NP$71="Single_Point",IF(266=$NR$71,$NN$71,0),IF($NP$71="Bell_Curve",$NN$71*(266-$NR$71+1)*($NS$71-266+1)/$NU$71,$NN$71/$NT$71)),0)</f>
        <v/>
      </c>
      <c r="JK71" s="402">
        <f>IF(AND(267&gt;=$NR$71,267&lt;=$NS$71),IF($NP$71="Single_Point",IF(267=$NR$71,$NN$71,0),IF($NP$71="Bell_Curve",$NN$71*(267-$NR$71+1)*($NS$71-267+1)/$NU$71,$NN$71/$NT$71)),0)</f>
        <v/>
      </c>
      <c r="JL71" s="402">
        <f>IF(AND(268&gt;=$NR$71,268&lt;=$NS$71),IF($NP$71="Single_Point",IF(268=$NR$71,$NN$71,0),IF($NP$71="Bell_Curve",$NN$71*(268-$NR$71+1)*($NS$71-268+1)/$NU$71,$NN$71/$NT$71)),0)</f>
        <v/>
      </c>
      <c r="JM71" s="402">
        <f>IF(AND(269&gt;=$NR$71,269&lt;=$NS$71),IF($NP$71="Single_Point",IF(269=$NR$71,$NN$71,0),IF($NP$71="Bell_Curve",$NN$71*(269-$NR$71+1)*($NS$71-269+1)/$NU$71,$NN$71/$NT$71)),0)</f>
        <v/>
      </c>
      <c r="JN71" s="402">
        <f>IF(AND(270&gt;=$NR$71,270&lt;=$NS$71),IF($NP$71="Single_Point",IF(270=$NR$71,$NN$71,0),IF($NP$71="Bell_Curve",$NN$71*(270-$NR$71+1)*($NS$71-270+1)/$NU$71,$NN$71/$NT$71)),0)</f>
        <v/>
      </c>
      <c r="JO71" s="402">
        <f>IF(AND(271&gt;=$NR$71,271&lt;=$NS$71),IF($NP$71="Single_Point",IF(271=$NR$71,$NN$71,0),IF($NP$71="Bell_Curve",$NN$71*(271-$NR$71+1)*($NS$71-271+1)/$NU$71,$NN$71/$NT$71)),0)</f>
        <v/>
      </c>
      <c r="JP71" s="402">
        <f>IF(AND(272&gt;=$NR$71,272&lt;=$NS$71),IF($NP$71="Single_Point",IF(272=$NR$71,$NN$71,0),IF($NP$71="Bell_Curve",$NN$71*(272-$NR$71+1)*($NS$71-272+1)/$NU$71,$NN$71/$NT$71)),0)</f>
        <v/>
      </c>
      <c r="JQ71" s="402">
        <f>IF(AND(273&gt;=$NR$71,273&lt;=$NS$71),IF($NP$71="Single_Point",IF(273=$NR$71,$NN$71,0),IF($NP$71="Bell_Curve",$NN$71*(273-$NR$71+1)*($NS$71-273+1)/$NU$71,$NN$71/$NT$71)),0)</f>
        <v/>
      </c>
      <c r="JR71" s="402">
        <f>IF(AND(274&gt;=$NR$71,274&lt;=$NS$71),IF($NP$71="Single_Point",IF(274=$NR$71,$NN$71,0),IF($NP$71="Bell_Curve",$NN$71*(274-$NR$71+1)*($NS$71-274+1)/$NU$71,$NN$71/$NT$71)),0)</f>
        <v/>
      </c>
      <c r="JS71" s="402">
        <f>IF(AND(275&gt;=$NR$71,275&lt;=$NS$71),IF($NP$71="Single_Point",IF(275=$NR$71,$NN$71,0),IF($NP$71="Bell_Curve",$NN$71*(275-$NR$71+1)*($NS$71-275+1)/$NU$71,$NN$71/$NT$71)),0)</f>
        <v/>
      </c>
      <c r="JT71" s="402">
        <f>IF(AND(276&gt;=$NR$71,276&lt;=$NS$71),IF($NP$71="Single_Point",IF(276=$NR$71,$NN$71,0),IF($NP$71="Bell_Curve",$NN$71*(276-$NR$71+1)*($NS$71-276+1)/$NU$71,$NN$71/$NT$71)),0)</f>
        <v/>
      </c>
      <c r="JU71" s="402">
        <f>IF(AND(277&gt;=$NR$71,277&lt;=$NS$71),IF($NP$71="Single_Point",IF(277=$NR$71,$NN$71,0),IF($NP$71="Bell_Curve",$NN$71*(277-$NR$71+1)*($NS$71-277+1)/$NU$71,$NN$71/$NT$71)),0)</f>
        <v/>
      </c>
      <c r="JV71" s="402">
        <f>IF(AND(278&gt;=$NR$71,278&lt;=$NS$71),IF($NP$71="Single_Point",IF(278=$NR$71,$NN$71,0),IF($NP$71="Bell_Curve",$NN$71*(278-$NR$71+1)*($NS$71-278+1)/$NU$71,$NN$71/$NT$71)),0)</f>
        <v/>
      </c>
      <c r="JW71" s="402">
        <f>IF(AND(279&gt;=$NR$71,279&lt;=$NS$71),IF($NP$71="Single_Point",IF(279=$NR$71,$NN$71,0),IF($NP$71="Bell_Curve",$NN$71*(279-$NR$71+1)*($NS$71-279+1)/$NU$71,$NN$71/$NT$71)),0)</f>
        <v/>
      </c>
      <c r="JX71" s="402">
        <f>IF(AND(280&gt;=$NR$71,280&lt;=$NS$71),IF($NP$71="Single_Point",IF(280=$NR$71,$NN$71,0),IF($NP$71="Bell_Curve",$NN$71*(280-$NR$71+1)*($NS$71-280+1)/$NU$71,$NN$71/$NT$71)),0)</f>
        <v/>
      </c>
      <c r="JY71" s="402">
        <f>IF(AND(281&gt;=$NR$71,281&lt;=$NS$71),IF($NP$71="Single_Point",IF(281=$NR$71,$NN$71,0),IF($NP$71="Bell_Curve",$NN$71*(281-$NR$71+1)*($NS$71-281+1)/$NU$71,$NN$71/$NT$71)),0)</f>
        <v/>
      </c>
      <c r="JZ71" s="402">
        <f>IF(AND(282&gt;=$NR$71,282&lt;=$NS$71),IF($NP$71="Single_Point",IF(282=$NR$71,$NN$71,0),IF($NP$71="Bell_Curve",$NN$71*(282-$NR$71+1)*($NS$71-282+1)/$NU$71,$NN$71/$NT$71)),0)</f>
        <v/>
      </c>
      <c r="KA71" s="402">
        <f>IF(AND(283&gt;=$NR$71,283&lt;=$NS$71),IF($NP$71="Single_Point",IF(283=$NR$71,$NN$71,0),IF($NP$71="Bell_Curve",$NN$71*(283-$NR$71+1)*($NS$71-283+1)/$NU$71,$NN$71/$NT$71)),0)</f>
        <v/>
      </c>
      <c r="KB71" s="402">
        <f>IF(AND(284&gt;=$NR$71,284&lt;=$NS$71),IF($NP$71="Single_Point",IF(284=$NR$71,$NN$71,0),IF($NP$71="Bell_Curve",$NN$71*(284-$NR$71+1)*($NS$71-284+1)/$NU$71,$NN$71/$NT$71)),0)</f>
        <v/>
      </c>
      <c r="KC71" s="402">
        <f>IF(AND(285&gt;=$NR$71,285&lt;=$NS$71),IF($NP$71="Single_Point",IF(285=$NR$71,$NN$71,0),IF($NP$71="Bell_Curve",$NN$71*(285-$NR$71+1)*($NS$71-285+1)/$NU$71,$NN$71/$NT$71)),0)</f>
        <v/>
      </c>
      <c r="KD71" s="402">
        <f>IF(AND(286&gt;=$NR$71,286&lt;=$NS$71),IF($NP$71="Single_Point",IF(286=$NR$71,$NN$71,0),IF($NP$71="Bell_Curve",$NN$71*(286-$NR$71+1)*($NS$71-286+1)/$NU$71,$NN$71/$NT$71)),0)</f>
        <v/>
      </c>
      <c r="KE71" s="402">
        <f>IF(AND(287&gt;=$NR$71,287&lt;=$NS$71),IF($NP$71="Single_Point",IF(287=$NR$71,$NN$71,0),IF($NP$71="Bell_Curve",$NN$71*(287-$NR$71+1)*($NS$71-287+1)/$NU$71,$NN$71/$NT$71)),0)</f>
        <v/>
      </c>
      <c r="KF71" s="402">
        <f>IF(AND(288&gt;=$NR$71,288&lt;=$NS$71),IF($NP$71="Single_Point",IF(288=$NR$71,$NN$71,0),IF($NP$71="Bell_Curve",$NN$71*(288-$NR$71+1)*($NS$71-288+1)/$NU$71,$NN$71/$NT$71)),0)</f>
        <v/>
      </c>
      <c r="KG71" s="402">
        <f>IF(AND(289&gt;=$NR$71,289&lt;=$NS$71),IF($NP$71="Single_Point",IF(289=$NR$71,$NN$71,0),IF($NP$71="Bell_Curve",$NN$71*(289-$NR$71+1)*($NS$71-289+1)/$NU$71,$NN$71/$NT$71)),0)</f>
        <v/>
      </c>
      <c r="KH71" s="402">
        <f>IF(AND(290&gt;=$NR$71,290&lt;=$NS$71),IF($NP$71="Single_Point",IF(290=$NR$71,$NN$71,0),IF($NP$71="Bell_Curve",$NN$71*(290-$NR$71+1)*($NS$71-290+1)/$NU$71,$NN$71/$NT$71)),0)</f>
        <v/>
      </c>
      <c r="KI71" s="402">
        <f>IF(AND(291&gt;=$NR$71,291&lt;=$NS$71),IF($NP$71="Single_Point",IF(291=$NR$71,$NN$71,0),IF($NP$71="Bell_Curve",$NN$71*(291-$NR$71+1)*($NS$71-291+1)/$NU$71,$NN$71/$NT$71)),0)</f>
        <v/>
      </c>
      <c r="KJ71" s="402">
        <f>IF(AND(292&gt;=$NR$71,292&lt;=$NS$71),IF($NP$71="Single_Point",IF(292=$NR$71,$NN$71,0),IF($NP$71="Bell_Curve",$NN$71*(292-$NR$71+1)*($NS$71-292+1)/$NU$71,$NN$71/$NT$71)),0)</f>
        <v/>
      </c>
      <c r="KK71" s="402">
        <f>IF(AND(293&gt;=$NR$71,293&lt;=$NS$71),IF($NP$71="Single_Point",IF(293=$NR$71,$NN$71,0),IF($NP$71="Bell_Curve",$NN$71*(293-$NR$71+1)*($NS$71-293+1)/$NU$71,$NN$71/$NT$71)),0)</f>
        <v/>
      </c>
      <c r="KL71" s="402">
        <f>IF(AND(294&gt;=$NR$71,294&lt;=$NS$71),IF($NP$71="Single_Point",IF(294=$NR$71,$NN$71,0),IF($NP$71="Bell_Curve",$NN$71*(294-$NR$71+1)*($NS$71-294+1)/$NU$71,$NN$71/$NT$71)),0)</f>
        <v/>
      </c>
      <c r="KM71" s="402">
        <f>IF(AND(295&gt;=$NR$71,295&lt;=$NS$71),IF($NP$71="Single_Point",IF(295=$NR$71,$NN$71,0),IF($NP$71="Bell_Curve",$NN$71*(295-$NR$71+1)*($NS$71-295+1)/$NU$71,$NN$71/$NT$71)),0)</f>
        <v/>
      </c>
      <c r="KN71" s="402">
        <f>IF(AND(296&gt;=$NR$71,296&lt;=$NS$71),IF($NP$71="Single_Point",IF(296=$NR$71,$NN$71,0),IF($NP$71="Bell_Curve",$NN$71*(296-$NR$71+1)*($NS$71-296+1)/$NU$71,$NN$71/$NT$71)),0)</f>
        <v/>
      </c>
      <c r="KO71" s="402">
        <f>IF(AND(297&gt;=$NR$71,297&lt;=$NS$71),IF($NP$71="Single_Point",IF(297=$NR$71,$NN$71,0),IF($NP$71="Bell_Curve",$NN$71*(297-$NR$71+1)*($NS$71-297+1)/$NU$71,$NN$71/$NT$71)),0)</f>
        <v/>
      </c>
      <c r="KP71" s="402">
        <f>IF(AND(298&gt;=$NR$71,298&lt;=$NS$71),IF($NP$71="Single_Point",IF(298=$NR$71,$NN$71,0),IF($NP$71="Bell_Curve",$NN$71*(298-$NR$71+1)*($NS$71-298+1)/$NU$71,$NN$71/$NT$71)),0)</f>
        <v/>
      </c>
      <c r="KQ71" s="402">
        <f>IF(AND(299&gt;=$NR$71,299&lt;=$NS$71),IF($NP$71="Single_Point",IF(299=$NR$71,$NN$71,0),IF($NP$71="Bell_Curve",$NN$71*(299-$NR$71+1)*($NS$71-299+1)/$NU$71,$NN$71/$NT$71)),0)</f>
        <v/>
      </c>
      <c r="KR71" s="402">
        <f>IF(AND(300&gt;=$NR$71,300&lt;=$NS$71),IF($NP$71="Single_Point",IF(300=$NR$71,$NN$71,0),IF($NP$71="Bell_Curve",$NN$71*(300-$NR$71+1)*($NS$71-300+1)/$NU$71,$NN$71/$NT$71)),0)</f>
        <v/>
      </c>
      <c r="KS71" s="402">
        <f>IF(AND(301&gt;=$NR$71,301&lt;=$NS$71),IF($NP$71="Single_Point",IF(301=$NR$71,$NN$71,0),IF($NP$71="Bell_Curve",$NN$71*(301-$NR$71+1)*($NS$71-301+1)/$NU$71,$NN$71/$NT$71)),0)</f>
        <v/>
      </c>
      <c r="KT71" s="402">
        <f>IF(AND(302&gt;=$NR$71,302&lt;=$NS$71),IF($NP$71="Single_Point",IF(302=$NR$71,$NN$71,0),IF($NP$71="Bell_Curve",$NN$71*(302-$NR$71+1)*($NS$71-302+1)/$NU$71,$NN$71/$NT$71)),0)</f>
        <v/>
      </c>
      <c r="KU71" s="402">
        <f>IF(AND(303&gt;=$NR$71,303&lt;=$NS$71),IF($NP$71="Single_Point",IF(303=$NR$71,$NN$71,0),IF($NP$71="Bell_Curve",$NN$71*(303-$NR$71+1)*($NS$71-303+1)/$NU$71,$NN$71/$NT$71)),0)</f>
        <v/>
      </c>
      <c r="KV71" s="402">
        <f>IF(AND(304&gt;=$NR$71,304&lt;=$NS$71),IF($NP$71="Single_Point",IF(304=$NR$71,$NN$71,0),IF($NP$71="Bell_Curve",$NN$71*(304-$NR$71+1)*($NS$71-304+1)/$NU$71,$NN$71/$NT$71)),0)</f>
        <v/>
      </c>
      <c r="KW71" s="402">
        <f>IF(AND(305&gt;=$NR$71,305&lt;=$NS$71),IF($NP$71="Single_Point",IF(305=$NR$71,$NN$71,0),IF($NP$71="Bell_Curve",$NN$71*(305-$NR$71+1)*($NS$71-305+1)/$NU$71,$NN$71/$NT$71)),0)</f>
        <v/>
      </c>
      <c r="KX71" s="402">
        <f>IF(AND(306&gt;=$NR$71,306&lt;=$NS$71),IF($NP$71="Single_Point",IF(306=$NR$71,$NN$71,0),IF($NP$71="Bell_Curve",$NN$71*(306-$NR$71+1)*($NS$71-306+1)/$NU$71,$NN$71/$NT$71)),0)</f>
        <v/>
      </c>
      <c r="KY71" s="402">
        <f>IF(AND(307&gt;=$NR$71,307&lt;=$NS$71),IF($NP$71="Single_Point",IF(307=$NR$71,$NN$71,0),IF($NP$71="Bell_Curve",$NN$71*(307-$NR$71+1)*($NS$71-307+1)/$NU$71,$NN$71/$NT$71)),0)</f>
        <v/>
      </c>
      <c r="KZ71" s="402">
        <f>IF(AND(308&gt;=$NR$71,308&lt;=$NS$71),IF($NP$71="Single_Point",IF(308=$NR$71,$NN$71,0),IF($NP$71="Bell_Curve",$NN$71*(308-$NR$71+1)*($NS$71-308+1)/$NU$71,$NN$71/$NT$71)),0)</f>
        <v/>
      </c>
      <c r="LA71" s="402">
        <f>IF(AND(309&gt;=$NR$71,309&lt;=$NS$71),IF($NP$71="Single_Point",IF(309=$NR$71,$NN$71,0),IF($NP$71="Bell_Curve",$NN$71*(309-$NR$71+1)*($NS$71-309+1)/$NU$71,$NN$71/$NT$71)),0)</f>
        <v/>
      </c>
      <c r="LB71" s="402">
        <f>IF(AND(310&gt;=$NR$71,310&lt;=$NS$71),IF($NP$71="Single_Point",IF(310=$NR$71,$NN$71,0),IF($NP$71="Bell_Curve",$NN$71*(310-$NR$71+1)*($NS$71-310+1)/$NU$71,$NN$71/$NT$71)),0)</f>
        <v/>
      </c>
      <c r="LC71" s="402">
        <f>IF(AND(311&gt;=$NR$71,311&lt;=$NS$71),IF($NP$71="Single_Point",IF(311=$NR$71,$NN$71,0),IF($NP$71="Bell_Curve",$NN$71*(311-$NR$71+1)*($NS$71-311+1)/$NU$71,$NN$71/$NT$71)),0)</f>
        <v/>
      </c>
      <c r="LD71" s="402">
        <f>IF(AND(312&gt;=$NR$71,312&lt;=$NS$71),IF($NP$71="Single_Point",IF(312=$NR$71,$NN$71,0),IF($NP$71="Bell_Curve",$NN$71*(312-$NR$71+1)*($NS$71-312+1)/$NU$71,$NN$71/$NT$71)),0)</f>
        <v/>
      </c>
      <c r="LE71" s="402">
        <f>IF(AND(313&gt;=$NR$71,313&lt;=$NS$71),IF($NP$71="Single_Point",IF(313=$NR$71,$NN$71,0),IF($NP$71="Bell_Curve",$NN$71*(313-$NR$71+1)*($NS$71-313+1)/$NU$71,$NN$71/$NT$71)),0)</f>
        <v/>
      </c>
      <c r="LF71" s="402">
        <f>IF(AND(314&gt;=$NR$71,314&lt;=$NS$71),IF($NP$71="Single_Point",IF(314=$NR$71,$NN$71,0),IF($NP$71="Bell_Curve",$NN$71*(314-$NR$71+1)*($NS$71-314+1)/$NU$71,$NN$71/$NT$71)),0)</f>
        <v/>
      </c>
      <c r="LG71" s="402">
        <f>IF(AND(315&gt;=$NR$71,315&lt;=$NS$71),IF($NP$71="Single_Point",IF(315=$NR$71,$NN$71,0),IF($NP$71="Bell_Curve",$NN$71*(315-$NR$71+1)*($NS$71-315+1)/$NU$71,$NN$71/$NT$71)),0)</f>
        <v/>
      </c>
      <c r="LH71" s="402">
        <f>IF(AND(316&gt;=$NR$71,316&lt;=$NS$71),IF($NP$71="Single_Point",IF(316=$NR$71,$NN$71,0),IF($NP$71="Bell_Curve",$NN$71*(316-$NR$71+1)*($NS$71-316+1)/$NU$71,$NN$71/$NT$71)),0)</f>
        <v/>
      </c>
      <c r="LI71" s="402">
        <f>IF(AND(317&gt;=$NR$71,317&lt;=$NS$71),IF($NP$71="Single_Point",IF(317=$NR$71,$NN$71,0),IF($NP$71="Bell_Curve",$NN$71*(317-$NR$71+1)*($NS$71-317+1)/$NU$71,$NN$71/$NT$71)),0)</f>
        <v/>
      </c>
      <c r="LJ71" s="402">
        <f>IF(AND(318&gt;=$NR$71,318&lt;=$NS$71),IF($NP$71="Single_Point",IF(318=$NR$71,$NN$71,0),IF($NP$71="Bell_Curve",$NN$71*(318-$NR$71+1)*($NS$71-318+1)/$NU$71,$NN$71/$NT$71)),0)</f>
        <v/>
      </c>
      <c r="LK71" s="402">
        <f>IF(AND(319&gt;=$NR$71,319&lt;=$NS$71),IF($NP$71="Single_Point",IF(319=$NR$71,$NN$71,0),IF($NP$71="Bell_Curve",$NN$71*(319-$NR$71+1)*($NS$71-319+1)/$NU$71,$NN$71/$NT$71)),0)</f>
        <v/>
      </c>
      <c r="LL71" s="402">
        <f>IF(AND(320&gt;=$NR$71,320&lt;=$NS$71),IF($NP$71="Single_Point",IF(320=$NR$71,$NN$71,0),IF($NP$71="Bell_Curve",$NN$71*(320-$NR$71+1)*($NS$71-320+1)/$NU$71,$NN$71/$NT$71)),0)</f>
        <v/>
      </c>
      <c r="LM71" s="402">
        <f>IF(AND(321&gt;=$NR$71,321&lt;=$NS$71),IF($NP$71="Single_Point",IF(321=$NR$71,$NN$71,0),IF($NP$71="Bell_Curve",$NN$71*(321-$NR$71+1)*($NS$71-321+1)/$NU$71,$NN$71/$NT$71)),0)</f>
        <v/>
      </c>
      <c r="LN71" s="402">
        <f>IF(AND(322&gt;=$NR$71,322&lt;=$NS$71),IF($NP$71="Single_Point",IF(322=$NR$71,$NN$71,0),IF($NP$71="Bell_Curve",$NN$71*(322-$NR$71+1)*($NS$71-322+1)/$NU$71,$NN$71/$NT$71)),0)</f>
        <v/>
      </c>
      <c r="LO71" s="402">
        <f>IF(AND(323&gt;=$NR$71,323&lt;=$NS$71),IF($NP$71="Single_Point",IF(323=$NR$71,$NN$71,0),IF($NP$71="Bell_Curve",$NN$71*(323-$NR$71+1)*($NS$71-323+1)/$NU$71,$NN$71/$NT$71)),0)</f>
        <v/>
      </c>
      <c r="LP71" s="402">
        <f>IF(AND(324&gt;=$NR$71,324&lt;=$NS$71),IF($NP$71="Single_Point",IF(324=$NR$71,$NN$71,0),IF($NP$71="Bell_Curve",$NN$71*(324-$NR$71+1)*($NS$71-324+1)/$NU$71,$NN$71/$NT$71)),0)</f>
        <v/>
      </c>
      <c r="LQ71" s="402">
        <f>IF(AND(325&gt;=$NR$71,325&lt;=$NS$71),IF($NP$71="Single_Point",IF(325=$NR$71,$NN$71,0),IF($NP$71="Bell_Curve",$NN$71*(325-$NR$71+1)*($NS$71-325+1)/$NU$71,$NN$71/$NT$71)),0)</f>
        <v/>
      </c>
      <c r="LR71" s="402">
        <f>IF(AND(326&gt;=$NR$71,326&lt;=$NS$71),IF($NP$71="Single_Point",IF(326=$NR$71,$NN$71,0),IF($NP$71="Bell_Curve",$NN$71*(326-$NR$71+1)*($NS$71-326+1)/$NU$71,$NN$71/$NT$71)),0)</f>
        <v/>
      </c>
      <c r="LS71" s="402">
        <f>IF(AND(327&gt;=$NR$71,327&lt;=$NS$71),IF($NP$71="Single_Point",IF(327=$NR$71,$NN$71,0),IF($NP$71="Bell_Curve",$NN$71*(327-$NR$71+1)*($NS$71-327+1)/$NU$71,$NN$71/$NT$71)),0)</f>
        <v/>
      </c>
      <c r="LT71" s="402">
        <f>IF(AND(328&gt;=$NR$71,328&lt;=$NS$71),IF($NP$71="Single_Point",IF(328=$NR$71,$NN$71,0),IF($NP$71="Bell_Curve",$NN$71*(328-$NR$71+1)*($NS$71-328+1)/$NU$71,$NN$71/$NT$71)),0)</f>
        <v/>
      </c>
      <c r="LU71" s="402">
        <f>IF(AND(329&gt;=$NR$71,329&lt;=$NS$71),IF($NP$71="Single_Point",IF(329=$NR$71,$NN$71,0),IF($NP$71="Bell_Curve",$NN$71*(329-$NR$71+1)*($NS$71-329+1)/$NU$71,$NN$71/$NT$71)),0)</f>
        <v/>
      </c>
      <c r="LV71" s="402">
        <f>IF(AND(330&gt;=$NR$71,330&lt;=$NS$71),IF($NP$71="Single_Point",IF(330=$NR$71,$NN$71,0),IF($NP$71="Bell_Curve",$NN$71*(330-$NR$71+1)*($NS$71-330+1)/$NU$71,$NN$71/$NT$71)),0)</f>
        <v/>
      </c>
      <c r="LW71" s="402">
        <f>IF(AND(331&gt;=$NR$71,331&lt;=$NS$71),IF($NP$71="Single_Point",IF(331=$NR$71,$NN$71,0),IF($NP$71="Bell_Curve",$NN$71*(331-$NR$71+1)*($NS$71-331+1)/$NU$71,$NN$71/$NT$71)),0)</f>
        <v/>
      </c>
      <c r="LX71" s="402">
        <f>IF(AND(332&gt;=$NR$71,332&lt;=$NS$71),IF($NP$71="Single_Point",IF(332=$NR$71,$NN$71,0),IF($NP$71="Bell_Curve",$NN$71*(332-$NR$71+1)*($NS$71-332+1)/$NU$71,$NN$71/$NT$71)),0)</f>
        <v/>
      </c>
      <c r="LY71" s="402">
        <f>IF(AND(333&gt;=$NR$71,333&lt;=$NS$71),IF($NP$71="Single_Point",IF(333=$NR$71,$NN$71,0),IF($NP$71="Bell_Curve",$NN$71*(333-$NR$71+1)*($NS$71-333+1)/$NU$71,$NN$71/$NT$71)),0)</f>
        <v/>
      </c>
      <c r="LZ71" s="402">
        <f>IF(AND(334&gt;=$NR$71,334&lt;=$NS$71),IF($NP$71="Single_Point",IF(334=$NR$71,$NN$71,0),IF($NP$71="Bell_Curve",$NN$71*(334-$NR$71+1)*($NS$71-334+1)/$NU$71,$NN$71/$NT$71)),0)</f>
        <v/>
      </c>
      <c r="MA71" s="402">
        <f>IF(AND(335&gt;=$NR$71,335&lt;=$NS$71),IF($NP$71="Single_Point",IF(335=$NR$71,$NN$71,0),IF($NP$71="Bell_Curve",$NN$71*(335-$NR$71+1)*($NS$71-335+1)/$NU$71,$NN$71/$NT$71)),0)</f>
        <v/>
      </c>
      <c r="MB71" s="402">
        <f>IF(AND(336&gt;=$NR$71,336&lt;=$NS$71),IF($NP$71="Single_Point",IF(336=$NR$71,$NN$71,0),IF($NP$71="Bell_Curve",$NN$71*(336-$NR$71+1)*($NS$71-336+1)/$NU$71,$NN$71/$NT$71)),0)</f>
        <v/>
      </c>
      <c r="MC71" s="402">
        <f>IF(AND(337&gt;=$NR$71,337&lt;=$NS$71),IF($NP$71="Single_Point",IF(337=$NR$71,$NN$71,0),IF($NP$71="Bell_Curve",$NN$71*(337-$NR$71+1)*($NS$71-337+1)/$NU$71,$NN$71/$NT$71)),0)</f>
        <v/>
      </c>
      <c r="MD71" s="402">
        <f>IF(AND(338&gt;=$NR$71,338&lt;=$NS$71),IF($NP$71="Single_Point",IF(338=$NR$71,$NN$71,0),IF($NP$71="Bell_Curve",$NN$71*(338-$NR$71+1)*($NS$71-338+1)/$NU$71,$NN$71/$NT$71)),0)</f>
        <v/>
      </c>
      <c r="ME71" s="402">
        <f>IF(AND(339&gt;=$NR$71,339&lt;=$NS$71),IF($NP$71="Single_Point",IF(339=$NR$71,$NN$71,0),IF($NP$71="Bell_Curve",$NN$71*(339-$NR$71+1)*($NS$71-339+1)/$NU$71,$NN$71/$NT$71)),0)</f>
        <v/>
      </c>
      <c r="MF71" s="402">
        <f>IF(AND(340&gt;=$NR$71,340&lt;=$NS$71),IF($NP$71="Single_Point",IF(340=$NR$71,$NN$71,0),IF($NP$71="Bell_Curve",$NN$71*(340-$NR$71+1)*($NS$71-340+1)/$NU$71,$NN$71/$NT$71)),0)</f>
        <v/>
      </c>
      <c r="MG71" s="402">
        <f>IF(AND(341&gt;=$NR$71,341&lt;=$NS$71),IF($NP$71="Single_Point",IF(341=$NR$71,$NN$71,0),IF($NP$71="Bell_Curve",$NN$71*(341-$NR$71+1)*($NS$71-341+1)/$NU$71,$NN$71/$NT$71)),0)</f>
        <v/>
      </c>
      <c r="MH71" s="402">
        <f>IF(AND(342&gt;=$NR$71,342&lt;=$NS$71),IF($NP$71="Single_Point",IF(342=$NR$71,$NN$71,0),IF($NP$71="Bell_Curve",$NN$71*(342-$NR$71+1)*($NS$71-342+1)/$NU$71,$NN$71/$NT$71)),0)</f>
        <v/>
      </c>
      <c r="MI71" s="402">
        <f>IF(AND(343&gt;=$NR$71,343&lt;=$NS$71),IF($NP$71="Single_Point",IF(343=$NR$71,$NN$71,0),IF($NP$71="Bell_Curve",$NN$71*(343-$NR$71+1)*($NS$71-343+1)/$NU$71,$NN$71/$NT$71)),0)</f>
        <v/>
      </c>
      <c r="MJ71" s="402">
        <f>IF(AND(344&gt;=$NR$71,344&lt;=$NS$71),IF($NP$71="Single_Point",IF(344=$NR$71,$NN$71,0),IF($NP$71="Bell_Curve",$NN$71*(344-$NR$71+1)*($NS$71-344+1)/$NU$71,$NN$71/$NT$71)),0)</f>
        <v/>
      </c>
      <c r="MK71" s="402">
        <f>IF(AND(345&gt;=$NR$71,345&lt;=$NS$71),IF($NP$71="Single_Point",IF(345=$NR$71,$NN$71,0),IF($NP$71="Bell_Curve",$NN$71*(345-$NR$71+1)*($NS$71-345+1)/$NU$71,$NN$71/$NT$71)),0)</f>
        <v/>
      </c>
      <c r="ML71" s="402">
        <f>IF(AND(346&gt;=$NR$71,346&lt;=$NS$71),IF($NP$71="Single_Point",IF(346=$NR$71,$NN$71,0),IF($NP$71="Bell_Curve",$NN$71*(346-$NR$71+1)*($NS$71-346+1)/$NU$71,$NN$71/$NT$71)),0)</f>
        <v/>
      </c>
      <c r="MM71" s="402">
        <f>IF(AND(347&gt;=$NR$71,347&lt;=$NS$71),IF($NP$71="Single_Point",IF(347=$NR$71,$NN$71,0),IF($NP$71="Bell_Curve",$NN$71*(347-$NR$71+1)*($NS$71-347+1)/$NU$71,$NN$71/$NT$71)),0)</f>
        <v/>
      </c>
      <c r="MN71" s="402">
        <f>IF(AND(348&gt;=$NR$71,348&lt;=$NS$71),IF($NP$71="Single_Point",IF(348=$NR$71,$NN$71,0),IF($NP$71="Bell_Curve",$NN$71*(348-$NR$71+1)*($NS$71-348+1)/$NU$71,$NN$71/$NT$71)),0)</f>
        <v/>
      </c>
      <c r="MO71" s="402">
        <f>IF(AND(349&gt;=$NR$71,349&lt;=$NS$71),IF($NP$71="Single_Point",IF(349=$NR$71,$NN$71,0),IF($NP$71="Bell_Curve",$NN$71*(349-$NR$71+1)*($NS$71-349+1)/$NU$71,$NN$71/$NT$71)),0)</f>
        <v/>
      </c>
      <c r="MP71" s="402">
        <f>IF(AND(350&gt;=$NR$71,350&lt;=$NS$71),IF($NP$71="Single_Point",IF(350=$NR$71,$NN$71,0),IF($NP$71="Bell_Curve",$NN$71*(350-$NR$71+1)*($NS$71-350+1)/$NU$71,$NN$71/$NT$71)),0)</f>
        <v/>
      </c>
      <c r="MQ71" s="402">
        <f>IF(AND(351&gt;=$NR$71,351&lt;=$NS$71),IF($NP$71="Single_Point",IF(351=$NR$71,$NN$71,0),IF($NP$71="Bell_Curve",$NN$71*(351-$NR$71+1)*($NS$71-351+1)/$NU$71,$NN$71/$NT$71)),0)</f>
        <v/>
      </c>
      <c r="MR71" s="402">
        <f>IF(AND(352&gt;=$NR$71,352&lt;=$NS$71),IF($NP$71="Single_Point",IF(352=$NR$71,$NN$71,0),IF($NP$71="Bell_Curve",$NN$71*(352-$NR$71+1)*($NS$71-352+1)/$NU$71,$NN$71/$NT$71)),0)</f>
        <v/>
      </c>
      <c r="MS71" s="402">
        <f>IF(AND(353&gt;=$NR$71,353&lt;=$NS$71),IF($NP$71="Single_Point",IF(353=$NR$71,$NN$71,0),IF($NP$71="Bell_Curve",$NN$71*(353-$NR$71+1)*($NS$71-353+1)/$NU$71,$NN$71/$NT$71)),0)</f>
        <v/>
      </c>
      <c r="MT71" s="402">
        <f>IF(AND(354&gt;=$NR$71,354&lt;=$NS$71),IF($NP$71="Single_Point",IF(354=$NR$71,$NN$71,0),IF($NP$71="Bell_Curve",$NN$71*(354-$NR$71+1)*($NS$71-354+1)/$NU$71,$NN$71/$NT$71)),0)</f>
        <v/>
      </c>
      <c r="MU71" s="402">
        <f>IF(AND(355&gt;=$NR$71,355&lt;=$NS$71),IF($NP$71="Single_Point",IF(355=$NR$71,$NN$71,0),IF($NP$71="Bell_Curve",$NN$71*(355-$NR$71+1)*($NS$71-355+1)/$NU$71,$NN$71/$NT$71)),0)</f>
        <v/>
      </c>
      <c r="MV71" s="402">
        <f>IF(AND(356&gt;=$NR$71,356&lt;=$NS$71),IF($NP$71="Single_Point",IF(356=$NR$71,$NN$71,0),IF($NP$71="Bell_Curve",$NN$71*(356-$NR$71+1)*($NS$71-356+1)/$NU$71,$NN$71/$NT$71)),0)</f>
        <v/>
      </c>
      <c r="MW71" s="402">
        <f>IF(AND(357&gt;=$NR$71,357&lt;=$NS$71),IF($NP$71="Single_Point",IF(357=$NR$71,$NN$71,0),IF($NP$71="Bell_Curve",$NN$71*(357-$NR$71+1)*($NS$71-357+1)/$NU$71,$NN$71/$NT$71)),0)</f>
        <v/>
      </c>
      <c r="MX71" s="402">
        <f>IF(AND(358&gt;=$NR$71,358&lt;=$NS$71),IF($NP$71="Single_Point",IF(358=$NR$71,$NN$71,0),IF($NP$71="Bell_Curve",$NN$71*(358-$NR$71+1)*($NS$71-358+1)/$NU$71,$NN$71/$NT$71)),0)</f>
        <v/>
      </c>
      <c r="MY71" s="402">
        <f>IF(AND(359&gt;=$NR$71,359&lt;=$NS$71),IF($NP$71="Single_Point",IF(359=$NR$71,$NN$71,0),IF($NP$71="Bell_Curve",$NN$71*(359-$NR$71+1)*($NS$71-359+1)/$NU$71,$NN$71/$NT$71)),0)</f>
        <v/>
      </c>
      <c r="MZ71" s="402">
        <f>IF(AND(360&gt;=$NR$71,360&lt;=$NS$71),IF($NP$71="Single_Point",IF(360=$NR$71,$NN$71,0),IF($NP$71="Bell_Curve",$NN$71*(360-$NR$71+1)*($NS$71-360+1)/$NU$71,$NN$71/$NT$71)),0)</f>
        <v/>
      </c>
      <c r="NA71" s="402">
        <f>IF(AND(361&gt;=$NR$71,361&lt;=$NS$71),IF($NP$71="Single_Point",IF(361=$NR$71,$NN$71,0),IF($NP$71="Bell_Curve",$NN$71*(361-$NR$71+1)*($NS$71-361+1)/$NU$71,$NN$71/$NT$71)),0)</f>
        <v/>
      </c>
      <c r="NB71" s="402">
        <f>IF(AND(362&gt;=$NR$71,362&lt;=$NS$71),IF($NP$71="Single_Point",IF(362=$NR$71,$NN$71,0),IF($NP$71="Bell_Curve",$NN$71*(362-$NR$71+1)*($NS$71-362+1)/$NU$71,$NN$71/$NT$71)),0)</f>
        <v/>
      </c>
      <c r="NC71" s="402">
        <f>IF(AND(363&gt;=$NR$71,363&lt;=$NS$71),IF($NP$71="Single_Point",IF(363=$NR$71,$NN$71,0),IF($NP$71="Bell_Curve",$NN$71*(363-$NR$71+1)*($NS$71-363+1)/$NU$71,$NN$71/$NT$71)),0)</f>
        <v/>
      </c>
      <c r="ND71" s="402">
        <f>IF(AND(364&gt;=$NR$71,364&lt;=$NS$71),IF($NP$71="Single_Point",IF(364=$NR$71,$NN$71,0),IF($NP$71="Bell_Curve",$NN$71*(364-$NR$71+1)*($NS$71-364+1)/$NU$71,$NN$71/$NT$71)),0)</f>
        <v/>
      </c>
      <c r="NE71" s="402">
        <f>IF(AND(365&gt;=$NR$71,365&lt;=$NS$71),IF($NP$71="Single_Point",IF(365=$NR$71,$NN$71,0),IF($NP$71="Bell_Curve",$NN$71*(365-$NR$71+1)*($NS$71-365+1)/$NU$71,$NN$71/$NT$71)),0)</f>
        <v/>
      </c>
      <c r="NF71" s="402">
        <f>IF(AND(366&gt;=$NR$71,366&lt;=$NS$71),IF($NP$71="Single_Point",IF(366=$NR$71,$NN$71,0),IF($NP$71="Bell_Curve",$NN$71*(366-$NR$71+1)*($NS$71-366+1)/$NU$71,$NN$71/$NT$71)),0)</f>
        <v/>
      </c>
      <c r="NG71" s="402">
        <f>IF(AND(367&gt;=$NR$71,367&lt;=$NS$71),IF($NP$71="Single_Point",IF(367=$NR$71,$NN$71,0),IF($NP$71="Bell_Curve",$NN$71*(367-$NR$71+1)*($NS$71-367+1)/$NU$71,$NN$71/$NT$71)),0)</f>
        <v/>
      </c>
      <c r="NH71" s="402">
        <f>IF(AND(368&gt;=$NR$71,368&lt;=$NS$71),IF($NP$71="Single_Point",IF(368=$NR$71,$NN$71,0),IF($NP$71="Bell_Curve",$NN$71*(368-$NR$71+1)*($NS$71-368+1)/$NU$71,$NN$71/$NT$71)),0)</f>
        <v/>
      </c>
      <c r="NI71" s="402">
        <f>IF(AND(369&gt;=$NR$71,369&lt;=$NS$71),IF($NP$71="Single_Point",IF(369=$NR$71,$NN$71,0),IF($NP$71="Bell_Curve",$NN$71*(369-$NR$71+1)*($NS$71-369+1)/$NU$71,$NN$71/$NT$71)),0)</f>
        <v/>
      </c>
      <c r="NJ71" s="402">
        <f>IF(AND(370&gt;=$NR$71,370&lt;=$NS$71),IF($NP$71="Single_Point",IF(370=$NR$71,$NN$71,0),IF($NP$71="Bell_Curve",$NN$71*(370-$NR$71+1)*($NS$71-370+1)/$NU$71,$NN$71/$NT$71)),0)</f>
        <v/>
      </c>
      <c r="NK71" s="402">
        <f>IF(AND(371&gt;=$NR$71,371&lt;=$NS$71),IF($NP$71="Single_Point",IF(371=$NR$71,$NN$71,0),IF($NP$71="Bell_Curve",$NN$71*(371-$NR$71+1)*($NS$71-371+1)/$NU$71,$NN$71/$NT$71)),0)</f>
        <v/>
      </c>
      <c r="NL71" s="402">
        <f>IF(AND(372&gt;=$NR$71,372&lt;=$NS$71),IF($NP$71="Single_Point",IF(372=$NR$71,$NN$71,0),IF($NP$71="Bell_Curve",$NN$71*(372-$NR$71+1)*($NS$71-372+1)/$NU$71,$NN$71/$NT$71)),0)</f>
        <v/>
      </c>
      <c r="NM71">
        <f>Budget!C70</f>
        <v/>
      </c>
      <c r="NN71">
        <f>Budget!J70</f>
        <v/>
      </c>
      <c r="NO71">
        <f>Budget!G70</f>
        <v/>
      </c>
      <c r="NP71">
        <f>Budget!H70</f>
        <v/>
      </c>
      <c r="NQ71">
        <f>Budget!I70</f>
        <v/>
      </c>
      <c r="NR71">
        <f>MAX(1,MIN(372,INDEX(MilestoneStart,MATCH(NO71,MilestoneNames,0))+NQ71))</f>
        <v/>
      </c>
      <c r="NS71">
        <f>MAX(NR71,MIN(372,INDEX(MilestoneEnd,MATCH(NO71,MilestoneNames,0))+NQ71))</f>
        <v/>
      </c>
      <c r="NT71">
        <f>NS71-NR71+1</f>
        <v/>
      </c>
      <c r="NU71">
        <f>NT71*(NT71+1)*(NT71+2)/6</f>
        <v/>
      </c>
    </row>
    <row r="72">
      <c r="B72" s="316">
        <f>Budget!B71</f>
        <v/>
      </c>
      <c r="D72" s="402">
        <f>SUM(E72:NL72)</f>
        <v/>
      </c>
      <c r="E72" s="402">
        <f>IF(AND(1&gt;=$NR$72,1&lt;=$NS$72),IF($NP$72="Single_Point",IF(1=$NR$72,$NN$72,0),IF($NP$72="Bell_Curve",$NN$72*(1-$NR$72+1)*($NS$72-1+1)/$NU$72,$NN$72/$NT$72)),0)</f>
        <v/>
      </c>
      <c r="F72" s="402">
        <f>IF(AND(2&gt;=$NR$72,2&lt;=$NS$72),IF($NP$72="Single_Point",IF(2=$NR$72,$NN$72,0),IF($NP$72="Bell_Curve",$NN$72*(2-$NR$72+1)*($NS$72-2+1)/$NU$72,$NN$72/$NT$72)),0)</f>
        <v/>
      </c>
      <c r="G72" s="402">
        <f>IF(AND(3&gt;=$NR$72,3&lt;=$NS$72),IF($NP$72="Single_Point",IF(3=$NR$72,$NN$72,0),IF($NP$72="Bell_Curve",$NN$72*(3-$NR$72+1)*($NS$72-3+1)/$NU$72,$NN$72/$NT$72)),0)</f>
        <v/>
      </c>
      <c r="H72" s="402">
        <f>IF(AND(4&gt;=$NR$72,4&lt;=$NS$72),IF($NP$72="Single_Point",IF(4=$NR$72,$NN$72,0),IF($NP$72="Bell_Curve",$NN$72*(4-$NR$72+1)*($NS$72-4+1)/$NU$72,$NN$72/$NT$72)),0)</f>
        <v/>
      </c>
      <c r="I72" s="402">
        <f>IF(AND(5&gt;=$NR$72,5&lt;=$NS$72),IF($NP$72="Single_Point",IF(5=$NR$72,$NN$72,0),IF($NP$72="Bell_Curve",$NN$72*(5-$NR$72+1)*($NS$72-5+1)/$NU$72,$NN$72/$NT$72)),0)</f>
        <v/>
      </c>
      <c r="J72" s="402">
        <f>IF(AND(6&gt;=$NR$72,6&lt;=$NS$72),IF($NP$72="Single_Point",IF(6=$NR$72,$NN$72,0),IF($NP$72="Bell_Curve",$NN$72*(6-$NR$72+1)*($NS$72-6+1)/$NU$72,$NN$72/$NT$72)),0)</f>
        <v/>
      </c>
      <c r="K72" s="402">
        <f>IF(AND(7&gt;=$NR$72,7&lt;=$NS$72),IF($NP$72="Single_Point",IF(7=$NR$72,$NN$72,0),IF($NP$72="Bell_Curve",$NN$72*(7-$NR$72+1)*($NS$72-7+1)/$NU$72,$NN$72/$NT$72)),0)</f>
        <v/>
      </c>
      <c r="L72" s="402">
        <f>IF(AND(8&gt;=$NR$72,8&lt;=$NS$72),IF($NP$72="Single_Point",IF(8=$NR$72,$NN$72,0),IF($NP$72="Bell_Curve",$NN$72*(8-$NR$72+1)*($NS$72-8+1)/$NU$72,$NN$72/$NT$72)),0)</f>
        <v/>
      </c>
      <c r="M72" s="402">
        <f>IF(AND(9&gt;=$NR$72,9&lt;=$NS$72),IF($NP$72="Single_Point",IF(9=$NR$72,$NN$72,0),IF($NP$72="Bell_Curve",$NN$72*(9-$NR$72+1)*($NS$72-9+1)/$NU$72,$NN$72/$NT$72)),0)</f>
        <v/>
      </c>
      <c r="N72" s="402">
        <f>IF(AND(10&gt;=$NR$72,10&lt;=$NS$72),IF($NP$72="Single_Point",IF(10=$NR$72,$NN$72,0),IF($NP$72="Bell_Curve",$NN$72*(10-$NR$72+1)*($NS$72-10+1)/$NU$72,$NN$72/$NT$72)),0)</f>
        <v/>
      </c>
      <c r="O72" s="402">
        <f>IF(AND(11&gt;=$NR$72,11&lt;=$NS$72),IF($NP$72="Single_Point",IF(11=$NR$72,$NN$72,0),IF($NP$72="Bell_Curve",$NN$72*(11-$NR$72+1)*($NS$72-11+1)/$NU$72,$NN$72/$NT$72)),0)</f>
        <v/>
      </c>
      <c r="P72" s="402">
        <f>IF(AND(12&gt;=$NR$72,12&lt;=$NS$72),IF($NP$72="Single_Point",IF(12=$NR$72,$NN$72,0),IF($NP$72="Bell_Curve",$NN$72*(12-$NR$72+1)*($NS$72-12+1)/$NU$72,$NN$72/$NT$72)),0)</f>
        <v/>
      </c>
      <c r="Q72" s="402">
        <f>IF(AND(13&gt;=$NR$72,13&lt;=$NS$72),IF($NP$72="Single_Point",IF(13=$NR$72,$NN$72,0),IF($NP$72="Bell_Curve",$NN$72*(13-$NR$72+1)*($NS$72-13+1)/$NU$72,$NN$72/$NT$72)),0)</f>
        <v/>
      </c>
      <c r="R72" s="402">
        <f>IF(AND(14&gt;=$NR$72,14&lt;=$NS$72),IF($NP$72="Single_Point",IF(14=$NR$72,$NN$72,0),IF($NP$72="Bell_Curve",$NN$72*(14-$NR$72+1)*($NS$72-14+1)/$NU$72,$NN$72/$NT$72)),0)</f>
        <v/>
      </c>
      <c r="S72" s="402">
        <f>IF(AND(15&gt;=$NR$72,15&lt;=$NS$72),IF($NP$72="Single_Point",IF(15=$NR$72,$NN$72,0),IF($NP$72="Bell_Curve",$NN$72*(15-$NR$72+1)*($NS$72-15+1)/$NU$72,$NN$72/$NT$72)),0)</f>
        <v/>
      </c>
      <c r="T72" s="402">
        <f>IF(AND(16&gt;=$NR$72,16&lt;=$NS$72),IF($NP$72="Single_Point",IF(16=$NR$72,$NN$72,0),IF($NP$72="Bell_Curve",$NN$72*(16-$NR$72+1)*($NS$72-16+1)/$NU$72,$NN$72/$NT$72)),0)</f>
        <v/>
      </c>
      <c r="U72" s="402">
        <f>IF(AND(17&gt;=$NR$72,17&lt;=$NS$72),IF($NP$72="Single_Point",IF(17=$NR$72,$NN$72,0),IF($NP$72="Bell_Curve",$NN$72*(17-$NR$72+1)*($NS$72-17+1)/$NU$72,$NN$72/$NT$72)),0)</f>
        <v/>
      </c>
      <c r="V72" s="402">
        <f>IF(AND(18&gt;=$NR$72,18&lt;=$NS$72),IF($NP$72="Single_Point",IF(18=$NR$72,$NN$72,0),IF($NP$72="Bell_Curve",$NN$72*(18-$NR$72+1)*($NS$72-18+1)/$NU$72,$NN$72/$NT$72)),0)</f>
        <v/>
      </c>
      <c r="W72" s="402">
        <f>IF(AND(19&gt;=$NR$72,19&lt;=$NS$72),IF($NP$72="Single_Point",IF(19=$NR$72,$NN$72,0),IF($NP$72="Bell_Curve",$NN$72*(19-$NR$72+1)*($NS$72-19+1)/$NU$72,$NN$72/$NT$72)),0)</f>
        <v/>
      </c>
      <c r="X72" s="402">
        <f>IF(AND(20&gt;=$NR$72,20&lt;=$NS$72),IF($NP$72="Single_Point",IF(20=$NR$72,$NN$72,0),IF($NP$72="Bell_Curve",$NN$72*(20-$NR$72+1)*($NS$72-20+1)/$NU$72,$NN$72/$NT$72)),0)</f>
        <v/>
      </c>
      <c r="Y72" s="402">
        <f>IF(AND(21&gt;=$NR$72,21&lt;=$NS$72),IF($NP$72="Single_Point",IF(21=$NR$72,$NN$72,0),IF($NP$72="Bell_Curve",$NN$72*(21-$NR$72+1)*($NS$72-21+1)/$NU$72,$NN$72/$NT$72)),0)</f>
        <v/>
      </c>
      <c r="Z72" s="402">
        <f>IF(AND(22&gt;=$NR$72,22&lt;=$NS$72),IF($NP$72="Single_Point",IF(22=$NR$72,$NN$72,0),IF($NP$72="Bell_Curve",$NN$72*(22-$NR$72+1)*($NS$72-22+1)/$NU$72,$NN$72/$NT$72)),0)</f>
        <v/>
      </c>
      <c r="AA72" s="402">
        <f>IF(AND(23&gt;=$NR$72,23&lt;=$NS$72),IF($NP$72="Single_Point",IF(23=$NR$72,$NN$72,0),IF($NP$72="Bell_Curve",$NN$72*(23-$NR$72+1)*($NS$72-23+1)/$NU$72,$NN$72/$NT$72)),0)</f>
        <v/>
      </c>
      <c r="AB72" s="402">
        <f>IF(AND(24&gt;=$NR$72,24&lt;=$NS$72),IF($NP$72="Single_Point",IF(24=$NR$72,$NN$72,0),IF($NP$72="Bell_Curve",$NN$72*(24-$NR$72+1)*($NS$72-24+1)/$NU$72,$NN$72/$NT$72)),0)</f>
        <v/>
      </c>
      <c r="AC72" s="402">
        <f>IF(AND(25&gt;=$NR$72,25&lt;=$NS$72),IF($NP$72="Single_Point",IF(25=$NR$72,$NN$72,0),IF($NP$72="Bell_Curve",$NN$72*(25-$NR$72+1)*($NS$72-25+1)/$NU$72,$NN$72/$NT$72)),0)</f>
        <v/>
      </c>
      <c r="AD72" s="402">
        <f>IF(AND(26&gt;=$NR$72,26&lt;=$NS$72),IF($NP$72="Single_Point",IF(26=$NR$72,$NN$72,0),IF($NP$72="Bell_Curve",$NN$72*(26-$NR$72+1)*($NS$72-26+1)/$NU$72,$NN$72/$NT$72)),0)</f>
        <v/>
      </c>
      <c r="AE72" s="402">
        <f>IF(AND(27&gt;=$NR$72,27&lt;=$NS$72),IF($NP$72="Single_Point",IF(27=$NR$72,$NN$72,0),IF($NP$72="Bell_Curve",$NN$72*(27-$NR$72+1)*($NS$72-27+1)/$NU$72,$NN$72/$NT$72)),0)</f>
        <v/>
      </c>
      <c r="AF72" s="402">
        <f>IF(AND(28&gt;=$NR$72,28&lt;=$NS$72),IF($NP$72="Single_Point",IF(28=$NR$72,$NN$72,0),IF($NP$72="Bell_Curve",$NN$72*(28-$NR$72+1)*($NS$72-28+1)/$NU$72,$NN$72/$NT$72)),0)</f>
        <v/>
      </c>
      <c r="AG72" s="402">
        <f>IF(AND(29&gt;=$NR$72,29&lt;=$NS$72),IF($NP$72="Single_Point",IF(29=$NR$72,$NN$72,0),IF($NP$72="Bell_Curve",$NN$72*(29-$NR$72+1)*($NS$72-29+1)/$NU$72,$NN$72/$NT$72)),0)</f>
        <v/>
      </c>
      <c r="AH72" s="402">
        <f>IF(AND(30&gt;=$NR$72,30&lt;=$NS$72),IF($NP$72="Single_Point",IF(30=$NR$72,$NN$72,0),IF($NP$72="Bell_Curve",$NN$72*(30-$NR$72+1)*($NS$72-30+1)/$NU$72,$NN$72/$NT$72)),0)</f>
        <v/>
      </c>
      <c r="AI72" s="402">
        <f>IF(AND(31&gt;=$NR$72,31&lt;=$NS$72),IF($NP$72="Single_Point",IF(31=$NR$72,$NN$72,0),IF($NP$72="Bell_Curve",$NN$72*(31-$NR$72+1)*($NS$72-31+1)/$NU$72,$NN$72/$NT$72)),0)</f>
        <v/>
      </c>
      <c r="AJ72" s="402">
        <f>IF(AND(32&gt;=$NR$72,32&lt;=$NS$72),IF($NP$72="Single_Point",IF(32=$NR$72,$NN$72,0),IF($NP$72="Bell_Curve",$NN$72*(32-$NR$72+1)*($NS$72-32+1)/$NU$72,$NN$72/$NT$72)),0)</f>
        <v/>
      </c>
      <c r="AK72" s="402">
        <f>IF(AND(33&gt;=$NR$72,33&lt;=$NS$72),IF($NP$72="Single_Point",IF(33=$NR$72,$NN$72,0),IF($NP$72="Bell_Curve",$NN$72*(33-$NR$72+1)*($NS$72-33+1)/$NU$72,$NN$72/$NT$72)),0)</f>
        <v/>
      </c>
      <c r="AL72" s="402">
        <f>IF(AND(34&gt;=$NR$72,34&lt;=$NS$72),IF($NP$72="Single_Point",IF(34=$NR$72,$NN$72,0),IF($NP$72="Bell_Curve",$NN$72*(34-$NR$72+1)*($NS$72-34+1)/$NU$72,$NN$72/$NT$72)),0)</f>
        <v/>
      </c>
      <c r="AM72" s="402">
        <f>IF(AND(35&gt;=$NR$72,35&lt;=$NS$72),IF($NP$72="Single_Point",IF(35=$NR$72,$NN$72,0),IF($NP$72="Bell_Curve",$NN$72*(35-$NR$72+1)*($NS$72-35+1)/$NU$72,$NN$72/$NT$72)),0)</f>
        <v/>
      </c>
      <c r="AN72" s="402">
        <f>IF(AND(36&gt;=$NR$72,36&lt;=$NS$72),IF($NP$72="Single_Point",IF(36=$NR$72,$NN$72,0),IF($NP$72="Bell_Curve",$NN$72*(36-$NR$72+1)*($NS$72-36+1)/$NU$72,$NN$72/$NT$72)),0)</f>
        <v/>
      </c>
      <c r="AO72" s="402">
        <f>IF(AND(37&gt;=$NR$72,37&lt;=$NS$72),IF($NP$72="Single_Point",IF(37=$NR$72,$NN$72,0),IF($NP$72="Bell_Curve",$NN$72*(37-$NR$72+1)*($NS$72-37+1)/$NU$72,$NN$72/$NT$72)),0)</f>
        <v/>
      </c>
      <c r="AP72" s="402">
        <f>IF(AND(38&gt;=$NR$72,38&lt;=$NS$72),IF($NP$72="Single_Point",IF(38=$NR$72,$NN$72,0),IF($NP$72="Bell_Curve",$NN$72*(38-$NR$72+1)*($NS$72-38+1)/$NU$72,$NN$72/$NT$72)),0)</f>
        <v/>
      </c>
      <c r="AQ72" s="402">
        <f>IF(AND(39&gt;=$NR$72,39&lt;=$NS$72),IF($NP$72="Single_Point",IF(39=$NR$72,$NN$72,0),IF($NP$72="Bell_Curve",$NN$72*(39-$NR$72+1)*($NS$72-39+1)/$NU$72,$NN$72/$NT$72)),0)</f>
        <v/>
      </c>
      <c r="AR72" s="402">
        <f>IF(AND(40&gt;=$NR$72,40&lt;=$NS$72),IF($NP$72="Single_Point",IF(40=$NR$72,$NN$72,0),IF($NP$72="Bell_Curve",$NN$72*(40-$NR$72+1)*($NS$72-40+1)/$NU$72,$NN$72/$NT$72)),0)</f>
        <v/>
      </c>
      <c r="AS72" s="402">
        <f>IF(AND(41&gt;=$NR$72,41&lt;=$NS$72),IF($NP$72="Single_Point",IF(41=$NR$72,$NN$72,0),IF($NP$72="Bell_Curve",$NN$72*(41-$NR$72+1)*($NS$72-41+1)/$NU$72,$NN$72/$NT$72)),0)</f>
        <v/>
      </c>
      <c r="AT72" s="402">
        <f>IF(AND(42&gt;=$NR$72,42&lt;=$NS$72),IF($NP$72="Single_Point",IF(42=$NR$72,$NN$72,0),IF($NP$72="Bell_Curve",$NN$72*(42-$NR$72+1)*($NS$72-42+1)/$NU$72,$NN$72/$NT$72)),0)</f>
        <v/>
      </c>
      <c r="AU72" s="402">
        <f>IF(AND(43&gt;=$NR$72,43&lt;=$NS$72),IF($NP$72="Single_Point",IF(43=$NR$72,$NN$72,0),IF($NP$72="Bell_Curve",$NN$72*(43-$NR$72+1)*($NS$72-43+1)/$NU$72,$NN$72/$NT$72)),0)</f>
        <v/>
      </c>
      <c r="AV72" s="402">
        <f>IF(AND(44&gt;=$NR$72,44&lt;=$NS$72),IF($NP$72="Single_Point",IF(44=$NR$72,$NN$72,0),IF($NP$72="Bell_Curve",$NN$72*(44-$NR$72+1)*($NS$72-44+1)/$NU$72,$NN$72/$NT$72)),0)</f>
        <v/>
      </c>
      <c r="AW72" s="402">
        <f>IF(AND(45&gt;=$NR$72,45&lt;=$NS$72),IF($NP$72="Single_Point",IF(45=$NR$72,$NN$72,0),IF($NP$72="Bell_Curve",$NN$72*(45-$NR$72+1)*($NS$72-45+1)/$NU$72,$NN$72/$NT$72)),0)</f>
        <v/>
      </c>
      <c r="AX72" s="402">
        <f>IF(AND(46&gt;=$NR$72,46&lt;=$NS$72),IF($NP$72="Single_Point",IF(46=$NR$72,$NN$72,0),IF($NP$72="Bell_Curve",$NN$72*(46-$NR$72+1)*($NS$72-46+1)/$NU$72,$NN$72/$NT$72)),0)</f>
        <v/>
      </c>
      <c r="AY72" s="402">
        <f>IF(AND(47&gt;=$NR$72,47&lt;=$NS$72),IF($NP$72="Single_Point",IF(47=$NR$72,$NN$72,0),IF($NP$72="Bell_Curve",$NN$72*(47-$NR$72+1)*($NS$72-47+1)/$NU$72,$NN$72/$NT$72)),0)</f>
        <v/>
      </c>
      <c r="AZ72" s="402">
        <f>IF(AND(48&gt;=$NR$72,48&lt;=$NS$72),IF($NP$72="Single_Point",IF(48=$NR$72,$NN$72,0),IF($NP$72="Bell_Curve",$NN$72*(48-$NR$72+1)*($NS$72-48+1)/$NU$72,$NN$72/$NT$72)),0)</f>
        <v/>
      </c>
      <c r="BA72" s="402">
        <f>IF(AND(49&gt;=$NR$72,49&lt;=$NS$72),IF($NP$72="Single_Point",IF(49=$NR$72,$NN$72,0),IF($NP$72="Bell_Curve",$NN$72*(49-$NR$72+1)*($NS$72-49+1)/$NU$72,$NN$72/$NT$72)),0)</f>
        <v/>
      </c>
      <c r="BB72" s="402">
        <f>IF(AND(50&gt;=$NR$72,50&lt;=$NS$72),IF($NP$72="Single_Point",IF(50=$NR$72,$NN$72,0),IF($NP$72="Bell_Curve",$NN$72*(50-$NR$72+1)*($NS$72-50+1)/$NU$72,$NN$72/$NT$72)),0)</f>
        <v/>
      </c>
      <c r="BC72" s="402">
        <f>IF(AND(51&gt;=$NR$72,51&lt;=$NS$72),IF($NP$72="Single_Point",IF(51=$NR$72,$NN$72,0),IF($NP$72="Bell_Curve",$NN$72*(51-$NR$72+1)*($NS$72-51+1)/$NU$72,$NN$72/$NT$72)),0)</f>
        <v/>
      </c>
      <c r="BD72" s="402">
        <f>IF(AND(52&gt;=$NR$72,52&lt;=$NS$72),IF($NP$72="Single_Point",IF(52=$NR$72,$NN$72,0),IF($NP$72="Bell_Curve",$NN$72*(52-$NR$72+1)*($NS$72-52+1)/$NU$72,$NN$72/$NT$72)),0)</f>
        <v/>
      </c>
      <c r="BE72" s="402">
        <f>IF(AND(53&gt;=$NR$72,53&lt;=$NS$72),IF($NP$72="Single_Point",IF(53=$NR$72,$NN$72,0),IF($NP$72="Bell_Curve",$NN$72*(53-$NR$72+1)*($NS$72-53+1)/$NU$72,$NN$72/$NT$72)),0)</f>
        <v/>
      </c>
      <c r="BF72" s="402">
        <f>IF(AND(54&gt;=$NR$72,54&lt;=$NS$72),IF($NP$72="Single_Point",IF(54=$NR$72,$NN$72,0),IF($NP$72="Bell_Curve",$NN$72*(54-$NR$72+1)*($NS$72-54+1)/$NU$72,$NN$72/$NT$72)),0)</f>
        <v/>
      </c>
      <c r="BG72" s="402">
        <f>IF(AND(55&gt;=$NR$72,55&lt;=$NS$72),IF($NP$72="Single_Point",IF(55=$NR$72,$NN$72,0),IF($NP$72="Bell_Curve",$NN$72*(55-$NR$72+1)*($NS$72-55+1)/$NU$72,$NN$72/$NT$72)),0)</f>
        <v/>
      </c>
      <c r="BH72" s="402">
        <f>IF(AND(56&gt;=$NR$72,56&lt;=$NS$72),IF($NP$72="Single_Point",IF(56=$NR$72,$NN$72,0),IF($NP$72="Bell_Curve",$NN$72*(56-$NR$72+1)*($NS$72-56+1)/$NU$72,$NN$72/$NT$72)),0)</f>
        <v/>
      </c>
      <c r="BI72" s="402">
        <f>IF(AND(57&gt;=$NR$72,57&lt;=$NS$72),IF($NP$72="Single_Point",IF(57=$NR$72,$NN$72,0),IF($NP$72="Bell_Curve",$NN$72*(57-$NR$72+1)*($NS$72-57+1)/$NU$72,$NN$72/$NT$72)),0)</f>
        <v/>
      </c>
      <c r="BJ72" s="402">
        <f>IF(AND(58&gt;=$NR$72,58&lt;=$NS$72),IF($NP$72="Single_Point",IF(58=$NR$72,$NN$72,0),IF($NP$72="Bell_Curve",$NN$72*(58-$NR$72+1)*($NS$72-58+1)/$NU$72,$NN$72/$NT$72)),0)</f>
        <v/>
      </c>
      <c r="BK72" s="402">
        <f>IF(AND(59&gt;=$NR$72,59&lt;=$NS$72),IF($NP$72="Single_Point",IF(59=$NR$72,$NN$72,0),IF($NP$72="Bell_Curve",$NN$72*(59-$NR$72+1)*($NS$72-59+1)/$NU$72,$NN$72/$NT$72)),0)</f>
        <v/>
      </c>
      <c r="BL72" s="402">
        <f>IF(AND(60&gt;=$NR$72,60&lt;=$NS$72),IF($NP$72="Single_Point",IF(60=$NR$72,$NN$72,0),IF($NP$72="Bell_Curve",$NN$72*(60-$NR$72+1)*($NS$72-60+1)/$NU$72,$NN$72/$NT$72)),0)</f>
        <v/>
      </c>
      <c r="BM72" s="402">
        <f>IF(AND(61&gt;=$NR$72,61&lt;=$NS$72),IF($NP$72="Single_Point",IF(61=$NR$72,$NN$72,0),IF($NP$72="Bell_Curve",$NN$72*(61-$NR$72+1)*($NS$72-61+1)/$NU$72,$NN$72/$NT$72)),0)</f>
        <v/>
      </c>
      <c r="BN72" s="402">
        <f>IF(AND(62&gt;=$NR$72,62&lt;=$NS$72),IF($NP$72="Single_Point",IF(62=$NR$72,$NN$72,0),IF($NP$72="Bell_Curve",$NN$72*(62-$NR$72+1)*($NS$72-62+1)/$NU$72,$NN$72/$NT$72)),0)</f>
        <v/>
      </c>
      <c r="BO72" s="402">
        <f>IF(AND(63&gt;=$NR$72,63&lt;=$NS$72),IF($NP$72="Single_Point",IF(63=$NR$72,$NN$72,0),IF($NP$72="Bell_Curve",$NN$72*(63-$NR$72+1)*($NS$72-63+1)/$NU$72,$NN$72/$NT$72)),0)</f>
        <v/>
      </c>
      <c r="BP72" s="402">
        <f>IF(AND(64&gt;=$NR$72,64&lt;=$NS$72),IF($NP$72="Single_Point",IF(64=$NR$72,$NN$72,0),IF($NP$72="Bell_Curve",$NN$72*(64-$NR$72+1)*($NS$72-64+1)/$NU$72,$NN$72/$NT$72)),0)</f>
        <v/>
      </c>
      <c r="BQ72" s="402">
        <f>IF(AND(65&gt;=$NR$72,65&lt;=$NS$72),IF($NP$72="Single_Point",IF(65=$NR$72,$NN$72,0),IF($NP$72="Bell_Curve",$NN$72*(65-$NR$72+1)*($NS$72-65+1)/$NU$72,$NN$72/$NT$72)),0)</f>
        <v/>
      </c>
      <c r="BR72" s="402">
        <f>IF(AND(66&gt;=$NR$72,66&lt;=$NS$72),IF($NP$72="Single_Point",IF(66=$NR$72,$NN$72,0),IF($NP$72="Bell_Curve",$NN$72*(66-$NR$72+1)*($NS$72-66+1)/$NU$72,$NN$72/$NT$72)),0)</f>
        <v/>
      </c>
      <c r="BS72" s="402">
        <f>IF(AND(67&gt;=$NR$72,67&lt;=$NS$72),IF($NP$72="Single_Point",IF(67=$NR$72,$NN$72,0),IF($NP$72="Bell_Curve",$NN$72*(67-$NR$72+1)*($NS$72-67+1)/$NU$72,$NN$72/$NT$72)),0)</f>
        <v/>
      </c>
      <c r="BT72" s="402">
        <f>IF(AND(68&gt;=$NR$72,68&lt;=$NS$72),IF($NP$72="Single_Point",IF(68=$NR$72,$NN$72,0),IF($NP$72="Bell_Curve",$NN$72*(68-$NR$72+1)*($NS$72-68+1)/$NU$72,$NN$72/$NT$72)),0)</f>
        <v/>
      </c>
      <c r="BU72" s="402">
        <f>IF(AND(69&gt;=$NR$72,69&lt;=$NS$72),IF($NP$72="Single_Point",IF(69=$NR$72,$NN$72,0),IF($NP$72="Bell_Curve",$NN$72*(69-$NR$72+1)*($NS$72-69+1)/$NU$72,$NN$72/$NT$72)),0)</f>
        <v/>
      </c>
      <c r="BV72" s="402">
        <f>IF(AND(70&gt;=$NR$72,70&lt;=$NS$72),IF($NP$72="Single_Point",IF(70=$NR$72,$NN$72,0),IF($NP$72="Bell_Curve",$NN$72*(70-$NR$72+1)*($NS$72-70+1)/$NU$72,$NN$72/$NT$72)),0)</f>
        <v/>
      </c>
      <c r="BW72" s="402">
        <f>IF(AND(71&gt;=$NR$72,71&lt;=$NS$72),IF($NP$72="Single_Point",IF(71=$NR$72,$NN$72,0),IF($NP$72="Bell_Curve",$NN$72*(71-$NR$72+1)*($NS$72-71+1)/$NU$72,$NN$72/$NT$72)),0)</f>
        <v/>
      </c>
      <c r="BX72" s="402">
        <f>IF(AND(72&gt;=$NR$72,72&lt;=$NS$72),IF($NP$72="Single_Point",IF(72=$NR$72,$NN$72,0),IF($NP$72="Bell_Curve",$NN$72*(72-$NR$72+1)*($NS$72-72+1)/$NU$72,$NN$72/$NT$72)),0)</f>
        <v/>
      </c>
      <c r="BY72" s="402">
        <f>IF(AND(73&gt;=$NR$72,73&lt;=$NS$72),IF($NP$72="Single_Point",IF(73=$NR$72,$NN$72,0),IF($NP$72="Bell_Curve",$NN$72*(73-$NR$72+1)*($NS$72-73+1)/$NU$72,$NN$72/$NT$72)),0)</f>
        <v/>
      </c>
      <c r="BZ72" s="402">
        <f>IF(AND(74&gt;=$NR$72,74&lt;=$NS$72),IF($NP$72="Single_Point",IF(74=$NR$72,$NN$72,0),IF($NP$72="Bell_Curve",$NN$72*(74-$NR$72+1)*($NS$72-74+1)/$NU$72,$NN$72/$NT$72)),0)</f>
        <v/>
      </c>
      <c r="CA72" s="402">
        <f>IF(AND(75&gt;=$NR$72,75&lt;=$NS$72),IF($NP$72="Single_Point",IF(75=$NR$72,$NN$72,0),IF($NP$72="Bell_Curve",$NN$72*(75-$NR$72+1)*($NS$72-75+1)/$NU$72,$NN$72/$NT$72)),0)</f>
        <v/>
      </c>
      <c r="CB72" s="402">
        <f>IF(AND(76&gt;=$NR$72,76&lt;=$NS$72),IF($NP$72="Single_Point",IF(76=$NR$72,$NN$72,0),IF($NP$72="Bell_Curve",$NN$72*(76-$NR$72+1)*($NS$72-76+1)/$NU$72,$NN$72/$NT$72)),0)</f>
        <v/>
      </c>
      <c r="CC72" s="402">
        <f>IF(AND(77&gt;=$NR$72,77&lt;=$NS$72),IF($NP$72="Single_Point",IF(77=$NR$72,$NN$72,0),IF($NP$72="Bell_Curve",$NN$72*(77-$NR$72+1)*($NS$72-77+1)/$NU$72,$NN$72/$NT$72)),0)</f>
        <v/>
      </c>
      <c r="CD72" s="402">
        <f>IF(AND(78&gt;=$NR$72,78&lt;=$NS$72),IF($NP$72="Single_Point",IF(78=$NR$72,$NN$72,0),IF($NP$72="Bell_Curve",$NN$72*(78-$NR$72+1)*($NS$72-78+1)/$NU$72,$NN$72/$NT$72)),0)</f>
        <v/>
      </c>
      <c r="CE72" s="402">
        <f>IF(AND(79&gt;=$NR$72,79&lt;=$NS$72),IF($NP$72="Single_Point",IF(79=$NR$72,$NN$72,0),IF($NP$72="Bell_Curve",$NN$72*(79-$NR$72+1)*($NS$72-79+1)/$NU$72,$NN$72/$NT$72)),0)</f>
        <v/>
      </c>
      <c r="CF72" s="402">
        <f>IF(AND(80&gt;=$NR$72,80&lt;=$NS$72),IF($NP$72="Single_Point",IF(80=$NR$72,$NN$72,0),IF($NP$72="Bell_Curve",$NN$72*(80-$NR$72+1)*($NS$72-80+1)/$NU$72,$NN$72/$NT$72)),0)</f>
        <v/>
      </c>
      <c r="CG72" s="402">
        <f>IF(AND(81&gt;=$NR$72,81&lt;=$NS$72),IF($NP$72="Single_Point",IF(81=$NR$72,$NN$72,0),IF($NP$72="Bell_Curve",$NN$72*(81-$NR$72+1)*($NS$72-81+1)/$NU$72,$NN$72/$NT$72)),0)</f>
        <v/>
      </c>
      <c r="CH72" s="402">
        <f>IF(AND(82&gt;=$NR$72,82&lt;=$NS$72),IF($NP$72="Single_Point",IF(82=$NR$72,$NN$72,0),IF($NP$72="Bell_Curve",$NN$72*(82-$NR$72+1)*($NS$72-82+1)/$NU$72,$NN$72/$NT$72)),0)</f>
        <v/>
      </c>
      <c r="CI72" s="402">
        <f>IF(AND(83&gt;=$NR$72,83&lt;=$NS$72),IF($NP$72="Single_Point",IF(83=$NR$72,$NN$72,0),IF($NP$72="Bell_Curve",$NN$72*(83-$NR$72+1)*($NS$72-83+1)/$NU$72,$NN$72/$NT$72)),0)</f>
        <v/>
      </c>
      <c r="CJ72" s="402">
        <f>IF(AND(84&gt;=$NR$72,84&lt;=$NS$72),IF($NP$72="Single_Point",IF(84=$NR$72,$NN$72,0),IF($NP$72="Bell_Curve",$NN$72*(84-$NR$72+1)*($NS$72-84+1)/$NU$72,$NN$72/$NT$72)),0)</f>
        <v/>
      </c>
      <c r="CK72" s="402">
        <f>IF(AND(85&gt;=$NR$72,85&lt;=$NS$72),IF($NP$72="Single_Point",IF(85=$NR$72,$NN$72,0),IF($NP$72="Bell_Curve",$NN$72*(85-$NR$72+1)*($NS$72-85+1)/$NU$72,$NN$72/$NT$72)),0)</f>
        <v/>
      </c>
      <c r="CL72" s="402">
        <f>IF(AND(86&gt;=$NR$72,86&lt;=$NS$72),IF($NP$72="Single_Point",IF(86=$NR$72,$NN$72,0),IF($NP$72="Bell_Curve",$NN$72*(86-$NR$72+1)*($NS$72-86+1)/$NU$72,$NN$72/$NT$72)),0)</f>
        <v/>
      </c>
      <c r="CM72" s="402">
        <f>IF(AND(87&gt;=$NR$72,87&lt;=$NS$72),IF($NP$72="Single_Point",IF(87=$NR$72,$NN$72,0),IF($NP$72="Bell_Curve",$NN$72*(87-$NR$72+1)*($NS$72-87+1)/$NU$72,$NN$72/$NT$72)),0)</f>
        <v/>
      </c>
      <c r="CN72" s="402">
        <f>IF(AND(88&gt;=$NR$72,88&lt;=$NS$72),IF($NP$72="Single_Point",IF(88=$NR$72,$NN$72,0),IF($NP$72="Bell_Curve",$NN$72*(88-$NR$72+1)*($NS$72-88+1)/$NU$72,$NN$72/$NT$72)),0)</f>
        <v/>
      </c>
      <c r="CO72" s="402">
        <f>IF(AND(89&gt;=$NR$72,89&lt;=$NS$72),IF($NP$72="Single_Point",IF(89=$NR$72,$NN$72,0),IF($NP$72="Bell_Curve",$NN$72*(89-$NR$72+1)*($NS$72-89+1)/$NU$72,$NN$72/$NT$72)),0)</f>
        <v/>
      </c>
      <c r="CP72" s="402">
        <f>IF(AND(90&gt;=$NR$72,90&lt;=$NS$72),IF($NP$72="Single_Point",IF(90=$NR$72,$NN$72,0),IF($NP$72="Bell_Curve",$NN$72*(90-$NR$72+1)*($NS$72-90+1)/$NU$72,$NN$72/$NT$72)),0)</f>
        <v/>
      </c>
      <c r="CQ72" s="402">
        <f>IF(AND(91&gt;=$NR$72,91&lt;=$NS$72),IF($NP$72="Single_Point",IF(91=$NR$72,$NN$72,0),IF($NP$72="Bell_Curve",$NN$72*(91-$NR$72+1)*($NS$72-91+1)/$NU$72,$NN$72/$NT$72)),0)</f>
        <v/>
      </c>
      <c r="CR72" s="402">
        <f>IF(AND(92&gt;=$NR$72,92&lt;=$NS$72),IF($NP$72="Single_Point",IF(92=$NR$72,$NN$72,0),IF($NP$72="Bell_Curve",$NN$72*(92-$NR$72+1)*($NS$72-92+1)/$NU$72,$NN$72/$NT$72)),0)</f>
        <v/>
      </c>
      <c r="CS72" s="402">
        <f>IF(AND(93&gt;=$NR$72,93&lt;=$NS$72),IF($NP$72="Single_Point",IF(93=$NR$72,$NN$72,0),IF($NP$72="Bell_Curve",$NN$72*(93-$NR$72+1)*($NS$72-93+1)/$NU$72,$NN$72/$NT$72)),0)</f>
        <v/>
      </c>
      <c r="CT72" s="402">
        <f>IF(AND(94&gt;=$NR$72,94&lt;=$NS$72),IF($NP$72="Single_Point",IF(94=$NR$72,$NN$72,0),IF($NP$72="Bell_Curve",$NN$72*(94-$NR$72+1)*($NS$72-94+1)/$NU$72,$NN$72/$NT$72)),0)</f>
        <v/>
      </c>
      <c r="CU72" s="402">
        <f>IF(AND(95&gt;=$NR$72,95&lt;=$NS$72),IF($NP$72="Single_Point",IF(95=$NR$72,$NN$72,0),IF($NP$72="Bell_Curve",$NN$72*(95-$NR$72+1)*($NS$72-95+1)/$NU$72,$NN$72/$NT$72)),0)</f>
        <v/>
      </c>
      <c r="CV72" s="402">
        <f>IF(AND(96&gt;=$NR$72,96&lt;=$NS$72),IF($NP$72="Single_Point",IF(96=$NR$72,$NN$72,0),IF($NP$72="Bell_Curve",$NN$72*(96-$NR$72+1)*($NS$72-96+1)/$NU$72,$NN$72/$NT$72)),0)</f>
        <v/>
      </c>
      <c r="CW72" s="402">
        <f>IF(AND(97&gt;=$NR$72,97&lt;=$NS$72),IF($NP$72="Single_Point",IF(97=$NR$72,$NN$72,0),IF($NP$72="Bell_Curve",$NN$72*(97-$NR$72+1)*($NS$72-97+1)/$NU$72,$NN$72/$NT$72)),0)</f>
        <v/>
      </c>
      <c r="CX72" s="402">
        <f>IF(AND(98&gt;=$NR$72,98&lt;=$NS$72),IF($NP$72="Single_Point",IF(98=$NR$72,$NN$72,0),IF($NP$72="Bell_Curve",$NN$72*(98-$NR$72+1)*($NS$72-98+1)/$NU$72,$NN$72/$NT$72)),0)</f>
        <v/>
      </c>
      <c r="CY72" s="402">
        <f>IF(AND(99&gt;=$NR$72,99&lt;=$NS$72),IF($NP$72="Single_Point",IF(99=$NR$72,$NN$72,0),IF($NP$72="Bell_Curve",$NN$72*(99-$NR$72+1)*($NS$72-99+1)/$NU$72,$NN$72/$NT$72)),0)</f>
        <v/>
      </c>
      <c r="CZ72" s="402">
        <f>IF(AND(100&gt;=$NR$72,100&lt;=$NS$72),IF($NP$72="Single_Point",IF(100=$NR$72,$NN$72,0),IF($NP$72="Bell_Curve",$NN$72*(100-$NR$72+1)*($NS$72-100+1)/$NU$72,$NN$72/$NT$72)),0)</f>
        <v/>
      </c>
      <c r="DA72" s="402">
        <f>IF(AND(101&gt;=$NR$72,101&lt;=$NS$72),IF($NP$72="Single_Point",IF(101=$NR$72,$NN$72,0),IF($NP$72="Bell_Curve",$NN$72*(101-$NR$72+1)*($NS$72-101+1)/$NU$72,$NN$72/$NT$72)),0)</f>
        <v/>
      </c>
      <c r="DB72" s="402">
        <f>IF(AND(102&gt;=$NR$72,102&lt;=$NS$72),IF($NP$72="Single_Point",IF(102=$NR$72,$NN$72,0),IF($NP$72="Bell_Curve",$NN$72*(102-$NR$72+1)*($NS$72-102+1)/$NU$72,$NN$72/$NT$72)),0)</f>
        <v/>
      </c>
      <c r="DC72" s="402">
        <f>IF(AND(103&gt;=$NR$72,103&lt;=$NS$72),IF($NP$72="Single_Point",IF(103=$NR$72,$NN$72,0),IF($NP$72="Bell_Curve",$NN$72*(103-$NR$72+1)*($NS$72-103+1)/$NU$72,$NN$72/$NT$72)),0)</f>
        <v/>
      </c>
      <c r="DD72" s="402">
        <f>IF(AND(104&gt;=$NR$72,104&lt;=$NS$72),IF($NP$72="Single_Point",IF(104=$NR$72,$NN$72,0),IF($NP$72="Bell_Curve",$NN$72*(104-$NR$72+1)*($NS$72-104+1)/$NU$72,$NN$72/$NT$72)),0)</f>
        <v/>
      </c>
      <c r="DE72" s="402">
        <f>IF(AND(105&gt;=$NR$72,105&lt;=$NS$72),IF($NP$72="Single_Point",IF(105=$NR$72,$NN$72,0),IF($NP$72="Bell_Curve",$NN$72*(105-$NR$72+1)*($NS$72-105+1)/$NU$72,$NN$72/$NT$72)),0)</f>
        <v/>
      </c>
      <c r="DF72" s="402">
        <f>IF(AND(106&gt;=$NR$72,106&lt;=$NS$72),IF($NP$72="Single_Point",IF(106=$NR$72,$NN$72,0),IF($NP$72="Bell_Curve",$NN$72*(106-$NR$72+1)*($NS$72-106+1)/$NU$72,$NN$72/$NT$72)),0)</f>
        <v/>
      </c>
      <c r="DG72" s="402">
        <f>IF(AND(107&gt;=$NR$72,107&lt;=$NS$72),IF($NP$72="Single_Point",IF(107=$NR$72,$NN$72,0),IF($NP$72="Bell_Curve",$NN$72*(107-$NR$72+1)*($NS$72-107+1)/$NU$72,$NN$72/$NT$72)),0)</f>
        <v/>
      </c>
      <c r="DH72" s="402">
        <f>IF(AND(108&gt;=$NR$72,108&lt;=$NS$72),IF($NP$72="Single_Point",IF(108=$NR$72,$NN$72,0),IF($NP$72="Bell_Curve",$NN$72*(108-$NR$72+1)*($NS$72-108+1)/$NU$72,$NN$72/$NT$72)),0)</f>
        <v/>
      </c>
      <c r="DI72" s="402">
        <f>IF(AND(109&gt;=$NR$72,109&lt;=$NS$72),IF($NP$72="Single_Point",IF(109=$NR$72,$NN$72,0),IF($NP$72="Bell_Curve",$NN$72*(109-$NR$72+1)*($NS$72-109+1)/$NU$72,$NN$72/$NT$72)),0)</f>
        <v/>
      </c>
      <c r="DJ72" s="402">
        <f>IF(AND(110&gt;=$NR$72,110&lt;=$NS$72),IF($NP$72="Single_Point",IF(110=$NR$72,$NN$72,0),IF($NP$72="Bell_Curve",$NN$72*(110-$NR$72+1)*($NS$72-110+1)/$NU$72,$NN$72/$NT$72)),0)</f>
        <v/>
      </c>
      <c r="DK72" s="402">
        <f>IF(AND(111&gt;=$NR$72,111&lt;=$NS$72),IF($NP$72="Single_Point",IF(111=$NR$72,$NN$72,0),IF($NP$72="Bell_Curve",$NN$72*(111-$NR$72+1)*($NS$72-111+1)/$NU$72,$NN$72/$NT$72)),0)</f>
        <v/>
      </c>
      <c r="DL72" s="402">
        <f>IF(AND(112&gt;=$NR$72,112&lt;=$NS$72),IF($NP$72="Single_Point",IF(112=$NR$72,$NN$72,0),IF($NP$72="Bell_Curve",$NN$72*(112-$NR$72+1)*($NS$72-112+1)/$NU$72,$NN$72/$NT$72)),0)</f>
        <v/>
      </c>
      <c r="DM72" s="402">
        <f>IF(AND(113&gt;=$NR$72,113&lt;=$NS$72),IF($NP$72="Single_Point",IF(113=$NR$72,$NN$72,0),IF($NP$72="Bell_Curve",$NN$72*(113-$NR$72+1)*($NS$72-113+1)/$NU$72,$NN$72/$NT$72)),0)</f>
        <v/>
      </c>
      <c r="DN72" s="402">
        <f>IF(AND(114&gt;=$NR$72,114&lt;=$NS$72),IF($NP$72="Single_Point",IF(114=$NR$72,$NN$72,0),IF($NP$72="Bell_Curve",$NN$72*(114-$NR$72+1)*($NS$72-114+1)/$NU$72,$NN$72/$NT$72)),0)</f>
        <v/>
      </c>
      <c r="DO72" s="402">
        <f>IF(AND(115&gt;=$NR$72,115&lt;=$NS$72),IF($NP$72="Single_Point",IF(115=$NR$72,$NN$72,0),IF($NP$72="Bell_Curve",$NN$72*(115-$NR$72+1)*($NS$72-115+1)/$NU$72,$NN$72/$NT$72)),0)</f>
        <v/>
      </c>
      <c r="DP72" s="402">
        <f>IF(AND(116&gt;=$NR$72,116&lt;=$NS$72),IF($NP$72="Single_Point",IF(116=$NR$72,$NN$72,0),IF($NP$72="Bell_Curve",$NN$72*(116-$NR$72+1)*($NS$72-116+1)/$NU$72,$NN$72/$NT$72)),0)</f>
        <v/>
      </c>
      <c r="DQ72" s="402">
        <f>IF(AND(117&gt;=$NR$72,117&lt;=$NS$72),IF($NP$72="Single_Point",IF(117=$NR$72,$NN$72,0),IF($NP$72="Bell_Curve",$NN$72*(117-$NR$72+1)*($NS$72-117+1)/$NU$72,$NN$72/$NT$72)),0)</f>
        <v/>
      </c>
      <c r="DR72" s="402">
        <f>IF(AND(118&gt;=$NR$72,118&lt;=$NS$72),IF($NP$72="Single_Point",IF(118=$NR$72,$NN$72,0),IF($NP$72="Bell_Curve",$NN$72*(118-$NR$72+1)*($NS$72-118+1)/$NU$72,$NN$72/$NT$72)),0)</f>
        <v/>
      </c>
      <c r="DS72" s="402">
        <f>IF(AND(119&gt;=$NR$72,119&lt;=$NS$72),IF($NP$72="Single_Point",IF(119=$NR$72,$NN$72,0),IF($NP$72="Bell_Curve",$NN$72*(119-$NR$72+1)*($NS$72-119+1)/$NU$72,$NN$72/$NT$72)),0)</f>
        <v/>
      </c>
      <c r="DT72" s="402">
        <f>IF(AND(120&gt;=$NR$72,120&lt;=$NS$72),IF($NP$72="Single_Point",IF(120=$NR$72,$NN$72,0),IF($NP$72="Bell_Curve",$NN$72*(120-$NR$72+1)*($NS$72-120+1)/$NU$72,$NN$72/$NT$72)),0)</f>
        <v/>
      </c>
      <c r="DU72" s="402">
        <f>IF(AND(121&gt;=$NR$72,121&lt;=$NS$72),IF($NP$72="Single_Point",IF(121=$NR$72,$NN$72,0),IF($NP$72="Bell_Curve",$NN$72*(121-$NR$72+1)*($NS$72-121+1)/$NU$72,$NN$72/$NT$72)),0)</f>
        <v/>
      </c>
      <c r="DV72" s="402">
        <f>IF(AND(122&gt;=$NR$72,122&lt;=$NS$72),IF($NP$72="Single_Point",IF(122=$NR$72,$NN$72,0),IF($NP$72="Bell_Curve",$NN$72*(122-$NR$72+1)*($NS$72-122+1)/$NU$72,$NN$72/$NT$72)),0)</f>
        <v/>
      </c>
      <c r="DW72" s="402">
        <f>IF(AND(123&gt;=$NR$72,123&lt;=$NS$72),IF($NP$72="Single_Point",IF(123=$NR$72,$NN$72,0),IF($NP$72="Bell_Curve",$NN$72*(123-$NR$72+1)*($NS$72-123+1)/$NU$72,$NN$72/$NT$72)),0)</f>
        <v/>
      </c>
      <c r="DX72" s="402">
        <f>IF(AND(124&gt;=$NR$72,124&lt;=$NS$72),IF($NP$72="Single_Point",IF(124=$NR$72,$NN$72,0),IF($NP$72="Bell_Curve",$NN$72*(124-$NR$72+1)*($NS$72-124+1)/$NU$72,$NN$72/$NT$72)),0)</f>
        <v/>
      </c>
      <c r="DY72" s="402">
        <f>IF(AND(125&gt;=$NR$72,125&lt;=$NS$72),IF($NP$72="Single_Point",IF(125=$NR$72,$NN$72,0),IF($NP$72="Bell_Curve",$NN$72*(125-$NR$72+1)*($NS$72-125+1)/$NU$72,$NN$72/$NT$72)),0)</f>
        <v/>
      </c>
      <c r="DZ72" s="402">
        <f>IF(AND(126&gt;=$NR$72,126&lt;=$NS$72),IF($NP$72="Single_Point",IF(126=$NR$72,$NN$72,0),IF($NP$72="Bell_Curve",$NN$72*(126-$NR$72+1)*($NS$72-126+1)/$NU$72,$NN$72/$NT$72)),0)</f>
        <v/>
      </c>
      <c r="EA72" s="402">
        <f>IF(AND(127&gt;=$NR$72,127&lt;=$NS$72),IF($NP$72="Single_Point",IF(127=$NR$72,$NN$72,0),IF($NP$72="Bell_Curve",$NN$72*(127-$NR$72+1)*($NS$72-127+1)/$NU$72,$NN$72/$NT$72)),0)</f>
        <v/>
      </c>
      <c r="EB72" s="402">
        <f>IF(AND(128&gt;=$NR$72,128&lt;=$NS$72),IF($NP$72="Single_Point",IF(128=$NR$72,$NN$72,0),IF($NP$72="Bell_Curve",$NN$72*(128-$NR$72+1)*($NS$72-128+1)/$NU$72,$NN$72/$NT$72)),0)</f>
        <v/>
      </c>
      <c r="EC72" s="402">
        <f>IF(AND(129&gt;=$NR$72,129&lt;=$NS$72),IF($NP$72="Single_Point",IF(129=$NR$72,$NN$72,0),IF($NP$72="Bell_Curve",$NN$72*(129-$NR$72+1)*($NS$72-129+1)/$NU$72,$NN$72/$NT$72)),0)</f>
        <v/>
      </c>
      <c r="ED72" s="402">
        <f>IF(AND(130&gt;=$NR$72,130&lt;=$NS$72),IF($NP$72="Single_Point",IF(130=$NR$72,$NN$72,0),IF($NP$72="Bell_Curve",$NN$72*(130-$NR$72+1)*($NS$72-130+1)/$NU$72,$NN$72/$NT$72)),0)</f>
        <v/>
      </c>
      <c r="EE72" s="402">
        <f>IF(AND(131&gt;=$NR$72,131&lt;=$NS$72),IF($NP$72="Single_Point",IF(131=$NR$72,$NN$72,0),IF($NP$72="Bell_Curve",$NN$72*(131-$NR$72+1)*($NS$72-131+1)/$NU$72,$NN$72/$NT$72)),0)</f>
        <v/>
      </c>
      <c r="EF72" s="402">
        <f>IF(AND(132&gt;=$NR$72,132&lt;=$NS$72),IF($NP$72="Single_Point",IF(132=$NR$72,$NN$72,0),IF($NP$72="Bell_Curve",$NN$72*(132-$NR$72+1)*($NS$72-132+1)/$NU$72,$NN$72/$NT$72)),0)</f>
        <v/>
      </c>
      <c r="EG72" s="402">
        <f>IF(AND(133&gt;=$NR$72,133&lt;=$NS$72),IF($NP$72="Single_Point",IF(133=$NR$72,$NN$72,0),IF($NP$72="Bell_Curve",$NN$72*(133-$NR$72+1)*($NS$72-133+1)/$NU$72,$NN$72/$NT$72)),0)</f>
        <v/>
      </c>
      <c r="EH72" s="402">
        <f>IF(AND(134&gt;=$NR$72,134&lt;=$NS$72),IF($NP$72="Single_Point",IF(134=$NR$72,$NN$72,0),IF($NP$72="Bell_Curve",$NN$72*(134-$NR$72+1)*($NS$72-134+1)/$NU$72,$NN$72/$NT$72)),0)</f>
        <v/>
      </c>
      <c r="EI72" s="402">
        <f>IF(AND(135&gt;=$NR$72,135&lt;=$NS$72),IF($NP$72="Single_Point",IF(135=$NR$72,$NN$72,0),IF($NP$72="Bell_Curve",$NN$72*(135-$NR$72+1)*($NS$72-135+1)/$NU$72,$NN$72/$NT$72)),0)</f>
        <v/>
      </c>
      <c r="EJ72" s="402">
        <f>IF(AND(136&gt;=$NR$72,136&lt;=$NS$72),IF($NP$72="Single_Point",IF(136=$NR$72,$NN$72,0),IF($NP$72="Bell_Curve",$NN$72*(136-$NR$72+1)*($NS$72-136+1)/$NU$72,$NN$72/$NT$72)),0)</f>
        <v/>
      </c>
      <c r="EK72" s="402">
        <f>IF(AND(137&gt;=$NR$72,137&lt;=$NS$72),IF($NP$72="Single_Point",IF(137=$NR$72,$NN$72,0),IF($NP$72="Bell_Curve",$NN$72*(137-$NR$72+1)*($NS$72-137+1)/$NU$72,$NN$72/$NT$72)),0)</f>
        <v/>
      </c>
      <c r="EL72" s="402">
        <f>IF(AND(138&gt;=$NR$72,138&lt;=$NS$72),IF($NP$72="Single_Point",IF(138=$NR$72,$NN$72,0),IF($NP$72="Bell_Curve",$NN$72*(138-$NR$72+1)*($NS$72-138+1)/$NU$72,$NN$72/$NT$72)),0)</f>
        <v/>
      </c>
      <c r="EM72" s="402">
        <f>IF(AND(139&gt;=$NR$72,139&lt;=$NS$72),IF($NP$72="Single_Point",IF(139=$NR$72,$NN$72,0),IF($NP$72="Bell_Curve",$NN$72*(139-$NR$72+1)*($NS$72-139+1)/$NU$72,$NN$72/$NT$72)),0)</f>
        <v/>
      </c>
      <c r="EN72" s="402">
        <f>IF(AND(140&gt;=$NR$72,140&lt;=$NS$72),IF($NP$72="Single_Point",IF(140=$NR$72,$NN$72,0),IF($NP$72="Bell_Curve",$NN$72*(140-$NR$72+1)*($NS$72-140+1)/$NU$72,$NN$72/$NT$72)),0)</f>
        <v/>
      </c>
      <c r="EO72" s="402">
        <f>IF(AND(141&gt;=$NR$72,141&lt;=$NS$72),IF($NP$72="Single_Point",IF(141=$NR$72,$NN$72,0),IF($NP$72="Bell_Curve",$NN$72*(141-$NR$72+1)*($NS$72-141+1)/$NU$72,$NN$72/$NT$72)),0)</f>
        <v/>
      </c>
      <c r="EP72" s="402">
        <f>IF(AND(142&gt;=$NR$72,142&lt;=$NS$72),IF($NP$72="Single_Point",IF(142=$NR$72,$NN$72,0),IF($NP$72="Bell_Curve",$NN$72*(142-$NR$72+1)*($NS$72-142+1)/$NU$72,$NN$72/$NT$72)),0)</f>
        <v/>
      </c>
      <c r="EQ72" s="402">
        <f>IF(AND(143&gt;=$NR$72,143&lt;=$NS$72),IF($NP$72="Single_Point",IF(143=$NR$72,$NN$72,0),IF($NP$72="Bell_Curve",$NN$72*(143-$NR$72+1)*($NS$72-143+1)/$NU$72,$NN$72/$NT$72)),0)</f>
        <v/>
      </c>
      <c r="ER72" s="402">
        <f>IF(AND(144&gt;=$NR$72,144&lt;=$NS$72),IF($NP$72="Single_Point",IF(144=$NR$72,$NN$72,0),IF($NP$72="Bell_Curve",$NN$72*(144-$NR$72+1)*($NS$72-144+1)/$NU$72,$NN$72/$NT$72)),0)</f>
        <v/>
      </c>
      <c r="ES72" s="402">
        <f>IF(AND(145&gt;=$NR$72,145&lt;=$NS$72),IF($NP$72="Single_Point",IF(145=$NR$72,$NN$72,0),IF($NP$72="Bell_Curve",$NN$72*(145-$NR$72+1)*($NS$72-145+1)/$NU$72,$NN$72/$NT$72)),0)</f>
        <v/>
      </c>
      <c r="ET72" s="402">
        <f>IF(AND(146&gt;=$NR$72,146&lt;=$NS$72),IF($NP$72="Single_Point",IF(146=$NR$72,$NN$72,0),IF($NP$72="Bell_Curve",$NN$72*(146-$NR$72+1)*($NS$72-146+1)/$NU$72,$NN$72/$NT$72)),0)</f>
        <v/>
      </c>
      <c r="EU72" s="402">
        <f>IF(AND(147&gt;=$NR$72,147&lt;=$NS$72),IF($NP$72="Single_Point",IF(147=$NR$72,$NN$72,0),IF($NP$72="Bell_Curve",$NN$72*(147-$NR$72+1)*($NS$72-147+1)/$NU$72,$NN$72/$NT$72)),0)</f>
        <v/>
      </c>
      <c r="EV72" s="402">
        <f>IF(AND(148&gt;=$NR$72,148&lt;=$NS$72),IF($NP$72="Single_Point",IF(148=$NR$72,$NN$72,0),IF($NP$72="Bell_Curve",$NN$72*(148-$NR$72+1)*($NS$72-148+1)/$NU$72,$NN$72/$NT$72)),0)</f>
        <v/>
      </c>
      <c r="EW72" s="402">
        <f>IF(AND(149&gt;=$NR$72,149&lt;=$NS$72),IF($NP$72="Single_Point",IF(149=$NR$72,$NN$72,0),IF($NP$72="Bell_Curve",$NN$72*(149-$NR$72+1)*($NS$72-149+1)/$NU$72,$NN$72/$NT$72)),0)</f>
        <v/>
      </c>
      <c r="EX72" s="402">
        <f>IF(AND(150&gt;=$NR$72,150&lt;=$NS$72),IF($NP$72="Single_Point",IF(150=$NR$72,$NN$72,0),IF($NP$72="Bell_Curve",$NN$72*(150-$NR$72+1)*($NS$72-150+1)/$NU$72,$NN$72/$NT$72)),0)</f>
        <v/>
      </c>
      <c r="EY72" s="402">
        <f>IF(AND(151&gt;=$NR$72,151&lt;=$NS$72),IF($NP$72="Single_Point",IF(151=$NR$72,$NN$72,0),IF($NP$72="Bell_Curve",$NN$72*(151-$NR$72+1)*($NS$72-151+1)/$NU$72,$NN$72/$NT$72)),0)</f>
        <v/>
      </c>
      <c r="EZ72" s="402">
        <f>IF(AND(152&gt;=$NR$72,152&lt;=$NS$72),IF($NP$72="Single_Point",IF(152=$NR$72,$NN$72,0),IF($NP$72="Bell_Curve",$NN$72*(152-$NR$72+1)*($NS$72-152+1)/$NU$72,$NN$72/$NT$72)),0)</f>
        <v/>
      </c>
      <c r="FA72" s="402">
        <f>IF(AND(153&gt;=$NR$72,153&lt;=$NS$72),IF($NP$72="Single_Point",IF(153=$NR$72,$NN$72,0),IF($NP$72="Bell_Curve",$NN$72*(153-$NR$72+1)*($NS$72-153+1)/$NU$72,$NN$72/$NT$72)),0)</f>
        <v/>
      </c>
      <c r="FB72" s="402">
        <f>IF(AND(154&gt;=$NR$72,154&lt;=$NS$72),IF($NP$72="Single_Point",IF(154=$NR$72,$NN$72,0),IF($NP$72="Bell_Curve",$NN$72*(154-$NR$72+1)*($NS$72-154+1)/$NU$72,$NN$72/$NT$72)),0)</f>
        <v/>
      </c>
      <c r="FC72" s="402">
        <f>IF(AND(155&gt;=$NR$72,155&lt;=$NS$72),IF($NP$72="Single_Point",IF(155=$NR$72,$NN$72,0),IF($NP$72="Bell_Curve",$NN$72*(155-$NR$72+1)*($NS$72-155+1)/$NU$72,$NN$72/$NT$72)),0)</f>
        <v/>
      </c>
      <c r="FD72" s="402">
        <f>IF(AND(156&gt;=$NR$72,156&lt;=$NS$72),IF($NP$72="Single_Point",IF(156=$NR$72,$NN$72,0),IF($NP$72="Bell_Curve",$NN$72*(156-$NR$72+1)*($NS$72-156+1)/$NU$72,$NN$72/$NT$72)),0)</f>
        <v/>
      </c>
      <c r="FE72" s="402">
        <f>IF(AND(157&gt;=$NR$72,157&lt;=$NS$72),IF($NP$72="Single_Point",IF(157=$NR$72,$NN$72,0),IF($NP$72="Bell_Curve",$NN$72*(157-$NR$72+1)*($NS$72-157+1)/$NU$72,$NN$72/$NT$72)),0)</f>
        <v/>
      </c>
      <c r="FF72" s="402">
        <f>IF(AND(158&gt;=$NR$72,158&lt;=$NS$72),IF($NP$72="Single_Point",IF(158=$NR$72,$NN$72,0),IF($NP$72="Bell_Curve",$NN$72*(158-$NR$72+1)*($NS$72-158+1)/$NU$72,$NN$72/$NT$72)),0)</f>
        <v/>
      </c>
      <c r="FG72" s="402">
        <f>IF(AND(159&gt;=$NR$72,159&lt;=$NS$72),IF($NP$72="Single_Point",IF(159=$NR$72,$NN$72,0),IF($NP$72="Bell_Curve",$NN$72*(159-$NR$72+1)*($NS$72-159+1)/$NU$72,$NN$72/$NT$72)),0)</f>
        <v/>
      </c>
      <c r="FH72" s="402">
        <f>IF(AND(160&gt;=$NR$72,160&lt;=$NS$72),IF($NP$72="Single_Point",IF(160=$NR$72,$NN$72,0),IF($NP$72="Bell_Curve",$NN$72*(160-$NR$72+1)*($NS$72-160+1)/$NU$72,$NN$72/$NT$72)),0)</f>
        <v/>
      </c>
      <c r="FI72" s="402">
        <f>IF(AND(161&gt;=$NR$72,161&lt;=$NS$72),IF($NP$72="Single_Point",IF(161=$NR$72,$NN$72,0),IF($NP$72="Bell_Curve",$NN$72*(161-$NR$72+1)*($NS$72-161+1)/$NU$72,$NN$72/$NT$72)),0)</f>
        <v/>
      </c>
      <c r="FJ72" s="402">
        <f>IF(AND(162&gt;=$NR$72,162&lt;=$NS$72),IF($NP$72="Single_Point",IF(162=$NR$72,$NN$72,0),IF($NP$72="Bell_Curve",$NN$72*(162-$NR$72+1)*($NS$72-162+1)/$NU$72,$NN$72/$NT$72)),0)</f>
        <v/>
      </c>
      <c r="FK72" s="402">
        <f>IF(AND(163&gt;=$NR$72,163&lt;=$NS$72),IF($NP$72="Single_Point",IF(163=$NR$72,$NN$72,0),IF($NP$72="Bell_Curve",$NN$72*(163-$NR$72+1)*($NS$72-163+1)/$NU$72,$NN$72/$NT$72)),0)</f>
        <v/>
      </c>
      <c r="FL72" s="402">
        <f>IF(AND(164&gt;=$NR$72,164&lt;=$NS$72),IF($NP$72="Single_Point",IF(164=$NR$72,$NN$72,0),IF($NP$72="Bell_Curve",$NN$72*(164-$NR$72+1)*($NS$72-164+1)/$NU$72,$NN$72/$NT$72)),0)</f>
        <v/>
      </c>
      <c r="FM72" s="402">
        <f>IF(AND(165&gt;=$NR$72,165&lt;=$NS$72),IF($NP$72="Single_Point",IF(165=$NR$72,$NN$72,0),IF($NP$72="Bell_Curve",$NN$72*(165-$NR$72+1)*($NS$72-165+1)/$NU$72,$NN$72/$NT$72)),0)</f>
        <v/>
      </c>
      <c r="FN72" s="402">
        <f>IF(AND(166&gt;=$NR$72,166&lt;=$NS$72),IF($NP$72="Single_Point",IF(166=$NR$72,$NN$72,0),IF($NP$72="Bell_Curve",$NN$72*(166-$NR$72+1)*($NS$72-166+1)/$NU$72,$NN$72/$NT$72)),0)</f>
        <v/>
      </c>
      <c r="FO72" s="402">
        <f>IF(AND(167&gt;=$NR$72,167&lt;=$NS$72),IF($NP$72="Single_Point",IF(167=$NR$72,$NN$72,0),IF($NP$72="Bell_Curve",$NN$72*(167-$NR$72+1)*($NS$72-167+1)/$NU$72,$NN$72/$NT$72)),0)</f>
        <v/>
      </c>
      <c r="FP72" s="402">
        <f>IF(AND(168&gt;=$NR$72,168&lt;=$NS$72),IF($NP$72="Single_Point",IF(168=$NR$72,$NN$72,0),IF($NP$72="Bell_Curve",$NN$72*(168-$NR$72+1)*($NS$72-168+1)/$NU$72,$NN$72/$NT$72)),0)</f>
        <v/>
      </c>
      <c r="FQ72" s="402">
        <f>IF(AND(169&gt;=$NR$72,169&lt;=$NS$72),IF($NP$72="Single_Point",IF(169=$NR$72,$NN$72,0),IF($NP$72="Bell_Curve",$NN$72*(169-$NR$72+1)*($NS$72-169+1)/$NU$72,$NN$72/$NT$72)),0)</f>
        <v/>
      </c>
      <c r="FR72" s="402">
        <f>IF(AND(170&gt;=$NR$72,170&lt;=$NS$72),IF($NP$72="Single_Point",IF(170=$NR$72,$NN$72,0),IF($NP$72="Bell_Curve",$NN$72*(170-$NR$72+1)*($NS$72-170+1)/$NU$72,$NN$72/$NT$72)),0)</f>
        <v/>
      </c>
      <c r="FS72" s="402">
        <f>IF(AND(171&gt;=$NR$72,171&lt;=$NS$72),IF($NP$72="Single_Point",IF(171=$NR$72,$NN$72,0),IF($NP$72="Bell_Curve",$NN$72*(171-$NR$72+1)*($NS$72-171+1)/$NU$72,$NN$72/$NT$72)),0)</f>
        <v/>
      </c>
      <c r="FT72" s="402">
        <f>IF(AND(172&gt;=$NR$72,172&lt;=$NS$72),IF($NP$72="Single_Point",IF(172=$NR$72,$NN$72,0),IF($NP$72="Bell_Curve",$NN$72*(172-$NR$72+1)*($NS$72-172+1)/$NU$72,$NN$72/$NT$72)),0)</f>
        <v/>
      </c>
      <c r="FU72" s="402">
        <f>IF(AND(173&gt;=$NR$72,173&lt;=$NS$72),IF($NP$72="Single_Point",IF(173=$NR$72,$NN$72,0),IF($NP$72="Bell_Curve",$NN$72*(173-$NR$72+1)*($NS$72-173+1)/$NU$72,$NN$72/$NT$72)),0)</f>
        <v/>
      </c>
      <c r="FV72" s="402">
        <f>IF(AND(174&gt;=$NR$72,174&lt;=$NS$72),IF($NP$72="Single_Point",IF(174=$NR$72,$NN$72,0),IF($NP$72="Bell_Curve",$NN$72*(174-$NR$72+1)*($NS$72-174+1)/$NU$72,$NN$72/$NT$72)),0)</f>
        <v/>
      </c>
      <c r="FW72" s="402">
        <f>IF(AND(175&gt;=$NR$72,175&lt;=$NS$72),IF($NP$72="Single_Point",IF(175=$NR$72,$NN$72,0),IF($NP$72="Bell_Curve",$NN$72*(175-$NR$72+1)*($NS$72-175+1)/$NU$72,$NN$72/$NT$72)),0)</f>
        <v/>
      </c>
      <c r="FX72" s="402">
        <f>IF(AND(176&gt;=$NR$72,176&lt;=$NS$72),IF($NP$72="Single_Point",IF(176=$NR$72,$NN$72,0),IF($NP$72="Bell_Curve",$NN$72*(176-$NR$72+1)*($NS$72-176+1)/$NU$72,$NN$72/$NT$72)),0)</f>
        <v/>
      </c>
      <c r="FY72" s="402">
        <f>IF(AND(177&gt;=$NR$72,177&lt;=$NS$72),IF($NP$72="Single_Point",IF(177=$NR$72,$NN$72,0),IF($NP$72="Bell_Curve",$NN$72*(177-$NR$72+1)*($NS$72-177+1)/$NU$72,$NN$72/$NT$72)),0)</f>
        <v/>
      </c>
      <c r="FZ72" s="402">
        <f>IF(AND(178&gt;=$NR$72,178&lt;=$NS$72),IF($NP$72="Single_Point",IF(178=$NR$72,$NN$72,0),IF($NP$72="Bell_Curve",$NN$72*(178-$NR$72+1)*($NS$72-178+1)/$NU$72,$NN$72/$NT$72)),0)</f>
        <v/>
      </c>
      <c r="GA72" s="402">
        <f>IF(AND(179&gt;=$NR$72,179&lt;=$NS$72),IF($NP$72="Single_Point",IF(179=$NR$72,$NN$72,0),IF($NP$72="Bell_Curve",$NN$72*(179-$NR$72+1)*($NS$72-179+1)/$NU$72,$NN$72/$NT$72)),0)</f>
        <v/>
      </c>
      <c r="GB72" s="402">
        <f>IF(AND(180&gt;=$NR$72,180&lt;=$NS$72),IF($NP$72="Single_Point",IF(180=$NR$72,$NN$72,0),IF($NP$72="Bell_Curve",$NN$72*(180-$NR$72+1)*($NS$72-180+1)/$NU$72,$NN$72/$NT$72)),0)</f>
        <v/>
      </c>
      <c r="GC72" s="402">
        <f>IF(AND(181&gt;=$NR$72,181&lt;=$NS$72),IF($NP$72="Single_Point",IF(181=$NR$72,$NN$72,0),IF($NP$72="Bell_Curve",$NN$72*(181-$NR$72+1)*($NS$72-181+1)/$NU$72,$NN$72/$NT$72)),0)</f>
        <v/>
      </c>
      <c r="GD72" s="402">
        <f>IF(AND(182&gt;=$NR$72,182&lt;=$NS$72),IF($NP$72="Single_Point",IF(182=$NR$72,$NN$72,0),IF($NP$72="Bell_Curve",$NN$72*(182-$NR$72+1)*($NS$72-182+1)/$NU$72,$NN$72/$NT$72)),0)</f>
        <v/>
      </c>
      <c r="GE72" s="402">
        <f>IF(AND(183&gt;=$NR$72,183&lt;=$NS$72),IF($NP$72="Single_Point",IF(183=$NR$72,$NN$72,0),IF($NP$72="Bell_Curve",$NN$72*(183-$NR$72+1)*($NS$72-183+1)/$NU$72,$NN$72/$NT$72)),0)</f>
        <v/>
      </c>
      <c r="GF72" s="402">
        <f>IF(AND(184&gt;=$NR$72,184&lt;=$NS$72),IF($NP$72="Single_Point",IF(184=$NR$72,$NN$72,0),IF($NP$72="Bell_Curve",$NN$72*(184-$NR$72+1)*($NS$72-184+1)/$NU$72,$NN$72/$NT$72)),0)</f>
        <v/>
      </c>
      <c r="GG72" s="402">
        <f>IF(AND(185&gt;=$NR$72,185&lt;=$NS$72),IF($NP$72="Single_Point",IF(185=$NR$72,$NN$72,0),IF($NP$72="Bell_Curve",$NN$72*(185-$NR$72+1)*($NS$72-185+1)/$NU$72,$NN$72/$NT$72)),0)</f>
        <v/>
      </c>
      <c r="GH72" s="402">
        <f>IF(AND(186&gt;=$NR$72,186&lt;=$NS$72),IF($NP$72="Single_Point",IF(186=$NR$72,$NN$72,0),IF($NP$72="Bell_Curve",$NN$72*(186-$NR$72+1)*($NS$72-186+1)/$NU$72,$NN$72/$NT$72)),0)</f>
        <v/>
      </c>
      <c r="GI72" s="402">
        <f>IF(AND(187&gt;=$NR$72,187&lt;=$NS$72),IF($NP$72="Single_Point",IF(187=$NR$72,$NN$72,0),IF($NP$72="Bell_Curve",$NN$72*(187-$NR$72+1)*($NS$72-187+1)/$NU$72,$NN$72/$NT$72)),0)</f>
        <v/>
      </c>
      <c r="GJ72" s="402">
        <f>IF(AND(188&gt;=$NR$72,188&lt;=$NS$72),IF($NP$72="Single_Point",IF(188=$NR$72,$NN$72,0),IF($NP$72="Bell_Curve",$NN$72*(188-$NR$72+1)*($NS$72-188+1)/$NU$72,$NN$72/$NT$72)),0)</f>
        <v/>
      </c>
      <c r="GK72" s="402">
        <f>IF(AND(189&gt;=$NR$72,189&lt;=$NS$72),IF($NP$72="Single_Point",IF(189=$NR$72,$NN$72,0),IF($NP$72="Bell_Curve",$NN$72*(189-$NR$72+1)*($NS$72-189+1)/$NU$72,$NN$72/$NT$72)),0)</f>
        <v/>
      </c>
      <c r="GL72" s="402">
        <f>IF(AND(190&gt;=$NR$72,190&lt;=$NS$72),IF($NP$72="Single_Point",IF(190=$NR$72,$NN$72,0),IF($NP$72="Bell_Curve",$NN$72*(190-$NR$72+1)*($NS$72-190+1)/$NU$72,$NN$72/$NT$72)),0)</f>
        <v/>
      </c>
      <c r="GM72" s="402">
        <f>IF(AND(191&gt;=$NR$72,191&lt;=$NS$72),IF($NP$72="Single_Point",IF(191=$NR$72,$NN$72,0),IF($NP$72="Bell_Curve",$NN$72*(191-$NR$72+1)*($NS$72-191+1)/$NU$72,$NN$72/$NT$72)),0)</f>
        <v/>
      </c>
      <c r="GN72" s="402">
        <f>IF(AND(192&gt;=$NR$72,192&lt;=$NS$72),IF($NP$72="Single_Point",IF(192=$NR$72,$NN$72,0),IF($NP$72="Bell_Curve",$NN$72*(192-$NR$72+1)*($NS$72-192+1)/$NU$72,$NN$72/$NT$72)),0)</f>
        <v/>
      </c>
      <c r="GO72" s="402">
        <f>IF(AND(193&gt;=$NR$72,193&lt;=$NS$72),IF($NP$72="Single_Point",IF(193=$NR$72,$NN$72,0),IF($NP$72="Bell_Curve",$NN$72*(193-$NR$72+1)*($NS$72-193+1)/$NU$72,$NN$72/$NT$72)),0)</f>
        <v/>
      </c>
      <c r="GP72" s="402">
        <f>IF(AND(194&gt;=$NR$72,194&lt;=$NS$72),IF($NP$72="Single_Point",IF(194=$NR$72,$NN$72,0),IF($NP$72="Bell_Curve",$NN$72*(194-$NR$72+1)*($NS$72-194+1)/$NU$72,$NN$72/$NT$72)),0)</f>
        <v/>
      </c>
      <c r="GQ72" s="402">
        <f>IF(AND(195&gt;=$NR$72,195&lt;=$NS$72),IF($NP$72="Single_Point",IF(195=$NR$72,$NN$72,0),IF($NP$72="Bell_Curve",$NN$72*(195-$NR$72+1)*($NS$72-195+1)/$NU$72,$NN$72/$NT$72)),0)</f>
        <v/>
      </c>
      <c r="GR72" s="402">
        <f>IF(AND(196&gt;=$NR$72,196&lt;=$NS$72),IF($NP$72="Single_Point",IF(196=$NR$72,$NN$72,0),IF($NP$72="Bell_Curve",$NN$72*(196-$NR$72+1)*($NS$72-196+1)/$NU$72,$NN$72/$NT$72)),0)</f>
        <v/>
      </c>
      <c r="GS72" s="402">
        <f>IF(AND(197&gt;=$NR$72,197&lt;=$NS$72),IF($NP$72="Single_Point",IF(197=$NR$72,$NN$72,0),IF($NP$72="Bell_Curve",$NN$72*(197-$NR$72+1)*($NS$72-197+1)/$NU$72,$NN$72/$NT$72)),0)</f>
        <v/>
      </c>
      <c r="GT72" s="402">
        <f>IF(AND(198&gt;=$NR$72,198&lt;=$NS$72),IF($NP$72="Single_Point",IF(198=$NR$72,$NN$72,0),IF($NP$72="Bell_Curve",$NN$72*(198-$NR$72+1)*($NS$72-198+1)/$NU$72,$NN$72/$NT$72)),0)</f>
        <v/>
      </c>
      <c r="GU72" s="402">
        <f>IF(AND(199&gt;=$NR$72,199&lt;=$NS$72),IF($NP$72="Single_Point",IF(199=$NR$72,$NN$72,0),IF($NP$72="Bell_Curve",$NN$72*(199-$NR$72+1)*($NS$72-199+1)/$NU$72,$NN$72/$NT$72)),0)</f>
        <v/>
      </c>
      <c r="GV72" s="402">
        <f>IF(AND(200&gt;=$NR$72,200&lt;=$NS$72),IF($NP$72="Single_Point",IF(200=$NR$72,$NN$72,0),IF($NP$72="Bell_Curve",$NN$72*(200-$NR$72+1)*($NS$72-200+1)/$NU$72,$NN$72/$NT$72)),0)</f>
        <v/>
      </c>
      <c r="GW72" s="402">
        <f>IF(AND(201&gt;=$NR$72,201&lt;=$NS$72),IF($NP$72="Single_Point",IF(201=$NR$72,$NN$72,0),IF($NP$72="Bell_Curve",$NN$72*(201-$NR$72+1)*($NS$72-201+1)/$NU$72,$NN$72/$NT$72)),0)</f>
        <v/>
      </c>
      <c r="GX72" s="402">
        <f>IF(AND(202&gt;=$NR$72,202&lt;=$NS$72),IF($NP$72="Single_Point",IF(202=$NR$72,$NN$72,0),IF($NP$72="Bell_Curve",$NN$72*(202-$NR$72+1)*($NS$72-202+1)/$NU$72,$NN$72/$NT$72)),0)</f>
        <v/>
      </c>
      <c r="GY72" s="402">
        <f>IF(AND(203&gt;=$NR$72,203&lt;=$NS$72),IF($NP$72="Single_Point",IF(203=$NR$72,$NN$72,0),IF($NP$72="Bell_Curve",$NN$72*(203-$NR$72+1)*($NS$72-203+1)/$NU$72,$NN$72/$NT$72)),0)</f>
        <v/>
      </c>
      <c r="GZ72" s="402">
        <f>IF(AND(204&gt;=$NR$72,204&lt;=$NS$72),IF($NP$72="Single_Point",IF(204=$NR$72,$NN$72,0),IF($NP$72="Bell_Curve",$NN$72*(204-$NR$72+1)*($NS$72-204+1)/$NU$72,$NN$72/$NT$72)),0)</f>
        <v/>
      </c>
      <c r="HA72" s="402">
        <f>IF(AND(205&gt;=$NR$72,205&lt;=$NS$72),IF($NP$72="Single_Point",IF(205=$NR$72,$NN$72,0),IF($NP$72="Bell_Curve",$NN$72*(205-$NR$72+1)*($NS$72-205+1)/$NU$72,$NN$72/$NT$72)),0)</f>
        <v/>
      </c>
      <c r="HB72" s="402">
        <f>IF(AND(206&gt;=$NR$72,206&lt;=$NS$72),IF($NP$72="Single_Point",IF(206=$NR$72,$NN$72,0),IF($NP$72="Bell_Curve",$NN$72*(206-$NR$72+1)*($NS$72-206+1)/$NU$72,$NN$72/$NT$72)),0)</f>
        <v/>
      </c>
      <c r="HC72" s="402">
        <f>IF(AND(207&gt;=$NR$72,207&lt;=$NS$72),IF($NP$72="Single_Point",IF(207=$NR$72,$NN$72,0),IF($NP$72="Bell_Curve",$NN$72*(207-$NR$72+1)*($NS$72-207+1)/$NU$72,$NN$72/$NT$72)),0)</f>
        <v/>
      </c>
      <c r="HD72" s="402">
        <f>IF(AND(208&gt;=$NR$72,208&lt;=$NS$72),IF($NP$72="Single_Point",IF(208=$NR$72,$NN$72,0),IF($NP$72="Bell_Curve",$NN$72*(208-$NR$72+1)*($NS$72-208+1)/$NU$72,$NN$72/$NT$72)),0)</f>
        <v/>
      </c>
      <c r="HE72" s="402">
        <f>IF(AND(209&gt;=$NR$72,209&lt;=$NS$72),IF($NP$72="Single_Point",IF(209=$NR$72,$NN$72,0),IF($NP$72="Bell_Curve",$NN$72*(209-$NR$72+1)*($NS$72-209+1)/$NU$72,$NN$72/$NT$72)),0)</f>
        <v/>
      </c>
      <c r="HF72" s="402">
        <f>IF(AND(210&gt;=$NR$72,210&lt;=$NS$72),IF($NP$72="Single_Point",IF(210=$NR$72,$NN$72,0),IF($NP$72="Bell_Curve",$NN$72*(210-$NR$72+1)*($NS$72-210+1)/$NU$72,$NN$72/$NT$72)),0)</f>
        <v/>
      </c>
      <c r="HG72" s="402">
        <f>IF(AND(211&gt;=$NR$72,211&lt;=$NS$72),IF($NP$72="Single_Point",IF(211=$NR$72,$NN$72,0),IF($NP$72="Bell_Curve",$NN$72*(211-$NR$72+1)*($NS$72-211+1)/$NU$72,$NN$72/$NT$72)),0)</f>
        <v/>
      </c>
      <c r="HH72" s="402">
        <f>IF(AND(212&gt;=$NR$72,212&lt;=$NS$72),IF($NP$72="Single_Point",IF(212=$NR$72,$NN$72,0),IF($NP$72="Bell_Curve",$NN$72*(212-$NR$72+1)*($NS$72-212+1)/$NU$72,$NN$72/$NT$72)),0)</f>
        <v/>
      </c>
      <c r="HI72" s="402">
        <f>IF(AND(213&gt;=$NR$72,213&lt;=$NS$72),IF($NP$72="Single_Point",IF(213=$NR$72,$NN$72,0),IF($NP$72="Bell_Curve",$NN$72*(213-$NR$72+1)*($NS$72-213+1)/$NU$72,$NN$72/$NT$72)),0)</f>
        <v/>
      </c>
      <c r="HJ72" s="402">
        <f>IF(AND(214&gt;=$NR$72,214&lt;=$NS$72),IF($NP$72="Single_Point",IF(214=$NR$72,$NN$72,0),IF($NP$72="Bell_Curve",$NN$72*(214-$NR$72+1)*($NS$72-214+1)/$NU$72,$NN$72/$NT$72)),0)</f>
        <v/>
      </c>
      <c r="HK72" s="402">
        <f>IF(AND(215&gt;=$NR$72,215&lt;=$NS$72),IF($NP$72="Single_Point",IF(215=$NR$72,$NN$72,0),IF($NP$72="Bell_Curve",$NN$72*(215-$NR$72+1)*($NS$72-215+1)/$NU$72,$NN$72/$NT$72)),0)</f>
        <v/>
      </c>
      <c r="HL72" s="402">
        <f>IF(AND(216&gt;=$NR$72,216&lt;=$NS$72),IF($NP$72="Single_Point",IF(216=$NR$72,$NN$72,0),IF($NP$72="Bell_Curve",$NN$72*(216-$NR$72+1)*($NS$72-216+1)/$NU$72,$NN$72/$NT$72)),0)</f>
        <v/>
      </c>
      <c r="HM72" s="402">
        <f>IF(AND(217&gt;=$NR$72,217&lt;=$NS$72),IF($NP$72="Single_Point",IF(217=$NR$72,$NN$72,0),IF($NP$72="Bell_Curve",$NN$72*(217-$NR$72+1)*($NS$72-217+1)/$NU$72,$NN$72/$NT$72)),0)</f>
        <v/>
      </c>
      <c r="HN72" s="402">
        <f>IF(AND(218&gt;=$NR$72,218&lt;=$NS$72),IF($NP$72="Single_Point",IF(218=$NR$72,$NN$72,0),IF($NP$72="Bell_Curve",$NN$72*(218-$NR$72+1)*($NS$72-218+1)/$NU$72,$NN$72/$NT$72)),0)</f>
        <v/>
      </c>
      <c r="HO72" s="402">
        <f>IF(AND(219&gt;=$NR$72,219&lt;=$NS$72),IF($NP$72="Single_Point",IF(219=$NR$72,$NN$72,0),IF($NP$72="Bell_Curve",$NN$72*(219-$NR$72+1)*($NS$72-219+1)/$NU$72,$NN$72/$NT$72)),0)</f>
        <v/>
      </c>
      <c r="HP72" s="402">
        <f>IF(AND(220&gt;=$NR$72,220&lt;=$NS$72),IF($NP$72="Single_Point",IF(220=$NR$72,$NN$72,0),IF($NP$72="Bell_Curve",$NN$72*(220-$NR$72+1)*($NS$72-220+1)/$NU$72,$NN$72/$NT$72)),0)</f>
        <v/>
      </c>
      <c r="HQ72" s="402">
        <f>IF(AND(221&gt;=$NR$72,221&lt;=$NS$72),IF($NP$72="Single_Point",IF(221=$NR$72,$NN$72,0),IF($NP$72="Bell_Curve",$NN$72*(221-$NR$72+1)*($NS$72-221+1)/$NU$72,$NN$72/$NT$72)),0)</f>
        <v/>
      </c>
      <c r="HR72" s="402">
        <f>IF(AND(222&gt;=$NR$72,222&lt;=$NS$72),IF($NP$72="Single_Point",IF(222=$NR$72,$NN$72,0),IF($NP$72="Bell_Curve",$NN$72*(222-$NR$72+1)*($NS$72-222+1)/$NU$72,$NN$72/$NT$72)),0)</f>
        <v/>
      </c>
      <c r="HS72" s="402">
        <f>IF(AND(223&gt;=$NR$72,223&lt;=$NS$72),IF($NP$72="Single_Point",IF(223=$NR$72,$NN$72,0),IF($NP$72="Bell_Curve",$NN$72*(223-$NR$72+1)*($NS$72-223+1)/$NU$72,$NN$72/$NT$72)),0)</f>
        <v/>
      </c>
      <c r="HT72" s="402">
        <f>IF(AND(224&gt;=$NR$72,224&lt;=$NS$72),IF($NP$72="Single_Point",IF(224=$NR$72,$NN$72,0),IF($NP$72="Bell_Curve",$NN$72*(224-$NR$72+1)*($NS$72-224+1)/$NU$72,$NN$72/$NT$72)),0)</f>
        <v/>
      </c>
      <c r="HU72" s="402">
        <f>IF(AND(225&gt;=$NR$72,225&lt;=$NS$72),IF($NP$72="Single_Point",IF(225=$NR$72,$NN$72,0),IF($NP$72="Bell_Curve",$NN$72*(225-$NR$72+1)*($NS$72-225+1)/$NU$72,$NN$72/$NT$72)),0)</f>
        <v/>
      </c>
      <c r="HV72" s="402">
        <f>IF(AND(226&gt;=$NR$72,226&lt;=$NS$72),IF($NP$72="Single_Point",IF(226=$NR$72,$NN$72,0),IF($NP$72="Bell_Curve",$NN$72*(226-$NR$72+1)*($NS$72-226+1)/$NU$72,$NN$72/$NT$72)),0)</f>
        <v/>
      </c>
      <c r="HW72" s="402">
        <f>IF(AND(227&gt;=$NR$72,227&lt;=$NS$72),IF($NP$72="Single_Point",IF(227=$NR$72,$NN$72,0),IF($NP$72="Bell_Curve",$NN$72*(227-$NR$72+1)*($NS$72-227+1)/$NU$72,$NN$72/$NT$72)),0)</f>
        <v/>
      </c>
      <c r="HX72" s="402">
        <f>IF(AND(228&gt;=$NR$72,228&lt;=$NS$72),IF($NP$72="Single_Point",IF(228=$NR$72,$NN$72,0),IF($NP$72="Bell_Curve",$NN$72*(228-$NR$72+1)*($NS$72-228+1)/$NU$72,$NN$72/$NT$72)),0)</f>
        <v/>
      </c>
      <c r="HY72" s="402">
        <f>IF(AND(229&gt;=$NR$72,229&lt;=$NS$72),IF($NP$72="Single_Point",IF(229=$NR$72,$NN$72,0),IF($NP$72="Bell_Curve",$NN$72*(229-$NR$72+1)*($NS$72-229+1)/$NU$72,$NN$72/$NT$72)),0)</f>
        <v/>
      </c>
      <c r="HZ72" s="402">
        <f>IF(AND(230&gt;=$NR$72,230&lt;=$NS$72),IF($NP$72="Single_Point",IF(230=$NR$72,$NN$72,0),IF($NP$72="Bell_Curve",$NN$72*(230-$NR$72+1)*($NS$72-230+1)/$NU$72,$NN$72/$NT$72)),0)</f>
        <v/>
      </c>
      <c r="IA72" s="402">
        <f>IF(AND(231&gt;=$NR$72,231&lt;=$NS$72),IF($NP$72="Single_Point",IF(231=$NR$72,$NN$72,0),IF($NP$72="Bell_Curve",$NN$72*(231-$NR$72+1)*($NS$72-231+1)/$NU$72,$NN$72/$NT$72)),0)</f>
        <v/>
      </c>
      <c r="IB72" s="402">
        <f>IF(AND(232&gt;=$NR$72,232&lt;=$NS$72),IF($NP$72="Single_Point",IF(232=$NR$72,$NN$72,0),IF($NP$72="Bell_Curve",$NN$72*(232-$NR$72+1)*($NS$72-232+1)/$NU$72,$NN$72/$NT$72)),0)</f>
        <v/>
      </c>
      <c r="IC72" s="402">
        <f>IF(AND(233&gt;=$NR$72,233&lt;=$NS$72),IF($NP$72="Single_Point",IF(233=$NR$72,$NN$72,0),IF($NP$72="Bell_Curve",$NN$72*(233-$NR$72+1)*($NS$72-233+1)/$NU$72,$NN$72/$NT$72)),0)</f>
        <v/>
      </c>
      <c r="ID72" s="402">
        <f>IF(AND(234&gt;=$NR$72,234&lt;=$NS$72),IF($NP$72="Single_Point",IF(234=$NR$72,$NN$72,0),IF($NP$72="Bell_Curve",$NN$72*(234-$NR$72+1)*($NS$72-234+1)/$NU$72,$NN$72/$NT$72)),0)</f>
        <v/>
      </c>
      <c r="IE72" s="402">
        <f>IF(AND(235&gt;=$NR$72,235&lt;=$NS$72),IF($NP$72="Single_Point",IF(235=$NR$72,$NN$72,0),IF($NP$72="Bell_Curve",$NN$72*(235-$NR$72+1)*($NS$72-235+1)/$NU$72,$NN$72/$NT$72)),0)</f>
        <v/>
      </c>
      <c r="IF72" s="402">
        <f>IF(AND(236&gt;=$NR$72,236&lt;=$NS$72),IF($NP$72="Single_Point",IF(236=$NR$72,$NN$72,0),IF($NP$72="Bell_Curve",$NN$72*(236-$NR$72+1)*($NS$72-236+1)/$NU$72,$NN$72/$NT$72)),0)</f>
        <v/>
      </c>
      <c r="IG72" s="402">
        <f>IF(AND(237&gt;=$NR$72,237&lt;=$NS$72),IF($NP$72="Single_Point",IF(237=$NR$72,$NN$72,0),IF($NP$72="Bell_Curve",$NN$72*(237-$NR$72+1)*($NS$72-237+1)/$NU$72,$NN$72/$NT$72)),0)</f>
        <v/>
      </c>
      <c r="IH72" s="402">
        <f>IF(AND(238&gt;=$NR$72,238&lt;=$NS$72),IF($NP$72="Single_Point",IF(238=$NR$72,$NN$72,0),IF($NP$72="Bell_Curve",$NN$72*(238-$NR$72+1)*($NS$72-238+1)/$NU$72,$NN$72/$NT$72)),0)</f>
        <v/>
      </c>
      <c r="II72" s="402">
        <f>IF(AND(239&gt;=$NR$72,239&lt;=$NS$72),IF($NP$72="Single_Point",IF(239=$NR$72,$NN$72,0),IF($NP$72="Bell_Curve",$NN$72*(239-$NR$72+1)*($NS$72-239+1)/$NU$72,$NN$72/$NT$72)),0)</f>
        <v/>
      </c>
      <c r="IJ72" s="402">
        <f>IF(AND(240&gt;=$NR$72,240&lt;=$NS$72),IF($NP$72="Single_Point",IF(240=$NR$72,$NN$72,0),IF($NP$72="Bell_Curve",$NN$72*(240-$NR$72+1)*($NS$72-240+1)/$NU$72,$NN$72/$NT$72)),0)</f>
        <v/>
      </c>
      <c r="IK72" s="402">
        <f>IF(AND(241&gt;=$NR$72,241&lt;=$NS$72),IF($NP$72="Single_Point",IF(241=$NR$72,$NN$72,0),IF($NP$72="Bell_Curve",$NN$72*(241-$NR$72+1)*($NS$72-241+1)/$NU$72,$NN$72/$NT$72)),0)</f>
        <v/>
      </c>
      <c r="IL72" s="402">
        <f>IF(AND(242&gt;=$NR$72,242&lt;=$NS$72),IF($NP$72="Single_Point",IF(242=$NR$72,$NN$72,0),IF($NP$72="Bell_Curve",$NN$72*(242-$NR$72+1)*($NS$72-242+1)/$NU$72,$NN$72/$NT$72)),0)</f>
        <v/>
      </c>
      <c r="IM72" s="402">
        <f>IF(AND(243&gt;=$NR$72,243&lt;=$NS$72),IF($NP$72="Single_Point",IF(243=$NR$72,$NN$72,0),IF($NP$72="Bell_Curve",$NN$72*(243-$NR$72+1)*($NS$72-243+1)/$NU$72,$NN$72/$NT$72)),0)</f>
        <v/>
      </c>
      <c r="IN72" s="402">
        <f>IF(AND(244&gt;=$NR$72,244&lt;=$NS$72),IF($NP$72="Single_Point",IF(244=$NR$72,$NN$72,0),IF($NP$72="Bell_Curve",$NN$72*(244-$NR$72+1)*($NS$72-244+1)/$NU$72,$NN$72/$NT$72)),0)</f>
        <v/>
      </c>
      <c r="IO72" s="402">
        <f>IF(AND(245&gt;=$NR$72,245&lt;=$NS$72),IF($NP$72="Single_Point",IF(245=$NR$72,$NN$72,0),IF($NP$72="Bell_Curve",$NN$72*(245-$NR$72+1)*($NS$72-245+1)/$NU$72,$NN$72/$NT$72)),0)</f>
        <v/>
      </c>
      <c r="IP72" s="402">
        <f>IF(AND(246&gt;=$NR$72,246&lt;=$NS$72),IF($NP$72="Single_Point",IF(246=$NR$72,$NN$72,0),IF($NP$72="Bell_Curve",$NN$72*(246-$NR$72+1)*($NS$72-246+1)/$NU$72,$NN$72/$NT$72)),0)</f>
        <v/>
      </c>
      <c r="IQ72" s="402">
        <f>IF(AND(247&gt;=$NR$72,247&lt;=$NS$72),IF($NP$72="Single_Point",IF(247=$NR$72,$NN$72,0),IF($NP$72="Bell_Curve",$NN$72*(247-$NR$72+1)*($NS$72-247+1)/$NU$72,$NN$72/$NT$72)),0)</f>
        <v/>
      </c>
      <c r="IR72" s="402">
        <f>IF(AND(248&gt;=$NR$72,248&lt;=$NS$72),IF($NP$72="Single_Point",IF(248=$NR$72,$NN$72,0),IF($NP$72="Bell_Curve",$NN$72*(248-$NR$72+1)*($NS$72-248+1)/$NU$72,$NN$72/$NT$72)),0)</f>
        <v/>
      </c>
      <c r="IS72" s="402">
        <f>IF(AND(249&gt;=$NR$72,249&lt;=$NS$72),IF($NP$72="Single_Point",IF(249=$NR$72,$NN$72,0),IF($NP$72="Bell_Curve",$NN$72*(249-$NR$72+1)*($NS$72-249+1)/$NU$72,$NN$72/$NT$72)),0)</f>
        <v/>
      </c>
      <c r="IT72" s="402">
        <f>IF(AND(250&gt;=$NR$72,250&lt;=$NS$72),IF($NP$72="Single_Point",IF(250=$NR$72,$NN$72,0),IF($NP$72="Bell_Curve",$NN$72*(250-$NR$72+1)*($NS$72-250+1)/$NU$72,$NN$72/$NT$72)),0)</f>
        <v/>
      </c>
      <c r="IU72" s="402">
        <f>IF(AND(251&gt;=$NR$72,251&lt;=$NS$72),IF($NP$72="Single_Point",IF(251=$NR$72,$NN$72,0),IF($NP$72="Bell_Curve",$NN$72*(251-$NR$72+1)*($NS$72-251+1)/$NU$72,$NN$72/$NT$72)),0)</f>
        <v/>
      </c>
      <c r="IV72" s="402">
        <f>IF(AND(252&gt;=$NR$72,252&lt;=$NS$72),IF($NP$72="Single_Point",IF(252=$NR$72,$NN$72,0),IF($NP$72="Bell_Curve",$NN$72*(252-$NR$72+1)*($NS$72-252+1)/$NU$72,$NN$72/$NT$72)),0)</f>
        <v/>
      </c>
      <c r="IW72" s="402">
        <f>IF(AND(253&gt;=$NR$72,253&lt;=$NS$72),IF($NP$72="Single_Point",IF(253=$NR$72,$NN$72,0),IF($NP$72="Bell_Curve",$NN$72*(253-$NR$72+1)*($NS$72-253+1)/$NU$72,$NN$72/$NT$72)),0)</f>
        <v/>
      </c>
      <c r="IX72" s="402">
        <f>IF(AND(254&gt;=$NR$72,254&lt;=$NS$72),IF($NP$72="Single_Point",IF(254=$NR$72,$NN$72,0),IF($NP$72="Bell_Curve",$NN$72*(254-$NR$72+1)*($NS$72-254+1)/$NU$72,$NN$72/$NT$72)),0)</f>
        <v/>
      </c>
      <c r="IY72" s="402">
        <f>IF(AND(255&gt;=$NR$72,255&lt;=$NS$72),IF($NP$72="Single_Point",IF(255=$NR$72,$NN$72,0),IF($NP$72="Bell_Curve",$NN$72*(255-$NR$72+1)*($NS$72-255+1)/$NU$72,$NN$72/$NT$72)),0)</f>
        <v/>
      </c>
      <c r="IZ72" s="402">
        <f>IF(AND(256&gt;=$NR$72,256&lt;=$NS$72),IF($NP$72="Single_Point",IF(256=$NR$72,$NN$72,0),IF($NP$72="Bell_Curve",$NN$72*(256-$NR$72+1)*($NS$72-256+1)/$NU$72,$NN$72/$NT$72)),0)</f>
        <v/>
      </c>
      <c r="JA72" s="402">
        <f>IF(AND(257&gt;=$NR$72,257&lt;=$NS$72),IF($NP$72="Single_Point",IF(257=$NR$72,$NN$72,0),IF($NP$72="Bell_Curve",$NN$72*(257-$NR$72+1)*($NS$72-257+1)/$NU$72,$NN$72/$NT$72)),0)</f>
        <v/>
      </c>
      <c r="JB72" s="402">
        <f>IF(AND(258&gt;=$NR$72,258&lt;=$NS$72),IF($NP$72="Single_Point",IF(258=$NR$72,$NN$72,0),IF($NP$72="Bell_Curve",$NN$72*(258-$NR$72+1)*($NS$72-258+1)/$NU$72,$NN$72/$NT$72)),0)</f>
        <v/>
      </c>
      <c r="JC72" s="402">
        <f>IF(AND(259&gt;=$NR$72,259&lt;=$NS$72),IF($NP$72="Single_Point",IF(259=$NR$72,$NN$72,0),IF($NP$72="Bell_Curve",$NN$72*(259-$NR$72+1)*($NS$72-259+1)/$NU$72,$NN$72/$NT$72)),0)</f>
        <v/>
      </c>
      <c r="JD72" s="402">
        <f>IF(AND(260&gt;=$NR$72,260&lt;=$NS$72),IF($NP$72="Single_Point",IF(260=$NR$72,$NN$72,0),IF($NP$72="Bell_Curve",$NN$72*(260-$NR$72+1)*($NS$72-260+1)/$NU$72,$NN$72/$NT$72)),0)</f>
        <v/>
      </c>
      <c r="JE72" s="402">
        <f>IF(AND(261&gt;=$NR$72,261&lt;=$NS$72),IF($NP$72="Single_Point",IF(261=$NR$72,$NN$72,0),IF($NP$72="Bell_Curve",$NN$72*(261-$NR$72+1)*($NS$72-261+1)/$NU$72,$NN$72/$NT$72)),0)</f>
        <v/>
      </c>
      <c r="JF72" s="402">
        <f>IF(AND(262&gt;=$NR$72,262&lt;=$NS$72),IF($NP$72="Single_Point",IF(262=$NR$72,$NN$72,0),IF($NP$72="Bell_Curve",$NN$72*(262-$NR$72+1)*($NS$72-262+1)/$NU$72,$NN$72/$NT$72)),0)</f>
        <v/>
      </c>
      <c r="JG72" s="402">
        <f>IF(AND(263&gt;=$NR$72,263&lt;=$NS$72),IF($NP$72="Single_Point",IF(263=$NR$72,$NN$72,0),IF($NP$72="Bell_Curve",$NN$72*(263-$NR$72+1)*($NS$72-263+1)/$NU$72,$NN$72/$NT$72)),0)</f>
        <v/>
      </c>
      <c r="JH72" s="402">
        <f>IF(AND(264&gt;=$NR$72,264&lt;=$NS$72),IF($NP$72="Single_Point",IF(264=$NR$72,$NN$72,0),IF($NP$72="Bell_Curve",$NN$72*(264-$NR$72+1)*($NS$72-264+1)/$NU$72,$NN$72/$NT$72)),0)</f>
        <v/>
      </c>
      <c r="JI72" s="402">
        <f>IF(AND(265&gt;=$NR$72,265&lt;=$NS$72),IF($NP$72="Single_Point",IF(265=$NR$72,$NN$72,0),IF($NP$72="Bell_Curve",$NN$72*(265-$NR$72+1)*($NS$72-265+1)/$NU$72,$NN$72/$NT$72)),0)</f>
        <v/>
      </c>
      <c r="JJ72" s="402">
        <f>IF(AND(266&gt;=$NR$72,266&lt;=$NS$72),IF($NP$72="Single_Point",IF(266=$NR$72,$NN$72,0),IF($NP$72="Bell_Curve",$NN$72*(266-$NR$72+1)*($NS$72-266+1)/$NU$72,$NN$72/$NT$72)),0)</f>
        <v/>
      </c>
      <c r="JK72" s="402">
        <f>IF(AND(267&gt;=$NR$72,267&lt;=$NS$72),IF($NP$72="Single_Point",IF(267=$NR$72,$NN$72,0),IF($NP$72="Bell_Curve",$NN$72*(267-$NR$72+1)*($NS$72-267+1)/$NU$72,$NN$72/$NT$72)),0)</f>
        <v/>
      </c>
      <c r="JL72" s="402">
        <f>IF(AND(268&gt;=$NR$72,268&lt;=$NS$72),IF($NP$72="Single_Point",IF(268=$NR$72,$NN$72,0),IF($NP$72="Bell_Curve",$NN$72*(268-$NR$72+1)*($NS$72-268+1)/$NU$72,$NN$72/$NT$72)),0)</f>
        <v/>
      </c>
      <c r="JM72" s="402">
        <f>IF(AND(269&gt;=$NR$72,269&lt;=$NS$72),IF($NP$72="Single_Point",IF(269=$NR$72,$NN$72,0),IF($NP$72="Bell_Curve",$NN$72*(269-$NR$72+1)*($NS$72-269+1)/$NU$72,$NN$72/$NT$72)),0)</f>
        <v/>
      </c>
      <c r="JN72" s="402">
        <f>IF(AND(270&gt;=$NR$72,270&lt;=$NS$72),IF($NP$72="Single_Point",IF(270=$NR$72,$NN$72,0),IF($NP$72="Bell_Curve",$NN$72*(270-$NR$72+1)*($NS$72-270+1)/$NU$72,$NN$72/$NT$72)),0)</f>
        <v/>
      </c>
      <c r="JO72" s="402">
        <f>IF(AND(271&gt;=$NR$72,271&lt;=$NS$72),IF($NP$72="Single_Point",IF(271=$NR$72,$NN$72,0),IF($NP$72="Bell_Curve",$NN$72*(271-$NR$72+1)*($NS$72-271+1)/$NU$72,$NN$72/$NT$72)),0)</f>
        <v/>
      </c>
      <c r="JP72" s="402">
        <f>IF(AND(272&gt;=$NR$72,272&lt;=$NS$72),IF($NP$72="Single_Point",IF(272=$NR$72,$NN$72,0),IF($NP$72="Bell_Curve",$NN$72*(272-$NR$72+1)*($NS$72-272+1)/$NU$72,$NN$72/$NT$72)),0)</f>
        <v/>
      </c>
      <c r="JQ72" s="402">
        <f>IF(AND(273&gt;=$NR$72,273&lt;=$NS$72),IF($NP$72="Single_Point",IF(273=$NR$72,$NN$72,0),IF($NP$72="Bell_Curve",$NN$72*(273-$NR$72+1)*($NS$72-273+1)/$NU$72,$NN$72/$NT$72)),0)</f>
        <v/>
      </c>
      <c r="JR72" s="402">
        <f>IF(AND(274&gt;=$NR$72,274&lt;=$NS$72),IF($NP$72="Single_Point",IF(274=$NR$72,$NN$72,0),IF($NP$72="Bell_Curve",$NN$72*(274-$NR$72+1)*($NS$72-274+1)/$NU$72,$NN$72/$NT$72)),0)</f>
        <v/>
      </c>
      <c r="JS72" s="402">
        <f>IF(AND(275&gt;=$NR$72,275&lt;=$NS$72),IF($NP$72="Single_Point",IF(275=$NR$72,$NN$72,0),IF($NP$72="Bell_Curve",$NN$72*(275-$NR$72+1)*($NS$72-275+1)/$NU$72,$NN$72/$NT$72)),0)</f>
        <v/>
      </c>
      <c r="JT72" s="402">
        <f>IF(AND(276&gt;=$NR$72,276&lt;=$NS$72),IF($NP$72="Single_Point",IF(276=$NR$72,$NN$72,0),IF($NP$72="Bell_Curve",$NN$72*(276-$NR$72+1)*($NS$72-276+1)/$NU$72,$NN$72/$NT$72)),0)</f>
        <v/>
      </c>
      <c r="JU72" s="402">
        <f>IF(AND(277&gt;=$NR$72,277&lt;=$NS$72),IF($NP$72="Single_Point",IF(277=$NR$72,$NN$72,0),IF($NP$72="Bell_Curve",$NN$72*(277-$NR$72+1)*($NS$72-277+1)/$NU$72,$NN$72/$NT$72)),0)</f>
        <v/>
      </c>
      <c r="JV72" s="402">
        <f>IF(AND(278&gt;=$NR$72,278&lt;=$NS$72),IF($NP$72="Single_Point",IF(278=$NR$72,$NN$72,0),IF($NP$72="Bell_Curve",$NN$72*(278-$NR$72+1)*($NS$72-278+1)/$NU$72,$NN$72/$NT$72)),0)</f>
        <v/>
      </c>
      <c r="JW72" s="402">
        <f>IF(AND(279&gt;=$NR$72,279&lt;=$NS$72),IF($NP$72="Single_Point",IF(279=$NR$72,$NN$72,0),IF($NP$72="Bell_Curve",$NN$72*(279-$NR$72+1)*($NS$72-279+1)/$NU$72,$NN$72/$NT$72)),0)</f>
        <v/>
      </c>
      <c r="JX72" s="402">
        <f>IF(AND(280&gt;=$NR$72,280&lt;=$NS$72),IF($NP$72="Single_Point",IF(280=$NR$72,$NN$72,0),IF($NP$72="Bell_Curve",$NN$72*(280-$NR$72+1)*($NS$72-280+1)/$NU$72,$NN$72/$NT$72)),0)</f>
        <v/>
      </c>
      <c r="JY72" s="402">
        <f>IF(AND(281&gt;=$NR$72,281&lt;=$NS$72),IF($NP$72="Single_Point",IF(281=$NR$72,$NN$72,0),IF($NP$72="Bell_Curve",$NN$72*(281-$NR$72+1)*($NS$72-281+1)/$NU$72,$NN$72/$NT$72)),0)</f>
        <v/>
      </c>
      <c r="JZ72" s="402">
        <f>IF(AND(282&gt;=$NR$72,282&lt;=$NS$72),IF($NP$72="Single_Point",IF(282=$NR$72,$NN$72,0),IF($NP$72="Bell_Curve",$NN$72*(282-$NR$72+1)*($NS$72-282+1)/$NU$72,$NN$72/$NT$72)),0)</f>
        <v/>
      </c>
      <c r="KA72" s="402">
        <f>IF(AND(283&gt;=$NR$72,283&lt;=$NS$72),IF($NP$72="Single_Point",IF(283=$NR$72,$NN$72,0),IF($NP$72="Bell_Curve",$NN$72*(283-$NR$72+1)*($NS$72-283+1)/$NU$72,$NN$72/$NT$72)),0)</f>
        <v/>
      </c>
      <c r="KB72" s="402">
        <f>IF(AND(284&gt;=$NR$72,284&lt;=$NS$72),IF($NP$72="Single_Point",IF(284=$NR$72,$NN$72,0),IF($NP$72="Bell_Curve",$NN$72*(284-$NR$72+1)*($NS$72-284+1)/$NU$72,$NN$72/$NT$72)),0)</f>
        <v/>
      </c>
      <c r="KC72" s="402">
        <f>IF(AND(285&gt;=$NR$72,285&lt;=$NS$72),IF($NP$72="Single_Point",IF(285=$NR$72,$NN$72,0),IF($NP$72="Bell_Curve",$NN$72*(285-$NR$72+1)*($NS$72-285+1)/$NU$72,$NN$72/$NT$72)),0)</f>
        <v/>
      </c>
      <c r="KD72" s="402">
        <f>IF(AND(286&gt;=$NR$72,286&lt;=$NS$72),IF($NP$72="Single_Point",IF(286=$NR$72,$NN$72,0),IF($NP$72="Bell_Curve",$NN$72*(286-$NR$72+1)*($NS$72-286+1)/$NU$72,$NN$72/$NT$72)),0)</f>
        <v/>
      </c>
      <c r="KE72" s="402">
        <f>IF(AND(287&gt;=$NR$72,287&lt;=$NS$72),IF($NP$72="Single_Point",IF(287=$NR$72,$NN$72,0),IF($NP$72="Bell_Curve",$NN$72*(287-$NR$72+1)*($NS$72-287+1)/$NU$72,$NN$72/$NT$72)),0)</f>
        <v/>
      </c>
      <c r="KF72" s="402">
        <f>IF(AND(288&gt;=$NR$72,288&lt;=$NS$72),IF($NP$72="Single_Point",IF(288=$NR$72,$NN$72,0),IF($NP$72="Bell_Curve",$NN$72*(288-$NR$72+1)*($NS$72-288+1)/$NU$72,$NN$72/$NT$72)),0)</f>
        <v/>
      </c>
      <c r="KG72" s="402">
        <f>IF(AND(289&gt;=$NR$72,289&lt;=$NS$72),IF($NP$72="Single_Point",IF(289=$NR$72,$NN$72,0),IF($NP$72="Bell_Curve",$NN$72*(289-$NR$72+1)*($NS$72-289+1)/$NU$72,$NN$72/$NT$72)),0)</f>
        <v/>
      </c>
      <c r="KH72" s="402">
        <f>IF(AND(290&gt;=$NR$72,290&lt;=$NS$72),IF($NP$72="Single_Point",IF(290=$NR$72,$NN$72,0),IF($NP$72="Bell_Curve",$NN$72*(290-$NR$72+1)*($NS$72-290+1)/$NU$72,$NN$72/$NT$72)),0)</f>
        <v/>
      </c>
      <c r="KI72" s="402">
        <f>IF(AND(291&gt;=$NR$72,291&lt;=$NS$72),IF($NP$72="Single_Point",IF(291=$NR$72,$NN$72,0),IF($NP$72="Bell_Curve",$NN$72*(291-$NR$72+1)*($NS$72-291+1)/$NU$72,$NN$72/$NT$72)),0)</f>
        <v/>
      </c>
      <c r="KJ72" s="402">
        <f>IF(AND(292&gt;=$NR$72,292&lt;=$NS$72),IF($NP$72="Single_Point",IF(292=$NR$72,$NN$72,0),IF($NP$72="Bell_Curve",$NN$72*(292-$NR$72+1)*($NS$72-292+1)/$NU$72,$NN$72/$NT$72)),0)</f>
        <v/>
      </c>
      <c r="KK72" s="402">
        <f>IF(AND(293&gt;=$NR$72,293&lt;=$NS$72),IF($NP$72="Single_Point",IF(293=$NR$72,$NN$72,0),IF($NP$72="Bell_Curve",$NN$72*(293-$NR$72+1)*($NS$72-293+1)/$NU$72,$NN$72/$NT$72)),0)</f>
        <v/>
      </c>
      <c r="KL72" s="402">
        <f>IF(AND(294&gt;=$NR$72,294&lt;=$NS$72),IF($NP$72="Single_Point",IF(294=$NR$72,$NN$72,0),IF($NP$72="Bell_Curve",$NN$72*(294-$NR$72+1)*($NS$72-294+1)/$NU$72,$NN$72/$NT$72)),0)</f>
        <v/>
      </c>
      <c r="KM72" s="402">
        <f>IF(AND(295&gt;=$NR$72,295&lt;=$NS$72),IF($NP$72="Single_Point",IF(295=$NR$72,$NN$72,0),IF($NP$72="Bell_Curve",$NN$72*(295-$NR$72+1)*($NS$72-295+1)/$NU$72,$NN$72/$NT$72)),0)</f>
        <v/>
      </c>
      <c r="KN72" s="402">
        <f>IF(AND(296&gt;=$NR$72,296&lt;=$NS$72),IF($NP$72="Single_Point",IF(296=$NR$72,$NN$72,0),IF($NP$72="Bell_Curve",$NN$72*(296-$NR$72+1)*($NS$72-296+1)/$NU$72,$NN$72/$NT$72)),0)</f>
        <v/>
      </c>
      <c r="KO72" s="402">
        <f>IF(AND(297&gt;=$NR$72,297&lt;=$NS$72),IF($NP$72="Single_Point",IF(297=$NR$72,$NN$72,0),IF($NP$72="Bell_Curve",$NN$72*(297-$NR$72+1)*($NS$72-297+1)/$NU$72,$NN$72/$NT$72)),0)</f>
        <v/>
      </c>
      <c r="KP72" s="402">
        <f>IF(AND(298&gt;=$NR$72,298&lt;=$NS$72),IF($NP$72="Single_Point",IF(298=$NR$72,$NN$72,0),IF($NP$72="Bell_Curve",$NN$72*(298-$NR$72+1)*($NS$72-298+1)/$NU$72,$NN$72/$NT$72)),0)</f>
        <v/>
      </c>
      <c r="KQ72" s="402">
        <f>IF(AND(299&gt;=$NR$72,299&lt;=$NS$72),IF($NP$72="Single_Point",IF(299=$NR$72,$NN$72,0),IF($NP$72="Bell_Curve",$NN$72*(299-$NR$72+1)*($NS$72-299+1)/$NU$72,$NN$72/$NT$72)),0)</f>
        <v/>
      </c>
      <c r="KR72" s="402">
        <f>IF(AND(300&gt;=$NR$72,300&lt;=$NS$72),IF($NP$72="Single_Point",IF(300=$NR$72,$NN$72,0),IF($NP$72="Bell_Curve",$NN$72*(300-$NR$72+1)*($NS$72-300+1)/$NU$72,$NN$72/$NT$72)),0)</f>
        <v/>
      </c>
      <c r="KS72" s="402">
        <f>IF(AND(301&gt;=$NR$72,301&lt;=$NS$72),IF($NP$72="Single_Point",IF(301=$NR$72,$NN$72,0),IF($NP$72="Bell_Curve",$NN$72*(301-$NR$72+1)*($NS$72-301+1)/$NU$72,$NN$72/$NT$72)),0)</f>
        <v/>
      </c>
      <c r="KT72" s="402">
        <f>IF(AND(302&gt;=$NR$72,302&lt;=$NS$72),IF($NP$72="Single_Point",IF(302=$NR$72,$NN$72,0),IF($NP$72="Bell_Curve",$NN$72*(302-$NR$72+1)*($NS$72-302+1)/$NU$72,$NN$72/$NT$72)),0)</f>
        <v/>
      </c>
      <c r="KU72" s="402">
        <f>IF(AND(303&gt;=$NR$72,303&lt;=$NS$72),IF($NP$72="Single_Point",IF(303=$NR$72,$NN$72,0),IF($NP$72="Bell_Curve",$NN$72*(303-$NR$72+1)*($NS$72-303+1)/$NU$72,$NN$72/$NT$72)),0)</f>
        <v/>
      </c>
      <c r="KV72" s="402">
        <f>IF(AND(304&gt;=$NR$72,304&lt;=$NS$72),IF($NP$72="Single_Point",IF(304=$NR$72,$NN$72,0),IF($NP$72="Bell_Curve",$NN$72*(304-$NR$72+1)*($NS$72-304+1)/$NU$72,$NN$72/$NT$72)),0)</f>
        <v/>
      </c>
      <c r="KW72" s="402">
        <f>IF(AND(305&gt;=$NR$72,305&lt;=$NS$72),IF($NP$72="Single_Point",IF(305=$NR$72,$NN$72,0),IF($NP$72="Bell_Curve",$NN$72*(305-$NR$72+1)*($NS$72-305+1)/$NU$72,$NN$72/$NT$72)),0)</f>
        <v/>
      </c>
      <c r="KX72" s="402">
        <f>IF(AND(306&gt;=$NR$72,306&lt;=$NS$72),IF($NP$72="Single_Point",IF(306=$NR$72,$NN$72,0),IF($NP$72="Bell_Curve",$NN$72*(306-$NR$72+1)*($NS$72-306+1)/$NU$72,$NN$72/$NT$72)),0)</f>
        <v/>
      </c>
      <c r="KY72" s="402">
        <f>IF(AND(307&gt;=$NR$72,307&lt;=$NS$72),IF($NP$72="Single_Point",IF(307=$NR$72,$NN$72,0),IF($NP$72="Bell_Curve",$NN$72*(307-$NR$72+1)*($NS$72-307+1)/$NU$72,$NN$72/$NT$72)),0)</f>
        <v/>
      </c>
      <c r="KZ72" s="402">
        <f>IF(AND(308&gt;=$NR$72,308&lt;=$NS$72),IF($NP$72="Single_Point",IF(308=$NR$72,$NN$72,0),IF($NP$72="Bell_Curve",$NN$72*(308-$NR$72+1)*($NS$72-308+1)/$NU$72,$NN$72/$NT$72)),0)</f>
        <v/>
      </c>
      <c r="LA72" s="402">
        <f>IF(AND(309&gt;=$NR$72,309&lt;=$NS$72),IF($NP$72="Single_Point",IF(309=$NR$72,$NN$72,0),IF($NP$72="Bell_Curve",$NN$72*(309-$NR$72+1)*($NS$72-309+1)/$NU$72,$NN$72/$NT$72)),0)</f>
        <v/>
      </c>
      <c r="LB72" s="402">
        <f>IF(AND(310&gt;=$NR$72,310&lt;=$NS$72),IF($NP$72="Single_Point",IF(310=$NR$72,$NN$72,0),IF($NP$72="Bell_Curve",$NN$72*(310-$NR$72+1)*($NS$72-310+1)/$NU$72,$NN$72/$NT$72)),0)</f>
        <v/>
      </c>
      <c r="LC72" s="402">
        <f>IF(AND(311&gt;=$NR$72,311&lt;=$NS$72),IF($NP$72="Single_Point",IF(311=$NR$72,$NN$72,0),IF($NP$72="Bell_Curve",$NN$72*(311-$NR$72+1)*($NS$72-311+1)/$NU$72,$NN$72/$NT$72)),0)</f>
        <v/>
      </c>
      <c r="LD72" s="402">
        <f>IF(AND(312&gt;=$NR$72,312&lt;=$NS$72),IF($NP$72="Single_Point",IF(312=$NR$72,$NN$72,0),IF($NP$72="Bell_Curve",$NN$72*(312-$NR$72+1)*($NS$72-312+1)/$NU$72,$NN$72/$NT$72)),0)</f>
        <v/>
      </c>
      <c r="LE72" s="402">
        <f>IF(AND(313&gt;=$NR$72,313&lt;=$NS$72),IF($NP$72="Single_Point",IF(313=$NR$72,$NN$72,0),IF($NP$72="Bell_Curve",$NN$72*(313-$NR$72+1)*($NS$72-313+1)/$NU$72,$NN$72/$NT$72)),0)</f>
        <v/>
      </c>
      <c r="LF72" s="402">
        <f>IF(AND(314&gt;=$NR$72,314&lt;=$NS$72),IF($NP$72="Single_Point",IF(314=$NR$72,$NN$72,0),IF($NP$72="Bell_Curve",$NN$72*(314-$NR$72+1)*($NS$72-314+1)/$NU$72,$NN$72/$NT$72)),0)</f>
        <v/>
      </c>
      <c r="LG72" s="402">
        <f>IF(AND(315&gt;=$NR$72,315&lt;=$NS$72),IF($NP$72="Single_Point",IF(315=$NR$72,$NN$72,0),IF($NP$72="Bell_Curve",$NN$72*(315-$NR$72+1)*($NS$72-315+1)/$NU$72,$NN$72/$NT$72)),0)</f>
        <v/>
      </c>
      <c r="LH72" s="402">
        <f>IF(AND(316&gt;=$NR$72,316&lt;=$NS$72),IF($NP$72="Single_Point",IF(316=$NR$72,$NN$72,0),IF($NP$72="Bell_Curve",$NN$72*(316-$NR$72+1)*($NS$72-316+1)/$NU$72,$NN$72/$NT$72)),0)</f>
        <v/>
      </c>
      <c r="LI72" s="402">
        <f>IF(AND(317&gt;=$NR$72,317&lt;=$NS$72),IF($NP$72="Single_Point",IF(317=$NR$72,$NN$72,0),IF($NP$72="Bell_Curve",$NN$72*(317-$NR$72+1)*($NS$72-317+1)/$NU$72,$NN$72/$NT$72)),0)</f>
        <v/>
      </c>
      <c r="LJ72" s="402">
        <f>IF(AND(318&gt;=$NR$72,318&lt;=$NS$72),IF($NP$72="Single_Point",IF(318=$NR$72,$NN$72,0),IF($NP$72="Bell_Curve",$NN$72*(318-$NR$72+1)*($NS$72-318+1)/$NU$72,$NN$72/$NT$72)),0)</f>
        <v/>
      </c>
      <c r="LK72" s="402">
        <f>IF(AND(319&gt;=$NR$72,319&lt;=$NS$72),IF($NP$72="Single_Point",IF(319=$NR$72,$NN$72,0),IF($NP$72="Bell_Curve",$NN$72*(319-$NR$72+1)*($NS$72-319+1)/$NU$72,$NN$72/$NT$72)),0)</f>
        <v/>
      </c>
      <c r="LL72" s="402">
        <f>IF(AND(320&gt;=$NR$72,320&lt;=$NS$72),IF($NP$72="Single_Point",IF(320=$NR$72,$NN$72,0),IF($NP$72="Bell_Curve",$NN$72*(320-$NR$72+1)*($NS$72-320+1)/$NU$72,$NN$72/$NT$72)),0)</f>
        <v/>
      </c>
      <c r="LM72" s="402">
        <f>IF(AND(321&gt;=$NR$72,321&lt;=$NS$72),IF($NP$72="Single_Point",IF(321=$NR$72,$NN$72,0),IF($NP$72="Bell_Curve",$NN$72*(321-$NR$72+1)*($NS$72-321+1)/$NU$72,$NN$72/$NT$72)),0)</f>
        <v/>
      </c>
      <c r="LN72" s="402">
        <f>IF(AND(322&gt;=$NR$72,322&lt;=$NS$72),IF($NP$72="Single_Point",IF(322=$NR$72,$NN$72,0),IF($NP$72="Bell_Curve",$NN$72*(322-$NR$72+1)*($NS$72-322+1)/$NU$72,$NN$72/$NT$72)),0)</f>
        <v/>
      </c>
      <c r="LO72" s="402">
        <f>IF(AND(323&gt;=$NR$72,323&lt;=$NS$72),IF($NP$72="Single_Point",IF(323=$NR$72,$NN$72,0),IF($NP$72="Bell_Curve",$NN$72*(323-$NR$72+1)*($NS$72-323+1)/$NU$72,$NN$72/$NT$72)),0)</f>
        <v/>
      </c>
      <c r="LP72" s="402">
        <f>IF(AND(324&gt;=$NR$72,324&lt;=$NS$72),IF($NP$72="Single_Point",IF(324=$NR$72,$NN$72,0),IF($NP$72="Bell_Curve",$NN$72*(324-$NR$72+1)*($NS$72-324+1)/$NU$72,$NN$72/$NT$72)),0)</f>
        <v/>
      </c>
      <c r="LQ72" s="402">
        <f>IF(AND(325&gt;=$NR$72,325&lt;=$NS$72),IF($NP$72="Single_Point",IF(325=$NR$72,$NN$72,0),IF($NP$72="Bell_Curve",$NN$72*(325-$NR$72+1)*($NS$72-325+1)/$NU$72,$NN$72/$NT$72)),0)</f>
        <v/>
      </c>
      <c r="LR72" s="402">
        <f>IF(AND(326&gt;=$NR$72,326&lt;=$NS$72),IF($NP$72="Single_Point",IF(326=$NR$72,$NN$72,0),IF($NP$72="Bell_Curve",$NN$72*(326-$NR$72+1)*($NS$72-326+1)/$NU$72,$NN$72/$NT$72)),0)</f>
        <v/>
      </c>
      <c r="LS72" s="402">
        <f>IF(AND(327&gt;=$NR$72,327&lt;=$NS$72),IF($NP$72="Single_Point",IF(327=$NR$72,$NN$72,0),IF($NP$72="Bell_Curve",$NN$72*(327-$NR$72+1)*($NS$72-327+1)/$NU$72,$NN$72/$NT$72)),0)</f>
        <v/>
      </c>
      <c r="LT72" s="402">
        <f>IF(AND(328&gt;=$NR$72,328&lt;=$NS$72),IF($NP$72="Single_Point",IF(328=$NR$72,$NN$72,0),IF($NP$72="Bell_Curve",$NN$72*(328-$NR$72+1)*($NS$72-328+1)/$NU$72,$NN$72/$NT$72)),0)</f>
        <v/>
      </c>
      <c r="LU72" s="402">
        <f>IF(AND(329&gt;=$NR$72,329&lt;=$NS$72),IF($NP$72="Single_Point",IF(329=$NR$72,$NN$72,0),IF($NP$72="Bell_Curve",$NN$72*(329-$NR$72+1)*($NS$72-329+1)/$NU$72,$NN$72/$NT$72)),0)</f>
        <v/>
      </c>
      <c r="LV72" s="402">
        <f>IF(AND(330&gt;=$NR$72,330&lt;=$NS$72),IF($NP$72="Single_Point",IF(330=$NR$72,$NN$72,0),IF($NP$72="Bell_Curve",$NN$72*(330-$NR$72+1)*($NS$72-330+1)/$NU$72,$NN$72/$NT$72)),0)</f>
        <v/>
      </c>
      <c r="LW72" s="402">
        <f>IF(AND(331&gt;=$NR$72,331&lt;=$NS$72),IF($NP$72="Single_Point",IF(331=$NR$72,$NN$72,0),IF($NP$72="Bell_Curve",$NN$72*(331-$NR$72+1)*($NS$72-331+1)/$NU$72,$NN$72/$NT$72)),0)</f>
        <v/>
      </c>
      <c r="LX72" s="402">
        <f>IF(AND(332&gt;=$NR$72,332&lt;=$NS$72),IF($NP$72="Single_Point",IF(332=$NR$72,$NN$72,0),IF($NP$72="Bell_Curve",$NN$72*(332-$NR$72+1)*($NS$72-332+1)/$NU$72,$NN$72/$NT$72)),0)</f>
        <v/>
      </c>
      <c r="LY72" s="402">
        <f>IF(AND(333&gt;=$NR$72,333&lt;=$NS$72),IF($NP$72="Single_Point",IF(333=$NR$72,$NN$72,0),IF($NP$72="Bell_Curve",$NN$72*(333-$NR$72+1)*($NS$72-333+1)/$NU$72,$NN$72/$NT$72)),0)</f>
        <v/>
      </c>
      <c r="LZ72" s="402">
        <f>IF(AND(334&gt;=$NR$72,334&lt;=$NS$72),IF($NP$72="Single_Point",IF(334=$NR$72,$NN$72,0),IF($NP$72="Bell_Curve",$NN$72*(334-$NR$72+1)*($NS$72-334+1)/$NU$72,$NN$72/$NT$72)),0)</f>
        <v/>
      </c>
      <c r="MA72" s="402">
        <f>IF(AND(335&gt;=$NR$72,335&lt;=$NS$72),IF($NP$72="Single_Point",IF(335=$NR$72,$NN$72,0),IF($NP$72="Bell_Curve",$NN$72*(335-$NR$72+1)*($NS$72-335+1)/$NU$72,$NN$72/$NT$72)),0)</f>
        <v/>
      </c>
      <c r="MB72" s="402">
        <f>IF(AND(336&gt;=$NR$72,336&lt;=$NS$72),IF($NP$72="Single_Point",IF(336=$NR$72,$NN$72,0),IF($NP$72="Bell_Curve",$NN$72*(336-$NR$72+1)*($NS$72-336+1)/$NU$72,$NN$72/$NT$72)),0)</f>
        <v/>
      </c>
      <c r="MC72" s="402">
        <f>IF(AND(337&gt;=$NR$72,337&lt;=$NS$72),IF($NP$72="Single_Point",IF(337=$NR$72,$NN$72,0),IF($NP$72="Bell_Curve",$NN$72*(337-$NR$72+1)*($NS$72-337+1)/$NU$72,$NN$72/$NT$72)),0)</f>
        <v/>
      </c>
      <c r="MD72" s="402">
        <f>IF(AND(338&gt;=$NR$72,338&lt;=$NS$72),IF($NP$72="Single_Point",IF(338=$NR$72,$NN$72,0),IF($NP$72="Bell_Curve",$NN$72*(338-$NR$72+1)*($NS$72-338+1)/$NU$72,$NN$72/$NT$72)),0)</f>
        <v/>
      </c>
      <c r="ME72" s="402">
        <f>IF(AND(339&gt;=$NR$72,339&lt;=$NS$72),IF($NP$72="Single_Point",IF(339=$NR$72,$NN$72,0),IF($NP$72="Bell_Curve",$NN$72*(339-$NR$72+1)*($NS$72-339+1)/$NU$72,$NN$72/$NT$72)),0)</f>
        <v/>
      </c>
      <c r="MF72" s="402">
        <f>IF(AND(340&gt;=$NR$72,340&lt;=$NS$72),IF($NP$72="Single_Point",IF(340=$NR$72,$NN$72,0),IF($NP$72="Bell_Curve",$NN$72*(340-$NR$72+1)*($NS$72-340+1)/$NU$72,$NN$72/$NT$72)),0)</f>
        <v/>
      </c>
      <c r="MG72" s="402">
        <f>IF(AND(341&gt;=$NR$72,341&lt;=$NS$72),IF($NP$72="Single_Point",IF(341=$NR$72,$NN$72,0),IF($NP$72="Bell_Curve",$NN$72*(341-$NR$72+1)*($NS$72-341+1)/$NU$72,$NN$72/$NT$72)),0)</f>
        <v/>
      </c>
      <c r="MH72" s="402">
        <f>IF(AND(342&gt;=$NR$72,342&lt;=$NS$72),IF($NP$72="Single_Point",IF(342=$NR$72,$NN$72,0),IF($NP$72="Bell_Curve",$NN$72*(342-$NR$72+1)*($NS$72-342+1)/$NU$72,$NN$72/$NT$72)),0)</f>
        <v/>
      </c>
      <c r="MI72" s="402">
        <f>IF(AND(343&gt;=$NR$72,343&lt;=$NS$72),IF($NP$72="Single_Point",IF(343=$NR$72,$NN$72,0),IF($NP$72="Bell_Curve",$NN$72*(343-$NR$72+1)*($NS$72-343+1)/$NU$72,$NN$72/$NT$72)),0)</f>
        <v/>
      </c>
      <c r="MJ72" s="402">
        <f>IF(AND(344&gt;=$NR$72,344&lt;=$NS$72),IF($NP$72="Single_Point",IF(344=$NR$72,$NN$72,0),IF($NP$72="Bell_Curve",$NN$72*(344-$NR$72+1)*($NS$72-344+1)/$NU$72,$NN$72/$NT$72)),0)</f>
        <v/>
      </c>
      <c r="MK72" s="402">
        <f>IF(AND(345&gt;=$NR$72,345&lt;=$NS$72),IF($NP$72="Single_Point",IF(345=$NR$72,$NN$72,0),IF($NP$72="Bell_Curve",$NN$72*(345-$NR$72+1)*($NS$72-345+1)/$NU$72,$NN$72/$NT$72)),0)</f>
        <v/>
      </c>
      <c r="ML72" s="402">
        <f>IF(AND(346&gt;=$NR$72,346&lt;=$NS$72),IF($NP$72="Single_Point",IF(346=$NR$72,$NN$72,0),IF($NP$72="Bell_Curve",$NN$72*(346-$NR$72+1)*($NS$72-346+1)/$NU$72,$NN$72/$NT$72)),0)</f>
        <v/>
      </c>
      <c r="MM72" s="402">
        <f>IF(AND(347&gt;=$NR$72,347&lt;=$NS$72),IF($NP$72="Single_Point",IF(347=$NR$72,$NN$72,0),IF($NP$72="Bell_Curve",$NN$72*(347-$NR$72+1)*($NS$72-347+1)/$NU$72,$NN$72/$NT$72)),0)</f>
        <v/>
      </c>
      <c r="MN72" s="402">
        <f>IF(AND(348&gt;=$NR$72,348&lt;=$NS$72),IF($NP$72="Single_Point",IF(348=$NR$72,$NN$72,0),IF($NP$72="Bell_Curve",$NN$72*(348-$NR$72+1)*($NS$72-348+1)/$NU$72,$NN$72/$NT$72)),0)</f>
        <v/>
      </c>
      <c r="MO72" s="402">
        <f>IF(AND(349&gt;=$NR$72,349&lt;=$NS$72),IF($NP$72="Single_Point",IF(349=$NR$72,$NN$72,0),IF($NP$72="Bell_Curve",$NN$72*(349-$NR$72+1)*($NS$72-349+1)/$NU$72,$NN$72/$NT$72)),0)</f>
        <v/>
      </c>
      <c r="MP72" s="402">
        <f>IF(AND(350&gt;=$NR$72,350&lt;=$NS$72),IF($NP$72="Single_Point",IF(350=$NR$72,$NN$72,0),IF($NP$72="Bell_Curve",$NN$72*(350-$NR$72+1)*($NS$72-350+1)/$NU$72,$NN$72/$NT$72)),0)</f>
        <v/>
      </c>
      <c r="MQ72" s="402">
        <f>IF(AND(351&gt;=$NR$72,351&lt;=$NS$72),IF($NP$72="Single_Point",IF(351=$NR$72,$NN$72,0),IF($NP$72="Bell_Curve",$NN$72*(351-$NR$72+1)*($NS$72-351+1)/$NU$72,$NN$72/$NT$72)),0)</f>
        <v/>
      </c>
      <c r="MR72" s="402">
        <f>IF(AND(352&gt;=$NR$72,352&lt;=$NS$72),IF($NP$72="Single_Point",IF(352=$NR$72,$NN$72,0),IF($NP$72="Bell_Curve",$NN$72*(352-$NR$72+1)*($NS$72-352+1)/$NU$72,$NN$72/$NT$72)),0)</f>
        <v/>
      </c>
      <c r="MS72" s="402">
        <f>IF(AND(353&gt;=$NR$72,353&lt;=$NS$72),IF($NP$72="Single_Point",IF(353=$NR$72,$NN$72,0),IF($NP$72="Bell_Curve",$NN$72*(353-$NR$72+1)*($NS$72-353+1)/$NU$72,$NN$72/$NT$72)),0)</f>
        <v/>
      </c>
      <c r="MT72" s="402">
        <f>IF(AND(354&gt;=$NR$72,354&lt;=$NS$72),IF($NP$72="Single_Point",IF(354=$NR$72,$NN$72,0),IF($NP$72="Bell_Curve",$NN$72*(354-$NR$72+1)*($NS$72-354+1)/$NU$72,$NN$72/$NT$72)),0)</f>
        <v/>
      </c>
      <c r="MU72" s="402">
        <f>IF(AND(355&gt;=$NR$72,355&lt;=$NS$72),IF($NP$72="Single_Point",IF(355=$NR$72,$NN$72,0),IF($NP$72="Bell_Curve",$NN$72*(355-$NR$72+1)*($NS$72-355+1)/$NU$72,$NN$72/$NT$72)),0)</f>
        <v/>
      </c>
      <c r="MV72" s="402">
        <f>IF(AND(356&gt;=$NR$72,356&lt;=$NS$72),IF($NP$72="Single_Point",IF(356=$NR$72,$NN$72,0),IF($NP$72="Bell_Curve",$NN$72*(356-$NR$72+1)*($NS$72-356+1)/$NU$72,$NN$72/$NT$72)),0)</f>
        <v/>
      </c>
      <c r="MW72" s="402">
        <f>IF(AND(357&gt;=$NR$72,357&lt;=$NS$72),IF($NP$72="Single_Point",IF(357=$NR$72,$NN$72,0),IF($NP$72="Bell_Curve",$NN$72*(357-$NR$72+1)*($NS$72-357+1)/$NU$72,$NN$72/$NT$72)),0)</f>
        <v/>
      </c>
      <c r="MX72" s="402">
        <f>IF(AND(358&gt;=$NR$72,358&lt;=$NS$72),IF($NP$72="Single_Point",IF(358=$NR$72,$NN$72,0),IF($NP$72="Bell_Curve",$NN$72*(358-$NR$72+1)*($NS$72-358+1)/$NU$72,$NN$72/$NT$72)),0)</f>
        <v/>
      </c>
      <c r="MY72" s="402">
        <f>IF(AND(359&gt;=$NR$72,359&lt;=$NS$72),IF($NP$72="Single_Point",IF(359=$NR$72,$NN$72,0),IF($NP$72="Bell_Curve",$NN$72*(359-$NR$72+1)*($NS$72-359+1)/$NU$72,$NN$72/$NT$72)),0)</f>
        <v/>
      </c>
      <c r="MZ72" s="402">
        <f>IF(AND(360&gt;=$NR$72,360&lt;=$NS$72),IF($NP$72="Single_Point",IF(360=$NR$72,$NN$72,0),IF($NP$72="Bell_Curve",$NN$72*(360-$NR$72+1)*($NS$72-360+1)/$NU$72,$NN$72/$NT$72)),0)</f>
        <v/>
      </c>
      <c r="NA72" s="402">
        <f>IF(AND(361&gt;=$NR$72,361&lt;=$NS$72),IF($NP$72="Single_Point",IF(361=$NR$72,$NN$72,0),IF($NP$72="Bell_Curve",$NN$72*(361-$NR$72+1)*($NS$72-361+1)/$NU$72,$NN$72/$NT$72)),0)</f>
        <v/>
      </c>
      <c r="NB72" s="402">
        <f>IF(AND(362&gt;=$NR$72,362&lt;=$NS$72),IF($NP$72="Single_Point",IF(362=$NR$72,$NN$72,0),IF($NP$72="Bell_Curve",$NN$72*(362-$NR$72+1)*($NS$72-362+1)/$NU$72,$NN$72/$NT$72)),0)</f>
        <v/>
      </c>
      <c r="NC72" s="402">
        <f>IF(AND(363&gt;=$NR$72,363&lt;=$NS$72),IF($NP$72="Single_Point",IF(363=$NR$72,$NN$72,0),IF($NP$72="Bell_Curve",$NN$72*(363-$NR$72+1)*($NS$72-363+1)/$NU$72,$NN$72/$NT$72)),0)</f>
        <v/>
      </c>
      <c r="ND72" s="402">
        <f>IF(AND(364&gt;=$NR$72,364&lt;=$NS$72),IF($NP$72="Single_Point",IF(364=$NR$72,$NN$72,0),IF($NP$72="Bell_Curve",$NN$72*(364-$NR$72+1)*($NS$72-364+1)/$NU$72,$NN$72/$NT$72)),0)</f>
        <v/>
      </c>
      <c r="NE72" s="402">
        <f>IF(AND(365&gt;=$NR$72,365&lt;=$NS$72),IF($NP$72="Single_Point",IF(365=$NR$72,$NN$72,0),IF($NP$72="Bell_Curve",$NN$72*(365-$NR$72+1)*($NS$72-365+1)/$NU$72,$NN$72/$NT$72)),0)</f>
        <v/>
      </c>
      <c r="NF72" s="402">
        <f>IF(AND(366&gt;=$NR$72,366&lt;=$NS$72),IF($NP$72="Single_Point",IF(366=$NR$72,$NN$72,0),IF($NP$72="Bell_Curve",$NN$72*(366-$NR$72+1)*($NS$72-366+1)/$NU$72,$NN$72/$NT$72)),0)</f>
        <v/>
      </c>
      <c r="NG72" s="402">
        <f>IF(AND(367&gt;=$NR$72,367&lt;=$NS$72),IF($NP$72="Single_Point",IF(367=$NR$72,$NN$72,0),IF($NP$72="Bell_Curve",$NN$72*(367-$NR$72+1)*($NS$72-367+1)/$NU$72,$NN$72/$NT$72)),0)</f>
        <v/>
      </c>
      <c r="NH72" s="402">
        <f>IF(AND(368&gt;=$NR$72,368&lt;=$NS$72),IF($NP$72="Single_Point",IF(368=$NR$72,$NN$72,0),IF($NP$72="Bell_Curve",$NN$72*(368-$NR$72+1)*($NS$72-368+1)/$NU$72,$NN$72/$NT$72)),0)</f>
        <v/>
      </c>
      <c r="NI72" s="402">
        <f>IF(AND(369&gt;=$NR$72,369&lt;=$NS$72),IF($NP$72="Single_Point",IF(369=$NR$72,$NN$72,0),IF($NP$72="Bell_Curve",$NN$72*(369-$NR$72+1)*($NS$72-369+1)/$NU$72,$NN$72/$NT$72)),0)</f>
        <v/>
      </c>
      <c r="NJ72" s="402">
        <f>IF(AND(370&gt;=$NR$72,370&lt;=$NS$72),IF($NP$72="Single_Point",IF(370=$NR$72,$NN$72,0),IF($NP$72="Bell_Curve",$NN$72*(370-$NR$72+1)*($NS$72-370+1)/$NU$72,$NN$72/$NT$72)),0)</f>
        <v/>
      </c>
      <c r="NK72" s="402">
        <f>IF(AND(371&gt;=$NR$72,371&lt;=$NS$72),IF($NP$72="Single_Point",IF(371=$NR$72,$NN$72,0),IF($NP$72="Bell_Curve",$NN$72*(371-$NR$72+1)*($NS$72-371+1)/$NU$72,$NN$72/$NT$72)),0)</f>
        <v/>
      </c>
      <c r="NL72" s="402">
        <f>IF(AND(372&gt;=$NR$72,372&lt;=$NS$72),IF($NP$72="Single_Point",IF(372=$NR$72,$NN$72,0),IF($NP$72="Bell_Curve",$NN$72*(372-$NR$72+1)*($NS$72-372+1)/$NU$72,$NN$72/$NT$72)),0)</f>
        <v/>
      </c>
      <c r="NM72">
        <f>Budget!C71</f>
        <v/>
      </c>
      <c r="NN72">
        <f>Budget!J71</f>
        <v/>
      </c>
      <c r="NO72">
        <f>Budget!G71</f>
        <v/>
      </c>
      <c r="NP72">
        <f>Budget!H71</f>
        <v/>
      </c>
      <c r="NQ72">
        <f>Budget!I71</f>
        <v/>
      </c>
      <c r="NR72">
        <f>MAX(1,MIN(372,INDEX(MilestoneStart,MATCH(NO72,MilestoneNames,0))+NQ72))</f>
        <v/>
      </c>
      <c r="NS72">
        <f>MAX(NR72,MIN(372,INDEX(MilestoneEnd,MATCH(NO72,MilestoneNames,0))+NQ72))</f>
        <v/>
      </c>
      <c r="NT72">
        <f>NS72-NR72+1</f>
        <v/>
      </c>
      <c r="NU72">
        <f>NT72*(NT72+1)*(NT72+2)/6</f>
        <v/>
      </c>
    </row>
    <row r="73">
      <c r="B73" s="316">
        <f>Budget!B72</f>
        <v/>
      </c>
      <c r="D73" s="402">
        <f>SUM(E73:NL73)</f>
        <v/>
      </c>
      <c r="E73" s="402">
        <f>IF(AND(1&gt;=$NR$73,1&lt;=$NS$73),IF($NP$73="Single_Point",IF(1=$NR$73,$NN$73,0),IF($NP$73="Bell_Curve",$NN$73*(1-$NR$73+1)*($NS$73-1+1)/$NU$73,$NN$73/$NT$73)),0)</f>
        <v/>
      </c>
      <c r="F73" s="402">
        <f>IF(AND(2&gt;=$NR$73,2&lt;=$NS$73),IF($NP$73="Single_Point",IF(2=$NR$73,$NN$73,0),IF($NP$73="Bell_Curve",$NN$73*(2-$NR$73+1)*($NS$73-2+1)/$NU$73,$NN$73/$NT$73)),0)</f>
        <v/>
      </c>
      <c r="G73" s="402">
        <f>IF(AND(3&gt;=$NR$73,3&lt;=$NS$73),IF($NP$73="Single_Point",IF(3=$NR$73,$NN$73,0),IF($NP$73="Bell_Curve",$NN$73*(3-$NR$73+1)*($NS$73-3+1)/$NU$73,$NN$73/$NT$73)),0)</f>
        <v/>
      </c>
      <c r="H73" s="402">
        <f>IF(AND(4&gt;=$NR$73,4&lt;=$NS$73),IF($NP$73="Single_Point",IF(4=$NR$73,$NN$73,0),IF($NP$73="Bell_Curve",$NN$73*(4-$NR$73+1)*($NS$73-4+1)/$NU$73,$NN$73/$NT$73)),0)</f>
        <v/>
      </c>
      <c r="I73" s="402">
        <f>IF(AND(5&gt;=$NR$73,5&lt;=$NS$73),IF($NP$73="Single_Point",IF(5=$NR$73,$NN$73,0),IF($NP$73="Bell_Curve",$NN$73*(5-$NR$73+1)*($NS$73-5+1)/$NU$73,$NN$73/$NT$73)),0)</f>
        <v/>
      </c>
      <c r="J73" s="402">
        <f>IF(AND(6&gt;=$NR$73,6&lt;=$NS$73),IF($NP$73="Single_Point",IF(6=$NR$73,$NN$73,0),IF($NP$73="Bell_Curve",$NN$73*(6-$NR$73+1)*($NS$73-6+1)/$NU$73,$NN$73/$NT$73)),0)</f>
        <v/>
      </c>
      <c r="K73" s="402">
        <f>IF(AND(7&gt;=$NR$73,7&lt;=$NS$73),IF($NP$73="Single_Point",IF(7=$NR$73,$NN$73,0),IF($NP$73="Bell_Curve",$NN$73*(7-$NR$73+1)*($NS$73-7+1)/$NU$73,$NN$73/$NT$73)),0)</f>
        <v/>
      </c>
      <c r="L73" s="402">
        <f>IF(AND(8&gt;=$NR$73,8&lt;=$NS$73),IF($NP$73="Single_Point",IF(8=$NR$73,$NN$73,0),IF($NP$73="Bell_Curve",$NN$73*(8-$NR$73+1)*($NS$73-8+1)/$NU$73,$NN$73/$NT$73)),0)</f>
        <v/>
      </c>
      <c r="M73" s="402">
        <f>IF(AND(9&gt;=$NR$73,9&lt;=$NS$73),IF($NP$73="Single_Point",IF(9=$NR$73,$NN$73,0),IF($NP$73="Bell_Curve",$NN$73*(9-$NR$73+1)*($NS$73-9+1)/$NU$73,$NN$73/$NT$73)),0)</f>
        <v/>
      </c>
      <c r="N73" s="402">
        <f>IF(AND(10&gt;=$NR$73,10&lt;=$NS$73),IF($NP$73="Single_Point",IF(10=$NR$73,$NN$73,0),IF($NP$73="Bell_Curve",$NN$73*(10-$NR$73+1)*($NS$73-10+1)/$NU$73,$NN$73/$NT$73)),0)</f>
        <v/>
      </c>
      <c r="O73" s="402">
        <f>IF(AND(11&gt;=$NR$73,11&lt;=$NS$73),IF($NP$73="Single_Point",IF(11=$NR$73,$NN$73,0),IF($NP$73="Bell_Curve",$NN$73*(11-$NR$73+1)*($NS$73-11+1)/$NU$73,$NN$73/$NT$73)),0)</f>
        <v/>
      </c>
      <c r="P73" s="402">
        <f>IF(AND(12&gt;=$NR$73,12&lt;=$NS$73),IF($NP$73="Single_Point",IF(12=$NR$73,$NN$73,0),IF($NP$73="Bell_Curve",$NN$73*(12-$NR$73+1)*($NS$73-12+1)/$NU$73,$NN$73/$NT$73)),0)</f>
        <v/>
      </c>
      <c r="Q73" s="402">
        <f>IF(AND(13&gt;=$NR$73,13&lt;=$NS$73),IF($NP$73="Single_Point",IF(13=$NR$73,$NN$73,0),IF($NP$73="Bell_Curve",$NN$73*(13-$NR$73+1)*($NS$73-13+1)/$NU$73,$NN$73/$NT$73)),0)</f>
        <v/>
      </c>
      <c r="R73" s="402">
        <f>IF(AND(14&gt;=$NR$73,14&lt;=$NS$73),IF($NP$73="Single_Point",IF(14=$NR$73,$NN$73,0),IF($NP$73="Bell_Curve",$NN$73*(14-$NR$73+1)*($NS$73-14+1)/$NU$73,$NN$73/$NT$73)),0)</f>
        <v/>
      </c>
      <c r="S73" s="402">
        <f>IF(AND(15&gt;=$NR$73,15&lt;=$NS$73),IF($NP$73="Single_Point",IF(15=$NR$73,$NN$73,0),IF($NP$73="Bell_Curve",$NN$73*(15-$NR$73+1)*($NS$73-15+1)/$NU$73,$NN$73/$NT$73)),0)</f>
        <v/>
      </c>
      <c r="T73" s="402">
        <f>IF(AND(16&gt;=$NR$73,16&lt;=$NS$73),IF($NP$73="Single_Point",IF(16=$NR$73,$NN$73,0),IF($NP$73="Bell_Curve",$NN$73*(16-$NR$73+1)*($NS$73-16+1)/$NU$73,$NN$73/$NT$73)),0)</f>
        <v/>
      </c>
      <c r="U73" s="402">
        <f>IF(AND(17&gt;=$NR$73,17&lt;=$NS$73),IF($NP$73="Single_Point",IF(17=$NR$73,$NN$73,0),IF($NP$73="Bell_Curve",$NN$73*(17-$NR$73+1)*($NS$73-17+1)/$NU$73,$NN$73/$NT$73)),0)</f>
        <v/>
      </c>
      <c r="V73" s="402">
        <f>IF(AND(18&gt;=$NR$73,18&lt;=$NS$73),IF($NP$73="Single_Point",IF(18=$NR$73,$NN$73,0),IF($NP$73="Bell_Curve",$NN$73*(18-$NR$73+1)*($NS$73-18+1)/$NU$73,$NN$73/$NT$73)),0)</f>
        <v/>
      </c>
      <c r="W73" s="402">
        <f>IF(AND(19&gt;=$NR$73,19&lt;=$NS$73),IF($NP$73="Single_Point",IF(19=$NR$73,$NN$73,0),IF($NP$73="Bell_Curve",$NN$73*(19-$NR$73+1)*($NS$73-19+1)/$NU$73,$NN$73/$NT$73)),0)</f>
        <v/>
      </c>
      <c r="X73" s="402">
        <f>IF(AND(20&gt;=$NR$73,20&lt;=$NS$73),IF($NP$73="Single_Point",IF(20=$NR$73,$NN$73,0),IF($NP$73="Bell_Curve",$NN$73*(20-$NR$73+1)*($NS$73-20+1)/$NU$73,$NN$73/$NT$73)),0)</f>
        <v/>
      </c>
      <c r="Y73" s="402">
        <f>IF(AND(21&gt;=$NR$73,21&lt;=$NS$73),IF($NP$73="Single_Point",IF(21=$NR$73,$NN$73,0),IF($NP$73="Bell_Curve",$NN$73*(21-$NR$73+1)*($NS$73-21+1)/$NU$73,$NN$73/$NT$73)),0)</f>
        <v/>
      </c>
      <c r="Z73" s="402">
        <f>IF(AND(22&gt;=$NR$73,22&lt;=$NS$73),IF($NP$73="Single_Point",IF(22=$NR$73,$NN$73,0),IF($NP$73="Bell_Curve",$NN$73*(22-$NR$73+1)*($NS$73-22+1)/$NU$73,$NN$73/$NT$73)),0)</f>
        <v/>
      </c>
      <c r="AA73" s="402">
        <f>IF(AND(23&gt;=$NR$73,23&lt;=$NS$73),IF($NP$73="Single_Point",IF(23=$NR$73,$NN$73,0),IF($NP$73="Bell_Curve",$NN$73*(23-$NR$73+1)*($NS$73-23+1)/$NU$73,$NN$73/$NT$73)),0)</f>
        <v/>
      </c>
      <c r="AB73" s="402">
        <f>IF(AND(24&gt;=$NR$73,24&lt;=$NS$73),IF($NP$73="Single_Point",IF(24=$NR$73,$NN$73,0),IF($NP$73="Bell_Curve",$NN$73*(24-$NR$73+1)*($NS$73-24+1)/$NU$73,$NN$73/$NT$73)),0)</f>
        <v/>
      </c>
      <c r="AC73" s="402">
        <f>IF(AND(25&gt;=$NR$73,25&lt;=$NS$73),IF($NP$73="Single_Point",IF(25=$NR$73,$NN$73,0),IF($NP$73="Bell_Curve",$NN$73*(25-$NR$73+1)*($NS$73-25+1)/$NU$73,$NN$73/$NT$73)),0)</f>
        <v/>
      </c>
      <c r="AD73" s="402">
        <f>IF(AND(26&gt;=$NR$73,26&lt;=$NS$73),IF($NP$73="Single_Point",IF(26=$NR$73,$NN$73,0),IF($NP$73="Bell_Curve",$NN$73*(26-$NR$73+1)*($NS$73-26+1)/$NU$73,$NN$73/$NT$73)),0)</f>
        <v/>
      </c>
      <c r="AE73" s="402">
        <f>IF(AND(27&gt;=$NR$73,27&lt;=$NS$73),IF($NP$73="Single_Point",IF(27=$NR$73,$NN$73,0),IF($NP$73="Bell_Curve",$NN$73*(27-$NR$73+1)*($NS$73-27+1)/$NU$73,$NN$73/$NT$73)),0)</f>
        <v/>
      </c>
      <c r="AF73" s="402">
        <f>IF(AND(28&gt;=$NR$73,28&lt;=$NS$73),IF($NP$73="Single_Point",IF(28=$NR$73,$NN$73,0),IF($NP$73="Bell_Curve",$NN$73*(28-$NR$73+1)*($NS$73-28+1)/$NU$73,$NN$73/$NT$73)),0)</f>
        <v/>
      </c>
      <c r="AG73" s="402">
        <f>IF(AND(29&gt;=$NR$73,29&lt;=$NS$73),IF($NP$73="Single_Point",IF(29=$NR$73,$NN$73,0),IF($NP$73="Bell_Curve",$NN$73*(29-$NR$73+1)*($NS$73-29+1)/$NU$73,$NN$73/$NT$73)),0)</f>
        <v/>
      </c>
      <c r="AH73" s="402">
        <f>IF(AND(30&gt;=$NR$73,30&lt;=$NS$73),IF($NP$73="Single_Point",IF(30=$NR$73,$NN$73,0),IF($NP$73="Bell_Curve",$NN$73*(30-$NR$73+1)*($NS$73-30+1)/$NU$73,$NN$73/$NT$73)),0)</f>
        <v/>
      </c>
      <c r="AI73" s="402">
        <f>IF(AND(31&gt;=$NR$73,31&lt;=$NS$73),IF($NP$73="Single_Point",IF(31=$NR$73,$NN$73,0),IF($NP$73="Bell_Curve",$NN$73*(31-$NR$73+1)*($NS$73-31+1)/$NU$73,$NN$73/$NT$73)),0)</f>
        <v/>
      </c>
      <c r="AJ73" s="402">
        <f>IF(AND(32&gt;=$NR$73,32&lt;=$NS$73),IF($NP$73="Single_Point",IF(32=$NR$73,$NN$73,0),IF($NP$73="Bell_Curve",$NN$73*(32-$NR$73+1)*($NS$73-32+1)/$NU$73,$NN$73/$NT$73)),0)</f>
        <v/>
      </c>
      <c r="AK73" s="402">
        <f>IF(AND(33&gt;=$NR$73,33&lt;=$NS$73),IF($NP$73="Single_Point",IF(33=$NR$73,$NN$73,0),IF($NP$73="Bell_Curve",$NN$73*(33-$NR$73+1)*($NS$73-33+1)/$NU$73,$NN$73/$NT$73)),0)</f>
        <v/>
      </c>
      <c r="AL73" s="402">
        <f>IF(AND(34&gt;=$NR$73,34&lt;=$NS$73),IF($NP$73="Single_Point",IF(34=$NR$73,$NN$73,0),IF($NP$73="Bell_Curve",$NN$73*(34-$NR$73+1)*($NS$73-34+1)/$NU$73,$NN$73/$NT$73)),0)</f>
        <v/>
      </c>
      <c r="AM73" s="402">
        <f>IF(AND(35&gt;=$NR$73,35&lt;=$NS$73),IF($NP$73="Single_Point",IF(35=$NR$73,$NN$73,0),IF($NP$73="Bell_Curve",$NN$73*(35-$NR$73+1)*($NS$73-35+1)/$NU$73,$NN$73/$NT$73)),0)</f>
        <v/>
      </c>
      <c r="AN73" s="402">
        <f>IF(AND(36&gt;=$NR$73,36&lt;=$NS$73),IF($NP$73="Single_Point",IF(36=$NR$73,$NN$73,0),IF($NP$73="Bell_Curve",$NN$73*(36-$NR$73+1)*($NS$73-36+1)/$NU$73,$NN$73/$NT$73)),0)</f>
        <v/>
      </c>
      <c r="AO73" s="402">
        <f>IF(AND(37&gt;=$NR$73,37&lt;=$NS$73),IF($NP$73="Single_Point",IF(37=$NR$73,$NN$73,0),IF($NP$73="Bell_Curve",$NN$73*(37-$NR$73+1)*($NS$73-37+1)/$NU$73,$NN$73/$NT$73)),0)</f>
        <v/>
      </c>
      <c r="AP73" s="402">
        <f>IF(AND(38&gt;=$NR$73,38&lt;=$NS$73),IF($NP$73="Single_Point",IF(38=$NR$73,$NN$73,0),IF($NP$73="Bell_Curve",$NN$73*(38-$NR$73+1)*($NS$73-38+1)/$NU$73,$NN$73/$NT$73)),0)</f>
        <v/>
      </c>
      <c r="AQ73" s="402">
        <f>IF(AND(39&gt;=$NR$73,39&lt;=$NS$73),IF($NP$73="Single_Point",IF(39=$NR$73,$NN$73,0),IF($NP$73="Bell_Curve",$NN$73*(39-$NR$73+1)*($NS$73-39+1)/$NU$73,$NN$73/$NT$73)),0)</f>
        <v/>
      </c>
      <c r="AR73" s="402">
        <f>IF(AND(40&gt;=$NR$73,40&lt;=$NS$73),IF($NP$73="Single_Point",IF(40=$NR$73,$NN$73,0),IF($NP$73="Bell_Curve",$NN$73*(40-$NR$73+1)*($NS$73-40+1)/$NU$73,$NN$73/$NT$73)),0)</f>
        <v/>
      </c>
      <c r="AS73" s="402">
        <f>IF(AND(41&gt;=$NR$73,41&lt;=$NS$73),IF($NP$73="Single_Point",IF(41=$NR$73,$NN$73,0),IF($NP$73="Bell_Curve",$NN$73*(41-$NR$73+1)*($NS$73-41+1)/$NU$73,$NN$73/$NT$73)),0)</f>
        <v/>
      </c>
      <c r="AT73" s="402">
        <f>IF(AND(42&gt;=$NR$73,42&lt;=$NS$73),IF($NP$73="Single_Point",IF(42=$NR$73,$NN$73,0),IF($NP$73="Bell_Curve",$NN$73*(42-$NR$73+1)*($NS$73-42+1)/$NU$73,$NN$73/$NT$73)),0)</f>
        <v/>
      </c>
      <c r="AU73" s="402">
        <f>IF(AND(43&gt;=$NR$73,43&lt;=$NS$73),IF($NP$73="Single_Point",IF(43=$NR$73,$NN$73,0),IF($NP$73="Bell_Curve",$NN$73*(43-$NR$73+1)*($NS$73-43+1)/$NU$73,$NN$73/$NT$73)),0)</f>
        <v/>
      </c>
      <c r="AV73" s="402">
        <f>IF(AND(44&gt;=$NR$73,44&lt;=$NS$73),IF($NP$73="Single_Point",IF(44=$NR$73,$NN$73,0),IF($NP$73="Bell_Curve",$NN$73*(44-$NR$73+1)*($NS$73-44+1)/$NU$73,$NN$73/$NT$73)),0)</f>
        <v/>
      </c>
      <c r="AW73" s="402">
        <f>IF(AND(45&gt;=$NR$73,45&lt;=$NS$73),IF($NP$73="Single_Point",IF(45=$NR$73,$NN$73,0),IF($NP$73="Bell_Curve",$NN$73*(45-$NR$73+1)*($NS$73-45+1)/$NU$73,$NN$73/$NT$73)),0)</f>
        <v/>
      </c>
      <c r="AX73" s="402">
        <f>IF(AND(46&gt;=$NR$73,46&lt;=$NS$73),IF($NP$73="Single_Point",IF(46=$NR$73,$NN$73,0),IF($NP$73="Bell_Curve",$NN$73*(46-$NR$73+1)*($NS$73-46+1)/$NU$73,$NN$73/$NT$73)),0)</f>
        <v/>
      </c>
      <c r="AY73" s="402">
        <f>IF(AND(47&gt;=$NR$73,47&lt;=$NS$73),IF($NP$73="Single_Point",IF(47=$NR$73,$NN$73,0),IF($NP$73="Bell_Curve",$NN$73*(47-$NR$73+1)*($NS$73-47+1)/$NU$73,$NN$73/$NT$73)),0)</f>
        <v/>
      </c>
      <c r="AZ73" s="402">
        <f>IF(AND(48&gt;=$NR$73,48&lt;=$NS$73),IF($NP$73="Single_Point",IF(48=$NR$73,$NN$73,0),IF($NP$73="Bell_Curve",$NN$73*(48-$NR$73+1)*($NS$73-48+1)/$NU$73,$NN$73/$NT$73)),0)</f>
        <v/>
      </c>
      <c r="BA73" s="402">
        <f>IF(AND(49&gt;=$NR$73,49&lt;=$NS$73),IF($NP$73="Single_Point",IF(49=$NR$73,$NN$73,0),IF($NP$73="Bell_Curve",$NN$73*(49-$NR$73+1)*($NS$73-49+1)/$NU$73,$NN$73/$NT$73)),0)</f>
        <v/>
      </c>
      <c r="BB73" s="402">
        <f>IF(AND(50&gt;=$NR$73,50&lt;=$NS$73),IF($NP$73="Single_Point",IF(50=$NR$73,$NN$73,0),IF($NP$73="Bell_Curve",$NN$73*(50-$NR$73+1)*($NS$73-50+1)/$NU$73,$NN$73/$NT$73)),0)</f>
        <v/>
      </c>
      <c r="BC73" s="402">
        <f>IF(AND(51&gt;=$NR$73,51&lt;=$NS$73),IF($NP$73="Single_Point",IF(51=$NR$73,$NN$73,0),IF($NP$73="Bell_Curve",$NN$73*(51-$NR$73+1)*($NS$73-51+1)/$NU$73,$NN$73/$NT$73)),0)</f>
        <v/>
      </c>
      <c r="BD73" s="402">
        <f>IF(AND(52&gt;=$NR$73,52&lt;=$NS$73),IF($NP$73="Single_Point",IF(52=$NR$73,$NN$73,0),IF($NP$73="Bell_Curve",$NN$73*(52-$NR$73+1)*($NS$73-52+1)/$NU$73,$NN$73/$NT$73)),0)</f>
        <v/>
      </c>
      <c r="BE73" s="402">
        <f>IF(AND(53&gt;=$NR$73,53&lt;=$NS$73),IF($NP$73="Single_Point",IF(53=$NR$73,$NN$73,0),IF($NP$73="Bell_Curve",$NN$73*(53-$NR$73+1)*($NS$73-53+1)/$NU$73,$NN$73/$NT$73)),0)</f>
        <v/>
      </c>
      <c r="BF73" s="402">
        <f>IF(AND(54&gt;=$NR$73,54&lt;=$NS$73),IF($NP$73="Single_Point",IF(54=$NR$73,$NN$73,0),IF($NP$73="Bell_Curve",$NN$73*(54-$NR$73+1)*($NS$73-54+1)/$NU$73,$NN$73/$NT$73)),0)</f>
        <v/>
      </c>
      <c r="BG73" s="402">
        <f>IF(AND(55&gt;=$NR$73,55&lt;=$NS$73),IF($NP$73="Single_Point",IF(55=$NR$73,$NN$73,0),IF($NP$73="Bell_Curve",$NN$73*(55-$NR$73+1)*($NS$73-55+1)/$NU$73,$NN$73/$NT$73)),0)</f>
        <v/>
      </c>
      <c r="BH73" s="402">
        <f>IF(AND(56&gt;=$NR$73,56&lt;=$NS$73),IF($NP$73="Single_Point",IF(56=$NR$73,$NN$73,0),IF($NP$73="Bell_Curve",$NN$73*(56-$NR$73+1)*($NS$73-56+1)/$NU$73,$NN$73/$NT$73)),0)</f>
        <v/>
      </c>
      <c r="BI73" s="402">
        <f>IF(AND(57&gt;=$NR$73,57&lt;=$NS$73),IF($NP$73="Single_Point",IF(57=$NR$73,$NN$73,0),IF($NP$73="Bell_Curve",$NN$73*(57-$NR$73+1)*($NS$73-57+1)/$NU$73,$NN$73/$NT$73)),0)</f>
        <v/>
      </c>
      <c r="BJ73" s="402">
        <f>IF(AND(58&gt;=$NR$73,58&lt;=$NS$73),IF($NP$73="Single_Point",IF(58=$NR$73,$NN$73,0),IF($NP$73="Bell_Curve",$NN$73*(58-$NR$73+1)*($NS$73-58+1)/$NU$73,$NN$73/$NT$73)),0)</f>
        <v/>
      </c>
      <c r="BK73" s="402">
        <f>IF(AND(59&gt;=$NR$73,59&lt;=$NS$73),IF($NP$73="Single_Point",IF(59=$NR$73,$NN$73,0),IF($NP$73="Bell_Curve",$NN$73*(59-$NR$73+1)*($NS$73-59+1)/$NU$73,$NN$73/$NT$73)),0)</f>
        <v/>
      </c>
      <c r="BL73" s="402">
        <f>IF(AND(60&gt;=$NR$73,60&lt;=$NS$73),IF($NP$73="Single_Point",IF(60=$NR$73,$NN$73,0),IF($NP$73="Bell_Curve",$NN$73*(60-$NR$73+1)*($NS$73-60+1)/$NU$73,$NN$73/$NT$73)),0)</f>
        <v/>
      </c>
      <c r="BM73" s="402">
        <f>IF(AND(61&gt;=$NR$73,61&lt;=$NS$73),IF($NP$73="Single_Point",IF(61=$NR$73,$NN$73,0),IF($NP$73="Bell_Curve",$NN$73*(61-$NR$73+1)*($NS$73-61+1)/$NU$73,$NN$73/$NT$73)),0)</f>
        <v/>
      </c>
      <c r="BN73" s="402">
        <f>IF(AND(62&gt;=$NR$73,62&lt;=$NS$73),IF($NP$73="Single_Point",IF(62=$NR$73,$NN$73,0),IF($NP$73="Bell_Curve",$NN$73*(62-$NR$73+1)*($NS$73-62+1)/$NU$73,$NN$73/$NT$73)),0)</f>
        <v/>
      </c>
      <c r="BO73" s="402">
        <f>IF(AND(63&gt;=$NR$73,63&lt;=$NS$73),IF($NP$73="Single_Point",IF(63=$NR$73,$NN$73,0),IF($NP$73="Bell_Curve",$NN$73*(63-$NR$73+1)*($NS$73-63+1)/$NU$73,$NN$73/$NT$73)),0)</f>
        <v/>
      </c>
      <c r="BP73" s="402">
        <f>IF(AND(64&gt;=$NR$73,64&lt;=$NS$73),IF($NP$73="Single_Point",IF(64=$NR$73,$NN$73,0),IF($NP$73="Bell_Curve",$NN$73*(64-$NR$73+1)*($NS$73-64+1)/$NU$73,$NN$73/$NT$73)),0)</f>
        <v/>
      </c>
      <c r="BQ73" s="402">
        <f>IF(AND(65&gt;=$NR$73,65&lt;=$NS$73),IF($NP$73="Single_Point",IF(65=$NR$73,$NN$73,0),IF($NP$73="Bell_Curve",$NN$73*(65-$NR$73+1)*($NS$73-65+1)/$NU$73,$NN$73/$NT$73)),0)</f>
        <v/>
      </c>
      <c r="BR73" s="402">
        <f>IF(AND(66&gt;=$NR$73,66&lt;=$NS$73),IF($NP$73="Single_Point",IF(66=$NR$73,$NN$73,0),IF($NP$73="Bell_Curve",$NN$73*(66-$NR$73+1)*($NS$73-66+1)/$NU$73,$NN$73/$NT$73)),0)</f>
        <v/>
      </c>
      <c r="BS73" s="402">
        <f>IF(AND(67&gt;=$NR$73,67&lt;=$NS$73),IF($NP$73="Single_Point",IF(67=$NR$73,$NN$73,0),IF($NP$73="Bell_Curve",$NN$73*(67-$NR$73+1)*($NS$73-67+1)/$NU$73,$NN$73/$NT$73)),0)</f>
        <v/>
      </c>
      <c r="BT73" s="402">
        <f>IF(AND(68&gt;=$NR$73,68&lt;=$NS$73),IF($NP$73="Single_Point",IF(68=$NR$73,$NN$73,0),IF($NP$73="Bell_Curve",$NN$73*(68-$NR$73+1)*($NS$73-68+1)/$NU$73,$NN$73/$NT$73)),0)</f>
        <v/>
      </c>
      <c r="BU73" s="402">
        <f>IF(AND(69&gt;=$NR$73,69&lt;=$NS$73),IF($NP$73="Single_Point",IF(69=$NR$73,$NN$73,0),IF($NP$73="Bell_Curve",$NN$73*(69-$NR$73+1)*($NS$73-69+1)/$NU$73,$NN$73/$NT$73)),0)</f>
        <v/>
      </c>
      <c r="BV73" s="402">
        <f>IF(AND(70&gt;=$NR$73,70&lt;=$NS$73),IF($NP$73="Single_Point",IF(70=$NR$73,$NN$73,0),IF($NP$73="Bell_Curve",$NN$73*(70-$NR$73+1)*($NS$73-70+1)/$NU$73,$NN$73/$NT$73)),0)</f>
        <v/>
      </c>
      <c r="BW73" s="402">
        <f>IF(AND(71&gt;=$NR$73,71&lt;=$NS$73),IF($NP$73="Single_Point",IF(71=$NR$73,$NN$73,0),IF($NP$73="Bell_Curve",$NN$73*(71-$NR$73+1)*($NS$73-71+1)/$NU$73,$NN$73/$NT$73)),0)</f>
        <v/>
      </c>
      <c r="BX73" s="402">
        <f>IF(AND(72&gt;=$NR$73,72&lt;=$NS$73),IF($NP$73="Single_Point",IF(72=$NR$73,$NN$73,0),IF($NP$73="Bell_Curve",$NN$73*(72-$NR$73+1)*($NS$73-72+1)/$NU$73,$NN$73/$NT$73)),0)</f>
        <v/>
      </c>
      <c r="BY73" s="402">
        <f>IF(AND(73&gt;=$NR$73,73&lt;=$NS$73),IF($NP$73="Single_Point",IF(73=$NR$73,$NN$73,0),IF($NP$73="Bell_Curve",$NN$73*(73-$NR$73+1)*($NS$73-73+1)/$NU$73,$NN$73/$NT$73)),0)</f>
        <v/>
      </c>
      <c r="BZ73" s="402">
        <f>IF(AND(74&gt;=$NR$73,74&lt;=$NS$73),IF($NP$73="Single_Point",IF(74=$NR$73,$NN$73,0),IF($NP$73="Bell_Curve",$NN$73*(74-$NR$73+1)*($NS$73-74+1)/$NU$73,$NN$73/$NT$73)),0)</f>
        <v/>
      </c>
      <c r="CA73" s="402">
        <f>IF(AND(75&gt;=$NR$73,75&lt;=$NS$73),IF($NP$73="Single_Point",IF(75=$NR$73,$NN$73,0),IF($NP$73="Bell_Curve",$NN$73*(75-$NR$73+1)*($NS$73-75+1)/$NU$73,$NN$73/$NT$73)),0)</f>
        <v/>
      </c>
      <c r="CB73" s="402">
        <f>IF(AND(76&gt;=$NR$73,76&lt;=$NS$73),IF($NP$73="Single_Point",IF(76=$NR$73,$NN$73,0),IF($NP$73="Bell_Curve",$NN$73*(76-$NR$73+1)*($NS$73-76+1)/$NU$73,$NN$73/$NT$73)),0)</f>
        <v/>
      </c>
      <c r="CC73" s="402">
        <f>IF(AND(77&gt;=$NR$73,77&lt;=$NS$73),IF($NP$73="Single_Point",IF(77=$NR$73,$NN$73,0),IF($NP$73="Bell_Curve",$NN$73*(77-$NR$73+1)*($NS$73-77+1)/$NU$73,$NN$73/$NT$73)),0)</f>
        <v/>
      </c>
      <c r="CD73" s="402">
        <f>IF(AND(78&gt;=$NR$73,78&lt;=$NS$73),IF($NP$73="Single_Point",IF(78=$NR$73,$NN$73,0),IF($NP$73="Bell_Curve",$NN$73*(78-$NR$73+1)*($NS$73-78+1)/$NU$73,$NN$73/$NT$73)),0)</f>
        <v/>
      </c>
      <c r="CE73" s="402">
        <f>IF(AND(79&gt;=$NR$73,79&lt;=$NS$73),IF($NP$73="Single_Point",IF(79=$NR$73,$NN$73,0),IF($NP$73="Bell_Curve",$NN$73*(79-$NR$73+1)*($NS$73-79+1)/$NU$73,$NN$73/$NT$73)),0)</f>
        <v/>
      </c>
      <c r="CF73" s="402">
        <f>IF(AND(80&gt;=$NR$73,80&lt;=$NS$73),IF($NP$73="Single_Point",IF(80=$NR$73,$NN$73,0),IF($NP$73="Bell_Curve",$NN$73*(80-$NR$73+1)*($NS$73-80+1)/$NU$73,$NN$73/$NT$73)),0)</f>
        <v/>
      </c>
      <c r="CG73" s="402">
        <f>IF(AND(81&gt;=$NR$73,81&lt;=$NS$73),IF($NP$73="Single_Point",IF(81=$NR$73,$NN$73,0),IF($NP$73="Bell_Curve",$NN$73*(81-$NR$73+1)*($NS$73-81+1)/$NU$73,$NN$73/$NT$73)),0)</f>
        <v/>
      </c>
      <c r="CH73" s="402">
        <f>IF(AND(82&gt;=$NR$73,82&lt;=$NS$73),IF($NP$73="Single_Point",IF(82=$NR$73,$NN$73,0),IF($NP$73="Bell_Curve",$NN$73*(82-$NR$73+1)*($NS$73-82+1)/$NU$73,$NN$73/$NT$73)),0)</f>
        <v/>
      </c>
      <c r="CI73" s="402">
        <f>IF(AND(83&gt;=$NR$73,83&lt;=$NS$73),IF($NP$73="Single_Point",IF(83=$NR$73,$NN$73,0),IF($NP$73="Bell_Curve",$NN$73*(83-$NR$73+1)*($NS$73-83+1)/$NU$73,$NN$73/$NT$73)),0)</f>
        <v/>
      </c>
      <c r="CJ73" s="402">
        <f>IF(AND(84&gt;=$NR$73,84&lt;=$NS$73),IF($NP$73="Single_Point",IF(84=$NR$73,$NN$73,0),IF($NP$73="Bell_Curve",$NN$73*(84-$NR$73+1)*($NS$73-84+1)/$NU$73,$NN$73/$NT$73)),0)</f>
        <v/>
      </c>
      <c r="CK73" s="402">
        <f>IF(AND(85&gt;=$NR$73,85&lt;=$NS$73),IF($NP$73="Single_Point",IF(85=$NR$73,$NN$73,0),IF($NP$73="Bell_Curve",$NN$73*(85-$NR$73+1)*($NS$73-85+1)/$NU$73,$NN$73/$NT$73)),0)</f>
        <v/>
      </c>
      <c r="CL73" s="402">
        <f>IF(AND(86&gt;=$NR$73,86&lt;=$NS$73),IF($NP$73="Single_Point",IF(86=$NR$73,$NN$73,0),IF($NP$73="Bell_Curve",$NN$73*(86-$NR$73+1)*($NS$73-86+1)/$NU$73,$NN$73/$NT$73)),0)</f>
        <v/>
      </c>
      <c r="CM73" s="402">
        <f>IF(AND(87&gt;=$NR$73,87&lt;=$NS$73),IF($NP$73="Single_Point",IF(87=$NR$73,$NN$73,0),IF($NP$73="Bell_Curve",$NN$73*(87-$NR$73+1)*($NS$73-87+1)/$NU$73,$NN$73/$NT$73)),0)</f>
        <v/>
      </c>
      <c r="CN73" s="402">
        <f>IF(AND(88&gt;=$NR$73,88&lt;=$NS$73),IF($NP$73="Single_Point",IF(88=$NR$73,$NN$73,0),IF($NP$73="Bell_Curve",$NN$73*(88-$NR$73+1)*($NS$73-88+1)/$NU$73,$NN$73/$NT$73)),0)</f>
        <v/>
      </c>
      <c r="CO73" s="402">
        <f>IF(AND(89&gt;=$NR$73,89&lt;=$NS$73),IF($NP$73="Single_Point",IF(89=$NR$73,$NN$73,0),IF($NP$73="Bell_Curve",$NN$73*(89-$NR$73+1)*($NS$73-89+1)/$NU$73,$NN$73/$NT$73)),0)</f>
        <v/>
      </c>
      <c r="CP73" s="402">
        <f>IF(AND(90&gt;=$NR$73,90&lt;=$NS$73),IF($NP$73="Single_Point",IF(90=$NR$73,$NN$73,0),IF($NP$73="Bell_Curve",$NN$73*(90-$NR$73+1)*($NS$73-90+1)/$NU$73,$NN$73/$NT$73)),0)</f>
        <v/>
      </c>
      <c r="CQ73" s="402">
        <f>IF(AND(91&gt;=$NR$73,91&lt;=$NS$73),IF($NP$73="Single_Point",IF(91=$NR$73,$NN$73,0),IF($NP$73="Bell_Curve",$NN$73*(91-$NR$73+1)*($NS$73-91+1)/$NU$73,$NN$73/$NT$73)),0)</f>
        <v/>
      </c>
      <c r="CR73" s="402">
        <f>IF(AND(92&gt;=$NR$73,92&lt;=$NS$73),IF($NP$73="Single_Point",IF(92=$NR$73,$NN$73,0),IF($NP$73="Bell_Curve",$NN$73*(92-$NR$73+1)*($NS$73-92+1)/$NU$73,$NN$73/$NT$73)),0)</f>
        <v/>
      </c>
      <c r="CS73" s="402">
        <f>IF(AND(93&gt;=$NR$73,93&lt;=$NS$73),IF($NP$73="Single_Point",IF(93=$NR$73,$NN$73,0),IF($NP$73="Bell_Curve",$NN$73*(93-$NR$73+1)*($NS$73-93+1)/$NU$73,$NN$73/$NT$73)),0)</f>
        <v/>
      </c>
      <c r="CT73" s="402">
        <f>IF(AND(94&gt;=$NR$73,94&lt;=$NS$73),IF($NP$73="Single_Point",IF(94=$NR$73,$NN$73,0),IF($NP$73="Bell_Curve",$NN$73*(94-$NR$73+1)*($NS$73-94+1)/$NU$73,$NN$73/$NT$73)),0)</f>
        <v/>
      </c>
      <c r="CU73" s="402">
        <f>IF(AND(95&gt;=$NR$73,95&lt;=$NS$73),IF($NP$73="Single_Point",IF(95=$NR$73,$NN$73,0),IF($NP$73="Bell_Curve",$NN$73*(95-$NR$73+1)*($NS$73-95+1)/$NU$73,$NN$73/$NT$73)),0)</f>
        <v/>
      </c>
      <c r="CV73" s="402">
        <f>IF(AND(96&gt;=$NR$73,96&lt;=$NS$73),IF($NP$73="Single_Point",IF(96=$NR$73,$NN$73,0),IF($NP$73="Bell_Curve",$NN$73*(96-$NR$73+1)*($NS$73-96+1)/$NU$73,$NN$73/$NT$73)),0)</f>
        <v/>
      </c>
      <c r="CW73" s="402">
        <f>IF(AND(97&gt;=$NR$73,97&lt;=$NS$73),IF($NP$73="Single_Point",IF(97=$NR$73,$NN$73,0),IF($NP$73="Bell_Curve",$NN$73*(97-$NR$73+1)*($NS$73-97+1)/$NU$73,$NN$73/$NT$73)),0)</f>
        <v/>
      </c>
      <c r="CX73" s="402">
        <f>IF(AND(98&gt;=$NR$73,98&lt;=$NS$73),IF($NP$73="Single_Point",IF(98=$NR$73,$NN$73,0),IF($NP$73="Bell_Curve",$NN$73*(98-$NR$73+1)*($NS$73-98+1)/$NU$73,$NN$73/$NT$73)),0)</f>
        <v/>
      </c>
      <c r="CY73" s="402">
        <f>IF(AND(99&gt;=$NR$73,99&lt;=$NS$73),IF($NP$73="Single_Point",IF(99=$NR$73,$NN$73,0),IF($NP$73="Bell_Curve",$NN$73*(99-$NR$73+1)*($NS$73-99+1)/$NU$73,$NN$73/$NT$73)),0)</f>
        <v/>
      </c>
      <c r="CZ73" s="402">
        <f>IF(AND(100&gt;=$NR$73,100&lt;=$NS$73),IF($NP$73="Single_Point",IF(100=$NR$73,$NN$73,0),IF($NP$73="Bell_Curve",$NN$73*(100-$NR$73+1)*($NS$73-100+1)/$NU$73,$NN$73/$NT$73)),0)</f>
        <v/>
      </c>
      <c r="DA73" s="402">
        <f>IF(AND(101&gt;=$NR$73,101&lt;=$NS$73),IF($NP$73="Single_Point",IF(101=$NR$73,$NN$73,0),IF($NP$73="Bell_Curve",$NN$73*(101-$NR$73+1)*($NS$73-101+1)/$NU$73,$NN$73/$NT$73)),0)</f>
        <v/>
      </c>
      <c r="DB73" s="402">
        <f>IF(AND(102&gt;=$NR$73,102&lt;=$NS$73),IF($NP$73="Single_Point",IF(102=$NR$73,$NN$73,0),IF($NP$73="Bell_Curve",$NN$73*(102-$NR$73+1)*($NS$73-102+1)/$NU$73,$NN$73/$NT$73)),0)</f>
        <v/>
      </c>
      <c r="DC73" s="402">
        <f>IF(AND(103&gt;=$NR$73,103&lt;=$NS$73),IF($NP$73="Single_Point",IF(103=$NR$73,$NN$73,0),IF($NP$73="Bell_Curve",$NN$73*(103-$NR$73+1)*($NS$73-103+1)/$NU$73,$NN$73/$NT$73)),0)</f>
        <v/>
      </c>
      <c r="DD73" s="402">
        <f>IF(AND(104&gt;=$NR$73,104&lt;=$NS$73),IF($NP$73="Single_Point",IF(104=$NR$73,$NN$73,0),IF($NP$73="Bell_Curve",$NN$73*(104-$NR$73+1)*($NS$73-104+1)/$NU$73,$NN$73/$NT$73)),0)</f>
        <v/>
      </c>
      <c r="DE73" s="402">
        <f>IF(AND(105&gt;=$NR$73,105&lt;=$NS$73),IF($NP$73="Single_Point",IF(105=$NR$73,$NN$73,0),IF($NP$73="Bell_Curve",$NN$73*(105-$NR$73+1)*($NS$73-105+1)/$NU$73,$NN$73/$NT$73)),0)</f>
        <v/>
      </c>
      <c r="DF73" s="402">
        <f>IF(AND(106&gt;=$NR$73,106&lt;=$NS$73),IF($NP$73="Single_Point",IF(106=$NR$73,$NN$73,0),IF($NP$73="Bell_Curve",$NN$73*(106-$NR$73+1)*($NS$73-106+1)/$NU$73,$NN$73/$NT$73)),0)</f>
        <v/>
      </c>
      <c r="DG73" s="402">
        <f>IF(AND(107&gt;=$NR$73,107&lt;=$NS$73),IF($NP$73="Single_Point",IF(107=$NR$73,$NN$73,0),IF($NP$73="Bell_Curve",$NN$73*(107-$NR$73+1)*($NS$73-107+1)/$NU$73,$NN$73/$NT$73)),0)</f>
        <v/>
      </c>
      <c r="DH73" s="402">
        <f>IF(AND(108&gt;=$NR$73,108&lt;=$NS$73),IF($NP$73="Single_Point",IF(108=$NR$73,$NN$73,0),IF($NP$73="Bell_Curve",$NN$73*(108-$NR$73+1)*($NS$73-108+1)/$NU$73,$NN$73/$NT$73)),0)</f>
        <v/>
      </c>
      <c r="DI73" s="402">
        <f>IF(AND(109&gt;=$NR$73,109&lt;=$NS$73),IF($NP$73="Single_Point",IF(109=$NR$73,$NN$73,0),IF($NP$73="Bell_Curve",$NN$73*(109-$NR$73+1)*($NS$73-109+1)/$NU$73,$NN$73/$NT$73)),0)</f>
        <v/>
      </c>
      <c r="DJ73" s="402">
        <f>IF(AND(110&gt;=$NR$73,110&lt;=$NS$73),IF($NP$73="Single_Point",IF(110=$NR$73,$NN$73,0),IF($NP$73="Bell_Curve",$NN$73*(110-$NR$73+1)*($NS$73-110+1)/$NU$73,$NN$73/$NT$73)),0)</f>
        <v/>
      </c>
      <c r="DK73" s="402">
        <f>IF(AND(111&gt;=$NR$73,111&lt;=$NS$73),IF($NP$73="Single_Point",IF(111=$NR$73,$NN$73,0),IF($NP$73="Bell_Curve",$NN$73*(111-$NR$73+1)*($NS$73-111+1)/$NU$73,$NN$73/$NT$73)),0)</f>
        <v/>
      </c>
      <c r="DL73" s="402">
        <f>IF(AND(112&gt;=$NR$73,112&lt;=$NS$73),IF($NP$73="Single_Point",IF(112=$NR$73,$NN$73,0),IF($NP$73="Bell_Curve",$NN$73*(112-$NR$73+1)*($NS$73-112+1)/$NU$73,$NN$73/$NT$73)),0)</f>
        <v/>
      </c>
      <c r="DM73" s="402">
        <f>IF(AND(113&gt;=$NR$73,113&lt;=$NS$73),IF($NP$73="Single_Point",IF(113=$NR$73,$NN$73,0),IF($NP$73="Bell_Curve",$NN$73*(113-$NR$73+1)*($NS$73-113+1)/$NU$73,$NN$73/$NT$73)),0)</f>
        <v/>
      </c>
      <c r="DN73" s="402">
        <f>IF(AND(114&gt;=$NR$73,114&lt;=$NS$73),IF($NP$73="Single_Point",IF(114=$NR$73,$NN$73,0),IF($NP$73="Bell_Curve",$NN$73*(114-$NR$73+1)*($NS$73-114+1)/$NU$73,$NN$73/$NT$73)),0)</f>
        <v/>
      </c>
      <c r="DO73" s="402">
        <f>IF(AND(115&gt;=$NR$73,115&lt;=$NS$73),IF($NP$73="Single_Point",IF(115=$NR$73,$NN$73,0),IF($NP$73="Bell_Curve",$NN$73*(115-$NR$73+1)*($NS$73-115+1)/$NU$73,$NN$73/$NT$73)),0)</f>
        <v/>
      </c>
      <c r="DP73" s="402">
        <f>IF(AND(116&gt;=$NR$73,116&lt;=$NS$73),IF($NP$73="Single_Point",IF(116=$NR$73,$NN$73,0),IF($NP$73="Bell_Curve",$NN$73*(116-$NR$73+1)*($NS$73-116+1)/$NU$73,$NN$73/$NT$73)),0)</f>
        <v/>
      </c>
      <c r="DQ73" s="402">
        <f>IF(AND(117&gt;=$NR$73,117&lt;=$NS$73),IF($NP$73="Single_Point",IF(117=$NR$73,$NN$73,0),IF($NP$73="Bell_Curve",$NN$73*(117-$NR$73+1)*($NS$73-117+1)/$NU$73,$NN$73/$NT$73)),0)</f>
        <v/>
      </c>
      <c r="DR73" s="402">
        <f>IF(AND(118&gt;=$NR$73,118&lt;=$NS$73),IF($NP$73="Single_Point",IF(118=$NR$73,$NN$73,0),IF($NP$73="Bell_Curve",$NN$73*(118-$NR$73+1)*($NS$73-118+1)/$NU$73,$NN$73/$NT$73)),0)</f>
        <v/>
      </c>
      <c r="DS73" s="402">
        <f>IF(AND(119&gt;=$NR$73,119&lt;=$NS$73),IF($NP$73="Single_Point",IF(119=$NR$73,$NN$73,0),IF($NP$73="Bell_Curve",$NN$73*(119-$NR$73+1)*($NS$73-119+1)/$NU$73,$NN$73/$NT$73)),0)</f>
        <v/>
      </c>
      <c r="DT73" s="402">
        <f>IF(AND(120&gt;=$NR$73,120&lt;=$NS$73),IF($NP$73="Single_Point",IF(120=$NR$73,$NN$73,0),IF($NP$73="Bell_Curve",$NN$73*(120-$NR$73+1)*($NS$73-120+1)/$NU$73,$NN$73/$NT$73)),0)</f>
        <v/>
      </c>
      <c r="DU73" s="402">
        <f>IF(AND(121&gt;=$NR$73,121&lt;=$NS$73),IF($NP$73="Single_Point",IF(121=$NR$73,$NN$73,0),IF($NP$73="Bell_Curve",$NN$73*(121-$NR$73+1)*($NS$73-121+1)/$NU$73,$NN$73/$NT$73)),0)</f>
        <v/>
      </c>
      <c r="DV73" s="402">
        <f>IF(AND(122&gt;=$NR$73,122&lt;=$NS$73),IF($NP$73="Single_Point",IF(122=$NR$73,$NN$73,0),IF($NP$73="Bell_Curve",$NN$73*(122-$NR$73+1)*($NS$73-122+1)/$NU$73,$NN$73/$NT$73)),0)</f>
        <v/>
      </c>
      <c r="DW73" s="402">
        <f>IF(AND(123&gt;=$NR$73,123&lt;=$NS$73),IF($NP$73="Single_Point",IF(123=$NR$73,$NN$73,0),IF($NP$73="Bell_Curve",$NN$73*(123-$NR$73+1)*($NS$73-123+1)/$NU$73,$NN$73/$NT$73)),0)</f>
        <v/>
      </c>
      <c r="DX73" s="402">
        <f>IF(AND(124&gt;=$NR$73,124&lt;=$NS$73),IF($NP$73="Single_Point",IF(124=$NR$73,$NN$73,0),IF($NP$73="Bell_Curve",$NN$73*(124-$NR$73+1)*($NS$73-124+1)/$NU$73,$NN$73/$NT$73)),0)</f>
        <v/>
      </c>
      <c r="DY73" s="402">
        <f>IF(AND(125&gt;=$NR$73,125&lt;=$NS$73),IF($NP$73="Single_Point",IF(125=$NR$73,$NN$73,0),IF($NP$73="Bell_Curve",$NN$73*(125-$NR$73+1)*($NS$73-125+1)/$NU$73,$NN$73/$NT$73)),0)</f>
        <v/>
      </c>
      <c r="DZ73" s="402">
        <f>IF(AND(126&gt;=$NR$73,126&lt;=$NS$73),IF($NP$73="Single_Point",IF(126=$NR$73,$NN$73,0),IF($NP$73="Bell_Curve",$NN$73*(126-$NR$73+1)*($NS$73-126+1)/$NU$73,$NN$73/$NT$73)),0)</f>
        <v/>
      </c>
      <c r="EA73" s="402">
        <f>IF(AND(127&gt;=$NR$73,127&lt;=$NS$73),IF($NP$73="Single_Point",IF(127=$NR$73,$NN$73,0),IF($NP$73="Bell_Curve",$NN$73*(127-$NR$73+1)*($NS$73-127+1)/$NU$73,$NN$73/$NT$73)),0)</f>
        <v/>
      </c>
      <c r="EB73" s="402">
        <f>IF(AND(128&gt;=$NR$73,128&lt;=$NS$73),IF($NP$73="Single_Point",IF(128=$NR$73,$NN$73,0),IF($NP$73="Bell_Curve",$NN$73*(128-$NR$73+1)*($NS$73-128+1)/$NU$73,$NN$73/$NT$73)),0)</f>
        <v/>
      </c>
      <c r="EC73" s="402">
        <f>IF(AND(129&gt;=$NR$73,129&lt;=$NS$73),IF($NP$73="Single_Point",IF(129=$NR$73,$NN$73,0),IF($NP$73="Bell_Curve",$NN$73*(129-$NR$73+1)*($NS$73-129+1)/$NU$73,$NN$73/$NT$73)),0)</f>
        <v/>
      </c>
      <c r="ED73" s="402">
        <f>IF(AND(130&gt;=$NR$73,130&lt;=$NS$73),IF($NP$73="Single_Point",IF(130=$NR$73,$NN$73,0),IF($NP$73="Bell_Curve",$NN$73*(130-$NR$73+1)*($NS$73-130+1)/$NU$73,$NN$73/$NT$73)),0)</f>
        <v/>
      </c>
      <c r="EE73" s="402">
        <f>IF(AND(131&gt;=$NR$73,131&lt;=$NS$73),IF($NP$73="Single_Point",IF(131=$NR$73,$NN$73,0),IF($NP$73="Bell_Curve",$NN$73*(131-$NR$73+1)*($NS$73-131+1)/$NU$73,$NN$73/$NT$73)),0)</f>
        <v/>
      </c>
      <c r="EF73" s="402">
        <f>IF(AND(132&gt;=$NR$73,132&lt;=$NS$73),IF($NP$73="Single_Point",IF(132=$NR$73,$NN$73,0),IF($NP$73="Bell_Curve",$NN$73*(132-$NR$73+1)*($NS$73-132+1)/$NU$73,$NN$73/$NT$73)),0)</f>
        <v/>
      </c>
      <c r="EG73" s="402">
        <f>IF(AND(133&gt;=$NR$73,133&lt;=$NS$73),IF($NP$73="Single_Point",IF(133=$NR$73,$NN$73,0),IF($NP$73="Bell_Curve",$NN$73*(133-$NR$73+1)*($NS$73-133+1)/$NU$73,$NN$73/$NT$73)),0)</f>
        <v/>
      </c>
      <c r="EH73" s="402">
        <f>IF(AND(134&gt;=$NR$73,134&lt;=$NS$73),IF($NP$73="Single_Point",IF(134=$NR$73,$NN$73,0),IF($NP$73="Bell_Curve",$NN$73*(134-$NR$73+1)*($NS$73-134+1)/$NU$73,$NN$73/$NT$73)),0)</f>
        <v/>
      </c>
      <c r="EI73" s="402">
        <f>IF(AND(135&gt;=$NR$73,135&lt;=$NS$73),IF($NP$73="Single_Point",IF(135=$NR$73,$NN$73,0),IF($NP$73="Bell_Curve",$NN$73*(135-$NR$73+1)*($NS$73-135+1)/$NU$73,$NN$73/$NT$73)),0)</f>
        <v/>
      </c>
      <c r="EJ73" s="402">
        <f>IF(AND(136&gt;=$NR$73,136&lt;=$NS$73),IF($NP$73="Single_Point",IF(136=$NR$73,$NN$73,0),IF($NP$73="Bell_Curve",$NN$73*(136-$NR$73+1)*($NS$73-136+1)/$NU$73,$NN$73/$NT$73)),0)</f>
        <v/>
      </c>
      <c r="EK73" s="402">
        <f>IF(AND(137&gt;=$NR$73,137&lt;=$NS$73),IF($NP$73="Single_Point",IF(137=$NR$73,$NN$73,0),IF($NP$73="Bell_Curve",$NN$73*(137-$NR$73+1)*($NS$73-137+1)/$NU$73,$NN$73/$NT$73)),0)</f>
        <v/>
      </c>
      <c r="EL73" s="402">
        <f>IF(AND(138&gt;=$NR$73,138&lt;=$NS$73),IF($NP$73="Single_Point",IF(138=$NR$73,$NN$73,0),IF($NP$73="Bell_Curve",$NN$73*(138-$NR$73+1)*($NS$73-138+1)/$NU$73,$NN$73/$NT$73)),0)</f>
        <v/>
      </c>
      <c r="EM73" s="402">
        <f>IF(AND(139&gt;=$NR$73,139&lt;=$NS$73),IF($NP$73="Single_Point",IF(139=$NR$73,$NN$73,0),IF($NP$73="Bell_Curve",$NN$73*(139-$NR$73+1)*($NS$73-139+1)/$NU$73,$NN$73/$NT$73)),0)</f>
        <v/>
      </c>
      <c r="EN73" s="402">
        <f>IF(AND(140&gt;=$NR$73,140&lt;=$NS$73),IF($NP$73="Single_Point",IF(140=$NR$73,$NN$73,0),IF($NP$73="Bell_Curve",$NN$73*(140-$NR$73+1)*($NS$73-140+1)/$NU$73,$NN$73/$NT$73)),0)</f>
        <v/>
      </c>
      <c r="EO73" s="402">
        <f>IF(AND(141&gt;=$NR$73,141&lt;=$NS$73),IF($NP$73="Single_Point",IF(141=$NR$73,$NN$73,0),IF($NP$73="Bell_Curve",$NN$73*(141-$NR$73+1)*($NS$73-141+1)/$NU$73,$NN$73/$NT$73)),0)</f>
        <v/>
      </c>
      <c r="EP73" s="402">
        <f>IF(AND(142&gt;=$NR$73,142&lt;=$NS$73),IF($NP$73="Single_Point",IF(142=$NR$73,$NN$73,0),IF($NP$73="Bell_Curve",$NN$73*(142-$NR$73+1)*($NS$73-142+1)/$NU$73,$NN$73/$NT$73)),0)</f>
        <v/>
      </c>
      <c r="EQ73" s="402">
        <f>IF(AND(143&gt;=$NR$73,143&lt;=$NS$73),IF($NP$73="Single_Point",IF(143=$NR$73,$NN$73,0),IF($NP$73="Bell_Curve",$NN$73*(143-$NR$73+1)*($NS$73-143+1)/$NU$73,$NN$73/$NT$73)),0)</f>
        <v/>
      </c>
      <c r="ER73" s="402">
        <f>IF(AND(144&gt;=$NR$73,144&lt;=$NS$73),IF($NP$73="Single_Point",IF(144=$NR$73,$NN$73,0),IF($NP$73="Bell_Curve",$NN$73*(144-$NR$73+1)*($NS$73-144+1)/$NU$73,$NN$73/$NT$73)),0)</f>
        <v/>
      </c>
      <c r="ES73" s="402">
        <f>IF(AND(145&gt;=$NR$73,145&lt;=$NS$73),IF($NP$73="Single_Point",IF(145=$NR$73,$NN$73,0),IF($NP$73="Bell_Curve",$NN$73*(145-$NR$73+1)*($NS$73-145+1)/$NU$73,$NN$73/$NT$73)),0)</f>
        <v/>
      </c>
      <c r="ET73" s="402">
        <f>IF(AND(146&gt;=$NR$73,146&lt;=$NS$73),IF($NP$73="Single_Point",IF(146=$NR$73,$NN$73,0),IF($NP$73="Bell_Curve",$NN$73*(146-$NR$73+1)*($NS$73-146+1)/$NU$73,$NN$73/$NT$73)),0)</f>
        <v/>
      </c>
      <c r="EU73" s="402">
        <f>IF(AND(147&gt;=$NR$73,147&lt;=$NS$73),IF($NP$73="Single_Point",IF(147=$NR$73,$NN$73,0),IF($NP$73="Bell_Curve",$NN$73*(147-$NR$73+1)*($NS$73-147+1)/$NU$73,$NN$73/$NT$73)),0)</f>
        <v/>
      </c>
      <c r="EV73" s="402">
        <f>IF(AND(148&gt;=$NR$73,148&lt;=$NS$73),IF($NP$73="Single_Point",IF(148=$NR$73,$NN$73,0),IF($NP$73="Bell_Curve",$NN$73*(148-$NR$73+1)*($NS$73-148+1)/$NU$73,$NN$73/$NT$73)),0)</f>
        <v/>
      </c>
      <c r="EW73" s="402">
        <f>IF(AND(149&gt;=$NR$73,149&lt;=$NS$73),IF($NP$73="Single_Point",IF(149=$NR$73,$NN$73,0),IF($NP$73="Bell_Curve",$NN$73*(149-$NR$73+1)*($NS$73-149+1)/$NU$73,$NN$73/$NT$73)),0)</f>
        <v/>
      </c>
      <c r="EX73" s="402">
        <f>IF(AND(150&gt;=$NR$73,150&lt;=$NS$73),IF($NP$73="Single_Point",IF(150=$NR$73,$NN$73,0),IF($NP$73="Bell_Curve",$NN$73*(150-$NR$73+1)*($NS$73-150+1)/$NU$73,$NN$73/$NT$73)),0)</f>
        <v/>
      </c>
      <c r="EY73" s="402">
        <f>IF(AND(151&gt;=$NR$73,151&lt;=$NS$73),IF($NP$73="Single_Point",IF(151=$NR$73,$NN$73,0),IF($NP$73="Bell_Curve",$NN$73*(151-$NR$73+1)*($NS$73-151+1)/$NU$73,$NN$73/$NT$73)),0)</f>
        <v/>
      </c>
      <c r="EZ73" s="402">
        <f>IF(AND(152&gt;=$NR$73,152&lt;=$NS$73),IF($NP$73="Single_Point",IF(152=$NR$73,$NN$73,0),IF($NP$73="Bell_Curve",$NN$73*(152-$NR$73+1)*($NS$73-152+1)/$NU$73,$NN$73/$NT$73)),0)</f>
        <v/>
      </c>
      <c r="FA73" s="402">
        <f>IF(AND(153&gt;=$NR$73,153&lt;=$NS$73),IF($NP$73="Single_Point",IF(153=$NR$73,$NN$73,0),IF($NP$73="Bell_Curve",$NN$73*(153-$NR$73+1)*($NS$73-153+1)/$NU$73,$NN$73/$NT$73)),0)</f>
        <v/>
      </c>
      <c r="FB73" s="402">
        <f>IF(AND(154&gt;=$NR$73,154&lt;=$NS$73),IF($NP$73="Single_Point",IF(154=$NR$73,$NN$73,0),IF($NP$73="Bell_Curve",$NN$73*(154-$NR$73+1)*($NS$73-154+1)/$NU$73,$NN$73/$NT$73)),0)</f>
        <v/>
      </c>
      <c r="FC73" s="402">
        <f>IF(AND(155&gt;=$NR$73,155&lt;=$NS$73),IF($NP$73="Single_Point",IF(155=$NR$73,$NN$73,0),IF($NP$73="Bell_Curve",$NN$73*(155-$NR$73+1)*($NS$73-155+1)/$NU$73,$NN$73/$NT$73)),0)</f>
        <v/>
      </c>
      <c r="FD73" s="402">
        <f>IF(AND(156&gt;=$NR$73,156&lt;=$NS$73),IF($NP$73="Single_Point",IF(156=$NR$73,$NN$73,0),IF($NP$73="Bell_Curve",$NN$73*(156-$NR$73+1)*($NS$73-156+1)/$NU$73,$NN$73/$NT$73)),0)</f>
        <v/>
      </c>
      <c r="FE73" s="402">
        <f>IF(AND(157&gt;=$NR$73,157&lt;=$NS$73),IF($NP$73="Single_Point",IF(157=$NR$73,$NN$73,0),IF($NP$73="Bell_Curve",$NN$73*(157-$NR$73+1)*($NS$73-157+1)/$NU$73,$NN$73/$NT$73)),0)</f>
        <v/>
      </c>
      <c r="FF73" s="402">
        <f>IF(AND(158&gt;=$NR$73,158&lt;=$NS$73),IF($NP$73="Single_Point",IF(158=$NR$73,$NN$73,0),IF($NP$73="Bell_Curve",$NN$73*(158-$NR$73+1)*($NS$73-158+1)/$NU$73,$NN$73/$NT$73)),0)</f>
        <v/>
      </c>
      <c r="FG73" s="402">
        <f>IF(AND(159&gt;=$NR$73,159&lt;=$NS$73),IF($NP$73="Single_Point",IF(159=$NR$73,$NN$73,0),IF($NP$73="Bell_Curve",$NN$73*(159-$NR$73+1)*($NS$73-159+1)/$NU$73,$NN$73/$NT$73)),0)</f>
        <v/>
      </c>
      <c r="FH73" s="402">
        <f>IF(AND(160&gt;=$NR$73,160&lt;=$NS$73),IF($NP$73="Single_Point",IF(160=$NR$73,$NN$73,0),IF($NP$73="Bell_Curve",$NN$73*(160-$NR$73+1)*($NS$73-160+1)/$NU$73,$NN$73/$NT$73)),0)</f>
        <v/>
      </c>
      <c r="FI73" s="402">
        <f>IF(AND(161&gt;=$NR$73,161&lt;=$NS$73),IF($NP$73="Single_Point",IF(161=$NR$73,$NN$73,0),IF($NP$73="Bell_Curve",$NN$73*(161-$NR$73+1)*($NS$73-161+1)/$NU$73,$NN$73/$NT$73)),0)</f>
        <v/>
      </c>
      <c r="FJ73" s="402">
        <f>IF(AND(162&gt;=$NR$73,162&lt;=$NS$73),IF($NP$73="Single_Point",IF(162=$NR$73,$NN$73,0),IF($NP$73="Bell_Curve",$NN$73*(162-$NR$73+1)*($NS$73-162+1)/$NU$73,$NN$73/$NT$73)),0)</f>
        <v/>
      </c>
      <c r="FK73" s="402">
        <f>IF(AND(163&gt;=$NR$73,163&lt;=$NS$73),IF($NP$73="Single_Point",IF(163=$NR$73,$NN$73,0),IF($NP$73="Bell_Curve",$NN$73*(163-$NR$73+1)*($NS$73-163+1)/$NU$73,$NN$73/$NT$73)),0)</f>
        <v/>
      </c>
      <c r="FL73" s="402">
        <f>IF(AND(164&gt;=$NR$73,164&lt;=$NS$73),IF($NP$73="Single_Point",IF(164=$NR$73,$NN$73,0),IF($NP$73="Bell_Curve",$NN$73*(164-$NR$73+1)*($NS$73-164+1)/$NU$73,$NN$73/$NT$73)),0)</f>
        <v/>
      </c>
      <c r="FM73" s="402">
        <f>IF(AND(165&gt;=$NR$73,165&lt;=$NS$73),IF($NP$73="Single_Point",IF(165=$NR$73,$NN$73,0),IF($NP$73="Bell_Curve",$NN$73*(165-$NR$73+1)*($NS$73-165+1)/$NU$73,$NN$73/$NT$73)),0)</f>
        <v/>
      </c>
      <c r="FN73" s="402">
        <f>IF(AND(166&gt;=$NR$73,166&lt;=$NS$73),IF($NP$73="Single_Point",IF(166=$NR$73,$NN$73,0),IF($NP$73="Bell_Curve",$NN$73*(166-$NR$73+1)*($NS$73-166+1)/$NU$73,$NN$73/$NT$73)),0)</f>
        <v/>
      </c>
      <c r="FO73" s="402">
        <f>IF(AND(167&gt;=$NR$73,167&lt;=$NS$73),IF($NP$73="Single_Point",IF(167=$NR$73,$NN$73,0),IF($NP$73="Bell_Curve",$NN$73*(167-$NR$73+1)*($NS$73-167+1)/$NU$73,$NN$73/$NT$73)),0)</f>
        <v/>
      </c>
      <c r="FP73" s="402">
        <f>IF(AND(168&gt;=$NR$73,168&lt;=$NS$73),IF($NP$73="Single_Point",IF(168=$NR$73,$NN$73,0),IF($NP$73="Bell_Curve",$NN$73*(168-$NR$73+1)*($NS$73-168+1)/$NU$73,$NN$73/$NT$73)),0)</f>
        <v/>
      </c>
      <c r="FQ73" s="402">
        <f>IF(AND(169&gt;=$NR$73,169&lt;=$NS$73),IF($NP$73="Single_Point",IF(169=$NR$73,$NN$73,0),IF($NP$73="Bell_Curve",$NN$73*(169-$NR$73+1)*($NS$73-169+1)/$NU$73,$NN$73/$NT$73)),0)</f>
        <v/>
      </c>
      <c r="FR73" s="402">
        <f>IF(AND(170&gt;=$NR$73,170&lt;=$NS$73),IF($NP$73="Single_Point",IF(170=$NR$73,$NN$73,0),IF($NP$73="Bell_Curve",$NN$73*(170-$NR$73+1)*($NS$73-170+1)/$NU$73,$NN$73/$NT$73)),0)</f>
        <v/>
      </c>
      <c r="FS73" s="402">
        <f>IF(AND(171&gt;=$NR$73,171&lt;=$NS$73),IF($NP$73="Single_Point",IF(171=$NR$73,$NN$73,0),IF($NP$73="Bell_Curve",$NN$73*(171-$NR$73+1)*($NS$73-171+1)/$NU$73,$NN$73/$NT$73)),0)</f>
        <v/>
      </c>
      <c r="FT73" s="402">
        <f>IF(AND(172&gt;=$NR$73,172&lt;=$NS$73),IF($NP$73="Single_Point",IF(172=$NR$73,$NN$73,0),IF($NP$73="Bell_Curve",$NN$73*(172-$NR$73+1)*($NS$73-172+1)/$NU$73,$NN$73/$NT$73)),0)</f>
        <v/>
      </c>
      <c r="FU73" s="402">
        <f>IF(AND(173&gt;=$NR$73,173&lt;=$NS$73),IF($NP$73="Single_Point",IF(173=$NR$73,$NN$73,0),IF($NP$73="Bell_Curve",$NN$73*(173-$NR$73+1)*($NS$73-173+1)/$NU$73,$NN$73/$NT$73)),0)</f>
        <v/>
      </c>
      <c r="FV73" s="402">
        <f>IF(AND(174&gt;=$NR$73,174&lt;=$NS$73),IF($NP$73="Single_Point",IF(174=$NR$73,$NN$73,0),IF($NP$73="Bell_Curve",$NN$73*(174-$NR$73+1)*($NS$73-174+1)/$NU$73,$NN$73/$NT$73)),0)</f>
        <v/>
      </c>
      <c r="FW73" s="402">
        <f>IF(AND(175&gt;=$NR$73,175&lt;=$NS$73),IF($NP$73="Single_Point",IF(175=$NR$73,$NN$73,0),IF($NP$73="Bell_Curve",$NN$73*(175-$NR$73+1)*($NS$73-175+1)/$NU$73,$NN$73/$NT$73)),0)</f>
        <v/>
      </c>
      <c r="FX73" s="402">
        <f>IF(AND(176&gt;=$NR$73,176&lt;=$NS$73),IF($NP$73="Single_Point",IF(176=$NR$73,$NN$73,0),IF($NP$73="Bell_Curve",$NN$73*(176-$NR$73+1)*($NS$73-176+1)/$NU$73,$NN$73/$NT$73)),0)</f>
        <v/>
      </c>
      <c r="FY73" s="402">
        <f>IF(AND(177&gt;=$NR$73,177&lt;=$NS$73),IF($NP$73="Single_Point",IF(177=$NR$73,$NN$73,0),IF($NP$73="Bell_Curve",$NN$73*(177-$NR$73+1)*($NS$73-177+1)/$NU$73,$NN$73/$NT$73)),0)</f>
        <v/>
      </c>
      <c r="FZ73" s="402">
        <f>IF(AND(178&gt;=$NR$73,178&lt;=$NS$73),IF($NP$73="Single_Point",IF(178=$NR$73,$NN$73,0),IF($NP$73="Bell_Curve",$NN$73*(178-$NR$73+1)*($NS$73-178+1)/$NU$73,$NN$73/$NT$73)),0)</f>
        <v/>
      </c>
      <c r="GA73" s="402">
        <f>IF(AND(179&gt;=$NR$73,179&lt;=$NS$73),IF($NP$73="Single_Point",IF(179=$NR$73,$NN$73,0),IF($NP$73="Bell_Curve",$NN$73*(179-$NR$73+1)*($NS$73-179+1)/$NU$73,$NN$73/$NT$73)),0)</f>
        <v/>
      </c>
      <c r="GB73" s="402">
        <f>IF(AND(180&gt;=$NR$73,180&lt;=$NS$73),IF($NP$73="Single_Point",IF(180=$NR$73,$NN$73,0),IF($NP$73="Bell_Curve",$NN$73*(180-$NR$73+1)*($NS$73-180+1)/$NU$73,$NN$73/$NT$73)),0)</f>
        <v/>
      </c>
      <c r="GC73" s="402">
        <f>IF(AND(181&gt;=$NR$73,181&lt;=$NS$73),IF($NP$73="Single_Point",IF(181=$NR$73,$NN$73,0),IF($NP$73="Bell_Curve",$NN$73*(181-$NR$73+1)*($NS$73-181+1)/$NU$73,$NN$73/$NT$73)),0)</f>
        <v/>
      </c>
      <c r="GD73" s="402">
        <f>IF(AND(182&gt;=$NR$73,182&lt;=$NS$73),IF($NP$73="Single_Point",IF(182=$NR$73,$NN$73,0),IF($NP$73="Bell_Curve",$NN$73*(182-$NR$73+1)*($NS$73-182+1)/$NU$73,$NN$73/$NT$73)),0)</f>
        <v/>
      </c>
      <c r="GE73" s="402">
        <f>IF(AND(183&gt;=$NR$73,183&lt;=$NS$73),IF($NP$73="Single_Point",IF(183=$NR$73,$NN$73,0),IF($NP$73="Bell_Curve",$NN$73*(183-$NR$73+1)*($NS$73-183+1)/$NU$73,$NN$73/$NT$73)),0)</f>
        <v/>
      </c>
      <c r="GF73" s="402">
        <f>IF(AND(184&gt;=$NR$73,184&lt;=$NS$73),IF($NP$73="Single_Point",IF(184=$NR$73,$NN$73,0),IF($NP$73="Bell_Curve",$NN$73*(184-$NR$73+1)*($NS$73-184+1)/$NU$73,$NN$73/$NT$73)),0)</f>
        <v/>
      </c>
      <c r="GG73" s="402">
        <f>IF(AND(185&gt;=$NR$73,185&lt;=$NS$73),IF($NP$73="Single_Point",IF(185=$NR$73,$NN$73,0),IF($NP$73="Bell_Curve",$NN$73*(185-$NR$73+1)*($NS$73-185+1)/$NU$73,$NN$73/$NT$73)),0)</f>
        <v/>
      </c>
      <c r="GH73" s="402">
        <f>IF(AND(186&gt;=$NR$73,186&lt;=$NS$73),IF($NP$73="Single_Point",IF(186=$NR$73,$NN$73,0),IF($NP$73="Bell_Curve",$NN$73*(186-$NR$73+1)*($NS$73-186+1)/$NU$73,$NN$73/$NT$73)),0)</f>
        <v/>
      </c>
      <c r="GI73" s="402">
        <f>IF(AND(187&gt;=$NR$73,187&lt;=$NS$73),IF($NP$73="Single_Point",IF(187=$NR$73,$NN$73,0),IF($NP$73="Bell_Curve",$NN$73*(187-$NR$73+1)*($NS$73-187+1)/$NU$73,$NN$73/$NT$73)),0)</f>
        <v/>
      </c>
      <c r="GJ73" s="402">
        <f>IF(AND(188&gt;=$NR$73,188&lt;=$NS$73),IF($NP$73="Single_Point",IF(188=$NR$73,$NN$73,0),IF($NP$73="Bell_Curve",$NN$73*(188-$NR$73+1)*($NS$73-188+1)/$NU$73,$NN$73/$NT$73)),0)</f>
        <v/>
      </c>
      <c r="GK73" s="402">
        <f>IF(AND(189&gt;=$NR$73,189&lt;=$NS$73),IF($NP$73="Single_Point",IF(189=$NR$73,$NN$73,0),IF($NP$73="Bell_Curve",$NN$73*(189-$NR$73+1)*($NS$73-189+1)/$NU$73,$NN$73/$NT$73)),0)</f>
        <v/>
      </c>
      <c r="GL73" s="402">
        <f>IF(AND(190&gt;=$NR$73,190&lt;=$NS$73),IF($NP$73="Single_Point",IF(190=$NR$73,$NN$73,0),IF($NP$73="Bell_Curve",$NN$73*(190-$NR$73+1)*($NS$73-190+1)/$NU$73,$NN$73/$NT$73)),0)</f>
        <v/>
      </c>
      <c r="GM73" s="402">
        <f>IF(AND(191&gt;=$NR$73,191&lt;=$NS$73),IF($NP$73="Single_Point",IF(191=$NR$73,$NN$73,0),IF($NP$73="Bell_Curve",$NN$73*(191-$NR$73+1)*($NS$73-191+1)/$NU$73,$NN$73/$NT$73)),0)</f>
        <v/>
      </c>
      <c r="GN73" s="402">
        <f>IF(AND(192&gt;=$NR$73,192&lt;=$NS$73),IF($NP$73="Single_Point",IF(192=$NR$73,$NN$73,0),IF($NP$73="Bell_Curve",$NN$73*(192-$NR$73+1)*($NS$73-192+1)/$NU$73,$NN$73/$NT$73)),0)</f>
        <v/>
      </c>
      <c r="GO73" s="402">
        <f>IF(AND(193&gt;=$NR$73,193&lt;=$NS$73),IF($NP$73="Single_Point",IF(193=$NR$73,$NN$73,0),IF($NP$73="Bell_Curve",$NN$73*(193-$NR$73+1)*($NS$73-193+1)/$NU$73,$NN$73/$NT$73)),0)</f>
        <v/>
      </c>
      <c r="GP73" s="402">
        <f>IF(AND(194&gt;=$NR$73,194&lt;=$NS$73),IF($NP$73="Single_Point",IF(194=$NR$73,$NN$73,0),IF($NP$73="Bell_Curve",$NN$73*(194-$NR$73+1)*($NS$73-194+1)/$NU$73,$NN$73/$NT$73)),0)</f>
        <v/>
      </c>
      <c r="GQ73" s="402">
        <f>IF(AND(195&gt;=$NR$73,195&lt;=$NS$73),IF($NP$73="Single_Point",IF(195=$NR$73,$NN$73,0),IF($NP$73="Bell_Curve",$NN$73*(195-$NR$73+1)*($NS$73-195+1)/$NU$73,$NN$73/$NT$73)),0)</f>
        <v/>
      </c>
      <c r="GR73" s="402">
        <f>IF(AND(196&gt;=$NR$73,196&lt;=$NS$73),IF($NP$73="Single_Point",IF(196=$NR$73,$NN$73,0),IF($NP$73="Bell_Curve",$NN$73*(196-$NR$73+1)*($NS$73-196+1)/$NU$73,$NN$73/$NT$73)),0)</f>
        <v/>
      </c>
      <c r="GS73" s="402">
        <f>IF(AND(197&gt;=$NR$73,197&lt;=$NS$73),IF($NP$73="Single_Point",IF(197=$NR$73,$NN$73,0),IF($NP$73="Bell_Curve",$NN$73*(197-$NR$73+1)*($NS$73-197+1)/$NU$73,$NN$73/$NT$73)),0)</f>
        <v/>
      </c>
      <c r="GT73" s="402">
        <f>IF(AND(198&gt;=$NR$73,198&lt;=$NS$73),IF($NP$73="Single_Point",IF(198=$NR$73,$NN$73,0),IF($NP$73="Bell_Curve",$NN$73*(198-$NR$73+1)*($NS$73-198+1)/$NU$73,$NN$73/$NT$73)),0)</f>
        <v/>
      </c>
      <c r="GU73" s="402">
        <f>IF(AND(199&gt;=$NR$73,199&lt;=$NS$73),IF($NP$73="Single_Point",IF(199=$NR$73,$NN$73,0),IF($NP$73="Bell_Curve",$NN$73*(199-$NR$73+1)*($NS$73-199+1)/$NU$73,$NN$73/$NT$73)),0)</f>
        <v/>
      </c>
      <c r="GV73" s="402">
        <f>IF(AND(200&gt;=$NR$73,200&lt;=$NS$73),IF($NP$73="Single_Point",IF(200=$NR$73,$NN$73,0),IF($NP$73="Bell_Curve",$NN$73*(200-$NR$73+1)*($NS$73-200+1)/$NU$73,$NN$73/$NT$73)),0)</f>
        <v/>
      </c>
      <c r="GW73" s="402">
        <f>IF(AND(201&gt;=$NR$73,201&lt;=$NS$73),IF($NP$73="Single_Point",IF(201=$NR$73,$NN$73,0),IF($NP$73="Bell_Curve",$NN$73*(201-$NR$73+1)*($NS$73-201+1)/$NU$73,$NN$73/$NT$73)),0)</f>
        <v/>
      </c>
      <c r="GX73" s="402">
        <f>IF(AND(202&gt;=$NR$73,202&lt;=$NS$73),IF($NP$73="Single_Point",IF(202=$NR$73,$NN$73,0),IF($NP$73="Bell_Curve",$NN$73*(202-$NR$73+1)*($NS$73-202+1)/$NU$73,$NN$73/$NT$73)),0)</f>
        <v/>
      </c>
      <c r="GY73" s="402">
        <f>IF(AND(203&gt;=$NR$73,203&lt;=$NS$73),IF($NP$73="Single_Point",IF(203=$NR$73,$NN$73,0),IF($NP$73="Bell_Curve",$NN$73*(203-$NR$73+1)*($NS$73-203+1)/$NU$73,$NN$73/$NT$73)),0)</f>
        <v/>
      </c>
      <c r="GZ73" s="402">
        <f>IF(AND(204&gt;=$NR$73,204&lt;=$NS$73),IF($NP$73="Single_Point",IF(204=$NR$73,$NN$73,0),IF($NP$73="Bell_Curve",$NN$73*(204-$NR$73+1)*($NS$73-204+1)/$NU$73,$NN$73/$NT$73)),0)</f>
        <v/>
      </c>
      <c r="HA73" s="402">
        <f>IF(AND(205&gt;=$NR$73,205&lt;=$NS$73),IF($NP$73="Single_Point",IF(205=$NR$73,$NN$73,0),IF($NP$73="Bell_Curve",$NN$73*(205-$NR$73+1)*($NS$73-205+1)/$NU$73,$NN$73/$NT$73)),0)</f>
        <v/>
      </c>
      <c r="HB73" s="402">
        <f>IF(AND(206&gt;=$NR$73,206&lt;=$NS$73),IF($NP$73="Single_Point",IF(206=$NR$73,$NN$73,0),IF($NP$73="Bell_Curve",$NN$73*(206-$NR$73+1)*($NS$73-206+1)/$NU$73,$NN$73/$NT$73)),0)</f>
        <v/>
      </c>
      <c r="HC73" s="402">
        <f>IF(AND(207&gt;=$NR$73,207&lt;=$NS$73),IF($NP$73="Single_Point",IF(207=$NR$73,$NN$73,0),IF($NP$73="Bell_Curve",$NN$73*(207-$NR$73+1)*($NS$73-207+1)/$NU$73,$NN$73/$NT$73)),0)</f>
        <v/>
      </c>
      <c r="HD73" s="402">
        <f>IF(AND(208&gt;=$NR$73,208&lt;=$NS$73),IF($NP$73="Single_Point",IF(208=$NR$73,$NN$73,0),IF($NP$73="Bell_Curve",$NN$73*(208-$NR$73+1)*($NS$73-208+1)/$NU$73,$NN$73/$NT$73)),0)</f>
        <v/>
      </c>
      <c r="HE73" s="402">
        <f>IF(AND(209&gt;=$NR$73,209&lt;=$NS$73),IF($NP$73="Single_Point",IF(209=$NR$73,$NN$73,0),IF($NP$73="Bell_Curve",$NN$73*(209-$NR$73+1)*($NS$73-209+1)/$NU$73,$NN$73/$NT$73)),0)</f>
        <v/>
      </c>
      <c r="HF73" s="402">
        <f>IF(AND(210&gt;=$NR$73,210&lt;=$NS$73),IF($NP$73="Single_Point",IF(210=$NR$73,$NN$73,0),IF($NP$73="Bell_Curve",$NN$73*(210-$NR$73+1)*($NS$73-210+1)/$NU$73,$NN$73/$NT$73)),0)</f>
        <v/>
      </c>
      <c r="HG73" s="402">
        <f>IF(AND(211&gt;=$NR$73,211&lt;=$NS$73),IF($NP$73="Single_Point",IF(211=$NR$73,$NN$73,0),IF($NP$73="Bell_Curve",$NN$73*(211-$NR$73+1)*($NS$73-211+1)/$NU$73,$NN$73/$NT$73)),0)</f>
        <v/>
      </c>
      <c r="HH73" s="402">
        <f>IF(AND(212&gt;=$NR$73,212&lt;=$NS$73),IF($NP$73="Single_Point",IF(212=$NR$73,$NN$73,0),IF($NP$73="Bell_Curve",$NN$73*(212-$NR$73+1)*($NS$73-212+1)/$NU$73,$NN$73/$NT$73)),0)</f>
        <v/>
      </c>
      <c r="HI73" s="402">
        <f>IF(AND(213&gt;=$NR$73,213&lt;=$NS$73),IF($NP$73="Single_Point",IF(213=$NR$73,$NN$73,0),IF($NP$73="Bell_Curve",$NN$73*(213-$NR$73+1)*($NS$73-213+1)/$NU$73,$NN$73/$NT$73)),0)</f>
        <v/>
      </c>
      <c r="HJ73" s="402">
        <f>IF(AND(214&gt;=$NR$73,214&lt;=$NS$73),IF($NP$73="Single_Point",IF(214=$NR$73,$NN$73,0),IF($NP$73="Bell_Curve",$NN$73*(214-$NR$73+1)*($NS$73-214+1)/$NU$73,$NN$73/$NT$73)),0)</f>
        <v/>
      </c>
      <c r="HK73" s="402">
        <f>IF(AND(215&gt;=$NR$73,215&lt;=$NS$73),IF($NP$73="Single_Point",IF(215=$NR$73,$NN$73,0),IF($NP$73="Bell_Curve",$NN$73*(215-$NR$73+1)*($NS$73-215+1)/$NU$73,$NN$73/$NT$73)),0)</f>
        <v/>
      </c>
      <c r="HL73" s="402">
        <f>IF(AND(216&gt;=$NR$73,216&lt;=$NS$73),IF($NP$73="Single_Point",IF(216=$NR$73,$NN$73,0),IF($NP$73="Bell_Curve",$NN$73*(216-$NR$73+1)*($NS$73-216+1)/$NU$73,$NN$73/$NT$73)),0)</f>
        <v/>
      </c>
      <c r="HM73" s="402">
        <f>IF(AND(217&gt;=$NR$73,217&lt;=$NS$73),IF($NP$73="Single_Point",IF(217=$NR$73,$NN$73,0),IF($NP$73="Bell_Curve",$NN$73*(217-$NR$73+1)*($NS$73-217+1)/$NU$73,$NN$73/$NT$73)),0)</f>
        <v/>
      </c>
      <c r="HN73" s="402">
        <f>IF(AND(218&gt;=$NR$73,218&lt;=$NS$73),IF($NP$73="Single_Point",IF(218=$NR$73,$NN$73,0),IF($NP$73="Bell_Curve",$NN$73*(218-$NR$73+1)*($NS$73-218+1)/$NU$73,$NN$73/$NT$73)),0)</f>
        <v/>
      </c>
      <c r="HO73" s="402">
        <f>IF(AND(219&gt;=$NR$73,219&lt;=$NS$73),IF($NP$73="Single_Point",IF(219=$NR$73,$NN$73,0),IF($NP$73="Bell_Curve",$NN$73*(219-$NR$73+1)*($NS$73-219+1)/$NU$73,$NN$73/$NT$73)),0)</f>
        <v/>
      </c>
      <c r="HP73" s="402">
        <f>IF(AND(220&gt;=$NR$73,220&lt;=$NS$73),IF($NP$73="Single_Point",IF(220=$NR$73,$NN$73,0),IF($NP$73="Bell_Curve",$NN$73*(220-$NR$73+1)*($NS$73-220+1)/$NU$73,$NN$73/$NT$73)),0)</f>
        <v/>
      </c>
      <c r="HQ73" s="402">
        <f>IF(AND(221&gt;=$NR$73,221&lt;=$NS$73),IF($NP$73="Single_Point",IF(221=$NR$73,$NN$73,0),IF($NP$73="Bell_Curve",$NN$73*(221-$NR$73+1)*($NS$73-221+1)/$NU$73,$NN$73/$NT$73)),0)</f>
        <v/>
      </c>
      <c r="HR73" s="402">
        <f>IF(AND(222&gt;=$NR$73,222&lt;=$NS$73),IF($NP$73="Single_Point",IF(222=$NR$73,$NN$73,0),IF($NP$73="Bell_Curve",$NN$73*(222-$NR$73+1)*($NS$73-222+1)/$NU$73,$NN$73/$NT$73)),0)</f>
        <v/>
      </c>
      <c r="HS73" s="402">
        <f>IF(AND(223&gt;=$NR$73,223&lt;=$NS$73),IF($NP$73="Single_Point",IF(223=$NR$73,$NN$73,0),IF($NP$73="Bell_Curve",$NN$73*(223-$NR$73+1)*($NS$73-223+1)/$NU$73,$NN$73/$NT$73)),0)</f>
        <v/>
      </c>
      <c r="HT73" s="402">
        <f>IF(AND(224&gt;=$NR$73,224&lt;=$NS$73),IF($NP$73="Single_Point",IF(224=$NR$73,$NN$73,0),IF($NP$73="Bell_Curve",$NN$73*(224-$NR$73+1)*($NS$73-224+1)/$NU$73,$NN$73/$NT$73)),0)</f>
        <v/>
      </c>
      <c r="HU73" s="402">
        <f>IF(AND(225&gt;=$NR$73,225&lt;=$NS$73),IF($NP$73="Single_Point",IF(225=$NR$73,$NN$73,0),IF($NP$73="Bell_Curve",$NN$73*(225-$NR$73+1)*($NS$73-225+1)/$NU$73,$NN$73/$NT$73)),0)</f>
        <v/>
      </c>
      <c r="HV73" s="402">
        <f>IF(AND(226&gt;=$NR$73,226&lt;=$NS$73),IF($NP$73="Single_Point",IF(226=$NR$73,$NN$73,0),IF($NP$73="Bell_Curve",$NN$73*(226-$NR$73+1)*($NS$73-226+1)/$NU$73,$NN$73/$NT$73)),0)</f>
        <v/>
      </c>
      <c r="HW73" s="402">
        <f>IF(AND(227&gt;=$NR$73,227&lt;=$NS$73),IF($NP$73="Single_Point",IF(227=$NR$73,$NN$73,0),IF($NP$73="Bell_Curve",$NN$73*(227-$NR$73+1)*($NS$73-227+1)/$NU$73,$NN$73/$NT$73)),0)</f>
        <v/>
      </c>
      <c r="HX73" s="402">
        <f>IF(AND(228&gt;=$NR$73,228&lt;=$NS$73),IF($NP$73="Single_Point",IF(228=$NR$73,$NN$73,0),IF($NP$73="Bell_Curve",$NN$73*(228-$NR$73+1)*($NS$73-228+1)/$NU$73,$NN$73/$NT$73)),0)</f>
        <v/>
      </c>
      <c r="HY73" s="402">
        <f>IF(AND(229&gt;=$NR$73,229&lt;=$NS$73),IF($NP$73="Single_Point",IF(229=$NR$73,$NN$73,0),IF($NP$73="Bell_Curve",$NN$73*(229-$NR$73+1)*($NS$73-229+1)/$NU$73,$NN$73/$NT$73)),0)</f>
        <v/>
      </c>
      <c r="HZ73" s="402">
        <f>IF(AND(230&gt;=$NR$73,230&lt;=$NS$73),IF($NP$73="Single_Point",IF(230=$NR$73,$NN$73,0),IF($NP$73="Bell_Curve",$NN$73*(230-$NR$73+1)*($NS$73-230+1)/$NU$73,$NN$73/$NT$73)),0)</f>
        <v/>
      </c>
      <c r="IA73" s="402">
        <f>IF(AND(231&gt;=$NR$73,231&lt;=$NS$73),IF($NP$73="Single_Point",IF(231=$NR$73,$NN$73,0),IF($NP$73="Bell_Curve",$NN$73*(231-$NR$73+1)*($NS$73-231+1)/$NU$73,$NN$73/$NT$73)),0)</f>
        <v/>
      </c>
      <c r="IB73" s="402">
        <f>IF(AND(232&gt;=$NR$73,232&lt;=$NS$73),IF($NP$73="Single_Point",IF(232=$NR$73,$NN$73,0),IF($NP$73="Bell_Curve",$NN$73*(232-$NR$73+1)*($NS$73-232+1)/$NU$73,$NN$73/$NT$73)),0)</f>
        <v/>
      </c>
      <c r="IC73" s="402">
        <f>IF(AND(233&gt;=$NR$73,233&lt;=$NS$73),IF($NP$73="Single_Point",IF(233=$NR$73,$NN$73,0),IF($NP$73="Bell_Curve",$NN$73*(233-$NR$73+1)*($NS$73-233+1)/$NU$73,$NN$73/$NT$73)),0)</f>
        <v/>
      </c>
      <c r="ID73" s="402">
        <f>IF(AND(234&gt;=$NR$73,234&lt;=$NS$73),IF($NP$73="Single_Point",IF(234=$NR$73,$NN$73,0),IF($NP$73="Bell_Curve",$NN$73*(234-$NR$73+1)*($NS$73-234+1)/$NU$73,$NN$73/$NT$73)),0)</f>
        <v/>
      </c>
      <c r="IE73" s="402">
        <f>IF(AND(235&gt;=$NR$73,235&lt;=$NS$73),IF($NP$73="Single_Point",IF(235=$NR$73,$NN$73,0),IF($NP$73="Bell_Curve",$NN$73*(235-$NR$73+1)*($NS$73-235+1)/$NU$73,$NN$73/$NT$73)),0)</f>
        <v/>
      </c>
      <c r="IF73" s="402">
        <f>IF(AND(236&gt;=$NR$73,236&lt;=$NS$73),IF($NP$73="Single_Point",IF(236=$NR$73,$NN$73,0),IF($NP$73="Bell_Curve",$NN$73*(236-$NR$73+1)*($NS$73-236+1)/$NU$73,$NN$73/$NT$73)),0)</f>
        <v/>
      </c>
      <c r="IG73" s="402">
        <f>IF(AND(237&gt;=$NR$73,237&lt;=$NS$73),IF($NP$73="Single_Point",IF(237=$NR$73,$NN$73,0),IF($NP$73="Bell_Curve",$NN$73*(237-$NR$73+1)*($NS$73-237+1)/$NU$73,$NN$73/$NT$73)),0)</f>
        <v/>
      </c>
      <c r="IH73" s="402">
        <f>IF(AND(238&gt;=$NR$73,238&lt;=$NS$73),IF($NP$73="Single_Point",IF(238=$NR$73,$NN$73,0),IF($NP$73="Bell_Curve",$NN$73*(238-$NR$73+1)*($NS$73-238+1)/$NU$73,$NN$73/$NT$73)),0)</f>
        <v/>
      </c>
      <c r="II73" s="402">
        <f>IF(AND(239&gt;=$NR$73,239&lt;=$NS$73),IF($NP$73="Single_Point",IF(239=$NR$73,$NN$73,0),IF($NP$73="Bell_Curve",$NN$73*(239-$NR$73+1)*($NS$73-239+1)/$NU$73,$NN$73/$NT$73)),0)</f>
        <v/>
      </c>
      <c r="IJ73" s="402">
        <f>IF(AND(240&gt;=$NR$73,240&lt;=$NS$73),IF($NP$73="Single_Point",IF(240=$NR$73,$NN$73,0),IF($NP$73="Bell_Curve",$NN$73*(240-$NR$73+1)*($NS$73-240+1)/$NU$73,$NN$73/$NT$73)),0)</f>
        <v/>
      </c>
      <c r="IK73" s="402">
        <f>IF(AND(241&gt;=$NR$73,241&lt;=$NS$73),IF($NP$73="Single_Point",IF(241=$NR$73,$NN$73,0),IF($NP$73="Bell_Curve",$NN$73*(241-$NR$73+1)*($NS$73-241+1)/$NU$73,$NN$73/$NT$73)),0)</f>
        <v/>
      </c>
      <c r="IL73" s="402">
        <f>IF(AND(242&gt;=$NR$73,242&lt;=$NS$73),IF($NP$73="Single_Point",IF(242=$NR$73,$NN$73,0),IF($NP$73="Bell_Curve",$NN$73*(242-$NR$73+1)*($NS$73-242+1)/$NU$73,$NN$73/$NT$73)),0)</f>
        <v/>
      </c>
      <c r="IM73" s="402">
        <f>IF(AND(243&gt;=$NR$73,243&lt;=$NS$73),IF($NP$73="Single_Point",IF(243=$NR$73,$NN$73,0),IF($NP$73="Bell_Curve",$NN$73*(243-$NR$73+1)*($NS$73-243+1)/$NU$73,$NN$73/$NT$73)),0)</f>
        <v/>
      </c>
      <c r="IN73" s="402">
        <f>IF(AND(244&gt;=$NR$73,244&lt;=$NS$73),IF($NP$73="Single_Point",IF(244=$NR$73,$NN$73,0),IF($NP$73="Bell_Curve",$NN$73*(244-$NR$73+1)*($NS$73-244+1)/$NU$73,$NN$73/$NT$73)),0)</f>
        <v/>
      </c>
      <c r="IO73" s="402">
        <f>IF(AND(245&gt;=$NR$73,245&lt;=$NS$73),IF($NP$73="Single_Point",IF(245=$NR$73,$NN$73,0),IF($NP$73="Bell_Curve",$NN$73*(245-$NR$73+1)*($NS$73-245+1)/$NU$73,$NN$73/$NT$73)),0)</f>
        <v/>
      </c>
      <c r="IP73" s="402">
        <f>IF(AND(246&gt;=$NR$73,246&lt;=$NS$73),IF($NP$73="Single_Point",IF(246=$NR$73,$NN$73,0),IF($NP$73="Bell_Curve",$NN$73*(246-$NR$73+1)*($NS$73-246+1)/$NU$73,$NN$73/$NT$73)),0)</f>
        <v/>
      </c>
      <c r="IQ73" s="402">
        <f>IF(AND(247&gt;=$NR$73,247&lt;=$NS$73),IF($NP$73="Single_Point",IF(247=$NR$73,$NN$73,0),IF($NP$73="Bell_Curve",$NN$73*(247-$NR$73+1)*($NS$73-247+1)/$NU$73,$NN$73/$NT$73)),0)</f>
        <v/>
      </c>
      <c r="IR73" s="402">
        <f>IF(AND(248&gt;=$NR$73,248&lt;=$NS$73),IF($NP$73="Single_Point",IF(248=$NR$73,$NN$73,0),IF($NP$73="Bell_Curve",$NN$73*(248-$NR$73+1)*($NS$73-248+1)/$NU$73,$NN$73/$NT$73)),0)</f>
        <v/>
      </c>
      <c r="IS73" s="402">
        <f>IF(AND(249&gt;=$NR$73,249&lt;=$NS$73),IF($NP$73="Single_Point",IF(249=$NR$73,$NN$73,0),IF($NP$73="Bell_Curve",$NN$73*(249-$NR$73+1)*($NS$73-249+1)/$NU$73,$NN$73/$NT$73)),0)</f>
        <v/>
      </c>
      <c r="IT73" s="402">
        <f>IF(AND(250&gt;=$NR$73,250&lt;=$NS$73),IF($NP$73="Single_Point",IF(250=$NR$73,$NN$73,0),IF($NP$73="Bell_Curve",$NN$73*(250-$NR$73+1)*($NS$73-250+1)/$NU$73,$NN$73/$NT$73)),0)</f>
        <v/>
      </c>
      <c r="IU73" s="402">
        <f>IF(AND(251&gt;=$NR$73,251&lt;=$NS$73),IF($NP$73="Single_Point",IF(251=$NR$73,$NN$73,0),IF($NP$73="Bell_Curve",$NN$73*(251-$NR$73+1)*($NS$73-251+1)/$NU$73,$NN$73/$NT$73)),0)</f>
        <v/>
      </c>
      <c r="IV73" s="402">
        <f>IF(AND(252&gt;=$NR$73,252&lt;=$NS$73),IF($NP$73="Single_Point",IF(252=$NR$73,$NN$73,0),IF($NP$73="Bell_Curve",$NN$73*(252-$NR$73+1)*($NS$73-252+1)/$NU$73,$NN$73/$NT$73)),0)</f>
        <v/>
      </c>
      <c r="IW73" s="402">
        <f>IF(AND(253&gt;=$NR$73,253&lt;=$NS$73),IF($NP$73="Single_Point",IF(253=$NR$73,$NN$73,0),IF($NP$73="Bell_Curve",$NN$73*(253-$NR$73+1)*($NS$73-253+1)/$NU$73,$NN$73/$NT$73)),0)</f>
        <v/>
      </c>
      <c r="IX73" s="402">
        <f>IF(AND(254&gt;=$NR$73,254&lt;=$NS$73),IF($NP$73="Single_Point",IF(254=$NR$73,$NN$73,0),IF($NP$73="Bell_Curve",$NN$73*(254-$NR$73+1)*($NS$73-254+1)/$NU$73,$NN$73/$NT$73)),0)</f>
        <v/>
      </c>
      <c r="IY73" s="402">
        <f>IF(AND(255&gt;=$NR$73,255&lt;=$NS$73),IF($NP$73="Single_Point",IF(255=$NR$73,$NN$73,0),IF($NP$73="Bell_Curve",$NN$73*(255-$NR$73+1)*($NS$73-255+1)/$NU$73,$NN$73/$NT$73)),0)</f>
        <v/>
      </c>
      <c r="IZ73" s="402">
        <f>IF(AND(256&gt;=$NR$73,256&lt;=$NS$73),IF($NP$73="Single_Point",IF(256=$NR$73,$NN$73,0),IF($NP$73="Bell_Curve",$NN$73*(256-$NR$73+1)*($NS$73-256+1)/$NU$73,$NN$73/$NT$73)),0)</f>
        <v/>
      </c>
      <c r="JA73" s="402">
        <f>IF(AND(257&gt;=$NR$73,257&lt;=$NS$73),IF($NP$73="Single_Point",IF(257=$NR$73,$NN$73,0),IF($NP$73="Bell_Curve",$NN$73*(257-$NR$73+1)*($NS$73-257+1)/$NU$73,$NN$73/$NT$73)),0)</f>
        <v/>
      </c>
      <c r="JB73" s="402">
        <f>IF(AND(258&gt;=$NR$73,258&lt;=$NS$73),IF($NP$73="Single_Point",IF(258=$NR$73,$NN$73,0),IF($NP$73="Bell_Curve",$NN$73*(258-$NR$73+1)*($NS$73-258+1)/$NU$73,$NN$73/$NT$73)),0)</f>
        <v/>
      </c>
      <c r="JC73" s="402">
        <f>IF(AND(259&gt;=$NR$73,259&lt;=$NS$73),IF($NP$73="Single_Point",IF(259=$NR$73,$NN$73,0),IF($NP$73="Bell_Curve",$NN$73*(259-$NR$73+1)*($NS$73-259+1)/$NU$73,$NN$73/$NT$73)),0)</f>
        <v/>
      </c>
      <c r="JD73" s="402">
        <f>IF(AND(260&gt;=$NR$73,260&lt;=$NS$73),IF($NP$73="Single_Point",IF(260=$NR$73,$NN$73,0),IF($NP$73="Bell_Curve",$NN$73*(260-$NR$73+1)*($NS$73-260+1)/$NU$73,$NN$73/$NT$73)),0)</f>
        <v/>
      </c>
      <c r="JE73" s="402">
        <f>IF(AND(261&gt;=$NR$73,261&lt;=$NS$73),IF($NP$73="Single_Point",IF(261=$NR$73,$NN$73,0),IF($NP$73="Bell_Curve",$NN$73*(261-$NR$73+1)*($NS$73-261+1)/$NU$73,$NN$73/$NT$73)),0)</f>
        <v/>
      </c>
      <c r="JF73" s="402">
        <f>IF(AND(262&gt;=$NR$73,262&lt;=$NS$73),IF($NP$73="Single_Point",IF(262=$NR$73,$NN$73,0),IF($NP$73="Bell_Curve",$NN$73*(262-$NR$73+1)*($NS$73-262+1)/$NU$73,$NN$73/$NT$73)),0)</f>
        <v/>
      </c>
      <c r="JG73" s="402">
        <f>IF(AND(263&gt;=$NR$73,263&lt;=$NS$73),IF($NP$73="Single_Point",IF(263=$NR$73,$NN$73,0),IF($NP$73="Bell_Curve",$NN$73*(263-$NR$73+1)*($NS$73-263+1)/$NU$73,$NN$73/$NT$73)),0)</f>
        <v/>
      </c>
      <c r="JH73" s="402">
        <f>IF(AND(264&gt;=$NR$73,264&lt;=$NS$73),IF($NP$73="Single_Point",IF(264=$NR$73,$NN$73,0),IF($NP$73="Bell_Curve",$NN$73*(264-$NR$73+1)*($NS$73-264+1)/$NU$73,$NN$73/$NT$73)),0)</f>
        <v/>
      </c>
      <c r="JI73" s="402">
        <f>IF(AND(265&gt;=$NR$73,265&lt;=$NS$73),IF($NP$73="Single_Point",IF(265=$NR$73,$NN$73,0),IF($NP$73="Bell_Curve",$NN$73*(265-$NR$73+1)*($NS$73-265+1)/$NU$73,$NN$73/$NT$73)),0)</f>
        <v/>
      </c>
      <c r="JJ73" s="402">
        <f>IF(AND(266&gt;=$NR$73,266&lt;=$NS$73),IF($NP$73="Single_Point",IF(266=$NR$73,$NN$73,0),IF($NP$73="Bell_Curve",$NN$73*(266-$NR$73+1)*($NS$73-266+1)/$NU$73,$NN$73/$NT$73)),0)</f>
        <v/>
      </c>
      <c r="JK73" s="402">
        <f>IF(AND(267&gt;=$NR$73,267&lt;=$NS$73),IF($NP$73="Single_Point",IF(267=$NR$73,$NN$73,0),IF($NP$73="Bell_Curve",$NN$73*(267-$NR$73+1)*($NS$73-267+1)/$NU$73,$NN$73/$NT$73)),0)</f>
        <v/>
      </c>
      <c r="JL73" s="402">
        <f>IF(AND(268&gt;=$NR$73,268&lt;=$NS$73),IF($NP$73="Single_Point",IF(268=$NR$73,$NN$73,0),IF($NP$73="Bell_Curve",$NN$73*(268-$NR$73+1)*($NS$73-268+1)/$NU$73,$NN$73/$NT$73)),0)</f>
        <v/>
      </c>
      <c r="JM73" s="402">
        <f>IF(AND(269&gt;=$NR$73,269&lt;=$NS$73),IF($NP$73="Single_Point",IF(269=$NR$73,$NN$73,0),IF($NP$73="Bell_Curve",$NN$73*(269-$NR$73+1)*($NS$73-269+1)/$NU$73,$NN$73/$NT$73)),0)</f>
        <v/>
      </c>
      <c r="JN73" s="402">
        <f>IF(AND(270&gt;=$NR$73,270&lt;=$NS$73),IF($NP$73="Single_Point",IF(270=$NR$73,$NN$73,0),IF($NP$73="Bell_Curve",$NN$73*(270-$NR$73+1)*($NS$73-270+1)/$NU$73,$NN$73/$NT$73)),0)</f>
        <v/>
      </c>
      <c r="JO73" s="402">
        <f>IF(AND(271&gt;=$NR$73,271&lt;=$NS$73),IF($NP$73="Single_Point",IF(271=$NR$73,$NN$73,0),IF($NP$73="Bell_Curve",$NN$73*(271-$NR$73+1)*($NS$73-271+1)/$NU$73,$NN$73/$NT$73)),0)</f>
        <v/>
      </c>
      <c r="JP73" s="402">
        <f>IF(AND(272&gt;=$NR$73,272&lt;=$NS$73),IF($NP$73="Single_Point",IF(272=$NR$73,$NN$73,0),IF($NP$73="Bell_Curve",$NN$73*(272-$NR$73+1)*($NS$73-272+1)/$NU$73,$NN$73/$NT$73)),0)</f>
        <v/>
      </c>
      <c r="JQ73" s="402">
        <f>IF(AND(273&gt;=$NR$73,273&lt;=$NS$73),IF($NP$73="Single_Point",IF(273=$NR$73,$NN$73,0),IF($NP$73="Bell_Curve",$NN$73*(273-$NR$73+1)*($NS$73-273+1)/$NU$73,$NN$73/$NT$73)),0)</f>
        <v/>
      </c>
      <c r="JR73" s="402">
        <f>IF(AND(274&gt;=$NR$73,274&lt;=$NS$73),IF($NP$73="Single_Point",IF(274=$NR$73,$NN$73,0),IF($NP$73="Bell_Curve",$NN$73*(274-$NR$73+1)*($NS$73-274+1)/$NU$73,$NN$73/$NT$73)),0)</f>
        <v/>
      </c>
      <c r="JS73" s="402">
        <f>IF(AND(275&gt;=$NR$73,275&lt;=$NS$73),IF($NP$73="Single_Point",IF(275=$NR$73,$NN$73,0),IF($NP$73="Bell_Curve",$NN$73*(275-$NR$73+1)*($NS$73-275+1)/$NU$73,$NN$73/$NT$73)),0)</f>
        <v/>
      </c>
      <c r="JT73" s="402">
        <f>IF(AND(276&gt;=$NR$73,276&lt;=$NS$73),IF($NP$73="Single_Point",IF(276=$NR$73,$NN$73,0),IF($NP$73="Bell_Curve",$NN$73*(276-$NR$73+1)*($NS$73-276+1)/$NU$73,$NN$73/$NT$73)),0)</f>
        <v/>
      </c>
      <c r="JU73" s="402">
        <f>IF(AND(277&gt;=$NR$73,277&lt;=$NS$73),IF($NP$73="Single_Point",IF(277=$NR$73,$NN$73,0),IF($NP$73="Bell_Curve",$NN$73*(277-$NR$73+1)*($NS$73-277+1)/$NU$73,$NN$73/$NT$73)),0)</f>
        <v/>
      </c>
      <c r="JV73" s="402">
        <f>IF(AND(278&gt;=$NR$73,278&lt;=$NS$73),IF($NP$73="Single_Point",IF(278=$NR$73,$NN$73,0),IF($NP$73="Bell_Curve",$NN$73*(278-$NR$73+1)*($NS$73-278+1)/$NU$73,$NN$73/$NT$73)),0)</f>
        <v/>
      </c>
      <c r="JW73" s="402">
        <f>IF(AND(279&gt;=$NR$73,279&lt;=$NS$73),IF($NP$73="Single_Point",IF(279=$NR$73,$NN$73,0),IF($NP$73="Bell_Curve",$NN$73*(279-$NR$73+1)*($NS$73-279+1)/$NU$73,$NN$73/$NT$73)),0)</f>
        <v/>
      </c>
      <c r="JX73" s="402">
        <f>IF(AND(280&gt;=$NR$73,280&lt;=$NS$73),IF($NP$73="Single_Point",IF(280=$NR$73,$NN$73,0),IF($NP$73="Bell_Curve",$NN$73*(280-$NR$73+1)*($NS$73-280+1)/$NU$73,$NN$73/$NT$73)),0)</f>
        <v/>
      </c>
      <c r="JY73" s="402">
        <f>IF(AND(281&gt;=$NR$73,281&lt;=$NS$73),IF($NP$73="Single_Point",IF(281=$NR$73,$NN$73,0),IF($NP$73="Bell_Curve",$NN$73*(281-$NR$73+1)*($NS$73-281+1)/$NU$73,$NN$73/$NT$73)),0)</f>
        <v/>
      </c>
      <c r="JZ73" s="402">
        <f>IF(AND(282&gt;=$NR$73,282&lt;=$NS$73),IF($NP$73="Single_Point",IF(282=$NR$73,$NN$73,0),IF($NP$73="Bell_Curve",$NN$73*(282-$NR$73+1)*($NS$73-282+1)/$NU$73,$NN$73/$NT$73)),0)</f>
        <v/>
      </c>
      <c r="KA73" s="402">
        <f>IF(AND(283&gt;=$NR$73,283&lt;=$NS$73),IF($NP$73="Single_Point",IF(283=$NR$73,$NN$73,0),IF($NP$73="Bell_Curve",$NN$73*(283-$NR$73+1)*($NS$73-283+1)/$NU$73,$NN$73/$NT$73)),0)</f>
        <v/>
      </c>
      <c r="KB73" s="402">
        <f>IF(AND(284&gt;=$NR$73,284&lt;=$NS$73),IF($NP$73="Single_Point",IF(284=$NR$73,$NN$73,0),IF($NP$73="Bell_Curve",$NN$73*(284-$NR$73+1)*($NS$73-284+1)/$NU$73,$NN$73/$NT$73)),0)</f>
        <v/>
      </c>
      <c r="KC73" s="402">
        <f>IF(AND(285&gt;=$NR$73,285&lt;=$NS$73),IF($NP$73="Single_Point",IF(285=$NR$73,$NN$73,0),IF($NP$73="Bell_Curve",$NN$73*(285-$NR$73+1)*($NS$73-285+1)/$NU$73,$NN$73/$NT$73)),0)</f>
        <v/>
      </c>
      <c r="KD73" s="402">
        <f>IF(AND(286&gt;=$NR$73,286&lt;=$NS$73),IF($NP$73="Single_Point",IF(286=$NR$73,$NN$73,0),IF($NP$73="Bell_Curve",$NN$73*(286-$NR$73+1)*($NS$73-286+1)/$NU$73,$NN$73/$NT$73)),0)</f>
        <v/>
      </c>
      <c r="KE73" s="402">
        <f>IF(AND(287&gt;=$NR$73,287&lt;=$NS$73),IF($NP$73="Single_Point",IF(287=$NR$73,$NN$73,0),IF($NP$73="Bell_Curve",$NN$73*(287-$NR$73+1)*($NS$73-287+1)/$NU$73,$NN$73/$NT$73)),0)</f>
        <v/>
      </c>
      <c r="KF73" s="402">
        <f>IF(AND(288&gt;=$NR$73,288&lt;=$NS$73),IF($NP$73="Single_Point",IF(288=$NR$73,$NN$73,0),IF($NP$73="Bell_Curve",$NN$73*(288-$NR$73+1)*($NS$73-288+1)/$NU$73,$NN$73/$NT$73)),0)</f>
        <v/>
      </c>
      <c r="KG73" s="402">
        <f>IF(AND(289&gt;=$NR$73,289&lt;=$NS$73),IF($NP$73="Single_Point",IF(289=$NR$73,$NN$73,0),IF($NP$73="Bell_Curve",$NN$73*(289-$NR$73+1)*($NS$73-289+1)/$NU$73,$NN$73/$NT$73)),0)</f>
        <v/>
      </c>
      <c r="KH73" s="402">
        <f>IF(AND(290&gt;=$NR$73,290&lt;=$NS$73),IF($NP$73="Single_Point",IF(290=$NR$73,$NN$73,0),IF($NP$73="Bell_Curve",$NN$73*(290-$NR$73+1)*($NS$73-290+1)/$NU$73,$NN$73/$NT$73)),0)</f>
        <v/>
      </c>
      <c r="KI73" s="402">
        <f>IF(AND(291&gt;=$NR$73,291&lt;=$NS$73),IF($NP$73="Single_Point",IF(291=$NR$73,$NN$73,0),IF($NP$73="Bell_Curve",$NN$73*(291-$NR$73+1)*($NS$73-291+1)/$NU$73,$NN$73/$NT$73)),0)</f>
        <v/>
      </c>
      <c r="KJ73" s="402">
        <f>IF(AND(292&gt;=$NR$73,292&lt;=$NS$73),IF($NP$73="Single_Point",IF(292=$NR$73,$NN$73,0),IF($NP$73="Bell_Curve",$NN$73*(292-$NR$73+1)*($NS$73-292+1)/$NU$73,$NN$73/$NT$73)),0)</f>
        <v/>
      </c>
      <c r="KK73" s="402">
        <f>IF(AND(293&gt;=$NR$73,293&lt;=$NS$73),IF($NP$73="Single_Point",IF(293=$NR$73,$NN$73,0),IF($NP$73="Bell_Curve",$NN$73*(293-$NR$73+1)*($NS$73-293+1)/$NU$73,$NN$73/$NT$73)),0)</f>
        <v/>
      </c>
      <c r="KL73" s="402">
        <f>IF(AND(294&gt;=$NR$73,294&lt;=$NS$73),IF($NP$73="Single_Point",IF(294=$NR$73,$NN$73,0),IF($NP$73="Bell_Curve",$NN$73*(294-$NR$73+1)*($NS$73-294+1)/$NU$73,$NN$73/$NT$73)),0)</f>
        <v/>
      </c>
      <c r="KM73" s="402">
        <f>IF(AND(295&gt;=$NR$73,295&lt;=$NS$73),IF($NP$73="Single_Point",IF(295=$NR$73,$NN$73,0),IF($NP$73="Bell_Curve",$NN$73*(295-$NR$73+1)*($NS$73-295+1)/$NU$73,$NN$73/$NT$73)),0)</f>
        <v/>
      </c>
      <c r="KN73" s="402">
        <f>IF(AND(296&gt;=$NR$73,296&lt;=$NS$73),IF($NP$73="Single_Point",IF(296=$NR$73,$NN$73,0),IF($NP$73="Bell_Curve",$NN$73*(296-$NR$73+1)*($NS$73-296+1)/$NU$73,$NN$73/$NT$73)),0)</f>
        <v/>
      </c>
      <c r="KO73" s="402">
        <f>IF(AND(297&gt;=$NR$73,297&lt;=$NS$73),IF($NP$73="Single_Point",IF(297=$NR$73,$NN$73,0),IF($NP$73="Bell_Curve",$NN$73*(297-$NR$73+1)*($NS$73-297+1)/$NU$73,$NN$73/$NT$73)),0)</f>
        <v/>
      </c>
      <c r="KP73" s="402">
        <f>IF(AND(298&gt;=$NR$73,298&lt;=$NS$73),IF($NP$73="Single_Point",IF(298=$NR$73,$NN$73,0),IF($NP$73="Bell_Curve",$NN$73*(298-$NR$73+1)*($NS$73-298+1)/$NU$73,$NN$73/$NT$73)),0)</f>
        <v/>
      </c>
      <c r="KQ73" s="402">
        <f>IF(AND(299&gt;=$NR$73,299&lt;=$NS$73),IF($NP$73="Single_Point",IF(299=$NR$73,$NN$73,0),IF($NP$73="Bell_Curve",$NN$73*(299-$NR$73+1)*($NS$73-299+1)/$NU$73,$NN$73/$NT$73)),0)</f>
        <v/>
      </c>
      <c r="KR73" s="402">
        <f>IF(AND(300&gt;=$NR$73,300&lt;=$NS$73),IF($NP$73="Single_Point",IF(300=$NR$73,$NN$73,0),IF($NP$73="Bell_Curve",$NN$73*(300-$NR$73+1)*($NS$73-300+1)/$NU$73,$NN$73/$NT$73)),0)</f>
        <v/>
      </c>
      <c r="KS73" s="402">
        <f>IF(AND(301&gt;=$NR$73,301&lt;=$NS$73),IF($NP$73="Single_Point",IF(301=$NR$73,$NN$73,0),IF($NP$73="Bell_Curve",$NN$73*(301-$NR$73+1)*($NS$73-301+1)/$NU$73,$NN$73/$NT$73)),0)</f>
        <v/>
      </c>
      <c r="KT73" s="402">
        <f>IF(AND(302&gt;=$NR$73,302&lt;=$NS$73),IF($NP$73="Single_Point",IF(302=$NR$73,$NN$73,0),IF($NP$73="Bell_Curve",$NN$73*(302-$NR$73+1)*($NS$73-302+1)/$NU$73,$NN$73/$NT$73)),0)</f>
        <v/>
      </c>
      <c r="KU73" s="402">
        <f>IF(AND(303&gt;=$NR$73,303&lt;=$NS$73),IF($NP$73="Single_Point",IF(303=$NR$73,$NN$73,0),IF($NP$73="Bell_Curve",$NN$73*(303-$NR$73+1)*($NS$73-303+1)/$NU$73,$NN$73/$NT$73)),0)</f>
        <v/>
      </c>
      <c r="KV73" s="402">
        <f>IF(AND(304&gt;=$NR$73,304&lt;=$NS$73),IF($NP$73="Single_Point",IF(304=$NR$73,$NN$73,0),IF($NP$73="Bell_Curve",$NN$73*(304-$NR$73+1)*($NS$73-304+1)/$NU$73,$NN$73/$NT$73)),0)</f>
        <v/>
      </c>
      <c r="KW73" s="402">
        <f>IF(AND(305&gt;=$NR$73,305&lt;=$NS$73),IF($NP$73="Single_Point",IF(305=$NR$73,$NN$73,0),IF($NP$73="Bell_Curve",$NN$73*(305-$NR$73+1)*($NS$73-305+1)/$NU$73,$NN$73/$NT$73)),0)</f>
        <v/>
      </c>
      <c r="KX73" s="402">
        <f>IF(AND(306&gt;=$NR$73,306&lt;=$NS$73),IF($NP$73="Single_Point",IF(306=$NR$73,$NN$73,0),IF($NP$73="Bell_Curve",$NN$73*(306-$NR$73+1)*($NS$73-306+1)/$NU$73,$NN$73/$NT$73)),0)</f>
        <v/>
      </c>
      <c r="KY73" s="402">
        <f>IF(AND(307&gt;=$NR$73,307&lt;=$NS$73),IF($NP$73="Single_Point",IF(307=$NR$73,$NN$73,0),IF($NP$73="Bell_Curve",$NN$73*(307-$NR$73+1)*($NS$73-307+1)/$NU$73,$NN$73/$NT$73)),0)</f>
        <v/>
      </c>
      <c r="KZ73" s="402">
        <f>IF(AND(308&gt;=$NR$73,308&lt;=$NS$73),IF($NP$73="Single_Point",IF(308=$NR$73,$NN$73,0),IF($NP$73="Bell_Curve",$NN$73*(308-$NR$73+1)*($NS$73-308+1)/$NU$73,$NN$73/$NT$73)),0)</f>
        <v/>
      </c>
      <c r="LA73" s="402">
        <f>IF(AND(309&gt;=$NR$73,309&lt;=$NS$73),IF($NP$73="Single_Point",IF(309=$NR$73,$NN$73,0),IF($NP$73="Bell_Curve",$NN$73*(309-$NR$73+1)*($NS$73-309+1)/$NU$73,$NN$73/$NT$73)),0)</f>
        <v/>
      </c>
      <c r="LB73" s="402">
        <f>IF(AND(310&gt;=$NR$73,310&lt;=$NS$73),IF($NP$73="Single_Point",IF(310=$NR$73,$NN$73,0),IF($NP$73="Bell_Curve",$NN$73*(310-$NR$73+1)*($NS$73-310+1)/$NU$73,$NN$73/$NT$73)),0)</f>
        <v/>
      </c>
      <c r="LC73" s="402">
        <f>IF(AND(311&gt;=$NR$73,311&lt;=$NS$73),IF($NP$73="Single_Point",IF(311=$NR$73,$NN$73,0),IF($NP$73="Bell_Curve",$NN$73*(311-$NR$73+1)*($NS$73-311+1)/$NU$73,$NN$73/$NT$73)),0)</f>
        <v/>
      </c>
      <c r="LD73" s="402">
        <f>IF(AND(312&gt;=$NR$73,312&lt;=$NS$73),IF($NP$73="Single_Point",IF(312=$NR$73,$NN$73,0),IF($NP$73="Bell_Curve",$NN$73*(312-$NR$73+1)*($NS$73-312+1)/$NU$73,$NN$73/$NT$73)),0)</f>
        <v/>
      </c>
      <c r="LE73" s="402">
        <f>IF(AND(313&gt;=$NR$73,313&lt;=$NS$73),IF($NP$73="Single_Point",IF(313=$NR$73,$NN$73,0),IF($NP$73="Bell_Curve",$NN$73*(313-$NR$73+1)*($NS$73-313+1)/$NU$73,$NN$73/$NT$73)),0)</f>
        <v/>
      </c>
      <c r="LF73" s="402">
        <f>IF(AND(314&gt;=$NR$73,314&lt;=$NS$73),IF($NP$73="Single_Point",IF(314=$NR$73,$NN$73,0),IF($NP$73="Bell_Curve",$NN$73*(314-$NR$73+1)*($NS$73-314+1)/$NU$73,$NN$73/$NT$73)),0)</f>
        <v/>
      </c>
      <c r="LG73" s="402">
        <f>IF(AND(315&gt;=$NR$73,315&lt;=$NS$73),IF($NP$73="Single_Point",IF(315=$NR$73,$NN$73,0),IF($NP$73="Bell_Curve",$NN$73*(315-$NR$73+1)*($NS$73-315+1)/$NU$73,$NN$73/$NT$73)),0)</f>
        <v/>
      </c>
      <c r="LH73" s="402">
        <f>IF(AND(316&gt;=$NR$73,316&lt;=$NS$73),IF($NP$73="Single_Point",IF(316=$NR$73,$NN$73,0),IF($NP$73="Bell_Curve",$NN$73*(316-$NR$73+1)*($NS$73-316+1)/$NU$73,$NN$73/$NT$73)),0)</f>
        <v/>
      </c>
      <c r="LI73" s="402">
        <f>IF(AND(317&gt;=$NR$73,317&lt;=$NS$73),IF($NP$73="Single_Point",IF(317=$NR$73,$NN$73,0),IF($NP$73="Bell_Curve",$NN$73*(317-$NR$73+1)*($NS$73-317+1)/$NU$73,$NN$73/$NT$73)),0)</f>
        <v/>
      </c>
      <c r="LJ73" s="402">
        <f>IF(AND(318&gt;=$NR$73,318&lt;=$NS$73),IF($NP$73="Single_Point",IF(318=$NR$73,$NN$73,0),IF($NP$73="Bell_Curve",$NN$73*(318-$NR$73+1)*($NS$73-318+1)/$NU$73,$NN$73/$NT$73)),0)</f>
        <v/>
      </c>
      <c r="LK73" s="402">
        <f>IF(AND(319&gt;=$NR$73,319&lt;=$NS$73),IF($NP$73="Single_Point",IF(319=$NR$73,$NN$73,0),IF($NP$73="Bell_Curve",$NN$73*(319-$NR$73+1)*($NS$73-319+1)/$NU$73,$NN$73/$NT$73)),0)</f>
        <v/>
      </c>
      <c r="LL73" s="402">
        <f>IF(AND(320&gt;=$NR$73,320&lt;=$NS$73),IF($NP$73="Single_Point",IF(320=$NR$73,$NN$73,0),IF($NP$73="Bell_Curve",$NN$73*(320-$NR$73+1)*($NS$73-320+1)/$NU$73,$NN$73/$NT$73)),0)</f>
        <v/>
      </c>
      <c r="LM73" s="402">
        <f>IF(AND(321&gt;=$NR$73,321&lt;=$NS$73),IF($NP$73="Single_Point",IF(321=$NR$73,$NN$73,0),IF($NP$73="Bell_Curve",$NN$73*(321-$NR$73+1)*($NS$73-321+1)/$NU$73,$NN$73/$NT$73)),0)</f>
        <v/>
      </c>
      <c r="LN73" s="402">
        <f>IF(AND(322&gt;=$NR$73,322&lt;=$NS$73),IF($NP$73="Single_Point",IF(322=$NR$73,$NN$73,0),IF($NP$73="Bell_Curve",$NN$73*(322-$NR$73+1)*($NS$73-322+1)/$NU$73,$NN$73/$NT$73)),0)</f>
        <v/>
      </c>
      <c r="LO73" s="402">
        <f>IF(AND(323&gt;=$NR$73,323&lt;=$NS$73),IF($NP$73="Single_Point",IF(323=$NR$73,$NN$73,0),IF($NP$73="Bell_Curve",$NN$73*(323-$NR$73+1)*($NS$73-323+1)/$NU$73,$NN$73/$NT$73)),0)</f>
        <v/>
      </c>
      <c r="LP73" s="402">
        <f>IF(AND(324&gt;=$NR$73,324&lt;=$NS$73),IF($NP$73="Single_Point",IF(324=$NR$73,$NN$73,0),IF($NP$73="Bell_Curve",$NN$73*(324-$NR$73+1)*($NS$73-324+1)/$NU$73,$NN$73/$NT$73)),0)</f>
        <v/>
      </c>
      <c r="LQ73" s="402">
        <f>IF(AND(325&gt;=$NR$73,325&lt;=$NS$73),IF($NP$73="Single_Point",IF(325=$NR$73,$NN$73,0),IF($NP$73="Bell_Curve",$NN$73*(325-$NR$73+1)*($NS$73-325+1)/$NU$73,$NN$73/$NT$73)),0)</f>
        <v/>
      </c>
      <c r="LR73" s="402">
        <f>IF(AND(326&gt;=$NR$73,326&lt;=$NS$73),IF($NP$73="Single_Point",IF(326=$NR$73,$NN$73,0),IF($NP$73="Bell_Curve",$NN$73*(326-$NR$73+1)*($NS$73-326+1)/$NU$73,$NN$73/$NT$73)),0)</f>
        <v/>
      </c>
      <c r="LS73" s="402">
        <f>IF(AND(327&gt;=$NR$73,327&lt;=$NS$73),IF($NP$73="Single_Point",IF(327=$NR$73,$NN$73,0),IF($NP$73="Bell_Curve",$NN$73*(327-$NR$73+1)*($NS$73-327+1)/$NU$73,$NN$73/$NT$73)),0)</f>
        <v/>
      </c>
      <c r="LT73" s="402">
        <f>IF(AND(328&gt;=$NR$73,328&lt;=$NS$73),IF($NP$73="Single_Point",IF(328=$NR$73,$NN$73,0),IF($NP$73="Bell_Curve",$NN$73*(328-$NR$73+1)*($NS$73-328+1)/$NU$73,$NN$73/$NT$73)),0)</f>
        <v/>
      </c>
      <c r="LU73" s="402">
        <f>IF(AND(329&gt;=$NR$73,329&lt;=$NS$73),IF($NP$73="Single_Point",IF(329=$NR$73,$NN$73,0),IF($NP$73="Bell_Curve",$NN$73*(329-$NR$73+1)*($NS$73-329+1)/$NU$73,$NN$73/$NT$73)),0)</f>
        <v/>
      </c>
      <c r="LV73" s="402">
        <f>IF(AND(330&gt;=$NR$73,330&lt;=$NS$73),IF($NP$73="Single_Point",IF(330=$NR$73,$NN$73,0),IF($NP$73="Bell_Curve",$NN$73*(330-$NR$73+1)*($NS$73-330+1)/$NU$73,$NN$73/$NT$73)),0)</f>
        <v/>
      </c>
      <c r="LW73" s="402">
        <f>IF(AND(331&gt;=$NR$73,331&lt;=$NS$73),IF($NP$73="Single_Point",IF(331=$NR$73,$NN$73,0),IF($NP$73="Bell_Curve",$NN$73*(331-$NR$73+1)*($NS$73-331+1)/$NU$73,$NN$73/$NT$73)),0)</f>
        <v/>
      </c>
      <c r="LX73" s="402">
        <f>IF(AND(332&gt;=$NR$73,332&lt;=$NS$73),IF($NP$73="Single_Point",IF(332=$NR$73,$NN$73,0),IF($NP$73="Bell_Curve",$NN$73*(332-$NR$73+1)*($NS$73-332+1)/$NU$73,$NN$73/$NT$73)),0)</f>
        <v/>
      </c>
      <c r="LY73" s="402">
        <f>IF(AND(333&gt;=$NR$73,333&lt;=$NS$73),IF($NP$73="Single_Point",IF(333=$NR$73,$NN$73,0),IF($NP$73="Bell_Curve",$NN$73*(333-$NR$73+1)*($NS$73-333+1)/$NU$73,$NN$73/$NT$73)),0)</f>
        <v/>
      </c>
      <c r="LZ73" s="402">
        <f>IF(AND(334&gt;=$NR$73,334&lt;=$NS$73),IF($NP$73="Single_Point",IF(334=$NR$73,$NN$73,0),IF($NP$73="Bell_Curve",$NN$73*(334-$NR$73+1)*($NS$73-334+1)/$NU$73,$NN$73/$NT$73)),0)</f>
        <v/>
      </c>
      <c r="MA73" s="402">
        <f>IF(AND(335&gt;=$NR$73,335&lt;=$NS$73),IF($NP$73="Single_Point",IF(335=$NR$73,$NN$73,0),IF($NP$73="Bell_Curve",$NN$73*(335-$NR$73+1)*($NS$73-335+1)/$NU$73,$NN$73/$NT$73)),0)</f>
        <v/>
      </c>
      <c r="MB73" s="402">
        <f>IF(AND(336&gt;=$NR$73,336&lt;=$NS$73),IF($NP$73="Single_Point",IF(336=$NR$73,$NN$73,0),IF($NP$73="Bell_Curve",$NN$73*(336-$NR$73+1)*($NS$73-336+1)/$NU$73,$NN$73/$NT$73)),0)</f>
        <v/>
      </c>
      <c r="MC73" s="402">
        <f>IF(AND(337&gt;=$NR$73,337&lt;=$NS$73),IF($NP$73="Single_Point",IF(337=$NR$73,$NN$73,0),IF($NP$73="Bell_Curve",$NN$73*(337-$NR$73+1)*($NS$73-337+1)/$NU$73,$NN$73/$NT$73)),0)</f>
        <v/>
      </c>
      <c r="MD73" s="402">
        <f>IF(AND(338&gt;=$NR$73,338&lt;=$NS$73),IF($NP$73="Single_Point",IF(338=$NR$73,$NN$73,0),IF($NP$73="Bell_Curve",$NN$73*(338-$NR$73+1)*($NS$73-338+1)/$NU$73,$NN$73/$NT$73)),0)</f>
        <v/>
      </c>
      <c r="ME73" s="402">
        <f>IF(AND(339&gt;=$NR$73,339&lt;=$NS$73),IF($NP$73="Single_Point",IF(339=$NR$73,$NN$73,0),IF($NP$73="Bell_Curve",$NN$73*(339-$NR$73+1)*($NS$73-339+1)/$NU$73,$NN$73/$NT$73)),0)</f>
        <v/>
      </c>
      <c r="MF73" s="402">
        <f>IF(AND(340&gt;=$NR$73,340&lt;=$NS$73),IF($NP$73="Single_Point",IF(340=$NR$73,$NN$73,0),IF($NP$73="Bell_Curve",$NN$73*(340-$NR$73+1)*($NS$73-340+1)/$NU$73,$NN$73/$NT$73)),0)</f>
        <v/>
      </c>
      <c r="MG73" s="402">
        <f>IF(AND(341&gt;=$NR$73,341&lt;=$NS$73),IF($NP$73="Single_Point",IF(341=$NR$73,$NN$73,0),IF($NP$73="Bell_Curve",$NN$73*(341-$NR$73+1)*($NS$73-341+1)/$NU$73,$NN$73/$NT$73)),0)</f>
        <v/>
      </c>
      <c r="MH73" s="402">
        <f>IF(AND(342&gt;=$NR$73,342&lt;=$NS$73),IF($NP$73="Single_Point",IF(342=$NR$73,$NN$73,0),IF($NP$73="Bell_Curve",$NN$73*(342-$NR$73+1)*($NS$73-342+1)/$NU$73,$NN$73/$NT$73)),0)</f>
        <v/>
      </c>
      <c r="MI73" s="402">
        <f>IF(AND(343&gt;=$NR$73,343&lt;=$NS$73),IF($NP$73="Single_Point",IF(343=$NR$73,$NN$73,0),IF($NP$73="Bell_Curve",$NN$73*(343-$NR$73+1)*($NS$73-343+1)/$NU$73,$NN$73/$NT$73)),0)</f>
        <v/>
      </c>
      <c r="MJ73" s="402">
        <f>IF(AND(344&gt;=$NR$73,344&lt;=$NS$73),IF($NP$73="Single_Point",IF(344=$NR$73,$NN$73,0),IF($NP$73="Bell_Curve",$NN$73*(344-$NR$73+1)*($NS$73-344+1)/$NU$73,$NN$73/$NT$73)),0)</f>
        <v/>
      </c>
      <c r="MK73" s="402">
        <f>IF(AND(345&gt;=$NR$73,345&lt;=$NS$73),IF($NP$73="Single_Point",IF(345=$NR$73,$NN$73,0),IF($NP$73="Bell_Curve",$NN$73*(345-$NR$73+1)*($NS$73-345+1)/$NU$73,$NN$73/$NT$73)),0)</f>
        <v/>
      </c>
      <c r="ML73" s="402">
        <f>IF(AND(346&gt;=$NR$73,346&lt;=$NS$73),IF($NP$73="Single_Point",IF(346=$NR$73,$NN$73,0),IF($NP$73="Bell_Curve",$NN$73*(346-$NR$73+1)*($NS$73-346+1)/$NU$73,$NN$73/$NT$73)),0)</f>
        <v/>
      </c>
      <c r="MM73" s="402">
        <f>IF(AND(347&gt;=$NR$73,347&lt;=$NS$73),IF($NP$73="Single_Point",IF(347=$NR$73,$NN$73,0),IF($NP$73="Bell_Curve",$NN$73*(347-$NR$73+1)*($NS$73-347+1)/$NU$73,$NN$73/$NT$73)),0)</f>
        <v/>
      </c>
      <c r="MN73" s="402">
        <f>IF(AND(348&gt;=$NR$73,348&lt;=$NS$73),IF($NP$73="Single_Point",IF(348=$NR$73,$NN$73,0),IF($NP$73="Bell_Curve",$NN$73*(348-$NR$73+1)*($NS$73-348+1)/$NU$73,$NN$73/$NT$73)),0)</f>
        <v/>
      </c>
      <c r="MO73" s="402">
        <f>IF(AND(349&gt;=$NR$73,349&lt;=$NS$73),IF($NP$73="Single_Point",IF(349=$NR$73,$NN$73,0),IF($NP$73="Bell_Curve",$NN$73*(349-$NR$73+1)*($NS$73-349+1)/$NU$73,$NN$73/$NT$73)),0)</f>
        <v/>
      </c>
      <c r="MP73" s="402">
        <f>IF(AND(350&gt;=$NR$73,350&lt;=$NS$73),IF($NP$73="Single_Point",IF(350=$NR$73,$NN$73,0),IF($NP$73="Bell_Curve",$NN$73*(350-$NR$73+1)*($NS$73-350+1)/$NU$73,$NN$73/$NT$73)),0)</f>
        <v/>
      </c>
      <c r="MQ73" s="402">
        <f>IF(AND(351&gt;=$NR$73,351&lt;=$NS$73),IF($NP$73="Single_Point",IF(351=$NR$73,$NN$73,0),IF($NP$73="Bell_Curve",$NN$73*(351-$NR$73+1)*($NS$73-351+1)/$NU$73,$NN$73/$NT$73)),0)</f>
        <v/>
      </c>
      <c r="MR73" s="402">
        <f>IF(AND(352&gt;=$NR$73,352&lt;=$NS$73),IF($NP$73="Single_Point",IF(352=$NR$73,$NN$73,0),IF($NP$73="Bell_Curve",$NN$73*(352-$NR$73+1)*($NS$73-352+1)/$NU$73,$NN$73/$NT$73)),0)</f>
        <v/>
      </c>
      <c r="MS73" s="402">
        <f>IF(AND(353&gt;=$NR$73,353&lt;=$NS$73),IF($NP$73="Single_Point",IF(353=$NR$73,$NN$73,0),IF($NP$73="Bell_Curve",$NN$73*(353-$NR$73+1)*($NS$73-353+1)/$NU$73,$NN$73/$NT$73)),0)</f>
        <v/>
      </c>
      <c r="MT73" s="402">
        <f>IF(AND(354&gt;=$NR$73,354&lt;=$NS$73),IF($NP$73="Single_Point",IF(354=$NR$73,$NN$73,0),IF($NP$73="Bell_Curve",$NN$73*(354-$NR$73+1)*($NS$73-354+1)/$NU$73,$NN$73/$NT$73)),0)</f>
        <v/>
      </c>
      <c r="MU73" s="402">
        <f>IF(AND(355&gt;=$NR$73,355&lt;=$NS$73),IF($NP$73="Single_Point",IF(355=$NR$73,$NN$73,0),IF($NP$73="Bell_Curve",$NN$73*(355-$NR$73+1)*($NS$73-355+1)/$NU$73,$NN$73/$NT$73)),0)</f>
        <v/>
      </c>
      <c r="MV73" s="402">
        <f>IF(AND(356&gt;=$NR$73,356&lt;=$NS$73),IF($NP$73="Single_Point",IF(356=$NR$73,$NN$73,0),IF($NP$73="Bell_Curve",$NN$73*(356-$NR$73+1)*($NS$73-356+1)/$NU$73,$NN$73/$NT$73)),0)</f>
        <v/>
      </c>
      <c r="MW73" s="402">
        <f>IF(AND(357&gt;=$NR$73,357&lt;=$NS$73),IF($NP$73="Single_Point",IF(357=$NR$73,$NN$73,0),IF($NP$73="Bell_Curve",$NN$73*(357-$NR$73+1)*($NS$73-357+1)/$NU$73,$NN$73/$NT$73)),0)</f>
        <v/>
      </c>
      <c r="MX73" s="402">
        <f>IF(AND(358&gt;=$NR$73,358&lt;=$NS$73),IF($NP$73="Single_Point",IF(358=$NR$73,$NN$73,0),IF($NP$73="Bell_Curve",$NN$73*(358-$NR$73+1)*($NS$73-358+1)/$NU$73,$NN$73/$NT$73)),0)</f>
        <v/>
      </c>
      <c r="MY73" s="402">
        <f>IF(AND(359&gt;=$NR$73,359&lt;=$NS$73),IF($NP$73="Single_Point",IF(359=$NR$73,$NN$73,0),IF($NP$73="Bell_Curve",$NN$73*(359-$NR$73+1)*($NS$73-359+1)/$NU$73,$NN$73/$NT$73)),0)</f>
        <v/>
      </c>
      <c r="MZ73" s="402">
        <f>IF(AND(360&gt;=$NR$73,360&lt;=$NS$73),IF($NP$73="Single_Point",IF(360=$NR$73,$NN$73,0),IF($NP$73="Bell_Curve",$NN$73*(360-$NR$73+1)*($NS$73-360+1)/$NU$73,$NN$73/$NT$73)),0)</f>
        <v/>
      </c>
      <c r="NA73" s="402">
        <f>IF(AND(361&gt;=$NR$73,361&lt;=$NS$73),IF($NP$73="Single_Point",IF(361=$NR$73,$NN$73,0),IF($NP$73="Bell_Curve",$NN$73*(361-$NR$73+1)*($NS$73-361+1)/$NU$73,$NN$73/$NT$73)),0)</f>
        <v/>
      </c>
      <c r="NB73" s="402">
        <f>IF(AND(362&gt;=$NR$73,362&lt;=$NS$73),IF($NP$73="Single_Point",IF(362=$NR$73,$NN$73,0),IF($NP$73="Bell_Curve",$NN$73*(362-$NR$73+1)*($NS$73-362+1)/$NU$73,$NN$73/$NT$73)),0)</f>
        <v/>
      </c>
      <c r="NC73" s="402">
        <f>IF(AND(363&gt;=$NR$73,363&lt;=$NS$73),IF($NP$73="Single_Point",IF(363=$NR$73,$NN$73,0),IF($NP$73="Bell_Curve",$NN$73*(363-$NR$73+1)*($NS$73-363+1)/$NU$73,$NN$73/$NT$73)),0)</f>
        <v/>
      </c>
      <c r="ND73" s="402">
        <f>IF(AND(364&gt;=$NR$73,364&lt;=$NS$73),IF($NP$73="Single_Point",IF(364=$NR$73,$NN$73,0),IF($NP$73="Bell_Curve",$NN$73*(364-$NR$73+1)*($NS$73-364+1)/$NU$73,$NN$73/$NT$73)),0)</f>
        <v/>
      </c>
      <c r="NE73" s="402">
        <f>IF(AND(365&gt;=$NR$73,365&lt;=$NS$73),IF($NP$73="Single_Point",IF(365=$NR$73,$NN$73,0),IF($NP$73="Bell_Curve",$NN$73*(365-$NR$73+1)*($NS$73-365+1)/$NU$73,$NN$73/$NT$73)),0)</f>
        <v/>
      </c>
      <c r="NF73" s="402">
        <f>IF(AND(366&gt;=$NR$73,366&lt;=$NS$73),IF($NP$73="Single_Point",IF(366=$NR$73,$NN$73,0),IF($NP$73="Bell_Curve",$NN$73*(366-$NR$73+1)*($NS$73-366+1)/$NU$73,$NN$73/$NT$73)),0)</f>
        <v/>
      </c>
      <c r="NG73" s="402">
        <f>IF(AND(367&gt;=$NR$73,367&lt;=$NS$73),IF($NP$73="Single_Point",IF(367=$NR$73,$NN$73,0),IF($NP$73="Bell_Curve",$NN$73*(367-$NR$73+1)*($NS$73-367+1)/$NU$73,$NN$73/$NT$73)),0)</f>
        <v/>
      </c>
      <c r="NH73" s="402">
        <f>IF(AND(368&gt;=$NR$73,368&lt;=$NS$73),IF($NP$73="Single_Point",IF(368=$NR$73,$NN$73,0),IF($NP$73="Bell_Curve",$NN$73*(368-$NR$73+1)*($NS$73-368+1)/$NU$73,$NN$73/$NT$73)),0)</f>
        <v/>
      </c>
      <c r="NI73" s="402">
        <f>IF(AND(369&gt;=$NR$73,369&lt;=$NS$73),IF($NP$73="Single_Point",IF(369=$NR$73,$NN$73,0),IF($NP$73="Bell_Curve",$NN$73*(369-$NR$73+1)*($NS$73-369+1)/$NU$73,$NN$73/$NT$73)),0)</f>
        <v/>
      </c>
      <c r="NJ73" s="402">
        <f>IF(AND(370&gt;=$NR$73,370&lt;=$NS$73),IF($NP$73="Single_Point",IF(370=$NR$73,$NN$73,0),IF($NP$73="Bell_Curve",$NN$73*(370-$NR$73+1)*($NS$73-370+1)/$NU$73,$NN$73/$NT$73)),0)</f>
        <v/>
      </c>
      <c r="NK73" s="402">
        <f>IF(AND(371&gt;=$NR$73,371&lt;=$NS$73),IF($NP$73="Single_Point",IF(371=$NR$73,$NN$73,0),IF($NP$73="Bell_Curve",$NN$73*(371-$NR$73+1)*($NS$73-371+1)/$NU$73,$NN$73/$NT$73)),0)</f>
        <v/>
      </c>
      <c r="NL73" s="402">
        <f>IF(AND(372&gt;=$NR$73,372&lt;=$NS$73),IF($NP$73="Single_Point",IF(372=$NR$73,$NN$73,0),IF($NP$73="Bell_Curve",$NN$73*(372-$NR$73+1)*($NS$73-372+1)/$NU$73,$NN$73/$NT$73)),0)</f>
        <v/>
      </c>
      <c r="NM73">
        <f>Budget!C72</f>
        <v/>
      </c>
      <c r="NN73">
        <f>Budget!J72</f>
        <v/>
      </c>
      <c r="NO73">
        <f>Budget!G72</f>
        <v/>
      </c>
      <c r="NP73">
        <f>Budget!H72</f>
        <v/>
      </c>
      <c r="NQ73">
        <f>Budget!I72</f>
        <v/>
      </c>
      <c r="NR73">
        <f>MAX(1,MIN(372,INDEX(MilestoneStart,MATCH(NO73,MilestoneNames,0))+NQ73))</f>
        <v/>
      </c>
      <c r="NS73">
        <f>MAX(NR73,MIN(372,INDEX(MilestoneEnd,MATCH(NO73,MilestoneNames,0))+NQ73))</f>
        <v/>
      </c>
      <c r="NT73">
        <f>NS73-NR73+1</f>
        <v/>
      </c>
      <c r="NU73">
        <f>NT73*(NT73+1)*(NT73+2)/6</f>
        <v/>
      </c>
    </row>
    <row r="74">
      <c r="B74" s="316">
        <f>Budget!B73</f>
        <v/>
      </c>
      <c r="D74" s="402">
        <f>SUM(E74:NL74)</f>
        <v/>
      </c>
      <c r="E74" s="402">
        <f>IF(AND(1&gt;=$NR$74,1&lt;=$NS$74),IF($NP$74="Single_Point",IF(1=$NR$74,$NN$74,0),IF($NP$74="Bell_Curve",$NN$74*(1-$NR$74+1)*($NS$74-1+1)/$NU$74,$NN$74/$NT$74)),0)</f>
        <v/>
      </c>
      <c r="F74" s="402">
        <f>IF(AND(2&gt;=$NR$74,2&lt;=$NS$74),IF($NP$74="Single_Point",IF(2=$NR$74,$NN$74,0),IF($NP$74="Bell_Curve",$NN$74*(2-$NR$74+1)*($NS$74-2+1)/$NU$74,$NN$74/$NT$74)),0)</f>
        <v/>
      </c>
      <c r="G74" s="402">
        <f>IF(AND(3&gt;=$NR$74,3&lt;=$NS$74),IF($NP$74="Single_Point",IF(3=$NR$74,$NN$74,0),IF($NP$74="Bell_Curve",$NN$74*(3-$NR$74+1)*($NS$74-3+1)/$NU$74,$NN$74/$NT$74)),0)</f>
        <v/>
      </c>
      <c r="H74" s="402">
        <f>IF(AND(4&gt;=$NR$74,4&lt;=$NS$74),IF($NP$74="Single_Point",IF(4=$NR$74,$NN$74,0),IF($NP$74="Bell_Curve",$NN$74*(4-$NR$74+1)*($NS$74-4+1)/$NU$74,$NN$74/$NT$74)),0)</f>
        <v/>
      </c>
      <c r="I74" s="402">
        <f>IF(AND(5&gt;=$NR$74,5&lt;=$NS$74),IF($NP$74="Single_Point",IF(5=$NR$74,$NN$74,0),IF($NP$74="Bell_Curve",$NN$74*(5-$NR$74+1)*($NS$74-5+1)/$NU$74,$NN$74/$NT$74)),0)</f>
        <v/>
      </c>
      <c r="J74" s="402">
        <f>IF(AND(6&gt;=$NR$74,6&lt;=$NS$74),IF($NP$74="Single_Point",IF(6=$NR$74,$NN$74,0),IF($NP$74="Bell_Curve",$NN$74*(6-$NR$74+1)*($NS$74-6+1)/$NU$74,$NN$74/$NT$74)),0)</f>
        <v/>
      </c>
      <c r="K74" s="402">
        <f>IF(AND(7&gt;=$NR$74,7&lt;=$NS$74),IF($NP$74="Single_Point",IF(7=$NR$74,$NN$74,0),IF($NP$74="Bell_Curve",$NN$74*(7-$NR$74+1)*($NS$74-7+1)/$NU$74,$NN$74/$NT$74)),0)</f>
        <v/>
      </c>
      <c r="L74" s="402">
        <f>IF(AND(8&gt;=$NR$74,8&lt;=$NS$74),IF($NP$74="Single_Point",IF(8=$NR$74,$NN$74,0),IF($NP$74="Bell_Curve",$NN$74*(8-$NR$74+1)*($NS$74-8+1)/$NU$74,$NN$74/$NT$74)),0)</f>
        <v/>
      </c>
      <c r="M74" s="402">
        <f>IF(AND(9&gt;=$NR$74,9&lt;=$NS$74),IF($NP$74="Single_Point",IF(9=$NR$74,$NN$74,0),IF($NP$74="Bell_Curve",$NN$74*(9-$NR$74+1)*($NS$74-9+1)/$NU$74,$NN$74/$NT$74)),0)</f>
        <v/>
      </c>
      <c r="N74" s="402">
        <f>IF(AND(10&gt;=$NR$74,10&lt;=$NS$74),IF($NP$74="Single_Point",IF(10=$NR$74,$NN$74,0),IF($NP$74="Bell_Curve",$NN$74*(10-$NR$74+1)*($NS$74-10+1)/$NU$74,$NN$74/$NT$74)),0)</f>
        <v/>
      </c>
      <c r="O74" s="402">
        <f>IF(AND(11&gt;=$NR$74,11&lt;=$NS$74),IF($NP$74="Single_Point",IF(11=$NR$74,$NN$74,0),IF($NP$74="Bell_Curve",$NN$74*(11-$NR$74+1)*($NS$74-11+1)/$NU$74,$NN$74/$NT$74)),0)</f>
        <v/>
      </c>
      <c r="P74" s="402">
        <f>IF(AND(12&gt;=$NR$74,12&lt;=$NS$74),IF($NP$74="Single_Point",IF(12=$NR$74,$NN$74,0),IF($NP$74="Bell_Curve",$NN$74*(12-$NR$74+1)*($NS$74-12+1)/$NU$74,$NN$74/$NT$74)),0)</f>
        <v/>
      </c>
      <c r="Q74" s="402">
        <f>IF(AND(13&gt;=$NR$74,13&lt;=$NS$74),IF($NP$74="Single_Point",IF(13=$NR$74,$NN$74,0),IF($NP$74="Bell_Curve",$NN$74*(13-$NR$74+1)*($NS$74-13+1)/$NU$74,$NN$74/$NT$74)),0)</f>
        <v/>
      </c>
      <c r="R74" s="402">
        <f>IF(AND(14&gt;=$NR$74,14&lt;=$NS$74),IF($NP$74="Single_Point",IF(14=$NR$74,$NN$74,0),IF($NP$74="Bell_Curve",$NN$74*(14-$NR$74+1)*($NS$74-14+1)/$NU$74,$NN$74/$NT$74)),0)</f>
        <v/>
      </c>
      <c r="S74" s="402">
        <f>IF(AND(15&gt;=$NR$74,15&lt;=$NS$74),IF($NP$74="Single_Point",IF(15=$NR$74,$NN$74,0),IF($NP$74="Bell_Curve",$NN$74*(15-$NR$74+1)*($NS$74-15+1)/$NU$74,$NN$74/$NT$74)),0)</f>
        <v/>
      </c>
      <c r="T74" s="402">
        <f>IF(AND(16&gt;=$NR$74,16&lt;=$NS$74),IF($NP$74="Single_Point",IF(16=$NR$74,$NN$74,0),IF($NP$74="Bell_Curve",$NN$74*(16-$NR$74+1)*($NS$74-16+1)/$NU$74,$NN$74/$NT$74)),0)</f>
        <v/>
      </c>
      <c r="U74" s="402">
        <f>IF(AND(17&gt;=$NR$74,17&lt;=$NS$74),IF($NP$74="Single_Point",IF(17=$NR$74,$NN$74,0),IF($NP$74="Bell_Curve",$NN$74*(17-$NR$74+1)*($NS$74-17+1)/$NU$74,$NN$74/$NT$74)),0)</f>
        <v/>
      </c>
      <c r="V74" s="402">
        <f>IF(AND(18&gt;=$NR$74,18&lt;=$NS$74),IF($NP$74="Single_Point",IF(18=$NR$74,$NN$74,0),IF($NP$74="Bell_Curve",$NN$74*(18-$NR$74+1)*($NS$74-18+1)/$NU$74,$NN$74/$NT$74)),0)</f>
        <v/>
      </c>
      <c r="W74" s="402">
        <f>IF(AND(19&gt;=$NR$74,19&lt;=$NS$74),IF($NP$74="Single_Point",IF(19=$NR$74,$NN$74,0),IF($NP$74="Bell_Curve",$NN$74*(19-$NR$74+1)*($NS$74-19+1)/$NU$74,$NN$74/$NT$74)),0)</f>
        <v/>
      </c>
      <c r="X74" s="402">
        <f>IF(AND(20&gt;=$NR$74,20&lt;=$NS$74),IF($NP$74="Single_Point",IF(20=$NR$74,$NN$74,0),IF($NP$74="Bell_Curve",$NN$74*(20-$NR$74+1)*($NS$74-20+1)/$NU$74,$NN$74/$NT$74)),0)</f>
        <v/>
      </c>
      <c r="Y74" s="402">
        <f>IF(AND(21&gt;=$NR$74,21&lt;=$NS$74),IF($NP$74="Single_Point",IF(21=$NR$74,$NN$74,0),IF($NP$74="Bell_Curve",$NN$74*(21-$NR$74+1)*($NS$74-21+1)/$NU$74,$NN$74/$NT$74)),0)</f>
        <v/>
      </c>
      <c r="Z74" s="402">
        <f>IF(AND(22&gt;=$NR$74,22&lt;=$NS$74),IF($NP$74="Single_Point",IF(22=$NR$74,$NN$74,0),IF($NP$74="Bell_Curve",$NN$74*(22-$NR$74+1)*($NS$74-22+1)/$NU$74,$NN$74/$NT$74)),0)</f>
        <v/>
      </c>
      <c r="AA74" s="402">
        <f>IF(AND(23&gt;=$NR$74,23&lt;=$NS$74),IF($NP$74="Single_Point",IF(23=$NR$74,$NN$74,0),IF($NP$74="Bell_Curve",$NN$74*(23-$NR$74+1)*($NS$74-23+1)/$NU$74,$NN$74/$NT$74)),0)</f>
        <v/>
      </c>
      <c r="AB74" s="402">
        <f>IF(AND(24&gt;=$NR$74,24&lt;=$NS$74),IF($NP$74="Single_Point",IF(24=$NR$74,$NN$74,0),IF($NP$74="Bell_Curve",$NN$74*(24-$NR$74+1)*($NS$74-24+1)/$NU$74,$NN$74/$NT$74)),0)</f>
        <v/>
      </c>
      <c r="AC74" s="402">
        <f>IF(AND(25&gt;=$NR$74,25&lt;=$NS$74),IF($NP$74="Single_Point",IF(25=$NR$74,$NN$74,0),IF($NP$74="Bell_Curve",$NN$74*(25-$NR$74+1)*($NS$74-25+1)/$NU$74,$NN$74/$NT$74)),0)</f>
        <v/>
      </c>
      <c r="AD74" s="402">
        <f>IF(AND(26&gt;=$NR$74,26&lt;=$NS$74),IF($NP$74="Single_Point",IF(26=$NR$74,$NN$74,0),IF($NP$74="Bell_Curve",$NN$74*(26-$NR$74+1)*($NS$74-26+1)/$NU$74,$NN$74/$NT$74)),0)</f>
        <v/>
      </c>
      <c r="AE74" s="402">
        <f>IF(AND(27&gt;=$NR$74,27&lt;=$NS$74),IF($NP$74="Single_Point",IF(27=$NR$74,$NN$74,0),IF($NP$74="Bell_Curve",$NN$74*(27-$NR$74+1)*($NS$74-27+1)/$NU$74,$NN$74/$NT$74)),0)</f>
        <v/>
      </c>
      <c r="AF74" s="402">
        <f>IF(AND(28&gt;=$NR$74,28&lt;=$NS$74),IF($NP$74="Single_Point",IF(28=$NR$74,$NN$74,0),IF($NP$74="Bell_Curve",$NN$74*(28-$NR$74+1)*($NS$74-28+1)/$NU$74,$NN$74/$NT$74)),0)</f>
        <v/>
      </c>
      <c r="AG74" s="402">
        <f>IF(AND(29&gt;=$NR$74,29&lt;=$NS$74),IF($NP$74="Single_Point",IF(29=$NR$74,$NN$74,0),IF($NP$74="Bell_Curve",$NN$74*(29-$NR$74+1)*($NS$74-29+1)/$NU$74,$NN$74/$NT$74)),0)</f>
        <v/>
      </c>
      <c r="AH74" s="402">
        <f>IF(AND(30&gt;=$NR$74,30&lt;=$NS$74),IF($NP$74="Single_Point",IF(30=$NR$74,$NN$74,0),IF($NP$74="Bell_Curve",$NN$74*(30-$NR$74+1)*($NS$74-30+1)/$NU$74,$NN$74/$NT$74)),0)</f>
        <v/>
      </c>
      <c r="AI74" s="402">
        <f>IF(AND(31&gt;=$NR$74,31&lt;=$NS$74),IF($NP$74="Single_Point",IF(31=$NR$74,$NN$74,0),IF($NP$74="Bell_Curve",$NN$74*(31-$NR$74+1)*($NS$74-31+1)/$NU$74,$NN$74/$NT$74)),0)</f>
        <v/>
      </c>
      <c r="AJ74" s="402">
        <f>IF(AND(32&gt;=$NR$74,32&lt;=$NS$74),IF($NP$74="Single_Point",IF(32=$NR$74,$NN$74,0),IF($NP$74="Bell_Curve",$NN$74*(32-$NR$74+1)*($NS$74-32+1)/$NU$74,$NN$74/$NT$74)),0)</f>
        <v/>
      </c>
      <c r="AK74" s="402">
        <f>IF(AND(33&gt;=$NR$74,33&lt;=$NS$74),IF($NP$74="Single_Point",IF(33=$NR$74,$NN$74,0),IF($NP$74="Bell_Curve",$NN$74*(33-$NR$74+1)*($NS$74-33+1)/$NU$74,$NN$74/$NT$74)),0)</f>
        <v/>
      </c>
      <c r="AL74" s="402">
        <f>IF(AND(34&gt;=$NR$74,34&lt;=$NS$74),IF($NP$74="Single_Point",IF(34=$NR$74,$NN$74,0),IF($NP$74="Bell_Curve",$NN$74*(34-$NR$74+1)*($NS$74-34+1)/$NU$74,$NN$74/$NT$74)),0)</f>
        <v/>
      </c>
      <c r="AM74" s="402">
        <f>IF(AND(35&gt;=$NR$74,35&lt;=$NS$74),IF($NP$74="Single_Point",IF(35=$NR$74,$NN$74,0),IF($NP$74="Bell_Curve",$NN$74*(35-$NR$74+1)*($NS$74-35+1)/$NU$74,$NN$74/$NT$74)),0)</f>
        <v/>
      </c>
      <c r="AN74" s="402">
        <f>IF(AND(36&gt;=$NR$74,36&lt;=$NS$74),IF($NP$74="Single_Point",IF(36=$NR$74,$NN$74,0),IF($NP$74="Bell_Curve",$NN$74*(36-$NR$74+1)*($NS$74-36+1)/$NU$74,$NN$74/$NT$74)),0)</f>
        <v/>
      </c>
      <c r="AO74" s="402">
        <f>IF(AND(37&gt;=$NR$74,37&lt;=$NS$74),IF($NP$74="Single_Point",IF(37=$NR$74,$NN$74,0),IF($NP$74="Bell_Curve",$NN$74*(37-$NR$74+1)*($NS$74-37+1)/$NU$74,$NN$74/$NT$74)),0)</f>
        <v/>
      </c>
      <c r="AP74" s="402">
        <f>IF(AND(38&gt;=$NR$74,38&lt;=$NS$74),IF($NP$74="Single_Point",IF(38=$NR$74,$NN$74,0),IF($NP$74="Bell_Curve",$NN$74*(38-$NR$74+1)*($NS$74-38+1)/$NU$74,$NN$74/$NT$74)),0)</f>
        <v/>
      </c>
      <c r="AQ74" s="402">
        <f>IF(AND(39&gt;=$NR$74,39&lt;=$NS$74),IF($NP$74="Single_Point",IF(39=$NR$74,$NN$74,0),IF($NP$74="Bell_Curve",$NN$74*(39-$NR$74+1)*($NS$74-39+1)/$NU$74,$NN$74/$NT$74)),0)</f>
        <v/>
      </c>
      <c r="AR74" s="402">
        <f>IF(AND(40&gt;=$NR$74,40&lt;=$NS$74),IF($NP$74="Single_Point",IF(40=$NR$74,$NN$74,0),IF($NP$74="Bell_Curve",$NN$74*(40-$NR$74+1)*($NS$74-40+1)/$NU$74,$NN$74/$NT$74)),0)</f>
        <v/>
      </c>
      <c r="AS74" s="402">
        <f>IF(AND(41&gt;=$NR$74,41&lt;=$NS$74),IF($NP$74="Single_Point",IF(41=$NR$74,$NN$74,0),IF($NP$74="Bell_Curve",$NN$74*(41-$NR$74+1)*($NS$74-41+1)/$NU$74,$NN$74/$NT$74)),0)</f>
        <v/>
      </c>
      <c r="AT74" s="402">
        <f>IF(AND(42&gt;=$NR$74,42&lt;=$NS$74),IF($NP$74="Single_Point",IF(42=$NR$74,$NN$74,0),IF($NP$74="Bell_Curve",$NN$74*(42-$NR$74+1)*($NS$74-42+1)/$NU$74,$NN$74/$NT$74)),0)</f>
        <v/>
      </c>
      <c r="AU74" s="402">
        <f>IF(AND(43&gt;=$NR$74,43&lt;=$NS$74),IF($NP$74="Single_Point",IF(43=$NR$74,$NN$74,0),IF($NP$74="Bell_Curve",$NN$74*(43-$NR$74+1)*($NS$74-43+1)/$NU$74,$NN$74/$NT$74)),0)</f>
        <v/>
      </c>
      <c r="AV74" s="402">
        <f>IF(AND(44&gt;=$NR$74,44&lt;=$NS$74),IF($NP$74="Single_Point",IF(44=$NR$74,$NN$74,0),IF($NP$74="Bell_Curve",$NN$74*(44-$NR$74+1)*($NS$74-44+1)/$NU$74,$NN$74/$NT$74)),0)</f>
        <v/>
      </c>
      <c r="AW74" s="402">
        <f>IF(AND(45&gt;=$NR$74,45&lt;=$NS$74),IF($NP$74="Single_Point",IF(45=$NR$74,$NN$74,0),IF($NP$74="Bell_Curve",$NN$74*(45-$NR$74+1)*($NS$74-45+1)/$NU$74,$NN$74/$NT$74)),0)</f>
        <v/>
      </c>
      <c r="AX74" s="402">
        <f>IF(AND(46&gt;=$NR$74,46&lt;=$NS$74),IF($NP$74="Single_Point",IF(46=$NR$74,$NN$74,0),IF($NP$74="Bell_Curve",$NN$74*(46-$NR$74+1)*($NS$74-46+1)/$NU$74,$NN$74/$NT$74)),0)</f>
        <v/>
      </c>
      <c r="AY74" s="402">
        <f>IF(AND(47&gt;=$NR$74,47&lt;=$NS$74),IF($NP$74="Single_Point",IF(47=$NR$74,$NN$74,0),IF($NP$74="Bell_Curve",$NN$74*(47-$NR$74+1)*($NS$74-47+1)/$NU$74,$NN$74/$NT$74)),0)</f>
        <v/>
      </c>
      <c r="AZ74" s="402">
        <f>IF(AND(48&gt;=$NR$74,48&lt;=$NS$74),IF($NP$74="Single_Point",IF(48=$NR$74,$NN$74,0),IF($NP$74="Bell_Curve",$NN$74*(48-$NR$74+1)*($NS$74-48+1)/$NU$74,$NN$74/$NT$74)),0)</f>
        <v/>
      </c>
      <c r="BA74" s="402">
        <f>IF(AND(49&gt;=$NR$74,49&lt;=$NS$74),IF($NP$74="Single_Point",IF(49=$NR$74,$NN$74,0),IF($NP$74="Bell_Curve",$NN$74*(49-$NR$74+1)*($NS$74-49+1)/$NU$74,$NN$74/$NT$74)),0)</f>
        <v/>
      </c>
      <c r="BB74" s="402">
        <f>IF(AND(50&gt;=$NR$74,50&lt;=$NS$74),IF($NP$74="Single_Point",IF(50=$NR$74,$NN$74,0),IF($NP$74="Bell_Curve",$NN$74*(50-$NR$74+1)*($NS$74-50+1)/$NU$74,$NN$74/$NT$74)),0)</f>
        <v/>
      </c>
      <c r="BC74" s="402">
        <f>IF(AND(51&gt;=$NR$74,51&lt;=$NS$74),IF($NP$74="Single_Point",IF(51=$NR$74,$NN$74,0),IF($NP$74="Bell_Curve",$NN$74*(51-$NR$74+1)*($NS$74-51+1)/$NU$74,$NN$74/$NT$74)),0)</f>
        <v/>
      </c>
      <c r="BD74" s="402">
        <f>IF(AND(52&gt;=$NR$74,52&lt;=$NS$74),IF($NP$74="Single_Point",IF(52=$NR$74,$NN$74,0),IF($NP$74="Bell_Curve",$NN$74*(52-$NR$74+1)*($NS$74-52+1)/$NU$74,$NN$74/$NT$74)),0)</f>
        <v/>
      </c>
      <c r="BE74" s="402">
        <f>IF(AND(53&gt;=$NR$74,53&lt;=$NS$74),IF($NP$74="Single_Point",IF(53=$NR$74,$NN$74,0),IF($NP$74="Bell_Curve",$NN$74*(53-$NR$74+1)*($NS$74-53+1)/$NU$74,$NN$74/$NT$74)),0)</f>
        <v/>
      </c>
      <c r="BF74" s="402">
        <f>IF(AND(54&gt;=$NR$74,54&lt;=$NS$74),IF($NP$74="Single_Point",IF(54=$NR$74,$NN$74,0),IF($NP$74="Bell_Curve",$NN$74*(54-$NR$74+1)*($NS$74-54+1)/$NU$74,$NN$74/$NT$74)),0)</f>
        <v/>
      </c>
      <c r="BG74" s="402">
        <f>IF(AND(55&gt;=$NR$74,55&lt;=$NS$74),IF($NP$74="Single_Point",IF(55=$NR$74,$NN$74,0),IF($NP$74="Bell_Curve",$NN$74*(55-$NR$74+1)*($NS$74-55+1)/$NU$74,$NN$74/$NT$74)),0)</f>
        <v/>
      </c>
      <c r="BH74" s="402">
        <f>IF(AND(56&gt;=$NR$74,56&lt;=$NS$74),IF($NP$74="Single_Point",IF(56=$NR$74,$NN$74,0),IF($NP$74="Bell_Curve",$NN$74*(56-$NR$74+1)*($NS$74-56+1)/$NU$74,$NN$74/$NT$74)),0)</f>
        <v/>
      </c>
      <c r="BI74" s="402">
        <f>IF(AND(57&gt;=$NR$74,57&lt;=$NS$74),IF($NP$74="Single_Point",IF(57=$NR$74,$NN$74,0),IF($NP$74="Bell_Curve",$NN$74*(57-$NR$74+1)*($NS$74-57+1)/$NU$74,$NN$74/$NT$74)),0)</f>
        <v/>
      </c>
      <c r="BJ74" s="402">
        <f>IF(AND(58&gt;=$NR$74,58&lt;=$NS$74),IF($NP$74="Single_Point",IF(58=$NR$74,$NN$74,0),IF($NP$74="Bell_Curve",$NN$74*(58-$NR$74+1)*($NS$74-58+1)/$NU$74,$NN$74/$NT$74)),0)</f>
        <v/>
      </c>
      <c r="BK74" s="402">
        <f>IF(AND(59&gt;=$NR$74,59&lt;=$NS$74),IF($NP$74="Single_Point",IF(59=$NR$74,$NN$74,0),IF($NP$74="Bell_Curve",$NN$74*(59-$NR$74+1)*($NS$74-59+1)/$NU$74,$NN$74/$NT$74)),0)</f>
        <v/>
      </c>
      <c r="BL74" s="402">
        <f>IF(AND(60&gt;=$NR$74,60&lt;=$NS$74),IF($NP$74="Single_Point",IF(60=$NR$74,$NN$74,0),IF($NP$74="Bell_Curve",$NN$74*(60-$NR$74+1)*($NS$74-60+1)/$NU$74,$NN$74/$NT$74)),0)</f>
        <v/>
      </c>
      <c r="BM74" s="402">
        <f>IF(AND(61&gt;=$NR$74,61&lt;=$NS$74),IF($NP$74="Single_Point",IF(61=$NR$74,$NN$74,0),IF($NP$74="Bell_Curve",$NN$74*(61-$NR$74+1)*($NS$74-61+1)/$NU$74,$NN$74/$NT$74)),0)</f>
        <v/>
      </c>
      <c r="BN74" s="402">
        <f>IF(AND(62&gt;=$NR$74,62&lt;=$NS$74),IF($NP$74="Single_Point",IF(62=$NR$74,$NN$74,0),IF($NP$74="Bell_Curve",$NN$74*(62-$NR$74+1)*($NS$74-62+1)/$NU$74,$NN$74/$NT$74)),0)</f>
        <v/>
      </c>
      <c r="BO74" s="402">
        <f>IF(AND(63&gt;=$NR$74,63&lt;=$NS$74),IF($NP$74="Single_Point",IF(63=$NR$74,$NN$74,0),IF($NP$74="Bell_Curve",$NN$74*(63-$NR$74+1)*($NS$74-63+1)/$NU$74,$NN$74/$NT$74)),0)</f>
        <v/>
      </c>
      <c r="BP74" s="402">
        <f>IF(AND(64&gt;=$NR$74,64&lt;=$NS$74),IF($NP$74="Single_Point",IF(64=$NR$74,$NN$74,0),IF($NP$74="Bell_Curve",$NN$74*(64-$NR$74+1)*($NS$74-64+1)/$NU$74,$NN$74/$NT$74)),0)</f>
        <v/>
      </c>
      <c r="BQ74" s="402">
        <f>IF(AND(65&gt;=$NR$74,65&lt;=$NS$74),IF($NP$74="Single_Point",IF(65=$NR$74,$NN$74,0),IF($NP$74="Bell_Curve",$NN$74*(65-$NR$74+1)*($NS$74-65+1)/$NU$74,$NN$74/$NT$74)),0)</f>
        <v/>
      </c>
      <c r="BR74" s="402">
        <f>IF(AND(66&gt;=$NR$74,66&lt;=$NS$74),IF($NP$74="Single_Point",IF(66=$NR$74,$NN$74,0),IF($NP$74="Bell_Curve",$NN$74*(66-$NR$74+1)*($NS$74-66+1)/$NU$74,$NN$74/$NT$74)),0)</f>
        <v/>
      </c>
      <c r="BS74" s="402">
        <f>IF(AND(67&gt;=$NR$74,67&lt;=$NS$74),IF($NP$74="Single_Point",IF(67=$NR$74,$NN$74,0),IF($NP$74="Bell_Curve",$NN$74*(67-$NR$74+1)*($NS$74-67+1)/$NU$74,$NN$74/$NT$74)),0)</f>
        <v/>
      </c>
      <c r="BT74" s="402">
        <f>IF(AND(68&gt;=$NR$74,68&lt;=$NS$74),IF($NP$74="Single_Point",IF(68=$NR$74,$NN$74,0),IF($NP$74="Bell_Curve",$NN$74*(68-$NR$74+1)*($NS$74-68+1)/$NU$74,$NN$74/$NT$74)),0)</f>
        <v/>
      </c>
      <c r="BU74" s="402">
        <f>IF(AND(69&gt;=$NR$74,69&lt;=$NS$74),IF($NP$74="Single_Point",IF(69=$NR$74,$NN$74,0),IF($NP$74="Bell_Curve",$NN$74*(69-$NR$74+1)*($NS$74-69+1)/$NU$74,$NN$74/$NT$74)),0)</f>
        <v/>
      </c>
      <c r="BV74" s="402">
        <f>IF(AND(70&gt;=$NR$74,70&lt;=$NS$74),IF($NP$74="Single_Point",IF(70=$NR$74,$NN$74,0),IF($NP$74="Bell_Curve",$NN$74*(70-$NR$74+1)*($NS$74-70+1)/$NU$74,$NN$74/$NT$74)),0)</f>
        <v/>
      </c>
      <c r="BW74" s="402">
        <f>IF(AND(71&gt;=$NR$74,71&lt;=$NS$74),IF($NP$74="Single_Point",IF(71=$NR$74,$NN$74,0),IF($NP$74="Bell_Curve",$NN$74*(71-$NR$74+1)*($NS$74-71+1)/$NU$74,$NN$74/$NT$74)),0)</f>
        <v/>
      </c>
      <c r="BX74" s="402">
        <f>IF(AND(72&gt;=$NR$74,72&lt;=$NS$74),IF($NP$74="Single_Point",IF(72=$NR$74,$NN$74,0),IF($NP$74="Bell_Curve",$NN$74*(72-$NR$74+1)*($NS$74-72+1)/$NU$74,$NN$74/$NT$74)),0)</f>
        <v/>
      </c>
      <c r="BY74" s="402">
        <f>IF(AND(73&gt;=$NR$74,73&lt;=$NS$74),IF($NP$74="Single_Point",IF(73=$NR$74,$NN$74,0),IF($NP$74="Bell_Curve",$NN$74*(73-$NR$74+1)*($NS$74-73+1)/$NU$74,$NN$74/$NT$74)),0)</f>
        <v/>
      </c>
      <c r="BZ74" s="402">
        <f>IF(AND(74&gt;=$NR$74,74&lt;=$NS$74),IF($NP$74="Single_Point",IF(74=$NR$74,$NN$74,0),IF($NP$74="Bell_Curve",$NN$74*(74-$NR$74+1)*($NS$74-74+1)/$NU$74,$NN$74/$NT$74)),0)</f>
        <v/>
      </c>
      <c r="CA74" s="402">
        <f>IF(AND(75&gt;=$NR$74,75&lt;=$NS$74),IF($NP$74="Single_Point",IF(75=$NR$74,$NN$74,0),IF($NP$74="Bell_Curve",$NN$74*(75-$NR$74+1)*($NS$74-75+1)/$NU$74,$NN$74/$NT$74)),0)</f>
        <v/>
      </c>
      <c r="CB74" s="402">
        <f>IF(AND(76&gt;=$NR$74,76&lt;=$NS$74),IF($NP$74="Single_Point",IF(76=$NR$74,$NN$74,0),IF($NP$74="Bell_Curve",$NN$74*(76-$NR$74+1)*($NS$74-76+1)/$NU$74,$NN$74/$NT$74)),0)</f>
        <v/>
      </c>
      <c r="CC74" s="402">
        <f>IF(AND(77&gt;=$NR$74,77&lt;=$NS$74),IF($NP$74="Single_Point",IF(77=$NR$74,$NN$74,0),IF($NP$74="Bell_Curve",$NN$74*(77-$NR$74+1)*($NS$74-77+1)/$NU$74,$NN$74/$NT$74)),0)</f>
        <v/>
      </c>
      <c r="CD74" s="402">
        <f>IF(AND(78&gt;=$NR$74,78&lt;=$NS$74),IF($NP$74="Single_Point",IF(78=$NR$74,$NN$74,0),IF($NP$74="Bell_Curve",$NN$74*(78-$NR$74+1)*($NS$74-78+1)/$NU$74,$NN$74/$NT$74)),0)</f>
        <v/>
      </c>
      <c r="CE74" s="402">
        <f>IF(AND(79&gt;=$NR$74,79&lt;=$NS$74),IF($NP$74="Single_Point",IF(79=$NR$74,$NN$74,0),IF($NP$74="Bell_Curve",$NN$74*(79-$NR$74+1)*($NS$74-79+1)/$NU$74,$NN$74/$NT$74)),0)</f>
        <v/>
      </c>
      <c r="CF74" s="402">
        <f>IF(AND(80&gt;=$NR$74,80&lt;=$NS$74),IF($NP$74="Single_Point",IF(80=$NR$74,$NN$74,0),IF($NP$74="Bell_Curve",$NN$74*(80-$NR$74+1)*($NS$74-80+1)/$NU$74,$NN$74/$NT$74)),0)</f>
        <v/>
      </c>
      <c r="CG74" s="402">
        <f>IF(AND(81&gt;=$NR$74,81&lt;=$NS$74),IF($NP$74="Single_Point",IF(81=$NR$74,$NN$74,0),IF($NP$74="Bell_Curve",$NN$74*(81-$NR$74+1)*($NS$74-81+1)/$NU$74,$NN$74/$NT$74)),0)</f>
        <v/>
      </c>
      <c r="CH74" s="402">
        <f>IF(AND(82&gt;=$NR$74,82&lt;=$NS$74),IF($NP$74="Single_Point",IF(82=$NR$74,$NN$74,0),IF($NP$74="Bell_Curve",$NN$74*(82-$NR$74+1)*($NS$74-82+1)/$NU$74,$NN$74/$NT$74)),0)</f>
        <v/>
      </c>
      <c r="CI74" s="402">
        <f>IF(AND(83&gt;=$NR$74,83&lt;=$NS$74),IF($NP$74="Single_Point",IF(83=$NR$74,$NN$74,0),IF($NP$74="Bell_Curve",$NN$74*(83-$NR$74+1)*($NS$74-83+1)/$NU$74,$NN$74/$NT$74)),0)</f>
        <v/>
      </c>
      <c r="CJ74" s="402">
        <f>IF(AND(84&gt;=$NR$74,84&lt;=$NS$74),IF($NP$74="Single_Point",IF(84=$NR$74,$NN$74,0),IF($NP$74="Bell_Curve",$NN$74*(84-$NR$74+1)*($NS$74-84+1)/$NU$74,$NN$74/$NT$74)),0)</f>
        <v/>
      </c>
      <c r="CK74" s="402">
        <f>IF(AND(85&gt;=$NR$74,85&lt;=$NS$74),IF($NP$74="Single_Point",IF(85=$NR$74,$NN$74,0),IF($NP$74="Bell_Curve",$NN$74*(85-$NR$74+1)*($NS$74-85+1)/$NU$74,$NN$74/$NT$74)),0)</f>
        <v/>
      </c>
      <c r="CL74" s="402">
        <f>IF(AND(86&gt;=$NR$74,86&lt;=$NS$74),IF($NP$74="Single_Point",IF(86=$NR$74,$NN$74,0),IF($NP$74="Bell_Curve",$NN$74*(86-$NR$74+1)*($NS$74-86+1)/$NU$74,$NN$74/$NT$74)),0)</f>
        <v/>
      </c>
      <c r="CM74" s="402">
        <f>IF(AND(87&gt;=$NR$74,87&lt;=$NS$74),IF($NP$74="Single_Point",IF(87=$NR$74,$NN$74,0),IF($NP$74="Bell_Curve",$NN$74*(87-$NR$74+1)*($NS$74-87+1)/$NU$74,$NN$74/$NT$74)),0)</f>
        <v/>
      </c>
      <c r="CN74" s="402">
        <f>IF(AND(88&gt;=$NR$74,88&lt;=$NS$74),IF($NP$74="Single_Point",IF(88=$NR$74,$NN$74,0),IF($NP$74="Bell_Curve",$NN$74*(88-$NR$74+1)*($NS$74-88+1)/$NU$74,$NN$74/$NT$74)),0)</f>
        <v/>
      </c>
      <c r="CO74" s="402">
        <f>IF(AND(89&gt;=$NR$74,89&lt;=$NS$74),IF($NP$74="Single_Point",IF(89=$NR$74,$NN$74,0),IF($NP$74="Bell_Curve",$NN$74*(89-$NR$74+1)*($NS$74-89+1)/$NU$74,$NN$74/$NT$74)),0)</f>
        <v/>
      </c>
      <c r="CP74" s="402">
        <f>IF(AND(90&gt;=$NR$74,90&lt;=$NS$74),IF($NP$74="Single_Point",IF(90=$NR$74,$NN$74,0),IF($NP$74="Bell_Curve",$NN$74*(90-$NR$74+1)*($NS$74-90+1)/$NU$74,$NN$74/$NT$74)),0)</f>
        <v/>
      </c>
      <c r="CQ74" s="402">
        <f>IF(AND(91&gt;=$NR$74,91&lt;=$NS$74),IF($NP$74="Single_Point",IF(91=$NR$74,$NN$74,0),IF($NP$74="Bell_Curve",$NN$74*(91-$NR$74+1)*($NS$74-91+1)/$NU$74,$NN$74/$NT$74)),0)</f>
        <v/>
      </c>
      <c r="CR74" s="402">
        <f>IF(AND(92&gt;=$NR$74,92&lt;=$NS$74),IF($NP$74="Single_Point",IF(92=$NR$74,$NN$74,0),IF($NP$74="Bell_Curve",$NN$74*(92-$NR$74+1)*($NS$74-92+1)/$NU$74,$NN$74/$NT$74)),0)</f>
        <v/>
      </c>
      <c r="CS74" s="402">
        <f>IF(AND(93&gt;=$NR$74,93&lt;=$NS$74),IF($NP$74="Single_Point",IF(93=$NR$74,$NN$74,0),IF($NP$74="Bell_Curve",$NN$74*(93-$NR$74+1)*($NS$74-93+1)/$NU$74,$NN$74/$NT$74)),0)</f>
        <v/>
      </c>
      <c r="CT74" s="402">
        <f>IF(AND(94&gt;=$NR$74,94&lt;=$NS$74),IF($NP$74="Single_Point",IF(94=$NR$74,$NN$74,0),IF($NP$74="Bell_Curve",$NN$74*(94-$NR$74+1)*($NS$74-94+1)/$NU$74,$NN$74/$NT$74)),0)</f>
        <v/>
      </c>
      <c r="CU74" s="402">
        <f>IF(AND(95&gt;=$NR$74,95&lt;=$NS$74),IF($NP$74="Single_Point",IF(95=$NR$74,$NN$74,0),IF($NP$74="Bell_Curve",$NN$74*(95-$NR$74+1)*($NS$74-95+1)/$NU$74,$NN$74/$NT$74)),0)</f>
        <v/>
      </c>
      <c r="CV74" s="402">
        <f>IF(AND(96&gt;=$NR$74,96&lt;=$NS$74),IF($NP$74="Single_Point",IF(96=$NR$74,$NN$74,0),IF($NP$74="Bell_Curve",$NN$74*(96-$NR$74+1)*($NS$74-96+1)/$NU$74,$NN$74/$NT$74)),0)</f>
        <v/>
      </c>
      <c r="CW74" s="402">
        <f>IF(AND(97&gt;=$NR$74,97&lt;=$NS$74),IF($NP$74="Single_Point",IF(97=$NR$74,$NN$74,0),IF($NP$74="Bell_Curve",$NN$74*(97-$NR$74+1)*($NS$74-97+1)/$NU$74,$NN$74/$NT$74)),0)</f>
        <v/>
      </c>
      <c r="CX74" s="402">
        <f>IF(AND(98&gt;=$NR$74,98&lt;=$NS$74),IF($NP$74="Single_Point",IF(98=$NR$74,$NN$74,0),IF($NP$74="Bell_Curve",$NN$74*(98-$NR$74+1)*($NS$74-98+1)/$NU$74,$NN$74/$NT$74)),0)</f>
        <v/>
      </c>
      <c r="CY74" s="402">
        <f>IF(AND(99&gt;=$NR$74,99&lt;=$NS$74),IF($NP$74="Single_Point",IF(99=$NR$74,$NN$74,0),IF($NP$74="Bell_Curve",$NN$74*(99-$NR$74+1)*($NS$74-99+1)/$NU$74,$NN$74/$NT$74)),0)</f>
        <v/>
      </c>
      <c r="CZ74" s="402">
        <f>IF(AND(100&gt;=$NR$74,100&lt;=$NS$74),IF($NP$74="Single_Point",IF(100=$NR$74,$NN$74,0),IF($NP$74="Bell_Curve",$NN$74*(100-$NR$74+1)*($NS$74-100+1)/$NU$74,$NN$74/$NT$74)),0)</f>
        <v/>
      </c>
      <c r="DA74" s="402">
        <f>IF(AND(101&gt;=$NR$74,101&lt;=$NS$74),IF($NP$74="Single_Point",IF(101=$NR$74,$NN$74,0),IF($NP$74="Bell_Curve",$NN$74*(101-$NR$74+1)*($NS$74-101+1)/$NU$74,$NN$74/$NT$74)),0)</f>
        <v/>
      </c>
      <c r="DB74" s="402">
        <f>IF(AND(102&gt;=$NR$74,102&lt;=$NS$74),IF($NP$74="Single_Point",IF(102=$NR$74,$NN$74,0),IF($NP$74="Bell_Curve",$NN$74*(102-$NR$74+1)*($NS$74-102+1)/$NU$74,$NN$74/$NT$74)),0)</f>
        <v/>
      </c>
      <c r="DC74" s="402">
        <f>IF(AND(103&gt;=$NR$74,103&lt;=$NS$74),IF($NP$74="Single_Point",IF(103=$NR$74,$NN$74,0),IF($NP$74="Bell_Curve",$NN$74*(103-$NR$74+1)*($NS$74-103+1)/$NU$74,$NN$74/$NT$74)),0)</f>
        <v/>
      </c>
      <c r="DD74" s="402">
        <f>IF(AND(104&gt;=$NR$74,104&lt;=$NS$74),IF($NP$74="Single_Point",IF(104=$NR$74,$NN$74,0),IF($NP$74="Bell_Curve",$NN$74*(104-$NR$74+1)*($NS$74-104+1)/$NU$74,$NN$74/$NT$74)),0)</f>
        <v/>
      </c>
      <c r="DE74" s="402">
        <f>IF(AND(105&gt;=$NR$74,105&lt;=$NS$74),IF($NP$74="Single_Point",IF(105=$NR$74,$NN$74,0),IF($NP$74="Bell_Curve",$NN$74*(105-$NR$74+1)*($NS$74-105+1)/$NU$74,$NN$74/$NT$74)),0)</f>
        <v/>
      </c>
      <c r="DF74" s="402">
        <f>IF(AND(106&gt;=$NR$74,106&lt;=$NS$74),IF($NP$74="Single_Point",IF(106=$NR$74,$NN$74,0),IF($NP$74="Bell_Curve",$NN$74*(106-$NR$74+1)*($NS$74-106+1)/$NU$74,$NN$74/$NT$74)),0)</f>
        <v/>
      </c>
      <c r="DG74" s="402">
        <f>IF(AND(107&gt;=$NR$74,107&lt;=$NS$74),IF($NP$74="Single_Point",IF(107=$NR$74,$NN$74,0),IF($NP$74="Bell_Curve",$NN$74*(107-$NR$74+1)*($NS$74-107+1)/$NU$74,$NN$74/$NT$74)),0)</f>
        <v/>
      </c>
      <c r="DH74" s="402">
        <f>IF(AND(108&gt;=$NR$74,108&lt;=$NS$74),IF($NP$74="Single_Point",IF(108=$NR$74,$NN$74,0),IF($NP$74="Bell_Curve",$NN$74*(108-$NR$74+1)*($NS$74-108+1)/$NU$74,$NN$74/$NT$74)),0)</f>
        <v/>
      </c>
      <c r="DI74" s="402">
        <f>IF(AND(109&gt;=$NR$74,109&lt;=$NS$74),IF($NP$74="Single_Point",IF(109=$NR$74,$NN$74,0),IF($NP$74="Bell_Curve",$NN$74*(109-$NR$74+1)*($NS$74-109+1)/$NU$74,$NN$74/$NT$74)),0)</f>
        <v/>
      </c>
      <c r="DJ74" s="402">
        <f>IF(AND(110&gt;=$NR$74,110&lt;=$NS$74),IF($NP$74="Single_Point",IF(110=$NR$74,$NN$74,0),IF($NP$74="Bell_Curve",$NN$74*(110-$NR$74+1)*($NS$74-110+1)/$NU$74,$NN$74/$NT$74)),0)</f>
        <v/>
      </c>
      <c r="DK74" s="402">
        <f>IF(AND(111&gt;=$NR$74,111&lt;=$NS$74),IF($NP$74="Single_Point",IF(111=$NR$74,$NN$74,0),IF($NP$74="Bell_Curve",$NN$74*(111-$NR$74+1)*($NS$74-111+1)/$NU$74,$NN$74/$NT$74)),0)</f>
        <v/>
      </c>
      <c r="DL74" s="402">
        <f>IF(AND(112&gt;=$NR$74,112&lt;=$NS$74),IF($NP$74="Single_Point",IF(112=$NR$74,$NN$74,0),IF($NP$74="Bell_Curve",$NN$74*(112-$NR$74+1)*($NS$74-112+1)/$NU$74,$NN$74/$NT$74)),0)</f>
        <v/>
      </c>
      <c r="DM74" s="402">
        <f>IF(AND(113&gt;=$NR$74,113&lt;=$NS$74),IF($NP$74="Single_Point",IF(113=$NR$74,$NN$74,0),IF($NP$74="Bell_Curve",$NN$74*(113-$NR$74+1)*($NS$74-113+1)/$NU$74,$NN$74/$NT$74)),0)</f>
        <v/>
      </c>
      <c r="DN74" s="402">
        <f>IF(AND(114&gt;=$NR$74,114&lt;=$NS$74),IF($NP$74="Single_Point",IF(114=$NR$74,$NN$74,0),IF($NP$74="Bell_Curve",$NN$74*(114-$NR$74+1)*($NS$74-114+1)/$NU$74,$NN$74/$NT$74)),0)</f>
        <v/>
      </c>
      <c r="DO74" s="402">
        <f>IF(AND(115&gt;=$NR$74,115&lt;=$NS$74),IF($NP$74="Single_Point",IF(115=$NR$74,$NN$74,0),IF($NP$74="Bell_Curve",$NN$74*(115-$NR$74+1)*($NS$74-115+1)/$NU$74,$NN$74/$NT$74)),0)</f>
        <v/>
      </c>
      <c r="DP74" s="402">
        <f>IF(AND(116&gt;=$NR$74,116&lt;=$NS$74),IF($NP$74="Single_Point",IF(116=$NR$74,$NN$74,0),IF($NP$74="Bell_Curve",$NN$74*(116-$NR$74+1)*($NS$74-116+1)/$NU$74,$NN$74/$NT$74)),0)</f>
        <v/>
      </c>
      <c r="DQ74" s="402">
        <f>IF(AND(117&gt;=$NR$74,117&lt;=$NS$74),IF($NP$74="Single_Point",IF(117=$NR$74,$NN$74,0),IF($NP$74="Bell_Curve",$NN$74*(117-$NR$74+1)*($NS$74-117+1)/$NU$74,$NN$74/$NT$74)),0)</f>
        <v/>
      </c>
      <c r="DR74" s="402">
        <f>IF(AND(118&gt;=$NR$74,118&lt;=$NS$74),IF($NP$74="Single_Point",IF(118=$NR$74,$NN$74,0),IF($NP$74="Bell_Curve",$NN$74*(118-$NR$74+1)*($NS$74-118+1)/$NU$74,$NN$74/$NT$74)),0)</f>
        <v/>
      </c>
      <c r="DS74" s="402">
        <f>IF(AND(119&gt;=$NR$74,119&lt;=$NS$74),IF($NP$74="Single_Point",IF(119=$NR$74,$NN$74,0),IF($NP$74="Bell_Curve",$NN$74*(119-$NR$74+1)*($NS$74-119+1)/$NU$74,$NN$74/$NT$74)),0)</f>
        <v/>
      </c>
      <c r="DT74" s="402">
        <f>IF(AND(120&gt;=$NR$74,120&lt;=$NS$74),IF($NP$74="Single_Point",IF(120=$NR$74,$NN$74,0),IF($NP$74="Bell_Curve",$NN$74*(120-$NR$74+1)*($NS$74-120+1)/$NU$74,$NN$74/$NT$74)),0)</f>
        <v/>
      </c>
      <c r="DU74" s="402">
        <f>IF(AND(121&gt;=$NR$74,121&lt;=$NS$74),IF($NP$74="Single_Point",IF(121=$NR$74,$NN$74,0),IF($NP$74="Bell_Curve",$NN$74*(121-$NR$74+1)*($NS$74-121+1)/$NU$74,$NN$74/$NT$74)),0)</f>
        <v/>
      </c>
      <c r="DV74" s="402">
        <f>IF(AND(122&gt;=$NR$74,122&lt;=$NS$74),IF($NP$74="Single_Point",IF(122=$NR$74,$NN$74,0),IF($NP$74="Bell_Curve",$NN$74*(122-$NR$74+1)*($NS$74-122+1)/$NU$74,$NN$74/$NT$74)),0)</f>
        <v/>
      </c>
      <c r="DW74" s="402">
        <f>IF(AND(123&gt;=$NR$74,123&lt;=$NS$74),IF($NP$74="Single_Point",IF(123=$NR$74,$NN$74,0),IF($NP$74="Bell_Curve",$NN$74*(123-$NR$74+1)*($NS$74-123+1)/$NU$74,$NN$74/$NT$74)),0)</f>
        <v/>
      </c>
      <c r="DX74" s="402">
        <f>IF(AND(124&gt;=$NR$74,124&lt;=$NS$74),IF($NP$74="Single_Point",IF(124=$NR$74,$NN$74,0),IF($NP$74="Bell_Curve",$NN$74*(124-$NR$74+1)*($NS$74-124+1)/$NU$74,$NN$74/$NT$74)),0)</f>
        <v/>
      </c>
      <c r="DY74" s="402">
        <f>IF(AND(125&gt;=$NR$74,125&lt;=$NS$74),IF($NP$74="Single_Point",IF(125=$NR$74,$NN$74,0),IF($NP$74="Bell_Curve",$NN$74*(125-$NR$74+1)*($NS$74-125+1)/$NU$74,$NN$74/$NT$74)),0)</f>
        <v/>
      </c>
      <c r="DZ74" s="402">
        <f>IF(AND(126&gt;=$NR$74,126&lt;=$NS$74),IF($NP$74="Single_Point",IF(126=$NR$74,$NN$74,0),IF($NP$74="Bell_Curve",$NN$74*(126-$NR$74+1)*($NS$74-126+1)/$NU$74,$NN$74/$NT$74)),0)</f>
        <v/>
      </c>
      <c r="EA74" s="402">
        <f>IF(AND(127&gt;=$NR$74,127&lt;=$NS$74),IF($NP$74="Single_Point",IF(127=$NR$74,$NN$74,0),IF($NP$74="Bell_Curve",$NN$74*(127-$NR$74+1)*($NS$74-127+1)/$NU$74,$NN$74/$NT$74)),0)</f>
        <v/>
      </c>
      <c r="EB74" s="402">
        <f>IF(AND(128&gt;=$NR$74,128&lt;=$NS$74),IF($NP$74="Single_Point",IF(128=$NR$74,$NN$74,0),IF($NP$74="Bell_Curve",$NN$74*(128-$NR$74+1)*($NS$74-128+1)/$NU$74,$NN$74/$NT$74)),0)</f>
        <v/>
      </c>
      <c r="EC74" s="402">
        <f>IF(AND(129&gt;=$NR$74,129&lt;=$NS$74),IF($NP$74="Single_Point",IF(129=$NR$74,$NN$74,0),IF($NP$74="Bell_Curve",$NN$74*(129-$NR$74+1)*($NS$74-129+1)/$NU$74,$NN$74/$NT$74)),0)</f>
        <v/>
      </c>
      <c r="ED74" s="402">
        <f>IF(AND(130&gt;=$NR$74,130&lt;=$NS$74),IF($NP$74="Single_Point",IF(130=$NR$74,$NN$74,0),IF($NP$74="Bell_Curve",$NN$74*(130-$NR$74+1)*($NS$74-130+1)/$NU$74,$NN$74/$NT$74)),0)</f>
        <v/>
      </c>
      <c r="EE74" s="402">
        <f>IF(AND(131&gt;=$NR$74,131&lt;=$NS$74),IF($NP$74="Single_Point",IF(131=$NR$74,$NN$74,0),IF($NP$74="Bell_Curve",$NN$74*(131-$NR$74+1)*($NS$74-131+1)/$NU$74,$NN$74/$NT$74)),0)</f>
        <v/>
      </c>
      <c r="EF74" s="402">
        <f>IF(AND(132&gt;=$NR$74,132&lt;=$NS$74),IF($NP$74="Single_Point",IF(132=$NR$74,$NN$74,0),IF($NP$74="Bell_Curve",$NN$74*(132-$NR$74+1)*($NS$74-132+1)/$NU$74,$NN$74/$NT$74)),0)</f>
        <v/>
      </c>
      <c r="EG74" s="402">
        <f>IF(AND(133&gt;=$NR$74,133&lt;=$NS$74),IF($NP$74="Single_Point",IF(133=$NR$74,$NN$74,0),IF($NP$74="Bell_Curve",$NN$74*(133-$NR$74+1)*($NS$74-133+1)/$NU$74,$NN$74/$NT$74)),0)</f>
        <v/>
      </c>
      <c r="EH74" s="402">
        <f>IF(AND(134&gt;=$NR$74,134&lt;=$NS$74),IF($NP$74="Single_Point",IF(134=$NR$74,$NN$74,0),IF($NP$74="Bell_Curve",$NN$74*(134-$NR$74+1)*($NS$74-134+1)/$NU$74,$NN$74/$NT$74)),0)</f>
        <v/>
      </c>
      <c r="EI74" s="402">
        <f>IF(AND(135&gt;=$NR$74,135&lt;=$NS$74),IF($NP$74="Single_Point",IF(135=$NR$74,$NN$74,0),IF($NP$74="Bell_Curve",$NN$74*(135-$NR$74+1)*($NS$74-135+1)/$NU$74,$NN$74/$NT$74)),0)</f>
        <v/>
      </c>
      <c r="EJ74" s="402">
        <f>IF(AND(136&gt;=$NR$74,136&lt;=$NS$74),IF($NP$74="Single_Point",IF(136=$NR$74,$NN$74,0),IF($NP$74="Bell_Curve",$NN$74*(136-$NR$74+1)*($NS$74-136+1)/$NU$74,$NN$74/$NT$74)),0)</f>
        <v/>
      </c>
      <c r="EK74" s="402">
        <f>IF(AND(137&gt;=$NR$74,137&lt;=$NS$74),IF($NP$74="Single_Point",IF(137=$NR$74,$NN$74,0),IF($NP$74="Bell_Curve",$NN$74*(137-$NR$74+1)*($NS$74-137+1)/$NU$74,$NN$74/$NT$74)),0)</f>
        <v/>
      </c>
      <c r="EL74" s="402">
        <f>IF(AND(138&gt;=$NR$74,138&lt;=$NS$74),IF($NP$74="Single_Point",IF(138=$NR$74,$NN$74,0),IF($NP$74="Bell_Curve",$NN$74*(138-$NR$74+1)*($NS$74-138+1)/$NU$74,$NN$74/$NT$74)),0)</f>
        <v/>
      </c>
      <c r="EM74" s="402">
        <f>IF(AND(139&gt;=$NR$74,139&lt;=$NS$74),IF($NP$74="Single_Point",IF(139=$NR$74,$NN$74,0),IF($NP$74="Bell_Curve",$NN$74*(139-$NR$74+1)*($NS$74-139+1)/$NU$74,$NN$74/$NT$74)),0)</f>
        <v/>
      </c>
      <c r="EN74" s="402">
        <f>IF(AND(140&gt;=$NR$74,140&lt;=$NS$74),IF($NP$74="Single_Point",IF(140=$NR$74,$NN$74,0),IF($NP$74="Bell_Curve",$NN$74*(140-$NR$74+1)*($NS$74-140+1)/$NU$74,$NN$74/$NT$74)),0)</f>
        <v/>
      </c>
      <c r="EO74" s="402">
        <f>IF(AND(141&gt;=$NR$74,141&lt;=$NS$74),IF($NP$74="Single_Point",IF(141=$NR$74,$NN$74,0),IF($NP$74="Bell_Curve",$NN$74*(141-$NR$74+1)*($NS$74-141+1)/$NU$74,$NN$74/$NT$74)),0)</f>
        <v/>
      </c>
      <c r="EP74" s="402">
        <f>IF(AND(142&gt;=$NR$74,142&lt;=$NS$74),IF($NP$74="Single_Point",IF(142=$NR$74,$NN$74,0),IF($NP$74="Bell_Curve",$NN$74*(142-$NR$74+1)*($NS$74-142+1)/$NU$74,$NN$74/$NT$74)),0)</f>
        <v/>
      </c>
      <c r="EQ74" s="402">
        <f>IF(AND(143&gt;=$NR$74,143&lt;=$NS$74),IF($NP$74="Single_Point",IF(143=$NR$74,$NN$74,0),IF($NP$74="Bell_Curve",$NN$74*(143-$NR$74+1)*($NS$74-143+1)/$NU$74,$NN$74/$NT$74)),0)</f>
        <v/>
      </c>
      <c r="ER74" s="402">
        <f>IF(AND(144&gt;=$NR$74,144&lt;=$NS$74),IF($NP$74="Single_Point",IF(144=$NR$74,$NN$74,0),IF($NP$74="Bell_Curve",$NN$74*(144-$NR$74+1)*($NS$74-144+1)/$NU$74,$NN$74/$NT$74)),0)</f>
        <v/>
      </c>
      <c r="ES74" s="402">
        <f>IF(AND(145&gt;=$NR$74,145&lt;=$NS$74),IF($NP$74="Single_Point",IF(145=$NR$74,$NN$74,0),IF($NP$74="Bell_Curve",$NN$74*(145-$NR$74+1)*($NS$74-145+1)/$NU$74,$NN$74/$NT$74)),0)</f>
        <v/>
      </c>
      <c r="ET74" s="402">
        <f>IF(AND(146&gt;=$NR$74,146&lt;=$NS$74),IF($NP$74="Single_Point",IF(146=$NR$74,$NN$74,0),IF($NP$74="Bell_Curve",$NN$74*(146-$NR$74+1)*($NS$74-146+1)/$NU$74,$NN$74/$NT$74)),0)</f>
        <v/>
      </c>
      <c r="EU74" s="402">
        <f>IF(AND(147&gt;=$NR$74,147&lt;=$NS$74),IF($NP$74="Single_Point",IF(147=$NR$74,$NN$74,0),IF($NP$74="Bell_Curve",$NN$74*(147-$NR$74+1)*($NS$74-147+1)/$NU$74,$NN$74/$NT$74)),0)</f>
        <v/>
      </c>
      <c r="EV74" s="402">
        <f>IF(AND(148&gt;=$NR$74,148&lt;=$NS$74),IF($NP$74="Single_Point",IF(148=$NR$74,$NN$74,0),IF($NP$74="Bell_Curve",$NN$74*(148-$NR$74+1)*($NS$74-148+1)/$NU$74,$NN$74/$NT$74)),0)</f>
        <v/>
      </c>
      <c r="EW74" s="402">
        <f>IF(AND(149&gt;=$NR$74,149&lt;=$NS$74),IF($NP$74="Single_Point",IF(149=$NR$74,$NN$74,0),IF($NP$74="Bell_Curve",$NN$74*(149-$NR$74+1)*($NS$74-149+1)/$NU$74,$NN$74/$NT$74)),0)</f>
        <v/>
      </c>
      <c r="EX74" s="402">
        <f>IF(AND(150&gt;=$NR$74,150&lt;=$NS$74),IF($NP$74="Single_Point",IF(150=$NR$74,$NN$74,0),IF($NP$74="Bell_Curve",$NN$74*(150-$NR$74+1)*($NS$74-150+1)/$NU$74,$NN$74/$NT$74)),0)</f>
        <v/>
      </c>
      <c r="EY74" s="402">
        <f>IF(AND(151&gt;=$NR$74,151&lt;=$NS$74),IF($NP$74="Single_Point",IF(151=$NR$74,$NN$74,0),IF($NP$74="Bell_Curve",$NN$74*(151-$NR$74+1)*($NS$74-151+1)/$NU$74,$NN$74/$NT$74)),0)</f>
        <v/>
      </c>
      <c r="EZ74" s="402">
        <f>IF(AND(152&gt;=$NR$74,152&lt;=$NS$74),IF($NP$74="Single_Point",IF(152=$NR$74,$NN$74,0),IF($NP$74="Bell_Curve",$NN$74*(152-$NR$74+1)*($NS$74-152+1)/$NU$74,$NN$74/$NT$74)),0)</f>
        <v/>
      </c>
      <c r="FA74" s="402">
        <f>IF(AND(153&gt;=$NR$74,153&lt;=$NS$74),IF($NP$74="Single_Point",IF(153=$NR$74,$NN$74,0),IF($NP$74="Bell_Curve",$NN$74*(153-$NR$74+1)*($NS$74-153+1)/$NU$74,$NN$74/$NT$74)),0)</f>
        <v/>
      </c>
      <c r="FB74" s="402">
        <f>IF(AND(154&gt;=$NR$74,154&lt;=$NS$74),IF($NP$74="Single_Point",IF(154=$NR$74,$NN$74,0),IF($NP$74="Bell_Curve",$NN$74*(154-$NR$74+1)*($NS$74-154+1)/$NU$74,$NN$74/$NT$74)),0)</f>
        <v/>
      </c>
      <c r="FC74" s="402">
        <f>IF(AND(155&gt;=$NR$74,155&lt;=$NS$74),IF($NP$74="Single_Point",IF(155=$NR$74,$NN$74,0),IF($NP$74="Bell_Curve",$NN$74*(155-$NR$74+1)*($NS$74-155+1)/$NU$74,$NN$74/$NT$74)),0)</f>
        <v/>
      </c>
      <c r="FD74" s="402">
        <f>IF(AND(156&gt;=$NR$74,156&lt;=$NS$74),IF($NP$74="Single_Point",IF(156=$NR$74,$NN$74,0),IF($NP$74="Bell_Curve",$NN$74*(156-$NR$74+1)*($NS$74-156+1)/$NU$74,$NN$74/$NT$74)),0)</f>
        <v/>
      </c>
      <c r="FE74" s="402">
        <f>IF(AND(157&gt;=$NR$74,157&lt;=$NS$74),IF($NP$74="Single_Point",IF(157=$NR$74,$NN$74,0),IF($NP$74="Bell_Curve",$NN$74*(157-$NR$74+1)*($NS$74-157+1)/$NU$74,$NN$74/$NT$74)),0)</f>
        <v/>
      </c>
      <c r="FF74" s="402">
        <f>IF(AND(158&gt;=$NR$74,158&lt;=$NS$74),IF($NP$74="Single_Point",IF(158=$NR$74,$NN$74,0),IF($NP$74="Bell_Curve",$NN$74*(158-$NR$74+1)*($NS$74-158+1)/$NU$74,$NN$74/$NT$74)),0)</f>
        <v/>
      </c>
      <c r="FG74" s="402">
        <f>IF(AND(159&gt;=$NR$74,159&lt;=$NS$74),IF($NP$74="Single_Point",IF(159=$NR$74,$NN$74,0),IF($NP$74="Bell_Curve",$NN$74*(159-$NR$74+1)*($NS$74-159+1)/$NU$74,$NN$74/$NT$74)),0)</f>
        <v/>
      </c>
      <c r="FH74" s="402">
        <f>IF(AND(160&gt;=$NR$74,160&lt;=$NS$74),IF($NP$74="Single_Point",IF(160=$NR$74,$NN$74,0),IF($NP$74="Bell_Curve",$NN$74*(160-$NR$74+1)*($NS$74-160+1)/$NU$74,$NN$74/$NT$74)),0)</f>
        <v/>
      </c>
      <c r="FI74" s="402">
        <f>IF(AND(161&gt;=$NR$74,161&lt;=$NS$74),IF($NP$74="Single_Point",IF(161=$NR$74,$NN$74,0),IF($NP$74="Bell_Curve",$NN$74*(161-$NR$74+1)*($NS$74-161+1)/$NU$74,$NN$74/$NT$74)),0)</f>
        <v/>
      </c>
      <c r="FJ74" s="402">
        <f>IF(AND(162&gt;=$NR$74,162&lt;=$NS$74),IF($NP$74="Single_Point",IF(162=$NR$74,$NN$74,0),IF($NP$74="Bell_Curve",$NN$74*(162-$NR$74+1)*($NS$74-162+1)/$NU$74,$NN$74/$NT$74)),0)</f>
        <v/>
      </c>
      <c r="FK74" s="402">
        <f>IF(AND(163&gt;=$NR$74,163&lt;=$NS$74),IF($NP$74="Single_Point",IF(163=$NR$74,$NN$74,0),IF($NP$74="Bell_Curve",$NN$74*(163-$NR$74+1)*($NS$74-163+1)/$NU$74,$NN$74/$NT$74)),0)</f>
        <v/>
      </c>
      <c r="FL74" s="402">
        <f>IF(AND(164&gt;=$NR$74,164&lt;=$NS$74),IF($NP$74="Single_Point",IF(164=$NR$74,$NN$74,0),IF($NP$74="Bell_Curve",$NN$74*(164-$NR$74+1)*($NS$74-164+1)/$NU$74,$NN$74/$NT$74)),0)</f>
        <v/>
      </c>
      <c r="FM74" s="402">
        <f>IF(AND(165&gt;=$NR$74,165&lt;=$NS$74),IF($NP$74="Single_Point",IF(165=$NR$74,$NN$74,0),IF($NP$74="Bell_Curve",$NN$74*(165-$NR$74+1)*($NS$74-165+1)/$NU$74,$NN$74/$NT$74)),0)</f>
        <v/>
      </c>
      <c r="FN74" s="402">
        <f>IF(AND(166&gt;=$NR$74,166&lt;=$NS$74),IF($NP$74="Single_Point",IF(166=$NR$74,$NN$74,0),IF($NP$74="Bell_Curve",$NN$74*(166-$NR$74+1)*($NS$74-166+1)/$NU$74,$NN$74/$NT$74)),0)</f>
        <v/>
      </c>
      <c r="FO74" s="402">
        <f>IF(AND(167&gt;=$NR$74,167&lt;=$NS$74),IF($NP$74="Single_Point",IF(167=$NR$74,$NN$74,0),IF($NP$74="Bell_Curve",$NN$74*(167-$NR$74+1)*($NS$74-167+1)/$NU$74,$NN$74/$NT$74)),0)</f>
        <v/>
      </c>
      <c r="FP74" s="402">
        <f>IF(AND(168&gt;=$NR$74,168&lt;=$NS$74),IF($NP$74="Single_Point",IF(168=$NR$74,$NN$74,0),IF($NP$74="Bell_Curve",$NN$74*(168-$NR$74+1)*($NS$74-168+1)/$NU$74,$NN$74/$NT$74)),0)</f>
        <v/>
      </c>
      <c r="FQ74" s="402">
        <f>IF(AND(169&gt;=$NR$74,169&lt;=$NS$74),IF($NP$74="Single_Point",IF(169=$NR$74,$NN$74,0),IF($NP$74="Bell_Curve",$NN$74*(169-$NR$74+1)*($NS$74-169+1)/$NU$74,$NN$74/$NT$74)),0)</f>
        <v/>
      </c>
      <c r="FR74" s="402">
        <f>IF(AND(170&gt;=$NR$74,170&lt;=$NS$74),IF($NP$74="Single_Point",IF(170=$NR$74,$NN$74,0),IF($NP$74="Bell_Curve",$NN$74*(170-$NR$74+1)*($NS$74-170+1)/$NU$74,$NN$74/$NT$74)),0)</f>
        <v/>
      </c>
      <c r="FS74" s="402">
        <f>IF(AND(171&gt;=$NR$74,171&lt;=$NS$74),IF($NP$74="Single_Point",IF(171=$NR$74,$NN$74,0),IF($NP$74="Bell_Curve",$NN$74*(171-$NR$74+1)*($NS$74-171+1)/$NU$74,$NN$74/$NT$74)),0)</f>
        <v/>
      </c>
      <c r="FT74" s="402">
        <f>IF(AND(172&gt;=$NR$74,172&lt;=$NS$74),IF($NP$74="Single_Point",IF(172=$NR$74,$NN$74,0),IF($NP$74="Bell_Curve",$NN$74*(172-$NR$74+1)*($NS$74-172+1)/$NU$74,$NN$74/$NT$74)),0)</f>
        <v/>
      </c>
      <c r="FU74" s="402">
        <f>IF(AND(173&gt;=$NR$74,173&lt;=$NS$74),IF($NP$74="Single_Point",IF(173=$NR$74,$NN$74,0),IF($NP$74="Bell_Curve",$NN$74*(173-$NR$74+1)*($NS$74-173+1)/$NU$74,$NN$74/$NT$74)),0)</f>
        <v/>
      </c>
      <c r="FV74" s="402">
        <f>IF(AND(174&gt;=$NR$74,174&lt;=$NS$74),IF($NP$74="Single_Point",IF(174=$NR$74,$NN$74,0),IF($NP$74="Bell_Curve",$NN$74*(174-$NR$74+1)*($NS$74-174+1)/$NU$74,$NN$74/$NT$74)),0)</f>
        <v/>
      </c>
      <c r="FW74" s="402">
        <f>IF(AND(175&gt;=$NR$74,175&lt;=$NS$74),IF($NP$74="Single_Point",IF(175=$NR$74,$NN$74,0),IF($NP$74="Bell_Curve",$NN$74*(175-$NR$74+1)*($NS$74-175+1)/$NU$74,$NN$74/$NT$74)),0)</f>
        <v/>
      </c>
      <c r="FX74" s="402">
        <f>IF(AND(176&gt;=$NR$74,176&lt;=$NS$74),IF($NP$74="Single_Point",IF(176=$NR$74,$NN$74,0),IF($NP$74="Bell_Curve",$NN$74*(176-$NR$74+1)*($NS$74-176+1)/$NU$74,$NN$74/$NT$74)),0)</f>
        <v/>
      </c>
      <c r="FY74" s="402">
        <f>IF(AND(177&gt;=$NR$74,177&lt;=$NS$74),IF($NP$74="Single_Point",IF(177=$NR$74,$NN$74,0),IF($NP$74="Bell_Curve",$NN$74*(177-$NR$74+1)*($NS$74-177+1)/$NU$74,$NN$74/$NT$74)),0)</f>
        <v/>
      </c>
      <c r="FZ74" s="402">
        <f>IF(AND(178&gt;=$NR$74,178&lt;=$NS$74),IF($NP$74="Single_Point",IF(178=$NR$74,$NN$74,0),IF($NP$74="Bell_Curve",$NN$74*(178-$NR$74+1)*($NS$74-178+1)/$NU$74,$NN$74/$NT$74)),0)</f>
        <v/>
      </c>
      <c r="GA74" s="402">
        <f>IF(AND(179&gt;=$NR$74,179&lt;=$NS$74),IF($NP$74="Single_Point",IF(179=$NR$74,$NN$74,0),IF($NP$74="Bell_Curve",$NN$74*(179-$NR$74+1)*($NS$74-179+1)/$NU$74,$NN$74/$NT$74)),0)</f>
        <v/>
      </c>
      <c r="GB74" s="402">
        <f>IF(AND(180&gt;=$NR$74,180&lt;=$NS$74),IF($NP$74="Single_Point",IF(180=$NR$74,$NN$74,0),IF($NP$74="Bell_Curve",$NN$74*(180-$NR$74+1)*($NS$74-180+1)/$NU$74,$NN$74/$NT$74)),0)</f>
        <v/>
      </c>
      <c r="GC74" s="402">
        <f>IF(AND(181&gt;=$NR$74,181&lt;=$NS$74),IF($NP$74="Single_Point",IF(181=$NR$74,$NN$74,0),IF($NP$74="Bell_Curve",$NN$74*(181-$NR$74+1)*($NS$74-181+1)/$NU$74,$NN$74/$NT$74)),0)</f>
        <v/>
      </c>
      <c r="GD74" s="402">
        <f>IF(AND(182&gt;=$NR$74,182&lt;=$NS$74),IF($NP$74="Single_Point",IF(182=$NR$74,$NN$74,0),IF($NP$74="Bell_Curve",$NN$74*(182-$NR$74+1)*($NS$74-182+1)/$NU$74,$NN$74/$NT$74)),0)</f>
        <v/>
      </c>
      <c r="GE74" s="402">
        <f>IF(AND(183&gt;=$NR$74,183&lt;=$NS$74),IF($NP$74="Single_Point",IF(183=$NR$74,$NN$74,0),IF($NP$74="Bell_Curve",$NN$74*(183-$NR$74+1)*($NS$74-183+1)/$NU$74,$NN$74/$NT$74)),0)</f>
        <v/>
      </c>
      <c r="GF74" s="402">
        <f>IF(AND(184&gt;=$NR$74,184&lt;=$NS$74),IF($NP$74="Single_Point",IF(184=$NR$74,$NN$74,0),IF($NP$74="Bell_Curve",$NN$74*(184-$NR$74+1)*($NS$74-184+1)/$NU$74,$NN$74/$NT$74)),0)</f>
        <v/>
      </c>
      <c r="GG74" s="402">
        <f>IF(AND(185&gt;=$NR$74,185&lt;=$NS$74),IF($NP$74="Single_Point",IF(185=$NR$74,$NN$74,0),IF($NP$74="Bell_Curve",$NN$74*(185-$NR$74+1)*($NS$74-185+1)/$NU$74,$NN$74/$NT$74)),0)</f>
        <v/>
      </c>
      <c r="GH74" s="402">
        <f>IF(AND(186&gt;=$NR$74,186&lt;=$NS$74),IF($NP$74="Single_Point",IF(186=$NR$74,$NN$74,0),IF($NP$74="Bell_Curve",$NN$74*(186-$NR$74+1)*($NS$74-186+1)/$NU$74,$NN$74/$NT$74)),0)</f>
        <v/>
      </c>
      <c r="GI74" s="402">
        <f>IF(AND(187&gt;=$NR$74,187&lt;=$NS$74),IF($NP$74="Single_Point",IF(187=$NR$74,$NN$74,0),IF($NP$74="Bell_Curve",$NN$74*(187-$NR$74+1)*($NS$74-187+1)/$NU$74,$NN$74/$NT$74)),0)</f>
        <v/>
      </c>
      <c r="GJ74" s="402">
        <f>IF(AND(188&gt;=$NR$74,188&lt;=$NS$74),IF($NP$74="Single_Point",IF(188=$NR$74,$NN$74,0),IF($NP$74="Bell_Curve",$NN$74*(188-$NR$74+1)*($NS$74-188+1)/$NU$74,$NN$74/$NT$74)),0)</f>
        <v/>
      </c>
      <c r="GK74" s="402">
        <f>IF(AND(189&gt;=$NR$74,189&lt;=$NS$74),IF($NP$74="Single_Point",IF(189=$NR$74,$NN$74,0),IF($NP$74="Bell_Curve",$NN$74*(189-$NR$74+1)*($NS$74-189+1)/$NU$74,$NN$74/$NT$74)),0)</f>
        <v/>
      </c>
      <c r="GL74" s="402">
        <f>IF(AND(190&gt;=$NR$74,190&lt;=$NS$74),IF($NP$74="Single_Point",IF(190=$NR$74,$NN$74,0),IF($NP$74="Bell_Curve",$NN$74*(190-$NR$74+1)*($NS$74-190+1)/$NU$74,$NN$74/$NT$74)),0)</f>
        <v/>
      </c>
      <c r="GM74" s="402">
        <f>IF(AND(191&gt;=$NR$74,191&lt;=$NS$74),IF($NP$74="Single_Point",IF(191=$NR$74,$NN$74,0),IF($NP$74="Bell_Curve",$NN$74*(191-$NR$74+1)*($NS$74-191+1)/$NU$74,$NN$74/$NT$74)),0)</f>
        <v/>
      </c>
      <c r="GN74" s="402">
        <f>IF(AND(192&gt;=$NR$74,192&lt;=$NS$74),IF($NP$74="Single_Point",IF(192=$NR$74,$NN$74,0),IF($NP$74="Bell_Curve",$NN$74*(192-$NR$74+1)*($NS$74-192+1)/$NU$74,$NN$74/$NT$74)),0)</f>
        <v/>
      </c>
      <c r="GO74" s="402">
        <f>IF(AND(193&gt;=$NR$74,193&lt;=$NS$74),IF($NP$74="Single_Point",IF(193=$NR$74,$NN$74,0),IF($NP$74="Bell_Curve",$NN$74*(193-$NR$74+1)*($NS$74-193+1)/$NU$74,$NN$74/$NT$74)),0)</f>
        <v/>
      </c>
      <c r="GP74" s="402">
        <f>IF(AND(194&gt;=$NR$74,194&lt;=$NS$74),IF($NP$74="Single_Point",IF(194=$NR$74,$NN$74,0),IF($NP$74="Bell_Curve",$NN$74*(194-$NR$74+1)*($NS$74-194+1)/$NU$74,$NN$74/$NT$74)),0)</f>
        <v/>
      </c>
      <c r="GQ74" s="402">
        <f>IF(AND(195&gt;=$NR$74,195&lt;=$NS$74),IF($NP$74="Single_Point",IF(195=$NR$74,$NN$74,0),IF($NP$74="Bell_Curve",$NN$74*(195-$NR$74+1)*($NS$74-195+1)/$NU$74,$NN$74/$NT$74)),0)</f>
        <v/>
      </c>
      <c r="GR74" s="402">
        <f>IF(AND(196&gt;=$NR$74,196&lt;=$NS$74),IF($NP$74="Single_Point",IF(196=$NR$74,$NN$74,0),IF($NP$74="Bell_Curve",$NN$74*(196-$NR$74+1)*($NS$74-196+1)/$NU$74,$NN$74/$NT$74)),0)</f>
        <v/>
      </c>
      <c r="GS74" s="402">
        <f>IF(AND(197&gt;=$NR$74,197&lt;=$NS$74),IF($NP$74="Single_Point",IF(197=$NR$74,$NN$74,0),IF($NP$74="Bell_Curve",$NN$74*(197-$NR$74+1)*($NS$74-197+1)/$NU$74,$NN$74/$NT$74)),0)</f>
        <v/>
      </c>
      <c r="GT74" s="402">
        <f>IF(AND(198&gt;=$NR$74,198&lt;=$NS$74),IF($NP$74="Single_Point",IF(198=$NR$74,$NN$74,0),IF($NP$74="Bell_Curve",$NN$74*(198-$NR$74+1)*($NS$74-198+1)/$NU$74,$NN$74/$NT$74)),0)</f>
        <v/>
      </c>
      <c r="GU74" s="402">
        <f>IF(AND(199&gt;=$NR$74,199&lt;=$NS$74),IF($NP$74="Single_Point",IF(199=$NR$74,$NN$74,0),IF($NP$74="Bell_Curve",$NN$74*(199-$NR$74+1)*($NS$74-199+1)/$NU$74,$NN$74/$NT$74)),0)</f>
        <v/>
      </c>
      <c r="GV74" s="402">
        <f>IF(AND(200&gt;=$NR$74,200&lt;=$NS$74),IF($NP$74="Single_Point",IF(200=$NR$74,$NN$74,0),IF($NP$74="Bell_Curve",$NN$74*(200-$NR$74+1)*($NS$74-200+1)/$NU$74,$NN$74/$NT$74)),0)</f>
        <v/>
      </c>
      <c r="GW74" s="402">
        <f>IF(AND(201&gt;=$NR$74,201&lt;=$NS$74),IF($NP$74="Single_Point",IF(201=$NR$74,$NN$74,0),IF($NP$74="Bell_Curve",$NN$74*(201-$NR$74+1)*($NS$74-201+1)/$NU$74,$NN$74/$NT$74)),0)</f>
        <v/>
      </c>
      <c r="GX74" s="402">
        <f>IF(AND(202&gt;=$NR$74,202&lt;=$NS$74),IF($NP$74="Single_Point",IF(202=$NR$74,$NN$74,0),IF($NP$74="Bell_Curve",$NN$74*(202-$NR$74+1)*($NS$74-202+1)/$NU$74,$NN$74/$NT$74)),0)</f>
        <v/>
      </c>
      <c r="GY74" s="402">
        <f>IF(AND(203&gt;=$NR$74,203&lt;=$NS$74),IF($NP$74="Single_Point",IF(203=$NR$74,$NN$74,0),IF($NP$74="Bell_Curve",$NN$74*(203-$NR$74+1)*($NS$74-203+1)/$NU$74,$NN$74/$NT$74)),0)</f>
        <v/>
      </c>
      <c r="GZ74" s="402">
        <f>IF(AND(204&gt;=$NR$74,204&lt;=$NS$74),IF($NP$74="Single_Point",IF(204=$NR$74,$NN$74,0),IF($NP$74="Bell_Curve",$NN$74*(204-$NR$74+1)*($NS$74-204+1)/$NU$74,$NN$74/$NT$74)),0)</f>
        <v/>
      </c>
      <c r="HA74" s="402">
        <f>IF(AND(205&gt;=$NR$74,205&lt;=$NS$74),IF($NP$74="Single_Point",IF(205=$NR$74,$NN$74,0),IF($NP$74="Bell_Curve",$NN$74*(205-$NR$74+1)*($NS$74-205+1)/$NU$74,$NN$74/$NT$74)),0)</f>
        <v/>
      </c>
      <c r="HB74" s="402">
        <f>IF(AND(206&gt;=$NR$74,206&lt;=$NS$74),IF($NP$74="Single_Point",IF(206=$NR$74,$NN$74,0),IF($NP$74="Bell_Curve",$NN$74*(206-$NR$74+1)*($NS$74-206+1)/$NU$74,$NN$74/$NT$74)),0)</f>
        <v/>
      </c>
      <c r="HC74" s="402">
        <f>IF(AND(207&gt;=$NR$74,207&lt;=$NS$74),IF($NP$74="Single_Point",IF(207=$NR$74,$NN$74,0),IF($NP$74="Bell_Curve",$NN$74*(207-$NR$74+1)*($NS$74-207+1)/$NU$74,$NN$74/$NT$74)),0)</f>
        <v/>
      </c>
      <c r="HD74" s="402">
        <f>IF(AND(208&gt;=$NR$74,208&lt;=$NS$74),IF($NP$74="Single_Point",IF(208=$NR$74,$NN$74,0),IF($NP$74="Bell_Curve",$NN$74*(208-$NR$74+1)*($NS$74-208+1)/$NU$74,$NN$74/$NT$74)),0)</f>
        <v/>
      </c>
      <c r="HE74" s="402">
        <f>IF(AND(209&gt;=$NR$74,209&lt;=$NS$74),IF($NP$74="Single_Point",IF(209=$NR$74,$NN$74,0),IF($NP$74="Bell_Curve",$NN$74*(209-$NR$74+1)*($NS$74-209+1)/$NU$74,$NN$74/$NT$74)),0)</f>
        <v/>
      </c>
      <c r="HF74" s="402">
        <f>IF(AND(210&gt;=$NR$74,210&lt;=$NS$74),IF($NP$74="Single_Point",IF(210=$NR$74,$NN$74,0),IF($NP$74="Bell_Curve",$NN$74*(210-$NR$74+1)*($NS$74-210+1)/$NU$74,$NN$74/$NT$74)),0)</f>
        <v/>
      </c>
      <c r="HG74" s="402">
        <f>IF(AND(211&gt;=$NR$74,211&lt;=$NS$74),IF($NP$74="Single_Point",IF(211=$NR$74,$NN$74,0),IF($NP$74="Bell_Curve",$NN$74*(211-$NR$74+1)*($NS$74-211+1)/$NU$74,$NN$74/$NT$74)),0)</f>
        <v/>
      </c>
      <c r="HH74" s="402">
        <f>IF(AND(212&gt;=$NR$74,212&lt;=$NS$74),IF($NP$74="Single_Point",IF(212=$NR$74,$NN$74,0),IF($NP$74="Bell_Curve",$NN$74*(212-$NR$74+1)*($NS$74-212+1)/$NU$74,$NN$74/$NT$74)),0)</f>
        <v/>
      </c>
      <c r="HI74" s="402">
        <f>IF(AND(213&gt;=$NR$74,213&lt;=$NS$74),IF($NP$74="Single_Point",IF(213=$NR$74,$NN$74,0),IF($NP$74="Bell_Curve",$NN$74*(213-$NR$74+1)*($NS$74-213+1)/$NU$74,$NN$74/$NT$74)),0)</f>
        <v/>
      </c>
      <c r="HJ74" s="402">
        <f>IF(AND(214&gt;=$NR$74,214&lt;=$NS$74),IF($NP$74="Single_Point",IF(214=$NR$74,$NN$74,0),IF($NP$74="Bell_Curve",$NN$74*(214-$NR$74+1)*($NS$74-214+1)/$NU$74,$NN$74/$NT$74)),0)</f>
        <v/>
      </c>
      <c r="HK74" s="402">
        <f>IF(AND(215&gt;=$NR$74,215&lt;=$NS$74),IF($NP$74="Single_Point",IF(215=$NR$74,$NN$74,0),IF($NP$74="Bell_Curve",$NN$74*(215-$NR$74+1)*($NS$74-215+1)/$NU$74,$NN$74/$NT$74)),0)</f>
        <v/>
      </c>
      <c r="HL74" s="402">
        <f>IF(AND(216&gt;=$NR$74,216&lt;=$NS$74),IF($NP$74="Single_Point",IF(216=$NR$74,$NN$74,0),IF($NP$74="Bell_Curve",$NN$74*(216-$NR$74+1)*($NS$74-216+1)/$NU$74,$NN$74/$NT$74)),0)</f>
        <v/>
      </c>
      <c r="HM74" s="402">
        <f>IF(AND(217&gt;=$NR$74,217&lt;=$NS$74),IF($NP$74="Single_Point",IF(217=$NR$74,$NN$74,0),IF($NP$74="Bell_Curve",$NN$74*(217-$NR$74+1)*($NS$74-217+1)/$NU$74,$NN$74/$NT$74)),0)</f>
        <v/>
      </c>
      <c r="HN74" s="402">
        <f>IF(AND(218&gt;=$NR$74,218&lt;=$NS$74),IF($NP$74="Single_Point",IF(218=$NR$74,$NN$74,0),IF($NP$74="Bell_Curve",$NN$74*(218-$NR$74+1)*($NS$74-218+1)/$NU$74,$NN$74/$NT$74)),0)</f>
        <v/>
      </c>
      <c r="HO74" s="402">
        <f>IF(AND(219&gt;=$NR$74,219&lt;=$NS$74),IF($NP$74="Single_Point",IF(219=$NR$74,$NN$74,0),IF($NP$74="Bell_Curve",$NN$74*(219-$NR$74+1)*($NS$74-219+1)/$NU$74,$NN$74/$NT$74)),0)</f>
        <v/>
      </c>
      <c r="HP74" s="402">
        <f>IF(AND(220&gt;=$NR$74,220&lt;=$NS$74),IF($NP$74="Single_Point",IF(220=$NR$74,$NN$74,0),IF($NP$74="Bell_Curve",$NN$74*(220-$NR$74+1)*($NS$74-220+1)/$NU$74,$NN$74/$NT$74)),0)</f>
        <v/>
      </c>
      <c r="HQ74" s="402">
        <f>IF(AND(221&gt;=$NR$74,221&lt;=$NS$74),IF($NP$74="Single_Point",IF(221=$NR$74,$NN$74,0),IF($NP$74="Bell_Curve",$NN$74*(221-$NR$74+1)*($NS$74-221+1)/$NU$74,$NN$74/$NT$74)),0)</f>
        <v/>
      </c>
      <c r="HR74" s="402">
        <f>IF(AND(222&gt;=$NR$74,222&lt;=$NS$74),IF($NP$74="Single_Point",IF(222=$NR$74,$NN$74,0),IF($NP$74="Bell_Curve",$NN$74*(222-$NR$74+1)*($NS$74-222+1)/$NU$74,$NN$74/$NT$74)),0)</f>
        <v/>
      </c>
      <c r="HS74" s="402">
        <f>IF(AND(223&gt;=$NR$74,223&lt;=$NS$74),IF($NP$74="Single_Point",IF(223=$NR$74,$NN$74,0),IF($NP$74="Bell_Curve",$NN$74*(223-$NR$74+1)*($NS$74-223+1)/$NU$74,$NN$74/$NT$74)),0)</f>
        <v/>
      </c>
      <c r="HT74" s="402">
        <f>IF(AND(224&gt;=$NR$74,224&lt;=$NS$74),IF($NP$74="Single_Point",IF(224=$NR$74,$NN$74,0),IF($NP$74="Bell_Curve",$NN$74*(224-$NR$74+1)*($NS$74-224+1)/$NU$74,$NN$74/$NT$74)),0)</f>
        <v/>
      </c>
      <c r="HU74" s="402">
        <f>IF(AND(225&gt;=$NR$74,225&lt;=$NS$74),IF($NP$74="Single_Point",IF(225=$NR$74,$NN$74,0),IF($NP$74="Bell_Curve",$NN$74*(225-$NR$74+1)*($NS$74-225+1)/$NU$74,$NN$74/$NT$74)),0)</f>
        <v/>
      </c>
      <c r="HV74" s="402">
        <f>IF(AND(226&gt;=$NR$74,226&lt;=$NS$74),IF($NP$74="Single_Point",IF(226=$NR$74,$NN$74,0),IF($NP$74="Bell_Curve",$NN$74*(226-$NR$74+1)*($NS$74-226+1)/$NU$74,$NN$74/$NT$74)),0)</f>
        <v/>
      </c>
      <c r="HW74" s="402">
        <f>IF(AND(227&gt;=$NR$74,227&lt;=$NS$74),IF($NP$74="Single_Point",IF(227=$NR$74,$NN$74,0),IF($NP$74="Bell_Curve",$NN$74*(227-$NR$74+1)*($NS$74-227+1)/$NU$74,$NN$74/$NT$74)),0)</f>
        <v/>
      </c>
      <c r="HX74" s="402">
        <f>IF(AND(228&gt;=$NR$74,228&lt;=$NS$74),IF($NP$74="Single_Point",IF(228=$NR$74,$NN$74,0),IF($NP$74="Bell_Curve",$NN$74*(228-$NR$74+1)*($NS$74-228+1)/$NU$74,$NN$74/$NT$74)),0)</f>
        <v/>
      </c>
      <c r="HY74" s="402">
        <f>IF(AND(229&gt;=$NR$74,229&lt;=$NS$74),IF($NP$74="Single_Point",IF(229=$NR$74,$NN$74,0),IF($NP$74="Bell_Curve",$NN$74*(229-$NR$74+1)*($NS$74-229+1)/$NU$74,$NN$74/$NT$74)),0)</f>
        <v/>
      </c>
      <c r="HZ74" s="402">
        <f>IF(AND(230&gt;=$NR$74,230&lt;=$NS$74),IF($NP$74="Single_Point",IF(230=$NR$74,$NN$74,0),IF($NP$74="Bell_Curve",$NN$74*(230-$NR$74+1)*($NS$74-230+1)/$NU$74,$NN$74/$NT$74)),0)</f>
        <v/>
      </c>
      <c r="IA74" s="402">
        <f>IF(AND(231&gt;=$NR$74,231&lt;=$NS$74),IF($NP$74="Single_Point",IF(231=$NR$74,$NN$74,0),IF($NP$74="Bell_Curve",$NN$74*(231-$NR$74+1)*($NS$74-231+1)/$NU$74,$NN$74/$NT$74)),0)</f>
        <v/>
      </c>
      <c r="IB74" s="402">
        <f>IF(AND(232&gt;=$NR$74,232&lt;=$NS$74),IF($NP$74="Single_Point",IF(232=$NR$74,$NN$74,0),IF($NP$74="Bell_Curve",$NN$74*(232-$NR$74+1)*($NS$74-232+1)/$NU$74,$NN$74/$NT$74)),0)</f>
        <v/>
      </c>
      <c r="IC74" s="402">
        <f>IF(AND(233&gt;=$NR$74,233&lt;=$NS$74),IF($NP$74="Single_Point",IF(233=$NR$74,$NN$74,0),IF($NP$74="Bell_Curve",$NN$74*(233-$NR$74+1)*($NS$74-233+1)/$NU$74,$NN$74/$NT$74)),0)</f>
        <v/>
      </c>
      <c r="ID74" s="402">
        <f>IF(AND(234&gt;=$NR$74,234&lt;=$NS$74),IF($NP$74="Single_Point",IF(234=$NR$74,$NN$74,0),IF($NP$74="Bell_Curve",$NN$74*(234-$NR$74+1)*($NS$74-234+1)/$NU$74,$NN$74/$NT$74)),0)</f>
        <v/>
      </c>
      <c r="IE74" s="402">
        <f>IF(AND(235&gt;=$NR$74,235&lt;=$NS$74),IF($NP$74="Single_Point",IF(235=$NR$74,$NN$74,0),IF($NP$74="Bell_Curve",$NN$74*(235-$NR$74+1)*($NS$74-235+1)/$NU$74,$NN$74/$NT$74)),0)</f>
        <v/>
      </c>
      <c r="IF74" s="402">
        <f>IF(AND(236&gt;=$NR$74,236&lt;=$NS$74),IF($NP$74="Single_Point",IF(236=$NR$74,$NN$74,0),IF($NP$74="Bell_Curve",$NN$74*(236-$NR$74+1)*($NS$74-236+1)/$NU$74,$NN$74/$NT$74)),0)</f>
        <v/>
      </c>
      <c r="IG74" s="402">
        <f>IF(AND(237&gt;=$NR$74,237&lt;=$NS$74),IF($NP$74="Single_Point",IF(237=$NR$74,$NN$74,0),IF($NP$74="Bell_Curve",$NN$74*(237-$NR$74+1)*($NS$74-237+1)/$NU$74,$NN$74/$NT$74)),0)</f>
        <v/>
      </c>
      <c r="IH74" s="402">
        <f>IF(AND(238&gt;=$NR$74,238&lt;=$NS$74),IF($NP$74="Single_Point",IF(238=$NR$74,$NN$74,0),IF($NP$74="Bell_Curve",$NN$74*(238-$NR$74+1)*($NS$74-238+1)/$NU$74,$NN$74/$NT$74)),0)</f>
        <v/>
      </c>
      <c r="II74" s="402">
        <f>IF(AND(239&gt;=$NR$74,239&lt;=$NS$74),IF($NP$74="Single_Point",IF(239=$NR$74,$NN$74,0),IF($NP$74="Bell_Curve",$NN$74*(239-$NR$74+1)*($NS$74-239+1)/$NU$74,$NN$74/$NT$74)),0)</f>
        <v/>
      </c>
      <c r="IJ74" s="402">
        <f>IF(AND(240&gt;=$NR$74,240&lt;=$NS$74),IF($NP$74="Single_Point",IF(240=$NR$74,$NN$74,0),IF($NP$74="Bell_Curve",$NN$74*(240-$NR$74+1)*($NS$74-240+1)/$NU$74,$NN$74/$NT$74)),0)</f>
        <v/>
      </c>
      <c r="IK74" s="402">
        <f>IF(AND(241&gt;=$NR$74,241&lt;=$NS$74),IF($NP$74="Single_Point",IF(241=$NR$74,$NN$74,0),IF($NP$74="Bell_Curve",$NN$74*(241-$NR$74+1)*($NS$74-241+1)/$NU$74,$NN$74/$NT$74)),0)</f>
        <v/>
      </c>
      <c r="IL74" s="402">
        <f>IF(AND(242&gt;=$NR$74,242&lt;=$NS$74),IF($NP$74="Single_Point",IF(242=$NR$74,$NN$74,0),IF($NP$74="Bell_Curve",$NN$74*(242-$NR$74+1)*($NS$74-242+1)/$NU$74,$NN$74/$NT$74)),0)</f>
        <v/>
      </c>
      <c r="IM74" s="402">
        <f>IF(AND(243&gt;=$NR$74,243&lt;=$NS$74),IF($NP$74="Single_Point",IF(243=$NR$74,$NN$74,0),IF($NP$74="Bell_Curve",$NN$74*(243-$NR$74+1)*($NS$74-243+1)/$NU$74,$NN$74/$NT$74)),0)</f>
        <v/>
      </c>
      <c r="IN74" s="402">
        <f>IF(AND(244&gt;=$NR$74,244&lt;=$NS$74),IF($NP$74="Single_Point",IF(244=$NR$74,$NN$74,0),IF($NP$74="Bell_Curve",$NN$74*(244-$NR$74+1)*($NS$74-244+1)/$NU$74,$NN$74/$NT$74)),0)</f>
        <v/>
      </c>
      <c r="IO74" s="402">
        <f>IF(AND(245&gt;=$NR$74,245&lt;=$NS$74),IF($NP$74="Single_Point",IF(245=$NR$74,$NN$74,0),IF($NP$74="Bell_Curve",$NN$74*(245-$NR$74+1)*($NS$74-245+1)/$NU$74,$NN$74/$NT$74)),0)</f>
        <v/>
      </c>
      <c r="IP74" s="402">
        <f>IF(AND(246&gt;=$NR$74,246&lt;=$NS$74),IF($NP$74="Single_Point",IF(246=$NR$74,$NN$74,0),IF($NP$74="Bell_Curve",$NN$74*(246-$NR$74+1)*($NS$74-246+1)/$NU$74,$NN$74/$NT$74)),0)</f>
        <v/>
      </c>
      <c r="IQ74" s="402">
        <f>IF(AND(247&gt;=$NR$74,247&lt;=$NS$74),IF($NP$74="Single_Point",IF(247=$NR$74,$NN$74,0),IF($NP$74="Bell_Curve",$NN$74*(247-$NR$74+1)*($NS$74-247+1)/$NU$74,$NN$74/$NT$74)),0)</f>
        <v/>
      </c>
      <c r="IR74" s="402">
        <f>IF(AND(248&gt;=$NR$74,248&lt;=$NS$74),IF($NP$74="Single_Point",IF(248=$NR$74,$NN$74,0),IF($NP$74="Bell_Curve",$NN$74*(248-$NR$74+1)*($NS$74-248+1)/$NU$74,$NN$74/$NT$74)),0)</f>
        <v/>
      </c>
      <c r="IS74" s="402">
        <f>IF(AND(249&gt;=$NR$74,249&lt;=$NS$74),IF($NP$74="Single_Point",IF(249=$NR$74,$NN$74,0),IF($NP$74="Bell_Curve",$NN$74*(249-$NR$74+1)*($NS$74-249+1)/$NU$74,$NN$74/$NT$74)),0)</f>
        <v/>
      </c>
      <c r="IT74" s="402">
        <f>IF(AND(250&gt;=$NR$74,250&lt;=$NS$74),IF($NP$74="Single_Point",IF(250=$NR$74,$NN$74,0),IF($NP$74="Bell_Curve",$NN$74*(250-$NR$74+1)*($NS$74-250+1)/$NU$74,$NN$74/$NT$74)),0)</f>
        <v/>
      </c>
      <c r="IU74" s="402">
        <f>IF(AND(251&gt;=$NR$74,251&lt;=$NS$74),IF($NP$74="Single_Point",IF(251=$NR$74,$NN$74,0),IF($NP$74="Bell_Curve",$NN$74*(251-$NR$74+1)*($NS$74-251+1)/$NU$74,$NN$74/$NT$74)),0)</f>
        <v/>
      </c>
      <c r="IV74" s="402">
        <f>IF(AND(252&gt;=$NR$74,252&lt;=$NS$74),IF($NP$74="Single_Point",IF(252=$NR$74,$NN$74,0),IF($NP$74="Bell_Curve",$NN$74*(252-$NR$74+1)*($NS$74-252+1)/$NU$74,$NN$74/$NT$74)),0)</f>
        <v/>
      </c>
      <c r="IW74" s="402">
        <f>IF(AND(253&gt;=$NR$74,253&lt;=$NS$74),IF($NP$74="Single_Point",IF(253=$NR$74,$NN$74,0),IF($NP$74="Bell_Curve",$NN$74*(253-$NR$74+1)*($NS$74-253+1)/$NU$74,$NN$74/$NT$74)),0)</f>
        <v/>
      </c>
      <c r="IX74" s="402">
        <f>IF(AND(254&gt;=$NR$74,254&lt;=$NS$74),IF($NP$74="Single_Point",IF(254=$NR$74,$NN$74,0),IF($NP$74="Bell_Curve",$NN$74*(254-$NR$74+1)*($NS$74-254+1)/$NU$74,$NN$74/$NT$74)),0)</f>
        <v/>
      </c>
      <c r="IY74" s="402">
        <f>IF(AND(255&gt;=$NR$74,255&lt;=$NS$74),IF($NP$74="Single_Point",IF(255=$NR$74,$NN$74,0),IF($NP$74="Bell_Curve",$NN$74*(255-$NR$74+1)*($NS$74-255+1)/$NU$74,$NN$74/$NT$74)),0)</f>
        <v/>
      </c>
      <c r="IZ74" s="402">
        <f>IF(AND(256&gt;=$NR$74,256&lt;=$NS$74),IF($NP$74="Single_Point",IF(256=$NR$74,$NN$74,0),IF($NP$74="Bell_Curve",$NN$74*(256-$NR$74+1)*($NS$74-256+1)/$NU$74,$NN$74/$NT$74)),0)</f>
        <v/>
      </c>
      <c r="JA74" s="402">
        <f>IF(AND(257&gt;=$NR$74,257&lt;=$NS$74),IF($NP$74="Single_Point",IF(257=$NR$74,$NN$74,0),IF($NP$74="Bell_Curve",$NN$74*(257-$NR$74+1)*($NS$74-257+1)/$NU$74,$NN$74/$NT$74)),0)</f>
        <v/>
      </c>
      <c r="JB74" s="402">
        <f>IF(AND(258&gt;=$NR$74,258&lt;=$NS$74),IF($NP$74="Single_Point",IF(258=$NR$74,$NN$74,0),IF($NP$74="Bell_Curve",$NN$74*(258-$NR$74+1)*($NS$74-258+1)/$NU$74,$NN$74/$NT$74)),0)</f>
        <v/>
      </c>
      <c r="JC74" s="402">
        <f>IF(AND(259&gt;=$NR$74,259&lt;=$NS$74),IF($NP$74="Single_Point",IF(259=$NR$74,$NN$74,0),IF($NP$74="Bell_Curve",$NN$74*(259-$NR$74+1)*($NS$74-259+1)/$NU$74,$NN$74/$NT$74)),0)</f>
        <v/>
      </c>
      <c r="JD74" s="402">
        <f>IF(AND(260&gt;=$NR$74,260&lt;=$NS$74),IF($NP$74="Single_Point",IF(260=$NR$74,$NN$74,0),IF($NP$74="Bell_Curve",$NN$74*(260-$NR$74+1)*($NS$74-260+1)/$NU$74,$NN$74/$NT$74)),0)</f>
        <v/>
      </c>
      <c r="JE74" s="402">
        <f>IF(AND(261&gt;=$NR$74,261&lt;=$NS$74),IF($NP$74="Single_Point",IF(261=$NR$74,$NN$74,0),IF($NP$74="Bell_Curve",$NN$74*(261-$NR$74+1)*($NS$74-261+1)/$NU$74,$NN$74/$NT$74)),0)</f>
        <v/>
      </c>
      <c r="JF74" s="402">
        <f>IF(AND(262&gt;=$NR$74,262&lt;=$NS$74),IF($NP$74="Single_Point",IF(262=$NR$74,$NN$74,0),IF($NP$74="Bell_Curve",$NN$74*(262-$NR$74+1)*($NS$74-262+1)/$NU$74,$NN$74/$NT$74)),0)</f>
        <v/>
      </c>
      <c r="JG74" s="402">
        <f>IF(AND(263&gt;=$NR$74,263&lt;=$NS$74),IF($NP$74="Single_Point",IF(263=$NR$74,$NN$74,0),IF($NP$74="Bell_Curve",$NN$74*(263-$NR$74+1)*($NS$74-263+1)/$NU$74,$NN$74/$NT$74)),0)</f>
        <v/>
      </c>
      <c r="JH74" s="402">
        <f>IF(AND(264&gt;=$NR$74,264&lt;=$NS$74),IF($NP$74="Single_Point",IF(264=$NR$74,$NN$74,0),IF($NP$74="Bell_Curve",$NN$74*(264-$NR$74+1)*($NS$74-264+1)/$NU$74,$NN$74/$NT$74)),0)</f>
        <v/>
      </c>
      <c r="JI74" s="402">
        <f>IF(AND(265&gt;=$NR$74,265&lt;=$NS$74),IF($NP$74="Single_Point",IF(265=$NR$74,$NN$74,0),IF($NP$74="Bell_Curve",$NN$74*(265-$NR$74+1)*($NS$74-265+1)/$NU$74,$NN$74/$NT$74)),0)</f>
        <v/>
      </c>
      <c r="JJ74" s="402">
        <f>IF(AND(266&gt;=$NR$74,266&lt;=$NS$74),IF($NP$74="Single_Point",IF(266=$NR$74,$NN$74,0),IF($NP$74="Bell_Curve",$NN$74*(266-$NR$74+1)*($NS$74-266+1)/$NU$74,$NN$74/$NT$74)),0)</f>
        <v/>
      </c>
      <c r="JK74" s="402">
        <f>IF(AND(267&gt;=$NR$74,267&lt;=$NS$74),IF($NP$74="Single_Point",IF(267=$NR$74,$NN$74,0),IF($NP$74="Bell_Curve",$NN$74*(267-$NR$74+1)*($NS$74-267+1)/$NU$74,$NN$74/$NT$74)),0)</f>
        <v/>
      </c>
      <c r="JL74" s="402">
        <f>IF(AND(268&gt;=$NR$74,268&lt;=$NS$74),IF($NP$74="Single_Point",IF(268=$NR$74,$NN$74,0),IF($NP$74="Bell_Curve",$NN$74*(268-$NR$74+1)*($NS$74-268+1)/$NU$74,$NN$74/$NT$74)),0)</f>
        <v/>
      </c>
      <c r="JM74" s="402">
        <f>IF(AND(269&gt;=$NR$74,269&lt;=$NS$74),IF($NP$74="Single_Point",IF(269=$NR$74,$NN$74,0),IF($NP$74="Bell_Curve",$NN$74*(269-$NR$74+1)*($NS$74-269+1)/$NU$74,$NN$74/$NT$74)),0)</f>
        <v/>
      </c>
      <c r="JN74" s="402">
        <f>IF(AND(270&gt;=$NR$74,270&lt;=$NS$74),IF($NP$74="Single_Point",IF(270=$NR$74,$NN$74,0),IF($NP$74="Bell_Curve",$NN$74*(270-$NR$74+1)*($NS$74-270+1)/$NU$74,$NN$74/$NT$74)),0)</f>
        <v/>
      </c>
      <c r="JO74" s="402">
        <f>IF(AND(271&gt;=$NR$74,271&lt;=$NS$74),IF($NP$74="Single_Point",IF(271=$NR$74,$NN$74,0),IF($NP$74="Bell_Curve",$NN$74*(271-$NR$74+1)*($NS$74-271+1)/$NU$74,$NN$74/$NT$74)),0)</f>
        <v/>
      </c>
      <c r="JP74" s="402">
        <f>IF(AND(272&gt;=$NR$74,272&lt;=$NS$74),IF($NP$74="Single_Point",IF(272=$NR$74,$NN$74,0),IF($NP$74="Bell_Curve",$NN$74*(272-$NR$74+1)*($NS$74-272+1)/$NU$74,$NN$74/$NT$74)),0)</f>
        <v/>
      </c>
      <c r="JQ74" s="402">
        <f>IF(AND(273&gt;=$NR$74,273&lt;=$NS$74),IF($NP$74="Single_Point",IF(273=$NR$74,$NN$74,0),IF($NP$74="Bell_Curve",$NN$74*(273-$NR$74+1)*($NS$74-273+1)/$NU$74,$NN$74/$NT$74)),0)</f>
        <v/>
      </c>
      <c r="JR74" s="402">
        <f>IF(AND(274&gt;=$NR$74,274&lt;=$NS$74),IF($NP$74="Single_Point",IF(274=$NR$74,$NN$74,0),IF($NP$74="Bell_Curve",$NN$74*(274-$NR$74+1)*($NS$74-274+1)/$NU$74,$NN$74/$NT$74)),0)</f>
        <v/>
      </c>
      <c r="JS74" s="402">
        <f>IF(AND(275&gt;=$NR$74,275&lt;=$NS$74),IF($NP$74="Single_Point",IF(275=$NR$74,$NN$74,0),IF($NP$74="Bell_Curve",$NN$74*(275-$NR$74+1)*($NS$74-275+1)/$NU$74,$NN$74/$NT$74)),0)</f>
        <v/>
      </c>
      <c r="JT74" s="402">
        <f>IF(AND(276&gt;=$NR$74,276&lt;=$NS$74),IF($NP$74="Single_Point",IF(276=$NR$74,$NN$74,0),IF($NP$74="Bell_Curve",$NN$74*(276-$NR$74+1)*($NS$74-276+1)/$NU$74,$NN$74/$NT$74)),0)</f>
        <v/>
      </c>
      <c r="JU74" s="402">
        <f>IF(AND(277&gt;=$NR$74,277&lt;=$NS$74),IF($NP$74="Single_Point",IF(277=$NR$74,$NN$74,0),IF($NP$74="Bell_Curve",$NN$74*(277-$NR$74+1)*($NS$74-277+1)/$NU$74,$NN$74/$NT$74)),0)</f>
        <v/>
      </c>
      <c r="JV74" s="402">
        <f>IF(AND(278&gt;=$NR$74,278&lt;=$NS$74),IF($NP$74="Single_Point",IF(278=$NR$74,$NN$74,0),IF($NP$74="Bell_Curve",$NN$74*(278-$NR$74+1)*($NS$74-278+1)/$NU$74,$NN$74/$NT$74)),0)</f>
        <v/>
      </c>
      <c r="JW74" s="402">
        <f>IF(AND(279&gt;=$NR$74,279&lt;=$NS$74),IF($NP$74="Single_Point",IF(279=$NR$74,$NN$74,0),IF($NP$74="Bell_Curve",$NN$74*(279-$NR$74+1)*($NS$74-279+1)/$NU$74,$NN$74/$NT$74)),0)</f>
        <v/>
      </c>
      <c r="JX74" s="402">
        <f>IF(AND(280&gt;=$NR$74,280&lt;=$NS$74),IF($NP$74="Single_Point",IF(280=$NR$74,$NN$74,0),IF($NP$74="Bell_Curve",$NN$74*(280-$NR$74+1)*($NS$74-280+1)/$NU$74,$NN$74/$NT$74)),0)</f>
        <v/>
      </c>
      <c r="JY74" s="402">
        <f>IF(AND(281&gt;=$NR$74,281&lt;=$NS$74),IF($NP$74="Single_Point",IF(281=$NR$74,$NN$74,0),IF($NP$74="Bell_Curve",$NN$74*(281-$NR$74+1)*($NS$74-281+1)/$NU$74,$NN$74/$NT$74)),0)</f>
        <v/>
      </c>
      <c r="JZ74" s="402">
        <f>IF(AND(282&gt;=$NR$74,282&lt;=$NS$74),IF($NP$74="Single_Point",IF(282=$NR$74,$NN$74,0),IF($NP$74="Bell_Curve",$NN$74*(282-$NR$74+1)*($NS$74-282+1)/$NU$74,$NN$74/$NT$74)),0)</f>
        <v/>
      </c>
      <c r="KA74" s="402">
        <f>IF(AND(283&gt;=$NR$74,283&lt;=$NS$74),IF($NP$74="Single_Point",IF(283=$NR$74,$NN$74,0),IF($NP$74="Bell_Curve",$NN$74*(283-$NR$74+1)*($NS$74-283+1)/$NU$74,$NN$74/$NT$74)),0)</f>
        <v/>
      </c>
      <c r="KB74" s="402">
        <f>IF(AND(284&gt;=$NR$74,284&lt;=$NS$74),IF($NP$74="Single_Point",IF(284=$NR$74,$NN$74,0),IF($NP$74="Bell_Curve",$NN$74*(284-$NR$74+1)*($NS$74-284+1)/$NU$74,$NN$74/$NT$74)),0)</f>
        <v/>
      </c>
      <c r="KC74" s="402">
        <f>IF(AND(285&gt;=$NR$74,285&lt;=$NS$74),IF($NP$74="Single_Point",IF(285=$NR$74,$NN$74,0),IF($NP$74="Bell_Curve",$NN$74*(285-$NR$74+1)*($NS$74-285+1)/$NU$74,$NN$74/$NT$74)),0)</f>
        <v/>
      </c>
      <c r="KD74" s="402">
        <f>IF(AND(286&gt;=$NR$74,286&lt;=$NS$74),IF($NP$74="Single_Point",IF(286=$NR$74,$NN$74,0),IF($NP$74="Bell_Curve",$NN$74*(286-$NR$74+1)*($NS$74-286+1)/$NU$74,$NN$74/$NT$74)),0)</f>
        <v/>
      </c>
      <c r="KE74" s="402">
        <f>IF(AND(287&gt;=$NR$74,287&lt;=$NS$74),IF($NP$74="Single_Point",IF(287=$NR$74,$NN$74,0),IF($NP$74="Bell_Curve",$NN$74*(287-$NR$74+1)*($NS$74-287+1)/$NU$74,$NN$74/$NT$74)),0)</f>
        <v/>
      </c>
      <c r="KF74" s="402">
        <f>IF(AND(288&gt;=$NR$74,288&lt;=$NS$74),IF($NP$74="Single_Point",IF(288=$NR$74,$NN$74,0),IF($NP$74="Bell_Curve",$NN$74*(288-$NR$74+1)*($NS$74-288+1)/$NU$74,$NN$74/$NT$74)),0)</f>
        <v/>
      </c>
      <c r="KG74" s="402">
        <f>IF(AND(289&gt;=$NR$74,289&lt;=$NS$74),IF($NP$74="Single_Point",IF(289=$NR$74,$NN$74,0),IF($NP$74="Bell_Curve",$NN$74*(289-$NR$74+1)*($NS$74-289+1)/$NU$74,$NN$74/$NT$74)),0)</f>
        <v/>
      </c>
      <c r="KH74" s="402">
        <f>IF(AND(290&gt;=$NR$74,290&lt;=$NS$74),IF($NP$74="Single_Point",IF(290=$NR$74,$NN$74,0),IF($NP$74="Bell_Curve",$NN$74*(290-$NR$74+1)*($NS$74-290+1)/$NU$74,$NN$74/$NT$74)),0)</f>
        <v/>
      </c>
      <c r="KI74" s="402">
        <f>IF(AND(291&gt;=$NR$74,291&lt;=$NS$74),IF($NP$74="Single_Point",IF(291=$NR$74,$NN$74,0),IF($NP$74="Bell_Curve",$NN$74*(291-$NR$74+1)*($NS$74-291+1)/$NU$74,$NN$74/$NT$74)),0)</f>
        <v/>
      </c>
      <c r="KJ74" s="402">
        <f>IF(AND(292&gt;=$NR$74,292&lt;=$NS$74),IF($NP$74="Single_Point",IF(292=$NR$74,$NN$74,0),IF($NP$74="Bell_Curve",$NN$74*(292-$NR$74+1)*($NS$74-292+1)/$NU$74,$NN$74/$NT$74)),0)</f>
        <v/>
      </c>
      <c r="KK74" s="402">
        <f>IF(AND(293&gt;=$NR$74,293&lt;=$NS$74),IF($NP$74="Single_Point",IF(293=$NR$74,$NN$74,0),IF($NP$74="Bell_Curve",$NN$74*(293-$NR$74+1)*($NS$74-293+1)/$NU$74,$NN$74/$NT$74)),0)</f>
        <v/>
      </c>
      <c r="KL74" s="402">
        <f>IF(AND(294&gt;=$NR$74,294&lt;=$NS$74),IF($NP$74="Single_Point",IF(294=$NR$74,$NN$74,0),IF($NP$74="Bell_Curve",$NN$74*(294-$NR$74+1)*($NS$74-294+1)/$NU$74,$NN$74/$NT$74)),0)</f>
        <v/>
      </c>
      <c r="KM74" s="402">
        <f>IF(AND(295&gt;=$NR$74,295&lt;=$NS$74),IF($NP$74="Single_Point",IF(295=$NR$74,$NN$74,0),IF($NP$74="Bell_Curve",$NN$74*(295-$NR$74+1)*($NS$74-295+1)/$NU$74,$NN$74/$NT$74)),0)</f>
        <v/>
      </c>
      <c r="KN74" s="402">
        <f>IF(AND(296&gt;=$NR$74,296&lt;=$NS$74),IF($NP$74="Single_Point",IF(296=$NR$74,$NN$74,0),IF($NP$74="Bell_Curve",$NN$74*(296-$NR$74+1)*($NS$74-296+1)/$NU$74,$NN$74/$NT$74)),0)</f>
        <v/>
      </c>
      <c r="KO74" s="402">
        <f>IF(AND(297&gt;=$NR$74,297&lt;=$NS$74),IF($NP$74="Single_Point",IF(297=$NR$74,$NN$74,0),IF($NP$74="Bell_Curve",$NN$74*(297-$NR$74+1)*($NS$74-297+1)/$NU$74,$NN$74/$NT$74)),0)</f>
        <v/>
      </c>
      <c r="KP74" s="402">
        <f>IF(AND(298&gt;=$NR$74,298&lt;=$NS$74),IF($NP$74="Single_Point",IF(298=$NR$74,$NN$74,0),IF($NP$74="Bell_Curve",$NN$74*(298-$NR$74+1)*($NS$74-298+1)/$NU$74,$NN$74/$NT$74)),0)</f>
        <v/>
      </c>
      <c r="KQ74" s="402">
        <f>IF(AND(299&gt;=$NR$74,299&lt;=$NS$74),IF($NP$74="Single_Point",IF(299=$NR$74,$NN$74,0),IF($NP$74="Bell_Curve",$NN$74*(299-$NR$74+1)*($NS$74-299+1)/$NU$74,$NN$74/$NT$74)),0)</f>
        <v/>
      </c>
      <c r="KR74" s="402">
        <f>IF(AND(300&gt;=$NR$74,300&lt;=$NS$74),IF($NP$74="Single_Point",IF(300=$NR$74,$NN$74,0),IF($NP$74="Bell_Curve",$NN$74*(300-$NR$74+1)*($NS$74-300+1)/$NU$74,$NN$74/$NT$74)),0)</f>
        <v/>
      </c>
      <c r="KS74" s="402">
        <f>IF(AND(301&gt;=$NR$74,301&lt;=$NS$74),IF($NP$74="Single_Point",IF(301=$NR$74,$NN$74,0),IF($NP$74="Bell_Curve",$NN$74*(301-$NR$74+1)*($NS$74-301+1)/$NU$74,$NN$74/$NT$74)),0)</f>
        <v/>
      </c>
      <c r="KT74" s="402">
        <f>IF(AND(302&gt;=$NR$74,302&lt;=$NS$74),IF($NP$74="Single_Point",IF(302=$NR$74,$NN$74,0),IF($NP$74="Bell_Curve",$NN$74*(302-$NR$74+1)*($NS$74-302+1)/$NU$74,$NN$74/$NT$74)),0)</f>
        <v/>
      </c>
      <c r="KU74" s="402">
        <f>IF(AND(303&gt;=$NR$74,303&lt;=$NS$74),IF($NP$74="Single_Point",IF(303=$NR$74,$NN$74,0),IF($NP$74="Bell_Curve",$NN$74*(303-$NR$74+1)*($NS$74-303+1)/$NU$74,$NN$74/$NT$74)),0)</f>
        <v/>
      </c>
      <c r="KV74" s="402">
        <f>IF(AND(304&gt;=$NR$74,304&lt;=$NS$74),IF($NP$74="Single_Point",IF(304=$NR$74,$NN$74,0),IF($NP$74="Bell_Curve",$NN$74*(304-$NR$74+1)*($NS$74-304+1)/$NU$74,$NN$74/$NT$74)),0)</f>
        <v/>
      </c>
      <c r="KW74" s="402">
        <f>IF(AND(305&gt;=$NR$74,305&lt;=$NS$74),IF($NP$74="Single_Point",IF(305=$NR$74,$NN$74,0),IF($NP$74="Bell_Curve",$NN$74*(305-$NR$74+1)*($NS$74-305+1)/$NU$74,$NN$74/$NT$74)),0)</f>
        <v/>
      </c>
      <c r="KX74" s="402">
        <f>IF(AND(306&gt;=$NR$74,306&lt;=$NS$74),IF($NP$74="Single_Point",IF(306=$NR$74,$NN$74,0),IF($NP$74="Bell_Curve",$NN$74*(306-$NR$74+1)*($NS$74-306+1)/$NU$74,$NN$74/$NT$74)),0)</f>
        <v/>
      </c>
      <c r="KY74" s="402">
        <f>IF(AND(307&gt;=$NR$74,307&lt;=$NS$74),IF($NP$74="Single_Point",IF(307=$NR$74,$NN$74,0),IF($NP$74="Bell_Curve",$NN$74*(307-$NR$74+1)*($NS$74-307+1)/$NU$74,$NN$74/$NT$74)),0)</f>
        <v/>
      </c>
      <c r="KZ74" s="402">
        <f>IF(AND(308&gt;=$NR$74,308&lt;=$NS$74),IF($NP$74="Single_Point",IF(308=$NR$74,$NN$74,0),IF($NP$74="Bell_Curve",$NN$74*(308-$NR$74+1)*($NS$74-308+1)/$NU$74,$NN$74/$NT$74)),0)</f>
        <v/>
      </c>
      <c r="LA74" s="402">
        <f>IF(AND(309&gt;=$NR$74,309&lt;=$NS$74),IF($NP$74="Single_Point",IF(309=$NR$74,$NN$74,0),IF($NP$74="Bell_Curve",$NN$74*(309-$NR$74+1)*($NS$74-309+1)/$NU$74,$NN$74/$NT$74)),0)</f>
        <v/>
      </c>
      <c r="LB74" s="402">
        <f>IF(AND(310&gt;=$NR$74,310&lt;=$NS$74),IF($NP$74="Single_Point",IF(310=$NR$74,$NN$74,0),IF($NP$74="Bell_Curve",$NN$74*(310-$NR$74+1)*($NS$74-310+1)/$NU$74,$NN$74/$NT$74)),0)</f>
        <v/>
      </c>
      <c r="LC74" s="402">
        <f>IF(AND(311&gt;=$NR$74,311&lt;=$NS$74),IF($NP$74="Single_Point",IF(311=$NR$74,$NN$74,0),IF($NP$74="Bell_Curve",$NN$74*(311-$NR$74+1)*($NS$74-311+1)/$NU$74,$NN$74/$NT$74)),0)</f>
        <v/>
      </c>
      <c r="LD74" s="402">
        <f>IF(AND(312&gt;=$NR$74,312&lt;=$NS$74),IF($NP$74="Single_Point",IF(312=$NR$74,$NN$74,0),IF($NP$74="Bell_Curve",$NN$74*(312-$NR$74+1)*($NS$74-312+1)/$NU$74,$NN$74/$NT$74)),0)</f>
        <v/>
      </c>
      <c r="LE74" s="402">
        <f>IF(AND(313&gt;=$NR$74,313&lt;=$NS$74),IF($NP$74="Single_Point",IF(313=$NR$74,$NN$74,0),IF($NP$74="Bell_Curve",$NN$74*(313-$NR$74+1)*($NS$74-313+1)/$NU$74,$NN$74/$NT$74)),0)</f>
        <v/>
      </c>
      <c r="LF74" s="402">
        <f>IF(AND(314&gt;=$NR$74,314&lt;=$NS$74),IF($NP$74="Single_Point",IF(314=$NR$74,$NN$74,0),IF($NP$74="Bell_Curve",$NN$74*(314-$NR$74+1)*($NS$74-314+1)/$NU$74,$NN$74/$NT$74)),0)</f>
        <v/>
      </c>
      <c r="LG74" s="402">
        <f>IF(AND(315&gt;=$NR$74,315&lt;=$NS$74),IF($NP$74="Single_Point",IF(315=$NR$74,$NN$74,0),IF($NP$74="Bell_Curve",$NN$74*(315-$NR$74+1)*($NS$74-315+1)/$NU$74,$NN$74/$NT$74)),0)</f>
        <v/>
      </c>
      <c r="LH74" s="402">
        <f>IF(AND(316&gt;=$NR$74,316&lt;=$NS$74),IF($NP$74="Single_Point",IF(316=$NR$74,$NN$74,0),IF($NP$74="Bell_Curve",$NN$74*(316-$NR$74+1)*($NS$74-316+1)/$NU$74,$NN$74/$NT$74)),0)</f>
        <v/>
      </c>
      <c r="LI74" s="402">
        <f>IF(AND(317&gt;=$NR$74,317&lt;=$NS$74),IF($NP$74="Single_Point",IF(317=$NR$74,$NN$74,0),IF($NP$74="Bell_Curve",$NN$74*(317-$NR$74+1)*($NS$74-317+1)/$NU$74,$NN$74/$NT$74)),0)</f>
        <v/>
      </c>
      <c r="LJ74" s="402">
        <f>IF(AND(318&gt;=$NR$74,318&lt;=$NS$74),IF($NP$74="Single_Point",IF(318=$NR$74,$NN$74,0),IF($NP$74="Bell_Curve",$NN$74*(318-$NR$74+1)*($NS$74-318+1)/$NU$74,$NN$74/$NT$74)),0)</f>
        <v/>
      </c>
      <c r="LK74" s="402">
        <f>IF(AND(319&gt;=$NR$74,319&lt;=$NS$74),IF($NP$74="Single_Point",IF(319=$NR$74,$NN$74,0),IF($NP$74="Bell_Curve",$NN$74*(319-$NR$74+1)*($NS$74-319+1)/$NU$74,$NN$74/$NT$74)),0)</f>
        <v/>
      </c>
      <c r="LL74" s="402">
        <f>IF(AND(320&gt;=$NR$74,320&lt;=$NS$74),IF($NP$74="Single_Point",IF(320=$NR$74,$NN$74,0),IF($NP$74="Bell_Curve",$NN$74*(320-$NR$74+1)*($NS$74-320+1)/$NU$74,$NN$74/$NT$74)),0)</f>
        <v/>
      </c>
      <c r="LM74" s="402">
        <f>IF(AND(321&gt;=$NR$74,321&lt;=$NS$74),IF($NP$74="Single_Point",IF(321=$NR$74,$NN$74,0),IF($NP$74="Bell_Curve",$NN$74*(321-$NR$74+1)*($NS$74-321+1)/$NU$74,$NN$74/$NT$74)),0)</f>
        <v/>
      </c>
      <c r="LN74" s="402">
        <f>IF(AND(322&gt;=$NR$74,322&lt;=$NS$74),IF($NP$74="Single_Point",IF(322=$NR$74,$NN$74,0),IF($NP$74="Bell_Curve",$NN$74*(322-$NR$74+1)*($NS$74-322+1)/$NU$74,$NN$74/$NT$74)),0)</f>
        <v/>
      </c>
      <c r="LO74" s="402">
        <f>IF(AND(323&gt;=$NR$74,323&lt;=$NS$74),IF($NP$74="Single_Point",IF(323=$NR$74,$NN$74,0),IF($NP$74="Bell_Curve",$NN$74*(323-$NR$74+1)*($NS$74-323+1)/$NU$74,$NN$74/$NT$74)),0)</f>
        <v/>
      </c>
      <c r="LP74" s="402">
        <f>IF(AND(324&gt;=$NR$74,324&lt;=$NS$74),IF($NP$74="Single_Point",IF(324=$NR$74,$NN$74,0),IF($NP$74="Bell_Curve",$NN$74*(324-$NR$74+1)*($NS$74-324+1)/$NU$74,$NN$74/$NT$74)),0)</f>
        <v/>
      </c>
      <c r="LQ74" s="402">
        <f>IF(AND(325&gt;=$NR$74,325&lt;=$NS$74),IF($NP$74="Single_Point",IF(325=$NR$74,$NN$74,0),IF($NP$74="Bell_Curve",$NN$74*(325-$NR$74+1)*($NS$74-325+1)/$NU$74,$NN$74/$NT$74)),0)</f>
        <v/>
      </c>
      <c r="LR74" s="402">
        <f>IF(AND(326&gt;=$NR$74,326&lt;=$NS$74),IF($NP$74="Single_Point",IF(326=$NR$74,$NN$74,0),IF($NP$74="Bell_Curve",$NN$74*(326-$NR$74+1)*($NS$74-326+1)/$NU$74,$NN$74/$NT$74)),0)</f>
        <v/>
      </c>
      <c r="LS74" s="402">
        <f>IF(AND(327&gt;=$NR$74,327&lt;=$NS$74),IF($NP$74="Single_Point",IF(327=$NR$74,$NN$74,0),IF($NP$74="Bell_Curve",$NN$74*(327-$NR$74+1)*($NS$74-327+1)/$NU$74,$NN$74/$NT$74)),0)</f>
        <v/>
      </c>
      <c r="LT74" s="402">
        <f>IF(AND(328&gt;=$NR$74,328&lt;=$NS$74),IF($NP$74="Single_Point",IF(328=$NR$74,$NN$74,0),IF($NP$74="Bell_Curve",$NN$74*(328-$NR$74+1)*($NS$74-328+1)/$NU$74,$NN$74/$NT$74)),0)</f>
        <v/>
      </c>
      <c r="LU74" s="402">
        <f>IF(AND(329&gt;=$NR$74,329&lt;=$NS$74),IF($NP$74="Single_Point",IF(329=$NR$74,$NN$74,0),IF($NP$74="Bell_Curve",$NN$74*(329-$NR$74+1)*($NS$74-329+1)/$NU$74,$NN$74/$NT$74)),0)</f>
        <v/>
      </c>
      <c r="LV74" s="402">
        <f>IF(AND(330&gt;=$NR$74,330&lt;=$NS$74),IF($NP$74="Single_Point",IF(330=$NR$74,$NN$74,0),IF($NP$74="Bell_Curve",$NN$74*(330-$NR$74+1)*($NS$74-330+1)/$NU$74,$NN$74/$NT$74)),0)</f>
        <v/>
      </c>
      <c r="LW74" s="402">
        <f>IF(AND(331&gt;=$NR$74,331&lt;=$NS$74),IF($NP$74="Single_Point",IF(331=$NR$74,$NN$74,0),IF($NP$74="Bell_Curve",$NN$74*(331-$NR$74+1)*($NS$74-331+1)/$NU$74,$NN$74/$NT$74)),0)</f>
        <v/>
      </c>
      <c r="LX74" s="402">
        <f>IF(AND(332&gt;=$NR$74,332&lt;=$NS$74),IF($NP$74="Single_Point",IF(332=$NR$74,$NN$74,0),IF($NP$74="Bell_Curve",$NN$74*(332-$NR$74+1)*($NS$74-332+1)/$NU$74,$NN$74/$NT$74)),0)</f>
        <v/>
      </c>
      <c r="LY74" s="402">
        <f>IF(AND(333&gt;=$NR$74,333&lt;=$NS$74),IF($NP$74="Single_Point",IF(333=$NR$74,$NN$74,0),IF($NP$74="Bell_Curve",$NN$74*(333-$NR$74+1)*($NS$74-333+1)/$NU$74,$NN$74/$NT$74)),0)</f>
        <v/>
      </c>
      <c r="LZ74" s="402">
        <f>IF(AND(334&gt;=$NR$74,334&lt;=$NS$74),IF($NP$74="Single_Point",IF(334=$NR$74,$NN$74,0),IF($NP$74="Bell_Curve",$NN$74*(334-$NR$74+1)*($NS$74-334+1)/$NU$74,$NN$74/$NT$74)),0)</f>
        <v/>
      </c>
      <c r="MA74" s="402">
        <f>IF(AND(335&gt;=$NR$74,335&lt;=$NS$74),IF($NP$74="Single_Point",IF(335=$NR$74,$NN$74,0),IF($NP$74="Bell_Curve",$NN$74*(335-$NR$74+1)*($NS$74-335+1)/$NU$74,$NN$74/$NT$74)),0)</f>
        <v/>
      </c>
      <c r="MB74" s="402">
        <f>IF(AND(336&gt;=$NR$74,336&lt;=$NS$74),IF($NP$74="Single_Point",IF(336=$NR$74,$NN$74,0),IF($NP$74="Bell_Curve",$NN$74*(336-$NR$74+1)*($NS$74-336+1)/$NU$74,$NN$74/$NT$74)),0)</f>
        <v/>
      </c>
      <c r="MC74" s="402">
        <f>IF(AND(337&gt;=$NR$74,337&lt;=$NS$74),IF($NP$74="Single_Point",IF(337=$NR$74,$NN$74,0),IF($NP$74="Bell_Curve",$NN$74*(337-$NR$74+1)*($NS$74-337+1)/$NU$74,$NN$74/$NT$74)),0)</f>
        <v/>
      </c>
      <c r="MD74" s="402">
        <f>IF(AND(338&gt;=$NR$74,338&lt;=$NS$74),IF($NP$74="Single_Point",IF(338=$NR$74,$NN$74,0),IF($NP$74="Bell_Curve",$NN$74*(338-$NR$74+1)*($NS$74-338+1)/$NU$74,$NN$74/$NT$74)),0)</f>
        <v/>
      </c>
      <c r="ME74" s="402">
        <f>IF(AND(339&gt;=$NR$74,339&lt;=$NS$74),IF($NP$74="Single_Point",IF(339=$NR$74,$NN$74,0),IF($NP$74="Bell_Curve",$NN$74*(339-$NR$74+1)*($NS$74-339+1)/$NU$74,$NN$74/$NT$74)),0)</f>
        <v/>
      </c>
      <c r="MF74" s="402">
        <f>IF(AND(340&gt;=$NR$74,340&lt;=$NS$74),IF($NP$74="Single_Point",IF(340=$NR$74,$NN$74,0),IF($NP$74="Bell_Curve",$NN$74*(340-$NR$74+1)*($NS$74-340+1)/$NU$74,$NN$74/$NT$74)),0)</f>
        <v/>
      </c>
      <c r="MG74" s="402">
        <f>IF(AND(341&gt;=$NR$74,341&lt;=$NS$74),IF($NP$74="Single_Point",IF(341=$NR$74,$NN$74,0),IF($NP$74="Bell_Curve",$NN$74*(341-$NR$74+1)*($NS$74-341+1)/$NU$74,$NN$74/$NT$74)),0)</f>
        <v/>
      </c>
      <c r="MH74" s="402">
        <f>IF(AND(342&gt;=$NR$74,342&lt;=$NS$74),IF($NP$74="Single_Point",IF(342=$NR$74,$NN$74,0),IF($NP$74="Bell_Curve",$NN$74*(342-$NR$74+1)*($NS$74-342+1)/$NU$74,$NN$74/$NT$74)),0)</f>
        <v/>
      </c>
      <c r="MI74" s="402">
        <f>IF(AND(343&gt;=$NR$74,343&lt;=$NS$74),IF($NP$74="Single_Point",IF(343=$NR$74,$NN$74,0),IF($NP$74="Bell_Curve",$NN$74*(343-$NR$74+1)*($NS$74-343+1)/$NU$74,$NN$74/$NT$74)),0)</f>
        <v/>
      </c>
      <c r="MJ74" s="402">
        <f>IF(AND(344&gt;=$NR$74,344&lt;=$NS$74),IF($NP$74="Single_Point",IF(344=$NR$74,$NN$74,0),IF($NP$74="Bell_Curve",$NN$74*(344-$NR$74+1)*($NS$74-344+1)/$NU$74,$NN$74/$NT$74)),0)</f>
        <v/>
      </c>
      <c r="MK74" s="402">
        <f>IF(AND(345&gt;=$NR$74,345&lt;=$NS$74),IF($NP$74="Single_Point",IF(345=$NR$74,$NN$74,0),IF($NP$74="Bell_Curve",$NN$74*(345-$NR$74+1)*($NS$74-345+1)/$NU$74,$NN$74/$NT$74)),0)</f>
        <v/>
      </c>
      <c r="ML74" s="402">
        <f>IF(AND(346&gt;=$NR$74,346&lt;=$NS$74),IF($NP$74="Single_Point",IF(346=$NR$74,$NN$74,0),IF($NP$74="Bell_Curve",$NN$74*(346-$NR$74+1)*($NS$74-346+1)/$NU$74,$NN$74/$NT$74)),0)</f>
        <v/>
      </c>
      <c r="MM74" s="402">
        <f>IF(AND(347&gt;=$NR$74,347&lt;=$NS$74),IF($NP$74="Single_Point",IF(347=$NR$74,$NN$74,0),IF($NP$74="Bell_Curve",$NN$74*(347-$NR$74+1)*($NS$74-347+1)/$NU$74,$NN$74/$NT$74)),0)</f>
        <v/>
      </c>
      <c r="MN74" s="402">
        <f>IF(AND(348&gt;=$NR$74,348&lt;=$NS$74),IF($NP$74="Single_Point",IF(348=$NR$74,$NN$74,0),IF($NP$74="Bell_Curve",$NN$74*(348-$NR$74+1)*($NS$74-348+1)/$NU$74,$NN$74/$NT$74)),0)</f>
        <v/>
      </c>
      <c r="MO74" s="402">
        <f>IF(AND(349&gt;=$NR$74,349&lt;=$NS$74),IF($NP$74="Single_Point",IF(349=$NR$74,$NN$74,0),IF($NP$74="Bell_Curve",$NN$74*(349-$NR$74+1)*($NS$74-349+1)/$NU$74,$NN$74/$NT$74)),0)</f>
        <v/>
      </c>
      <c r="MP74" s="402">
        <f>IF(AND(350&gt;=$NR$74,350&lt;=$NS$74),IF($NP$74="Single_Point",IF(350=$NR$74,$NN$74,0),IF($NP$74="Bell_Curve",$NN$74*(350-$NR$74+1)*($NS$74-350+1)/$NU$74,$NN$74/$NT$74)),0)</f>
        <v/>
      </c>
      <c r="MQ74" s="402">
        <f>IF(AND(351&gt;=$NR$74,351&lt;=$NS$74),IF($NP$74="Single_Point",IF(351=$NR$74,$NN$74,0),IF($NP$74="Bell_Curve",$NN$74*(351-$NR$74+1)*($NS$74-351+1)/$NU$74,$NN$74/$NT$74)),0)</f>
        <v/>
      </c>
      <c r="MR74" s="402">
        <f>IF(AND(352&gt;=$NR$74,352&lt;=$NS$74),IF($NP$74="Single_Point",IF(352=$NR$74,$NN$74,0),IF($NP$74="Bell_Curve",$NN$74*(352-$NR$74+1)*($NS$74-352+1)/$NU$74,$NN$74/$NT$74)),0)</f>
        <v/>
      </c>
      <c r="MS74" s="402">
        <f>IF(AND(353&gt;=$NR$74,353&lt;=$NS$74),IF($NP$74="Single_Point",IF(353=$NR$74,$NN$74,0),IF($NP$74="Bell_Curve",$NN$74*(353-$NR$74+1)*($NS$74-353+1)/$NU$74,$NN$74/$NT$74)),0)</f>
        <v/>
      </c>
      <c r="MT74" s="402">
        <f>IF(AND(354&gt;=$NR$74,354&lt;=$NS$74),IF($NP$74="Single_Point",IF(354=$NR$74,$NN$74,0),IF($NP$74="Bell_Curve",$NN$74*(354-$NR$74+1)*($NS$74-354+1)/$NU$74,$NN$74/$NT$74)),0)</f>
        <v/>
      </c>
      <c r="MU74" s="402">
        <f>IF(AND(355&gt;=$NR$74,355&lt;=$NS$74),IF($NP$74="Single_Point",IF(355=$NR$74,$NN$74,0),IF($NP$74="Bell_Curve",$NN$74*(355-$NR$74+1)*($NS$74-355+1)/$NU$74,$NN$74/$NT$74)),0)</f>
        <v/>
      </c>
      <c r="MV74" s="402">
        <f>IF(AND(356&gt;=$NR$74,356&lt;=$NS$74),IF($NP$74="Single_Point",IF(356=$NR$74,$NN$74,0),IF($NP$74="Bell_Curve",$NN$74*(356-$NR$74+1)*($NS$74-356+1)/$NU$74,$NN$74/$NT$74)),0)</f>
        <v/>
      </c>
      <c r="MW74" s="402">
        <f>IF(AND(357&gt;=$NR$74,357&lt;=$NS$74),IF($NP$74="Single_Point",IF(357=$NR$74,$NN$74,0),IF($NP$74="Bell_Curve",$NN$74*(357-$NR$74+1)*($NS$74-357+1)/$NU$74,$NN$74/$NT$74)),0)</f>
        <v/>
      </c>
      <c r="MX74" s="402">
        <f>IF(AND(358&gt;=$NR$74,358&lt;=$NS$74),IF($NP$74="Single_Point",IF(358=$NR$74,$NN$74,0),IF($NP$74="Bell_Curve",$NN$74*(358-$NR$74+1)*($NS$74-358+1)/$NU$74,$NN$74/$NT$74)),0)</f>
        <v/>
      </c>
      <c r="MY74" s="402">
        <f>IF(AND(359&gt;=$NR$74,359&lt;=$NS$74),IF($NP$74="Single_Point",IF(359=$NR$74,$NN$74,0),IF($NP$74="Bell_Curve",$NN$74*(359-$NR$74+1)*($NS$74-359+1)/$NU$74,$NN$74/$NT$74)),0)</f>
        <v/>
      </c>
      <c r="MZ74" s="402">
        <f>IF(AND(360&gt;=$NR$74,360&lt;=$NS$74),IF($NP$74="Single_Point",IF(360=$NR$74,$NN$74,0),IF($NP$74="Bell_Curve",$NN$74*(360-$NR$74+1)*($NS$74-360+1)/$NU$74,$NN$74/$NT$74)),0)</f>
        <v/>
      </c>
      <c r="NA74" s="402">
        <f>IF(AND(361&gt;=$NR$74,361&lt;=$NS$74),IF($NP$74="Single_Point",IF(361=$NR$74,$NN$74,0),IF($NP$74="Bell_Curve",$NN$74*(361-$NR$74+1)*($NS$74-361+1)/$NU$74,$NN$74/$NT$74)),0)</f>
        <v/>
      </c>
      <c r="NB74" s="402">
        <f>IF(AND(362&gt;=$NR$74,362&lt;=$NS$74),IF($NP$74="Single_Point",IF(362=$NR$74,$NN$74,0),IF($NP$74="Bell_Curve",$NN$74*(362-$NR$74+1)*($NS$74-362+1)/$NU$74,$NN$74/$NT$74)),0)</f>
        <v/>
      </c>
      <c r="NC74" s="402">
        <f>IF(AND(363&gt;=$NR$74,363&lt;=$NS$74),IF($NP$74="Single_Point",IF(363=$NR$74,$NN$74,0),IF($NP$74="Bell_Curve",$NN$74*(363-$NR$74+1)*($NS$74-363+1)/$NU$74,$NN$74/$NT$74)),0)</f>
        <v/>
      </c>
      <c r="ND74" s="402">
        <f>IF(AND(364&gt;=$NR$74,364&lt;=$NS$74),IF($NP$74="Single_Point",IF(364=$NR$74,$NN$74,0),IF($NP$74="Bell_Curve",$NN$74*(364-$NR$74+1)*($NS$74-364+1)/$NU$74,$NN$74/$NT$74)),0)</f>
        <v/>
      </c>
      <c r="NE74" s="402">
        <f>IF(AND(365&gt;=$NR$74,365&lt;=$NS$74),IF($NP$74="Single_Point",IF(365=$NR$74,$NN$74,0),IF($NP$74="Bell_Curve",$NN$74*(365-$NR$74+1)*($NS$74-365+1)/$NU$74,$NN$74/$NT$74)),0)</f>
        <v/>
      </c>
      <c r="NF74" s="402">
        <f>IF(AND(366&gt;=$NR$74,366&lt;=$NS$74),IF($NP$74="Single_Point",IF(366=$NR$74,$NN$74,0),IF($NP$74="Bell_Curve",$NN$74*(366-$NR$74+1)*($NS$74-366+1)/$NU$74,$NN$74/$NT$74)),0)</f>
        <v/>
      </c>
      <c r="NG74" s="402">
        <f>IF(AND(367&gt;=$NR$74,367&lt;=$NS$74),IF($NP$74="Single_Point",IF(367=$NR$74,$NN$74,0),IF($NP$74="Bell_Curve",$NN$74*(367-$NR$74+1)*($NS$74-367+1)/$NU$74,$NN$74/$NT$74)),0)</f>
        <v/>
      </c>
      <c r="NH74" s="402">
        <f>IF(AND(368&gt;=$NR$74,368&lt;=$NS$74),IF($NP$74="Single_Point",IF(368=$NR$74,$NN$74,0),IF($NP$74="Bell_Curve",$NN$74*(368-$NR$74+1)*($NS$74-368+1)/$NU$74,$NN$74/$NT$74)),0)</f>
        <v/>
      </c>
      <c r="NI74" s="402">
        <f>IF(AND(369&gt;=$NR$74,369&lt;=$NS$74),IF($NP$74="Single_Point",IF(369=$NR$74,$NN$74,0),IF($NP$74="Bell_Curve",$NN$74*(369-$NR$74+1)*($NS$74-369+1)/$NU$74,$NN$74/$NT$74)),0)</f>
        <v/>
      </c>
      <c r="NJ74" s="402">
        <f>IF(AND(370&gt;=$NR$74,370&lt;=$NS$74),IF($NP$74="Single_Point",IF(370=$NR$74,$NN$74,0),IF($NP$74="Bell_Curve",$NN$74*(370-$NR$74+1)*($NS$74-370+1)/$NU$74,$NN$74/$NT$74)),0)</f>
        <v/>
      </c>
      <c r="NK74" s="402">
        <f>IF(AND(371&gt;=$NR$74,371&lt;=$NS$74),IF($NP$74="Single_Point",IF(371=$NR$74,$NN$74,0),IF($NP$74="Bell_Curve",$NN$74*(371-$NR$74+1)*($NS$74-371+1)/$NU$74,$NN$74/$NT$74)),0)</f>
        <v/>
      </c>
      <c r="NL74" s="402">
        <f>IF(AND(372&gt;=$NR$74,372&lt;=$NS$74),IF($NP$74="Single_Point",IF(372=$NR$74,$NN$74,0),IF($NP$74="Bell_Curve",$NN$74*(372-$NR$74+1)*($NS$74-372+1)/$NU$74,$NN$74/$NT$74)),0)</f>
        <v/>
      </c>
      <c r="NM74">
        <f>Budget!C73</f>
        <v/>
      </c>
      <c r="NN74">
        <f>Budget!J73</f>
        <v/>
      </c>
      <c r="NO74">
        <f>Budget!G73</f>
        <v/>
      </c>
      <c r="NP74">
        <f>Budget!H73</f>
        <v/>
      </c>
      <c r="NQ74">
        <f>Budget!I73</f>
        <v/>
      </c>
      <c r="NR74">
        <f>MAX(1,MIN(372,INDEX(MilestoneStart,MATCH(NO74,MilestoneNames,0))+NQ74))</f>
        <v/>
      </c>
      <c r="NS74">
        <f>MAX(NR74,MIN(372,INDEX(MilestoneEnd,MATCH(NO74,MilestoneNames,0))+NQ74))</f>
        <v/>
      </c>
      <c r="NT74">
        <f>NS74-NR74+1</f>
        <v/>
      </c>
      <c r="NU74">
        <f>NT74*(NT74+1)*(NT74+2)/6</f>
        <v/>
      </c>
    </row>
    <row r="75">
      <c r="B75" s="316">
        <f>Budget!B74</f>
        <v/>
      </c>
      <c r="D75" s="402">
        <f>SUM(E75:NL75)</f>
        <v/>
      </c>
      <c r="E75" s="402">
        <f>IF(AND(1&gt;=$NR$75,1&lt;=$NS$75),IF($NP$75="Single_Point",IF(1=$NR$75,$NN$75,0),IF($NP$75="Bell_Curve",$NN$75*(1-$NR$75+1)*($NS$75-1+1)/$NU$75,$NN$75/$NT$75)),0)</f>
        <v/>
      </c>
      <c r="F75" s="402">
        <f>IF(AND(2&gt;=$NR$75,2&lt;=$NS$75),IF($NP$75="Single_Point",IF(2=$NR$75,$NN$75,0),IF($NP$75="Bell_Curve",$NN$75*(2-$NR$75+1)*($NS$75-2+1)/$NU$75,$NN$75/$NT$75)),0)</f>
        <v/>
      </c>
      <c r="G75" s="402">
        <f>IF(AND(3&gt;=$NR$75,3&lt;=$NS$75),IF($NP$75="Single_Point",IF(3=$NR$75,$NN$75,0),IF($NP$75="Bell_Curve",$NN$75*(3-$NR$75+1)*($NS$75-3+1)/$NU$75,$NN$75/$NT$75)),0)</f>
        <v/>
      </c>
      <c r="H75" s="402">
        <f>IF(AND(4&gt;=$NR$75,4&lt;=$NS$75),IF($NP$75="Single_Point",IF(4=$NR$75,$NN$75,0),IF($NP$75="Bell_Curve",$NN$75*(4-$NR$75+1)*($NS$75-4+1)/$NU$75,$NN$75/$NT$75)),0)</f>
        <v/>
      </c>
      <c r="I75" s="402">
        <f>IF(AND(5&gt;=$NR$75,5&lt;=$NS$75),IF($NP$75="Single_Point",IF(5=$NR$75,$NN$75,0),IF($NP$75="Bell_Curve",$NN$75*(5-$NR$75+1)*($NS$75-5+1)/$NU$75,$NN$75/$NT$75)),0)</f>
        <v/>
      </c>
      <c r="J75" s="402">
        <f>IF(AND(6&gt;=$NR$75,6&lt;=$NS$75),IF($NP$75="Single_Point",IF(6=$NR$75,$NN$75,0),IF($NP$75="Bell_Curve",$NN$75*(6-$NR$75+1)*($NS$75-6+1)/$NU$75,$NN$75/$NT$75)),0)</f>
        <v/>
      </c>
      <c r="K75" s="402">
        <f>IF(AND(7&gt;=$NR$75,7&lt;=$NS$75),IF($NP$75="Single_Point",IF(7=$NR$75,$NN$75,0),IF($NP$75="Bell_Curve",$NN$75*(7-$NR$75+1)*($NS$75-7+1)/$NU$75,$NN$75/$NT$75)),0)</f>
        <v/>
      </c>
      <c r="L75" s="402">
        <f>IF(AND(8&gt;=$NR$75,8&lt;=$NS$75),IF($NP$75="Single_Point",IF(8=$NR$75,$NN$75,0),IF($NP$75="Bell_Curve",$NN$75*(8-$NR$75+1)*($NS$75-8+1)/$NU$75,$NN$75/$NT$75)),0)</f>
        <v/>
      </c>
      <c r="M75" s="402">
        <f>IF(AND(9&gt;=$NR$75,9&lt;=$NS$75),IF($NP$75="Single_Point",IF(9=$NR$75,$NN$75,0),IF($NP$75="Bell_Curve",$NN$75*(9-$NR$75+1)*($NS$75-9+1)/$NU$75,$NN$75/$NT$75)),0)</f>
        <v/>
      </c>
      <c r="N75" s="402">
        <f>IF(AND(10&gt;=$NR$75,10&lt;=$NS$75),IF($NP$75="Single_Point",IF(10=$NR$75,$NN$75,0),IF($NP$75="Bell_Curve",$NN$75*(10-$NR$75+1)*($NS$75-10+1)/$NU$75,$NN$75/$NT$75)),0)</f>
        <v/>
      </c>
      <c r="O75" s="402">
        <f>IF(AND(11&gt;=$NR$75,11&lt;=$NS$75),IF($NP$75="Single_Point",IF(11=$NR$75,$NN$75,0),IF($NP$75="Bell_Curve",$NN$75*(11-$NR$75+1)*($NS$75-11+1)/$NU$75,$NN$75/$NT$75)),0)</f>
        <v/>
      </c>
      <c r="P75" s="402">
        <f>IF(AND(12&gt;=$NR$75,12&lt;=$NS$75),IF($NP$75="Single_Point",IF(12=$NR$75,$NN$75,0),IF($NP$75="Bell_Curve",$NN$75*(12-$NR$75+1)*($NS$75-12+1)/$NU$75,$NN$75/$NT$75)),0)</f>
        <v/>
      </c>
      <c r="Q75" s="402">
        <f>IF(AND(13&gt;=$NR$75,13&lt;=$NS$75),IF($NP$75="Single_Point",IF(13=$NR$75,$NN$75,0),IF($NP$75="Bell_Curve",$NN$75*(13-$NR$75+1)*($NS$75-13+1)/$NU$75,$NN$75/$NT$75)),0)</f>
        <v/>
      </c>
      <c r="R75" s="402">
        <f>IF(AND(14&gt;=$NR$75,14&lt;=$NS$75),IF($NP$75="Single_Point",IF(14=$NR$75,$NN$75,0),IF($NP$75="Bell_Curve",$NN$75*(14-$NR$75+1)*($NS$75-14+1)/$NU$75,$NN$75/$NT$75)),0)</f>
        <v/>
      </c>
      <c r="S75" s="402">
        <f>IF(AND(15&gt;=$NR$75,15&lt;=$NS$75),IF($NP$75="Single_Point",IF(15=$NR$75,$NN$75,0),IF($NP$75="Bell_Curve",$NN$75*(15-$NR$75+1)*($NS$75-15+1)/$NU$75,$NN$75/$NT$75)),0)</f>
        <v/>
      </c>
      <c r="T75" s="402">
        <f>IF(AND(16&gt;=$NR$75,16&lt;=$NS$75),IF($NP$75="Single_Point",IF(16=$NR$75,$NN$75,0),IF($NP$75="Bell_Curve",$NN$75*(16-$NR$75+1)*($NS$75-16+1)/$NU$75,$NN$75/$NT$75)),0)</f>
        <v/>
      </c>
      <c r="U75" s="402">
        <f>IF(AND(17&gt;=$NR$75,17&lt;=$NS$75),IF($NP$75="Single_Point",IF(17=$NR$75,$NN$75,0),IF($NP$75="Bell_Curve",$NN$75*(17-$NR$75+1)*($NS$75-17+1)/$NU$75,$NN$75/$NT$75)),0)</f>
        <v/>
      </c>
      <c r="V75" s="402">
        <f>IF(AND(18&gt;=$NR$75,18&lt;=$NS$75),IF($NP$75="Single_Point",IF(18=$NR$75,$NN$75,0),IF($NP$75="Bell_Curve",$NN$75*(18-$NR$75+1)*($NS$75-18+1)/$NU$75,$NN$75/$NT$75)),0)</f>
        <v/>
      </c>
      <c r="W75" s="402">
        <f>IF(AND(19&gt;=$NR$75,19&lt;=$NS$75),IF($NP$75="Single_Point",IF(19=$NR$75,$NN$75,0),IF($NP$75="Bell_Curve",$NN$75*(19-$NR$75+1)*($NS$75-19+1)/$NU$75,$NN$75/$NT$75)),0)</f>
        <v/>
      </c>
      <c r="X75" s="402">
        <f>IF(AND(20&gt;=$NR$75,20&lt;=$NS$75),IF($NP$75="Single_Point",IF(20=$NR$75,$NN$75,0),IF($NP$75="Bell_Curve",$NN$75*(20-$NR$75+1)*($NS$75-20+1)/$NU$75,$NN$75/$NT$75)),0)</f>
        <v/>
      </c>
      <c r="Y75" s="402">
        <f>IF(AND(21&gt;=$NR$75,21&lt;=$NS$75),IF($NP$75="Single_Point",IF(21=$NR$75,$NN$75,0),IF($NP$75="Bell_Curve",$NN$75*(21-$NR$75+1)*($NS$75-21+1)/$NU$75,$NN$75/$NT$75)),0)</f>
        <v/>
      </c>
      <c r="Z75" s="402">
        <f>IF(AND(22&gt;=$NR$75,22&lt;=$NS$75),IF($NP$75="Single_Point",IF(22=$NR$75,$NN$75,0),IF($NP$75="Bell_Curve",$NN$75*(22-$NR$75+1)*($NS$75-22+1)/$NU$75,$NN$75/$NT$75)),0)</f>
        <v/>
      </c>
      <c r="AA75" s="402">
        <f>IF(AND(23&gt;=$NR$75,23&lt;=$NS$75),IF($NP$75="Single_Point",IF(23=$NR$75,$NN$75,0),IF($NP$75="Bell_Curve",$NN$75*(23-$NR$75+1)*($NS$75-23+1)/$NU$75,$NN$75/$NT$75)),0)</f>
        <v/>
      </c>
      <c r="AB75" s="402">
        <f>IF(AND(24&gt;=$NR$75,24&lt;=$NS$75),IF($NP$75="Single_Point",IF(24=$NR$75,$NN$75,0),IF($NP$75="Bell_Curve",$NN$75*(24-$NR$75+1)*($NS$75-24+1)/$NU$75,$NN$75/$NT$75)),0)</f>
        <v/>
      </c>
      <c r="AC75" s="402">
        <f>IF(AND(25&gt;=$NR$75,25&lt;=$NS$75),IF($NP$75="Single_Point",IF(25=$NR$75,$NN$75,0),IF($NP$75="Bell_Curve",$NN$75*(25-$NR$75+1)*($NS$75-25+1)/$NU$75,$NN$75/$NT$75)),0)</f>
        <v/>
      </c>
      <c r="AD75" s="402">
        <f>IF(AND(26&gt;=$NR$75,26&lt;=$NS$75),IF($NP$75="Single_Point",IF(26=$NR$75,$NN$75,0),IF($NP$75="Bell_Curve",$NN$75*(26-$NR$75+1)*($NS$75-26+1)/$NU$75,$NN$75/$NT$75)),0)</f>
        <v/>
      </c>
      <c r="AE75" s="402">
        <f>IF(AND(27&gt;=$NR$75,27&lt;=$NS$75),IF($NP$75="Single_Point",IF(27=$NR$75,$NN$75,0),IF($NP$75="Bell_Curve",$NN$75*(27-$NR$75+1)*($NS$75-27+1)/$NU$75,$NN$75/$NT$75)),0)</f>
        <v/>
      </c>
      <c r="AF75" s="402">
        <f>IF(AND(28&gt;=$NR$75,28&lt;=$NS$75),IF($NP$75="Single_Point",IF(28=$NR$75,$NN$75,0),IF($NP$75="Bell_Curve",$NN$75*(28-$NR$75+1)*($NS$75-28+1)/$NU$75,$NN$75/$NT$75)),0)</f>
        <v/>
      </c>
      <c r="AG75" s="402">
        <f>IF(AND(29&gt;=$NR$75,29&lt;=$NS$75),IF($NP$75="Single_Point",IF(29=$NR$75,$NN$75,0),IF($NP$75="Bell_Curve",$NN$75*(29-$NR$75+1)*($NS$75-29+1)/$NU$75,$NN$75/$NT$75)),0)</f>
        <v/>
      </c>
      <c r="AH75" s="402">
        <f>IF(AND(30&gt;=$NR$75,30&lt;=$NS$75),IF($NP$75="Single_Point",IF(30=$NR$75,$NN$75,0),IF($NP$75="Bell_Curve",$NN$75*(30-$NR$75+1)*($NS$75-30+1)/$NU$75,$NN$75/$NT$75)),0)</f>
        <v/>
      </c>
      <c r="AI75" s="402">
        <f>IF(AND(31&gt;=$NR$75,31&lt;=$NS$75),IF($NP$75="Single_Point",IF(31=$NR$75,$NN$75,0),IF($NP$75="Bell_Curve",$NN$75*(31-$NR$75+1)*($NS$75-31+1)/$NU$75,$NN$75/$NT$75)),0)</f>
        <v/>
      </c>
      <c r="AJ75" s="402">
        <f>IF(AND(32&gt;=$NR$75,32&lt;=$NS$75),IF($NP$75="Single_Point",IF(32=$NR$75,$NN$75,0),IF($NP$75="Bell_Curve",$NN$75*(32-$NR$75+1)*($NS$75-32+1)/$NU$75,$NN$75/$NT$75)),0)</f>
        <v/>
      </c>
      <c r="AK75" s="402">
        <f>IF(AND(33&gt;=$NR$75,33&lt;=$NS$75),IF($NP$75="Single_Point",IF(33=$NR$75,$NN$75,0),IF($NP$75="Bell_Curve",$NN$75*(33-$NR$75+1)*($NS$75-33+1)/$NU$75,$NN$75/$NT$75)),0)</f>
        <v/>
      </c>
      <c r="AL75" s="402">
        <f>IF(AND(34&gt;=$NR$75,34&lt;=$NS$75),IF($NP$75="Single_Point",IF(34=$NR$75,$NN$75,0),IF($NP$75="Bell_Curve",$NN$75*(34-$NR$75+1)*($NS$75-34+1)/$NU$75,$NN$75/$NT$75)),0)</f>
        <v/>
      </c>
      <c r="AM75" s="402">
        <f>IF(AND(35&gt;=$NR$75,35&lt;=$NS$75),IF($NP$75="Single_Point",IF(35=$NR$75,$NN$75,0),IF($NP$75="Bell_Curve",$NN$75*(35-$NR$75+1)*($NS$75-35+1)/$NU$75,$NN$75/$NT$75)),0)</f>
        <v/>
      </c>
      <c r="AN75" s="402">
        <f>IF(AND(36&gt;=$NR$75,36&lt;=$NS$75),IF($NP$75="Single_Point",IF(36=$NR$75,$NN$75,0),IF($NP$75="Bell_Curve",$NN$75*(36-$NR$75+1)*($NS$75-36+1)/$NU$75,$NN$75/$NT$75)),0)</f>
        <v/>
      </c>
      <c r="AO75" s="402">
        <f>IF(AND(37&gt;=$NR$75,37&lt;=$NS$75),IF($NP$75="Single_Point",IF(37=$NR$75,$NN$75,0),IF($NP$75="Bell_Curve",$NN$75*(37-$NR$75+1)*($NS$75-37+1)/$NU$75,$NN$75/$NT$75)),0)</f>
        <v/>
      </c>
      <c r="AP75" s="402">
        <f>IF(AND(38&gt;=$NR$75,38&lt;=$NS$75),IF($NP$75="Single_Point",IF(38=$NR$75,$NN$75,0),IF($NP$75="Bell_Curve",$NN$75*(38-$NR$75+1)*($NS$75-38+1)/$NU$75,$NN$75/$NT$75)),0)</f>
        <v/>
      </c>
      <c r="AQ75" s="402">
        <f>IF(AND(39&gt;=$NR$75,39&lt;=$NS$75),IF($NP$75="Single_Point",IF(39=$NR$75,$NN$75,0),IF($NP$75="Bell_Curve",$NN$75*(39-$NR$75+1)*($NS$75-39+1)/$NU$75,$NN$75/$NT$75)),0)</f>
        <v/>
      </c>
      <c r="AR75" s="402">
        <f>IF(AND(40&gt;=$NR$75,40&lt;=$NS$75),IF($NP$75="Single_Point",IF(40=$NR$75,$NN$75,0),IF($NP$75="Bell_Curve",$NN$75*(40-$NR$75+1)*($NS$75-40+1)/$NU$75,$NN$75/$NT$75)),0)</f>
        <v/>
      </c>
      <c r="AS75" s="402">
        <f>IF(AND(41&gt;=$NR$75,41&lt;=$NS$75),IF($NP$75="Single_Point",IF(41=$NR$75,$NN$75,0),IF($NP$75="Bell_Curve",$NN$75*(41-$NR$75+1)*($NS$75-41+1)/$NU$75,$NN$75/$NT$75)),0)</f>
        <v/>
      </c>
      <c r="AT75" s="402">
        <f>IF(AND(42&gt;=$NR$75,42&lt;=$NS$75),IF($NP$75="Single_Point",IF(42=$NR$75,$NN$75,0),IF($NP$75="Bell_Curve",$NN$75*(42-$NR$75+1)*($NS$75-42+1)/$NU$75,$NN$75/$NT$75)),0)</f>
        <v/>
      </c>
      <c r="AU75" s="402">
        <f>IF(AND(43&gt;=$NR$75,43&lt;=$NS$75),IF($NP$75="Single_Point",IF(43=$NR$75,$NN$75,0),IF($NP$75="Bell_Curve",$NN$75*(43-$NR$75+1)*($NS$75-43+1)/$NU$75,$NN$75/$NT$75)),0)</f>
        <v/>
      </c>
      <c r="AV75" s="402">
        <f>IF(AND(44&gt;=$NR$75,44&lt;=$NS$75),IF($NP$75="Single_Point",IF(44=$NR$75,$NN$75,0),IF($NP$75="Bell_Curve",$NN$75*(44-$NR$75+1)*($NS$75-44+1)/$NU$75,$NN$75/$NT$75)),0)</f>
        <v/>
      </c>
      <c r="AW75" s="402">
        <f>IF(AND(45&gt;=$NR$75,45&lt;=$NS$75),IF($NP$75="Single_Point",IF(45=$NR$75,$NN$75,0),IF($NP$75="Bell_Curve",$NN$75*(45-$NR$75+1)*($NS$75-45+1)/$NU$75,$NN$75/$NT$75)),0)</f>
        <v/>
      </c>
      <c r="AX75" s="402">
        <f>IF(AND(46&gt;=$NR$75,46&lt;=$NS$75),IF($NP$75="Single_Point",IF(46=$NR$75,$NN$75,0),IF($NP$75="Bell_Curve",$NN$75*(46-$NR$75+1)*($NS$75-46+1)/$NU$75,$NN$75/$NT$75)),0)</f>
        <v/>
      </c>
      <c r="AY75" s="402">
        <f>IF(AND(47&gt;=$NR$75,47&lt;=$NS$75),IF($NP$75="Single_Point",IF(47=$NR$75,$NN$75,0),IF($NP$75="Bell_Curve",$NN$75*(47-$NR$75+1)*($NS$75-47+1)/$NU$75,$NN$75/$NT$75)),0)</f>
        <v/>
      </c>
      <c r="AZ75" s="402">
        <f>IF(AND(48&gt;=$NR$75,48&lt;=$NS$75),IF($NP$75="Single_Point",IF(48=$NR$75,$NN$75,0),IF($NP$75="Bell_Curve",$NN$75*(48-$NR$75+1)*($NS$75-48+1)/$NU$75,$NN$75/$NT$75)),0)</f>
        <v/>
      </c>
      <c r="BA75" s="402">
        <f>IF(AND(49&gt;=$NR$75,49&lt;=$NS$75),IF($NP$75="Single_Point",IF(49=$NR$75,$NN$75,0),IF($NP$75="Bell_Curve",$NN$75*(49-$NR$75+1)*($NS$75-49+1)/$NU$75,$NN$75/$NT$75)),0)</f>
        <v/>
      </c>
      <c r="BB75" s="402">
        <f>IF(AND(50&gt;=$NR$75,50&lt;=$NS$75),IF($NP$75="Single_Point",IF(50=$NR$75,$NN$75,0),IF($NP$75="Bell_Curve",$NN$75*(50-$NR$75+1)*($NS$75-50+1)/$NU$75,$NN$75/$NT$75)),0)</f>
        <v/>
      </c>
      <c r="BC75" s="402">
        <f>IF(AND(51&gt;=$NR$75,51&lt;=$NS$75),IF($NP$75="Single_Point",IF(51=$NR$75,$NN$75,0),IF($NP$75="Bell_Curve",$NN$75*(51-$NR$75+1)*($NS$75-51+1)/$NU$75,$NN$75/$NT$75)),0)</f>
        <v/>
      </c>
      <c r="BD75" s="402">
        <f>IF(AND(52&gt;=$NR$75,52&lt;=$NS$75),IF($NP$75="Single_Point",IF(52=$NR$75,$NN$75,0),IF($NP$75="Bell_Curve",$NN$75*(52-$NR$75+1)*($NS$75-52+1)/$NU$75,$NN$75/$NT$75)),0)</f>
        <v/>
      </c>
      <c r="BE75" s="402">
        <f>IF(AND(53&gt;=$NR$75,53&lt;=$NS$75),IF($NP$75="Single_Point",IF(53=$NR$75,$NN$75,0),IF($NP$75="Bell_Curve",$NN$75*(53-$NR$75+1)*($NS$75-53+1)/$NU$75,$NN$75/$NT$75)),0)</f>
        <v/>
      </c>
      <c r="BF75" s="402">
        <f>IF(AND(54&gt;=$NR$75,54&lt;=$NS$75),IF($NP$75="Single_Point",IF(54=$NR$75,$NN$75,0),IF($NP$75="Bell_Curve",$NN$75*(54-$NR$75+1)*($NS$75-54+1)/$NU$75,$NN$75/$NT$75)),0)</f>
        <v/>
      </c>
      <c r="BG75" s="402">
        <f>IF(AND(55&gt;=$NR$75,55&lt;=$NS$75),IF($NP$75="Single_Point",IF(55=$NR$75,$NN$75,0),IF($NP$75="Bell_Curve",$NN$75*(55-$NR$75+1)*($NS$75-55+1)/$NU$75,$NN$75/$NT$75)),0)</f>
        <v/>
      </c>
      <c r="BH75" s="402">
        <f>IF(AND(56&gt;=$NR$75,56&lt;=$NS$75),IF($NP$75="Single_Point",IF(56=$NR$75,$NN$75,0),IF($NP$75="Bell_Curve",$NN$75*(56-$NR$75+1)*($NS$75-56+1)/$NU$75,$NN$75/$NT$75)),0)</f>
        <v/>
      </c>
      <c r="BI75" s="402">
        <f>IF(AND(57&gt;=$NR$75,57&lt;=$NS$75),IF($NP$75="Single_Point",IF(57=$NR$75,$NN$75,0),IF($NP$75="Bell_Curve",$NN$75*(57-$NR$75+1)*($NS$75-57+1)/$NU$75,$NN$75/$NT$75)),0)</f>
        <v/>
      </c>
      <c r="BJ75" s="402">
        <f>IF(AND(58&gt;=$NR$75,58&lt;=$NS$75),IF($NP$75="Single_Point",IF(58=$NR$75,$NN$75,0),IF($NP$75="Bell_Curve",$NN$75*(58-$NR$75+1)*($NS$75-58+1)/$NU$75,$NN$75/$NT$75)),0)</f>
        <v/>
      </c>
      <c r="BK75" s="402">
        <f>IF(AND(59&gt;=$NR$75,59&lt;=$NS$75),IF($NP$75="Single_Point",IF(59=$NR$75,$NN$75,0),IF($NP$75="Bell_Curve",$NN$75*(59-$NR$75+1)*($NS$75-59+1)/$NU$75,$NN$75/$NT$75)),0)</f>
        <v/>
      </c>
      <c r="BL75" s="402">
        <f>IF(AND(60&gt;=$NR$75,60&lt;=$NS$75),IF($NP$75="Single_Point",IF(60=$NR$75,$NN$75,0),IF($NP$75="Bell_Curve",$NN$75*(60-$NR$75+1)*($NS$75-60+1)/$NU$75,$NN$75/$NT$75)),0)</f>
        <v/>
      </c>
      <c r="BM75" s="402">
        <f>IF(AND(61&gt;=$NR$75,61&lt;=$NS$75),IF($NP$75="Single_Point",IF(61=$NR$75,$NN$75,0),IF($NP$75="Bell_Curve",$NN$75*(61-$NR$75+1)*($NS$75-61+1)/$NU$75,$NN$75/$NT$75)),0)</f>
        <v/>
      </c>
      <c r="BN75" s="402">
        <f>IF(AND(62&gt;=$NR$75,62&lt;=$NS$75),IF($NP$75="Single_Point",IF(62=$NR$75,$NN$75,0),IF($NP$75="Bell_Curve",$NN$75*(62-$NR$75+1)*($NS$75-62+1)/$NU$75,$NN$75/$NT$75)),0)</f>
        <v/>
      </c>
      <c r="BO75" s="402">
        <f>IF(AND(63&gt;=$NR$75,63&lt;=$NS$75),IF($NP$75="Single_Point",IF(63=$NR$75,$NN$75,0),IF($NP$75="Bell_Curve",$NN$75*(63-$NR$75+1)*($NS$75-63+1)/$NU$75,$NN$75/$NT$75)),0)</f>
        <v/>
      </c>
      <c r="BP75" s="402">
        <f>IF(AND(64&gt;=$NR$75,64&lt;=$NS$75),IF($NP$75="Single_Point",IF(64=$NR$75,$NN$75,0),IF($NP$75="Bell_Curve",$NN$75*(64-$NR$75+1)*($NS$75-64+1)/$NU$75,$NN$75/$NT$75)),0)</f>
        <v/>
      </c>
      <c r="BQ75" s="402">
        <f>IF(AND(65&gt;=$NR$75,65&lt;=$NS$75),IF($NP$75="Single_Point",IF(65=$NR$75,$NN$75,0),IF($NP$75="Bell_Curve",$NN$75*(65-$NR$75+1)*($NS$75-65+1)/$NU$75,$NN$75/$NT$75)),0)</f>
        <v/>
      </c>
      <c r="BR75" s="402">
        <f>IF(AND(66&gt;=$NR$75,66&lt;=$NS$75),IF($NP$75="Single_Point",IF(66=$NR$75,$NN$75,0),IF($NP$75="Bell_Curve",$NN$75*(66-$NR$75+1)*($NS$75-66+1)/$NU$75,$NN$75/$NT$75)),0)</f>
        <v/>
      </c>
      <c r="BS75" s="402">
        <f>IF(AND(67&gt;=$NR$75,67&lt;=$NS$75),IF($NP$75="Single_Point",IF(67=$NR$75,$NN$75,0),IF($NP$75="Bell_Curve",$NN$75*(67-$NR$75+1)*($NS$75-67+1)/$NU$75,$NN$75/$NT$75)),0)</f>
        <v/>
      </c>
      <c r="BT75" s="402">
        <f>IF(AND(68&gt;=$NR$75,68&lt;=$NS$75),IF($NP$75="Single_Point",IF(68=$NR$75,$NN$75,0),IF($NP$75="Bell_Curve",$NN$75*(68-$NR$75+1)*($NS$75-68+1)/$NU$75,$NN$75/$NT$75)),0)</f>
        <v/>
      </c>
      <c r="BU75" s="402">
        <f>IF(AND(69&gt;=$NR$75,69&lt;=$NS$75),IF($NP$75="Single_Point",IF(69=$NR$75,$NN$75,0),IF($NP$75="Bell_Curve",$NN$75*(69-$NR$75+1)*($NS$75-69+1)/$NU$75,$NN$75/$NT$75)),0)</f>
        <v/>
      </c>
      <c r="BV75" s="402">
        <f>IF(AND(70&gt;=$NR$75,70&lt;=$NS$75),IF($NP$75="Single_Point",IF(70=$NR$75,$NN$75,0),IF($NP$75="Bell_Curve",$NN$75*(70-$NR$75+1)*($NS$75-70+1)/$NU$75,$NN$75/$NT$75)),0)</f>
        <v/>
      </c>
      <c r="BW75" s="402">
        <f>IF(AND(71&gt;=$NR$75,71&lt;=$NS$75),IF($NP$75="Single_Point",IF(71=$NR$75,$NN$75,0),IF($NP$75="Bell_Curve",$NN$75*(71-$NR$75+1)*($NS$75-71+1)/$NU$75,$NN$75/$NT$75)),0)</f>
        <v/>
      </c>
      <c r="BX75" s="402">
        <f>IF(AND(72&gt;=$NR$75,72&lt;=$NS$75),IF($NP$75="Single_Point",IF(72=$NR$75,$NN$75,0),IF($NP$75="Bell_Curve",$NN$75*(72-$NR$75+1)*($NS$75-72+1)/$NU$75,$NN$75/$NT$75)),0)</f>
        <v/>
      </c>
      <c r="BY75" s="402">
        <f>IF(AND(73&gt;=$NR$75,73&lt;=$NS$75),IF($NP$75="Single_Point",IF(73=$NR$75,$NN$75,0),IF($NP$75="Bell_Curve",$NN$75*(73-$NR$75+1)*($NS$75-73+1)/$NU$75,$NN$75/$NT$75)),0)</f>
        <v/>
      </c>
      <c r="BZ75" s="402">
        <f>IF(AND(74&gt;=$NR$75,74&lt;=$NS$75),IF($NP$75="Single_Point",IF(74=$NR$75,$NN$75,0),IF($NP$75="Bell_Curve",$NN$75*(74-$NR$75+1)*($NS$75-74+1)/$NU$75,$NN$75/$NT$75)),0)</f>
        <v/>
      </c>
      <c r="CA75" s="402">
        <f>IF(AND(75&gt;=$NR$75,75&lt;=$NS$75),IF($NP$75="Single_Point",IF(75=$NR$75,$NN$75,0),IF($NP$75="Bell_Curve",$NN$75*(75-$NR$75+1)*($NS$75-75+1)/$NU$75,$NN$75/$NT$75)),0)</f>
        <v/>
      </c>
      <c r="CB75" s="402">
        <f>IF(AND(76&gt;=$NR$75,76&lt;=$NS$75),IF($NP$75="Single_Point",IF(76=$NR$75,$NN$75,0),IF($NP$75="Bell_Curve",$NN$75*(76-$NR$75+1)*($NS$75-76+1)/$NU$75,$NN$75/$NT$75)),0)</f>
        <v/>
      </c>
      <c r="CC75" s="402">
        <f>IF(AND(77&gt;=$NR$75,77&lt;=$NS$75),IF($NP$75="Single_Point",IF(77=$NR$75,$NN$75,0),IF($NP$75="Bell_Curve",$NN$75*(77-$NR$75+1)*($NS$75-77+1)/$NU$75,$NN$75/$NT$75)),0)</f>
        <v/>
      </c>
      <c r="CD75" s="402">
        <f>IF(AND(78&gt;=$NR$75,78&lt;=$NS$75),IF($NP$75="Single_Point",IF(78=$NR$75,$NN$75,0),IF($NP$75="Bell_Curve",$NN$75*(78-$NR$75+1)*($NS$75-78+1)/$NU$75,$NN$75/$NT$75)),0)</f>
        <v/>
      </c>
      <c r="CE75" s="402">
        <f>IF(AND(79&gt;=$NR$75,79&lt;=$NS$75),IF($NP$75="Single_Point",IF(79=$NR$75,$NN$75,0),IF($NP$75="Bell_Curve",$NN$75*(79-$NR$75+1)*($NS$75-79+1)/$NU$75,$NN$75/$NT$75)),0)</f>
        <v/>
      </c>
      <c r="CF75" s="402">
        <f>IF(AND(80&gt;=$NR$75,80&lt;=$NS$75),IF($NP$75="Single_Point",IF(80=$NR$75,$NN$75,0),IF($NP$75="Bell_Curve",$NN$75*(80-$NR$75+1)*($NS$75-80+1)/$NU$75,$NN$75/$NT$75)),0)</f>
        <v/>
      </c>
      <c r="CG75" s="402">
        <f>IF(AND(81&gt;=$NR$75,81&lt;=$NS$75),IF($NP$75="Single_Point",IF(81=$NR$75,$NN$75,0),IF($NP$75="Bell_Curve",$NN$75*(81-$NR$75+1)*($NS$75-81+1)/$NU$75,$NN$75/$NT$75)),0)</f>
        <v/>
      </c>
      <c r="CH75" s="402">
        <f>IF(AND(82&gt;=$NR$75,82&lt;=$NS$75),IF($NP$75="Single_Point",IF(82=$NR$75,$NN$75,0),IF($NP$75="Bell_Curve",$NN$75*(82-$NR$75+1)*($NS$75-82+1)/$NU$75,$NN$75/$NT$75)),0)</f>
        <v/>
      </c>
      <c r="CI75" s="402">
        <f>IF(AND(83&gt;=$NR$75,83&lt;=$NS$75),IF($NP$75="Single_Point",IF(83=$NR$75,$NN$75,0),IF($NP$75="Bell_Curve",$NN$75*(83-$NR$75+1)*($NS$75-83+1)/$NU$75,$NN$75/$NT$75)),0)</f>
        <v/>
      </c>
      <c r="CJ75" s="402">
        <f>IF(AND(84&gt;=$NR$75,84&lt;=$NS$75),IF($NP$75="Single_Point",IF(84=$NR$75,$NN$75,0),IF($NP$75="Bell_Curve",$NN$75*(84-$NR$75+1)*($NS$75-84+1)/$NU$75,$NN$75/$NT$75)),0)</f>
        <v/>
      </c>
      <c r="CK75" s="402">
        <f>IF(AND(85&gt;=$NR$75,85&lt;=$NS$75),IF($NP$75="Single_Point",IF(85=$NR$75,$NN$75,0),IF($NP$75="Bell_Curve",$NN$75*(85-$NR$75+1)*($NS$75-85+1)/$NU$75,$NN$75/$NT$75)),0)</f>
        <v/>
      </c>
      <c r="CL75" s="402">
        <f>IF(AND(86&gt;=$NR$75,86&lt;=$NS$75),IF($NP$75="Single_Point",IF(86=$NR$75,$NN$75,0),IF($NP$75="Bell_Curve",$NN$75*(86-$NR$75+1)*($NS$75-86+1)/$NU$75,$NN$75/$NT$75)),0)</f>
        <v/>
      </c>
      <c r="CM75" s="402">
        <f>IF(AND(87&gt;=$NR$75,87&lt;=$NS$75),IF($NP$75="Single_Point",IF(87=$NR$75,$NN$75,0),IF($NP$75="Bell_Curve",$NN$75*(87-$NR$75+1)*($NS$75-87+1)/$NU$75,$NN$75/$NT$75)),0)</f>
        <v/>
      </c>
      <c r="CN75" s="402">
        <f>IF(AND(88&gt;=$NR$75,88&lt;=$NS$75),IF($NP$75="Single_Point",IF(88=$NR$75,$NN$75,0),IF($NP$75="Bell_Curve",$NN$75*(88-$NR$75+1)*($NS$75-88+1)/$NU$75,$NN$75/$NT$75)),0)</f>
        <v/>
      </c>
      <c r="CO75" s="402">
        <f>IF(AND(89&gt;=$NR$75,89&lt;=$NS$75),IF($NP$75="Single_Point",IF(89=$NR$75,$NN$75,0),IF($NP$75="Bell_Curve",$NN$75*(89-$NR$75+1)*($NS$75-89+1)/$NU$75,$NN$75/$NT$75)),0)</f>
        <v/>
      </c>
      <c r="CP75" s="402">
        <f>IF(AND(90&gt;=$NR$75,90&lt;=$NS$75),IF($NP$75="Single_Point",IF(90=$NR$75,$NN$75,0),IF($NP$75="Bell_Curve",$NN$75*(90-$NR$75+1)*($NS$75-90+1)/$NU$75,$NN$75/$NT$75)),0)</f>
        <v/>
      </c>
      <c r="CQ75" s="402">
        <f>IF(AND(91&gt;=$NR$75,91&lt;=$NS$75),IF($NP$75="Single_Point",IF(91=$NR$75,$NN$75,0),IF($NP$75="Bell_Curve",$NN$75*(91-$NR$75+1)*($NS$75-91+1)/$NU$75,$NN$75/$NT$75)),0)</f>
        <v/>
      </c>
      <c r="CR75" s="402">
        <f>IF(AND(92&gt;=$NR$75,92&lt;=$NS$75),IF($NP$75="Single_Point",IF(92=$NR$75,$NN$75,0),IF($NP$75="Bell_Curve",$NN$75*(92-$NR$75+1)*($NS$75-92+1)/$NU$75,$NN$75/$NT$75)),0)</f>
        <v/>
      </c>
      <c r="CS75" s="402">
        <f>IF(AND(93&gt;=$NR$75,93&lt;=$NS$75),IF($NP$75="Single_Point",IF(93=$NR$75,$NN$75,0),IF($NP$75="Bell_Curve",$NN$75*(93-$NR$75+1)*($NS$75-93+1)/$NU$75,$NN$75/$NT$75)),0)</f>
        <v/>
      </c>
      <c r="CT75" s="402">
        <f>IF(AND(94&gt;=$NR$75,94&lt;=$NS$75),IF($NP$75="Single_Point",IF(94=$NR$75,$NN$75,0),IF($NP$75="Bell_Curve",$NN$75*(94-$NR$75+1)*($NS$75-94+1)/$NU$75,$NN$75/$NT$75)),0)</f>
        <v/>
      </c>
      <c r="CU75" s="402">
        <f>IF(AND(95&gt;=$NR$75,95&lt;=$NS$75),IF($NP$75="Single_Point",IF(95=$NR$75,$NN$75,0),IF($NP$75="Bell_Curve",$NN$75*(95-$NR$75+1)*($NS$75-95+1)/$NU$75,$NN$75/$NT$75)),0)</f>
        <v/>
      </c>
      <c r="CV75" s="402">
        <f>IF(AND(96&gt;=$NR$75,96&lt;=$NS$75),IF($NP$75="Single_Point",IF(96=$NR$75,$NN$75,0),IF($NP$75="Bell_Curve",$NN$75*(96-$NR$75+1)*($NS$75-96+1)/$NU$75,$NN$75/$NT$75)),0)</f>
        <v/>
      </c>
      <c r="CW75" s="402">
        <f>IF(AND(97&gt;=$NR$75,97&lt;=$NS$75),IF($NP$75="Single_Point",IF(97=$NR$75,$NN$75,0),IF($NP$75="Bell_Curve",$NN$75*(97-$NR$75+1)*($NS$75-97+1)/$NU$75,$NN$75/$NT$75)),0)</f>
        <v/>
      </c>
      <c r="CX75" s="402">
        <f>IF(AND(98&gt;=$NR$75,98&lt;=$NS$75),IF($NP$75="Single_Point",IF(98=$NR$75,$NN$75,0),IF($NP$75="Bell_Curve",$NN$75*(98-$NR$75+1)*($NS$75-98+1)/$NU$75,$NN$75/$NT$75)),0)</f>
        <v/>
      </c>
      <c r="CY75" s="402">
        <f>IF(AND(99&gt;=$NR$75,99&lt;=$NS$75),IF($NP$75="Single_Point",IF(99=$NR$75,$NN$75,0),IF($NP$75="Bell_Curve",$NN$75*(99-$NR$75+1)*($NS$75-99+1)/$NU$75,$NN$75/$NT$75)),0)</f>
        <v/>
      </c>
      <c r="CZ75" s="402">
        <f>IF(AND(100&gt;=$NR$75,100&lt;=$NS$75),IF($NP$75="Single_Point",IF(100=$NR$75,$NN$75,0),IF($NP$75="Bell_Curve",$NN$75*(100-$NR$75+1)*($NS$75-100+1)/$NU$75,$NN$75/$NT$75)),0)</f>
        <v/>
      </c>
      <c r="DA75" s="402">
        <f>IF(AND(101&gt;=$NR$75,101&lt;=$NS$75),IF($NP$75="Single_Point",IF(101=$NR$75,$NN$75,0),IF($NP$75="Bell_Curve",$NN$75*(101-$NR$75+1)*($NS$75-101+1)/$NU$75,$NN$75/$NT$75)),0)</f>
        <v/>
      </c>
      <c r="DB75" s="402">
        <f>IF(AND(102&gt;=$NR$75,102&lt;=$NS$75),IF($NP$75="Single_Point",IF(102=$NR$75,$NN$75,0),IF($NP$75="Bell_Curve",$NN$75*(102-$NR$75+1)*($NS$75-102+1)/$NU$75,$NN$75/$NT$75)),0)</f>
        <v/>
      </c>
      <c r="DC75" s="402">
        <f>IF(AND(103&gt;=$NR$75,103&lt;=$NS$75),IF($NP$75="Single_Point",IF(103=$NR$75,$NN$75,0),IF($NP$75="Bell_Curve",$NN$75*(103-$NR$75+1)*($NS$75-103+1)/$NU$75,$NN$75/$NT$75)),0)</f>
        <v/>
      </c>
      <c r="DD75" s="402">
        <f>IF(AND(104&gt;=$NR$75,104&lt;=$NS$75),IF($NP$75="Single_Point",IF(104=$NR$75,$NN$75,0),IF($NP$75="Bell_Curve",$NN$75*(104-$NR$75+1)*($NS$75-104+1)/$NU$75,$NN$75/$NT$75)),0)</f>
        <v/>
      </c>
      <c r="DE75" s="402">
        <f>IF(AND(105&gt;=$NR$75,105&lt;=$NS$75),IF($NP$75="Single_Point",IF(105=$NR$75,$NN$75,0),IF($NP$75="Bell_Curve",$NN$75*(105-$NR$75+1)*($NS$75-105+1)/$NU$75,$NN$75/$NT$75)),0)</f>
        <v/>
      </c>
      <c r="DF75" s="402">
        <f>IF(AND(106&gt;=$NR$75,106&lt;=$NS$75),IF($NP$75="Single_Point",IF(106=$NR$75,$NN$75,0),IF($NP$75="Bell_Curve",$NN$75*(106-$NR$75+1)*($NS$75-106+1)/$NU$75,$NN$75/$NT$75)),0)</f>
        <v/>
      </c>
      <c r="DG75" s="402">
        <f>IF(AND(107&gt;=$NR$75,107&lt;=$NS$75),IF($NP$75="Single_Point",IF(107=$NR$75,$NN$75,0),IF($NP$75="Bell_Curve",$NN$75*(107-$NR$75+1)*($NS$75-107+1)/$NU$75,$NN$75/$NT$75)),0)</f>
        <v/>
      </c>
      <c r="DH75" s="402">
        <f>IF(AND(108&gt;=$NR$75,108&lt;=$NS$75),IF($NP$75="Single_Point",IF(108=$NR$75,$NN$75,0),IF($NP$75="Bell_Curve",$NN$75*(108-$NR$75+1)*($NS$75-108+1)/$NU$75,$NN$75/$NT$75)),0)</f>
        <v/>
      </c>
      <c r="DI75" s="402">
        <f>IF(AND(109&gt;=$NR$75,109&lt;=$NS$75),IF($NP$75="Single_Point",IF(109=$NR$75,$NN$75,0),IF($NP$75="Bell_Curve",$NN$75*(109-$NR$75+1)*($NS$75-109+1)/$NU$75,$NN$75/$NT$75)),0)</f>
        <v/>
      </c>
      <c r="DJ75" s="402">
        <f>IF(AND(110&gt;=$NR$75,110&lt;=$NS$75),IF($NP$75="Single_Point",IF(110=$NR$75,$NN$75,0),IF($NP$75="Bell_Curve",$NN$75*(110-$NR$75+1)*($NS$75-110+1)/$NU$75,$NN$75/$NT$75)),0)</f>
        <v/>
      </c>
      <c r="DK75" s="402">
        <f>IF(AND(111&gt;=$NR$75,111&lt;=$NS$75),IF($NP$75="Single_Point",IF(111=$NR$75,$NN$75,0),IF($NP$75="Bell_Curve",$NN$75*(111-$NR$75+1)*($NS$75-111+1)/$NU$75,$NN$75/$NT$75)),0)</f>
        <v/>
      </c>
      <c r="DL75" s="402">
        <f>IF(AND(112&gt;=$NR$75,112&lt;=$NS$75),IF($NP$75="Single_Point",IF(112=$NR$75,$NN$75,0),IF($NP$75="Bell_Curve",$NN$75*(112-$NR$75+1)*($NS$75-112+1)/$NU$75,$NN$75/$NT$75)),0)</f>
        <v/>
      </c>
      <c r="DM75" s="402">
        <f>IF(AND(113&gt;=$NR$75,113&lt;=$NS$75),IF($NP$75="Single_Point",IF(113=$NR$75,$NN$75,0),IF($NP$75="Bell_Curve",$NN$75*(113-$NR$75+1)*($NS$75-113+1)/$NU$75,$NN$75/$NT$75)),0)</f>
        <v/>
      </c>
      <c r="DN75" s="402">
        <f>IF(AND(114&gt;=$NR$75,114&lt;=$NS$75),IF($NP$75="Single_Point",IF(114=$NR$75,$NN$75,0),IF($NP$75="Bell_Curve",$NN$75*(114-$NR$75+1)*($NS$75-114+1)/$NU$75,$NN$75/$NT$75)),0)</f>
        <v/>
      </c>
      <c r="DO75" s="402">
        <f>IF(AND(115&gt;=$NR$75,115&lt;=$NS$75),IF($NP$75="Single_Point",IF(115=$NR$75,$NN$75,0),IF($NP$75="Bell_Curve",$NN$75*(115-$NR$75+1)*($NS$75-115+1)/$NU$75,$NN$75/$NT$75)),0)</f>
        <v/>
      </c>
      <c r="DP75" s="402">
        <f>IF(AND(116&gt;=$NR$75,116&lt;=$NS$75),IF($NP$75="Single_Point",IF(116=$NR$75,$NN$75,0),IF($NP$75="Bell_Curve",$NN$75*(116-$NR$75+1)*($NS$75-116+1)/$NU$75,$NN$75/$NT$75)),0)</f>
        <v/>
      </c>
      <c r="DQ75" s="402">
        <f>IF(AND(117&gt;=$NR$75,117&lt;=$NS$75),IF($NP$75="Single_Point",IF(117=$NR$75,$NN$75,0),IF($NP$75="Bell_Curve",$NN$75*(117-$NR$75+1)*($NS$75-117+1)/$NU$75,$NN$75/$NT$75)),0)</f>
        <v/>
      </c>
      <c r="DR75" s="402">
        <f>IF(AND(118&gt;=$NR$75,118&lt;=$NS$75),IF($NP$75="Single_Point",IF(118=$NR$75,$NN$75,0),IF($NP$75="Bell_Curve",$NN$75*(118-$NR$75+1)*($NS$75-118+1)/$NU$75,$NN$75/$NT$75)),0)</f>
        <v/>
      </c>
      <c r="DS75" s="402">
        <f>IF(AND(119&gt;=$NR$75,119&lt;=$NS$75),IF($NP$75="Single_Point",IF(119=$NR$75,$NN$75,0),IF($NP$75="Bell_Curve",$NN$75*(119-$NR$75+1)*($NS$75-119+1)/$NU$75,$NN$75/$NT$75)),0)</f>
        <v/>
      </c>
      <c r="DT75" s="402">
        <f>IF(AND(120&gt;=$NR$75,120&lt;=$NS$75),IF($NP$75="Single_Point",IF(120=$NR$75,$NN$75,0),IF($NP$75="Bell_Curve",$NN$75*(120-$NR$75+1)*($NS$75-120+1)/$NU$75,$NN$75/$NT$75)),0)</f>
        <v/>
      </c>
      <c r="DU75" s="402">
        <f>IF(AND(121&gt;=$NR$75,121&lt;=$NS$75),IF($NP$75="Single_Point",IF(121=$NR$75,$NN$75,0),IF($NP$75="Bell_Curve",$NN$75*(121-$NR$75+1)*($NS$75-121+1)/$NU$75,$NN$75/$NT$75)),0)</f>
        <v/>
      </c>
      <c r="DV75" s="402">
        <f>IF(AND(122&gt;=$NR$75,122&lt;=$NS$75),IF($NP$75="Single_Point",IF(122=$NR$75,$NN$75,0),IF($NP$75="Bell_Curve",$NN$75*(122-$NR$75+1)*($NS$75-122+1)/$NU$75,$NN$75/$NT$75)),0)</f>
        <v/>
      </c>
      <c r="DW75" s="402">
        <f>IF(AND(123&gt;=$NR$75,123&lt;=$NS$75),IF($NP$75="Single_Point",IF(123=$NR$75,$NN$75,0),IF($NP$75="Bell_Curve",$NN$75*(123-$NR$75+1)*($NS$75-123+1)/$NU$75,$NN$75/$NT$75)),0)</f>
        <v/>
      </c>
      <c r="DX75" s="402">
        <f>IF(AND(124&gt;=$NR$75,124&lt;=$NS$75),IF($NP$75="Single_Point",IF(124=$NR$75,$NN$75,0),IF($NP$75="Bell_Curve",$NN$75*(124-$NR$75+1)*($NS$75-124+1)/$NU$75,$NN$75/$NT$75)),0)</f>
        <v/>
      </c>
      <c r="DY75" s="402">
        <f>IF(AND(125&gt;=$NR$75,125&lt;=$NS$75),IF($NP$75="Single_Point",IF(125=$NR$75,$NN$75,0),IF($NP$75="Bell_Curve",$NN$75*(125-$NR$75+1)*($NS$75-125+1)/$NU$75,$NN$75/$NT$75)),0)</f>
        <v/>
      </c>
      <c r="DZ75" s="402">
        <f>IF(AND(126&gt;=$NR$75,126&lt;=$NS$75),IF($NP$75="Single_Point",IF(126=$NR$75,$NN$75,0),IF($NP$75="Bell_Curve",$NN$75*(126-$NR$75+1)*($NS$75-126+1)/$NU$75,$NN$75/$NT$75)),0)</f>
        <v/>
      </c>
      <c r="EA75" s="402">
        <f>IF(AND(127&gt;=$NR$75,127&lt;=$NS$75),IF($NP$75="Single_Point",IF(127=$NR$75,$NN$75,0),IF($NP$75="Bell_Curve",$NN$75*(127-$NR$75+1)*($NS$75-127+1)/$NU$75,$NN$75/$NT$75)),0)</f>
        <v/>
      </c>
      <c r="EB75" s="402">
        <f>IF(AND(128&gt;=$NR$75,128&lt;=$NS$75),IF($NP$75="Single_Point",IF(128=$NR$75,$NN$75,0),IF($NP$75="Bell_Curve",$NN$75*(128-$NR$75+1)*($NS$75-128+1)/$NU$75,$NN$75/$NT$75)),0)</f>
        <v/>
      </c>
      <c r="EC75" s="402">
        <f>IF(AND(129&gt;=$NR$75,129&lt;=$NS$75),IF($NP$75="Single_Point",IF(129=$NR$75,$NN$75,0),IF($NP$75="Bell_Curve",$NN$75*(129-$NR$75+1)*($NS$75-129+1)/$NU$75,$NN$75/$NT$75)),0)</f>
        <v/>
      </c>
      <c r="ED75" s="402">
        <f>IF(AND(130&gt;=$NR$75,130&lt;=$NS$75),IF($NP$75="Single_Point",IF(130=$NR$75,$NN$75,0),IF($NP$75="Bell_Curve",$NN$75*(130-$NR$75+1)*($NS$75-130+1)/$NU$75,$NN$75/$NT$75)),0)</f>
        <v/>
      </c>
      <c r="EE75" s="402">
        <f>IF(AND(131&gt;=$NR$75,131&lt;=$NS$75),IF($NP$75="Single_Point",IF(131=$NR$75,$NN$75,0),IF($NP$75="Bell_Curve",$NN$75*(131-$NR$75+1)*($NS$75-131+1)/$NU$75,$NN$75/$NT$75)),0)</f>
        <v/>
      </c>
      <c r="EF75" s="402">
        <f>IF(AND(132&gt;=$NR$75,132&lt;=$NS$75),IF($NP$75="Single_Point",IF(132=$NR$75,$NN$75,0),IF($NP$75="Bell_Curve",$NN$75*(132-$NR$75+1)*($NS$75-132+1)/$NU$75,$NN$75/$NT$75)),0)</f>
        <v/>
      </c>
      <c r="EG75" s="402">
        <f>IF(AND(133&gt;=$NR$75,133&lt;=$NS$75),IF($NP$75="Single_Point",IF(133=$NR$75,$NN$75,0),IF($NP$75="Bell_Curve",$NN$75*(133-$NR$75+1)*($NS$75-133+1)/$NU$75,$NN$75/$NT$75)),0)</f>
        <v/>
      </c>
      <c r="EH75" s="402">
        <f>IF(AND(134&gt;=$NR$75,134&lt;=$NS$75),IF($NP$75="Single_Point",IF(134=$NR$75,$NN$75,0),IF($NP$75="Bell_Curve",$NN$75*(134-$NR$75+1)*($NS$75-134+1)/$NU$75,$NN$75/$NT$75)),0)</f>
        <v/>
      </c>
      <c r="EI75" s="402">
        <f>IF(AND(135&gt;=$NR$75,135&lt;=$NS$75),IF($NP$75="Single_Point",IF(135=$NR$75,$NN$75,0),IF($NP$75="Bell_Curve",$NN$75*(135-$NR$75+1)*($NS$75-135+1)/$NU$75,$NN$75/$NT$75)),0)</f>
        <v/>
      </c>
      <c r="EJ75" s="402">
        <f>IF(AND(136&gt;=$NR$75,136&lt;=$NS$75),IF($NP$75="Single_Point",IF(136=$NR$75,$NN$75,0),IF($NP$75="Bell_Curve",$NN$75*(136-$NR$75+1)*($NS$75-136+1)/$NU$75,$NN$75/$NT$75)),0)</f>
        <v/>
      </c>
      <c r="EK75" s="402">
        <f>IF(AND(137&gt;=$NR$75,137&lt;=$NS$75),IF($NP$75="Single_Point",IF(137=$NR$75,$NN$75,0),IF($NP$75="Bell_Curve",$NN$75*(137-$NR$75+1)*($NS$75-137+1)/$NU$75,$NN$75/$NT$75)),0)</f>
        <v/>
      </c>
      <c r="EL75" s="402">
        <f>IF(AND(138&gt;=$NR$75,138&lt;=$NS$75),IF($NP$75="Single_Point",IF(138=$NR$75,$NN$75,0),IF($NP$75="Bell_Curve",$NN$75*(138-$NR$75+1)*($NS$75-138+1)/$NU$75,$NN$75/$NT$75)),0)</f>
        <v/>
      </c>
      <c r="EM75" s="402">
        <f>IF(AND(139&gt;=$NR$75,139&lt;=$NS$75),IF($NP$75="Single_Point",IF(139=$NR$75,$NN$75,0),IF($NP$75="Bell_Curve",$NN$75*(139-$NR$75+1)*($NS$75-139+1)/$NU$75,$NN$75/$NT$75)),0)</f>
        <v/>
      </c>
      <c r="EN75" s="402">
        <f>IF(AND(140&gt;=$NR$75,140&lt;=$NS$75),IF($NP$75="Single_Point",IF(140=$NR$75,$NN$75,0),IF($NP$75="Bell_Curve",$NN$75*(140-$NR$75+1)*($NS$75-140+1)/$NU$75,$NN$75/$NT$75)),0)</f>
        <v/>
      </c>
      <c r="EO75" s="402">
        <f>IF(AND(141&gt;=$NR$75,141&lt;=$NS$75),IF($NP$75="Single_Point",IF(141=$NR$75,$NN$75,0),IF($NP$75="Bell_Curve",$NN$75*(141-$NR$75+1)*($NS$75-141+1)/$NU$75,$NN$75/$NT$75)),0)</f>
        <v/>
      </c>
      <c r="EP75" s="402">
        <f>IF(AND(142&gt;=$NR$75,142&lt;=$NS$75),IF($NP$75="Single_Point",IF(142=$NR$75,$NN$75,0),IF($NP$75="Bell_Curve",$NN$75*(142-$NR$75+1)*($NS$75-142+1)/$NU$75,$NN$75/$NT$75)),0)</f>
        <v/>
      </c>
      <c r="EQ75" s="402">
        <f>IF(AND(143&gt;=$NR$75,143&lt;=$NS$75),IF($NP$75="Single_Point",IF(143=$NR$75,$NN$75,0),IF($NP$75="Bell_Curve",$NN$75*(143-$NR$75+1)*($NS$75-143+1)/$NU$75,$NN$75/$NT$75)),0)</f>
        <v/>
      </c>
      <c r="ER75" s="402">
        <f>IF(AND(144&gt;=$NR$75,144&lt;=$NS$75),IF($NP$75="Single_Point",IF(144=$NR$75,$NN$75,0),IF($NP$75="Bell_Curve",$NN$75*(144-$NR$75+1)*($NS$75-144+1)/$NU$75,$NN$75/$NT$75)),0)</f>
        <v/>
      </c>
      <c r="ES75" s="402">
        <f>IF(AND(145&gt;=$NR$75,145&lt;=$NS$75),IF($NP$75="Single_Point",IF(145=$NR$75,$NN$75,0),IF($NP$75="Bell_Curve",$NN$75*(145-$NR$75+1)*($NS$75-145+1)/$NU$75,$NN$75/$NT$75)),0)</f>
        <v/>
      </c>
      <c r="ET75" s="402">
        <f>IF(AND(146&gt;=$NR$75,146&lt;=$NS$75),IF($NP$75="Single_Point",IF(146=$NR$75,$NN$75,0),IF($NP$75="Bell_Curve",$NN$75*(146-$NR$75+1)*($NS$75-146+1)/$NU$75,$NN$75/$NT$75)),0)</f>
        <v/>
      </c>
      <c r="EU75" s="402">
        <f>IF(AND(147&gt;=$NR$75,147&lt;=$NS$75),IF($NP$75="Single_Point",IF(147=$NR$75,$NN$75,0),IF($NP$75="Bell_Curve",$NN$75*(147-$NR$75+1)*($NS$75-147+1)/$NU$75,$NN$75/$NT$75)),0)</f>
        <v/>
      </c>
      <c r="EV75" s="402">
        <f>IF(AND(148&gt;=$NR$75,148&lt;=$NS$75),IF($NP$75="Single_Point",IF(148=$NR$75,$NN$75,0),IF($NP$75="Bell_Curve",$NN$75*(148-$NR$75+1)*($NS$75-148+1)/$NU$75,$NN$75/$NT$75)),0)</f>
        <v/>
      </c>
      <c r="EW75" s="402">
        <f>IF(AND(149&gt;=$NR$75,149&lt;=$NS$75),IF($NP$75="Single_Point",IF(149=$NR$75,$NN$75,0),IF($NP$75="Bell_Curve",$NN$75*(149-$NR$75+1)*($NS$75-149+1)/$NU$75,$NN$75/$NT$75)),0)</f>
        <v/>
      </c>
      <c r="EX75" s="402">
        <f>IF(AND(150&gt;=$NR$75,150&lt;=$NS$75),IF($NP$75="Single_Point",IF(150=$NR$75,$NN$75,0),IF($NP$75="Bell_Curve",$NN$75*(150-$NR$75+1)*($NS$75-150+1)/$NU$75,$NN$75/$NT$75)),0)</f>
        <v/>
      </c>
      <c r="EY75" s="402">
        <f>IF(AND(151&gt;=$NR$75,151&lt;=$NS$75),IF($NP$75="Single_Point",IF(151=$NR$75,$NN$75,0),IF($NP$75="Bell_Curve",$NN$75*(151-$NR$75+1)*($NS$75-151+1)/$NU$75,$NN$75/$NT$75)),0)</f>
        <v/>
      </c>
      <c r="EZ75" s="402">
        <f>IF(AND(152&gt;=$NR$75,152&lt;=$NS$75),IF($NP$75="Single_Point",IF(152=$NR$75,$NN$75,0),IF($NP$75="Bell_Curve",$NN$75*(152-$NR$75+1)*($NS$75-152+1)/$NU$75,$NN$75/$NT$75)),0)</f>
        <v/>
      </c>
      <c r="FA75" s="402">
        <f>IF(AND(153&gt;=$NR$75,153&lt;=$NS$75),IF($NP$75="Single_Point",IF(153=$NR$75,$NN$75,0),IF($NP$75="Bell_Curve",$NN$75*(153-$NR$75+1)*($NS$75-153+1)/$NU$75,$NN$75/$NT$75)),0)</f>
        <v/>
      </c>
      <c r="FB75" s="402">
        <f>IF(AND(154&gt;=$NR$75,154&lt;=$NS$75),IF($NP$75="Single_Point",IF(154=$NR$75,$NN$75,0),IF($NP$75="Bell_Curve",$NN$75*(154-$NR$75+1)*($NS$75-154+1)/$NU$75,$NN$75/$NT$75)),0)</f>
        <v/>
      </c>
      <c r="FC75" s="402">
        <f>IF(AND(155&gt;=$NR$75,155&lt;=$NS$75),IF($NP$75="Single_Point",IF(155=$NR$75,$NN$75,0),IF($NP$75="Bell_Curve",$NN$75*(155-$NR$75+1)*($NS$75-155+1)/$NU$75,$NN$75/$NT$75)),0)</f>
        <v/>
      </c>
      <c r="FD75" s="402">
        <f>IF(AND(156&gt;=$NR$75,156&lt;=$NS$75),IF($NP$75="Single_Point",IF(156=$NR$75,$NN$75,0),IF($NP$75="Bell_Curve",$NN$75*(156-$NR$75+1)*($NS$75-156+1)/$NU$75,$NN$75/$NT$75)),0)</f>
        <v/>
      </c>
      <c r="FE75" s="402">
        <f>IF(AND(157&gt;=$NR$75,157&lt;=$NS$75),IF($NP$75="Single_Point",IF(157=$NR$75,$NN$75,0),IF($NP$75="Bell_Curve",$NN$75*(157-$NR$75+1)*($NS$75-157+1)/$NU$75,$NN$75/$NT$75)),0)</f>
        <v/>
      </c>
      <c r="FF75" s="402">
        <f>IF(AND(158&gt;=$NR$75,158&lt;=$NS$75),IF($NP$75="Single_Point",IF(158=$NR$75,$NN$75,0),IF($NP$75="Bell_Curve",$NN$75*(158-$NR$75+1)*($NS$75-158+1)/$NU$75,$NN$75/$NT$75)),0)</f>
        <v/>
      </c>
      <c r="FG75" s="402">
        <f>IF(AND(159&gt;=$NR$75,159&lt;=$NS$75),IF($NP$75="Single_Point",IF(159=$NR$75,$NN$75,0),IF($NP$75="Bell_Curve",$NN$75*(159-$NR$75+1)*($NS$75-159+1)/$NU$75,$NN$75/$NT$75)),0)</f>
        <v/>
      </c>
      <c r="FH75" s="402">
        <f>IF(AND(160&gt;=$NR$75,160&lt;=$NS$75),IF($NP$75="Single_Point",IF(160=$NR$75,$NN$75,0),IF($NP$75="Bell_Curve",$NN$75*(160-$NR$75+1)*($NS$75-160+1)/$NU$75,$NN$75/$NT$75)),0)</f>
        <v/>
      </c>
      <c r="FI75" s="402">
        <f>IF(AND(161&gt;=$NR$75,161&lt;=$NS$75),IF($NP$75="Single_Point",IF(161=$NR$75,$NN$75,0),IF($NP$75="Bell_Curve",$NN$75*(161-$NR$75+1)*($NS$75-161+1)/$NU$75,$NN$75/$NT$75)),0)</f>
        <v/>
      </c>
      <c r="FJ75" s="402">
        <f>IF(AND(162&gt;=$NR$75,162&lt;=$NS$75),IF($NP$75="Single_Point",IF(162=$NR$75,$NN$75,0),IF($NP$75="Bell_Curve",$NN$75*(162-$NR$75+1)*($NS$75-162+1)/$NU$75,$NN$75/$NT$75)),0)</f>
        <v/>
      </c>
      <c r="FK75" s="402">
        <f>IF(AND(163&gt;=$NR$75,163&lt;=$NS$75),IF($NP$75="Single_Point",IF(163=$NR$75,$NN$75,0),IF($NP$75="Bell_Curve",$NN$75*(163-$NR$75+1)*($NS$75-163+1)/$NU$75,$NN$75/$NT$75)),0)</f>
        <v/>
      </c>
      <c r="FL75" s="402">
        <f>IF(AND(164&gt;=$NR$75,164&lt;=$NS$75),IF($NP$75="Single_Point",IF(164=$NR$75,$NN$75,0),IF($NP$75="Bell_Curve",$NN$75*(164-$NR$75+1)*($NS$75-164+1)/$NU$75,$NN$75/$NT$75)),0)</f>
        <v/>
      </c>
      <c r="FM75" s="402">
        <f>IF(AND(165&gt;=$NR$75,165&lt;=$NS$75),IF($NP$75="Single_Point",IF(165=$NR$75,$NN$75,0),IF($NP$75="Bell_Curve",$NN$75*(165-$NR$75+1)*($NS$75-165+1)/$NU$75,$NN$75/$NT$75)),0)</f>
        <v/>
      </c>
      <c r="FN75" s="402">
        <f>IF(AND(166&gt;=$NR$75,166&lt;=$NS$75),IF($NP$75="Single_Point",IF(166=$NR$75,$NN$75,0),IF($NP$75="Bell_Curve",$NN$75*(166-$NR$75+1)*($NS$75-166+1)/$NU$75,$NN$75/$NT$75)),0)</f>
        <v/>
      </c>
      <c r="FO75" s="402">
        <f>IF(AND(167&gt;=$NR$75,167&lt;=$NS$75),IF($NP$75="Single_Point",IF(167=$NR$75,$NN$75,0),IF($NP$75="Bell_Curve",$NN$75*(167-$NR$75+1)*($NS$75-167+1)/$NU$75,$NN$75/$NT$75)),0)</f>
        <v/>
      </c>
      <c r="FP75" s="402">
        <f>IF(AND(168&gt;=$NR$75,168&lt;=$NS$75),IF($NP$75="Single_Point",IF(168=$NR$75,$NN$75,0),IF($NP$75="Bell_Curve",$NN$75*(168-$NR$75+1)*($NS$75-168+1)/$NU$75,$NN$75/$NT$75)),0)</f>
        <v/>
      </c>
      <c r="FQ75" s="402">
        <f>IF(AND(169&gt;=$NR$75,169&lt;=$NS$75),IF($NP$75="Single_Point",IF(169=$NR$75,$NN$75,0),IF($NP$75="Bell_Curve",$NN$75*(169-$NR$75+1)*($NS$75-169+1)/$NU$75,$NN$75/$NT$75)),0)</f>
        <v/>
      </c>
      <c r="FR75" s="402">
        <f>IF(AND(170&gt;=$NR$75,170&lt;=$NS$75),IF($NP$75="Single_Point",IF(170=$NR$75,$NN$75,0),IF($NP$75="Bell_Curve",$NN$75*(170-$NR$75+1)*($NS$75-170+1)/$NU$75,$NN$75/$NT$75)),0)</f>
        <v/>
      </c>
      <c r="FS75" s="402">
        <f>IF(AND(171&gt;=$NR$75,171&lt;=$NS$75),IF($NP$75="Single_Point",IF(171=$NR$75,$NN$75,0),IF($NP$75="Bell_Curve",$NN$75*(171-$NR$75+1)*($NS$75-171+1)/$NU$75,$NN$75/$NT$75)),0)</f>
        <v/>
      </c>
      <c r="FT75" s="402">
        <f>IF(AND(172&gt;=$NR$75,172&lt;=$NS$75),IF($NP$75="Single_Point",IF(172=$NR$75,$NN$75,0),IF($NP$75="Bell_Curve",$NN$75*(172-$NR$75+1)*($NS$75-172+1)/$NU$75,$NN$75/$NT$75)),0)</f>
        <v/>
      </c>
      <c r="FU75" s="402">
        <f>IF(AND(173&gt;=$NR$75,173&lt;=$NS$75),IF($NP$75="Single_Point",IF(173=$NR$75,$NN$75,0),IF($NP$75="Bell_Curve",$NN$75*(173-$NR$75+1)*($NS$75-173+1)/$NU$75,$NN$75/$NT$75)),0)</f>
        <v/>
      </c>
      <c r="FV75" s="402">
        <f>IF(AND(174&gt;=$NR$75,174&lt;=$NS$75),IF($NP$75="Single_Point",IF(174=$NR$75,$NN$75,0),IF($NP$75="Bell_Curve",$NN$75*(174-$NR$75+1)*($NS$75-174+1)/$NU$75,$NN$75/$NT$75)),0)</f>
        <v/>
      </c>
      <c r="FW75" s="402">
        <f>IF(AND(175&gt;=$NR$75,175&lt;=$NS$75),IF($NP$75="Single_Point",IF(175=$NR$75,$NN$75,0),IF($NP$75="Bell_Curve",$NN$75*(175-$NR$75+1)*($NS$75-175+1)/$NU$75,$NN$75/$NT$75)),0)</f>
        <v/>
      </c>
      <c r="FX75" s="402">
        <f>IF(AND(176&gt;=$NR$75,176&lt;=$NS$75),IF($NP$75="Single_Point",IF(176=$NR$75,$NN$75,0),IF($NP$75="Bell_Curve",$NN$75*(176-$NR$75+1)*($NS$75-176+1)/$NU$75,$NN$75/$NT$75)),0)</f>
        <v/>
      </c>
      <c r="FY75" s="402">
        <f>IF(AND(177&gt;=$NR$75,177&lt;=$NS$75),IF($NP$75="Single_Point",IF(177=$NR$75,$NN$75,0),IF($NP$75="Bell_Curve",$NN$75*(177-$NR$75+1)*($NS$75-177+1)/$NU$75,$NN$75/$NT$75)),0)</f>
        <v/>
      </c>
      <c r="FZ75" s="402">
        <f>IF(AND(178&gt;=$NR$75,178&lt;=$NS$75),IF($NP$75="Single_Point",IF(178=$NR$75,$NN$75,0),IF($NP$75="Bell_Curve",$NN$75*(178-$NR$75+1)*($NS$75-178+1)/$NU$75,$NN$75/$NT$75)),0)</f>
        <v/>
      </c>
      <c r="GA75" s="402">
        <f>IF(AND(179&gt;=$NR$75,179&lt;=$NS$75),IF($NP$75="Single_Point",IF(179=$NR$75,$NN$75,0),IF($NP$75="Bell_Curve",$NN$75*(179-$NR$75+1)*($NS$75-179+1)/$NU$75,$NN$75/$NT$75)),0)</f>
        <v/>
      </c>
      <c r="GB75" s="402">
        <f>IF(AND(180&gt;=$NR$75,180&lt;=$NS$75),IF($NP$75="Single_Point",IF(180=$NR$75,$NN$75,0),IF($NP$75="Bell_Curve",$NN$75*(180-$NR$75+1)*($NS$75-180+1)/$NU$75,$NN$75/$NT$75)),0)</f>
        <v/>
      </c>
      <c r="GC75" s="402">
        <f>IF(AND(181&gt;=$NR$75,181&lt;=$NS$75),IF($NP$75="Single_Point",IF(181=$NR$75,$NN$75,0),IF($NP$75="Bell_Curve",$NN$75*(181-$NR$75+1)*($NS$75-181+1)/$NU$75,$NN$75/$NT$75)),0)</f>
        <v/>
      </c>
      <c r="GD75" s="402">
        <f>IF(AND(182&gt;=$NR$75,182&lt;=$NS$75),IF($NP$75="Single_Point",IF(182=$NR$75,$NN$75,0),IF($NP$75="Bell_Curve",$NN$75*(182-$NR$75+1)*($NS$75-182+1)/$NU$75,$NN$75/$NT$75)),0)</f>
        <v/>
      </c>
      <c r="GE75" s="402">
        <f>IF(AND(183&gt;=$NR$75,183&lt;=$NS$75),IF($NP$75="Single_Point",IF(183=$NR$75,$NN$75,0),IF($NP$75="Bell_Curve",$NN$75*(183-$NR$75+1)*($NS$75-183+1)/$NU$75,$NN$75/$NT$75)),0)</f>
        <v/>
      </c>
      <c r="GF75" s="402">
        <f>IF(AND(184&gt;=$NR$75,184&lt;=$NS$75),IF($NP$75="Single_Point",IF(184=$NR$75,$NN$75,0),IF($NP$75="Bell_Curve",$NN$75*(184-$NR$75+1)*($NS$75-184+1)/$NU$75,$NN$75/$NT$75)),0)</f>
        <v/>
      </c>
      <c r="GG75" s="402">
        <f>IF(AND(185&gt;=$NR$75,185&lt;=$NS$75),IF($NP$75="Single_Point",IF(185=$NR$75,$NN$75,0),IF($NP$75="Bell_Curve",$NN$75*(185-$NR$75+1)*($NS$75-185+1)/$NU$75,$NN$75/$NT$75)),0)</f>
        <v/>
      </c>
      <c r="GH75" s="402">
        <f>IF(AND(186&gt;=$NR$75,186&lt;=$NS$75),IF($NP$75="Single_Point",IF(186=$NR$75,$NN$75,0),IF($NP$75="Bell_Curve",$NN$75*(186-$NR$75+1)*($NS$75-186+1)/$NU$75,$NN$75/$NT$75)),0)</f>
        <v/>
      </c>
      <c r="GI75" s="402">
        <f>IF(AND(187&gt;=$NR$75,187&lt;=$NS$75),IF($NP$75="Single_Point",IF(187=$NR$75,$NN$75,0),IF($NP$75="Bell_Curve",$NN$75*(187-$NR$75+1)*($NS$75-187+1)/$NU$75,$NN$75/$NT$75)),0)</f>
        <v/>
      </c>
      <c r="GJ75" s="402">
        <f>IF(AND(188&gt;=$NR$75,188&lt;=$NS$75),IF($NP$75="Single_Point",IF(188=$NR$75,$NN$75,0),IF($NP$75="Bell_Curve",$NN$75*(188-$NR$75+1)*($NS$75-188+1)/$NU$75,$NN$75/$NT$75)),0)</f>
        <v/>
      </c>
      <c r="GK75" s="402">
        <f>IF(AND(189&gt;=$NR$75,189&lt;=$NS$75),IF($NP$75="Single_Point",IF(189=$NR$75,$NN$75,0),IF($NP$75="Bell_Curve",$NN$75*(189-$NR$75+1)*($NS$75-189+1)/$NU$75,$NN$75/$NT$75)),0)</f>
        <v/>
      </c>
      <c r="GL75" s="402">
        <f>IF(AND(190&gt;=$NR$75,190&lt;=$NS$75),IF($NP$75="Single_Point",IF(190=$NR$75,$NN$75,0),IF($NP$75="Bell_Curve",$NN$75*(190-$NR$75+1)*($NS$75-190+1)/$NU$75,$NN$75/$NT$75)),0)</f>
        <v/>
      </c>
      <c r="GM75" s="402">
        <f>IF(AND(191&gt;=$NR$75,191&lt;=$NS$75),IF($NP$75="Single_Point",IF(191=$NR$75,$NN$75,0),IF($NP$75="Bell_Curve",$NN$75*(191-$NR$75+1)*($NS$75-191+1)/$NU$75,$NN$75/$NT$75)),0)</f>
        <v/>
      </c>
      <c r="GN75" s="402">
        <f>IF(AND(192&gt;=$NR$75,192&lt;=$NS$75),IF($NP$75="Single_Point",IF(192=$NR$75,$NN$75,0),IF($NP$75="Bell_Curve",$NN$75*(192-$NR$75+1)*($NS$75-192+1)/$NU$75,$NN$75/$NT$75)),0)</f>
        <v/>
      </c>
      <c r="GO75" s="402">
        <f>IF(AND(193&gt;=$NR$75,193&lt;=$NS$75),IF($NP$75="Single_Point",IF(193=$NR$75,$NN$75,0),IF($NP$75="Bell_Curve",$NN$75*(193-$NR$75+1)*($NS$75-193+1)/$NU$75,$NN$75/$NT$75)),0)</f>
        <v/>
      </c>
      <c r="GP75" s="402">
        <f>IF(AND(194&gt;=$NR$75,194&lt;=$NS$75),IF($NP$75="Single_Point",IF(194=$NR$75,$NN$75,0),IF($NP$75="Bell_Curve",$NN$75*(194-$NR$75+1)*($NS$75-194+1)/$NU$75,$NN$75/$NT$75)),0)</f>
        <v/>
      </c>
      <c r="GQ75" s="402">
        <f>IF(AND(195&gt;=$NR$75,195&lt;=$NS$75),IF($NP$75="Single_Point",IF(195=$NR$75,$NN$75,0),IF($NP$75="Bell_Curve",$NN$75*(195-$NR$75+1)*($NS$75-195+1)/$NU$75,$NN$75/$NT$75)),0)</f>
        <v/>
      </c>
      <c r="GR75" s="402">
        <f>IF(AND(196&gt;=$NR$75,196&lt;=$NS$75),IF($NP$75="Single_Point",IF(196=$NR$75,$NN$75,0),IF($NP$75="Bell_Curve",$NN$75*(196-$NR$75+1)*($NS$75-196+1)/$NU$75,$NN$75/$NT$75)),0)</f>
        <v/>
      </c>
      <c r="GS75" s="402">
        <f>IF(AND(197&gt;=$NR$75,197&lt;=$NS$75),IF($NP$75="Single_Point",IF(197=$NR$75,$NN$75,0),IF($NP$75="Bell_Curve",$NN$75*(197-$NR$75+1)*($NS$75-197+1)/$NU$75,$NN$75/$NT$75)),0)</f>
        <v/>
      </c>
      <c r="GT75" s="402">
        <f>IF(AND(198&gt;=$NR$75,198&lt;=$NS$75),IF($NP$75="Single_Point",IF(198=$NR$75,$NN$75,0),IF($NP$75="Bell_Curve",$NN$75*(198-$NR$75+1)*($NS$75-198+1)/$NU$75,$NN$75/$NT$75)),0)</f>
        <v/>
      </c>
      <c r="GU75" s="402">
        <f>IF(AND(199&gt;=$NR$75,199&lt;=$NS$75),IF($NP$75="Single_Point",IF(199=$NR$75,$NN$75,0),IF($NP$75="Bell_Curve",$NN$75*(199-$NR$75+1)*($NS$75-199+1)/$NU$75,$NN$75/$NT$75)),0)</f>
        <v/>
      </c>
      <c r="GV75" s="402">
        <f>IF(AND(200&gt;=$NR$75,200&lt;=$NS$75),IF($NP$75="Single_Point",IF(200=$NR$75,$NN$75,0),IF($NP$75="Bell_Curve",$NN$75*(200-$NR$75+1)*($NS$75-200+1)/$NU$75,$NN$75/$NT$75)),0)</f>
        <v/>
      </c>
      <c r="GW75" s="402">
        <f>IF(AND(201&gt;=$NR$75,201&lt;=$NS$75),IF($NP$75="Single_Point",IF(201=$NR$75,$NN$75,0),IF($NP$75="Bell_Curve",$NN$75*(201-$NR$75+1)*($NS$75-201+1)/$NU$75,$NN$75/$NT$75)),0)</f>
        <v/>
      </c>
      <c r="GX75" s="402">
        <f>IF(AND(202&gt;=$NR$75,202&lt;=$NS$75),IF($NP$75="Single_Point",IF(202=$NR$75,$NN$75,0),IF($NP$75="Bell_Curve",$NN$75*(202-$NR$75+1)*($NS$75-202+1)/$NU$75,$NN$75/$NT$75)),0)</f>
        <v/>
      </c>
      <c r="GY75" s="402">
        <f>IF(AND(203&gt;=$NR$75,203&lt;=$NS$75),IF($NP$75="Single_Point",IF(203=$NR$75,$NN$75,0),IF($NP$75="Bell_Curve",$NN$75*(203-$NR$75+1)*($NS$75-203+1)/$NU$75,$NN$75/$NT$75)),0)</f>
        <v/>
      </c>
      <c r="GZ75" s="402">
        <f>IF(AND(204&gt;=$NR$75,204&lt;=$NS$75),IF($NP$75="Single_Point",IF(204=$NR$75,$NN$75,0),IF($NP$75="Bell_Curve",$NN$75*(204-$NR$75+1)*($NS$75-204+1)/$NU$75,$NN$75/$NT$75)),0)</f>
        <v/>
      </c>
      <c r="HA75" s="402">
        <f>IF(AND(205&gt;=$NR$75,205&lt;=$NS$75),IF($NP$75="Single_Point",IF(205=$NR$75,$NN$75,0),IF($NP$75="Bell_Curve",$NN$75*(205-$NR$75+1)*($NS$75-205+1)/$NU$75,$NN$75/$NT$75)),0)</f>
        <v/>
      </c>
      <c r="HB75" s="402">
        <f>IF(AND(206&gt;=$NR$75,206&lt;=$NS$75),IF($NP$75="Single_Point",IF(206=$NR$75,$NN$75,0),IF($NP$75="Bell_Curve",$NN$75*(206-$NR$75+1)*($NS$75-206+1)/$NU$75,$NN$75/$NT$75)),0)</f>
        <v/>
      </c>
      <c r="HC75" s="402">
        <f>IF(AND(207&gt;=$NR$75,207&lt;=$NS$75),IF($NP$75="Single_Point",IF(207=$NR$75,$NN$75,0),IF($NP$75="Bell_Curve",$NN$75*(207-$NR$75+1)*($NS$75-207+1)/$NU$75,$NN$75/$NT$75)),0)</f>
        <v/>
      </c>
      <c r="HD75" s="402">
        <f>IF(AND(208&gt;=$NR$75,208&lt;=$NS$75),IF($NP$75="Single_Point",IF(208=$NR$75,$NN$75,0),IF($NP$75="Bell_Curve",$NN$75*(208-$NR$75+1)*($NS$75-208+1)/$NU$75,$NN$75/$NT$75)),0)</f>
        <v/>
      </c>
      <c r="HE75" s="402">
        <f>IF(AND(209&gt;=$NR$75,209&lt;=$NS$75),IF($NP$75="Single_Point",IF(209=$NR$75,$NN$75,0),IF($NP$75="Bell_Curve",$NN$75*(209-$NR$75+1)*($NS$75-209+1)/$NU$75,$NN$75/$NT$75)),0)</f>
        <v/>
      </c>
      <c r="HF75" s="402">
        <f>IF(AND(210&gt;=$NR$75,210&lt;=$NS$75),IF($NP$75="Single_Point",IF(210=$NR$75,$NN$75,0),IF($NP$75="Bell_Curve",$NN$75*(210-$NR$75+1)*($NS$75-210+1)/$NU$75,$NN$75/$NT$75)),0)</f>
        <v/>
      </c>
      <c r="HG75" s="402">
        <f>IF(AND(211&gt;=$NR$75,211&lt;=$NS$75),IF($NP$75="Single_Point",IF(211=$NR$75,$NN$75,0),IF($NP$75="Bell_Curve",$NN$75*(211-$NR$75+1)*($NS$75-211+1)/$NU$75,$NN$75/$NT$75)),0)</f>
        <v/>
      </c>
      <c r="HH75" s="402">
        <f>IF(AND(212&gt;=$NR$75,212&lt;=$NS$75),IF($NP$75="Single_Point",IF(212=$NR$75,$NN$75,0),IF($NP$75="Bell_Curve",$NN$75*(212-$NR$75+1)*($NS$75-212+1)/$NU$75,$NN$75/$NT$75)),0)</f>
        <v/>
      </c>
      <c r="HI75" s="402">
        <f>IF(AND(213&gt;=$NR$75,213&lt;=$NS$75),IF($NP$75="Single_Point",IF(213=$NR$75,$NN$75,0),IF($NP$75="Bell_Curve",$NN$75*(213-$NR$75+1)*($NS$75-213+1)/$NU$75,$NN$75/$NT$75)),0)</f>
        <v/>
      </c>
      <c r="HJ75" s="402">
        <f>IF(AND(214&gt;=$NR$75,214&lt;=$NS$75),IF($NP$75="Single_Point",IF(214=$NR$75,$NN$75,0),IF($NP$75="Bell_Curve",$NN$75*(214-$NR$75+1)*($NS$75-214+1)/$NU$75,$NN$75/$NT$75)),0)</f>
        <v/>
      </c>
      <c r="HK75" s="402">
        <f>IF(AND(215&gt;=$NR$75,215&lt;=$NS$75),IF($NP$75="Single_Point",IF(215=$NR$75,$NN$75,0),IF($NP$75="Bell_Curve",$NN$75*(215-$NR$75+1)*($NS$75-215+1)/$NU$75,$NN$75/$NT$75)),0)</f>
        <v/>
      </c>
      <c r="HL75" s="402">
        <f>IF(AND(216&gt;=$NR$75,216&lt;=$NS$75),IF($NP$75="Single_Point",IF(216=$NR$75,$NN$75,0),IF($NP$75="Bell_Curve",$NN$75*(216-$NR$75+1)*($NS$75-216+1)/$NU$75,$NN$75/$NT$75)),0)</f>
        <v/>
      </c>
      <c r="HM75" s="402">
        <f>IF(AND(217&gt;=$NR$75,217&lt;=$NS$75),IF($NP$75="Single_Point",IF(217=$NR$75,$NN$75,0),IF($NP$75="Bell_Curve",$NN$75*(217-$NR$75+1)*($NS$75-217+1)/$NU$75,$NN$75/$NT$75)),0)</f>
        <v/>
      </c>
      <c r="HN75" s="402">
        <f>IF(AND(218&gt;=$NR$75,218&lt;=$NS$75),IF($NP$75="Single_Point",IF(218=$NR$75,$NN$75,0),IF($NP$75="Bell_Curve",$NN$75*(218-$NR$75+1)*($NS$75-218+1)/$NU$75,$NN$75/$NT$75)),0)</f>
        <v/>
      </c>
      <c r="HO75" s="402">
        <f>IF(AND(219&gt;=$NR$75,219&lt;=$NS$75),IF($NP$75="Single_Point",IF(219=$NR$75,$NN$75,0),IF($NP$75="Bell_Curve",$NN$75*(219-$NR$75+1)*($NS$75-219+1)/$NU$75,$NN$75/$NT$75)),0)</f>
        <v/>
      </c>
      <c r="HP75" s="402">
        <f>IF(AND(220&gt;=$NR$75,220&lt;=$NS$75),IF($NP$75="Single_Point",IF(220=$NR$75,$NN$75,0),IF($NP$75="Bell_Curve",$NN$75*(220-$NR$75+1)*($NS$75-220+1)/$NU$75,$NN$75/$NT$75)),0)</f>
        <v/>
      </c>
      <c r="HQ75" s="402">
        <f>IF(AND(221&gt;=$NR$75,221&lt;=$NS$75),IF($NP$75="Single_Point",IF(221=$NR$75,$NN$75,0),IF($NP$75="Bell_Curve",$NN$75*(221-$NR$75+1)*($NS$75-221+1)/$NU$75,$NN$75/$NT$75)),0)</f>
        <v/>
      </c>
      <c r="HR75" s="402">
        <f>IF(AND(222&gt;=$NR$75,222&lt;=$NS$75),IF($NP$75="Single_Point",IF(222=$NR$75,$NN$75,0),IF($NP$75="Bell_Curve",$NN$75*(222-$NR$75+1)*($NS$75-222+1)/$NU$75,$NN$75/$NT$75)),0)</f>
        <v/>
      </c>
      <c r="HS75" s="402">
        <f>IF(AND(223&gt;=$NR$75,223&lt;=$NS$75),IF($NP$75="Single_Point",IF(223=$NR$75,$NN$75,0),IF($NP$75="Bell_Curve",$NN$75*(223-$NR$75+1)*($NS$75-223+1)/$NU$75,$NN$75/$NT$75)),0)</f>
        <v/>
      </c>
      <c r="HT75" s="402">
        <f>IF(AND(224&gt;=$NR$75,224&lt;=$NS$75),IF($NP$75="Single_Point",IF(224=$NR$75,$NN$75,0),IF($NP$75="Bell_Curve",$NN$75*(224-$NR$75+1)*($NS$75-224+1)/$NU$75,$NN$75/$NT$75)),0)</f>
        <v/>
      </c>
      <c r="HU75" s="402">
        <f>IF(AND(225&gt;=$NR$75,225&lt;=$NS$75),IF($NP$75="Single_Point",IF(225=$NR$75,$NN$75,0),IF($NP$75="Bell_Curve",$NN$75*(225-$NR$75+1)*($NS$75-225+1)/$NU$75,$NN$75/$NT$75)),0)</f>
        <v/>
      </c>
      <c r="HV75" s="402">
        <f>IF(AND(226&gt;=$NR$75,226&lt;=$NS$75),IF($NP$75="Single_Point",IF(226=$NR$75,$NN$75,0),IF($NP$75="Bell_Curve",$NN$75*(226-$NR$75+1)*($NS$75-226+1)/$NU$75,$NN$75/$NT$75)),0)</f>
        <v/>
      </c>
      <c r="HW75" s="402">
        <f>IF(AND(227&gt;=$NR$75,227&lt;=$NS$75),IF($NP$75="Single_Point",IF(227=$NR$75,$NN$75,0),IF($NP$75="Bell_Curve",$NN$75*(227-$NR$75+1)*($NS$75-227+1)/$NU$75,$NN$75/$NT$75)),0)</f>
        <v/>
      </c>
      <c r="HX75" s="402">
        <f>IF(AND(228&gt;=$NR$75,228&lt;=$NS$75),IF($NP$75="Single_Point",IF(228=$NR$75,$NN$75,0),IF($NP$75="Bell_Curve",$NN$75*(228-$NR$75+1)*($NS$75-228+1)/$NU$75,$NN$75/$NT$75)),0)</f>
        <v/>
      </c>
      <c r="HY75" s="402">
        <f>IF(AND(229&gt;=$NR$75,229&lt;=$NS$75),IF($NP$75="Single_Point",IF(229=$NR$75,$NN$75,0),IF($NP$75="Bell_Curve",$NN$75*(229-$NR$75+1)*($NS$75-229+1)/$NU$75,$NN$75/$NT$75)),0)</f>
        <v/>
      </c>
      <c r="HZ75" s="402">
        <f>IF(AND(230&gt;=$NR$75,230&lt;=$NS$75),IF($NP$75="Single_Point",IF(230=$NR$75,$NN$75,0),IF($NP$75="Bell_Curve",$NN$75*(230-$NR$75+1)*($NS$75-230+1)/$NU$75,$NN$75/$NT$75)),0)</f>
        <v/>
      </c>
      <c r="IA75" s="402">
        <f>IF(AND(231&gt;=$NR$75,231&lt;=$NS$75),IF($NP$75="Single_Point",IF(231=$NR$75,$NN$75,0),IF($NP$75="Bell_Curve",$NN$75*(231-$NR$75+1)*($NS$75-231+1)/$NU$75,$NN$75/$NT$75)),0)</f>
        <v/>
      </c>
      <c r="IB75" s="402">
        <f>IF(AND(232&gt;=$NR$75,232&lt;=$NS$75),IF($NP$75="Single_Point",IF(232=$NR$75,$NN$75,0),IF($NP$75="Bell_Curve",$NN$75*(232-$NR$75+1)*($NS$75-232+1)/$NU$75,$NN$75/$NT$75)),0)</f>
        <v/>
      </c>
      <c r="IC75" s="402">
        <f>IF(AND(233&gt;=$NR$75,233&lt;=$NS$75),IF($NP$75="Single_Point",IF(233=$NR$75,$NN$75,0),IF($NP$75="Bell_Curve",$NN$75*(233-$NR$75+1)*($NS$75-233+1)/$NU$75,$NN$75/$NT$75)),0)</f>
        <v/>
      </c>
      <c r="ID75" s="402">
        <f>IF(AND(234&gt;=$NR$75,234&lt;=$NS$75),IF($NP$75="Single_Point",IF(234=$NR$75,$NN$75,0),IF($NP$75="Bell_Curve",$NN$75*(234-$NR$75+1)*($NS$75-234+1)/$NU$75,$NN$75/$NT$75)),0)</f>
        <v/>
      </c>
      <c r="IE75" s="402">
        <f>IF(AND(235&gt;=$NR$75,235&lt;=$NS$75),IF($NP$75="Single_Point",IF(235=$NR$75,$NN$75,0),IF($NP$75="Bell_Curve",$NN$75*(235-$NR$75+1)*($NS$75-235+1)/$NU$75,$NN$75/$NT$75)),0)</f>
        <v/>
      </c>
      <c r="IF75" s="402">
        <f>IF(AND(236&gt;=$NR$75,236&lt;=$NS$75),IF($NP$75="Single_Point",IF(236=$NR$75,$NN$75,0),IF($NP$75="Bell_Curve",$NN$75*(236-$NR$75+1)*($NS$75-236+1)/$NU$75,$NN$75/$NT$75)),0)</f>
        <v/>
      </c>
      <c r="IG75" s="402">
        <f>IF(AND(237&gt;=$NR$75,237&lt;=$NS$75),IF($NP$75="Single_Point",IF(237=$NR$75,$NN$75,0),IF($NP$75="Bell_Curve",$NN$75*(237-$NR$75+1)*($NS$75-237+1)/$NU$75,$NN$75/$NT$75)),0)</f>
        <v/>
      </c>
      <c r="IH75" s="402">
        <f>IF(AND(238&gt;=$NR$75,238&lt;=$NS$75),IF($NP$75="Single_Point",IF(238=$NR$75,$NN$75,0),IF($NP$75="Bell_Curve",$NN$75*(238-$NR$75+1)*($NS$75-238+1)/$NU$75,$NN$75/$NT$75)),0)</f>
        <v/>
      </c>
      <c r="II75" s="402">
        <f>IF(AND(239&gt;=$NR$75,239&lt;=$NS$75),IF($NP$75="Single_Point",IF(239=$NR$75,$NN$75,0),IF($NP$75="Bell_Curve",$NN$75*(239-$NR$75+1)*($NS$75-239+1)/$NU$75,$NN$75/$NT$75)),0)</f>
        <v/>
      </c>
      <c r="IJ75" s="402">
        <f>IF(AND(240&gt;=$NR$75,240&lt;=$NS$75),IF($NP$75="Single_Point",IF(240=$NR$75,$NN$75,0),IF($NP$75="Bell_Curve",$NN$75*(240-$NR$75+1)*($NS$75-240+1)/$NU$75,$NN$75/$NT$75)),0)</f>
        <v/>
      </c>
      <c r="IK75" s="402">
        <f>IF(AND(241&gt;=$NR$75,241&lt;=$NS$75),IF($NP$75="Single_Point",IF(241=$NR$75,$NN$75,0),IF($NP$75="Bell_Curve",$NN$75*(241-$NR$75+1)*($NS$75-241+1)/$NU$75,$NN$75/$NT$75)),0)</f>
        <v/>
      </c>
      <c r="IL75" s="402">
        <f>IF(AND(242&gt;=$NR$75,242&lt;=$NS$75),IF($NP$75="Single_Point",IF(242=$NR$75,$NN$75,0),IF($NP$75="Bell_Curve",$NN$75*(242-$NR$75+1)*($NS$75-242+1)/$NU$75,$NN$75/$NT$75)),0)</f>
        <v/>
      </c>
      <c r="IM75" s="402">
        <f>IF(AND(243&gt;=$NR$75,243&lt;=$NS$75),IF($NP$75="Single_Point",IF(243=$NR$75,$NN$75,0),IF($NP$75="Bell_Curve",$NN$75*(243-$NR$75+1)*($NS$75-243+1)/$NU$75,$NN$75/$NT$75)),0)</f>
        <v/>
      </c>
      <c r="IN75" s="402">
        <f>IF(AND(244&gt;=$NR$75,244&lt;=$NS$75),IF($NP$75="Single_Point",IF(244=$NR$75,$NN$75,0),IF($NP$75="Bell_Curve",$NN$75*(244-$NR$75+1)*($NS$75-244+1)/$NU$75,$NN$75/$NT$75)),0)</f>
        <v/>
      </c>
      <c r="IO75" s="402">
        <f>IF(AND(245&gt;=$NR$75,245&lt;=$NS$75),IF($NP$75="Single_Point",IF(245=$NR$75,$NN$75,0),IF($NP$75="Bell_Curve",$NN$75*(245-$NR$75+1)*($NS$75-245+1)/$NU$75,$NN$75/$NT$75)),0)</f>
        <v/>
      </c>
      <c r="IP75" s="402">
        <f>IF(AND(246&gt;=$NR$75,246&lt;=$NS$75),IF($NP$75="Single_Point",IF(246=$NR$75,$NN$75,0),IF($NP$75="Bell_Curve",$NN$75*(246-$NR$75+1)*($NS$75-246+1)/$NU$75,$NN$75/$NT$75)),0)</f>
        <v/>
      </c>
      <c r="IQ75" s="402">
        <f>IF(AND(247&gt;=$NR$75,247&lt;=$NS$75),IF($NP$75="Single_Point",IF(247=$NR$75,$NN$75,0),IF($NP$75="Bell_Curve",$NN$75*(247-$NR$75+1)*($NS$75-247+1)/$NU$75,$NN$75/$NT$75)),0)</f>
        <v/>
      </c>
      <c r="IR75" s="402">
        <f>IF(AND(248&gt;=$NR$75,248&lt;=$NS$75),IF($NP$75="Single_Point",IF(248=$NR$75,$NN$75,0),IF($NP$75="Bell_Curve",$NN$75*(248-$NR$75+1)*($NS$75-248+1)/$NU$75,$NN$75/$NT$75)),0)</f>
        <v/>
      </c>
      <c r="IS75" s="402">
        <f>IF(AND(249&gt;=$NR$75,249&lt;=$NS$75),IF($NP$75="Single_Point",IF(249=$NR$75,$NN$75,0),IF($NP$75="Bell_Curve",$NN$75*(249-$NR$75+1)*($NS$75-249+1)/$NU$75,$NN$75/$NT$75)),0)</f>
        <v/>
      </c>
      <c r="IT75" s="402">
        <f>IF(AND(250&gt;=$NR$75,250&lt;=$NS$75),IF($NP$75="Single_Point",IF(250=$NR$75,$NN$75,0),IF($NP$75="Bell_Curve",$NN$75*(250-$NR$75+1)*($NS$75-250+1)/$NU$75,$NN$75/$NT$75)),0)</f>
        <v/>
      </c>
      <c r="IU75" s="402">
        <f>IF(AND(251&gt;=$NR$75,251&lt;=$NS$75),IF($NP$75="Single_Point",IF(251=$NR$75,$NN$75,0),IF($NP$75="Bell_Curve",$NN$75*(251-$NR$75+1)*($NS$75-251+1)/$NU$75,$NN$75/$NT$75)),0)</f>
        <v/>
      </c>
      <c r="IV75" s="402">
        <f>IF(AND(252&gt;=$NR$75,252&lt;=$NS$75),IF($NP$75="Single_Point",IF(252=$NR$75,$NN$75,0),IF($NP$75="Bell_Curve",$NN$75*(252-$NR$75+1)*($NS$75-252+1)/$NU$75,$NN$75/$NT$75)),0)</f>
        <v/>
      </c>
      <c r="IW75" s="402">
        <f>IF(AND(253&gt;=$NR$75,253&lt;=$NS$75),IF($NP$75="Single_Point",IF(253=$NR$75,$NN$75,0),IF($NP$75="Bell_Curve",$NN$75*(253-$NR$75+1)*($NS$75-253+1)/$NU$75,$NN$75/$NT$75)),0)</f>
        <v/>
      </c>
      <c r="IX75" s="402">
        <f>IF(AND(254&gt;=$NR$75,254&lt;=$NS$75),IF($NP$75="Single_Point",IF(254=$NR$75,$NN$75,0),IF($NP$75="Bell_Curve",$NN$75*(254-$NR$75+1)*($NS$75-254+1)/$NU$75,$NN$75/$NT$75)),0)</f>
        <v/>
      </c>
      <c r="IY75" s="402">
        <f>IF(AND(255&gt;=$NR$75,255&lt;=$NS$75),IF($NP$75="Single_Point",IF(255=$NR$75,$NN$75,0),IF($NP$75="Bell_Curve",$NN$75*(255-$NR$75+1)*($NS$75-255+1)/$NU$75,$NN$75/$NT$75)),0)</f>
        <v/>
      </c>
      <c r="IZ75" s="402">
        <f>IF(AND(256&gt;=$NR$75,256&lt;=$NS$75),IF($NP$75="Single_Point",IF(256=$NR$75,$NN$75,0),IF($NP$75="Bell_Curve",$NN$75*(256-$NR$75+1)*($NS$75-256+1)/$NU$75,$NN$75/$NT$75)),0)</f>
        <v/>
      </c>
      <c r="JA75" s="402">
        <f>IF(AND(257&gt;=$NR$75,257&lt;=$NS$75),IF($NP$75="Single_Point",IF(257=$NR$75,$NN$75,0),IF($NP$75="Bell_Curve",$NN$75*(257-$NR$75+1)*($NS$75-257+1)/$NU$75,$NN$75/$NT$75)),0)</f>
        <v/>
      </c>
      <c r="JB75" s="402">
        <f>IF(AND(258&gt;=$NR$75,258&lt;=$NS$75),IF($NP$75="Single_Point",IF(258=$NR$75,$NN$75,0),IF($NP$75="Bell_Curve",$NN$75*(258-$NR$75+1)*($NS$75-258+1)/$NU$75,$NN$75/$NT$75)),0)</f>
        <v/>
      </c>
      <c r="JC75" s="402">
        <f>IF(AND(259&gt;=$NR$75,259&lt;=$NS$75),IF($NP$75="Single_Point",IF(259=$NR$75,$NN$75,0),IF($NP$75="Bell_Curve",$NN$75*(259-$NR$75+1)*($NS$75-259+1)/$NU$75,$NN$75/$NT$75)),0)</f>
        <v/>
      </c>
      <c r="JD75" s="402">
        <f>IF(AND(260&gt;=$NR$75,260&lt;=$NS$75),IF($NP$75="Single_Point",IF(260=$NR$75,$NN$75,0),IF($NP$75="Bell_Curve",$NN$75*(260-$NR$75+1)*($NS$75-260+1)/$NU$75,$NN$75/$NT$75)),0)</f>
        <v/>
      </c>
      <c r="JE75" s="402">
        <f>IF(AND(261&gt;=$NR$75,261&lt;=$NS$75),IF($NP$75="Single_Point",IF(261=$NR$75,$NN$75,0),IF($NP$75="Bell_Curve",$NN$75*(261-$NR$75+1)*($NS$75-261+1)/$NU$75,$NN$75/$NT$75)),0)</f>
        <v/>
      </c>
      <c r="JF75" s="402">
        <f>IF(AND(262&gt;=$NR$75,262&lt;=$NS$75),IF($NP$75="Single_Point",IF(262=$NR$75,$NN$75,0),IF($NP$75="Bell_Curve",$NN$75*(262-$NR$75+1)*($NS$75-262+1)/$NU$75,$NN$75/$NT$75)),0)</f>
        <v/>
      </c>
      <c r="JG75" s="402">
        <f>IF(AND(263&gt;=$NR$75,263&lt;=$NS$75),IF($NP$75="Single_Point",IF(263=$NR$75,$NN$75,0),IF($NP$75="Bell_Curve",$NN$75*(263-$NR$75+1)*($NS$75-263+1)/$NU$75,$NN$75/$NT$75)),0)</f>
        <v/>
      </c>
      <c r="JH75" s="402">
        <f>IF(AND(264&gt;=$NR$75,264&lt;=$NS$75),IF($NP$75="Single_Point",IF(264=$NR$75,$NN$75,0),IF($NP$75="Bell_Curve",$NN$75*(264-$NR$75+1)*($NS$75-264+1)/$NU$75,$NN$75/$NT$75)),0)</f>
        <v/>
      </c>
      <c r="JI75" s="402">
        <f>IF(AND(265&gt;=$NR$75,265&lt;=$NS$75),IF($NP$75="Single_Point",IF(265=$NR$75,$NN$75,0),IF($NP$75="Bell_Curve",$NN$75*(265-$NR$75+1)*($NS$75-265+1)/$NU$75,$NN$75/$NT$75)),0)</f>
        <v/>
      </c>
      <c r="JJ75" s="402">
        <f>IF(AND(266&gt;=$NR$75,266&lt;=$NS$75),IF($NP$75="Single_Point",IF(266=$NR$75,$NN$75,0),IF($NP$75="Bell_Curve",$NN$75*(266-$NR$75+1)*($NS$75-266+1)/$NU$75,$NN$75/$NT$75)),0)</f>
        <v/>
      </c>
      <c r="JK75" s="402">
        <f>IF(AND(267&gt;=$NR$75,267&lt;=$NS$75),IF($NP$75="Single_Point",IF(267=$NR$75,$NN$75,0),IF($NP$75="Bell_Curve",$NN$75*(267-$NR$75+1)*($NS$75-267+1)/$NU$75,$NN$75/$NT$75)),0)</f>
        <v/>
      </c>
      <c r="JL75" s="402">
        <f>IF(AND(268&gt;=$NR$75,268&lt;=$NS$75),IF($NP$75="Single_Point",IF(268=$NR$75,$NN$75,0),IF($NP$75="Bell_Curve",$NN$75*(268-$NR$75+1)*($NS$75-268+1)/$NU$75,$NN$75/$NT$75)),0)</f>
        <v/>
      </c>
      <c r="JM75" s="402">
        <f>IF(AND(269&gt;=$NR$75,269&lt;=$NS$75),IF($NP$75="Single_Point",IF(269=$NR$75,$NN$75,0),IF($NP$75="Bell_Curve",$NN$75*(269-$NR$75+1)*($NS$75-269+1)/$NU$75,$NN$75/$NT$75)),0)</f>
        <v/>
      </c>
      <c r="JN75" s="402">
        <f>IF(AND(270&gt;=$NR$75,270&lt;=$NS$75),IF($NP$75="Single_Point",IF(270=$NR$75,$NN$75,0),IF($NP$75="Bell_Curve",$NN$75*(270-$NR$75+1)*($NS$75-270+1)/$NU$75,$NN$75/$NT$75)),0)</f>
        <v/>
      </c>
      <c r="JO75" s="402">
        <f>IF(AND(271&gt;=$NR$75,271&lt;=$NS$75),IF($NP$75="Single_Point",IF(271=$NR$75,$NN$75,0),IF($NP$75="Bell_Curve",$NN$75*(271-$NR$75+1)*($NS$75-271+1)/$NU$75,$NN$75/$NT$75)),0)</f>
        <v/>
      </c>
      <c r="JP75" s="402">
        <f>IF(AND(272&gt;=$NR$75,272&lt;=$NS$75),IF($NP$75="Single_Point",IF(272=$NR$75,$NN$75,0),IF($NP$75="Bell_Curve",$NN$75*(272-$NR$75+1)*($NS$75-272+1)/$NU$75,$NN$75/$NT$75)),0)</f>
        <v/>
      </c>
      <c r="JQ75" s="402">
        <f>IF(AND(273&gt;=$NR$75,273&lt;=$NS$75),IF($NP$75="Single_Point",IF(273=$NR$75,$NN$75,0),IF($NP$75="Bell_Curve",$NN$75*(273-$NR$75+1)*($NS$75-273+1)/$NU$75,$NN$75/$NT$75)),0)</f>
        <v/>
      </c>
      <c r="JR75" s="402">
        <f>IF(AND(274&gt;=$NR$75,274&lt;=$NS$75),IF($NP$75="Single_Point",IF(274=$NR$75,$NN$75,0),IF($NP$75="Bell_Curve",$NN$75*(274-$NR$75+1)*($NS$75-274+1)/$NU$75,$NN$75/$NT$75)),0)</f>
        <v/>
      </c>
      <c r="JS75" s="402">
        <f>IF(AND(275&gt;=$NR$75,275&lt;=$NS$75),IF($NP$75="Single_Point",IF(275=$NR$75,$NN$75,0),IF($NP$75="Bell_Curve",$NN$75*(275-$NR$75+1)*($NS$75-275+1)/$NU$75,$NN$75/$NT$75)),0)</f>
        <v/>
      </c>
      <c r="JT75" s="402">
        <f>IF(AND(276&gt;=$NR$75,276&lt;=$NS$75),IF($NP$75="Single_Point",IF(276=$NR$75,$NN$75,0),IF($NP$75="Bell_Curve",$NN$75*(276-$NR$75+1)*($NS$75-276+1)/$NU$75,$NN$75/$NT$75)),0)</f>
        <v/>
      </c>
      <c r="JU75" s="402">
        <f>IF(AND(277&gt;=$NR$75,277&lt;=$NS$75),IF($NP$75="Single_Point",IF(277=$NR$75,$NN$75,0),IF($NP$75="Bell_Curve",$NN$75*(277-$NR$75+1)*($NS$75-277+1)/$NU$75,$NN$75/$NT$75)),0)</f>
        <v/>
      </c>
      <c r="JV75" s="402">
        <f>IF(AND(278&gt;=$NR$75,278&lt;=$NS$75),IF($NP$75="Single_Point",IF(278=$NR$75,$NN$75,0),IF($NP$75="Bell_Curve",$NN$75*(278-$NR$75+1)*($NS$75-278+1)/$NU$75,$NN$75/$NT$75)),0)</f>
        <v/>
      </c>
      <c r="JW75" s="402">
        <f>IF(AND(279&gt;=$NR$75,279&lt;=$NS$75),IF($NP$75="Single_Point",IF(279=$NR$75,$NN$75,0),IF($NP$75="Bell_Curve",$NN$75*(279-$NR$75+1)*($NS$75-279+1)/$NU$75,$NN$75/$NT$75)),0)</f>
        <v/>
      </c>
      <c r="JX75" s="402">
        <f>IF(AND(280&gt;=$NR$75,280&lt;=$NS$75),IF($NP$75="Single_Point",IF(280=$NR$75,$NN$75,0),IF($NP$75="Bell_Curve",$NN$75*(280-$NR$75+1)*($NS$75-280+1)/$NU$75,$NN$75/$NT$75)),0)</f>
        <v/>
      </c>
      <c r="JY75" s="402">
        <f>IF(AND(281&gt;=$NR$75,281&lt;=$NS$75),IF($NP$75="Single_Point",IF(281=$NR$75,$NN$75,0),IF($NP$75="Bell_Curve",$NN$75*(281-$NR$75+1)*($NS$75-281+1)/$NU$75,$NN$75/$NT$75)),0)</f>
        <v/>
      </c>
      <c r="JZ75" s="402">
        <f>IF(AND(282&gt;=$NR$75,282&lt;=$NS$75),IF($NP$75="Single_Point",IF(282=$NR$75,$NN$75,0),IF($NP$75="Bell_Curve",$NN$75*(282-$NR$75+1)*($NS$75-282+1)/$NU$75,$NN$75/$NT$75)),0)</f>
        <v/>
      </c>
      <c r="KA75" s="402">
        <f>IF(AND(283&gt;=$NR$75,283&lt;=$NS$75),IF($NP$75="Single_Point",IF(283=$NR$75,$NN$75,0),IF($NP$75="Bell_Curve",$NN$75*(283-$NR$75+1)*($NS$75-283+1)/$NU$75,$NN$75/$NT$75)),0)</f>
        <v/>
      </c>
      <c r="KB75" s="402">
        <f>IF(AND(284&gt;=$NR$75,284&lt;=$NS$75),IF($NP$75="Single_Point",IF(284=$NR$75,$NN$75,0),IF($NP$75="Bell_Curve",$NN$75*(284-$NR$75+1)*($NS$75-284+1)/$NU$75,$NN$75/$NT$75)),0)</f>
        <v/>
      </c>
      <c r="KC75" s="402">
        <f>IF(AND(285&gt;=$NR$75,285&lt;=$NS$75),IF($NP$75="Single_Point",IF(285=$NR$75,$NN$75,0),IF($NP$75="Bell_Curve",$NN$75*(285-$NR$75+1)*($NS$75-285+1)/$NU$75,$NN$75/$NT$75)),0)</f>
        <v/>
      </c>
      <c r="KD75" s="402">
        <f>IF(AND(286&gt;=$NR$75,286&lt;=$NS$75),IF($NP$75="Single_Point",IF(286=$NR$75,$NN$75,0),IF($NP$75="Bell_Curve",$NN$75*(286-$NR$75+1)*($NS$75-286+1)/$NU$75,$NN$75/$NT$75)),0)</f>
        <v/>
      </c>
      <c r="KE75" s="402">
        <f>IF(AND(287&gt;=$NR$75,287&lt;=$NS$75),IF($NP$75="Single_Point",IF(287=$NR$75,$NN$75,0),IF($NP$75="Bell_Curve",$NN$75*(287-$NR$75+1)*($NS$75-287+1)/$NU$75,$NN$75/$NT$75)),0)</f>
        <v/>
      </c>
      <c r="KF75" s="402">
        <f>IF(AND(288&gt;=$NR$75,288&lt;=$NS$75),IF($NP$75="Single_Point",IF(288=$NR$75,$NN$75,0),IF($NP$75="Bell_Curve",$NN$75*(288-$NR$75+1)*($NS$75-288+1)/$NU$75,$NN$75/$NT$75)),0)</f>
        <v/>
      </c>
      <c r="KG75" s="402">
        <f>IF(AND(289&gt;=$NR$75,289&lt;=$NS$75),IF($NP$75="Single_Point",IF(289=$NR$75,$NN$75,0),IF($NP$75="Bell_Curve",$NN$75*(289-$NR$75+1)*($NS$75-289+1)/$NU$75,$NN$75/$NT$75)),0)</f>
        <v/>
      </c>
      <c r="KH75" s="402">
        <f>IF(AND(290&gt;=$NR$75,290&lt;=$NS$75),IF($NP$75="Single_Point",IF(290=$NR$75,$NN$75,0),IF($NP$75="Bell_Curve",$NN$75*(290-$NR$75+1)*($NS$75-290+1)/$NU$75,$NN$75/$NT$75)),0)</f>
        <v/>
      </c>
      <c r="KI75" s="402">
        <f>IF(AND(291&gt;=$NR$75,291&lt;=$NS$75),IF($NP$75="Single_Point",IF(291=$NR$75,$NN$75,0),IF($NP$75="Bell_Curve",$NN$75*(291-$NR$75+1)*($NS$75-291+1)/$NU$75,$NN$75/$NT$75)),0)</f>
        <v/>
      </c>
      <c r="KJ75" s="402">
        <f>IF(AND(292&gt;=$NR$75,292&lt;=$NS$75),IF($NP$75="Single_Point",IF(292=$NR$75,$NN$75,0),IF($NP$75="Bell_Curve",$NN$75*(292-$NR$75+1)*($NS$75-292+1)/$NU$75,$NN$75/$NT$75)),0)</f>
        <v/>
      </c>
      <c r="KK75" s="402">
        <f>IF(AND(293&gt;=$NR$75,293&lt;=$NS$75),IF($NP$75="Single_Point",IF(293=$NR$75,$NN$75,0),IF($NP$75="Bell_Curve",$NN$75*(293-$NR$75+1)*($NS$75-293+1)/$NU$75,$NN$75/$NT$75)),0)</f>
        <v/>
      </c>
      <c r="KL75" s="402">
        <f>IF(AND(294&gt;=$NR$75,294&lt;=$NS$75),IF($NP$75="Single_Point",IF(294=$NR$75,$NN$75,0),IF($NP$75="Bell_Curve",$NN$75*(294-$NR$75+1)*($NS$75-294+1)/$NU$75,$NN$75/$NT$75)),0)</f>
        <v/>
      </c>
      <c r="KM75" s="402">
        <f>IF(AND(295&gt;=$NR$75,295&lt;=$NS$75),IF($NP$75="Single_Point",IF(295=$NR$75,$NN$75,0),IF($NP$75="Bell_Curve",$NN$75*(295-$NR$75+1)*($NS$75-295+1)/$NU$75,$NN$75/$NT$75)),0)</f>
        <v/>
      </c>
      <c r="KN75" s="402">
        <f>IF(AND(296&gt;=$NR$75,296&lt;=$NS$75),IF($NP$75="Single_Point",IF(296=$NR$75,$NN$75,0),IF($NP$75="Bell_Curve",$NN$75*(296-$NR$75+1)*($NS$75-296+1)/$NU$75,$NN$75/$NT$75)),0)</f>
        <v/>
      </c>
      <c r="KO75" s="402">
        <f>IF(AND(297&gt;=$NR$75,297&lt;=$NS$75),IF($NP$75="Single_Point",IF(297=$NR$75,$NN$75,0),IF($NP$75="Bell_Curve",$NN$75*(297-$NR$75+1)*($NS$75-297+1)/$NU$75,$NN$75/$NT$75)),0)</f>
        <v/>
      </c>
      <c r="KP75" s="402">
        <f>IF(AND(298&gt;=$NR$75,298&lt;=$NS$75),IF($NP$75="Single_Point",IF(298=$NR$75,$NN$75,0),IF($NP$75="Bell_Curve",$NN$75*(298-$NR$75+1)*($NS$75-298+1)/$NU$75,$NN$75/$NT$75)),0)</f>
        <v/>
      </c>
      <c r="KQ75" s="402">
        <f>IF(AND(299&gt;=$NR$75,299&lt;=$NS$75),IF($NP$75="Single_Point",IF(299=$NR$75,$NN$75,0),IF($NP$75="Bell_Curve",$NN$75*(299-$NR$75+1)*($NS$75-299+1)/$NU$75,$NN$75/$NT$75)),0)</f>
        <v/>
      </c>
      <c r="KR75" s="402">
        <f>IF(AND(300&gt;=$NR$75,300&lt;=$NS$75),IF($NP$75="Single_Point",IF(300=$NR$75,$NN$75,0),IF($NP$75="Bell_Curve",$NN$75*(300-$NR$75+1)*($NS$75-300+1)/$NU$75,$NN$75/$NT$75)),0)</f>
        <v/>
      </c>
      <c r="KS75" s="402">
        <f>IF(AND(301&gt;=$NR$75,301&lt;=$NS$75),IF($NP$75="Single_Point",IF(301=$NR$75,$NN$75,0),IF($NP$75="Bell_Curve",$NN$75*(301-$NR$75+1)*($NS$75-301+1)/$NU$75,$NN$75/$NT$75)),0)</f>
        <v/>
      </c>
      <c r="KT75" s="402">
        <f>IF(AND(302&gt;=$NR$75,302&lt;=$NS$75),IF($NP$75="Single_Point",IF(302=$NR$75,$NN$75,0),IF($NP$75="Bell_Curve",$NN$75*(302-$NR$75+1)*($NS$75-302+1)/$NU$75,$NN$75/$NT$75)),0)</f>
        <v/>
      </c>
      <c r="KU75" s="402">
        <f>IF(AND(303&gt;=$NR$75,303&lt;=$NS$75),IF($NP$75="Single_Point",IF(303=$NR$75,$NN$75,0),IF($NP$75="Bell_Curve",$NN$75*(303-$NR$75+1)*($NS$75-303+1)/$NU$75,$NN$75/$NT$75)),0)</f>
        <v/>
      </c>
      <c r="KV75" s="402">
        <f>IF(AND(304&gt;=$NR$75,304&lt;=$NS$75),IF($NP$75="Single_Point",IF(304=$NR$75,$NN$75,0),IF($NP$75="Bell_Curve",$NN$75*(304-$NR$75+1)*($NS$75-304+1)/$NU$75,$NN$75/$NT$75)),0)</f>
        <v/>
      </c>
      <c r="KW75" s="402">
        <f>IF(AND(305&gt;=$NR$75,305&lt;=$NS$75),IF($NP$75="Single_Point",IF(305=$NR$75,$NN$75,0),IF($NP$75="Bell_Curve",$NN$75*(305-$NR$75+1)*($NS$75-305+1)/$NU$75,$NN$75/$NT$75)),0)</f>
        <v/>
      </c>
      <c r="KX75" s="402">
        <f>IF(AND(306&gt;=$NR$75,306&lt;=$NS$75),IF($NP$75="Single_Point",IF(306=$NR$75,$NN$75,0),IF($NP$75="Bell_Curve",$NN$75*(306-$NR$75+1)*($NS$75-306+1)/$NU$75,$NN$75/$NT$75)),0)</f>
        <v/>
      </c>
      <c r="KY75" s="402">
        <f>IF(AND(307&gt;=$NR$75,307&lt;=$NS$75),IF($NP$75="Single_Point",IF(307=$NR$75,$NN$75,0),IF($NP$75="Bell_Curve",$NN$75*(307-$NR$75+1)*($NS$75-307+1)/$NU$75,$NN$75/$NT$75)),0)</f>
        <v/>
      </c>
      <c r="KZ75" s="402">
        <f>IF(AND(308&gt;=$NR$75,308&lt;=$NS$75),IF($NP$75="Single_Point",IF(308=$NR$75,$NN$75,0),IF($NP$75="Bell_Curve",$NN$75*(308-$NR$75+1)*($NS$75-308+1)/$NU$75,$NN$75/$NT$75)),0)</f>
        <v/>
      </c>
      <c r="LA75" s="402">
        <f>IF(AND(309&gt;=$NR$75,309&lt;=$NS$75),IF($NP$75="Single_Point",IF(309=$NR$75,$NN$75,0),IF($NP$75="Bell_Curve",$NN$75*(309-$NR$75+1)*($NS$75-309+1)/$NU$75,$NN$75/$NT$75)),0)</f>
        <v/>
      </c>
      <c r="LB75" s="402">
        <f>IF(AND(310&gt;=$NR$75,310&lt;=$NS$75),IF($NP$75="Single_Point",IF(310=$NR$75,$NN$75,0),IF($NP$75="Bell_Curve",$NN$75*(310-$NR$75+1)*($NS$75-310+1)/$NU$75,$NN$75/$NT$75)),0)</f>
        <v/>
      </c>
      <c r="LC75" s="402">
        <f>IF(AND(311&gt;=$NR$75,311&lt;=$NS$75),IF($NP$75="Single_Point",IF(311=$NR$75,$NN$75,0),IF($NP$75="Bell_Curve",$NN$75*(311-$NR$75+1)*($NS$75-311+1)/$NU$75,$NN$75/$NT$75)),0)</f>
        <v/>
      </c>
      <c r="LD75" s="402">
        <f>IF(AND(312&gt;=$NR$75,312&lt;=$NS$75),IF($NP$75="Single_Point",IF(312=$NR$75,$NN$75,0),IF($NP$75="Bell_Curve",$NN$75*(312-$NR$75+1)*($NS$75-312+1)/$NU$75,$NN$75/$NT$75)),0)</f>
        <v/>
      </c>
      <c r="LE75" s="402">
        <f>IF(AND(313&gt;=$NR$75,313&lt;=$NS$75),IF($NP$75="Single_Point",IF(313=$NR$75,$NN$75,0),IF($NP$75="Bell_Curve",$NN$75*(313-$NR$75+1)*($NS$75-313+1)/$NU$75,$NN$75/$NT$75)),0)</f>
        <v/>
      </c>
      <c r="LF75" s="402">
        <f>IF(AND(314&gt;=$NR$75,314&lt;=$NS$75),IF($NP$75="Single_Point",IF(314=$NR$75,$NN$75,0),IF($NP$75="Bell_Curve",$NN$75*(314-$NR$75+1)*($NS$75-314+1)/$NU$75,$NN$75/$NT$75)),0)</f>
        <v/>
      </c>
      <c r="LG75" s="402">
        <f>IF(AND(315&gt;=$NR$75,315&lt;=$NS$75),IF($NP$75="Single_Point",IF(315=$NR$75,$NN$75,0),IF($NP$75="Bell_Curve",$NN$75*(315-$NR$75+1)*($NS$75-315+1)/$NU$75,$NN$75/$NT$75)),0)</f>
        <v/>
      </c>
      <c r="LH75" s="402">
        <f>IF(AND(316&gt;=$NR$75,316&lt;=$NS$75),IF($NP$75="Single_Point",IF(316=$NR$75,$NN$75,0),IF($NP$75="Bell_Curve",$NN$75*(316-$NR$75+1)*($NS$75-316+1)/$NU$75,$NN$75/$NT$75)),0)</f>
        <v/>
      </c>
      <c r="LI75" s="402">
        <f>IF(AND(317&gt;=$NR$75,317&lt;=$NS$75),IF($NP$75="Single_Point",IF(317=$NR$75,$NN$75,0),IF($NP$75="Bell_Curve",$NN$75*(317-$NR$75+1)*($NS$75-317+1)/$NU$75,$NN$75/$NT$75)),0)</f>
        <v/>
      </c>
      <c r="LJ75" s="402">
        <f>IF(AND(318&gt;=$NR$75,318&lt;=$NS$75),IF($NP$75="Single_Point",IF(318=$NR$75,$NN$75,0),IF($NP$75="Bell_Curve",$NN$75*(318-$NR$75+1)*($NS$75-318+1)/$NU$75,$NN$75/$NT$75)),0)</f>
        <v/>
      </c>
      <c r="LK75" s="402">
        <f>IF(AND(319&gt;=$NR$75,319&lt;=$NS$75),IF($NP$75="Single_Point",IF(319=$NR$75,$NN$75,0),IF($NP$75="Bell_Curve",$NN$75*(319-$NR$75+1)*($NS$75-319+1)/$NU$75,$NN$75/$NT$75)),0)</f>
        <v/>
      </c>
      <c r="LL75" s="402">
        <f>IF(AND(320&gt;=$NR$75,320&lt;=$NS$75),IF($NP$75="Single_Point",IF(320=$NR$75,$NN$75,0),IF($NP$75="Bell_Curve",$NN$75*(320-$NR$75+1)*($NS$75-320+1)/$NU$75,$NN$75/$NT$75)),0)</f>
        <v/>
      </c>
      <c r="LM75" s="402">
        <f>IF(AND(321&gt;=$NR$75,321&lt;=$NS$75),IF($NP$75="Single_Point",IF(321=$NR$75,$NN$75,0),IF($NP$75="Bell_Curve",$NN$75*(321-$NR$75+1)*($NS$75-321+1)/$NU$75,$NN$75/$NT$75)),0)</f>
        <v/>
      </c>
      <c r="LN75" s="402">
        <f>IF(AND(322&gt;=$NR$75,322&lt;=$NS$75),IF($NP$75="Single_Point",IF(322=$NR$75,$NN$75,0),IF($NP$75="Bell_Curve",$NN$75*(322-$NR$75+1)*($NS$75-322+1)/$NU$75,$NN$75/$NT$75)),0)</f>
        <v/>
      </c>
      <c r="LO75" s="402">
        <f>IF(AND(323&gt;=$NR$75,323&lt;=$NS$75),IF($NP$75="Single_Point",IF(323=$NR$75,$NN$75,0),IF($NP$75="Bell_Curve",$NN$75*(323-$NR$75+1)*($NS$75-323+1)/$NU$75,$NN$75/$NT$75)),0)</f>
        <v/>
      </c>
      <c r="LP75" s="402">
        <f>IF(AND(324&gt;=$NR$75,324&lt;=$NS$75),IF($NP$75="Single_Point",IF(324=$NR$75,$NN$75,0),IF($NP$75="Bell_Curve",$NN$75*(324-$NR$75+1)*($NS$75-324+1)/$NU$75,$NN$75/$NT$75)),0)</f>
        <v/>
      </c>
      <c r="LQ75" s="402">
        <f>IF(AND(325&gt;=$NR$75,325&lt;=$NS$75),IF($NP$75="Single_Point",IF(325=$NR$75,$NN$75,0),IF($NP$75="Bell_Curve",$NN$75*(325-$NR$75+1)*($NS$75-325+1)/$NU$75,$NN$75/$NT$75)),0)</f>
        <v/>
      </c>
      <c r="LR75" s="402">
        <f>IF(AND(326&gt;=$NR$75,326&lt;=$NS$75),IF($NP$75="Single_Point",IF(326=$NR$75,$NN$75,0),IF($NP$75="Bell_Curve",$NN$75*(326-$NR$75+1)*($NS$75-326+1)/$NU$75,$NN$75/$NT$75)),0)</f>
        <v/>
      </c>
      <c r="LS75" s="402">
        <f>IF(AND(327&gt;=$NR$75,327&lt;=$NS$75),IF($NP$75="Single_Point",IF(327=$NR$75,$NN$75,0),IF($NP$75="Bell_Curve",$NN$75*(327-$NR$75+1)*($NS$75-327+1)/$NU$75,$NN$75/$NT$75)),0)</f>
        <v/>
      </c>
      <c r="LT75" s="402">
        <f>IF(AND(328&gt;=$NR$75,328&lt;=$NS$75),IF($NP$75="Single_Point",IF(328=$NR$75,$NN$75,0),IF($NP$75="Bell_Curve",$NN$75*(328-$NR$75+1)*($NS$75-328+1)/$NU$75,$NN$75/$NT$75)),0)</f>
        <v/>
      </c>
      <c r="LU75" s="402">
        <f>IF(AND(329&gt;=$NR$75,329&lt;=$NS$75),IF($NP$75="Single_Point",IF(329=$NR$75,$NN$75,0),IF($NP$75="Bell_Curve",$NN$75*(329-$NR$75+1)*($NS$75-329+1)/$NU$75,$NN$75/$NT$75)),0)</f>
        <v/>
      </c>
      <c r="LV75" s="402">
        <f>IF(AND(330&gt;=$NR$75,330&lt;=$NS$75),IF($NP$75="Single_Point",IF(330=$NR$75,$NN$75,0),IF($NP$75="Bell_Curve",$NN$75*(330-$NR$75+1)*($NS$75-330+1)/$NU$75,$NN$75/$NT$75)),0)</f>
        <v/>
      </c>
      <c r="LW75" s="402">
        <f>IF(AND(331&gt;=$NR$75,331&lt;=$NS$75),IF($NP$75="Single_Point",IF(331=$NR$75,$NN$75,0),IF($NP$75="Bell_Curve",$NN$75*(331-$NR$75+1)*($NS$75-331+1)/$NU$75,$NN$75/$NT$75)),0)</f>
        <v/>
      </c>
      <c r="LX75" s="402">
        <f>IF(AND(332&gt;=$NR$75,332&lt;=$NS$75),IF($NP$75="Single_Point",IF(332=$NR$75,$NN$75,0),IF($NP$75="Bell_Curve",$NN$75*(332-$NR$75+1)*($NS$75-332+1)/$NU$75,$NN$75/$NT$75)),0)</f>
        <v/>
      </c>
      <c r="LY75" s="402">
        <f>IF(AND(333&gt;=$NR$75,333&lt;=$NS$75),IF($NP$75="Single_Point",IF(333=$NR$75,$NN$75,0),IF($NP$75="Bell_Curve",$NN$75*(333-$NR$75+1)*($NS$75-333+1)/$NU$75,$NN$75/$NT$75)),0)</f>
        <v/>
      </c>
      <c r="LZ75" s="402">
        <f>IF(AND(334&gt;=$NR$75,334&lt;=$NS$75),IF($NP$75="Single_Point",IF(334=$NR$75,$NN$75,0),IF($NP$75="Bell_Curve",$NN$75*(334-$NR$75+1)*($NS$75-334+1)/$NU$75,$NN$75/$NT$75)),0)</f>
        <v/>
      </c>
      <c r="MA75" s="402">
        <f>IF(AND(335&gt;=$NR$75,335&lt;=$NS$75),IF($NP$75="Single_Point",IF(335=$NR$75,$NN$75,0),IF($NP$75="Bell_Curve",$NN$75*(335-$NR$75+1)*($NS$75-335+1)/$NU$75,$NN$75/$NT$75)),0)</f>
        <v/>
      </c>
      <c r="MB75" s="402">
        <f>IF(AND(336&gt;=$NR$75,336&lt;=$NS$75),IF($NP$75="Single_Point",IF(336=$NR$75,$NN$75,0),IF($NP$75="Bell_Curve",$NN$75*(336-$NR$75+1)*($NS$75-336+1)/$NU$75,$NN$75/$NT$75)),0)</f>
        <v/>
      </c>
      <c r="MC75" s="402">
        <f>IF(AND(337&gt;=$NR$75,337&lt;=$NS$75),IF($NP$75="Single_Point",IF(337=$NR$75,$NN$75,0),IF($NP$75="Bell_Curve",$NN$75*(337-$NR$75+1)*($NS$75-337+1)/$NU$75,$NN$75/$NT$75)),0)</f>
        <v/>
      </c>
      <c r="MD75" s="402">
        <f>IF(AND(338&gt;=$NR$75,338&lt;=$NS$75),IF($NP$75="Single_Point",IF(338=$NR$75,$NN$75,0),IF($NP$75="Bell_Curve",$NN$75*(338-$NR$75+1)*($NS$75-338+1)/$NU$75,$NN$75/$NT$75)),0)</f>
        <v/>
      </c>
      <c r="ME75" s="402">
        <f>IF(AND(339&gt;=$NR$75,339&lt;=$NS$75),IF($NP$75="Single_Point",IF(339=$NR$75,$NN$75,0),IF($NP$75="Bell_Curve",$NN$75*(339-$NR$75+1)*($NS$75-339+1)/$NU$75,$NN$75/$NT$75)),0)</f>
        <v/>
      </c>
      <c r="MF75" s="402">
        <f>IF(AND(340&gt;=$NR$75,340&lt;=$NS$75),IF($NP$75="Single_Point",IF(340=$NR$75,$NN$75,0),IF($NP$75="Bell_Curve",$NN$75*(340-$NR$75+1)*($NS$75-340+1)/$NU$75,$NN$75/$NT$75)),0)</f>
        <v/>
      </c>
      <c r="MG75" s="402">
        <f>IF(AND(341&gt;=$NR$75,341&lt;=$NS$75),IF($NP$75="Single_Point",IF(341=$NR$75,$NN$75,0),IF($NP$75="Bell_Curve",$NN$75*(341-$NR$75+1)*($NS$75-341+1)/$NU$75,$NN$75/$NT$75)),0)</f>
        <v/>
      </c>
      <c r="MH75" s="402">
        <f>IF(AND(342&gt;=$NR$75,342&lt;=$NS$75),IF($NP$75="Single_Point",IF(342=$NR$75,$NN$75,0),IF($NP$75="Bell_Curve",$NN$75*(342-$NR$75+1)*($NS$75-342+1)/$NU$75,$NN$75/$NT$75)),0)</f>
        <v/>
      </c>
      <c r="MI75" s="402">
        <f>IF(AND(343&gt;=$NR$75,343&lt;=$NS$75),IF($NP$75="Single_Point",IF(343=$NR$75,$NN$75,0),IF($NP$75="Bell_Curve",$NN$75*(343-$NR$75+1)*($NS$75-343+1)/$NU$75,$NN$75/$NT$75)),0)</f>
        <v/>
      </c>
      <c r="MJ75" s="402">
        <f>IF(AND(344&gt;=$NR$75,344&lt;=$NS$75),IF($NP$75="Single_Point",IF(344=$NR$75,$NN$75,0),IF($NP$75="Bell_Curve",$NN$75*(344-$NR$75+1)*($NS$75-344+1)/$NU$75,$NN$75/$NT$75)),0)</f>
        <v/>
      </c>
      <c r="MK75" s="402">
        <f>IF(AND(345&gt;=$NR$75,345&lt;=$NS$75),IF($NP$75="Single_Point",IF(345=$NR$75,$NN$75,0),IF($NP$75="Bell_Curve",$NN$75*(345-$NR$75+1)*($NS$75-345+1)/$NU$75,$NN$75/$NT$75)),0)</f>
        <v/>
      </c>
      <c r="ML75" s="402">
        <f>IF(AND(346&gt;=$NR$75,346&lt;=$NS$75),IF($NP$75="Single_Point",IF(346=$NR$75,$NN$75,0),IF($NP$75="Bell_Curve",$NN$75*(346-$NR$75+1)*($NS$75-346+1)/$NU$75,$NN$75/$NT$75)),0)</f>
        <v/>
      </c>
      <c r="MM75" s="402">
        <f>IF(AND(347&gt;=$NR$75,347&lt;=$NS$75),IF($NP$75="Single_Point",IF(347=$NR$75,$NN$75,0),IF($NP$75="Bell_Curve",$NN$75*(347-$NR$75+1)*($NS$75-347+1)/$NU$75,$NN$75/$NT$75)),0)</f>
        <v/>
      </c>
      <c r="MN75" s="402">
        <f>IF(AND(348&gt;=$NR$75,348&lt;=$NS$75),IF($NP$75="Single_Point",IF(348=$NR$75,$NN$75,0),IF($NP$75="Bell_Curve",$NN$75*(348-$NR$75+1)*($NS$75-348+1)/$NU$75,$NN$75/$NT$75)),0)</f>
        <v/>
      </c>
      <c r="MO75" s="402">
        <f>IF(AND(349&gt;=$NR$75,349&lt;=$NS$75),IF($NP$75="Single_Point",IF(349=$NR$75,$NN$75,0),IF($NP$75="Bell_Curve",$NN$75*(349-$NR$75+1)*($NS$75-349+1)/$NU$75,$NN$75/$NT$75)),0)</f>
        <v/>
      </c>
      <c r="MP75" s="402">
        <f>IF(AND(350&gt;=$NR$75,350&lt;=$NS$75),IF($NP$75="Single_Point",IF(350=$NR$75,$NN$75,0),IF($NP$75="Bell_Curve",$NN$75*(350-$NR$75+1)*($NS$75-350+1)/$NU$75,$NN$75/$NT$75)),0)</f>
        <v/>
      </c>
      <c r="MQ75" s="402">
        <f>IF(AND(351&gt;=$NR$75,351&lt;=$NS$75),IF($NP$75="Single_Point",IF(351=$NR$75,$NN$75,0),IF($NP$75="Bell_Curve",$NN$75*(351-$NR$75+1)*($NS$75-351+1)/$NU$75,$NN$75/$NT$75)),0)</f>
        <v/>
      </c>
      <c r="MR75" s="402">
        <f>IF(AND(352&gt;=$NR$75,352&lt;=$NS$75),IF($NP$75="Single_Point",IF(352=$NR$75,$NN$75,0),IF($NP$75="Bell_Curve",$NN$75*(352-$NR$75+1)*($NS$75-352+1)/$NU$75,$NN$75/$NT$75)),0)</f>
        <v/>
      </c>
      <c r="MS75" s="402">
        <f>IF(AND(353&gt;=$NR$75,353&lt;=$NS$75),IF($NP$75="Single_Point",IF(353=$NR$75,$NN$75,0),IF($NP$75="Bell_Curve",$NN$75*(353-$NR$75+1)*($NS$75-353+1)/$NU$75,$NN$75/$NT$75)),0)</f>
        <v/>
      </c>
      <c r="MT75" s="402">
        <f>IF(AND(354&gt;=$NR$75,354&lt;=$NS$75),IF($NP$75="Single_Point",IF(354=$NR$75,$NN$75,0),IF($NP$75="Bell_Curve",$NN$75*(354-$NR$75+1)*($NS$75-354+1)/$NU$75,$NN$75/$NT$75)),0)</f>
        <v/>
      </c>
      <c r="MU75" s="402">
        <f>IF(AND(355&gt;=$NR$75,355&lt;=$NS$75),IF($NP$75="Single_Point",IF(355=$NR$75,$NN$75,0),IF($NP$75="Bell_Curve",$NN$75*(355-$NR$75+1)*($NS$75-355+1)/$NU$75,$NN$75/$NT$75)),0)</f>
        <v/>
      </c>
      <c r="MV75" s="402">
        <f>IF(AND(356&gt;=$NR$75,356&lt;=$NS$75),IF($NP$75="Single_Point",IF(356=$NR$75,$NN$75,0),IF($NP$75="Bell_Curve",$NN$75*(356-$NR$75+1)*($NS$75-356+1)/$NU$75,$NN$75/$NT$75)),0)</f>
        <v/>
      </c>
      <c r="MW75" s="402">
        <f>IF(AND(357&gt;=$NR$75,357&lt;=$NS$75),IF($NP$75="Single_Point",IF(357=$NR$75,$NN$75,0),IF($NP$75="Bell_Curve",$NN$75*(357-$NR$75+1)*($NS$75-357+1)/$NU$75,$NN$75/$NT$75)),0)</f>
        <v/>
      </c>
      <c r="MX75" s="402">
        <f>IF(AND(358&gt;=$NR$75,358&lt;=$NS$75),IF($NP$75="Single_Point",IF(358=$NR$75,$NN$75,0),IF($NP$75="Bell_Curve",$NN$75*(358-$NR$75+1)*($NS$75-358+1)/$NU$75,$NN$75/$NT$75)),0)</f>
        <v/>
      </c>
      <c r="MY75" s="402">
        <f>IF(AND(359&gt;=$NR$75,359&lt;=$NS$75),IF($NP$75="Single_Point",IF(359=$NR$75,$NN$75,0),IF($NP$75="Bell_Curve",$NN$75*(359-$NR$75+1)*($NS$75-359+1)/$NU$75,$NN$75/$NT$75)),0)</f>
        <v/>
      </c>
      <c r="MZ75" s="402">
        <f>IF(AND(360&gt;=$NR$75,360&lt;=$NS$75),IF($NP$75="Single_Point",IF(360=$NR$75,$NN$75,0),IF($NP$75="Bell_Curve",$NN$75*(360-$NR$75+1)*($NS$75-360+1)/$NU$75,$NN$75/$NT$75)),0)</f>
        <v/>
      </c>
      <c r="NA75" s="402">
        <f>IF(AND(361&gt;=$NR$75,361&lt;=$NS$75),IF($NP$75="Single_Point",IF(361=$NR$75,$NN$75,0),IF($NP$75="Bell_Curve",$NN$75*(361-$NR$75+1)*($NS$75-361+1)/$NU$75,$NN$75/$NT$75)),0)</f>
        <v/>
      </c>
      <c r="NB75" s="402">
        <f>IF(AND(362&gt;=$NR$75,362&lt;=$NS$75),IF($NP$75="Single_Point",IF(362=$NR$75,$NN$75,0),IF($NP$75="Bell_Curve",$NN$75*(362-$NR$75+1)*($NS$75-362+1)/$NU$75,$NN$75/$NT$75)),0)</f>
        <v/>
      </c>
      <c r="NC75" s="402">
        <f>IF(AND(363&gt;=$NR$75,363&lt;=$NS$75),IF($NP$75="Single_Point",IF(363=$NR$75,$NN$75,0),IF($NP$75="Bell_Curve",$NN$75*(363-$NR$75+1)*($NS$75-363+1)/$NU$75,$NN$75/$NT$75)),0)</f>
        <v/>
      </c>
      <c r="ND75" s="402">
        <f>IF(AND(364&gt;=$NR$75,364&lt;=$NS$75),IF($NP$75="Single_Point",IF(364=$NR$75,$NN$75,0),IF($NP$75="Bell_Curve",$NN$75*(364-$NR$75+1)*($NS$75-364+1)/$NU$75,$NN$75/$NT$75)),0)</f>
        <v/>
      </c>
      <c r="NE75" s="402">
        <f>IF(AND(365&gt;=$NR$75,365&lt;=$NS$75),IF($NP$75="Single_Point",IF(365=$NR$75,$NN$75,0),IF($NP$75="Bell_Curve",$NN$75*(365-$NR$75+1)*($NS$75-365+1)/$NU$75,$NN$75/$NT$75)),0)</f>
        <v/>
      </c>
      <c r="NF75" s="402">
        <f>IF(AND(366&gt;=$NR$75,366&lt;=$NS$75),IF($NP$75="Single_Point",IF(366=$NR$75,$NN$75,0),IF($NP$75="Bell_Curve",$NN$75*(366-$NR$75+1)*($NS$75-366+1)/$NU$75,$NN$75/$NT$75)),0)</f>
        <v/>
      </c>
      <c r="NG75" s="402">
        <f>IF(AND(367&gt;=$NR$75,367&lt;=$NS$75),IF($NP$75="Single_Point",IF(367=$NR$75,$NN$75,0),IF($NP$75="Bell_Curve",$NN$75*(367-$NR$75+1)*($NS$75-367+1)/$NU$75,$NN$75/$NT$75)),0)</f>
        <v/>
      </c>
      <c r="NH75" s="402">
        <f>IF(AND(368&gt;=$NR$75,368&lt;=$NS$75),IF($NP$75="Single_Point",IF(368=$NR$75,$NN$75,0),IF($NP$75="Bell_Curve",$NN$75*(368-$NR$75+1)*($NS$75-368+1)/$NU$75,$NN$75/$NT$75)),0)</f>
        <v/>
      </c>
      <c r="NI75" s="402">
        <f>IF(AND(369&gt;=$NR$75,369&lt;=$NS$75),IF($NP$75="Single_Point",IF(369=$NR$75,$NN$75,0),IF($NP$75="Bell_Curve",$NN$75*(369-$NR$75+1)*($NS$75-369+1)/$NU$75,$NN$75/$NT$75)),0)</f>
        <v/>
      </c>
      <c r="NJ75" s="402">
        <f>IF(AND(370&gt;=$NR$75,370&lt;=$NS$75),IF($NP$75="Single_Point",IF(370=$NR$75,$NN$75,0),IF($NP$75="Bell_Curve",$NN$75*(370-$NR$75+1)*($NS$75-370+1)/$NU$75,$NN$75/$NT$75)),0)</f>
        <v/>
      </c>
      <c r="NK75" s="402">
        <f>IF(AND(371&gt;=$NR$75,371&lt;=$NS$75),IF($NP$75="Single_Point",IF(371=$NR$75,$NN$75,0),IF($NP$75="Bell_Curve",$NN$75*(371-$NR$75+1)*($NS$75-371+1)/$NU$75,$NN$75/$NT$75)),0)</f>
        <v/>
      </c>
      <c r="NL75" s="402">
        <f>IF(AND(372&gt;=$NR$75,372&lt;=$NS$75),IF($NP$75="Single_Point",IF(372=$NR$75,$NN$75,0),IF($NP$75="Bell_Curve",$NN$75*(372-$NR$75+1)*($NS$75-372+1)/$NU$75,$NN$75/$NT$75)),0)</f>
        <v/>
      </c>
      <c r="NM75">
        <f>Budget!C74</f>
        <v/>
      </c>
      <c r="NN75">
        <f>Budget!J74</f>
        <v/>
      </c>
      <c r="NO75">
        <f>Budget!G74</f>
        <v/>
      </c>
      <c r="NP75">
        <f>Budget!H74</f>
        <v/>
      </c>
      <c r="NQ75">
        <f>Budget!I74</f>
        <v/>
      </c>
      <c r="NR75">
        <f>MAX(1,MIN(372,INDEX(MilestoneStart,MATCH(NO75,MilestoneNames,0))+NQ75))</f>
        <v/>
      </c>
      <c r="NS75">
        <f>MAX(NR75,MIN(372,INDEX(MilestoneEnd,MATCH(NO75,MilestoneNames,0))+NQ75))</f>
        <v/>
      </c>
      <c r="NT75">
        <f>NS75-NR75+1</f>
        <v/>
      </c>
      <c r="NU75">
        <f>NT75*(NT75+1)*(NT75+2)/6</f>
        <v/>
      </c>
    </row>
    <row r="76">
      <c r="B76" s="316">
        <f>Budget!B75</f>
        <v/>
      </c>
      <c r="D76" s="402">
        <f>SUM(E76:NL76)</f>
        <v/>
      </c>
      <c r="E76" s="402">
        <f>IF(AND(1&gt;=$NR$76,1&lt;=$NS$76),IF($NP$76="Single_Point",IF(1=$NR$76,$NN$76,0),IF($NP$76="Bell_Curve",$NN$76*(1-$NR$76+1)*($NS$76-1+1)/$NU$76,$NN$76/$NT$76)),0)</f>
        <v/>
      </c>
      <c r="F76" s="402">
        <f>IF(AND(2&gt;=$NR$76,2&lt;=$NS$76),IF($NP$76="Single_Point",IF(2=$NR$76,$NN$76,0),IF($NP$76="Bell_Curve",$NN$76*(2-$NR$76+1)*($NS$76-2+1)/$NU$76,$NN$76/$NT$76)),0)</f>
        <v/>
      </c>
      <c r="G76" s="402">
        <f>IF(AND(3&gt;=$NR$76,3&lt;=$NS$76),IF($NP$76="Single_Point",IF(3=$NR$76,$NN$76,0),IF($NP$76="Bell_Curve",$NN$76*(3-$NR$76+1)*($NS$76-3+1)/$NU$76,$NN$76/$NT$76)),0)</f>
        <v/>
      </c>
      <c r="H76" s="402">
        <f>IF(AND(4&gt;=$NR$76,4&lt;=$NS$76),IF($NP$76="Single_Point",IF(4=$NR$76,$NN$76,0),IF($NP$76="Bell_Curve",$NN$76*(4-$NR$76+1)*($NS$76-4+1)/$NU$76,$NN$76/$NT$76)),0)</f>
        <v/>
      </c>
      <c r="I76" s="402">
        <f>IF(AND(5&gt;=$NR$76,5&lt;=$NS$76),IF($NP$76="Single_Point",IF(5=$NR$76,$NN$76,0),IF($NP$76="Bell_Curve",$NN$76*(5-$NR$76+1)*($NS$76-5+1)/$NU$76,$NN$76/$NT$76)),0)</f>
        <v/>
      </c>
      <c r="J76" s="402">
        <f>IF(AND(6&gt;=$NR$76,6&lt;=$NS$76),IF($NP$76="Single_Point",IF(6=$NR$76,$NN$76,0),IF($NP$76="Bell_Curve",$NN$76*(6-$NR$76+1)*($NS$76-6+1)/$NU$76,$NN$76/$NT$76)),0)</f>
        <v/>
      </c>
      <c r="K76" s="402">
        <f>IF(AND(7&gt;=$NR$76,7&lt;=$NS$76),IF($NP$76="Single_Point",IF(7=$NR$76,$NN$76,0),IF($NP$76="Bell_Curve",$NN$76*(7-$NR$76+1)*($NS$76-7+1)/$NU$76,$NN$76/$NT$76)),0)</f>
        <v/>
      </c>
      <c r="L76" s="402">
        <f>IF(AND(8&gt;=$NR$76,8&lt;=$NS$76),IF($NP$76="Single_Point",IF(8=$NR$76,$NN$76,0),IF($NP$76="Bell_Curve",$NN$76*(8-$NR$76+1)*($NS$76-8+1)/$NU$76,$NN$76/$NT$76)),0)</f>
        <v/>
      </c>
      <c r="M76" s="402">
        <f>IF(AND(9&gt;=$NR$76,9&lt;=$NS$76),IF($NP$76="Single_Point",IF(9=$NR$76,$NN$76,0),IF($NP$76="Bell_Curve",$NN$76*(9-$NR$76+1)*($NS$76-9+1)/$NU$76,$NN$76/$NT$76)),0)</f>
        <v/>
      </c>
      <c r="N76" s="402">
        <f>IF(AND(10&gt;=$NR$76,10&lt;=$NS$76),IF($NP$76="Single_Point",IF(10=$NR$76,$NN$76,0),IF($NP$76="Bell_Curve",$NN$76*(10-$NR$76+1)*($NS$76-10+1)/$NU$76,$NN$76/$NT$76)),0)</f>
        <v/>
      </c>
      <c r="O76" s="402">
        <f>IF(AND(11&gt;=$NR$76,11&lt;=$NS$76),IF($NP$76="Single_Point",IF(11=$NR$76,$NN$76,0),IF($NP$76="Bell_Curve",$NN$76*(11-$NR$76+1)*($NS$76-11+1)/$NU$76,$NN$76/$NT$76)),0)</f>
        <v/>
      </c>
      <c r="P76" s="402">
        <f>IF(AND(12&gt;=$NR$76,12&lt;=$NS$76),IF($NP$76="Single_Point",IF(12=$NR$76,$NN$76,0),IF($NP$76="Bell_Curve",$NN$76*(12-$NR$76+1)*($NS$76-12+1)/$NU$76,$NN$76/$NT$76)),0)</f>
        <v/>
      </c>
      <c r="Q76" s="402">
        <f>IF(AND(13&gt;=$NR$76,13&lt;=$NS$76),IF($NP$76="Single_Point",IF(13=$NR$76,$NN$76,0),IF($NP$76="Bell_Curve",$NN$76*(13-$NR$76+1)*($NS$76-13+1)/$NU$76,$NN$76/$NT$76)),0)</f>
        <v/>
      </c>
      <c r="R76" s="402">
        <f>IF(AND(14&gt;=$NR$76,14&lt;=$NS$76),IF($NP$76="Single_Point",IF(14=$NR$76,$NN$76,0),IF($NP$76="Bell_Curve",$NN$76*(14-$NR$76+1)*($NS$76-14+1)/$NU$76,$NN$76/$NT$76)),0)</f>
        <v/>
      </c>
      <c r="S76" s="402">
        <f>IF(AND(15&gt;=$NR$76,15&lt;=$NS$76),IF($NP$76="Single_Point",IF(15=$NR$76,$NN$76,0),IF($NP$76="Bell_Curve",$NN$76*(15-$NR$76+1)*($NS$76-15+1)/$NU$76,$NN$76/$NT$76)),0)</f>
        <v/>
      </c>
      <c r="T76" s="402">
        <f>IF(AND(16&gt;=$NR$76,16&lt;=$NS$76),IF($NP$76="Single_Point",IF(16=$NR$76,$NN$76,0),IF($NP$76="Bell_Curve",$NN$76*(16-$NR$76+1)*($NS$76-16+1)/$NU$76,$NN$76/$NT$76)),0)</f>
        <v/>
      </c>
      <c r="U76" s="402">
        <f>IF(AND(17&gt;=$NR$76,17&lt;=$NS$76),IF($NP$76="Single_Point",IF(17=$NR$76,$NN$76,0),IF($NP$76="Bell_Curve",$NN$76*(17-$NR$76+1)*($NS$76-17+1)/$NU$76,$NN$76/$NT$76)),0)</f>
        <v/>
      </c>
      <c r="V76" s="402">
        <f>IF(AND(18&gt;=$NR$76,18&lt;=$NS$76),IF($NP$76="Single_Point",IF(18=$NR$76,$NN$76,0),IF($NP$76="Bell_Curve",$NN$76*(18-$NR$76+1)*($NS$76-18+1)/$NU$76,$NN$76/$NT$76)),0)</f>
        <v/>
      </c>
      <c r="W76" s="402">
        <f>IF(AND(19&gt;=$NR$76,19&lt;=$NS$76),IF($NP$76="Single_Point",IF(19=$NR$76,$NN$76,0),IF($NP$76="Bell_Curve",$NN$76*(19-$NR$76+1)*($NS$76-19+1)/$NU$76,$NN$76/$NT$76)),0)</f>
        <v/>
      </c>
      <c r="X76" s="402">
        <f>IF(AND(20&gt;=$NR$76,20&lt;=$NS$76),IF($NP$76="Single_Point",IF(20=$NR$76,$NN$76,0),IF($NP$76="Bell_Curve",$NN$76*(20-$NR$76+1)*($NS$76-20+1)/$NU$76,$NN$76/$NT$76)),0)</f>
        <v/>
      </c>
      <c r="Y76" s="402">
        <f>IF(AND(21&gt;=$NR$76,21&lt;=$NS$76),IF($NP$76="Single_Point",IF(21=$NR$76,$NN$76,0),IF($NP$76="Bell_Curve",$NN$76*(21-$NR$76+1)*($NS$76-21+1)/$NU$76,$NN$76/$NT$76)),0)</f>
        <v/>
      </c>
      <c r="Z76" s="402">
        <f>IF(AND(22&gt;=$NR$76,22&lt;=$NS$76),IF($NP$76="Single_Point",IF(22=$NR$76,$NN$76,0),IF($NP$76="Bell_Curve",$NN$76*(22-$NR$76+1)*($NS$76-22+1)/$NU$76,$NN$76/$NT$76)),0)</f>
        <v/>
      </c>
      <c r="AA76" s="402">
        <f>IF(AND(23&gt;=$NR$76,23&lt;=$NS$76),IF($NP$76="Single_Point",IF(23=$NR$76,$NN$76,0),IF($NP$76="Bell_Curve",$NN$76*(23-$NR$76+1)*($NS$76-23+1)/$NU$76,$NN$76/$NT$76)),0)</f>
        <v/>
      </c>
      <c r="AB76" s="402">
        <f>IF(AND(24&gt;=$NR$76,24&lt;=$NS$76),IF($NP$76="Single_Point",IF(24=$NR$76,$NN$76,0),IF($NP$76="Bell_Curve",$NN$76*(24-$NR$76+1)*($NS$76-24+1)/$NU$76,$NN$76/$NT$76)),0)</f>
        <v/>
      </c>
      <c r="AC76" s="402">
        <f>IF(AND(25&gt;=$NR$76,25&lt;=$NS$76),IF($NP$76="Single_Point",IF(25=$NR$76,$NN$76,0),IF($NP$76="Bell_Curve",$NN$76*(25-$NR$76+1)*($NS$76-25+1)/$NU$76,$NN$76/$NT$76)),0)</f>
        <v/>
      </c>
      <c r="AD76" s="402">
        <f>IF(AND(26&gt;=$NR$76,26&lt;=$NS$76),IF($NP$76="Single_Point",IF(26=$NR$76,$NN$76,0),IF($NP$76="Bell_Curve",$NN$76*(26-$NR$76+1)*($NS$76-26+1)/$NU$76,$NN$76/$NT$76)),0)</f>
        <v/>
      </c>
      <c r="AE76" s="402">
        <f>IF(AND(27&gt;=$NR$76,27&lt;=$NS$76),IF($NP$76="Single_Point",IF(27=$NR$76,$NN$76,0),IF($NP$76="Bell_Curve",$NN$76*(27-$NR$76+1)*($NS$76-27+1)/$NU$76,$NN$76/$NT$76)),0)</f>
        <v/>
      </c>
      <c r="AF76" s="402">
        <f>IF(AND(28&gt;=$NR$76,28&lt;=$NS$76),IF($NP$76="Single_Point",IF(28=$NR$76,$NN$76,0),IF($NP$76="Bell_Curve",$NN$76*(28-$NR$76+1)*($NS$76-28+1)/$NU$76,$NN$76/$NT$76)),0)</f>
        <v/>
      </c>
      <c r="AG76" s="402">
        <f>IF(AND(29&gt;=$NR$76,29&lt;=$NS$76),IF($NP$76="Single_Point",IF(29=$NR$76,$NN$76,0),IF($NP$76="Bell_Curve",$NN$76*(29-$NR$76+1)*($NS$76-29+1)/$NU$76,$NN$76/$NT$76)),0)</f>
        <v/>
      </c>
      <c r="AH76" s="402">
        <f>IF(AND(30&gt;=$NR$76,30&lt;=$NS$76),IF($NP$76="Single_Point",IF(30=$NR$76,$NN$76,0),IF($NP$76="Bell_Curve",$NN$76*(30-$NR$76+1)*($NS$76-30+1)/$NU$76,$NN$76/$NT$76)),0)</f>
        <v/>
      </c>
      <c r="AI76" s="402">
        <f>IF(AND(31&gt;=$NR$76,31&lt;=$NS$76),IF($NP$76="Single_Point",IF(31=$NR$76,$NN$76,0),IF($NP$76="Bell_Curve",$NN$76*(31-$NR$76+1)*($NS$76-31+1)/$NU$76,$NN$76/$NT$76)),0)</f>
        <v/>
      </c>
      <c r="AJ76" s="402">
        <f>IF(AND(32&gt;=$NR$76,32&lt;=$NS$76),IF($NP$76="Single_Point",IF(32=$NR$76,$NN$76,0),IF($NP$76="Bell_Curve",$NN$76*(32-$NR$76+1)*($NS$76-32+1)/$NU$76,$NN$76/$NT$76)),0)</f>
        <v/>
      </c>
      <c r="AK76" s="402">
        <f>IF(AND(33&gt;=$NR$76,33&lt;=$NS$76),IF($NP$76="Single_Point",IF(33=$NR$76,$NN$76,0),IF($NP$76="Bell_Curve",$NN$76*(33-$NR$76+1)*($NS$76-33+1)/$NU$76,$NN$76/$NT$76)),0)</f>
        <v/>
      </c>
      <c r="AL76" s="402">
        <f>IF(AND(34&gt;=$NR$76,34&lt;=$NS$76),IF($NP$76="Single_Point",IF(34=$NR$76,$NN$76,0),IF($NP$76="Bell_Curve",$NN$76*(34-$NR$76+1)*($NS$76-34+1)/$NU$76,$NN$76/$NT$76)),0)</f>
        <v/>
      </c>
      <c r="AM76" s="402">
        <f>IF(AND(35&gt;=$NR$76,35&lt;=$NS$76),IF($NP$76="Single_Point",IF(35=$NR$76,$NN$76,0),IF($NP$76="Bell_Curve",$NN$76*(35-$NR$76+1)*($NS$76-35+1)/$NU$76,$NN$76/$NT$76)),0)</f>
        <v/>
      </c>
      <c r="AN76" s="402">
        <f>IF(AND(36&gt;=$NR$76,36&lt;=$NS$76),IF($NP$76="Single_Point",IF(36=$NR$76,$NN$76,0),IF($NP$76="Bell_Curve",$NN$76*(36-$NR$76+1)*($NS$76-36+1)/$NU$76,$NN$76/$NT$76)),0)</f>
        <v/>
      </c>
      <c r="AO76" s="402">
        <f>IF(AND(37&gt;=$NR$76,37&lt;=$NS$76),IF($NP$76="Single_Point",IF(37=$NR$76,$NN$76,0),IF($NP$76="Bell_Curve",$NN$76*(37-$NR$76+1)*($NS$76-37+1)/$NU$76,$NN$76/$NT$76)),0)</f>
        <v/>
      </c>
      <c r="AP76" s="402">
        <f>IF(AND(38&gt;=$NR$76,38&lt;=$NS$76),IF($NP$76="Single_Point",IF(38=$NR$76,$NN$76,0),IF($NP$76="Bell_Curve",$NN$76*(38-$NR$76+1)*($NS$76-38+1)/$NU$76,$NN$76/$NT$76)),0)</f>
        <v/>
      </c>
      <c r="AQ76" s="402">
        <f>IF(AND(39&gt;=$NR$76,39&lt;=$NS$76),IF($NP$76="Single_Point",IF(39=$NR$76,$NN$76,0),IF($NP$76="Bell_Curve",$NN$76*(39-$NR$76+1)*($NS$76-39+1)/$NU$76,$NN$76/$NT$76)),0)</f>
        <v/>
      </c>
      <c r="AR76" s="402">
        <f>IF(AND(40&gt;=$NR$76,40&lt;=$NS$76),IF($NP$76="Single_Point",IF(40=$NR$76,$NN$76,0),IF($NP$76="Bell_Curve",$NN$76*(40-$NR$76+1)*($NS$76-40+1)/$NU$76,$NN$76/$NT$76)),0)</f>
        <v/>
      </c>
      <c r="AS76" s="402">
        <f>IF(AND(41&gt;=$NR$76,41&lt;=$NS$76),IF($NP$76="Single_Point",IF(41=$NR$76,$NN$76,0),IF($NP$76="Bell_Curve",$NN$76*(41-$NR$76+1)*($NS$76-41+1)/$NU$76,$NN$76/$NT$76)),0)</f>
        <v/>
      </c>
      <c r="AT76" s="402">
        <f>IF(AND(42&gt;=$NR$76,42&lt;=$NS$76),IF($NP$76="Single_Point",IF(42=$NR$76,$NN$76,0),IF($NP$76="Bell_Curve",$NN$76*(42-$NR$76+1)*($NS$76-42+1)/$NU$76,$NN$76/$NT$76)),0)</f>
        <v/>
      </c>
      <c r="AU76" s="402">
        <f>IF(AND(43&gt;=$NR$76,43&lt;=$NS$76),IF($NP$76="Single_Point",IF(43=$NR$76,$NN$76,0),IF($NP$76="Bell_Curve",$NN$76*(43-$NR$76+1)*($NS$76-43+1)/$NU$76,$NN$76/$NT$76)),0)</f>
        <v/>
      </c>
      <c r="AV76" s="402">
        <f>IF(AND(44&gt;=$NR$76,44&lt;=$NS$76),IF($NP$76="Single_Point",IF(44=$NR$76,$NN$76,0),IF($NP$76="Bell_Curve",$NN$76*(44-$NR$76+1)*($NS$76-44+1)/$NU$76,$NN$76/$NT$76)),0)</f>
        <v/>
      </c>
      <c r="AW76" s="402">
        <f>IF(AND(45&gt;=$NR$76,45&lt;=$NS$76),IF($NP$76="Single_Point",IF(45=$NR$76,$NN$76,0),IF($NP$76="Bell_Curve",$NN$76*(45-$NR$76+1)*($NS$76-45+1)/$NU$76,$NN$76/$NT$76)),0)</f>
        <v/>
      </c>
      <c r="AX76" s="402">
        <f>IF(AND(46&gt;=$NR$76,46&lt;=$NS$76),IF($NP$76="Single_Point",IF(46=$NR$76,$NN$76,0),IF($NP$76="Bell_Curve",$NN$76*(46-$NR$76+1)*($NS$76-46+1)/$NU$76,$NN$76/$NT$76)),0)</f>
        <v/>
      </c>
      <c r="AY76" s="402">
        <f>IF(AND(47&gt;=$NR$76,47&lt;=$NS$76),IF($NP$76="Single_Point",IF(47=$NR$76,$NN$76,0),IF($NP$76="Bell_Curve",$NN$76*(47-$NR$76+1)*($NS$76-47+1)/$NU$76,$NN$76/$NT$76)),0)</f>
        <v/>
      </c>
      <c r="AZ76" s="402">
        <f>IF(AND(48&gt;=$NR$76,48&lt;=$NS$76),IF($NP$76="Single_Point",IF(48=$NR$76,$NN$76,0),IF($NP$76="Bell_Curve",$NN$76*(48-$NR$76+1)*($NS$76-48+1)/$NU$76,$NN$76/$NT$76)),0)</f>
        <v/>
      </c>
      <c r="BA76" s="402">
        <f>IF(AND(49&gt;=$NR$76,49&lt;=$NS$76),IF($NP$76="Single_Point",IF(49=$NR$76,$NN$76,0),IF($NP$76="Bell_Curve",$NN$76*(49-$NR$76+1)*($NS$76-49+1)/$NU$76,$NN$76/$NT$76)),0)</f>
        <v/>
      </c>
      <c r="BB76" s="402">
        <f>IF(AND(50&gt;=$NR$76,50&lt;=$NS$76),IF($NP$76="Single_Point",IF(50=$NR$76,$NN$76,0),IF($NP$76="Bell_Curve",$NN$76*(50-$NR$76+1)*($NS$76-50+1)/$NU$76,$NN$76/$NT$76)),0)</f>
        <v/>
      </c>
      <c r="BC76" s="402">
        <f>IF(AND(51&gt;=$NR$76,51&lt;=$NS$76),IF($NP$76="Single_Point",IF(51=$NR$76,$NN$76,0),IF($NP$76="Bell_Curve",$NN$76*(51-$NR$76+1)*($NS$76-51+1)/$NU$76,$NN$76/$NT$76)),0)</f>
        <v/>
      </c>
      <c r="BD76" s="402">
        <f>IF(AND(52&gt;=$NR$76,52&lt;=$NS$76),IF($NP$76="Single_Point",IF(52=$NR$76,$NN$76,0),IF($NP$76="Bell_Curve",$NN$76*(52-$NR$76+1)*($NS$76-52+1)/$NU$76,$NN$76/$NT$76)),0)</f>
        <v/>
      </c>
      <c r="BE76" s="402">
        <f>IF(AND(53&gt;=$NR$76,53&lt;=$NS$76),IF($NP$76="Single_Point",IF(53=$NR$76,$NN$76,0),IF($NP$76="Bell_Curve",$NN$76*(53-$NR$76+1)*($NS$76-53+1)/$NU$76,$NN$76/$NT$76)),0)</f>
        <v/>
      </c>
      <c r="BF76" s="402">
        <f>IF(AND(54&gt;=$NR$76,54&lt;=$NS$76),IF($NP$76="Single_Point",IF(54=$NR$76,$NN$76,0),IF($NP$76="Bell_Curve",$NN$76*(54-$NR$76+1)*($NS$76-54+1)/$NU$76,$NN$76/$NT$76)),0)</f>
        <v/>
      </c>
      <c r="BG76" s="402">
        <f>IF(AND(55&gt;=$NR$76,55&lt;=$NS$76),IF($NP$76="Single_Point",IF(55=$NR$76,$NN$76,0),IF($NP$76="Bell_Curve",$NN$76*(55-$NR$76+1)*($NS$76-55+1)/$NU$76,$NN$76/$NT$76)),0)</f>
        <v/>
      </c>
      <c r="BH76" s="402">
        <f>IF(AND(56&gt;=$NR$76,56&lt;=$NS$76),IF($NP$76="Single_Point",IF(56=$NR$76,$NN$76,0),IF($NP$76="Bell_Curve",$NN$76*(56-$NR$76+1)*($NS$76-56+1)/$NU$76,$NN$76/$NT$76)),0)</f>
        <v/>
      </c>
      <c r="BI76" s="402">
        <f>IF(AND(57&gt;=$NR$76,57&lt;=$NS$76),IF($NP$76="Single_Point",IF(57=$NR$76,$NN$76,0),IF($NP$76="Bell_Curve",$NN$76*(57-$NR$76+1)*($NS$76-57+1)/$NU$76,$NN$76/$NT$76)),0)</f>
        <v/>
      </c>
      <c r="BJ76" s="402">
        <f>IF(AND(58&gt;=$NR$76,58&lt;=$NS$76),IF($NP$76="Single_Point",IF(58=$NR$76,$NN$76,0),IF($NP$76="Bell_Curve",$NN$76*(58-$NR$76+1)*($NS$76-58+1)/$NU$76,$NN$76/$NT$76)),0)</f>
        <v/>
      </c>
      <c r="BK76" s="402">
        <f>IF(AND(59&gt;=$NR$76,59&lt;=$NS$76),IF($NP$76="Single_Point",IF(59=$NR$76,$NN$76,0),IF($NP$76="Bell_Curve",$NN$76*(59-$NR$76+1)*($NS$76-59+1)/$NU$76,$NN$76/$NT$76)),0)</f>
        <v/>
      </c>
      <c r="BL76" s="402">
        <f>IF(AND(60&gt;=$NR$76,60&lt;=$NS$76),IF($NP$76="Single_Point",IF(60=$NR$76,$NN$76,0),IF($NP$76="Bell_Curve",$NN$76*(60-$NR$76+1)*($NS$76-60+1)/$NU$76,$NN$76/$NT$76)),0)</f>
        <v/>
      </c>
      <c r="BM76" s="402">
        <f>IF(AND(61&gt;=$NR$76,61&lt;=$NS$76),IF($NP$76="Single_Point",IF(61=$NR$76,$NN$76,0),IF($NP$76="Bell_Curve",$NN$76*(61-$NR$76+1)*($NS$76-61+1)/$NU$76,$NN$76/$NT$76)),0)</f>
        <v/>
      </c>
      <c r="BN76" s="402">
        <f>IF(AND(62&gt;=$NR$76,62&lt;=$NS$76),IF($NP$76="Single_Point",IF(62=$NR$76,$NN$76,0),IF($NP$76="Bell_Curve",$NN$76*(62-$NR$76+1)*($NS$76-62+1)/$NU$76,$NN$76/$NT$76)),0)</f>
        <v/>
      </c>
      <c r="BO76" s="402">
        <f>IF(AND(63&gt;=$NR$76,63&lt;=$NS$76),IF($NP$76="Single_Point",IF(63=$NR$76,$NN$76,0),IF($NP$76="Bell_Curve",$NN$76*(63-$NR$76+1)*($NS$76-63+1)/$NU$76,$NN$76/$NT$76)),0)</f>
        <v/>
      </c>
      <c r="BP76" s="402">
        <f>IF(AND(64&gt;=$NR$76,64&lt;=$NS$76),IF($NP$76="Single_Point",IF(64=$NR$76,$NN$76,0),IF($NP$76="Bell_Curve",$NN$76*(64-$NR$76+1)*($NS$76-64+1)/$NU$76,$NN$76/$NT$76)),0)</f>
        <v/>
      </c>
      <c r="BQ76" s="402">
        <f>IF(AND(65&gt;=$NR$76,65&lt;=$NS$76),IF($NP$76="Single_Point",IF(65=$NR$76,$NN$76,0),IF($NP$76="Bell_Curve",$NN$76*(65-$NR$76+1)*($NS$76-65+1)/$NU$76,$NN$76/$NT$76)),0)</f>
        <v/>
      </c>
      <c r="BR76" s="402">
        <f>IF(AND(66&gt;=$NR$76,66&lt;=$NS$76),IF($NP$76="Single_Point",IF(66=$NR$76,$NN$76,0),IF($NP$76="Bell_Curve",$NN$76*(66-$NR$76+1)*($NS$76-66+1)/$NU$76,$NN$76/$NT$76)),0)</f>
        <v/>
      </c>
      <c r="BS76" s="402">
        <f>IF(AND(67&gt;=$NR$76,67&lt;=$NS$76),IF($NP$76="Single_Point",IF(67=$NR$76,$NN$76,0),IF($NP$76="Bell_Curve",$NN$76*(67-$NR$76+1)*($NS$76-67+1)/$NU$76,$NN$76/$NT$76)),0)</f>
        <v/>
      </c>
      <c r="BT76" s="402">
        <f>IF(AND(68&gt;=$NR$76,68&lt;=$NS$76),IF($NP$76="Single_Point",IF(68=$NR$76,$NN$76,0),IF($NP$76="Bell_Curve",$NN$76*(68-$NR$76+1)*($NS$76-68+1)/$NU$76,$NN$76/$NT$76)),0)</f>
        <v/>
      </c>
      <c r="BU76" s="402">
        <f>IF(AND(69&gt;=$NR$76,69&lt;=$NS$76),IF($NP$76="Single_Point",IF(69=$NR$76,$NN$76,0),IF($NP$76="Bell_Curve",$NN$76*(69-$NR$76+1)*($NS$76-69+1)/$NU$76,$NN$76/$NT$76)),0)</f>
        <v/>
      </c>
      <c r="BV76" s="402">
        <f>IF(AND(70&gt;=$NR$76,70&lt;=$NS$76),IF($NP$76="Single_Point",IF(70=$NR$76,$NN$76,0),IF($NP$76="Bell_Curve",$NN$76*(70-$NR$76+1)*($NS$76-70+1)/$NU$76,$NN$76/$NT$76)),0)</f>
        <v/>
      </c>
      <c r="BW76" s="402">
        <f>IF(AND(71&gt;=$NR$76,71&lt;=$NS$76),IF($NP$76="Single_Point",IF(71=$NR$76,$NN$76,0),IF($NP$76="Bell_Curve",$NN$76*(71-$NR$76+1)*($NS$76-71+1)/$NU$76,$NN$76/$NT$76)),0)</f>
        <v/>
      </c>
      <c r="BX76" s="402">
        <f>IF(AND(72&gt;=$NR$76,72&lt;=$NS$76),IF($NP$76="Single_Point",IF(72=$NR$76,$NN$76,0),IF($NP$76="Bell_Curve",$NN$76*(72-$NR$76+1)*($NS$76-72+1)/$NU$76,$NN$76/$NT$76)),0)</f>
        <v/>
      </c>
      <c r="BY76" s="402">
        <f>IF(AND(73&gt;=$NR$76,73&lt;=$NS$76),IF($NP$76="Single_Point",IF(73=$NR$76,$NN$76,0),IF($NP$76="Bell_Curve",$NN$76*(73-$NR$76+1)*($NS$76-73+1)/$NU$76,$NN$76/$NT$76)),0)</f>
        <v/>
      </c>
      <c r="BZ76" s="402">
        <f>IF(AND(74&gt;=$NR$76,74&lt;=$NS$76),IF($NP$76="Single_Point",IF(74=$NR$76,$NN$76,0),IF($NP$76="Bell_Curve",$NN$76*(74-$NR$76+1)*($NS$76-74+1)/$NU$76,$NN$76/$NT$76)),0)</f>
        <v/>
      </c>
      <c r="CA76" s="402">
        <f>IF(AND(75&gt;=$NR$76,75&lt;=$NS$76),IF($NP$76="Single_Point",IF(75=$NR$76,$NN$76,0),IF($NP$76="Bell_Curve",$NN$76*(75-$NR$76+1)*($NS$76-75+1)/$NU$76,$NN$76/$NT$76)),0)</f>
        <v/>
      </c>
      <c r="CB76" s="402">
        <f>IF(AND(76&gt;=$NR$76,76&lt;=$NS$76),IF($NP$76="Single_Point",IF(76=$NR$76,$NN$76,0),IF($NP$76="Bell_Curve",$NN$76*(76-$NR$76+1)*($NS$76-76+1)/$NU$76,$NN$76/$NT$76)),0)</f>
        <v/>
      </c>
      <c r="CC76" s="402">
        <f>IF(AND(77&gt;=$NR$76,77&lt;=$NS$76),IF($NP$76="Single_Point",IF(77=$NR$76,$NN$76,0),IF($NP$76="Bell_Curve",$NN$76*(77-$NR$76+1)*($NS$76-77+1)/$NU$76,$NN$76/$NT$76)),0)</f>
        <v/>
      </c>
      <c r="CD76" s="402">
        <f>IF(AND(78&gt;=$NR$76,78&lt;=$NS$76),IF($NP$76="Single_Point",IF(78=$NR$76,$NN$76,0),IF($NP$76="Bell_Curve",$NN$76*(78-$NR$76+1)*($NS$76-78+1)/$NU$76,$NN$76/$NT$76)),0)</f>
        <v/>
      </c>
      <c r="CE76" s="402">
        <f>IF(AND(79&gt;=$NR$76,79&lt;=$NS$76),IF($NP$76="Single_Point",IF(79=$NR$76,$NN$76,0),IF($NP$76="Bell_Curve",$NN$76*(79-$NR$76+1)*($NS$76-79+1)/$NU$76,$NN$76/$NT$76)),0)</f>
        <v/>
      </c>
      <c r="CF76" s="402">
        <f>IF(AND(80&gt;=$NR$76,80&lt;=$NS$76),IF($NP$76="Single_Point",IF(80=$NR$76,$NN$76,0),IF($NP$76="Bell_Curve",$NN$76*(80-$NR$76+1)*($NS$76-80+1)/$NU$76,$NN$76/$NT$76)),0)</f>
        <v/>
      </c>
      <c r="CG76" s="402">
        <f>IF(AND(81&gt;=$NR$76,81&lt;=$NS$76),IF($NP$76="Single_Point",IF(81=$NR$76,$NN$76,0),IF($NP$76="Bell_Curve",$NN$76*(81-$NR$76+1)*($NS$76-81+1)/$NU$76,$NN$76/$NT$76)),0)</f>
        <v/>
      </c>
      <c r="CH76" s="402">
        <f>IF(AND(82&gt;=$NR$76,82&lt;=$NS$76),IF($NP$76="Single_Point",IF(82=$NR$76,$NN$76,0),IF($NP$76="Bell_Curve",$NN$76*(82-$NR$76+1)*($NS$76-82+1)/$NU$76,$NN$76/$NT$76)),0)</f>
        <v/>
      </c>
      <c r="CI76" s="402">
        <f>IF(AND(83&gt;=$NR$76,83&lt;=$NS$76),IF($NP$76="Single_Point",IF(83=$NR$76,$NN$76,0),IF($NP$76="Bell_Curve",$NN$76*(83-$NR$76+1)*($NS$76-83+1)/$NU$76,$NN$76/$NT$76)),0)</f>
        <v/>
      </c>
      <c r="CJ76" s="402">
        <f>IF(AND(84&gt;=$NR$76,84&lt;=$NS$76),IF($NP$76="Single_Point",IF(84=$NR$76,$NN$76,0),IF($NP$76="Bell_Curve",$NN$76*(84-$NR$76+1)*($NS$76-84+1)/$NU$76,$NN$76/$NT$76)),0)</f>
        <v/>
      </c>
      <c r="CK76" s="402">
        <f>IF(AND(85&gt;=$NR$76,85&lt;=$NS$76),IF($NP$76="Single_Point",IF(85=$NR$76,$NN$76,0),IF($NP$76="Bell_Curve",$NN$76*(85-$NR$76+1)*($NS$76-85+1)/$NU$76,$NN$76/$NT$76)),0)</f>
        <v/>
      </c>
      <c r="CL76" s="402">
        <f>IF(AND(86&gt;=$NR$76,86&lt;=$NS$76),IF($NP$76="Single_Point",IF(86=$NR$76,$NN$76,0),IF($NP$76="Bell_Curve",$NN$76*(86-$NR$76+1)*($NS$76-86+1)/$NU$76,$NN$76/$NT$76)),0)</f>
        <v/>
      </c>
      <c r="CM76" s="402">
        <f>IF(AND(87&gt;=$NR$76,87&lt;=$NS$76),IF($NP$76="Single_Point",IF(87=$NR$76,$NN$76,0),IF($NP$76="Bell_Curve",$NN$76*(87-$NR$76+1)*($NS$76-87+1)/$NU$76,$NN$76/$NT$76)),0)</f>
        <v/>
      </c>
      <c r="CN76" s="402">
        <f>IF(AND(88&gt;=$NR$76,88&lt;=$NS$76),IF($NP$76="Single_Point",IF(88=$NR$76,$NN$76,0),IF($NP$76="Bell_Curve",$NN$76*(88-$NR$76+1)*($NS$76-88+1)/$NU$76,$NN$76/$NT$76)),0)</f>
        <v/>
      </c>
      <c r="CO76" s="402">
        <f>IF(AND(89&gt;=$NR$76,89&lt;=$NS$76),IF($NP$76="Single_Point",IF(89=$NR$76,$NN$76,0),IF($NP$76="Bell_Curve",$NN$76*(89-$NR$76+1)*($NS$76-89+1)/$NU$76,$NN$76/$NT$76)),0)</f>
        <v/>
      </c>
      <c r="CP76" s="402">
        <f>IF(AND(90&gt;=$NR$76,90&lt;=$NS$76),IF($NP$76="Single_Point",IF(90=$NR$76,$NN$76,0),IF($NP$76="Bell_Curve",$NN$76*(90-$NR$76+1)*($NS$76-90+1)/$NU$76,$NN$76/$NT$76)),0)</f>
        <v/>
      </c>
      <c r="CQ76" s="402">
        <f>IF(AND(91&gt;=$NR$76,91&lt;=$NS$76),IF($NP$76="Single_Point",IF(91=$NR$76,$NN$76,0),IF($NP$76="Bell_Curve",$NN$76*(91-$NR$76+1)*($NS$76-91+1)/$NU$76,$NN$76/$NT$76)),0)</f>
        <v/>
      </c>
      <c r="CR76" s="402">
        <f>IF(AND(92&gt;=$NR$76,92&lt;=$NS$76),IF($NP$76="Single_Point",IF(92=$NR$76,$NN$76,0),IF($NP$76="Bell_Curve",$NN$76*(92-$NR$76+1)*($NS$76-92+1)/$NU$76,$NN$76/$NT$76)),0)</f>
        <v/>
      </c>
      <c r="CS76" s="402">
        <f>IF(AND(93&gt;=$NR$76,93&lt;=$NS$76),IF($NP$76="Single_Point",IF(93=$NR$76,$NN$76,0),IF($NP$76="Bell_Curve",$NN$76*(93-$NR$76+1)*($NS$76-93+1)/$NU$76,$NN$76/$NT$76)),0)</f>
        <v/>
      </c>
      <c r="CT76" s="402">
        <f>IF(AND(94&gt;=$NR$76,94&lt;=$NS$76),IF($NP$76="Single_Point",IF(94=$NR$76,$NN$76,0),IF($NP$76="Bell_Curve",$NN$76*(94-$NR$76+1)*($NS$76-94+1)/$NU$76,$NN$76/$NT$76)),0)</f>
        <v/>
      </c>
      <c r="CU76" s="402">
        <f>IF(AND(95&gt;=$NR$76,95&lt;=$NS$76),IF($NP$76="Single_Point",IF(95=$NR$76,$NN$76,0),IF($NP$76="Bell_Curve",$NN$76*(95-$NR$76+1)*($NS$76-95+1)/$NU$76,$NN$76/$NT$76)),0)</f>
        <v/>
      </c>
      <c r="CV76" s="402">
        <f>IF(AND(96&gt;=$NR$76,96&lt;=$NS$76),IF($NP$76="Single_Point",IF(96=$NR$76,$NN$76,0),IF($NP$76="Bell_Curve",$NN$76*(96-$NR$76+1)*($NS$76-96+1)/$NU$76,$NN$76/$NT$76)),0)</f>
        <v/>
      </c>
      <c r="CW76" s="402">
        <f>IF(AND(97&gt;=$NR$76,97&lt;=$NS$76),IF($NP$76="Single_Point",IF(97=$NR$76,$NN$76,0),IF($NP$76="Bell_Curve",$NN$76*(97-$NR$76+1)*($NS$76-97+1)/$NU$76,$NN$76/$NT$76)),0)</f>
        <v/>
      </c>
      <c r="CX76" s="402">
        <f>IF(AND(98&gt;=$NR$76,98&lt;=$NS$76),IF($NP$76="Single_Point",IF(98=$NR$76,$NN$76,0),IF($NP$76="Bell_Curve",$NN$76*(98-$NR$76+1)*($NS$76-98+1)/$NU$76,$NN$76/$NT$76)),0)</f>
        <v/>
      </c>
      <c r="CY76" s="402">
        <f>IF(AND(99&gt;=$NR$76,99&lt;=$NS$76),IF($NP$76="Single_Point",IF(99=$NR$76,$NN$76,0),IF($NP$76="Bell_Curve",$NN$76*(99-$NR$76+1)*($NS$76-99+1)/$NU$76,$NN$76/$NT$76)),0)</f>
        <v/>
      </c>
      <c r="CZ76" s="402">
        <f>IF(AND(100&gt;=$NR$76,100&lt;=$NS$76),IF($NP$76="Single_Point",IF(100=$NR$76,$NN$76,0),IF($NP$76="Bell_Curve",$NN$76*(100-$NR$76+1)*($NS$76-100+1)/$NU$76,$NN$76/$NT$76)),0)</f>
        <v/>
      </c>
      <c r="DA76" s="402">
        <f>IF(AND(101&gt;=$NR$76,101&lt;=$NS$76),IF($NP$76="Single_Point",IF(101=$NR$76,$NN$76,0),IF($NP$76="Bell_Curve",$NN$76*(101-$NR$76+1)*($NS$76-101+1)/$NU$76,$NN$76/$NT$76)),0)</f>
        <v/>
      </c>
      <c r="DB76" s="402">
        <f>IF(AND(102&gt;=$NR$76,102&lt;=$NS$76),IF($NP$76="Single_Point",IF(102=$NR$76,$NN$76,0),IF($NP$76="Bell_Curve",$NN$76*(102-$NR$76+1)*($NS$76-102+1)/$NU$76,$NN$76/$NT$76)),0)</f>
        <v/>
      </c>
      <c r="DC76" s="402">
        <f>IF(AND(103&gt;=$NR$76,103&lt;=$NS$76),IF($NP$76="Single_Point",IF(103=$NR$76,$NN$76,0),IF($NP$76="Bell_Curve",$NN$76*(103-$NR$76+1)*($NS$76-103+1)/$NU$76,$NN$76/$NT$76)),0)</f>
        <v/>
      </c>
      <c r="DD76" s="402">
        <f>IF(AND(104&gt;=$NR$76,104&lt;=$NS$76),IF($NP$76="Single_Point",IF(104=$NR$76,$NN$76,0),IF($NP$76="Bell_Curve",$NN$76*(104-$NR$76+1)*($NS$76-104+1)/$NU$76,$NN$76/$NT$76)),0)</f>
        <v/>
      </c>
      <c r="DE76" s="402">
        <f>IF(AND(105&gt;=$NR$76,105&lt;=$NS$76),IF($NP$76="Single_Point",IF(105=$NR$76,$NN$76,0),IF($NP$76="Bell_Curve",$NN$76*(105-$NR$76+1)*($NS$76-105+1)/$NU$76,$NN$76/$NT$76)),0)</f>
        <v/>
      </c>
      <c r="DF76" s="402">
        <f>IF(AND(106&gt;=$NR$76,106&lt;=$NS$76),IF($NP$76="Single_Point",IF(106=$NR$76,$NN$76,0),IF($NP$76="Bell_Curve",$NN$76*(106-$NR$76+1)*($NS$76-106+1)/$NU$76,$NN$76/$NT$76)),0)</f>
        <v/>
      </c>
      <c r="DG76" s="402">
        <f>IF(AND(107&gt;=$NR$76,107&lt;=$NS$76),IF($NP$76="Single_Point",IF(107=$NR$76,$NN$76,0),IF($NP$76="Bell_Curve",$NN$76*(107-$NR$76+1)*($NS$76-107+1)/$NU$76,$NN$76/$NT$76)),0)</f>
        <v/>
      </c>
      <c r="DH76" s="402">
        <f>IF(AND(108&gt;=$NR$76,108&lt;=$NS$76),IF($NP$76="Single_Point",IF(108=$NR$76,$NN$76,0),IF($NP$76="Bell_Curve",$NN$76*(108-$NR$76+1)*($NS$76-108+1)/$NU$76,$NN$76/$NT$76)),0)</f>
        <v/>
      </c>
      <c r="DI76" s="402">
        <f>IF(AND(109&gt;=$NR$76,109&lt;=$NS$76),IF($NP$76="Single_Point",IF(109=$NR$76,$NN$76,0),IF($NP$76="Bell_Curve",$NN$76*(109-$NR$76+1)*($NS$76-109+1)/$NU$76,$NN$76/$NT$76)),0)</f>
        <v/>
      </c>
      <c r="DJ76" s="402">
        <f>IF(AND(110&gt;=$NR$76,110&lt;=$NS$76),IF($NP$76="Single_Point",IF(110=$NR$76,$NN$76,0),IF($NP$76="Bell_Curve",$NN$76*(110-$NR$76+1)*($NS$76-110+1)/$NU$76,$NN$76/$NT$76)),0)</f>
        <v/>
      </c>
      <c r="DK76" s="402">
        <f>IF(AND(111&gt;=$NR$76,111&lt;=$NS$76),IF($NP$76="Single_Point",IF(111=$NR$76,$NN$76,0),IF($NP$76="Bell_Curve",$NN$76*(111-$NR$76+1)*($NS$76-111+1)/$NU$76,$NN$76/$NT$76)),0)</f>
        <v/>
      </c>
      <c r="DL76" s="402">
        <f>IF(AND(112&gt;=$NR$76,112&lt;=$NS$76),IF($NP$76="Single_Point",IF(112=$NR$76,$NN$76,0),IF($NP$76="Bell_Curve",$NN$76*(112-$NR$76+1)*($NS$76-112+1)/$NU$76,$NN$76/$NT$76)),0)</f>
        <v/>
      </c>
      <c r="DM76" s="402">
        <f>IF(AND(113&gt;=$NR$76,113&lt;=$NS$76),IF($NP$76="Single_Point",IF(113=$NR$76,$NN$76,0),IF($NP$76="Bell_Curve",$NN$76*(113-$NR$76+1)*($NS$76-113+1)/$NU$76,$NN$76/$NT$76)),0)</f>
        <v/>
      </c>
      <c r="DN76" s="402">
        <f>IF(AND(114&gt;=$NR$76,114&lt;=$NS$76),IF($NP$76="Single_Point",IF(114=$NR$76,$NN$76,0),IF($NP$76="Bell_Curve",$NN$76*(114-$NR$76+1)*($NS$76-114+1)/$NU$76,$NN$76/$NT$76)),0)</f>
        <v/>
      </c>
      <c r="DO76" s="402">
        <f>IF(AND(115&gt;=$NR$76,115&lt;=$NS$76),IF($NP$76="Single_Point",IF(115=$NR$76,$NN$76,0),IF($NP$76="Bell_Curve",$NN$76*(115-$NR$76+1)*($NS$76-115+1)/$NU$76,$NN$76/$NT$76)),0)</f>
        <v/>
      </c>
      <c r="DP76" s="402">
        <f>IF(AND(116&gt;=$NR$76,116&lt;=$NS$76),IF($NP$76="Single_Point",IF(116=$NR$76,$NN$76,0),IF($NP$76="Bell_Curve",$NN$76*(116-$NR$76+1)*($NS$76-116+1)/$NU$76,$NN$76/$NT$76)),0)</f>
        <v/>
      </c>
      <c r="DQ76" s="402">
        <f>IF(AND(117&gt;=$NR$76,117&lt;=$NS$76),IF($NP$76="Single_Point",IF(117=$NR$76,$NN$76,0),IF($NP$76="Bell_Curve",$NN$76*(117-$NR$76+1)*($NS$76-117+1)/$NU$76,$NN$76/$NT$76)),0)</f>
        <v/>
      </c>
      <c r="DR76" s="402">
        <f>IF(AND(118&gt;=$NR$76,118&lt;=$NS$76),IF($NP$76="Single_Point",IF(118=$NR$76,$NN$76,0),IF($NP$76="Bell_Curve",$NN$76*(118-$NR$76+1)*($NS$76-118+1)/$NU$76,$NN$76/$NT$76)),0)</f>
        <v/>
      </c>
      <c r="DS76" s="402">
        <f>IF(AND(119&gt;=$NR$76,119&lt;=$NS$76),IF($NP$76="Single_Point",IF(119=$NR$76,$NN$76,0),IF($NP$76="Bell_Curve",$NN$76*(119-$NR$76+1)*($NS$76-119+1)/$NU$76,$NN$76/$NT$76)),0)</f>
        <v/>
      </c>
      <c r="DT76" s="402">
        <f>IF(AND(120&gt;=$NR$76,120&lt;=$NS$76),IF($NP$76="Single_Point",IF(120=$NR$76,$NN$76,0),IF($NP$76="Bell_Curve",$NN$76*(120-$NR$76+1)*($NS$76-120+1)/$NU$76,$NN$76/$NT$76)),0)</f>
        <v/>
      </c>
      <c r="DU76" s="402">
        <f>IF(AND(121&gt;=$NR$76,121&lt;=$NS$76),IF($NP$76="Single_Point",IF(121=$NR$76,$NN$76,0),IF($NP$76="Bell_Curve",$NN$76*(121-$NR$76+1)*($NS$76-121+1)/$NU$76,$NN$76/$NT$76)),0)</f>
        <v/>
      </c>
      <c r="DV76" s="402">
        <f>IF(AND(122&gt;=$NR$76,122&lt;=$NS$76),IF($NP$76="Single_Point",IF(122=$NR$76,$NN$76,0),IF($NP$76="Bell_Curve",$NN$76*(122-$NR$76+1)*($NS$76-122+1)/$NU$76,$NN$76/$NT$76)),0)</f>
        <v/>
      </c>
      <c r="DW76" s="402">
        <f>IF(AND(123&gt;=$NR$76,123&lt;=$NS$76),IF($NP$76="Single_Point",IF(123=$NR$76,$NN$76,0),IF($NP$76="Bell_Curve",$NN$76*(123-$NR$76+1)*($NS$76-123+1)/$NU$76,$NN$76/$NT$76)),0)</f>
        <v/>
      </c>
      <c r="DX76" s="402">
        <f>IF(AND(124&gt;=$NR$76,124&lt;=$NS$76),IF($NP$76="Single_Point",IF(124=$NR$76,$NN$76,0),IF($NP$76="Bell_Curve",$NN$76*(124-$NR$76+1)*($NS$76-124+1)/$NU$76,$NN$76/$NT$76)),0)</f>
        <v/>
      </c>
      <c r="DY76" s="402">
        <f>IF(AND(125&gt;=$NR$76,125&lt;=$NS$76),IF($NP$76="Single_Point",IF(125=$NR$76,$NN$76,0),IF($NP$76="Bell_Curve",$NN$76*(125-$NR$76+1)*($NS$76-125+1)/$NU$76,$NN$76/$NT$76)),0)</f>
        <v/>
      </c>
      <c r="DZ76" s="402">
        <f>IF(AND(126&gt;=$NR$76,126&lt;=$NS$76),IF($NP$76="Single_Point",IF(126=$NR$76,$NN$76,0),IF($NP$76="Bell_Curve",$NN$76*(126-$NR$76+1)*($NS$76-126+1)/$NU$76,$NN$76/$NT$76)),0)</f>
        <v/>
      </c>
      <c r="EA76" s="402">
        <f>IF(AND(127&gt;=$NR$76,127&lt;=$NS$76),IF($NP$76="Single_Point",IF(127=$NR$76,$NN$76,0),IF($NP$76="Bell_Curve",$NN$76*(127-$NR$76+1)*($NS$76-127+1)/$NU$76,$NN$76/$NT$76)),0)</f>
        <v/>
      </c>
      <c r="EB76" s="402">
        <f>IF(AND(128&gt;=$NR$76,128&lt;=$NS$76),IF($NP$76="Single_Point",IF(128=$NR$76,$NN$76,0),IF($NP$76="Bell_Curve",$NN$76*(128-$NR$76+1)*($NS$76-128+1)/$NU$76,$NN$76/$NT$76)),0)</f>
        <v/>
      </c>
      <c r="EC76" s="402">
        <f>IF(AND(129&gt;=$NR$76,129&lt;=$NS$76),IF($NP$76="Single_Point",IF(129=$NR$76,$NN$76,0),IF($NP$76="Bell_Curve",$NN$76*(129-$NR$76+1)*($NS$76-129+1)/$NU$76,$NN$76/$NT$76)),0)</f>
        <v/>
      </c>
      <c r="ED76" s="402">
        <f>IF(AND(130&gt;=$NR$76,130&lt;=$NS$76),IF($NP$76="Single_Point",IF(130=$NR$76,$NN$76,0),IF($NP$76="Bell_Curve",$NN$76*(130-$NR$76+1)*($NS$76-130+1)/$NU$76,$NN$76/$NT$76)),0)</f>
        <v/>
      </c>
      <c r="EE76" s="402">
        <f>IF(AND(131&gt;=$NR$76,131&lt;=$NS$76),IF($NP$76="Single_Point",IF(131=$NR$76,$NN$76,0),IF($NP$76="Bell_Curve",$NN$76*(131-$NR$76+1)*($NS$76-131+1)/$NU$76,$NN$76/$NT$76)),0)</f>
        <v/>
      </c>
      <c r="EF76" s="402">
        <f>IF(AND(132&gt;=$NR$76,132&lt;=$NS$76),IF($NP$76="Single_Point",IF(132=$NR$76,$NN$76,0),IF($NP$76="Bell_Curve",$NN$76*(132-$NR$76+1)*($NS$76-132+1)/$NU$76,$NN$76/$NT$76)),0)</f>
        <v/>
      </c>
      <c r="EG76" s="402">
        <f>IF(AND(133&gt;=$NR$76,133&lt;=$NS$76),IF($NP$76="Single_Point",IF(133=$NR$76,$NN$76,0),IF($NP$76="Bell_Curve",$NN$76*(133-$NR$76+1)*($NS$76-133+1)/$NU$76,$NN$76/$NT$76)),0)</f>
        <v/>
      </c>
      <c r="EH76" s="402">
        <f>IF(AND(134&gt;=$NR$76,134&lt;=$NS$76),IF($NP$76="Single_Point",IF(134=$NR$76,$NN$76,0),IF($NP$76="Bell_Curve",$NN$76*(134-$NR$76+1)*($NS$76-134+1)/$NU$76,$NN$76/$NT$76)),0)</f>
        <v/>
      </c>
      <c r="EI76" s="402">
        <f>IF(AND(135&gt;=$NR$76,135&lt;=$NS$76),IF($NP$76="Single_Point",IF(135=$NR$76,$NN$76,0),IF($NP$76="Bell_Curve",$NN$76*(135-$NR$76+1)*($NS$76-135+1)/$NU$76,$NN$76/$NT$76)),0)</f>
        <v/>
      </c>
      <c r="EJ76" s="402">
        <f>IF(AND(136&gt;=$NR$76,136&lt;=$NS$76),IF($NP$76="Single_Point",IF(136=$NR$76,$NN$76,0),IF($NP$76="Bell_Curve",$NN$76*(136-$NR$76+1)*($NS$76-136+1)/$NU$76,$NN$76/$NT$76)),0)</f>
        <v/>
      </c>
      <c r="EK76" s="402">
        <f>IF(AND(137&gt;=$NR$76,137&lt;=$NS$76),IF($NP$76="Single_Point",IF(137=$NR$76,$NN$76,0),IF($NP$76="Bell_Curve",$NN$76*(137-$NR$76+1)*($NS$76-137+1)/$NU$76,$NN$76/$NT$76)),0)</f>
        <v/>
      </c>
      <c r="EL76" s="402">
        <f>IF(AND(138&gt;=$NR$76,138&lt;=$NS$76),IF($NP$76="Single_Point",IF(138=$NR$76,$NN$76,0),IF($NP$76="Bell_Curve",$NN$76*(138-$NR$76+1)*($NS$76-138+1)/$NU$76,$NN$76/$NT$76)),0)</f>
        <v/>
      </c>
      <c r="EM76" s="402">
        <f>IF(AND(139&gt;=$NR$76,139&lt;=$NS$76),IF($NP$76="Single_Point",IF(139=$NR$76,$NN$76,0),IF($NP$76="Bell_Curve",$NN$76*(139-$NR$76+1)*($NS$76-139+1)/$NU$76,$NN$76/$NT$76)),0)</f>
        <v/>
      </c>
      <c r="EN76" s="402">
        <f>IF(AND(140&gt;=$NR$76,140&lt;=$NS$76),IF($NP$76="Single_Point",IF(140=$NR$76,$NN$76,0),IF($NP$76="Bell_Curve",$NN$76*(140-$NR$76+1)*($NS$76-140+1)/$NU$76,$NN$76/$NT$76)),0)</f>
        <v/>
      </c>
      <c r="EO76" s="402">
        <f>IF(AND(141&gt;=$NR$76,141&lt;=$NS$76),IF($NP$76="Single_Point",IF(141=$NR$76,$NN$76,0),IF($NP$76="Bell_Curve",$NN$76*(141-$NR$76+1)*($NS$76-141+1)/$NU$76,$NN$76/$NT$76)),0)</f>
        <v/>
      </c>
      <c r="EP76" s="402">
        <f>IF(AND(142&gt;=$NR$76,142&lt;=$NS$76),IF($NP$76="Single_Point",IF(142=$NR$76,$NN$76,0),IF($NP$76="Bell_Curve",$NN$76*(142-$NR$76+1)*($NS$76-142+1)/$NU$76,$NN$76/$NT$76)),0)</f>
        <v/>
      </c>
      <c r="EQ76" s="402">
        <f>IF(AND(143&gt;=$NR$76,143&lt;=$NS$76),IF($NP$76="Single_Point",IF(143=$NR$76,$NN$76,0),IF($NP$76="Bell_Curve",$NN$76*(143-$NR$76+1)*($NS$76-143+1)/$NU$76,$NN$76/$NT$76)),0)</f>
        <v/>
      </c>
      <c r="ER76" s="402">
        <f>IF(AND(144&gt;=$NR$76,144&lt;=$NS$76),IF($NP$76="Single_Point",IF(144=$NR$76,$NN$76,0),IF($NP$76="Bell_Curve",$NN$76*(144-$NR$76+1)*($NS$76-144+1)/$NU$76,$NN$76/$NT$76)),0)</f>
        <v/>
      </c>
      <c r="ES76" s="402">
        <f>IF(AND(145&gt;=$NR$76,145&lt;=$NS$76),IF($NP$76="Single_Point",IF(145=$NR$76,$NN$76,0),IF($NP$76="Bell_Curve",$NN$76*(145-$NR$76+1)*($NS$76-145+1)/$NU$76,$NN$76/$NT$76)),0)</f>
        <v/>
      </c>
      <c r="ET76" s="402">
        <f>IF(AND(146&gt;=$NR$76,146&lt;=$NS$76),IF($NP$76="Single_Point",IF(146=$NR$76,$NN$76,0),IF($NP$76="Bell_Curve",$NN$76*(146-$NR$76+1)*($NS$76-146+1)/$NU$76,$NN$76/$NT$76)),0)</f>
        <v/>
      </c>
      <c r="EU76" s="402">
        <f>IF(AND(147&gt;=$NR$76,147&lt;=$NS$76),IF($NP$76="Single_Point",IF(147=$NR$76,$NN$76,0),IF($NP$76="Bell_Curve",$NN$76*(147-$NR$76+1)*($NS$76-147+1)/$NU$76,$NN$76/$NT$76)),0)</f>
        <v/>
      </c>
      <c r="EV76" s="402">
        <f>IF(AND(148&gt;=$NR$76,148&lt;=$NS$76),IF($NP$76="Single_Point",IF(148=$NR$76,$NN$76,0),IF($NP$76="Bell_Curve",$NN$76*(148-$NR$76+1)*($NS$76-148+1)/$NU$76,$NN$76/$NT$76)),0)</f>
        <v/>
      </c>
      <c r="EW76" s="402">
        <f>IF(AND(149&gt;=$NR$76,149&lt;=$NS$76),IF($NP$76="Single_Point",IF(149=$NR$76,$NN$76,0),IF($NP$76="Bell_Curve",$NN$76*(149-$NR$76+1)*($NS$76-149+1)/$NU$76,$NN$76/$NT$76)),0)</f>
        <v/>
      </c>
      <c r="EX76" s="402">
        <f>IF(AND(150&gt;=$NR$76,150&lt;=$NS$76),IF($NP$76="Single_Point",IF(150=$NR$76,$NN$76,0),IF($NP$76="Bell_Curve",$NN$76*(150-$NR$76+1)*($NS$76-150+1)/$NU$76,$NN$76/$NT$76)),0)</f>
        <v/>
      </c>
      <c r="EY76" s="402">
        <f>IF(AND(151&gt;=$NR$76,151&lt;=$NS$76),IF($NP$76="Single_Point",IF(151=$NR$76,$NN$76,0),IF($NP$76="Bell_Curve",$NN$76*(151-$NR$76+1)*($NS$76-151+1)/$NU$76,$NN$76/$NT$76)),0)</f>
        <v/>
      </c>
      <c r="EZ76" s="402">
        <f>IF(AND(152&gt;=$NR$76,152&lt;=$NS$76),IF($NP$76="Single_Point",IF(152=$NR$76,$NN$76,0),IF($NP$76="Bell_Curve",$NN$76*(152-$NR$76+1)*($NS$76-152+1)/$NU$76,$NN$76/$NT$76)),0)</f>
        <v/>
      </c>
      <c r="FA76" s="402">
        <f>IF(AND(153&gt;=$NR$76,153&lt;=$NS$76),IF($NP$76="Single_Point",IF(153=$NR$76,$NN$76,0),IF($NP$76="Bell_Curve",$NN$76*(153-$NR$76+1)*($NS$76-153+1)/$NU$76,$NN$76/$NT$76)),0)</f>
        <v/>
      </c>
      <c r="FB76" s="402">
        <f>IF(AND(154&gt;=$NR$76,154&lt;=$NS$76),IF($NP$76="Single_Point",IF(154=$NR$76,$NN$76,0),IF($NP$76="Bell_Curve",$NN$76*(154-$NR$76+1)*($NS$76-154+1)/$NU$76,$NN$76/$NT$76)),0)</f>
        <v/>
      </c>
      <c r="FC76" s="402">
        <f>IF(AND(155&gt;=$NR$76,155&lt;=$NS$76),IF($NP$76="Single_Point",IF(155=$NR$76,$NN$76,0),IF($NP$76="Bell_Curve",$NN$76*(155-$NR$76+1)*($NS$76-155+1)/$NU$76,$NN$76/$NT$76)),0)</f>
        <v/>
      </c>
      <c r="FD76" s="402">
        <f>IF(AND(156&gt;=$NR$76,156&lt;=$NS$76),IF($NP$76="Single_Point",IF(156=$NR$76,$NN$76,0),IF($NP$76="Bell_Curve",$NN$76*(156-$NR$76+1)*($NS$76-156+1)/$NU$76,$NN$76/$NT$76)),0)</f>
        <v/>
      </c>
      <c r="FE76" s="402">
        <f>IF(AND(157&gt;=$NR$76,157&lt;=$NS$76),IF($NP$76="Single_Point",IF(157=$NR$76,$NN$76,0),IF($NP$76="Bell_Curve",$NN$76*(157-$NR$76+1)*($NS$76-157+1)/$NU$76,$NN$76/$NT$76)),0)</f>
        <v/>
      </c>
      <c r="FF76" s="402">
        <f>IF(AND(158&gt;=$NR$76,158&lt;=$NS$76),IF($NP$76="Single_Point",IF(158=$NR$76,$NN$76,0),IF($NP$76="Bell_Curve",$NN$76*(158-$NR$76+1)*($NS$76-158+1)/$NU$76,$NN$76/$NT$76)),0)</f>
        <v/>
      </c>
      <c r="FG76" s="402">
        <f>IF(AND(159&gt;=$NR$76,159&lt;=$NS$76),IF($NP$76="Single_Point",IF(159=$NR$76,$NN$76,0),IF($NP$76="Bell_Curve",$NN$76*(159-$NR$76+1)*($NS$76-159+1)/$NU$76,$NN$76/$NT$76)),0)</f>
        <v/>
      </c>
      <c r="FH76" s="402">
        <f>IF(AND(160&gt;=$NR$76,160&lt;=$NS$76),IF($NP$76="Single_Point",IF(160=$NR$76,$NN$76,0),IF($NP$76="Bell_Curve",$NN$76*(160-$NR$76+1)*($NS$76-160+1)/$NU$76,$NN$76/$NT$76)),0)</f>
        <v/>
      </c>
      <c r="FI76" s="402">
        <f>IF(AND(161&gt;=$NR$76,161&lt;=$NS$76),IF($NP$76="Single_Point",IF(161=$NR$76,$NN$76,0),IF($NP$76="Bell_Curve",$NN$76*(161-$NR$76+1)*($NS$76-161+1)/$NU$76,$NN$76/$NT$76)),0)</f>
        <v/>
      </c>
      <c r="FJ76" s="402">
        <f>IF(AND(162&gt;=$NR$76,162&lt;=$NS$76),IF($NP$76="Single_Point",IF(162=$NR$76,$NN$76,0),IF($NP$76="Bell_Curve",$NN$76*(162-$NR$76+1)*($NS$76-162+1)/$NU$76,$NN$76/$NT$76)),0)</f>
        <v/>
      </c>
      <c r="FK76" s="402">
        <f>IF(AND(163&gt;=$NR$76,163&lt;=$NS$76),IF($NP$76="Single_Point",IF(163=$NR$76,$NN$76,0),IF($NP$76="Bell_Curve",$NN$76*(163-$NR$76+1)*($NS$76-163+1)/$NU$76,$NN$76/$NT$76)),0)</f>
        <v/>
      </c>
      <c r="FL76" s="402">
        <f>IF(AND(164&gt;=$NR$76,164&lt;=$NS$76),IF($NP$76="Single_Point",IF(164=$NR$76,$NN$76,0),IF($NP$76="Bell_Curve",$NN$76*(164-$NR$76+1)*($NS$76-164+1)/$NU$76,$NN$76/$NT$76)),0)</f>
        <v/>
      </c>
      <c r="FM76" s="402">
        <f>IF(AND(165&gt;=$NR$76,165&lt;=$NS$76),IF($NP$76="Single_Point",IF(165=$NR$76,$NN$76,0),IF($NP$76="Bell_Curve",$NN$76*(165-$NR$76+1)*($NS$76-165+1)/$NU$76,$NN$76/$NT$76)),0)</f>
        <v/>
      </c>
      <c r="FN76" s="402">
        <f>IF(AND(166&gt;=$NR$76,166&lt;=$NS$76),IF($NP$76="Single_Point",IF(166=$NR$76,$NN$76,0),IF($NP$76="Bell_Curve",$NN$76*(166-$NR$76+1)*($NS$76-166+1)/$NU$76,$NN$76/$NT$76)),0)</f>
        <v/>
      </c>
      <c r="FO76" s="402">
        <f>IF(AND(167&gt;=$NR$76,167&lt;=$NS$76),IF($NP$76="Single_Point",IF(167=$NR$76,$NN$76,0),IF($NP$76="Bell_Curve",$NN$76*(167-$NR$76+1)*($NS$76-167+1)/$NU$76,$NN$76/$NT$76)),0)</f>
        <v/>
      </c>
      <c r="FP76" s="402">
        <f>IF(AND(168&gt;=$NR$76,168&lt;=$NS$76),IF($NP$76="Single_Point",IF(168=$NR$76,$NN$76,0),IF($NP$76="Bell_Curve",$NN$76*(168-$NR$76+1)*($NS$76-168+1)/$NU$76,$NN$76/$NT$76)),0)</f>
        <v/>
      </c>
      <c r="FQ76" s="402">
        <f>IF(AND(169&gt;=$NR$76,169&lt;=$NS$76),IF($NP$76="Single_Point",IF(169=$NR$76,$NN$76,0),IF($NP$76="Bell_Curve",$NN$76*(169-$NR$76+1)*($NS$76-169+1)/$NU$76,$NN$76/$NT$76)),0)</f>
        <v/>
      </c>
      <c r="FR76" s="402">
        <f>IF(AND(170&gt;=$NR$76,170&lt;=$NS$76),IF($NP$76="Single_Point",IF(170=$NR$76,$NN$76,0),IF($NP$76="Bell_Curve",$NN$76*(170-$NR$76+1)*($NS$76-170+1)/$NU$76,$NN$76/$NT$76)),0)</f>
        <v/>
      </c>
      <c r="FS76" s="402">
        <f>IF(AND(171&gt;=$NR$76,171&lt;=$NS$76),IF($NP$76="Single_Point",IF(171=$NR$76,$NN$76,0),IF($NP$76="Bell_Curve",$NN$76*(171-$NR$76+1)*($NS$76-171+1)/$NU$76,$NN$76/$NT$76)),0)</f>
        <v/>
      </c>
      <c r="FT76" s="402">
        <f>IF(AND(172&gt;=$NR$76,172&lt;=$NS$76),IF($NP$76="Single_Point",IF(172=$NR$76,$NN$76,0),IF($NP$76="Bell_Curve",$NN$76*(172-$NR$76+1)*($NS$76-172+1)/$NU$76,$NN$76/$NT$76)),0)</f>
        <v/>
      </c>
      <c r="FU76" s="402">
        <f>IF(AND(173&gt;=$NR$76,173&lt;=$NS$76),IF($NP$76="Single_Point",IF(173=$NR$76,$NN$76,0),IF($NP$76="Bell_Curve",$NN$76*(173-$NR$76+1)*($NS$76-173+1)/$NU$76,$NN$76/$NT$76)),0)</f>
        <v/>
      </c>
      <c r="FV76" s="402">
        <f>IF(AND(174&gt;=$NR$76,174&lt;=$NS$76),IF($NP$76="Single_Point",IF(174=$NR$76,$NN$76,0),IF($NP$76="Bell_Curve",$NN$76*(174-$NR$76+1)*($NS$76-174+1)/$NU$76,$NN$76/$NT$76)),0)</f>
        <v/>
      </c>
      <c r="FW76" s="402">
        <f>IF(AND(175&gt;=$NR$76,175&lt;=$NS$76),IF($NP$76="Single_Point",IF(175=$NR$76,$NN$76,0),IF($NP$76="Bell_Curve",$NN$76*(175-$NR$76+1)*($NS$76-175+1)/$NU$76,$NN$76/$NT$76)),0)</f>
        <v/>
      </c>
      <c r="FX76" s="402">
        <f>IF(AND(176&gt;=$NR$76,176&lt;=$NS$76),IF($NP$76="Single_Point",IF(176=$NR$76,$NN$76,0),IF($NP$76="Bell_Curve",$NN$76*(176-$NR$76+1)*($NS$76-176+1)/$NU$76,$NN$76/$NT$76)),0)</f>
        <v/>
      </c>
      <c r="FY76" s="402">
        <f>IF(AND(177&gt;=$NR$76,177&lt;=$NS$76),IF($NP$76="Single_Point",IF(177=$NR$76,$NN$76,0),IF($NP$76="Bell_Curve",$NN$76*(177-$NR$76+1)*($NS$76-177+1)/$NU$76,$NN$76/$NT$76)),0)</f>
        <v/>
      </c>
      <c r="FZ76" s="402">
        <f>IF(AND(178&gt;=$NR$76,178&lt;=$NS$76),IF($NP$76="Single_Point",IF(178=$NR$76,$NN$76,0),IF($NP$76="Bell_Curve",$NN$76*(178-$NR$76+1)*($NS$76-178+1)/$NU$76,$NN$76/$NT$76)),0)</f>
        <v/>
      </c>
      <c r="GA76" s="402">
        <f>IF(AND(179&gt;=$NR$76,179&lt;=$NS$76),IF($NP$76="Single_Point",IF(179=$NR$76,$NN$76,0),IF($NP$76="Bell_Curve",$NN$76*(179-$NR$76+1)*($NS$76-179+1)/$NU$76,$NN$76/$NT$76)),0)</f>
        <v/>
      </c>
      <c r="GB76" s="402">
        <f>IF(AND(180&gt;=$NR$76,180&lt;=$NS$76),IF($NP$76="Single_Point",IF(180=$NR$76,$NN$76,0),IF($NP$76="Bell_Curve",$NN$76*(180-$NR$76+1)*($NS$76-180+1)/$NU$76,$NN$76/$NT$76)),0)</f>
        <v/>
      </c>
      <c r="GC76" s="402">
        <f>IF(AND(181&gt;=$NR$76,181&lt;=$NS$76),IF($NP$76="Single_Point",IF(181=$NR$76,$NN$76,0),IF($NP$76="Bell_Curve",$NN$76*(181-$NR$76+1)*($NS$76-181+1)/$NU$76,$NN$76/$NT$76)),0)</f>
        <v/>
      </c>
      <c r="GD76" s="402">
        <f>IF(AND(182&gt;=$NR$76,182&lt;=$NS$76),IF($NP$76="Single_Point",IF(182=$NR$76,$NN$76,0),IF($NP$76="Bell_Curve",$NN$76*(182-$NR$76+1)*($NS$76-182+1)/$NU$76,$NN$76/$NT$76)),0)</f>
        <v/>
      </c>
      <c r="GE76" s="402">
        <f>IF(AND(183&gt;=$NR$76,183&lt;=$NS$76),IF($NP$76="Single_Point",IF(183=$NR$76,$NN$76,0),IF($NP$76="Bell_Curve",$NN$76*(183-$NR$76+1)*($NS$76-183+1)/$NU$76,$NN$76/$NT$76)),0)</f>
        <v/>
      </c>
      <c r="GF76" s="402">
        <f>IF(AND(184&gt;=$NR$76,184&lt;=$NS$76),IF($NP$76="Single_Point",IF(184=$NR$76,$NN$76,0),IF($NP$76="Bell_Curve",$NN$76*(184-$NR$76+1)*($NS$76-184+1)/$NU$76,$NN$76/$NT$76)),0)</f>
        <v/>
      </c>
      <c r="GG76" s="402">
        <f>IF(AND(185&gt;=$NR$76,185&lt;=$NS$76),IF($NP$76="Single_Point",IF(185=$NR$76,$NN$76,0),IF($NP$76="Bell_Curve",$NN$76*(185-$NR$76+1)*($NS$76-185+1)/$NU$76,$NN$76/$NT$76)),0)</f>
        <v/>
      </c>
      <c r="GH76" s="402">
        <f>IF(AND(186&gt;=$NR$76,186&lt;=$NS$76),IF($NP$76="Single_Point",IF(186=$NR$76,$NN$76,0),IF($NP$76="Bell_Curve",$NN$76*(186-$NR$76+1)*($NS$76-186+1)/$NU$76,$NN$76/$NT$76)),0)</f>
        <v/>
      </c>
      <c r="GI76" s="402">
        <f>IF(AND(187&gt;=$NR$76,187&lt;=$NS$76),IF($NP$76="Single_Point",IF(187=$NR$76,$NN$76,0),IF($NP$76="Bell_Curve",$NN$76*(187-$NR$76+1)*($NS$76-187+1)/$NU$76,$NN$76/$NT$76)),0)</f>
        <v/>
      </c>
      <c r="GJ76" s="402">
        <f>IF(AND(188&gt;=$NR$76,188&lt;=$NS$76),IF($NP$76="Single_Point",IF(188=$NR$76,$NN$76,0),IF($NP$76="Bell_Curve",$NN$76*(188-$NR$76+1)*($NS$76-188+1)/$NU$76,$NN$76/$NT$76)),0)</f>
        <v/>
      </c>
      <c r="GK76" s="402">
        <f>IF(AND(189&gt;=$NR$76,189&lt;=$NS$76),IF($NP$76="Single_Point",IF(189=$NR$76,$NN$76,0),IF($NP$76="Bell_Curve",$NN$76*(189-$NR$76+1)*($NS$76-189+1)/$NU$76,$NN$76/$NT$76)),0)</f>
        <v/>
      </c>
      <c r="GL76" s="402">
        <f>IF(AND(190&gt;=$NR$76,190&lt;=$NS$76),IF($NP$76="Single_Point",IF(190=$NR$76,$NN$76,0),IF($NP$76="Bell_Curve",$NN$76*(190-$NR$76+1)*($NS$76-190+1)/$NU$76,$NN$76/$NT$76)),0)</f>
        <v/>
      </c>
      <c r="GM76" s="402">
        <f>IF(AND(191&gt;=$NR$76,191&lt;=$NS$76),IF($NP$76="Single_Point",IF(191=$NR$76,$NN$76,0),IF($NP$76="Bell_Curve",$NN$76*(191-$NR$76+1)*($NS$76-191+1)/$NU$76,$NN$76/$NT$76)),0)</f>
        <v/>
      </c>
      <c r="GN76" s="402">
        <f>IF(AND(192&gt;=$NR$76,192&lt;=$NS$76),IF($NP$76="Single_Point",IF(192=$NR$76,$NN$76,0),IF($NP$76="Bell_Curve",$NN$76*(192-$NR$76+1)*($NS$76-192+1)/$NU$76,$NN$76/$NT$76)),0)</f>
        <v/>
      </c>
      <c r="GO76" s="402">
        <f>IF(AND(193&gt;=$NR$76,193&lt;=$NS$76),IF($NP$76="Single_Point",IF(193=$NR$76,$NN$76,0),IF($NP$76="Bell_Curve",$NN$76*(193-$NR$76+1)*($NS$76-193+1)/$NU$76,$NN$76/$NT$76)),0)</f>
        <v/>
      </c>
      <c r="GP76" s="402">
        <f>IF(AND(194&gt;=$NR$76,194&lt;=$NS$76),IF($NP$76="Single_Point",IF(194=$NR$76,$NN$76,0),IF($NP$76="Bell_Curve",$NN$76*(194-$NR$76+1)*($NS$76-194+1)/$NU$76,$NN$76/$NT$76)),0)</f>
        <v/>
      </c>
      <c r="GQ76" s="402">
        <f>IF(AND(195&gt;=$NR$76,195&lt;=$NS$76),IF($NP$76="Single_Point",IF(195=$NR$76,$NN$76,0),IF($NP$76="Bell_Curve",$NN$76*(195-$NR$76+1)*($NS$76-195+1)/$NU$76,$NN$76/$NT$76)),0)</f>
        <v/>
      </c>
      <c r="GR76" s="402">
        <f>IF(AND(196&gt;=$NR$76,196&lt;=$NS$76),IF($NP$76="Single_Point",IF(196=$NR$76,$NN$76,0),IF($NP$76="Bell_Curve",$NN$76*(196-$NR$76+1)*($NS$76-196+1)/$NU$76,$NN$76/$NT$76)),0)</f>
        <v/>
      </c>
      <c r="GS76" s="402">
        <f>IF(AND(197&gt;=$NR$76,197&lt;=$NS$76),IF($NP$76="Single_Point",IF(197=$NR$76,$NN$76,0),IF($NP$76="Bell_Curve",$NN$76*(197-$NR$76+1)*($NS$76-197+1)/$NU$76,$NN$76/$NT$76)),0)</f>
        <v/>
      </c>
      <c r="GT76" s="402">
        <f>IF(AND(198&gt;=$NR$76,198&lt;=$NS$76),IF($NP$76="Single_Point",IF(198=$NR$76,$NN$76,0),IF($NP$76="Bell_Curve",$NN$76*(198-$NR$76+1)*($NS$76-198+1)/$NU$76,$NN$76/$NT$76)),0)</f>
        <v/>
      </c>
      <c r="GU76" s="402">
        <f>IF(AND(199&gt;=$NR$76,199&lt;=$NS$76),IF($NP$76="Single_Point",IF(199=$NR$76,$NN$76,0),IF($NP$76="Bell_Curve",$NN$76*(199-$NR$76+1)*($NS$76-199+1)/$NU$76,$NN$76/$NT$76)),0)</f>
        <v/>
      </c>
      <c r="GV76" s="402">
        <f>IF(AND(200&gt;=$NR$76,200&lt;=$NS$76),IF($NP$76="Single_Point",IF(200=$NR$76,$NN$76,0),IF($NP$76="Bell_Curve",$NN$76*(200-$NR$76+1)*($NS$76-200+1)/$NU$76,$NN$76/$NT$76)),0)</f>
        <v/>
      </c>
      <c r="GW76" s="402">
        <f>IF(AND(201&gt;=$NR$76,201&lt;=$NS$76),IF($NP$76="Single_Point",IF(201=$NR$76,$NN$76,0),IF($NP$76="Bell_Curve",$NN$76*(201-$NR$76+1)*($NS$76-201+1)/$NU$76,$NN$76/$NT$76)),0)</f>
        <v/>
      </c>
      <c r="GX76" s="402">
        <f>IF(AND(202&gt;=$NR$76,202&lt;=$NS$76),IF($NP$76="Single_Point",IF(202=$NR$76,$NN$76,0),IF($NP$76="Bell_Curve",$NN$76*(202-$NR$76+1)*($NS$76-202+1)/$NU$76,$NN$76/$NT$76)),0)</f>
        <v/>
      </c>
      <c r="GY76" s="402">
        <f>IF(AND(203&gt;=$NR$76,203&lt;=$NS$76),IF($NP$76="Single_Point",IF(203=$NR$76,$NN$76,0),IF($NP$76="Bell_Curve",$NN$76*(203-$NR$76+1)*($NS$76-203+1)/$NU$76,$NN$76/$NT$76)),0)</f>
        <v/>
      </c>
      <c r="GZ76" s="402">
        <f>IF(AND(204&gt;=$NR$76,204&lt;=$NS$76),IF($NP$76="Single_Point",IF(204=$NR$76,$NN$76,0),IF($NP$76="Bell_Curve",$NN$76*(204-$NR$76+1)*($NS$76-204+1)/$NU$76,$NN$76/$NT$76)),0)</f>
        <v/>
      </c>
      <c r="HA76" s="402">
        <f>IF(AND(205&gt;=$NR$76,205&lt;=$NS$76),IF($NP$76="Single_Point",IF(205=$NR$76,$NN$76,0),IF($NP$76="Bell_Curve",$NN$76*(205-$NR$76+1)*($NS$76-205+1)/$NU$76,$NN$76/$NT$76)),0)</f>
        <v/>
      </c>
      <c r="HB76" s="402">
        <f>IF(AND(206&gt;=$NR$76,206&lt;=$NS$76),IF($NP$76="Single_Point",IF(206=$NR$76,$NN$76,0),IF($NP$76="Bell_Curve",$NN$76*(206-$NR$76+1)*($NS$76-206+1)/$NU$76,$NN$76/$NT$76)),0)</f>
        <v/>
      </c>
      <c r="HC76" s="402">
        <f>IF(AND(207&gt;=$NR$76,207&lt;=$NS$76),IF($NP$76="Single_Point",IF(207=$NR$76,$NN$76,0),IF($NP$76="Bell_Curve",$NN$76*(207-$NR$76+1)*($NS$76-207+1)/$NU$76,$NN$76/$NT$76)),0)</f>
        <v/>
      </c>
      <c r="HD76" s="402">
        <f>IF(AND(208&gt;=$NR$76,208&lt;=$NS$76),IF($NP$76="Single_Point",IF(208=$NR$76,$NN$76,0),IF($NP$76="Bell_Curve",$NN$76*(208-$NR$76+1)*($NS$76-208+1)/$NU$76,$NN$76/$NT$76)),0)</f>
        <v/>
      </c>
      <c r="HE76" s="402">
        <f>IF(AND(209&gt;=$NR$76,209&lt;=$NS$76),IF($NP$76="Single_Point",IF(209=$NR$76,$NN$76,0),IF($NP$76="Bell_Curve",$NN$76*(209-$NR$76+1)*($NS$76-209+1)/$NU$76,$NN$76/$NT$76)),0)</f>
        <v/>
      </c>
      <c r="HF76" s="402">
        <f>IF(AND(210&gt;=$NR$76,210&lt;=$NS$76),IF($NP$76="Single_Point",IF(210=$NR$76,$NN$76,0),IF($NP$76="Bell_Curve",$NN$76*(210-$NR$76+1)*($NS$76-210+1)/$NU$76,$NN$76/$NT$76)),0)</f>
        <v/>
      </c>
      <c r="HG76" s="402">
        <f>IF(AND(211&gt;=$NR$76,211&lt;=$NS$76),IF($NP$76="Single_Point",IF(211=$NR$76,$NN$76,0),IF($NP$76="Bell_Curve",$NN$76*(211-$NR$76+1)*($NS$76-211+1)/$NU$76,$NN$76/$NT$76)),0)</f>
        <v/>
      </c>
      <c r="HH76" s="402">
        <f>IF(AND(212&gt;=$NR$76,212&lt;=$NS$76),IF($NP$76="Single_Point",IF(212=$NR$76,$NN$76,0),IF($NP$76="Bell_Curve",$NN$76*(212-$NR$76+1)*($NS$76-212+1)/$NU$76,$NN$76/$NT$76)),0)</f>
        <v/>
      </c>
      <c r="HI76" s="402">
        <f>IF(AND(213&gt;=$NR$76,213&lt;=$NS$76),IF($NP$76="Single_Point",IF(213=$NR$76,$NN$76,0),IF($NP$76="Bell_Curve",$NN$76*(213-$NR$76+1)*($NS$76-213+1)/$NU$76,$NN$76/$NT$76)),0)</f>
        <v/>
      </c>
      <c r="HJ76" s="402">
        <f>IF(AND(214&gt;=$NR$76,214&lt;=$NS$76),IF($NP$76="Single_Point",IF(214=$NR$76,$NN$76,0),IF($NP$76="Bell_Curve",$NN$76*(214-$NR$76+1)*($NS$76-214+1)/$NU$76,$NN$76/$NT$76)),0)</f>
        <v/>
      </c>
      <c r="HK76" s="402">
        <f>IF(AND(215&gt;=$NR$76,215&lt;=$NS$76),IF($NP$76="Single_Point",IF(215=$NR$76,$NN$76,0),IF($NP$76="Bell_Curve",$NN$76*(215-$NR$76+1)*($NS$76-215+1)/$NU$76,$NN$76/$NT$76)),0)</f>
        <v/>
      </c>
      <c r="HL76" s="402">
        <f>IF(AND(216&gt;=$NR$76,216&lt;=$NS$76),IF($NP$76="Single_Point",IF(216=$NR$76,$NN$76,0),IF($NP$76="Bell_Curve",$NN$76*(216-$NR$76+1)*($NS$76-216+1)/$NU$76,$NN$76/$NT$76)),0)</f>
        <v/>
      </c>
      <c r="HM76" s="402">
        <f>IF(AND(217&gt;=$NR$76,217&lt;=$NS$76),IF($NP$76="Single_Point",IF(217=$NR$76,$NN$76,0),IF($NP$76="Bell_Curve",$NN$76*(217-$NR$76+1)*($NS$76-217+1)/$NU$76,$NN$76/$NT$76)),0)</f>
        <v/>
      </c>
      <c r="HN76" s="402">
        <f>IF(AND(218&gt;=$NR$76,218&lt;=$NS$76),IF($NP$76="Single_Point",IF(218=$NR$76,$NN$76,0),IF($NP$76="Bell_Curve",$NN$76*(218-$NR$76+1)*($NS$76-218+1)/$NU$76,$NN$76/$NT$76)),0)</f>
        <v/>
      </c>
      <c r="HO76" s="402">
        <f>IF(AND(219&gt;=$NR$76,219&lt;=$NS$76),IF($NP$76="Single_Point",IF(219=$NR$76,$NN$76,0),IF($NP$76="Bell_Curve",$NN$76*(219-$NR$76+1)*($NS$76-219+1)/$NU$76,$NN$76/$NT$76)),0)</f>
        <v/>
      </c>
      <c r="HP76" s="402">
        <f>IF(AND(220&gt;=$NR$76,220&lt;=$NS$76),IF($NP$76="Single_Point",IF(220=$NR$76,$NN$76,0),IF($NP$76="Bell_Curve",$NN$76*(220-$NR$76+1)*($NS$76-220+1)/$NU$76,$NN$76/$NT$76)),0)</f>
        <v/>
      </c>
      <c r="HQ76" s="402">
        <f>IF(AND(221&gt;=$NR$76,221&lt;=$NS$76),IF($NP$76="Single_Point",IF(221=$NR$76,$NN$76,0),IF($NP$76="Bell_Curve",$NN$76*(221-$NR$76+1)*($NS$76-221+1)/$NU$76,$NN$76/$NT$76)),0)</f>
        <v/>
      </c>
      <c r="HR76" s="402">
        <f>IF(AND(222&gt;=$NR$76,222&lt;=$NS$76),IF($NP$76="Single_Point",IF(222=$NR$76,$NN$76,0),IF($NP$76="Bell_Curve",$NN$76*(222-$NR$76+1)*($NS$76-222+1)/$NU$76,$NN$76/$NT$76)),0)</f>
        <v/>
      </c>
      <c r="HS76" s="402">
        <f>IF(AND(223&gt;=$NR$76,223&lt;=$NS$76),IF($NP$76="Single_Point",IF(223=$NR$76,$NN$76,0),IF($NP$76="Bell_Curve",$NN$76*(223-$NR$76+1)*($NS$76-223+1)/$NU$76,$NN$76/$NT$76)),0)</f>
        <v/>
      </c>
      <c r="HT76" s="402">
        <f>IF(AND(224&gt;=$NR$76,224&lt;=$NS$76),IF($NP$76="Single_Point",IF(224=$NR$76,$NN$76,0),IF($NP$76="Bell_Curve",$NN$76*(224-$NR$76+1)*($NS$76-224+1)/$NU$76,$NN$76/$NT$76)),0)</f>
        <v/>
      </c>
      <c r="HU76" s="402">
        <f>IF(AND(225&gt;=$NR$76,225&lt;=$NS$76),IF($NP$76="Single_Point",IF(225=$NR$76,$NN$76,0),IF($NP$76="Bell_Curve",$NN$76*(225-$NR$76+1)*($NS$76-225+1)/$NU$76,$NN$76/$NT$76)),0)</f>
        <v/>
      </c>
      <c r="HV76" s="402">
        <f>IF(AND(226&gt;=$NR$76,226&lt;=$NS$76),IF($NP$76="Single_Point",IF(226=$NR$76,$NN$76,0),IF($NP$76="Bell_Curve",$NN$76*(226-$NR$76+1)*($NS$76-226+1)/$NU$76,$NN$76/$NT$76)),0)</f>
        <v/>
      </c>
      <c r="HW76" s="402">
        <f>IF(AND(227&gt;=$NR$76,227&lt;=$NS$76),IF($NP$76="Single_Point",IF(227=$NR$76,$NN$76,0),IF($NP$76="Bell_Curve",$NN$76*(227-$NR$76+1)*($NS$76-227+1)/$NU$76,$NN$76/$NT$76)),0)</f>
        <v/>
      </c>
      <c r="HX76" s="402">
        <f>IF(AND(228&gt;=$NR$76,228&lt;=$NS$76),IF($NP$76="Single_Point",IF(228=$NR$76,$NN$76,0),IF($NP$76="Bell_Curve",$NN$76*(228-$NR$76+1)*($NS$76-228+1)/$NU$76,$NN$76/$NT$76)),0)</f>
        <v/>
      </c>
      <c r="HY76" s="402">
        <f>IF(AND(229&gt;=$NR$76,229&lt;=$NS$76),IF($NP$76="Single_Point",IF(229=$NR$76,$NN$76,0),IF($NP$76="Bell_Curve",$NN$76*(229-$NR$76+1)*($NS$76-229+1)/$NU$76,$NN$76/$NT$76)),0)</f>
        <v/>
      </c>
      <c r="HZ76" s="402">
        <f>IF(AND(230&gt;=$NR$76,230&lt;=$NS$76),IF($NP$76="Single_Point",IF(230=$NR$76,$NN$76,0),IF($NP$76="Bell_Curve",$NN$76*(230-$NR$76+1)*($NS$76-230+1)/$NU$76,$NN$76/$NT$76)),0)</f>
        <v/>
      </c>
      <c r="IA76" s="402">
        <f>IF(AND(231&gt;=$NR$76,231&lt;=$NS$76),IF($NP$76="Single_Point",IF(231=$NR$76,$NN$76,0),IF($NP$76="Bell_Curve",$NN$76*(231-$NR$76+1)*($NS$76-231+1)/$NU$76,$NN$76/$NT$76)),0)</f>
        <v/>
      </c>
      <c r="IB76" s="402">
        <f>IF(AND(232&gt;=$NR$76,232&lt;=$NS$76),IF($NP$76="Single_Point",IF(232=$NR$76,$NN$76,0),IF($NP$76="Bell_Curve",$NN$76*(232-$NR$76+1)*($NS$76-232+1)/$NU$76,$NN$76/$NT$76)),0)</f>
        <v/>
      </c>
      <c r="IC76" s="402">
        <f>IF(AND(233&gt;=$NR$76,233&lt;=$NS$76),IF($NP$76="Single_Point",IF(233=$NR$76,$NN$76,0),IF($NP$76="Bell_Curve",$NN$76*(233-$NR$76+1)*($NS$76-233+1)/$NU$76,$NN$76/$NT$76)),0)</f>
        <v/>
      </c>
      <c r="ID76" s="402">
        <f>IF(AND(234&gt;=$NR$76,234&lt;=$NS$76),IF($NP$76="Single_Point",IF(234=$NR$76,$NN$76,0),IF($NP$76="Bell_Curve",$NN$76*(234-$NR$76+1)*($NS$76-234+1)/$NU$76,$NN$76/$NT$76)),0)</f>
        <v/>
      </c>
      <c r="IE76" s="402">
        <f>IF(AND(235&gt;=$NR$76,235&lt;=$NS$76),IF($NP$76="Single_Point",IF(235=$NR$76,$NN$76,0),IF($NP$76="Bell_Curve",$NN$76*(235-$NR$76+1)*($NS$76-235+1)/$NU$76,$NN$76/$NT$76)),0)</f>
        <v/>
      </c>
      <c r="IF76" s="402">
        <f>IF(AND(236&gt;=$NR$76,236&lt;=$NS$76),IF($NP$76="Single_Point",IF(236=$NR$76,$NN$76,0),IF($NP$76="Bell_Curve",$NN$76*(236-$NR$76+1)*($NS$76-236+1)/$NU$76,$NN$76/$NT$76)),0)</f>
        <v/>
      </c>
      <c r="IG76" s="402">
        <f>IF(AND(237&gt;=$NR$76,237&lt;=$NS$76),IF($NP$76="Single_Point",IF(237=$NR$76,$NN$76,0),IF($NP$76="Bell_Curve",$NN$76*(237-$NR$76+1)*($NS$76-237+1)/$NU$76,$NN$76/$NT$76)),0)</f>
        <v/>
      </c>
      <c r="IH76" s="402">
        <f>IF(AND(238&gt;=$NR$76,238&lt;=$NS$76),IF($NP$76="Single_Point",IF(238=$NR$76,$NN$76,0),IF($NP$76="Bell_Curve",$NN$76*(238-$NR$76+1)*($NS$76-238+1)/$NU$76,$NN$76/$NT$76)),0)</f>
        <v/>
      </c>
      <c r="II76" s="402">
        <f>IF(AND(239&gt;=$NR$76,239&lt;=$NS$76),IF($NP$76="Single_Point",IF(239=$NR$76,$NN$76,0),IF($NP$76="Bell_Curve",$NN$76*(239-$NR$76+1)*($NS$76-239+1)/$NU$76,$NN$76/$NT$76)),0)</f>
        <v/>
      </c>
      <c r="IJ76" s="402">
        <f>IF(AND(240&gt;=$NR$76,240&lt;=$NS$76),IF($NP$76="Single_Point",IF(240=$NR$76,$NN$76,0),IF($NP$76="Bell_Curve",$NN$76*(240-$NR$76+1)*($NS$76-240+1)/$NU$76,$NN$76/$NT$76)),0)</f>
        <v/>
      </c>
      <c r="IK76" s="402">
        <f>IF(AND(241&gt;=$NR$76,241&lt;=$NS$76),IF($NP$76="Single_Point",IF(241=$NR$76,$NN$76,0),IF($NP$76="Bell_Curve",$NN$76*(241-$NR$76+1)*($NS$76-241+1)/$NU$76,$NN$76/$NT$76)),0)</f>
        <v/>
      </c>
      <c r="IL76" s="402">
        <f>IF(AND(242&gt;=$NR$76,242&lt;=$NS$76),IF($NP$76="Single_Point",IF(242=$NR$76,$NN$76,0),IF($NP$76="Bell_Curve",$NN$76*(242-$NR$76+1)*($NS$76-242+1)/$NU$76,$NN$76/$NT$76)),0)</f>
        <v/>
      </c>
      <c r="IM76" s="402">
        <f>IF(AND(243&gt;=$NR$76,243&lt;=$NS$76),IF($NP$76="Single_Point",IF(243=$NR$76,$NN$76,0),IF($NP$76="Bell_Curve",$NN$76*(243-$NR$76+1)*($NS$76-243+1)/$NU$76,$NN$76/$NT$76)),0)</f>
        <v/>
      </c>
      <c r="IN76" s="402">
        <f>IF(AND(244&gt;=$NR$76,244&lt;=$NS$76),IF($NP$76="Single_Point",IF(244=$NR$76,$NN$76,0),IF($NP$76="Bell_Curve",$NN$76*(244-$NR$76+1)*($NS$76-244+1)/$NU$76,$NN$76/$NT$76)),0)</f>
        <v/>
      </c>
      <c r="IO76" s="402">
        <f>IF(AND(245&gt;=$NR$76,245&lt;=$NS$76),IF($NP$76="Single_Point",IF(245=$NR$76,$NN$76,0),IF($NP$76="Bell_Curve",$NN$76*(245-$NR$76+1)*($NS$76-245+1)/$NU$76,$NN$76/$NT$76)),0)</f>
        <v/>
      </c>
      <c r="IP76" s="402">
        <f>IF(AND(246&gt;=$NR$76,246&lt;=$NS$76),IF($NP$76="Single_Point",IF(246=$NR$76,$NN$76,0),IF($NP$76="Bell_Curve",$NN$76*(246-$NR$76+1)*($NS$76-246+1)/$NU$76,$NN$76/$NT$76)),0)</f>
        <v/>
      </c>
      <c r="IQ76" s="402">
        <f>IF(AND(247&gt;=$NR$76,247&lt;=$NS$76),IF($NP$76="Single_Point",IF(247=$NR$76,$NN$76,0),IF($NP$76="Bell_Curve",$NN$76*(247-$NR$76+1)*($NS$76-247+1)/$NU$76,$NN$76/$NT$76)),0)</f>
        <v/>
      </c>
      <c r="IR76" s="402">
        <f>IF(AND(248&gt;=$NR$76,248&lt;=$NS$76),IF($NP$76="Single_Point",IF(248=$NR$76,$NN$76,0),IF($NP$76="Bell_Curve",$NN$76*(248-$NR$76+1)*($NS$76-248+1)/$NU$76,$NN$76/$NT$76)),0)</f>
        <v/>
      </c>
      <c r="IS76" s="402">
        <f>IF(AND(249&gt;=$NR$76,249&lt;=$NS$76),IF($NP$76="Single_Point",IF(249=$NR$76,$NN$76,0),IF($NP$76="Bell_Curve",$NN$76*(249-$NR$76+1)*($NS$76-249+1)/$NU$76,$NN$76/$NT$76)),0)</f>
        <v/>
      </c>
      <c r="IT76" s="402">
        <f>IF(AND(250&gt;=$NR$76,250&lt;=$NS$76),IF($NP$76="Single_Point",IF(250=$NR$76,$NN$76,0),IF($NP$76="Bell_Curve",$NN$76*(250-$NR$76+1)*($NS$76-250+1)/$NU$76,$NN$76/$NT$76)),0)</f>
        <v/>
      </c>
      <c r="IU76" s="402">
        <f>IF(AND(251&gt;=$NR$76,251&lt;=$NS$76),IF($NP$76="Single_Point",IF(251=$NR$76,$NN$76,0),IF($NP$76="Bell_Curve",$NN$76*(251-$NR$76+1)*($NS$76-251+1)/$NU$76,$NN$76/$NT$76)),0)</f>
        <v/>
      </c>
      <c r="IV76" s="402">
        <f>IF(AND(252&gt;=$NR$76,252&lt;=$NS$76),IF($NP$76="Single_Point",IF(252=$NR$76,$NN$76,0),IF($NP$76="Bell_Curve",$NN$76*(252-$NR$76+1)*($NS$76-252+1)/$NU$76,$NN$76/$NT$76)),0)</f>
        <v/>
      </c>
      <c r="IW76" s="402">
        <f>IF(AND(253&gt;=$NR$76,253&lt;=$NS$76),IF($NP$76="Single_Point",IF(253=$NR$76,$NN$76,0),IF($NP$76="Bell_Curve",$NN$76*(253-$NR$76+1)*($NS$76-253+1)/$NU$76,$NN$76/$NT$76)),0)</f>
        <v/>
      </c>
      <c r="IX76" s="402">
        <f>IF(AND(254&gt;=$NR$76,254&lt;=$NS$76),IF($NP$76="Single_Point",IF(254=$NR$76,$NN$76,0),IF($NP$76="Bell_Curve",$NN$76*(254-$NR$76+1)*($NS$76-254+1)/$NU$76,$NN$76/$NT$76)),0)</f>
        <v/>
      </c>
      <c r="IY76" s="402">
        <f>IF(AND(255&gt;=$NR$76,255&lt;=$NS$76),IF($NP$76="Single_Point",IF(255=$NR$76,$NN$76,0),IF($NP$76="Bell_Curve",$NN$76*(255-$NR$76+1)*($NS$76-255+1)/$NU$76,$NN$76/$NT$76)),0)</f>
        <v/>
      </c>
      <c r="IZ76" s="402">
        <f>IF(AND(256&gt;=$NR$76,256&lt;=$NS$76),IF($NP$76="Single_Point",IF(256=$NR$76,$NN$76,0),IF($NP$76="Bell_Curve",$NN$76*(256-$NR$76+1)*($NS$76-256+1)/$NU$76,$NN$76/$NT$76)),0)</f>
        <v/>
      </c>
      <c r="JA76" s="402">
        <f>IF(AND(257&gt;=$NR$76,257&lt;=$NS$76),IF($NP$76="Single_Point",IF(257=$NR$76,$NN$76,0),IF($NP$76="Bell_Curve",$NN$76*(257-$NR$76+1)*($NS$76-257+1)/$NU$76,$NN$76/$NT$76)),0)</f>
        <v/>
      </c>
      <c r="JB76" s="402">
        <f>IF(AND(258&gt;=$NR$76,258&lt;=$NS$76),IF($NP$76="Single_Point",IF(258=$NR$76,$NN$76,0),IF($NP$76="Bell_Curve",$NN$76*(258-$NR$76+1)*($NS$76-258+1)/$NU$76,$NN$76/$NT$76)),0)</f>
        <v/>
      </c>
      <c r="JC76" s="402">
        <f>IF(AND(259&gt;=$NR$76,259&lt;=$NS$76),IF($NP$76="Single_Point",IF(259=$NR$76,$NN$76,0),IF($NP$76="Bell_Curve",$NN$76*(259-$NR$76+1)*($NS$76-259+1)/$NU$76,$NN$76/$NT$76)),0)</f>
        <v/>
      </c>
      <c r="JD76" s="402">
        <f>IF(AND(260&gt;=$NR$76,260&lt;=$NS$76),IF($NP$76="Single_Point",IF(260=$NR$76,$NN$76,0),IF($NP$76="Bell_Curve",$NN$76*(260-$NR$76+1)*($NS$76-260+1)/$NU$76,$NN$76/$NT$76)),0)</f>
        <v/>
      </c>
      <c r="JE76" s="402">
        <f>IF(AND(261&gt;=$NR$76,261&lt;=$NS$76),IF($NP$76="Single_Point",IF(261=$NR$76,$NN$76,0),IF($NP$76="Bell_Curve",$NN$76*(261-$NR$76+1)*($NS$76-261+1)/$NU$76,$NN$76/$NT$76)),0)</f>
        <v/>
      </c>
      <c r="JF76" s="402">
        <f>IF(AND(262&gt;=$NR$76,262&lt;=$NS$76),IF($NP$76="Single_Point",IF(262=$NR$76,$NN$76,0),IF($NP$76="Bell_Curve",$NN$76*(262-$NR$76+1)*($NS$76-262+1)/$NU$76,$NN$76/$NT$76)),0)</f>
        <v/>
      </c>
      <c r="JG76" s="402">
        <f>IF(AND(263&gt;=$NR$76,263&lt;=$NS$76),IF($NP$76="Single_Point",IF(263=$NR$76,$NN$76,0),IF($NP$76="Bell_Curve",$NN$76*(263-$NR$76+1)*($NS$76-263+1)/$NU$76,$NN$76/$NT$76)),0)</f>
        <v/>
      </c>
      <c r="JH76" s="402">
        <f>IF(AND(264&gt;=$NR$76,264&lt;=$NS$76),IF($NP$76="Single_Point",IF(264=$NR$76,$NN$76,0),IF($NP$76="Bell_Curve",$NN$76*(264-$NR$76+1)*($NS$76-264+1)/$NU$76,$NN$76/$NT$76)),0)</f>
        <v/>
      </c>
      <c r="JI76" s="402">
        <f>IF(AND(265&gt;=$NR$76,265&lt;=$NS$76),IF($NP$76="Single_Point",IF(265=$NR$76,$NN$76,0),IF($NP$76="Bell_Curve",$NN$76*(265-$NR$76+1)*($NS$76-265+1)/$NU$76,$NN$76/$NT$76)),0)</f>
        <v/>
      </c>
      <c r="JJ76" s="402">
        <f>IF(AND(266&gt;=$NR$76,266&lt;=$NS$76),IF($NP$76="Single_Point",IF(266=$NR$76,$NN$76,0),IF($NP$76="Bell_Curve",$NN$76*(266-$NR$76+1)*($NS$76-266+1)/$NU$76,$NN$76/$NT$76)),0)</f>
        <v/>
      </c>
      <c r="JK76" s="402">
        <f>IF(AND(267&gt;=$NR$76,267&lt;=$NS$76),IF($NP$76="Single_Point",IF(267=$NR$76,$NN$76,0),IF($NP$76="Bell_Curve",$NN$76*(267-$NR$76+1)*($NS$76-267+1)/$NU$76,$NN$76/$NT$76)),0)</f>
        <v/>
      </c>
      <c r="JL76" s="402">
        <f>IF(AND(268&gt;=$NR$76,268&lt;=$NS$76),IF($NP$76="Single_Point",IF(268=$NR$76,$NN$76,0),IF($NP$76="Bell_Curve",$NN$76*(268-$NR$76+1)*($NS$76-268+1)/$NU$76,$NN$76/$NT$76)),0)</f>
        <v/>
      </c>
      <c r="JM76" s="402">
        <f>IF(AND(269&gt;=$NR$76,269&lt;=$NS$76),IF($NP$76="Single_Point",IF(269=$NR$76,$NN$76,0),IF($NP$76="Bell_Curve",$NN$76*(269-$NR$76+1)*($NS$76-269+1)/$NU$76,$NN$76/$NT$76)),0)</f>
        <v/>
      </c>
      <c r="JN76" s="402">
        <f>IF(AND(270&gt;=$NR$76,270&lt;=$NS$76),IF($NP$76="Single_Point",IF(270=$NR$76,$NN$76,0),IF($NP$76="Bell_Curve",$NN$76*(270-$NR$76+1)*($NS$76-270+1)/$NU$76,$NN$76/$NT$76)),0)</f>
        <v/>
      </c>
      <c r="JO76" s="402">
        <f>IF(AND(271&gt;=$NR$76,271&lt;=$NS$76),IF($NP$76="Single_Point",IF(271=$NR$76,$NN$76,0),IF($NP$76="Bell_Curve",$NN$76*(271-$NR$76+1)*($NS$76-271+1)/$NU$76,$NN$76/$NT$76)),0)</f>
        <v/>
      </c>
      <c r="JP76" s="402">
        <f>IF(AND(272&gt;=$NR$76,272&lt;=$NS$76),IF($NP$76="Single_Point",IF(272=$NR$76,$NN$76,0),IF($NP$76="Bell_Curve",$NN$76*(272-$NR$76+1)*($NS$76-272+1)/$NU$76,$NN$76/$NT$76)),0)</f>
        <v/>
      </c>
      <c r="JQ76" s="402">
        <f>IF(AND(273&gt;=$NR$76,273&lt;=$NS$76),IF($NP$76="Single_Point",IF(273=$NR$76,$NN$76,0),IF($NP$76="Bell_Curve",$NN$76*(273-$NR$76+1)*($NS$76-273+1)/$NU$76,$NN$76/$NT$76)),0)</f>
        <v/>
      </c>
      <c r="JR76" s="402">
        <f>IF(AND(274&gt;=$NR$76,274&lt;=$NS$76),IF($NP$76="Single_Point",IF(274=$NR$76,$NN$76,0),IF($NP$76="Bell_Curve",$NN$76*(274-$NR$76+1)*($NS$76-274+1)/$NU$76,$NN$76/$NT$76)),0)</f>
        <v/>
      </c>
      <c r="JS76" s="402">
        <f>IF(AND(275&gt;=$NR$76,275&lt;=$NS$76),IF($NP$76="Single_Point",IF(275=$NR$76,$NN$76,0),IF($NP$76="Bell_Curve",$NN$76*(275-$NR$76+1)*($NS$76-275+1)/$NU$76,$NN$76/$NT$76)),0)</f>
        <v/>
      </c>
      <c r="JT76" s="402">
        <f>IF(AND(276&gt;=$NR$76,276&lt;=$NS$76),IF($NP$76="Single_Point",IF(276=$NR$76,$NN$76,0),IF($NP$76="Bell_Curve",$NN$76*(276-$NR$76+1)*($NS$76-276+1)/$NU$76,$NN$76/$NT$76)),0)</f>
        <v/>
      </c>
      <c r="JU76" s="402">
        <f>IF(AND(277&gt;=$NR$76,277&lt;=$NS$76),IF($NP$76="Single_Point",IF(277=$NR$76,$NN$76,0),IF($NP$76="Bell_Curve",$NN$76*(277-$NR$76+1)*($NS$76-277+1)/$NU$76,$NN$76/$NT$76)),0)</f>
        <v/>
      </c>
      <c r="JV76" s="402">
        <f>IF(AND(278&gt;=$NR$76,278&lt;=$NS$76),IF($NP$76="Single_Point",IF(278=$NR$76,$NN$76,0),IF($NP$76="Bell_Curve",$NN$76*(278-$NR$76+1)*($NS$76-278+1)/$NU$76,$NN$76/$NT$76)),0)</f>
        <v/>
      </c>
      <c r="JW76" s="402">
        <f>IF(AND(279&gt;=$NR$76,279&lt;=$NS$76),IF($NP$76="Single_Point",IF(279=$NR$76,$NN$76,0),IF($NP$76="Bell_Curve",$NN$76*(279-$NR$76+1)*($NS$76-279+1)/$NU$76,$NN$76/$NT$76)),0)</f>
        <v/>
      </c>
      <c r="JX76" s="402">
        <f>IF(AND(280&gt;=$NR$76,280&lt;=$NS$76),IF($NP$76="Single_Point",IF(280=$NR$76,$NN$76,0),IF($NP$76="Bell_Curve",$NN$76*(280-$NR$76+1)*($NS$76-280+1)/$NU$76,$NN$76/$NT$76)),0)</f>
        <v/>
      </c>
      <c r="JY76" s="402">
        <f>IF(AND(281&gt;=$NR$76,281&lt;=$NS$76),IF($NP$76="Single_Point",IF(281=$NR$76,$NN$76,0),IF($NP$76="Bell_Curve",$NN$76*(281-$NR$76+1)*($NS$76-281+1)/$NU$76,$NN$76/$NT$76)),0)</f>
        <v/>
      </c>
      <c r="JZ76" s="402">
        <f>IF(AND(282&gt;=$NR$76,282&lt;=$NS$76),IF($NP$76="Single_Point",IF(282=$NR$76,$NN$76,0),IF($NP$76="Bell_Curve",$NN$76*(282-$NR$76+1)*($NS$76-282+1)/$NU$76,$NN$76/$NT$76)),0)</f>
        <v/>
      </c>
      <c r="KA76" s="402">
        <f>IF(AND(283&gt;=$NR$76,283&lt;=$NS$76),IF($NP$76="Single_Point",IF(283=$NR$76,$NN$76,0),IF($NP$76="Bell_Curve",$NN$76*(283-$NR$76+1)*($NS$76-283+1)/$NU$76,$NN$76/$NT$76)),0)</f>
        <v/>
      </c>
      <c r="KB76" s="402">
        <f>IF(AND(284&gt;=$NR$76,284&lt;=$NS$76),IF($NP$76="Single_Point",IF(284=$NR$76,$NN$76,0),IF($NP$76="Bell_Curve",$NN$76*(284-$NR$76+1)*($NS$76-284+1)/$NU$76,$NN$76/$NT$76)),0)</f>
        <v/>
      </c>
      <c r="KC76" s="402">
        <f>IF(AND(285&gt;=$NR$76,285&lt;=$NS$76),IF($NP$76="Single_Point",IF(285=$NR$76,$NN$76,0),IF($NP$76="Bell_Curve",$NN$76*(285-$NR$76+1)*($NS$76-285+1)/$NU$76,$NN$76/$NT$76)),0)</f>
        <v/>
      </c>
      <c r="KD76" s="402">
        <f>IF(AND(286&gt;=$NR$76,286&lt;=$NS$76),IF($NP$76="Single_Point",IF(286=$NR$76,$NN$76,0),IF($NP$76="Bell_Curve",$NN$76*(286-$NR$76+1)*($NS$76-286+1)/$NU$76,$NN$76/$NT$76)),0)</f>
        <v/>
      </c>
      <c r="KE76" s="402">
        <f>IF(AND(287&gt;=$NR$76,287&lt;=$NS$76),IF($NP$76="Single_Point",IF(287=$NR$76,$NN$76,0),IF($NP$76="Bell_Curve",$NN$76*(287-$NR$76+1)*($NS$76-287+1)/$NU$76,$NN$76/$NT$76)),0)</f>
        <v/>
      </c>
      <c r="KF76" s="402">
        <f>IF(AND(288&gt;=$NR$76,288&lt;=$NS$76),IF($NP$76="Single_Point",IF(288=$NR$76,$NN$76,0),IF($NP$76="Bell_Curve",$NN$76*(288-$NR$76+1)*($NS$76-288+1)/$NU$76,$NN$76/$NT$76)),0)</f>
        <v/>
      </c>
      <c r="KG76" s="402">
        <f>IF(AND(289&gt;=$NR$76,289&lt;=$NS$76),IF($NP$76="Single_Point",IF(289=$NR$76,$NN$76,0),IF($NP$76="Bell_Curve",$NN$76*(289-$NR$76+1)*($NS$76-289+1)/$NU$76,$NN$76/$NT$76)),0)</f>
        <v/>
      </c>
      <c r="KH76" s="402">
        <f>IF(AND(290&gt;=$NR$76,290&lt;=$NS$76),IF($NP$76="Single_Point",IF(290=$NR$76,$NN$76,0),IF($NP$76="Bell_Curve",$NN$76*(290-$NR$76+1)*($NS$76-290+1)/$NU$76,$NN$76/$NT$76)),0)</f>
        <v/>
      </c>
      <c r="KI76" s="402">
        <f>IF(AND(291&gt;=$NR$76,291&lt;=$NS$76),IF($NP$76="Single_Point",IF(291=$NR$76,$NN$76,0),IF($NP$76="Bell_Curve",$NN$76*(291-$NR$76+1)*($NS$76-291+1)/$NU$76,$NN$76/$NT$76)),0)</f>
        <v/>
      </c>
      <c r="KJ76" s="402">
        <f>IF(AND(292&gt;=$NR$76,292&lt;=$NS$76),IF($NP$76="Single_Point",IF(292=$NR$76,$NN$76,0),IF($NP$76="Bell_Curve",$NN$76*(292-$NR$76+1)*($NS$76-292+1)/$NU$76,$NN$76/$NT$76)),0)</f>
        <v/>
      </c>
      <c r="KK76" s="402">
        <f>IF(AND(293&gt;=$NR$76,293&lt;=$NS$76),IF($NP$76="Single_Point",IF(293=$NR$76,$NN$76,0),IF($NP$76="Bell_Curve",$NN$76*(293-$NR$76+1)*($NS$76-293+1)/$NU$76,$NN$76/$NT$76)),0)</f>
        <v/>
      </c>
      <c r="KL76" s="402">
        <f>IF(AND(294&gt;=$NR$76,294&lt;=$NS$76),IF($NP$76="Single_Point",IF(294=$NR$76,$NN$76,0),IF($NP$76="Bell_Curve",$NN$76*(294-$NR$76+1)*($NS$76-294+1)/$NU$76,$NN$76/$NT$76)),0)</f>
        <v/>
      </c>
      <c r="KM76" s="402">
        <f>IF(AND(295&gt;=$NR$76,295&lt;=$NS$76),IF($NP$76="Single_Point",IF(295=$NR$76,$NN$76,0),IF($NP$76="Bell_Curve",$NN$76*(295-$NR$76+1)*($NS$76-295+1)/$NU$76,$NN$76/$NT$76)),0)</f>
        <v/>
      </c>
      <c r="KN76" s="402">
        <f>IF(AND(296&gt;=$NR$76,296&lt;=$NS$76),IF($NP$76="Single_Point",IF(296=$NR$76,$NN$76,0),IF($NP$76="Bell_Curve",$NN$76*(296-$NR$76+1)*($NS$76-296+1)/$NU$76,$NN$76/$NT$76)),0)</f>
        <v/>
      </c>
      <c r="KO76" s="402">
        <f>IF(AND(297&gt;=$NR$76,297&lt;=$NS$76),IF($NP$76="Single_Point",IF(297=$NR$76,$NN$76,0),IF($NP$76="Bell_Curve",$NN$76*(297-$NR$76+1)*($NS$76-297+1)/$NU$76,$NN$76/$NT$76)),0)</f>
        <v/>
      </c>
      <c r="KP76" s="402">
        <f>IF(AND(298&gt;=$NR$76,298&lt;=$NS$76),IF($NP$76="Single_Point",IF(298=$NR$76,$NN$76,0),IF($NP$76="Bell_Curve",$NN$76*(298-$NR$76+1)*($NS$76-298+1)/$NU$76,$NN$76/$NT$76)),0)</f>
        <v/>
      </c>
      <c r="KQ76" s="402">
        <f>IF(AND(299&gt;=$NR$76,299&lt;=$NS$76),IF($NP$76="Single_Point",IF(299=$NR$76,$NN$76,0),IF($NP$76="Bell_Curve",$NN$76*(299-$NR$76+1)*($NS$76-299+1)/$NU$76,$NN$76/$NT$76)),0)</f>
        <v/>
      </c>
      <c r="KR76" s="402">
        <f>IF(AND(300&gt;=$NR$76,300&lt;=$NS$76),IF($NP$76="Single_Point",IF(300=$NR$76,$NN$76,0),IF($NP$76="Bell_Curve",$NN$76*(300-$NR$76+1)*($NS$76-300+1)/$NU$76,$NN$76/$NT$76)),0)</f>
        <v/>
      </c>
      <c r="KS76" s="402">
        <f>IF(AND(301&gt;=$NR$76,301&lt;=$NS$76),IF($NP$76="Single_Point",IF(301=$NR$76,$NN$76,0),IF($NP$76="Bell_Curve",$NN$76*(301-$NR$76+1)*($NS$76-301+1)/$NU$76,$NN$76/$NT$76)),0)</f>
        <v/>
      </c>
      <c r="KT76" s="402">
        <f>IF(AND(302&gt;=$NR$76,302&lt;=$NS$76),IF($NP$76="Single_Point",IF(302=$NR$76,$NN$76,0),IF($NP$76="Bell_Curve",$NN$76*(302-$NR$76+1)*($NS$76-302+1)/$NU$76,$NN$76/$NT$76)),0)</f>
        <v/>
      </c>
      <c r="KU76" s="402">
        <f>IF(AND(303&gt;=$NR$76,303&lt;=$NS$76),IF($NP$76="Single_Point",IF(303=$NR$76,$NN$76,0),IF($NP$76="Bell_Curve",$NN$76*(303-$NR$76+1)*($NS$76-303+1)/$NU$76,$NN$76/$NT$76)),0)</f>
        <v/>
      </c>
      <c r="KV76" s="402">
        <f>IF(AND(304&gt;=$NR$76,304&lt;=$NS$76),IF($NP$76="Single_Point",IF(304=$NR$76,$NN$76,0),IF($NP$76="Bell_Curve",$NN$76*(304-$NR$76+1)*($NS$76-304+1)/$NU$76,$NN$76/$NT$76)),0)</f>
        <v/>
      </c>
      <c r="KW76" s="402">
        <f>IF(AND(305&gt;=$NR$76,305&lt;=$NS$76),IF($NP$76="Single_Point",IF(305=$NR$76,$NN$76,0),IF($NP$76="Bell_Curve",$NN$76*(305-$NR$76+1)*($NS$76-305+1)/$NU$76,$NN$76/$NT$76)),0)</f>
        <v/>
      </c>
      <c r="KX76" s="402">
        <f>IF(AND(306&gt;=$NR$76,306&lt;=$NS$76),IF($NP$76="Single_Point",IF(306=$NR$76,$NN$76,0),IF($NP$76="Bell_Curve",$NN$76*(306-$NR$76+1)*($NS$76-306+1)/$NU$76,$NN$76/$NT$76)),0)</f>
        <v/>
      </c>
      <c r="KY76" s="402">
        <f>IF(AND(307&gt;=$NR$76,307&lt;=$NS$76),IF($NP$76="Single_Point",IF(307=$NR$76,$NN$76,0),IF($NP$76="Bell_Curve",$NN$76*(307-$NR$76+1)*($NS$76-307+1)/$NU$76,$NN$76/$NT$76)),0)</f>
        <v/>
      </c>
      <c r="KZ76" s="402">
        <f>IF(AND(308&gt;=$NR$76,308&lt;=$NS$76),IF($NP$76="Single_Point",IF(308=$NR$76,$NN$76,0),IF($NP$76="Bell_Curve",$NN$76*(308-$NR$76+1)*($NS$76-308+1)/$NU$76,$NN$76/$NT$76)),0)</f>
        <v/>
      </c>
      <c r="LA76" s="402">
        <f>IF(AND(309&gt;=$NR$76,309&lt;=$NS$76),IF($NP$76="Single_Point",IF(309=$NR$76,$NN$76,0),IF($NP$76="Bell_Curve",$NN$76*(309-$NR$76+1)*($NS$76-309+1)/$NU$76,$NN$76/$NT$76)),0)</f>
        <v/>
      </c>
      <c r="LB76" s="402">
        <f>IF(AND(310&gt;=$NR$76,310&lt;=$NS$76),IF($NP$76="Single_Point",IF(310=$NR$76,$NN$76,0),IF($NP$76="Bell_Curve",$NN$76*(310-$NR$76+1)*($NS$76-310+1)/$NU$76,$NN$76/$NT$76)),0)</f>
        <v/>
      </c>
      <c r="LC76" s="402">
        <f>IF(AND(311&gt;=$NR$76,311&lt;=$NS$76),IF($NP$76="Single_Point",IF(311=$NR$76,$NN$76,0),IF($NP$76="Bell_Curve",$NN$76*(311-$NR$76+1)*($NS$76-311+1)/$NU$76,$NN$76/$NT$76)),0)</f>
        <v/>
      </c>
      <c r="LD76" s="402">
        <f>IF(AND(312&gt;=$NR$76,312&lt;=$NS$76),IF($NP$76="Single_Point",IF(312=$NR$76,$NN$76,0),IF($NP$76="Bell_Curve",$NN$76*(312-$NR$76+1)*($NS$76-312+1)/$NU$76,$NN$76/$NT$76)),0)</f>
        <v/>
      </c>
      <c r="LE76" s="402">
        <f>IF(AND(313&gt;=$NR$76,313&lt;=$NS$76),IF($NP$76="Single_Point",IF(313=$NR$76,$NN$76,0),IF($NP$76="Bell_Curve",$NN$76*(313-$NR$76+1)*($NS$76-313+1)/$NU$76,$NN$76/$NT$76)),0)</f>
        <v/>
      </c>
      <c r="LF76" s="402">
        <f>IF(AND(314&gt;=$NR$76,314&lt;=$NS$76),IF($NP$76="Single_Point",IF(314=$NR$76,$NN$76,0),IF($NP$76="Bell_Curve",$NN$76*(314-$NR$76+1)*($NS$76-314+1)/$NU$76,$NN$76/$NT$76)),0)</f>
        <v/>
      </c>
      <c r="LG76" s="402">
        <f>IF(AND(315&gt;=$NR$76,315&lt;=$NS$76),IF($NP$76="Single_Point",IF(315=$NR$76,$NN$76,0),IF($NP$76="Bell_Curve",$NN$76*(315-$NR$76+1)*($NS$76-315+1)/$NU$76,$NN$76/$NT$76)),0)</f>
        <v/>
      </c>
      <c r="LH76" s="402">
        <f>IF(AND(316&gt;=$NR$76,316&lt;=$NS$76),IF($NP$76="Single_Point",IF(316=$NR$76,$NN$76,0),IF($NP$76="Bell_Curve",$NN$76*(316-$NR$76+1)*($NS$76-316+1)/$NU$76,$NN$76/$NT$76)),0)</f>
        <v/>
      </c>
      <c r="LI76" s="402">
        <f>IF(AND(317&gt;=$NR$76,317&lt;=$NS$76),IF($NP$76="Single_Point",IF(317=$NR$76,$NN$76,0),IF($NP$76="Bell_Curve",$NN$76*(317-$NR$76+1)*($NS$76-317+1)/$NU$76,$NN$76/$NT$76)),0)</f>
        <v/>
      </c>
      <c r="LJ76" s="402">
        <f>IF(AND(318&gt;=$NR$76,318&lt;=$NS$76),IF($NP$76="Single_Point",IF(318=$NR$76,$NN$76,0),IF($NP$76="Bell_Curve",$NN$76*(318-$NR$76+1)*($NS$76-318+1)/$NU$76,$NN$76/$NT$76)),0)</f>
        <v/>
      </c>
      <c r="LK76" s="402">
        <f>IF(AND(319&gt;=$NR$76,319&lt;=$NS$76),IF($NP$76="Single_Point",IF(319=$NR$76,$NN$76,0),IF($NP$76="Bell_Curve",$NN$76*(319-$NR$76+1)*($NS$76-319+1)/$NU$76,$NN$76/$NT$76)),0)</f>
        <v/>
      </c>
      <c r="LL76" s="402">
        <f>IF(AND(320&gt;=$NR$76,320&lt;=$NS$76),IF($NP$76="Single_Point",IF(320=$NR$76,$NN$76,0),IF($NP$76="Bell_Curve",$NN$76*(320-$NR$76+1)*($NS$76-320+1)/$NU$76,$NN$76/$NT$76)),0)</f>
        <v/>
      </c>
      <c r="LM76" s="402">
        <f>IF(AND(321&gt;=$NR$76,321&lt;=$NS$76),IF($NP$76="Single_Point",IF(321=$NR$76,$NN$76,0),IF($NP$76="Bell_Curve",$NN$76*(321-$NR$76+1)*($NS$76-321+1)/$NU$76,$NN$76/$NT$76)),0)</f>
        <v/>
      </c>
      <c r="LN76" s="402">
        <f>IF(AND(322&gt;=$NR$76,322&lt;=$NS$76),IF($NP$76="Single_Point",IF(322=$NR$76,$NN$76,0),IF($NP$76="Bell_Curve",$NN$76*(322-$NR$76+1)*($NS$76-322+1)/$NU$76,$NN$76/$NT$76)),0)</f>
        <v/>
      </c>
      <c r="LO76" s="402">
        <f>IF(AND(323&gt;=$NR$76,323&lt;=$NS$76),IF($NP$76="Single_Point",IF(323=$NR$76,$NN$76,0),IF($NP$76="Bell_Curve",$NN$76*(323-$NR$76+1)*($NS$76-323+1)/$NU$76,$NN$76/$NT$76)),0)</f>
        <v/>
      </c>
      <c r="LP76" s="402">
        <f>IF(AND(324&gt;=$NR$76,324&lt;=$NS$76),IF($NP$76="Single_Point",IF(324=$NR$76,$NN$76,0),IF($NP$76="Bell_Curve",$NN$76*(324-$NR$76+1)*($NS$76-324+1)/$NU$76,$NN$76/$NT$76)),0)</f>
        <v/>
      </c>
      <c r="LQ76" s="402">
        <f>IF(AND(325&gt;=$NR$76,325&lt;=$NS$76),IF($NP$76="Single_Point",IF(325=$NR$76,$NN$76,0),IF($NP$76="Bell_Curve",$NN$76*(325-$NR$76+1)*($NS$76-325+1)/$NU$76,$NN$76/$NT$76)),0)</f>
        <v/>
      </c>
      <c r="LR76" s="402">
        <f>IF(AND(326&gt;=$NR$76,326&lt;=$NS$76),IF($NP$76="Single_Point",IF(326=$NR$76,$NN$76,0),IF($NP$76="Bell_Curve",$NN$76*(326-$NR$76+1)*($NS$76-326+1)/$NU$76,$NN$76/$NT$76)),0)</f>
        <v/>
      </c>
      <c r="LS76" s="402">
        <f>IF(AND(327&gt;=$NR$76,327&lt;=$NS$76),IF($NP$76="Single_Point",IF(327=$NR$76,$NN$76,0),IF($NP$76="Bell_Curve",$NN$76*(327-$NR$76+1)*($NS$76-327+1)/$NU$76,$NN$76/$NT$76)),0)</f>
        <v/>
      </c>
      <c r="LT76" s="402">
        <f>IF(AND(328&gt;=$NR$76,328&lt;=$NS$76),IF($NP$76="Single_Point",IF(328=$NR$76,$NN$76,0),IF($NP$76="Bell_Curve",$NN$76*(328-$NR$76+1)*($NS$76-328+1)/$NU$76,$NN$76/$NT$76)),0)</f>
        <v/>
      </c>
      <c r="LU76" s="402">
        <f>IF(AND(329&gt;=$NR$76,329&lt;=$NS$76),IF($NP$76="Single_Point",IF(329=$NR$76,$NN$76,0),IF($NP$76="Bell_Curve",$NN$76*(329-$NR$76+1)*($NS$76-329+1)/$NU$76,$NN$76/$NT$76)),0)</f>
        <v/>
      </c>
      <c r="LV76" s="402">
        <f>IF(AND(330&gt;=$NR$76,330&lt;=$NS$76),IF($NP$76="Single_Point",IF(330=$NR$76,$NN$76,0),IF($NP$76="Bell_Curve",$NN$76*(330-$NR$76+1)*($NS$76-330+1)/$NU$76,$NN$76/$NT$76)),0)</f>
        <v/>
      </c>
      <c r="LW76" s="402">
        <f>IF(AND(331&gt;=$NR$76,331&lt;=$NS$76),IF($NP$76="Single_Point",IF(331=$NR$76,$NN$76,0),IF($NP$76="Bell_Curve",$NN$76*(331-$NR$76+1)*($NS$76-331+1)/$NU$76,$NN$76/$NT$76)),0)</f>
        <v/>
      </c>
      <c r="LX76" s="402">
        <f>IF(AND(332&gt;=$NR$76,332&lt;=$NS$76),IF($NP$76="Single_Point",IF(332=$NR$76,$NN$76,0),IF($NP$76="Bell_Curve",$NN$76*(332-$NR$76+1)*($NS$76-332+1)/$NU$76,$NN$76/$NT$76)),0)</f>
        <v/>
      </c>
      <c r="LY76" s="402">
        <f>IF(AND(333&gt;=$NR$76,333&lt;=$NS$76),IF($NP$76="Single_Point",IF(333=$NR$76,$NN$76,0),IF($NP$76="Bell_Curve",$NN$76*(333-$NR$76+1)*($NS$76-333+1)/$NU$76,$NN$76/$NT$76)),0)</f>
        <v/>
      </c>
      <c r="LZ76" s="402">
        <f>IF(AND(334&gt;=$NR$76,334&lt;=$NS$76),IF($NP$76="Single_Point",IF(334=$NR$76,$NN$76,0),IF($NP$76="Bell_Curve",$NN$76*(334-$NR$76+1)*($NS$76-334+1)/$NU$76,$NN$76/$NT$76)),0)</f>
        <v/>
      </c>
      <c r="MA76" s="402">
        <f>IF(AND(335&gt;=$NR$76,335&lt;=$NS$76),IF($NP$76="Single_Point",IF(335=$NR$76,$NN$76,0),IF($NP$76="Bell_Curve",$NN$76*(335-$NR$76+1)*($NS$76-335+1)/$NU$76,$NN$76/$NT$76)),0)</f>
        <v/>
      </c>
      <c r="MB76" s="402">
        <f>IF(AND(336&gt;=$NR$76,336&lt;=$NS$76),IF($NP$76="Single_Point",IF(336=$NR$76,$NN$76,0),IF($NP$76="Bell_Curve",$NN$76*(336-$NR$76+1)*($NS$76-336+1)/$NU$76,$NN$76/$NT$76)),0)</f>
        <v/>
      </c>
      <c r="MC76" s="402">
        <f>IF(AND(337&gt;=$NR$76,337&lt;=$NS$76),IF($NP$76="Single_Point",IF(337=$NR$76,$NN$76,0),IF($NP$76="Bell_Curve",$NN$76*(337-$NR$76+1)*($NS$76-337+1)/$NU$76,$NN$76/$NT$76)),0)</f>
        <v/>
      </c>
      <c r="MD76" s="402">
        <f>IF(AND(338&gt;=$NR$76,338&lt;=$NS$76),IF($NP$76="Single_Point",IF(338=$NR$76,$NN$76,0),IF($NP$76="Bell_Curve",$NN$76*(338-$NR$76+1)*($NS$76-338+1)/$NU$76,$NN$76/$NT$76)),0)</f>
        <v/>
      </c>
      <c r="ME76" s="402">
        <f>IF(AND(339&gt;=$NR$76,339&lt;=$NS$76),IF($NP$76="Single_Point",IF(339=$NR$76,$NN$76,0),IF($NP$76="Bell_Curve",$NN$76*(339-$NR$76+1)*($NS$76-339+1)/$NU$76,$NN$76/$NT$76)),0)</f>
        <v/>
      </c>
      <c r="MF76" s="402">
        <f>IF(AND(340&gt;=$NR$76,340&lt;=$NS$76),IF($NP$76="Single_Point",IF(340=$NR$76,$NN$76,0),IF($NP$76="Bell_Curve",$NN$76*(340-$NR$76+1)*($NS$76-340+1)/$NU$76,$NN$76/$NT$76)),0)</f>
        <v/>
      </c>
      <c r="MG76" s="402">
        <f>IF(AND(341&gt;=$NR$76,341&lt;=$NS$76),IF($NP$76="Single_Point",IF(341=$NR$76,$NN$76,0),IF($NP$76="Bell_Curve",$NN$76*(341-$NR$76+1)*($NS$76-341+1)/$NU$76,$NN$76/$NT$76)),0)</f>
        <v/>
      </c>
      <c r="MH76" s="402">
        <f>IF(AND(342&gt;=$NR$76,342&lt;=$NS$76),IF($NP$76="Single_Point",IF(342=$NR$76,$NN$76,0),IF($NP$76="Bell_Curve",$NN$76*(342-$NR$76+1)*($NS$76-342+1)/$NU$76,$NN$76/$NT$76)),0)</f>
        <v/>
      </c>
      <c r="MI76" s="402">
        <f>IF(AND(343&gt;=$NR$76,343&lt;=$NS$76),IF($NP$76="Single_Point",IF(343=$NR$76,$NN$76,0),IF($NP$76="Bell_Curve",$NN$76*(343-$NR$76+1)*($NS$76-343+1)/$NU$76,$NN$76/$NT$76)),0)</f>
        <v/>
      </c>
      <c r="MJ76" s="402">
        <f>IF(AND(344&gt;=$NR$76,344&lt;=$NS$76),IF($NP$76="Single_Point",IF(344=$NR$76,$NN$76,0),IF($NP$76="Bell_Curve",$NN$76*(344-$NR$76+1)*($NS$76-344+1)/$NU$76,$NN$76/$NT$76)),0)</f>
        <v/>
      </c>
      <c r="MK76" s="402">
        <f>IF(AND(345&gt;=$NR$76,345&lt;=$NS$76),IF($NP$76="Single_Point",IF(345=$NR$76,$NN$76,0),IF($NP$76="Bell_Curve",$NN$76*(345-$NR$76+1)*($NS$76-345+1)/$NU$76,$NN$76/$NT$76)),0)</f>
        <v/>
      </c>
      <c r="ML76" s="402">
        <f>IF(AND(346&gt;=$NR$76,346&lt;=$NS$76),IF($NP$76="Single_Point",IF(346=$NR$76,$NN$76,0),IF($NP$76="Bell_Curve",$NN$76*(346-$NR$76+1)*($NS$76-346+1)/$NU$76,$NN$76/$NT$76)),0)</f>
        <v/>
      </c>
      <c r="MM76" s="402">
        <f>IF(AND(347&gt;=$NR$76,347&lt;=$NS$76),IF($NP$76="Single_Point",IF(347=$NR$76,$NN$76,0),IF($NP$76="Bell_Curve",$NN$76*(347-$NR$76+1)*($NS$76-347+1)/$NU$76,$NN$76/$NT$76)),0)</f>
        <v/>
      </c>
      <c r="MN76" s="402">
        <f>IF(AND(348&gt;=$NR$76,348&lt;=$NS$76),IF($NP$76="Single_Point",IF(348=$NR$76,$NN$76,0),IF($NP$76="Bell_Curve",$NN$76*(348-$NR$76+1)*($NS$76-348+1)/$NU$76,$NN$76/$NT$76)),0)</f>
        <v/>
      </c>
      <c r="MO76" s="402">
        <f>IF(AND(349&gt;=$NR$76,349&lt;=$NS$76),IF($NP$76="Single_Point",IF(349=$NR$76,$NN$76,0),IF($NP$76="Bell_Curve",$NN$76*(349-$NR$76+1)*($NS$76-349+1)/$NU$76,$NN$76/$NT$76)),0)</f>
        <v/>
      </c>
      <c r="MP76" s="402">
        <f>IF(AND(350&gt;=$NR$76,350&lt;=$NS$76),IF($NP$76="Single_Point",IF(350=$NR$76,$NN$76,0),IF($NP$76="Bell_Curve",$NN$76*(350-$NR$76+1)*($NS$76-350+1)/$NU$76,$NN$76/$NT$76)),0)</f>
        <v/>
      </c>
      <c r="MQ76" s="402">
        <f>IF(AND(351&gt;=$NR$76,351&lt;=$NS$76),IF($NP$76="Single_Point",IF(351=$NR$76,$NN$76,0),IF($NP$76="Bell_Curve",$NN$76*(351-$NR$76+1)*($NS$76-351+1)/$NU$76,$NN$76/$NT$76)),0)</f>
        <v/>
      </c>
      <c r="MR76" s="402">
        <f>IF(AND(352&gt;=$NR$76,352&lt;=$NS$76),IF($NP$76="Single_Point",IF(352=$NR$76,$NN$76,0),IF($NP$76="Bell_Curve",$NN$76*(352-$NR$76+1)*($NS$76-352+1)/$NU$76,$NN$76/$NT$76)),0)</f>
        <v/>
      </c>
      <c r="MS76" s="402">
        <f>IF(AND(353&gt;=$NR$76,353&lt;=$NS$76),IF($NP$76="Single_Point",IF(353=$NR$76,$NN$76,0),IF($NP$76="Bell_Curve",$NN$76*(353-$NR$76+1)*($NS$76-353+1)/$NU$76,$NN$76/$NT$76)),0)</f>
        <v/>
      </c>
      <c r="MT76" s="402">
        <f>IF(AND(354&gt;=$NR$76,354&lt;=$NS$76),IF($NP$76="Single_Point",IF(354=$NR$76,$NN$76,0),IF($NP$76="Bell_Curve",$NN$76*(354-$NR$76+1)*($NS$76-354+1)/$NU$76,$NN$76/$NT$76)),0)</f>
        <v/>
      </c>
      <c r="MU76" s="402">
        <f>IF(AND(355&gt;=$NR$76,355&lt;=$NS$76),IF($NP$76="Single_Point",IF(355=$NR$76,$NN$76,0),IF($NP$76="Bell_Curve",$NN$76*(355-$NR$76+1)*($NS$76-355+1)/$NU$76,$NN$76/$NT$76)),0)</f>
        <v/>
      </c>
      <c r="MV76" s="402">
        <f>IF(AND(356&gt;=$NR$76,356&lt;=$NS$76),IF($NP$76="Single_Point",IF(356=$NR$76,$NN$76,0),IF($NP$76="Bell_Curve",$NN$76*(356-$NR$76+1)*($NS$76-356+1)/$NU$76,$NN$76/$NT$76)),0)</f>
        <v/>
      </c>
      <c r="MW76" s="402">
        <f>IF(AND(357&gt;=$NR$76,357&lt;=$NS$76),IF($NP$76="Single_Point",IF(357=$NR$76,$NN$76,0),IF($NP$76="Bell_Curve",$NN$76*(357-$NR$76+1)*($NS$76-357+1)/$NU$76,$NN$76/$NT$76)),0)</f>
        <v/>
      </c>
      <c r="MX76" s="402">
        <f>IF(AND(358&gt;=$NR$76,358&lt;=$NS$76),IF($NP$76="Single_Point",IF(358=$NR$76,$NN$76,0),IF($NP$76="Bell_Curve",$NN$76*(358-$NR$76+1)*($NS$76-358+1)/$NU$76,$NN$76/$NT$76)),0)</f>
        <v/>
      </c>
      <c r="MY76" s="402">
        <f>IF(AND(359&gt;=$NR$76,359&lt;=$NS$76),IF($NP$76="Single_Point",IF(359=$NR$76,$NN$76,0),IF($NP$76="Bell_Curve",$NN$76*(359-$NR$76+1)*($NS$76-359+1)/$NU$76,$NN$76/$NT$76)),0)</f>
        <v/>
      </c>
      <c r="MZ76" s="402">
        <f>IF(AND(360&gt;=$NR$76,360&lt;=$NS$76),IF($NP$76="Single_Point",IF(360=$NR$76,$NN$76,0),IF($NP$76="Bell_Curve",$NN$76*(360-$NR$76+1)*($NS$76-360+1)/$NU$76,$NN$76/$NT$76)),0)</f>
        <v/>
      </c>
      <c r="NA76" s="402">
        <f>IF(AND(361&gt;=$NR$76,361&lt;=$NS$76),IF($NP$76="Single_Point",IF(361=$NR$76,$NN$76,0),IF($NP$76="Bell_Curve",$NN$76*(361-$NR$76+1)*($NS$76-361+1)/$NU$76,$NN$76/$NT$76)),0)</f>
        <v/>
      </c>
      <c r="NB76" s="402">
        <f>IF(AND(362&gt;=$NR$76,362&lt;=$NS$76),IF($NP$76="Single_Point",IF(362=$NR$76,$NN$76,0),IF($NP$76="Bell_Curve",$NN$76*(362-$NR$76+1)*($NS$76-362+1)/$NU$76,$NN$76/$NT$76)),0)</f>
        <v/>
      </c>
      <c r="NC76" s="402">
        <f>IF(AND(363&gt;=$NR$76,363&lt;=$NS$76),IF($NP$76="Single_Point",IF(363=$NR$76,$NN$76,0),IF($NP$76="Bell_Curve",$NN$76*(363-$NR$76+1)*($NS$76-363+1)/$NU$76,$NN$76/$NT$76)),0)</f>
        <v/>
      </c>
      <c r="ND76" s="402">
        <f>IF(AND(364&gt;=$NR$76,364&lt;=$NS$76),IF($NP$76="Single_Point",IF(364=$NR$76,$NN$76,0),IF($NP$76="Bell_Curve",$NN$76*(364-$NR$76+1)*($NS$76-364+1)/$NU$76,$NN$76/$NT$76)),0)</f>
        <v/>
      </c>
      <c r="NE76" s="402">
        <f>IF(AND(365&gt;=$NR$76,365&lt;=$NS$76),IF($NP$76="Single_Point",IF(365=$NR$76,$NN$76,0),IF($NP$76="Bell_Curve",$NN$76*(365-$NR$76+1)*($NS$76-365+1)/$NU$76,$NN$76/$NT$76)),0)</f>
        <v/>
      </c>
      <c r="NF76" s="402">
        <f>IF(AND(366&gt;=$NR$76,366&lt;=$NS$76),IF($NP$76="Single_Point",IF(366=$NR$76,$NN$76,0),IF($NP$76="Bell_Curve",$NN$76*(366-$NR$76+1)*($NS$76-366+1)/$NU$76,$NN$76/$NT$76)),0)</f>
        <v/>
      </c>
      <c r="NG76" s="402">
        <f>IF(AND(367&gt;=$NR$76,367&lt;=$NS$76),IF($NP$76="Single_Point",IF(367=$NR$76,$NN$76,0),IF($NP$76="Bell_Curve",$NN$76*(367-$NR$76+1)*($NS$76-367+1)/$NU$76,$NN$76/$NT$76)),0)</f>
        <v/>
      </c>
      <c r="NH76" s="402">
        <f>IF(AND(368&gt;=$NR$76,368&lt;=$NS$76),IF($NP$76="Single_Point",IF(368=$NR$76,$NN$76,0),IF($NP$76="Bell_Curve",$NN$76*(368-$NR$76+1)*($NS$76-368+1)/$NU$76,$NN$76/$NT$76)),0)</f>
        <v/>
      </c>
      <c r="NI76" s="402">
        <f>IF(AND(369&gt;=$NR$76,369&lt;=$NS$76),IF($NP$76="Single_Point",IF(369=$NR$76,$NN$76,0),IF($NP$76="Bell_Curve",$NN$76*(369-$NR$76+1)*($NS$76-369+1)/$NU$76,$NN$76/$NT$76)),0)</f>
        <v/>
      </c>
      <c r="NJ76" s="402">
        <f>IF(AND(370&gt;=$NR$76,370&lt;=$NS$76),IF($NP$76="Single_Point",IF(370=$NR$76,$NN$76,0),IF($NP$76="Bell_Curve",$NN$76*(370-$NR$76+1)*($NS$76-370+1)/$NU$76,$NN$76/$NT$76)),0)</f>
        <v/>
      </c>
      <c r="NK76" s="402">
        <f>IF(AND(371&gt;=$NR$76,371&lt;=$NS$76),IF($NP$76="Single_Point",IF(371=$NR$76,$NN$76,0),IF($NP$76="Bell_Curve",$NN$76*(371-$NR$76+1)*($NS$76-371+1)/$NU$76,$NN$76/$NT$76)),0)</f>
        <v/>
      </c>
      <c r="NL76" s="402">
        <f>IF(AND(372&gt;=$NR$76,372&lt;=$NS$76),IF($NP$76="Single_Point",IF(372=$NR$76,$NN$76,0),IF($NP$76="Bell_Curve",$NN$76*(372-$NR$76+1)*($NS$76-372+1)/$NU$76,$NN$76/$NT$76)),0)</f>
        <v/>
      </c>
      <c r="NM76">
        <f>Budget!C75</f>
        <v/>
      </c>
      <c r="NN76">
        <f>Budget!J75</f>
        <v/>
      </c>
      <c r="NO76">
        <f>Budget!G75</f>
        <v/>
      </c>
      <c r="NP76">
        <f>Budget!H75</f>
        <v/>
      </c>
      <c r="NQ76">
        <f>Budget!I75</f>
        <v/>
      </c>
      <c r="NR76">
        <f>MAX(1,MIN(372,INDEX(MilestoneStart,MATCH(NO76,MilestoneNames,0))+NQ76))</f>
        <v/>
      </c>
      <c r="NS76">
        <f>MAX(NR76,MIN(372,INDEX(MilestoneEnd,MATCH(NO76,MilestoneNames,0))+NQ76))</f>
        <v/>
      </c>
      <c r="NT76">
        <f>NS76-NR76+1</f>
        <v/>
      </c>
      <c r="NU76">
        <f>NT76*(NT76+1)*(NT76+2)/6</f>
        <v/>
      </c>
    </row>
    <row r="77">
      <c r="B77" s="316">
        <f>Budget!B76</f>
        <v/>
      </c>
      <c r="D77" s="402">
        <f>SUM(E77:NL77)</f>
        <v/>
      </c>
      <c r="E77" s="402">
        <f>IF(AND(1&gt;=$NR$77,1&lt;=$NS$77),IF($NP$77="Single_Point",IF(1=$NR$77,$NN$77,0),IF($NP$77="Bell_Curve",$NN$77*(1-$NR$77+1)*($NS$77-1+1)/$NU$77,$NN$77/$NT$77)),0)</f>
        <v/>
      </c>
      <c r="F77" s="402">
        <f>IF(AND(2&gt;=$NR$77,2&lt;=$NS$77),IF($NP$77="Single_Point",IF(2=$NR$77,$NN$77,0),IF($NP$77="Bell_Curve",$NN$77*(2-$NR$77+1)*($NS$77-2+1)/$NU$77,$NN$77/$NT$77)),0)</f>
        <v/>
      </c>
      <c r="G77" s="402">
        <f>IF(AND(3&gt;=$NR$77,3&lt;=$NS$77),IF($NP$77="Single_Point",IF(3=$NR$77,$NN$77,0),IF($NP$77="Bell_Curve",$NN$77*(3-$NR$77+1)*($NS$77-3+1)/$NU$77,$NN$77/$NT$77)),0)</f>
        <v/>
      </c>
      <c r="H77" s="402">
        <f>IF(AND(4&gt;=$NR$77,4&lt;=$NS$77),IF($NP$77="Single_Point",IF(4=$NR$77,$NN$77,0),IF($NP$77="Bell_Curve",$NN$77*(4-$NR$77+1)*($NS$77-4+1)/$NU$77,$NN$77/$NT$77)),0)</f>
        <v/>
      </c>
      <c r="I77" s="402">
        <f>IF(AND(5&gt;=$NR$77,5&lt;=$NS$77),IF($NP$77="Single_Point",IF(5=$NR$77,$NN$77,0),IF($NP$77="Bell_Curve",$NN$77*(5-$NR$77+1)*($NS$77-5+1)/$NU$77,$NN$77/$NT$77)),0)</f>
        <v/>
      </c>
      <c r="J77" s="402">
        <f>IF(AND(6&gt;=$NR$77,6&lt;=$NS$77),IF($NP$77="Single_Point",IF(6=$NR$77,$NN$77,0),IF($NP$77="Bell_Curve",$NN$77*(6-$NR$77+1)*($NS$77-6+1)/$NU$77,$NN$77/$NT$77)),0)</f>
        <v/>
      </c>
      <c r="K77" s="402">
        <f>IF(AND(7&gt;=$NR$77,7&lt;=$NS$77),IF($NP$77="Single_Point",IF(7=$NR$77,$NN$77,0),IF($NP$77="Bell_Curve",$NN$77*(7-$NR$77+1)*($NS$77-7+1)/$NU$77,$NN$77/$NT$77)),0)</f>
        <v/>
      </c>
      <c r="L77" s="402">
        <f>IF(AND(8&gt;=$NR$77,8&lt;=$NS$77),IF($NP$77="Single_Point",IF(8=$NR$77,$NN$77,0),IF($NP$77="Bell_Curve",$NN$77*(8-$NR$77+1)*($NS$77-8+1)/$NU$77,$NN$77/$NT$77)),0)</f>
        <v/>
      </c>
      <c r="M77" s="402">
        <f>IF(AND(9&gt;=$NR$77,9&lt;=$NS$77),IF($NP$77="Single_Point",IF(9=$NR$77,$NN$77,0),IF($NP$77="Bell_Curve",$NN$77*(9-$NR$77+1)*($NS$77-9+1)/$NU$77,$NN$77/$NT$77)),0)</f>
        <v/>
      </c>
      <c r="N77" s="402">
        <f>IF(AND(10&gt;=$NR$77,10&lt;=$NS$77),IF($NP$77="Single_Point",IF(10=$NR$77,$NN$77,0),IF($NP$77="Bell_Curve",$NN$77*(10-$NR$77+1)*($NS$77-10+1)/$NU$77,$NN$77/$NT$77)),0)</f>
        <v/>
      </c>
      <c r="O77" s="402">
        <f>IF(AND(11&gt;=$NR$77,11&lt;=$NS$77),IF($NP$77="Single_Point",IF(11=$NR$77,$NN$77,0),IF($NP$77="Bell_Curve",$NN$77*(11-$NR$77+1)*($NS$77-11+1)/$NU$77,$NN$77/$NT$77)),0)</f>
        <v/>
      </c>
      <c r="P77" s="402">
        <f>IF(AND(12&gt;=$NR$77,12&lt;=$NS$77),IF($NP$77="Single_Point",IF(12=$NR$77,$NN$77,0),IF($NP$77="Bell_Curve",$NN$77*(12-$NR$77+1)*($NS$77-12+1)/$NU$77,$NN$77/$NT$77)),0)</f>
        <v/>
      </c>
      <c r="Q77" s="402">
        <f>IF(AND(13&gt;=$NR$77,13&lt;=$NS$77),IF($NP$77="Single_Point",IF(13=$NR$77,$NN$77,0),IF($NP$77="Bell_Curve",$NN$77*(13-$NR$77+1)*($NS$77-13+1)/$NU$77,$NN$77/$NT$77)),0)</f>
        <v/>
      </c>
      <c r="R77" s="402">
        <f>IF(AND(14&gt;=$NR$77,14&lt;=$NS$77),IF($NP$77="Single_Point",IF(14=$NR$77,$NN$77,0),IF($NP$77="Bell_Curve",$NN$77*(14-$NR$77+1)*($NS$77-14+1)/$NU$77,$NN$77/$NT$77)),0)</f>
        <v/>
      </c>
      <c r="S77" s="402">
        <f>IF(AND(15&gt;=$NR$77,15&lt;=$NS$77),IF($NP$77="Single_Point",IF(15=$NR$77,$NN$77,0),IF($NP$77="Bell_Curve",$NN$77*(15-$NR$77+1)*($NS$77-15+1)/$NU$77,$NN$77/$NT$77)),0)</f>
        <v/>
      </c>
      <c r="T77" s="402">
        <f>IF(AND(16&gt;=$NR$77,16&lt;=$NS$77),IF($NP$77="Single_Point",IF(16=$NR$77,$NN$77,0),IF($NP$77="Bell_Curve",$NN$77*(16-$NR$77+1)*($NS$77-16+1)/$NU$77,$NN$77/$NT$77)),0)</f>
        <v/>
      </c>
      <c r="U77" s="402">
        <f>IF(AND(17&gt;=$NR$77,17&lt;=$NS$77),IF($NP$77="Single_Point",IF(17=$NR$77,$NN$77,0),IF($NP$77="Bell_Curve",$NN$77*(17-$NR$77+1)*($NS$77-17+1)/$NU$77,$NN$77/$NT$77)),0)</f>
        <v/>
      </c>
      <c r="V77" s="402">
        <f>IF(AND(18&gt;=$NR$77,18&lt;=$NS$77),IF($NP$77="Single_Point",IF(18=$NR$77,$NN$77,0),IF($NP$77="Bell_Curve",$NN$77*(18-$NR$77+1)*($NS$77-18+1)/$NU$77,$NN$77/$NT$77)),0)</f>
        <v/>
      </c>
      <c r="W77" s="402">
        <f>IF(AND(19&gt;=$NR$77,19&lt;=$NS$77),IF($NP$77="Single_Point",IF(19=$NR$77,$NN$77,0),IF($NP$77="Bell_Curve",$NN$77*(19-$NR$77+1)*($NS$77-19+1)/$NU$77,$NN$77/$NT$77)),0)</f>
        <v/>
      </c>
      <c r="X77" s="402">
        <f>IF(AND(20&gt;=$NR$77,20&lt;=$NS$77),IF($NP$77="Single_Point",IF(20=$NR$77,$NN$77,0),IF($NP$77="Bell_Curve",$NN$77*(20-$NR$77+1)*($NS$77-20+1)/$NU$77,$NN$77/$NT$77)),0)</f>
        <v/>
      </c>
      <c r="Y77" s="402">
        <f>IF(AND(21&gt;=$NR$77,21&lt;=$NS$77),IF($NP$77="Single_Point",IF(21=$NR$77,$NN$77,0),IF($NP$77="Bell_Curve",$NN$77*(21-$NR$77+1)*($NS$77-21+1)/$NU$77,$NN$77/$NT$77)),0)</f>
        <v/>
      </c>
      <c r="Z77" s="402">
        <f>IF(AND(22&gt;=$NR$77,22&lt;=$NS$77),IF($NP$77="Single_Point",IF(22=$NR$77,$NN$77,0),IF($NP$77="Bell_Curve",$NN$77*(22-$NR$77+1)*($NS$77-22+1)/$NU$77,$NN$77/$NT$77)),0)</f>
        <v/>
      </c>
      <c r="AA77" s="402">
        <f>IF(AND(23&gt;=$NR$77,23&lt;=$NS$77),IF($NP$77="Single_Point",IF(23=$NR$77,$NN$77,0),IF($NP$77="Bell_Curve",$NN$77*(23-$NR$77+1)*($NS$77-23+1)/$NU$77,$NN$77/$NT$77)),0)</f>
        <v/>
      </c>
      <c r="AB77" s="402">
        <f>IF(AND(24&gt;=$NR$77,24&lt;=$NS$77),IF($NP$77="Single_Point",IF(24=$NR$77,$NN$77,0),IF($NP$77="Bell_Curve",$NN$77*(24-$NR$77+1)*($NS$77-24+1)/$NU$77,$NN$77/$NT$77)),0)</f>
        <v/>
      </c>
      <c r="AC77" s="402">
        <f>IF(AND(25&gt;=$NR$77,25&lt;=$NS$77),IF($NP$77="Single_Point",IF(25=$NR$77,$NN$77,0),IF($NP$77="Bell_Curve",$NN$77*(25-$NR$77+1)*($NS$77-25+1)/$NU$77,$NN$77/$NT$77)),0)</f>
        <v/>
      </c>
      <c r="AD77" s="402">
        <f>IF(AND(26&gt;=$NR$77,26&lt;=$NS$77),IF($NP$77="Single_Point",IF(26=$NR$77,$NN$77,0),IF($NP$77="Bell_Curve",$NN$77*(26-$NR$77+1)*($NS$77-26+1)/$NU$77,$NN$77/$NT$77)),0)</f>
        <v/>
      </c>
      <c r="AE77" s="402">
        <f>IF(AND(27&gt;=$NR$77,27&lt;=$NS$77),IF($NP$77="Single_Point",IF(27=$NR$77,$NN$77,0),IF($NP$77="Bell_Curve",$NN$77*(27-$NR$77+1)*($NS$77-27+1)/$NU$77,$NN$77/$NT$77)),0)</f>
        <v/>
      </c>
      <c r="AF77" s="402">
        <f>IF(AND(28&gt;=$NR$77,28&lt;=$NS$77),IF($NP$77="Single_Point",IF(28=$NR$77,$NN$77,0),IF($NP$77="Bell_Curve",$NN$77*(28-$NR$77+1)*($NS$77-28+1)/$NU$77,$NN$77/$NT$77)),0)</f>
        <v/>
      </c>
      <c r="AG77" s="402">
        <f>IF(AND(29&gt;=$NR$77,29&lt;=$NS$77),IF($NP$77="Single_Point",IF(29=$NR$77,$NN$77,0),IF($NP$77="Bell_Curve",$NN$77*(29-$NR$77+1)*($NS$77-29+1)/$NU$77,$NN$77/$NT$77)),0)</f>
        <v/>
      </c>
      <c r="AH77" s="402">
        <f>IF(AND(30&gt;=$NR$77,30&lt;=$NS$77),IF($NP$77="Single_Point",IF(30=$NR$77,$NN$77,0),IF($NP$77="Bell_Curve",$NN$77*(30-$NR$77+1)*($NS$77-30+1)/$NU$77,$NN$77/$NT$77)),0)</f>
        <v/>
      </c>
      <c r="AI77" s="402">
        <f>IF(AND(31&gt;=$NR$77,31&lt;=$NS$77),IF($NP$77="Single_Point",IF(31=$NR$77,$NN$77,0),IF($NP$77="Bell_Curve",$NN$77*(31-$NR$77+1)*($NS$77-31+1)/$NU$77,$NN$77/$NT$77)),0)</f>
        <v/>
      </c>
      <c r="AJ77" s="402">
        <f>IF(AND(32&gt;=$NR$77,32&lt;=$NS$77),IF($NP$77="Single_Point",IF(32=$NR$77,$NN$77,0),IF($NP$77="Bell_Curve",$NN$77*(32-$NR$77+1)*($NS$77-32+1)/$NU$77,$NN$77/$NT$77)),0)</f>
        <v/>
      </c>
      <c r="AK77" s="402">
        <f>IF(AND(33&gt;=$NR$77,33&lt;=$NS$77),IF($NP$77="Single_Point",IF(33=$NR$77,$NN$77,0),IF($NP$77="Bell_Curve",$NN$77*(33-$NR$77+1)*($NS$77-33+1)/$NU$77,$NN$77/$NT$77)),0)</f>
        <v/>
      </c>
      <c r="AL77" s="402">
        <f>IF(AND(34&gt;=$NR$77,34&lt;=$NS$77),IF($NP$77="Single_Point",IF(34=$NR$77,$NN$77,0),IF($NP$77="Bell_Curve",$NN$77*(34-$NR$77+1)*($NS$77-34+1)/$NU$77,$NN$77/$NT$77)),0)</f>
        <v/>
      </c>
      <c r="AM77" s="402">
        <f>IF(AND(35&gt;=$NR$77,35&lt;=$NS$77),IF($NP$77="Single_Point",IF(35=$NR$77,$NN$77,0),IF($NP$77="Bell_Curve",$NN$77*(35-$NR$77+1)*($NS$77-35+1)/$NU$77,$NN$77/$NT$77)),0)</f>
        <v/>
      </c>
      <c r="AN77" s="402">
        <f>IF(AND(36&gt;=$NR$77,36&lt;=$NS$77),IF($NP$77="Single_Point",IF(36=$NR$77,$NN$77,0),IF($NP$77="Bell_Curve",$NN$77*(36-$NR$77+1)*($NS$77-36+1)/$NU$77,$NN$77/$NT$77)),0)</f>
        <v/>
      </c>
      <c r="AO77" s="402">
        <f>IF(AND(37&gt;=$NR$77,37&lt;=$NS$77),IF($NP$77="Single_Point",IF(37=$NR$77,$NN$77,0),IF($NP$77="Bell_Curve",$NN$77*(37-$NR$77+1)*($NS$77-37+1)/$NU$77,$NN$77/$NT$77)),0)</f>
        <v/>
      </c>
      <c r="AP77" s="402">
        <f>IF(AND(38&gt;=$NR$77,38&lt;=$NS$77),IF($NP$77="Single_Point",IF(38=$NR$77,$NN$77,0),IF($NP$77="Bell_Curve",$NN$77*(38-$NR$77+1)*($NS$77-38+1)/$NU$77,$NN$77/$NT$77)),0)</f>
        <v/>
      </c>
      <c r="AQ77" s="402">
        <f>IF(AND(39&gt;=$NR$77,39&lt;=$NS$77),IF($NP$77="Single_Point",IF(39=$NR$77,$NN$77,0),IF($NP$77="Bell_Curve",$NN$77*(39-$NR$77+1)*($NS$77-39+1)/$NU$77,$NN$77/$NT$77)),0)</f>
        <v/>
      </c>
      <c r="AR77" s="402">
        <f>IF(AND(40&gt;=$NR$77,40&lt;=$NS$77),IF($NP$77="Single_Point",IF(40=$NR$77,$NN$77,0),IF($NP$77="Bell_Curve",$NN$77*(40-$NR$77+1)*($NS$77-40+1)/$NU$77,$NN$77/$NT$77)),0)</f>
        <v/>
      </c>
      <c r="AS77" s="402">
        <f>IF(AND(41&gt;=$NR$77,41&lt;=$NS$77),IF($NP$77="Single_Point",IF(41=$NR$77,$NN$77,0),IF($NP$77="Bell_Curve",$NN$77*(41-$NR$77+1)*($NS$77-41+1)/$NU$77,$NN$77/$NT$77)),0)</f>
        <v/>
      </c>
      <c r="AT77" s="402">
        <f>IF(AND(42&gt;=$NR$77,42&lt;=$NS$77),IF($NP$77="Single_Point",IF(42=$NR$77,$NN$77,0),IF($NP$77="Bell_Curve",$NN$77*(42-$NR$77+1)*($NS$77-42+1)/$NU$77,$NN$77/$NT$77)),0)</f>
        <v/>
      </c>
      <c r="AU77" s="402">
        <f>IF(AND(43&gt;=$NR$77,43&lt;=$NS$77),IF($NP$77="Single_Point",IF(43=$NR$77,$NN$77,0),IF($NP$77="Bell_Curve",$NN$77*(43-$NR$77+1)*($NS$77-43+1)/$NU$77,$NN$77/$NT$77)),0)</f>
        <v/>
      </c>
      <c r="AV77" s="402">
        <f>IF(AND(44&gt;=$NR$77,44&lt;=$NS$77),IF($NP$77="Single_Point",IF(44=$NR$77,$NN$77,0),IF($NP$77="Bell_Curve",$NN$77*(44-$NR$77+1)*($NS$77-44+1)/$NU$77,$NN$77/$NT$77)),0)</f>
        <v/>
      </c>
      <c r="AW77" s="402">
        <f>IF(AND(45&gt;=$NR$77,45&lt;=$NS$77),IF($NP$77="Single_Point",IF(45=$NR$77,$NN$77,0),IF($NP$77="Bell_Curve",$NN$77*(45-$NR$77+1)*($NS$77-45+1)/$NU$77,$NN$77/$NT$77)),0)</f>
        <v/>
      </c>
      <c r="AX77" s="402">
        <f>IF(AND(46&gt;=$NR$77,46&lt;=$NS$77),IF($NP$77="Single_Point",IF(46=$NR$77,$NN$77,0),IF($NP$77="Bell_Curve",$NN$77*(46-$NR$77+1)*($NS$77-46+1)/$NU$77,$NN$77/$NT$77)),0)</f>
        <v/>
      </c>
      <c r="AY77" s="402">
        <f>IF(AND(47&gt;=$NR$77,47&lt;=$NS$77),IF($NP$77="Single_Point",IF(47=$NR$77,$NN$77,0),IF($NP$77="Bell_Curve",$NN$77*(47-$NR$77+1)*($NS$77-47+1)/$NU$77,$NN$77/$NT$77)),0)</f>
        <v/>
      </c>
      <c r="AZ77" s="402">
        <f>IF(AND(48&gt;=$NR$77,48&lt;=$NS$77),IF($NP$77="Single_Point",IF(48=$NR$77,$NN$77,0),IF($NP$77="Bell_Curve",$NN$77*(48-$NR$77+1)*($NS$77-48+1)/$NU$77,$NN$77/$NT$77)),0)</f>
        <v/>
      </c>
      <c r="BA77" s="402">
        <f>IF(AND(49&gt;=$NR$77,49&lt;=$NS$77),IF($NP$77="Single_Point",IF(49=$NR$77,$NN$77,0),IF($NP$77="Bell_Curve",$NN$77*(49-$NR$77+1)*($NS$77-49+1)/$NU$77,$NN$77/$NT$77)),0)</f>
        <v/>
      </c>
      <c r="BB77" s="402">
        <f>IF(AND(50&gt;=$NR$77,50&lt;=$NS$77),IF($NP$77="Single_Point",IF(50=$NR$77,$NN$77,0),IF($NP$77="Bell_Curve",$NN$77*(50-$NR$77+1)*($NS$77-50+1)/$NU$77,$NN$77/$NT$77)),0)</f>
        <v/>
      </c>
      <c r="BC77" s="402">
        <f>IF(AND(51&gt;=$NR$77,51&lt;=$NS$77),IF($NP$77="Single_Point",IF(51=$NR$77,$NN$77,0),IF($NP$77="Bell_Curve",$NN$77*(51-$NR$77+1)*($NS$77-51+1)/$NU$77,$NN$77/$NT$77)),0)</f>
        <v/>
      </c>
      <c r="BD77" s="402">
        <f>IF(AND(52&gt;=$NR$77,52&lt;=$NS$77),IF($NP$77="Single_Point",IF(52=$NR$77,$NN$77,0),IF($NP$77="Bell_Curve",$NN$77*(52-$NR$77+1)*($NS$77-52+1)/$NU$77,$NN$77/$NT$77)),0)</f>
        <v/>
      </c>
      <c r="BE77" s="402">
        <f>IF(AND(53&gt;=$NR$77,53&lt;=$NS$77),IF($NP$77="Single_Point",IF(53=$NR$77,$NN$77,0),IF($NP$77="Bell_Curve",$NN$77*(53-$NR$77+1)*($NS$77-53+1)/$NU$77,$NN$77/$NT$77)),0)</f>
        <v/>
      </c>
      <c r="BF77" s="402">
        <f>IF(AND(54&gt;=$NR$77,54&lt;=$NS$77),IF($NP$77="Single_Point",IF(54=$NR$77,$NN$77,0),IF($NP$77="Bell_Curve",$NN$77*(54-$NR$77+1)*($NS$77-54+1)/$NU$77,$NN$77/$NT$77)),0)</f>
        <v/>
      </c>
      <c r="BG77" s="402">
        <f>IF(AND(55&gt;=$NR$77,55&lt;=$NS$77),IF($NP$77="Single_Point",IF(55=$NR$77,$NN$77,0),IF($NP$77="Bell_Curve",$NN$77*(55-$NR$77+1)*($NS$77-55+1)/$NU$77,$NN$77/$NT$77)),0)</f>
        <v/>
      </c>
      <c r="BH77" s="402">
        <f>IF(AND(56&gt;=$NR$77,56&lt;=$NS$77),IF($NP$77="Single_Point",IF(56=$NR$77,$NN$77,0),IF($NP$77="Bell_Curve",$NN$77*(56-$NR$77+1)*($NS$77-56+1)/$NU$77,$NN$77/$NT$77)),0)</f>
        <v/>
      </c>
      <c r="BI77" s="402">
        <f>IF(AND(57&gt;=$NR$77,57&lt;=$NS$77),IF($NP$77="Single_Point",IF(57=$NR$77,$NN$77,0),IF($NP$77="Bell_Curve",$NN$77*(57-$NR$77+1)*($NS$77-57+1)/$NU$77,$NN$77/$NT$77)),0)</f>
        <v/>
      </c>
      <c r="BJ77" s="402">
        <f>IF(AND(58&gt;=$NR$77,58&lt;=$NS$77),IF($NP$77="Single_Point",IF(58=$NR$77,$NN$77,0),IF($NP$77="Bell_Curve",$NN$77*(58-$NR$77+1)*($NS$77-58+1)/$NU$77,$NN$77/$NT$77)),0)</f>
        <v/>
      </c>
      <c r="BK77" s="402">
        <f>IF(AND(59&gt;=$NR$77,59&lt;=$NS$77),IF($NP$77="Single_Point",IF(59=$NR$77,$NN$77,0),IF($NP$77="Bell_Curve",$NN$77*(59-$NR$77+1)*($NS$77-59+1)/$NU$77,$NN$77/$NT$77)),0)</f>
        <v/>
      </c>
      <c r="BL77" s="402">
        <f>IF(AND(60&gt;=$NR$77,60&lt;=$NS$77),IF($NP$77="Single_Point",IF(60=$NR$77,$NN$77,0),IF($NP$77="Bell_Curve",$NN$77*(60-$NR$77+1)*($NS$77-60+1)/$NU$77,$NN$77/$NT$77)),0)</f>
        <v/>
      </c>
      <c r="BM77" s="402">
        <f>IF(AND(61&gt;=$NR$77,61&lt;=$NS$77),IF($NP$77="Single_Point",IF(61=$NR$77,$NN$77,0),IF($NP$77="Bell_Curve",$NN$77*(61-$NR$77+1)*($NS$77-61+1)/$NU$77,$NN$77/$NT$77)),0)</f>
        <v/>
      </c>
      <c r="BN77" s="402">
        <f>IF(AND(62&gt;=$NR$77,62&lt;=$NS$77),IF($NP$77="Single_Point",IF(62=$NR$77,$NN$77,0),IF($NP$77="Bell_Curve",$NN$77*(62-$NR$77+1)*($NS$77-62+1)/$NU$77,$NN$77/$NT$77)),0)</f>
        <v/>
      </c>
      <c r="BO77" s="402">
        <f>IF(AND(63&gt;=$NR$77,63&lt;=$NS$77),IF($NP$77="Single_Point",IF(63=$NR$77,$NN$77,0),IF($NP$77="Bell_Curve",$NN$77*(63-$NR$77+1)*($NS$77-63+1)/$NU$77,$NN$77/$NT$77)),0)</f>
        <v/>
      </c>
      <c r="BP77" s="402">
        <f>IF(AND(64&gt;=$NR$77,64&lt;=$NS$77),IF($NP$77="Single_Point",IF(64=$NR$77,$NN$77,0),IF($NP$77="Bell_Curve",$NN$77*(64-$NR$77+1)*($NS$77-64+1)/$NU$77,$NN$77/$NT$77)),0)</f>
        <v/>
      </c>
      <c r="BQ77" s="402">
        <f>IF(AND(65&gt;=$NR$77,65&lt;=$NS$77),IF($NP$77="Single_Point",IF(65=$NR$77,$NN$77,0),IF($NP$77="Bell_Curve",$NN$77*(65-$NR$77+1)*($NS$77-65+1)/$NU$77,$NN$77/$NT$77)),0)</f>
        <v/>
      </c>
      <c r="BR77" s="402">
        <f>IF(AND(66&gt;=$NR$77,66&lt;=$NS$77),IF($NP$77="Single_Point",IF(66=$NR$77,$NN$77,0),IF($NP$77="Bell_Curve",$NN$77*(66-$NR$77+1)*($NS$77-66+1)/$NU$77,$NN$77/$NT$77)),0)</f>
        <v/>
      </c>
      <c r="BS77" s="402">
        <f>IF(AND(67&gt;=$NR$77,67&lt;=$NS$77),IF($NP$77="Single_Point",IF(67=$NR$77,$NN$77,0),IF($NP$77="Bell_Curve",$NN$77*(67-$NR$77+1)*($NS$77-67+1)/$NU$77,$NN$77/$NT$77)),0)</f>
        <v/>
      </c>
      <c r="BT77" s="402">
        <f>IF(AND(68&gt;=$NR$77,68&lt;=$NS$77),IF($NP$77="Single_Point",IF(68=$NR$77,$NN$77,0),IF($NP$77="Bell_Curve",$NN$77*(68-$NR$77+1)*($NS$77-68+1)/$NU$77,$NN$77/$NT$77)),0)</f>
        <v/>
      </c>
      <c r="BU77" s="402">
        <f>IF(AND(69&gt;=$NR$77,69&lt;=$NS$77),IF($NP$77="Single_Point",IF(69=$NR$77,$NN$77,0),IF($NP$77="Bell_Curve",$NN$77*(69-$NR$77+1)*($NS$77-69+1)/$NU$77,$NN$77/$NT$77)),0)</f>
        <v/>
      </c>
      <c r="BV77" s="402">
        <f>IF(AND(70&gt;=$NR$77,70&lt;=$NS$77),IF($NP$77="Single_Point",IF(70=$NR$77,$NN$77,0),IF($NP$77="Bell_Curve",$NN$77*(70-$NR$77+1)*($NS$77-70+1)/$NU$77,$NN$77/$NT$77)),0)</f>
        <v/>
      </c>
      <c r="BW77" s="402">
        <f>IF(AND(71&gt;=$NR$77,71&lt;=$NS$77),IF($NP$77="Single_Point",IF(71=$NR$77,$NN$77,0),IF($NP$77="Bell_Curve",$NN$77*(71-$NR$77+1)*($NS$77-71+1)/$NU$77,$NN$77/$NT$77)),0)</f>
        <v/>
      </c>
      <c r="BX77" s="402">
        <f>IF(AND(72&gt;=$NR$77,72&lt;=$NS$77),IF($NP$77="Single_Point",IF(72=$NR$77,$NN$77,0),IF($NP$77="Bell_Curve",$NN$77*(72-$NR$77+1)*($NS$77-72+1)/$NU$77,$NN$77/$NT$77)),0)</f>
        <v/>
      </c>
      <c r="BY77" s="402">
        <f>IF(AND(73&gt;=$NR$77,73&lt;=$NS$77),IF($NP$77="Single_Point",IF(73=$NR$77,$NN$77,0),IF($NP$77="Bell_Curve",$NN$77*(73-$NR$77+1)*($NS$77-73+1)/$NU$77,$NN$77/$NT$77)),0)</f>
        <v/>
      </c>
      <c r="BZ77" s="402">
        <f>IF(AND(74&gt;=$NR$77,74&lt;=$NS$77),IF($NP$77="Single_Point",IF(74=$NR$77,$NN$77,0),IF($NP$77="Bell_Curve",$NN$77*(74-$NR$77+1)*($NS$77-74+1)/$NU$77,$NN$77/$NT$77)),0)</f>
        <v/>
      </c>
      <c r="CA77" s="402">
        <f>IF(AND(75&gt;=$NR$77,75&lt;=$NS$77),IF($NP$77="Single_Point",IF(75=$NR$77,$NN$77,0),IF($NP$77="Bell_Curve",$NN$77*(75-$NR$77+1)*($NS$77-75+1)/$NU$77,$NN$77/$NT$77)),0)</f>
        <v/>
      </c>
      <c r="CB77" s="402">
        <f>IF(AND(76&gt;=$NR$77,76&lt;=$NS$77),IF($NP$77="Single_Point",IF(76=$NR$77,$NN$77,0),IF($NP$77="Bell_Curve",$NN$77*(76-$NR$77+1)*($NS$77-76+1)/$NU$77,$NN$77/$NT$77)),0)</f>
        <v/>
      </c>
      <c r="CC77" s="402">
        <f>IF(AND(77&gt;=$NR$77,77&lt;=$NS$77),IF($NP$77="Single_Point",IF(77=$NR$77,$NN$77,0),IF($NP$77="Bell_Curve",$NN$77*(77-$NR$77+1)*($NS$77-77+1)/$NU$77,$NN$77/$NT$77)),0)</f>
        <v/>
      </c>
      <c r="CD77" s="402">
        <f>IF(AND(78&gt;=$NR$77,78&lt;=$NS$77),IF($NP$77="Single_Point",IF(78=$NR$77,$NN$77,0),IF($NP$77="Bell_Curve",$NN$77*(78-$NR$77+1)*($NS$77-78+1)/$NU$77,$NN$77/$NT$77)),0)</f>
        <v/>
      </c>
      <c r="CE77" s="402">
        <f>IF(AND(79&gt;=$NR$77,79&lt;=$NS$77),IF($NP$77="Single_Point",IF(79=$NR$77,$NN$77,0),IF($NP$77="Bell_Curve",$NN$77*(79-$NR$77+1)*($NS$77-79+1)/$NU$77,$NN$77/$NT$77)),0)</f>
        <v/>
      </c>
      <c r="CF77" s="402">
        <f>IF(AND(80&gt;=$NR$77,80&lt;=$NS$77),IF($NP$77="Single_Point",IF(80=$NR$77,$NN$77,0),IF($NP$77="Bell_Curve",$NN$77*(80-$NR$77+1)*($NS$77-80+1)/$NU$77,$NN$77/$NT$77)),0)</f>
        <v/>
      </c>
      <c r="CG77" s="402">
        <f>IF(AND(81&gt;=$NR$77,81&lt;=$NS$77),IF($NP$77="Single_Point",IF(81=$NR$77,$NN$77,0),IF($NP$77="Bell_Curve",$NN$77*(81-$NR$77+1)*($NS$77-81+1)/$NU$77,$NN$77/$NT$77)),0)</f>
        <v/>
      </c>
      <c r="CH77" s="402">
        <f>IF(AND(82&gt;=$NR$77,82&lt;=$NS$77),IF($NP$77="Single_Point",IF(82=$NR$77,$NN$77,0),IF($NP$77="Bell_Curve",$NN$77*(82-$NR$77+1)*($NS$77-82+1)/$NU$77,$NN$77/$NT$77)),0)</f>
        <v/>
      </c>
      <c r="CI77" s="402">
        <f>IF(AND(83&gt;=$NR$77,83&lt;=$NS$77),IF($NP$77="Single_Point",IF(83=$NR$77,$NN$77,0),IF($NP$77="Bell_Curve",$NN$77*(83-$NR$77+1)*($NS$77-83+1)/$NU$77,$NN$77/$NT$77)),0)</f>
        <v/>
      </c>
      <c r="CJ77" s="402">
        <f>IF(AND(84&gt;=$NR$77,84&lt;=$NS$77),IF($NP$77="Single_Point",IF(84=$NR$77,$NN$77,0),IF($NP$77="Bell_Curve",$NN$77*(84-$NR$77+1)*($NS$77-84+1)/$NU$77,$NN$77/$NT$77)),0)</f>
        <v/>
      </c>
      <c r="CK77" s="402">
        <f>IF(AND(85&gt;=$NR$77,85&lt;=$NS$77),IF($NP$77="Single_Point",IF(85=$NR$77,$NN$77,0),IF($NP$77="Bell_Curve",$NN$77*(85-$NR$77+1)*($NS$77-85+1)/$NU$77,$NN$77/$NT$77)),0)</f>
        <v/>
      </c>
      <c r="CL77" s="402">
        <f>IF(AND(86&gt;=$NR$77,86&lt;=$NS$77),IF($NP$77="Single_Point",IF(86=$NR$77,$NN$77,0),IF($NP$77="Bell_Curve",$NN$77*(86-$NR$77+1)*($NS$77-86+1)/$NU$77,$NN$77/$NT$77)),0)</f>
        <v/>
      </c>
      <c r="CM77" s="402">
        <f>IF(AND(87&gt;=$NR$77,87&lt;=$NS$77),IF($NP$77="Single_Point",IF(87=$NR$77,$NN$77,0),IF($NP$77="Bell_Curve",$NN$77*(87-$NR$77+1)*($NS$77-87+1)/$NU$77,$NN$77/$NT$77)),0)</f>
        <v/>
      </c>
      <c r="CN77" s="402">
        <f>IF(AND(88&gt;=$NR$77,88&lt;=$NS$77),IF($NP$77="Single_Point",IF(88=$NR$77,$NN$77,0),IF($NP$77="Bell_Curve",$NN$77*(88-$NR$77+1)*($NS$77-88+1)/$NU$77,$NN$77/$NT$77)),0)</f>
        <v/>
      </c>
      <c r="CO77" s="402">
        <f>IF(AND(89&gt;=$NR$77,89&lt;=$NS$77),IF($NP$77="Single_Point",IF(89=$NR$77,$NN$77,0),IF($NP$77="Bell_Curve",$NN$77*(89-$NR$77+1)*($NS$77-89+1)/$NU$77,$NN$77/$NT$77)),0)</f>
        <v/>
      </c>
      <c r="CP77" s="402">
        <f>IF(AND(90&gt;=$NR$77,90&lt;=$NS$77),IF($NP$77="Single_Point",IF(90=$NR$77,$NN$77,0),IF($NP$77="Bell_Curve",$NN$77*(90-$NR$77+1)*($NS$77-90+1)/$NU$77,$NN$77/$NT$77)),0)</f>
        <v/>
      </c>
      <c r="CQ77" s="402">
        <f>IF(AND(91&gt;=$NR$77,91&lt;=$NS$77),IF($NP$77="Single_Point",IF(91=$NR$77,$NN$77,0),IF($NP$77="Bell_Curve",$NN$77*(91-$NR$77+1)*($NS$77-91+1)/$NU$77,$NN$77/$NT$77)),0)</f>
        <v/>
      </c>
      <c r="CR77" s="402">
        <f>IF(AND(92&gt;=$NR$77,92&lt;=$NS$77),IF($NP$77="Single_Point",IF(92=$NR$77,$NN$77,0),IF($NP$77="Bell_Curve",$NN$77*(92-$NR$77+1)*($NS$77-92+1)/$NU$77,$NN$77/$NT$77)),0)</f>
        <v/>
      </c>
      <c r="CS77" s="402">
        <f>IF(AND(93&gt;=$NR$77,93&lt;=$NS$77),IF($NP$77="Single_Point",IF(93=$NR$77,$NN$77,0),IF($NP$77="Bell_Curve",$NN$77*(93-$NR$77+1)*($NS$77-93+1)/$NU$77,$NN$77/$NT$77)),0)</f>
        <v/>
      </c>
      <c r="CT77" s="402">
        <f>IF(AND(94&gt;=$NR$77,94&lt;=$NS$77),IF($NP$77="Single_Point",IF(94=$NR$77,$NN$77,0),IF($NP$77="Bell_Curve",$NN$77*(94-$NR$77+1)*($NS$77-94+1)/$NU$77,$NN$77/$NT$77)),0)</f>
        <v/>
      </c>
      <c r="CU77" s="402">
        <f>IF(AND(95&gt;=$NR$77,95&lt;=$NS$77),IF($NP$77="Single_Point",IF(95=$NR$77,$NN$77,0),IF($NP$77="Bell_Curve",$NN$77*(95-$NR$77+1)*($NS$77-95+1)/$NU$77,$NN$77/$NT$77)),0)</f>
        <v/>
      </c>
      <c r="CV77" s="402">
        <f>IF(AND(96&gt;=$NR$77,96&lt;=$NS$77),IF($NP$77="Single_Point",IF(96=$NR$77,$NN$77,0),IF($NP$77="Bell_Curve",$NN$77*(96-$NR$77+1)*($NS$77-96+1)/$NU$77,$NN$77/$NT$77)),0)</f>
        <v/>
      </c>
      <c r="CW77" s="402">
        <f>IF(AND(97&gt;=$NR$77,97&lt;=$NS$77),IF($NP$77="Single_Point",IF(97=$NR$77,$NN$77,0),IF($NP$77="Bell_Curve",$NN$77*(97-$NR$77+1)*($NS$77-97+1)/$NU$77,$NN$77/$NT$77)),0)</f>
        <v/>
      </c>
      <c r="CX77" s="402">
        <f>IF(AND(98&gt;=$NR$77,98&lt;=$NS$77),IF($NP$77="Single_Point",IF(98=$NR$77,$NN$77,0),IF($NP$77="Bell_Curve",$NN$77*(98-$NR$77+1)*($NS$77-98+1)/$NU$77,$NN$77/$NT$77)),0)</f>
        <v/>
      </c>
      <c r="CY77" s="402">
        <f>IF(AND(99&gt;=$NR$77,99&lt;=$NS$77),IF($NP$77="Single_Point",IF(99=$NR$77,$NN$77,0),IF($NP$77="Bell_Curve",$NN$77*(99-$NR$77+1)*($NS$77-99+1)/$NU$77,$NN$77/$NT$77)),0)</f>
        <v/>
      </c>
      <c r="CZ77" s="402">
        <f>IF(AND(100&gt;=$NR$77,100&lt;=$NS$77),IF($NP$77="Single_Point",IF(100=$NR$77,$NN$77,0),IF($NP$77="Bell_Curve",$NN$77*(100-$NR$77+1)*($NS$77-100+1)/$NU$77,$NN$77/$NT$77)),0)</f>
        <v/>
      </c>
      <c r="DA77" s="402">
        <f>IF(AND(101&gt;=$NR$77,101&lt;=$NS$77),IF($NP$77="Single_Point",IF(101=$NR$77,$NN$77,0),IF($NP$77="Bell_Curve",$NN$77*(101-$NR$77+1)*($NS$77-101+1)/$NU$77,$NN$77/$NT$77)),0)</f>
        <v/>
      </c>
      <c r="DB77" s="402">
        <f>IF(AND(102&gt;=$NR$77,102&lt;=$NS$77),IF($NP$77="Single_Point",IF(102=$NR$77,$NN$77,0),IF($NP$77="Bell_Curve",$NN$77*(102-$NR$77+1)*($NS$77-102+1)/$NU$77,$NN$77/$NT$77)),0)</f>
        <v/>
      </c>
      <c r="DC77" s="402">
        <f>IF(AND(103&gt;=$NR$77,103&lt;=$NS$77),IF($NP$77="Single_Point",IF(103=$NR$77,$NN$77,0),IF($NP$77="Bell_Curve",$NN$77*(103-$NR$77+1)*($NS$77-103+1)/$NU$77,$NN$77/$NT$77)),0)</f>
        <v/>
      </c>
      <c r="DD77" s="402">
        <f>IF(AND(104&gt;=$NR$77,104&lt;=$NS$77),IF($NP$77="Single_Point",IF(104=$NR$77,$NN$77,0),IF($NP$77="Bell_Curve",$NN$77*(104-$NR$77+1)*($NS$77-104+1)/$NU$77,$NN$77/$NT$77)),0)</f>
        <v/>
      </c>
      <c r="DE77" s="402">
        <f>IF(AND(105&gt;=$NR$77,105&lt;=$NS$77),IF($NP$77="Single_Point",IF(105=$NR$77,$NN$77,0),IF($NP$77="Bell_Curve",$NN$77*(105-$NR$77+1)*($NS$77-105+1)/$NU$77,$NN$77/$NT$77)),0)</f>
        <v/>
      </c>
      <c r="DF77" s="402">
        <f>IF(AND(106&gt;=$NR$77,106&lt;=$NS$77),IF($NP$77="Single_Point",IF(106=$NR$77,$NN$77,0),IF($NP$77="Bell_Curve",$NN$77*(106-$NR$77+1)*($NS$77-106+1)/$NU$77,$NN$77/$NT$77)),0)</f>
        <v/>
      </c>
      <c r="DG77" s="402">
        <f>IF(AND(107&gt;=$NR$77,107&lt;=$NS$77),IF($NP$77="Single_Point",IF(107=$NR$77,$NN$77,0),IF($NP$77="Bell_Curve",$NN$77*(107-$NR$77+1)*($NS$77-107+1)/$NU$77,$NN$77/$NT$77)),0)</f>
        <v/>
      </c>
      <c r="DH77" s="402">
        <f>IF(AND(108&gt;=$NR$77,108&lt;=$NS$77),IF($NP$77="Single_Point",IF(108=$NR$77,$NN$77,0),IF($NP$77="Bell_Curve",$NN$77*(108-$NR$77+1)*($NS$77-108+1)/$NU$77,$NN$77/$NT$77)),0)</f>
        <v/>
      </c>
      <c r="DI77" s="402">
        <f>IF(AND(109&gt;=$NR$77,109&lt;=$NS$77),IF($NP$77="Single_Point",IF(109=$NR$77,$NN$77,0),IF($NP$77="Bell_Curve",$NN$77*(109-$NR$77+1)*($NS$77-109+1)/$NU$77,$NN$77/$NT$77)),0)</f>
        <v/>
      </c>
      <c r="DJ77" s="402">
        <f>IF(AND(110&gt;=$NR$77,110&lt;=$NS$77),IF($NP$77="Single_Point",IF(110=$NR$77,$NN$77,0),IF($NP$77="Bell_Curve",$NN$77*(110-$NR$77+1)*($NS$77-110+1)/$NU$77,$NN$77/$NT$77)),0)</f>
        <v/>
      </c>
      <c r="DK77" s="402">
        <f>IF(AND(111&gt;=$NR$77,111&lt;=$NS$77),IF($NP$77="Single_Point",IF(111=$NR$77,$NN$77,0),IF($NP$77="Bell_Curve",$NN$77*(111-$NR$77+1)*($NS$77-111+1)/$NU$77,$NN$77/$NT$77)),0)</f>
        <v/>
      </c>
      <c r="DL77" s="402">
        <f>IF(AND(112&gt;=$NR$77,112&lt;=$NS$77),IF($NP$77="Single_Point",IF(112=$NR$77,$NN$77,0),IF($NP$77="Bell_Curve",$NN$77*(112-$NR$77+1)*($NS$77-112+1)/$NU$77,$NN$77/$NT$77)),0)</f>
        <v/>
      </c>
      <c r="DM77" s="402">
        <f>IF(AND(113&gt;=$NR$77,113&lt;=$NS$77),IF($NP$77="Single_Point",IF(113=$NR$77,$NN$77,0),IF($NP$77="Bell_Curve",$NN$77*(113-$NR$77+1)*($NS$77-113+1)/$NU$77,$NN$77/$NT$77)),0)</f>
        <v/>
      </c>
      <c r="DN77" s="402">
        <f>IF(AND(114&gt;=$NR$77,114&lt;=$NS$77),IF($NP$77="Single_Point",IF(114=$NR$77,$NN$77,0),IF($NP$77="Bell_Curve",$NN$77*(114-$NR$77+1)*($NS$77-114+1)/$NU$77,$NN$77/$NT$77)),0)</f>
        <v/>
      </c>
      <c r="DO77" s="402">
        <f>IF(AND(115&gt;=$NR$77,115&lt;=$NS$77),IF($NP$77="Single_Point",IF(115=$NR$77,$NN$77,0),IF($NP$77="Bell_Curve",$NN$77*(115-$NR$77+1)*($NS$77-115+1)/$NU$77,$NN$77/$NT$77)),0)</f>
        <v/>
      </c>
      <c r="DP77" s="402">
        <f>IF(AND(116&gt;=$NR$77,116&lt;=$NS$77),IF($NP$77="Single_Point",IF(116=$NR$77,$NN$77,0),IF($NP$77="Bell_Curve",$NN$77*(116-$NR$77+1)*($NS$77-116+1)/$NU$77,$NN$77/$NT$77)),0)</f>
        <v/>
      </c>
      <c r="DQ77" s="402">
        <f>IF(AND(117&gt;=$NR$77,117&lt;=$NS$77),IF($NP$77="Single_Point",IF(117=$NR$77,$NN$77,0),IF($NP$77="Bell_Curve",$NN$77*(117-$NR$77+1)*($NS$77-117+1)/$NU$77,$NN$77/$NT$77)),0)</f>
        <v/>
      </c>
      <c r="DR77" s="402">
        <f>IF(AND(118&gt;=$NR$77,118&lt;=$NS$77),IF($NP$77="Single_Point",IF(118=$NR$77,$NN$77,0),IF($NP$77="Bell_Curve",$NN$77*(118-$NR$77+1)*($NS$77-118+1)/$NU$77,$NN$77/$NT$77)),0)</f>
        <v/>
      </c>
      <c r="DS77" s="402">
        <f>IF(AND(119&gt;=$NR$77,119&lt;=$NS$77),IF($NP$77="Single_Point",IF(119=$NR$77,$NN$77,0),IF($NP$77="Bell_Curve",$NN$77*(119-$NR$77+1)*($NS$77-119+1)/$NU$77,$NN$77/$NT$77)),0)</f>
        <v/>
      </c>
      <c r="DT77" s="402">
        <f>IF(AND(120&gt;=$NR$77,120&lt;=$NS$77),IF($NP$77="Single_Point",IF(120=$NR$77,$NN$77,0),IF($NP$77="Bell_Curve",$NN$77*(120-$NR$77+1)*($NS$77-120+1)/$NU$77,$NN$77/$NT$77)),0)</f>
        <v/>
      </c>
      <c r="DU77" s="402">
        <f>IF(AND(121&gt;=$NR$77,121&lt;=$NS$77),IF($NP$77="Single_Point",IF(121=$NR$77,$NN$77,0),IF($NP$77="Bell_Curve",$NN$77*(121-$NR$77+1)*($NS$77-121+1)/$NU$77,$NN$77/$NT$77)),0)</f>
        <v/>
      </c>
      <c r="DV77" s="402">
        <f>IF(AND(122&gt;=$NR$77,122&lt;=$NS$77),IF($NP$77="Single_Point",IF(122=$NR$77,$NN$77,0),IF($NP$77="Bell_Curve",$NN$77*(122-$NR$77+1)*($NS$77-122+1)/$NU$77,$NN$77/$NT$77)),0)</f>
        <v/>
      </c>
      <c r="DW77" s="402">
        <f>IF(AND(123&gt;=$NR$77,123&lt;=$NS$77),IF($NP$77="Single_Point",IF(123=$NR$77,$NN$77,0),IF($NP$77="Bell_Curve",$NN$77*(123-$NR$77+1)*($NS$77-123+1)/$NU$77,$NN$77/$NT$77)),0)</f>
        <v/>
      </c>
      <c r="DX77" s="402">
        <f>IF(AND(124&gt;=$NR$77,124&lt;=$NS$77),IF($NP$77="Single_Point",IF(124=$NR$77,$NN$77,0),IF($NP$77="Bell_Curve",$NN$77*(124-$NR$77+1)*($NS$77-124+1)/$NU$77,$NN$77/$NT$77)),0)</f>
        <v/>
      </c>
      <c r="DY77" s="402">
        <f>IF(AND(125&gt;=$NR$77,125&lt;=$NS$77),IF($NP$77="Single_Point",IF(125=$NR$77,$NN$77,0),IF($NP$77="Bell_Curve",$NN$77*(125-$NR$77+1)*($NS$77-125+1)/$NU$77,$NN$77/$NT$77)),0)</f>
        <v/>
      </c>
      <c r="DZ77" s="402">
        <f>IF(AND(126&gt;=$NR$77,126&lt;=$NS$77),IF($NP$77="Single_Point",IF(126=$NR$77,$NN$77,0),IF($NP$77="Bell_Curve",$NN$77*(126-$NR$77+1)*($NS$77-126+1)/$NU$77,$NN$77/$NT$77)),0)</f>
        <v/>
      </c>
      <c r="EA77" s="402">
        <f>IF(AND(127&gt;=$NR$77,127&lt;=$NS$77),IF($NP$77="Single_Point",IF(127=$NR$77,$NN$77,0),IF($NP$77="Bell_Curve",$NN$77*(127-$NR$77+1)*($NS$77-127+1)/$NU$77,$NN$77/$NT$77)),0)</f>
        <v/>
      </c>
      <c r="EB77" s="402">
        <f>IF(AND(128&gt;=$NR$77,128&lt;=$NS$77),IF($NP$77="Single_Point",IF(128=$NR$77,$NN$77,0),IF($NP$77="Bell_Curve",$NN$77*(128-$NR$77+1)*($NS$77-128+1)/$NU$77,$NN$77/$NT$77)),0)</f>
        <v/>
      </c>
      <c r="EC77" s="402">
        <f>IF(AND(129&gt;=$NR$77,129&lt;=$NS$77),IF($NP$77="Single_Point",IF(129=$NR$77,$NN$77,0),IF($NP$77="Bell_Curve",$NN$77*(129-$NR$77+1)*($NS$77-129+1)/$NU$77,$NN$77/$NT$77)),0)</f>
        <v/>
      </c>
      <c r="ED77" s="402">
        <f>IF(AND(130&gt;=$NR$77,130&lt;=$NS$77),IF($NP$77="Single_Point",IF(130=$NR$77,$NN$77,0),IF($NP$77="Bell_Curve",$NN$77*(130-$NR$77+1)*($NS$77-130+1)/$NU$77,$NN$77/$NT$77)),0)</f>
        <v/>
      </c>
      <c r="EE77" s="402">
        <f>IF(AND(131&gt;=$NR$77,131&lt;=$NS$77),IF($NP$77="Single_Point",IF(131=$NR$77,$NN$77,0),IF($NP$77="Bell_Curve",$NN$77*(131-$NR$77+1)*($NS$77-131+1)/$NU$77,$NN$77/$NT$77)),0)</f>
        <v/>
      </c>
      <c r="EF77" s="402">
        <f>IF(AND(132&gt;=$NR$77,132&lt;=$NS$77),IF($NP$77="Single_Point",IF(132=$NR$77,$NN$77,0),IF($NP$77="Bell_Curve",$NN$77*(132-$NR$77+1)*($NS$77-132+1)/$NU$77,$NN$77/$NT$77)),0)</f>
        <v/>
      </c>
      <c r="EG77" s="402">
        <f>IF(AND(133&gt;=$NR$77,133&lt;=$NS$77),IF($NP$77="Single_Point",IF(133=$NR$77,$NN$77,0),IF($NP$77="Bell_Curve",$NN$77*(133-$NR$77+1)*($NS$77-133+1)/$NU$77,$NN$77/$NT$77)),0)</f>
        <v/>
      </c>
      <c r="EH77" s="402">
        <f>IF(AND(134&gt;=$NR$77,134&lt;=$NS$77),IF($NP$77="Single_Point",IF(134=$NR$77,$NN$77,0),IF($NP$77="Bell_Curve",$NN$77*(134-$NR$77+1)*($NS$77-134+1)/$NU$77,$NN$77/$NT$77)),0)</f>
        <v/>
      </c>
      <c r="EI77" s="402">
        <f>IF(AND(135&gt;=$NR$77,135&lt;=$NS$77),IF($NP$77="Single_Point",IF(135=$NR$77,$NN$77,0),IF($NP$77="Bell_Curve",$NN$77*(135-$NR$77+1)*($NS$77-135+1)/$NU$77,$NN$77/$NT$77)),0)</f>
        <v/>
      </c>
      <c r="EJ77" s="402">
        <f>IF(AND(136&gt;=$NR$77,136&lt;=$NS$77),IF($NP$77="Single_Point",IF(136=$NR$77,$NN$77,0),IF($NP$77="Bell_Curve",$NN$77*(136-$NR$77+1)*($NS$77-136+1)/$NU$77,$NN$77/$NT$77)),0)</f>
        <v/>
      </c>
      <c r="EK77" s="402">
        <f>IF(AND(137&gt;=$NR$77,137&lt;=$NS$77),IF($NP$77="Single_Point",IF(137=$NR$77,$NN$77,0),IF($NP$77="Bell_Curve",$NN$77*(137-$NR$77+1)*($NS$77-137+1)/$NU$77,$NN$77/$NT$77)),0)</f>
        <v/>
      </c>
      <c r="EL77" s="402">
        <f>IF(AND(138&gt;=$NR$77,138&lt;=$NS$77),IF($NP$77="Single_Point",IF(138=$NR$77,$NN$77,0),IF($NP$77="Bell_Curve",$NN$77*(138-$NR$77+1)*($NS$77-138+1)/$NU$77,$NN$77/$NT$77)),0)</f>
        <v/>
      </c>
      <c r="EM77" s="402">
        <f>IF(AND(139&gt;=$NR$77,139&lt;=$NS$77),IF($NP$77="Single_Point",IF(139=$NR$77,$NN$77,0),IF($NP$77="Bell_Curve",$NN$77*(139-$NR$77+1)*($NS$77-139+1)/$NU$77,$NN$77/$NT$77)),0)</f>
        <v/>
      </c>
      <c r="EN77" s="402">
        <f>IF(AND(140&gt;=$NR$77,140&lt;=$NS$77),IF($NP$77="Single_Point",IF(140=$NR$77,$NN$77,0),IF($NP$77="Bell_Curve",$NN$77*(140-$NR$77+1)*($NS$77-140+1)/$NU$77,$NN$77/$NT$77)),0)</f>
        <v/>
      </c>
      <c r="EO77" s="402">
        <f>IF(AND(141&gt;=$NR$77,141&lt;=$NS$77),IF($NP$77="Single_Point",IF(141=$NR$77,$NN$77,0),IF($NP$77="Bell_Curve",$NN$77*(141-$NR$77+1)*($NS$77-141+1)/$NU$77,$NN$77/$NT$77)),0)</f>
        <v/>
      </c>
      <c r="EP77" s="402">
        <f>IF(AND(142&gt;=$NR$77,142&lt;=$NS$77),IF($NP$77="Single_Point",IF(142=$NR$77,$NN$77,0),IF($NP$77="Bell_Curve",$NN$77*(142-$NR$77+1)*($NS$77-142+1)/$NU$77,$NN$77/$NT$77)),0)</f>
        <v/>
      </c>
      <c r="EQ77" s="402">
        <f>IF(AND(143&gt;=$NR$77,143&lt;=$NS$77),IF($NP$77="Single_Point",IF(143=$NR$77,$NN$77,0),IF($NP$77="Bell_Curve",$NN$77*(143-$NR$77+1)*($NS$77-143+1)/$NU$77,$NN$77/$NT$77)),0)</f>
        <v/>
      </c>
      <c r="ER77" s="402">
        <f>IF(AND(144&gt;=$NR$77,144&lt;=$NS$77),IF($NP$77="Single_Point",IF(144=$NR$77,$NN$77,0),IF($NP$77="Bell_Curve",$NN$77*(144-$NR$77+1)*($NS$77-144+1)/$NU$77,$NN$77/$NT$77)),0)</f>
        <v/>
      </c>
      <c r="ES77" s="402">
        <f>IF(AND(145&gt;=$NR$77,145&lt;=$NS$77),IF($NP$77="Single_Point",IF(145=$NR$77,$NN$77,0),IF($NP$77="Bell_Curve",$NN$77*(145-$NR$77+1)*($NS$77-145+1)/$NU$77,$NN$77/$NT$77)),0)</f>
        <v/>
      </c>
      <c r="ET77" s="402">
        <f>IF(AND(146&gt;=$NR$77,146&lt;=$NS$77),IF($NP$77="Single_Point",IF(146=$NR$77,$NN$77,0),IF($NP$77="Bell_Curve",$NN$77*(146-$NR$77+1)*($NS$77-146+1)/$NU$77,$NN$77/$NT$77)),0)</f>
        <v/>
      </c>
      <c r="EU77" s="402">
        <f>IF(AND(147&gt;=$NR$77,147&lt;=$NS$77),IF($NP$77="Single_Point",IF(147=$NR$77,$NN$77,0),IF($NP$77="Bell_Curve",$NN$77*(147-$NR$77+1)*($NS$77-147+1)/$NU$77,$NN$77/$NT$77)),0)</f>
        <v/>
      </c>
      <c r="EV77" s="402">
        <f>IF(AND(148&gt;=$NR$77,148&lt;=$NS$77),IF($NP$77="Single_Point",IF(148=$NR$77,$NN$77,0),IF($NP$77="Bell_Curve",$NN$77*(148-$NR$77+1)*($NS$77-148+1)/$NU$77,$NN$77/$NT$77)),0)</f>
        <v/>
      </c>
      <c r="EW77" s="402">
        <f>IF(AND(149&gt;=$NR$77,149&lt;=$NS$77),IF($NP$77="Single_Point",IF(149=$NR$77,$NN$77,0),IF($NP$77="Bell_Curve",$NN$77*(149-$NR$77+1)*($NS$77-149+1)/$NU$77,$NN$77/$NT$77)),0)</f>
        <v/>
      </c>
      <c r="EX77" s="402">
        <f>IF(AND(150&gt;=$NR$77,150&lt;=$NS$77),IF($NP$77="Single_Point",IF(150=$NR$77,$NN$77,0),IF($NP$77="Bell_Curve",$NN$77*(150-$NR$77+1)*($NS$77-150+1)/$NU$77,$NN$77/$NT$77)),0)</f>
        <v/>
      </c>
      <c r="EY77" s="402">
        <f>IF(AND(151&gt;=$NR$77,151&lt;=$NS$77),IF($NP$77="Single_Point",IF(151=$NR$77,$NN$77,0),IF($NP$77="Bell_Curve",$NN$77*(151-$NR$77+1)*($NS$77-151+1)/$NU$77,$NN$77/$NT$77)),0)</f>
        <v/>
      </c>
      <c r="EZ77" s="402">
        <f>IF(AND(152&gt;=$NR$77,152&lt;=$NS$77),IF($NP$77="Single_Point",IF(152=$NR$77,$NN$77,0),IF($NP$77="Bell_Curve",$NN$77*(152-$NR$77+1)*($NS$77-152+1)/$NU$77,$NN$77/$NT$77)),0)</f>
        <v/>
      </c>
      <c r="FA77" s="402">
        <f>IF(AND(153&gt;=$NR$77,153&lt;=$NS$77),IF($NP$77="Single_Point",IF(153=$NR$77,$NN$77,0),IF($NP$77="Bell_Curve",$NN$77*(153-$NR$77+1)*($NS$77-153+1)/$NU$77,$NN$77/$NT$77)),0)</f>
        <v/>
      </c>
      <c r="FB77" s="402">
        <f>IF(AND(154&gt;=$NR$77,154&lt;=$NS$77),IF($NP$77="Single_Point",IF(154=$NR$77,$NN$77,0),IF($NP$77="Bell_Curve",$NN$77*(154-$NR$77+1)*($NS$77-154+1)/$NU$77,$NN$77/$NT$77)),0)</f>
        <v/>
      </c>
      <c r="FC77" s="402">
        <f>IF(AND(155&gt;=$NR$77,155&lt;=$NS$77),IF($NP$77="Single_Point",IF(155=$NR$77,$NN$77,0),IF($NP$77="Bell_Curve",$NN$77*(155-$NR$77+1)*($NS$77-155+1)/$NU$77,$NN$77/$NT$77)),0)</f>
        <v/>
      </c>
      <c r="FD77" s="402">
        <f>IF(AND(156&gt;=$NR$77,156&lt;=$NS$77),IF($NP$77="Single_Point",IF(156=$NR$77,$NN$77,0),IF($NP$77="Bell_Curve",$NN$77*(156-$NR$77+1)*($NS$77-156+1)/$NU$77,$NN$77/$NT$77)),0)</f>
        <v/>
      </c>
      <c r="FE77" s="402">
        <f>IF(AND(157&gt;=$NR$77,157&lt;=$NS$77),IF($NP$77="Single_Point",IF(157=$NR$77,$NN$77,0),IF($NP$77="Bell_Curve",$NN$77*(157-$NR$77+1)*($NS$77-157+1)/$NU$77,$NN$77/$NT$77)),0)</f>
        <v/>
      </c>
      <c r="FF77" s="402">
        <f>IF(AND(158&gt;=$NR$77,158&lt;=$NS$77),IF($NP$77="Single_Point",IF(158=$NR$77,$NN$77,0),IF($NP$77="Bell_Curve",$NN$77*(158-$NR$77+1)*($NS$77-158+1)/$NU$77,$NN$77/$NT$77)),0)</f>
        <v/>
      </c>
      <c r="FG77" s="402">
        <f>IF(AND(159&gt;=$NR$77,159&lt;=$NS$77),IF($NP$77="Single_Point",IF(159=$NR$77,$NN$77,0),IF($NP$77="Bell_Curve",$NN$77*(159-$NR$77+1)*($NS$77-159+1)/$NU$77,$NN$77/$NT$77)),0)</f>
        <v/>
      </c>
      <c r="FH77" s="402">
        <f>IF(AND(160&gt;=$NR$77,160&lt;=$NS$77),IF($NP$77="Single_Point",IF(160=$NR$77,$NN$77,0),IF($NP$77="Bell_Curve",$NN$77*(160-$NR$77+1)*($NS$77-160+1)/$NU$77,$NN$77/$NT$77)),0)</f>
        <v/>
      </c>
      <c r="FI77" s="402">
        <f>IF(AND(161&gt;=$NR$77,161&lt;=$NS$77),IF($NP$77="Single_Point",IF(161=$NR$77,$NN$77,0),IF($NP$77="Bell_Curve",$NN$77*(161-$NR$77+1)*($NS$77-161+1)/$NU$77,$NN$77/$NT$77)),0)</f>
        <v/>
      </c>
      <c r="FJ77" s="402">
        <f>IF(AND(162&gt;=$NR$77,162&lt;=$NS$77),IF($NP$77="Single_Point",IF(162=$NR$77,$NN$77,0),IF($NP$77="Bell_Curve",$NN$77*(162-$NR$77+1)*($NS$77-162+1)/$NU$77,$NN$77/$NT$77)),0)</f>
        <v/>
      </c>
      <c r="FK77" s="402">
        <f>IF(AND(163&gt;=$NR$77,163&lt;=$NS$77),IF($NP$77="Single_Point",IF(163=$NR$77,$NN$77,0),IF($NP$77="Bell_Curve",$NN$77*(163-$NR$77+1)*($NS$77-163+1)/$NU$77,$NN$77/$NT$77)),0)</f>
        <v/>
      </c>
      <c r="FL77" s="402">
        <f>IF(AND(164&gt;=$NR$77,164&lt;=$NS$77),IF($NP$77="Single_Point",IF(164=$NR$77,$NN$77,0),IF($NP$77="Bell_Curve",$NN$77*(164-$NR$77+1)*($NS$77-164+1)/$NU$77,$NN$77/$NT$77)),0)</f>
        <v/>
      </c>
      <c r="FM77" s="402">
        <f>IF(AND(165&gt;=$NR$77,165&lt;=$NS$77),IF($NP$77="Single_Point",IF(165=$NR$77,$NN$77,0),IF($NP$77="Bell_Curve",$NN$77*(165-$NR$77+1)*($NS$77-165+1)/$NU$77,$NN$77/$NT$77)),0)</f>
        <v/>
      </c>
      <c r="FN77" s="402">
        <f>IF(AND(166&gt;=$NR$77,166&lt;=$NS$77),IF($NP$77="Single_Point",IF(166=$NR$77,$NN$77,0),IF($NP$77="Bell_Curve",$NN$77*(166-$NR$77+1)*($NS$77-166+1)/$NU$77,$NN$77/$NT$77)),0)</f>
        <v/>
      </c>
      <c r="FO77" s="402">
        <f>IF(AND(167&gt;=$NR$77,167&lt;=$NS$77),IF($NP$77="Single_Point",IF(167=$NR$77,$NN$77,0),IF($NP$77="Bell_Curve",$NN$77*(167-$NR$77+1)*($NS$77-167+1)/$NU$77,$NN$77/$NT$77)),0)</f>
        <v/>
      </c>
      <c r="FP77" s="402">
        <f>IF(AND(168&gt;=$NR$77,168&lt;=$NS$77),IF($NP$77="Single_Point",IF(168=$NR$77,$NN$77,0),IF($NP$77="Bell_Curve",$NN$77*(168-$NR$77+1)*($NS$77-168+1)/$NU$77,$NN$77/$NT$77)),0)</f>
        <v/>
      </c>
      <c r="FQ77" s="402">
        <f>IF(AND(169&gt;=$NR$77,169&lt;=$NS$77),IF($NP$77="Single_Point",IF(169=$NR$77,$NN$77,0),IF($NP$77="Bell_Curve",$NN$77*(169-$NR$77+1)*($NS$77-169+1)/$NU$77,$NN$77/$NT$77)),0)</f>
        <v/>
      </c>
      <c r="FR77" s="402">
        <f>IF(AND(170&gt;=$NR$77,170&lt;=$NS$77),IF($NP$77="Single_Point",IF(170=$NR$77,$NN$77,0),IF($NP$77="Bell_Curve",$NN$77*(170-$NR$77+1)*($NS$77-170+1)/$NU$77,$NN$77/$NT$77)),0)</f>
        <v/>
      </c>
      <c r="FS77" s="402">
        <f>IF(AND(171&gt;=$NR$77,171&lt;=$NS$77),IF($NP$77="Single_Point",IF(171=$NR$77,$NN$77,0),IF($NP$77="Bell_Curve",$NN$77*(171-$NR$77+1)*($NS$77-171+1)/$NU$77,$NN$77/$NT$77)),0)</f>
        <v/>
      </c>
      <c r="FT77" s="402">
        <f>IF(AND(172&gt;=$NR$77,172&lt;=$NS$77),IF($NP$77="Single_Point",IF(172=$NR$77,$NN$77,0),IF($NP$77="Bell_Curve",$NN$77*(172-$NR$77+1)*($NS$77-172+1)/$NU$77,$NN$77/$NT$77)),0)</f>
        <v/>
      </c>
      <c r="FU77" s="402">
        <f>IF(AND(173&gt;=$NR$77,173&lt;=$NS$77),IF($NP$77="Single_Point",IF(173=$NR$77,$NN$77,0),IF($NP$77="Bell_Curve",$NN$77*(173-$NR$77+1)*($NS$77-173+1)/$NU$77,$NN$77/$NT$77)),0)</f>
        <v/>
      </c>
      <c r="FV77" s="402">
        <f>IF(AND(174&gt;=$NR$77,174&lt;=$NS$77),IF($NP$77="Single_Point",IF(174=$NR$77,$NN$77,0),IF($NP$77="Bell_Curve",$NN$77*(174-$NR$77+1)*($NS$77-174+1)/$NU$77,$NN$77/$NT$77)),0)</f>
        <v/>
      </c>
      <c r="FW77" s="402">
        <f>IF(AND(175&gt;=$NR$77,175&lt;=$NS$77),IF($NP$77="Single_Point",IF(175=$NR$77,$NN$77,0),IF($NP$77="Bell_Curve",$NN$77*(175-$NR$77+1)*($NS$77-175+1)/$NU$77,$NN$77/$NT$77)),0)</f>
        <v/>
      </c>
      <c r="FX77" s="402">
        <f>IF(AND(176&gt;=$NR$77,176&lt;=$NS$77),IF($NP$77="Single_Point",IF(176=$NR$77,$NN$77,0),IF($NP$77="Bell_Curve",$NN$77*(176-$NR$77+1)*($NS$77-176+1)/$NU$77,$NN$77/$NT$77)),0)</f>
        <v/>
      </c>
      <c r="FY77" s="402">
        <f>IF(AND(177&gt;=$NR$77,177&lt;=$NS$77),IF($NP$77="Single_Point",IF(177=$NR$77,$NN$77,0),IF($NP$77="Bell_Curve",$NN$77*(177-$NR$77+1)*($NS$77-177+1)/$NU$77,$NN$77/$NT$77)),0)</f>
        <v/>
      </c>
      <c r="FZ77" s="402">
        <f>IF(AND(178&gt;=$NR$77,178&lt;=$NS$77),IF($NP$77="Single_Point",IF(178=$NR$77,$NN$77,0),IF($NP$77="Bell_Curve",$NN$77*(178-$NR$77+1)*($NS$77-178+1)/$NU$77,$NN$77/$NT$77)),0)</f>
        <v/>
      </c>
      <c r="GA77" s="402">
        <f>IF(AND(179&gt;=$NR$77,179&lt;=$NS$77),IF($NP$77="Single_Point",IF(179=$NR$77,$NN$77,0),IF($NP$77="Bell_Curve",$NN$77*(179-$NR$77+1)*($NS$77-179+1)/$NU$77,$NN$77/$NT$77)),0)</f>
        <v/>
      </c>
      <c r="GB77" s="402">
        <f>IF(AND(180&gt;=$NR$77,180&lt;=$NS$77),IF($NP$77="Single_Point",IF(180=$NR$77,$NN$77,0),IF($NP$77="Bell_Curve",$NN$77*(180-$NR$77+1)*($NS$77-180+1)/$NU$77,$NN$77/$NT$77)),0)</f>
        <v/>
      </c>
      <c r="GC77" s="402">
        <f>IF(AND(181&gt;=$NR$77,181&lt;=$NS$77),IF($NP$77="Single_Point",IF(181=$NR$77,$NN$77,0),IF($NP$77="Bell_Curve",$NN$77*(181-$NR$77+1)*($NS$77-181+1)/$NU$77,$NN$77/$NT$77)),0)</f>
        <v/>
      </c>
      <c r="GD77" s="402">
        <f>IF(AND(182&gt;=$NR$77,182&lt;=$NS$77),IF($NP$77="Single_Point",IF(182=$NR$77,$NN$77,0),IF($NP$77="Bell_Curve",$NN$77*(182-$NR$77+1)*($NS$77-182+1)/$NU$77,$NN$77/$NT$77)),0)</f>
        <v/>
      </c>
      <c r="GE77" s="402">
        <f>IF(AND(183&gt;=$NR$77,183&lt;=$NS$77),IF($NP$77="Single_Point",IF(183=$NR$77,$NN$77,0),IF($NP$77="Bell_Curve",$NN$77*(183-$NR$77+1)*($NS$77-183+1)/$NU$77,$NN$77/$NT$77)),0)</f>
        <v/>
      </c>
      <c r="GF77" s="402">
        <f>IF(AND(184&gt;=$NR$77,184&lt;=$NS$77),IF($NP$77="Single_Point",IF(184=$NR$77,$NN$77,0),IF($NP$77="Bell_Curve",$NN$77*(184-$NR$77+1)*($NS$77-184+1)/$NU$77,$NN$77/$NT$77)),0)</f>
        <v/>
      </c>
      <c r="GG77" s="402">
        <f>IF(AND(185&gt;=$NR$77,185&lt;=$NS$77),IF($NP$77="Single_Point",IF(185=$NR$77,$NN$77,0),IF($NP$77="Bell_Curve",$NN$77*(185-$NR$77+1)*($NS$77-185+1)/$NU$77,$NN$77/$NT$77)),0)</f>
        <v/>
      </c>
      <c r="GH77" s="402">
        <f>IF(AND(186&gt;=$NR$77,186&lt;=$NS$77),IF($NP$77="Single_Point",IF(186=$NR$77,$NN$77,0),IF($NP$77="Bell_Curve",$NN$77*(186-$NR$77+1)*($NS$77-186+1)/$NU$77,$NN$77/$NT$77)),0)</f>
        <v/>
      </c>
      <c r="GI77" s="402">
        <f>IF(AND(187&gt;=$NR$77,187&lt;=$NS$77),IF($NP$77="Single_Point",IF(187=$NR$77,$NN$77,0),IF($NP$77="Bell_Curve",$NN$77*(187-$NR$77+1)*($NS$77-187+1)/$NU$77,$NN$77/$NT$77)),0)</f>
        <v/>
      </c>
      <c r="GJ77" s="402">
        <f>IF(AND(188&gt;=$NR$77,188&lt;=$NS$77),IF($NP$77="Single_Point",IF(188=$NR$77,$NN$77,0),IF($NP$77="Bell_Curve",$NN$77*(188-$NR$77+1)*($NS$77-188+1)/$NU$77,$NN$77/$NT$77)),0)</f>
        <v/>
      </c>
      <c r="GK77" s="402">
        <f>IF(AND(189&gt;=$NR$77,189&lt;=$NS$77),IF($NP$77="Single_Point",IF(189=$NR$77,$NN$77,0),IF($NP$77="Bell_Curve",$NN$77*(189-$NR$77+1)*($NS$77-189+1)/$NU$77,$NN$77/$NT$77)),0)</f>
        <v/>
      </c>
      <c r="GL77" s="402">
        <f>IF(AND(190&gt;=$NR$77,190&lt;=$NS$77),IF($NP$77="Single_Point",IF(190=$NR$77,$NN$77,0),IF($NP$77="Bell_Curve",$NN$77*(190-$NR$77+1)*($NS$77-190+1)/$NU$77,$NN$77/$NT$77)),0)</f>
        <v/>
      </c>
      <c r="GM77" s="402">
        <f>IF(AND(191&gt;=$NR$77,191&lt;=$NS$77),IF($NP$77="Single_Point",IF(191=$NR$77,$NN$77,0),IF($NP$77="Bell_Curve",$NN$77*(191-$NR$77+1)*($NS$77-191+1)/$NU$77,$NN$77/$NT$77)),0)</f>
        <v/>
      </c>
      <c r="GN77" s="402">
        <f>IF(AND(192&gt;=$NR$77,192&lt;=$NS$77),IF($NP$77="Single_Point",IF(192=$NR$77,$NN$77,0),IF($NP$77="Bell_Curve",$NN$77*(192-$NR$77+1)*($NS$77-192+1)/$NU$77,$NN$77/$NT$77)),0)</f>
        <v/>
      </c>
      <c r="GO77" s="402">
        <f>IF(AND(193&gt;=$NR$77,193&lt;=$NS$77),IF($NP$77="Single_Point",IF(193=$NR$77,$NN$77,0),IF($NP$77="Bell_Curve",$NN$77*(193-$NR$77+1)*($NS$77-193+1)/$NU$77,$NN$77/$NT$77)),0)</f>
        <v/>
      </c>
      <c r="GP77" s="402">
        <f>IF(AND(194&gt;=$NR$77,194&lt;=$NS$77),IF($NP$77="Single_Point",IF(194=$NR$77,$NN$77,0),IF($NP$77="Bell_Curve",$NN$77*(194-$NR$77+1)*($NS$77-194+1)/$NU$77,$NN$77/$NT$77)),0)</f>
        <v/>
      </c>
      <c r="GQ77" s="402">
        <f>IF(AND(195&gt;=$NR$77,195&lt;=$NS$77),IF($NP$77="Single_Point",IF(195=$NR$77,$NN$77,0),IF($NP$77="Bell_Curve",$NN$77*(195-$NR$77+1)*($NS$77-195+1)/$NU$77,$NN$77/$NT$77)),0)</f>
        <v/>
      </c>
      <c r="GR77" s="402">
        <f>IF(AND(196&gt;=$NR$77,196&lt;=$NS$77),IF($NP$77="Single_Point",IF(196=$NR$77,$NN$77,0),IF($NP$77="Bell_Curve",$NN$77*(196-$NR$77+1)*($NS$77-196+1)/$NU$77,$NN$77/$NT$77)),0)</f>
        <v/>
      </c>
      <c r="GS77" s="402">
        <f>IF(AND(197&gt;=$NR$77,197&lt;=$NS$77),IF($NP$77="Single_Point",IF(197=$NR$77,$NN$77,0),IF($NP$77="Bell_Curve",$NN$77*(197-$NR$77+1)*($NS$77-197+1)/$NU$77,$NN$77/$NT$77)),0)</f>
        <v/>
      </c>
      <c r="GT77" s="402">
        <f>IF(AND(198&gt;=$NR$77,198&lt;=$NS$77),IF($NP$77="Single_Point",IF(198=$NR$77,$NN$77,0),IF($NP$77="Bell_Curve",$NN$77*(198-$NR$77+1)*($NS$77-198+1)/$NU$77,$NN$77/$NT$77)),0)</f>
        <v/>
      </c>
      <c r="GU77" s="402">
        <f>IF(AND(199&gt;=$NR$77,199&lt;=$NS$77),IF($NP$77="Single_Point",IF(199=$NR$77,$NN$77,0),IF($NP$77="Bell_Curve",$NN$77*(199-$NR$77+1)*($NS$77-199+1)/$NU$77,$NN$77/$NT$77)),0)</f>
        <v/>
      </c>
      <c r="GV77" s="402">
        <f>IF(AND(200&gt;=$NR$77,200&lt;=$NS$77),IF($NP$77="Single_Point",IF(200=$NR$77,$NN$77,0),IF($NP$77="Bell_Curve",$NN$77*(200-$NR$77+1)*($NS$77-200+1)/$NU$77,$NN$77/$NT$77)),0)</f>
        <v/>
      </c>
      <c r="GW77" s="402">
        <f>IF(AND(201&gt;=$NR$77,201&lt;=$NS$77),IF($NP$77="Single_Point",IF(201=$NR$77,$NN$77,0),IF($NP$77="Bell_Curve",$NN$77*(201-$NR$77+1)*($NS$77-201+1)/$NU$77,$NN$77/$NT$77)),0)</f>
        <v/>
      </c>
      <c r="GX77" s="402">
        <f>IF(AND(202&gt;=$NR$77,202&lt;=$NS$77),IF($NP$77="Single_Point",IF(202=$NR$77,$NN$77,0),IF($NP$77="Bell_Curve",$NN$77*(202-$NR$77+1)*($NS$77-202+1)/$NU$77,$NN$77/$NT$77)),0)</f>
        <v/>
      </c>
      <c r="GY77" s="402">
        <f>IF(AND(203&gt;=$NR$77,203&lt;=$NS$77),IF($NP$77="Single_Point",IF(203=$NR$77,$NN$77,0),IF($NP$77="Bell_Curve",$NN$77*(203-$NR$77+1)*($NS$77-203+1)/$NU$77,$NN$77/$NT$77)),0)</f>
        <v/>
      </c>
      <c r="GZ77" s="402">
        <f>IF(AND(204&gt;=$NR$77,204&lt;=$NS$77),IF($NP$77="Single_Point",IF(204=$NR$77,$NN$77,0),IF($NP$77="Bell_Curve",$NN$77*(204-$NR$77+1)*($NS$77-204+1)/$NU$77,$NN$77/$NT$77)),0)</f>
        <v/>
      </c>
      <c r="HA77" s="402">
        <f>IF(AND(205&gt;=$NR$77,205&lt;=$NS$77),IF($NP$77="Single_Point",IF(205=$NR$77,$NN$77,0),IF($NP$77="Bell_Curve",$NN$77*(205-$NR$77+1)*($NS$77-205+1)/$NU$77,$NN$77/$NT$77)),0)</f>
        <v/>
      </c>
      <c r="HB77" s="402">
        <f>IF(AND(206&gt;=$NR$77,206&lt;=$NS$77),IF($NP$77="Single_Point",IF(206=$NR$77,$NN$77,0),IF($NP$77="Bell_Curve",$NN$77*(206-$NR$77+1)*($NS$77-206+1)/$NU$77,$NN$77/$NT$77)),0)</f>
        <v/>
      </c>
      <c r="HC77" s="402">
        <f>IF(AND(207&gt;=$NR$77,207&lt;=$NS$77),IF($NP$77="Single_Point",IF(207=$NR$77,$NN$77,0),IF($NP$77="Bell_Curve",$NN$77*(207-$NR$77+1)*($NS$77-207+1)/$NU$77,$NN$77/$NT$77)),0)</f>
        <v/>
      </c>
      <c r="HD77" s="402">
        <f>IF(AND(208&gt;=$NR$77,208&lt;=$NS$77),IF($NP$77="Single_Point",IF(208=$NR$77,$NN$77,0),IF($NP$77="Bell_Curve",$NN$77*(208-$NR$77+1)*($NS$77-208+1)/$NU$77,$NN$77/$NT$77)),0)</f>
        <v/>
      </c>
      <c r="HE77" s="402">
        <f>IF(AND(209&gt;=$NR$77,209&lt;=$NS$77),IF($NP$77="Single_Point",IF(209=$NR$77,$NN$77,0),IF($NP$77="Bell_Curve",$NN$77*(209-$NR$77+1)*($NS$77-209+1)/$NU$77,$NN$77/$NT$77)),0)</f>
        <v/>
      </c>
      <c r="HF77" s="402">
        <f>IF(AND(210&gt;=$NR$77,210&lt;=$NS$77),IF($NP$77="Single_Point",IF(210=$NR$77,$NN$77,0),IF($NP$77="Bell_Curve",$NN$77*(210-$NR$77+1)*($NS$77-210+1)/$NU$77,$NN$77/$NT$77)),0)</f>
        <v/>
      </c>
      <c r="HG77" s="402">
        <f>IF(AND(211&gt;=$NR$77,211&lt;=$NS$77),IF($NP$77="Single_Point",IF(211=$NR$77,$NN$77,0),IF($NP$77="Bell_Curve",$NN$77*(211-$NR$77+1)*($NS$77-211+1)/$NU$77,$NN$77/$NT$77)),0)</f>
        <v/>
      </c>
      <c r="HH77" s="402">
        <f>IF(AND(212&gt;=$NR$77,212&lt;=$NS$77),IF($NP$77="Single_Point",IF(212=$NR$77,$NN$77,0),IF($NP$77="Bell_Curve",$NN$77*(212-$NR$77+1)*($NS$77-212+1)/$NU$77,$NN$77/$NT$77)),0)</f>
        <v/>
      </c>
      <c r="HI77" s="402">
        <f>IF(AND(213&gt;=$NR$77,213&lt;=$NS$77),IF($NP$77="Single_Point",IF(213=$NR$77,$NN$77,0),IF($NP$77="Bell_Curve",$NN$77*(213-$NR$77+1)*($NS$77-213+1)/$NU$77,$NN$77/$NT$77)),0)</f>
        <v/>
      </c>
      <c r="HJ77" s="402">
        <f>IF(AND(214&gt;=$NR$77,214&lt;=$NS$77),IF($NP$77="Single_Point",IF(214=$NR$77,$NN$77,0),IF($NP$77="Bell_Curve",$NN$77*(214-$NR$77+1)*($NS$77-214+1)/$NU$77,$NN$77/$NT$77)),0)</f>
        <v/>
      </c>
      <c r="HK77" s="402">
        <f>IF(AND(215&gt;=$NR$77,215&lt;=$NS$77),IF($NP$77="Single_Point",IF(215=$NR$77,$NN$77,0),IF($NP$77="Bell_Curve",$NN$77*(215-$NR$77+1)*($NS$77-215+1)/$NU$77,$NN$77/$NT$77)),0)</f>
        <v/>
      </c>
      <c r="HL77" s="402">
        <f>IF(AND(216&gt;=$NR$77,216&lt;=$NS$77),IF($NP$77="Single_Point",IF(216=$NR$77,$NN$77,0),IF($NP$77="Bell_Curve",$NN$77*(216-$NR$77+1)*($NS$77-216+1)/$NU$77,$NN$77/$NT$77)),0)</f>
        <v/>
      </c>
      <c r="HM77" s="402">
        <f>IF(AND(217&gt;=$NR$77,217&lt;=$NS$77),IF($NP$77="Single_Point",IF(217=$NR$77,$NN$77,0),IF($NP$77="Bell_Curve",$NN$77*(217-$NR$77+1)*($NS$77-217+1)/$NU$77,$NN$77/$NT$77)),0)</f>
        <v/>
      </c>
      <c r="HN77" s="402">
        <f>IF(AND(218&gt;=$NR$77,218&lt;=$NS$77),IF($NP$77="Single_Point",IF(218=$NR$77,$NN$77,0),IF($NP$77="Bell_Curve",$NN$77*(218-$NR$77+1)*($NS$77-218+1)/$NU$77,$NN$77/$NT$77)),0)</f>
        <v/>
      </c>
      <c r="HO77" s="402">
        <f>IF(AND(219&gt;=$NR$77,219&lt;=$NS$77),IF($NP$77="Single_Point",IF(219=$NR$77,$NN$77,0),IF($NP$77="Bell_Curve",$NN$77*(219-$NR$77+1)*($NS$77-219+1)/$NU$77,$NN$77/$NT$77)),0)</f>
        <v/>
      </c>
      <c r="HP77" s="402">
        <f>IF(AND(220&gt;=$NR$77,220&lt;=$NS$77),IF($NP$77="Single_Point",IF(220=$NR$77,$NN$77,0),IF($NP$77="Bell_Curve",$NN$77*(220-$NR$77+1)*($NS$77-220+1)/$NU$77,$NN$77/$NT$77)),0)</f>
        <v/>
      </c>
      <c r="HQ77" s="402">
        <f>IF(AND(221&gt;=$NR$77,221&lt;=$NS$77),IF($NP$77="Single_Point",IF(221=$NR$77,$NN$77,0),IF($NP$77="Bell_Curve",$NN$77*(221-$NR$77+1)*($NS$77-221+1)/$NU$77,$NN$77/$NT$77)),0)</f>
        <v/>
      </c>
      <c r="HR77" s="402">
        <f>IF(AND(222&gt;=$NR$77,222&lt;=$NS$77),IF($NP$77="Single_Point",IF(222=$NR$77,$NN$77,0),IF($NP$77="Bell_Curve",$NN$77*(222-$NR$77+1)*($NS$77-222+1)/$NU$77,$NN$77/$NT$77)),0)</f>
        <v/>
      </c>
      <c r="HS77" s="402">
        <f>IF(AND(223&gt;=$NR$77,223&lt;=$NS$77),IF($NP$77="Single_Point",IF(223=$NR$77,$NN$77,0),IF($NP$77="Bell_Curve",$NN$77*(223-$NR$77+1)*($NS$77-223+1)/$NU$77,$NN$77/$NT$77)),0)</f>
        <v/>
      </c>
      <c r="HT77" s="402">
        <f>IF(AND(224&gt;=$NR$77,224&lt;=$NS$77),IF($NP$77="Single_Point",IF(224=$NR$77,$NN$77,0),IF($NP$77="Bell_Curve",$NN$77*(224-$NR$77+1)*($NS$77-224+1)/$NU$77,$NN$77/$NT$77)),0)</f>
        <v/>
      </c>
      <c r="HU77" s="402">
        <f>IF(AND(225&gt;=$NR$77,225&lt;=$NS$77),IF($NP$77="Single_Point",IF(225=$NR$77,$NN$77,0),IF($NP$77="Bell_Curve",$NN$77*(225-$NR$77+1)*($NS$77-225+1)/$NU$77,$NN$77/$NT$77)),0)</f>
        <v/>
      </c>
      <c r="HV77" s="402">
        <f>IF(AND(226&gt;=$NR$77,226&lt;=$NS$77),IF($NP$77="Single_Point",IF(226=$NR$77,$NN$77,0),IF($NP$77="Bell_Curve",$NN$77*(226-$NR$77+1)*($NS$77-226+1)/$NU$77,$NN$77/$NT$77)),0)</f>
        <v/>
      </c>
      <c r="HW77" s="402">
        <f>IF(AND(227&gt;=$NR$77,227&lt;=$NS$77),IF($NP$77="Single_Point",IF(227=$NR$77,$NN$77,0),IF($NP$77="Bell_Curve",$NN$77*(227-$NR$77+1)*($NS$77-227+1)/$NU$77,$NN$77/$NT$77)),0)</f>
        <v/>
      </c>
      <c r="HX77" s="402">
        <f>IF(AND(228&gt;=$NR$77,228&lt;=$NS$77),IF($NP$77="Single_Point",IF(228=$NR$77,$NN$77,0),IF($NP$77="Bell_Curve",$NN$77*(228-$NR$77+1)*($NS$77-228+1)/$NU$77,$NN$77/$NT$77)),0)</f>
        <v/>
      </c>
      <c r="HY77" s="402">
        <f>IF(AND(229&gt;=$NR$77,229&lt;=$NS$77),IF($NP$77="Single_Point",IF(229=$NR$77,$NN$77,0),IF($NP$77="Bell_Curve",$NN$77*(229-$NR$77+1)*($NS$77-229+1)/$NU$77,$NN$77/$NT$77)),0)</f>
        <v/>
      </c>
      <c r="HZ77" s="402">
        <f>IF(AND(230&gt;=$NR$77,230&lt;=$NS$77),IF($NP$77="Single_Point",IF(230=$NR$77,$NN$77,0),IF($NP$77="Bell_Curve",$NN$77*(230-$NR$77+1)*($NS$77-230+1)/$NU$77,$NN$77/$NT$77)),0)</f>
        <v/>
      </c>
      <c r="IA77" s="402">
        <f>IF(AND(231&gt;=$NR$77,231&lt;=$NS$77),IF($NP$77="Single_Point",IF(231=$NR$77,$NN$77,0),IF($NP$77="Bell_Curve",$NN$77*(231-$NR$77+1)*($NS$77-231+1)/$NU$77,$NN$77/$NT$77)),0)</f>
        <v/>
      </c>
      <c r="IB77" s="402">
        <f>IF(AND(232&gt;=$NR$77,232&lt;=$NS$77),IF($NP$77="Single_Point",IF(232=$NR$77,$NN$77,0),IF($NP$77="Bell_Curve",$NN$77*(232-$NR$77+1)*($NS$77-232+1)/$NU$77,$NN$77/$NT$77)),0)</f>
        <v/>
      </c>
      <c r="IC77" s="402">
        <f>IF(AND(233&gt;=$NR$77,233&lt;=$NS$77),IF($NP$77="Single_Point",IF(233=$NR$77,$NN$77,0),IF($NP$77="Bell_Curve",$NN$77*(233-$NR$77+1)*($NS$77-233+1)/$NU$77,$NN$77/$NT$77)),0)</f>
        <v/>
      </c>
      <c r="ID77" s="402">
        <f>IF(AND(234&gt;=$NR$77,234&lt;=$NS$77),IF($NP$77="Single_Point",IF(234=$NR$77,$NN$77,0),IF($NP$77="Bell_Curve",$NN$77*(234-$NR$77+1)*($NS$77-234+1)/$NU$77,$NN$77/$NT$77)),0)</f>
        <v/>
      </c>
      <c r="IE77" s="402">
        <f>IF(AND(235&gt;=$NR$77,235&lt;=$NS$77),IF($NP$77="Single_Point",IF(235=$NR$77,$NN$77,0),IF($NP$77="Bell_Curve",$NN$77*(235-$NR$77+1)*($NS$77-235+1)/$NU$77,$NN$77/$NT$77)),0)</f>
        <v/>
      </c>
      <c r="IF77" s="402">
        <f>IF(AND(236&gt;=$NR$77,236&lt;=$NS$77),IF($NP$77="Single_Point",IF(236=$NR$77,$NN$77,0),IF($NP$77="Bell_Curve",$NN$77*(236-$NR$77+1)*($NS$77-236+1)/$NU$77,$NN$77/$NT$77)),0)</f>
        <v/>
      </c>
      <c r="IG77" s="402">
        <f>IF(AND(237&gt;=$NR$77,237&lt;=$NS$77),IF($NP$77="Single_Point",IF(237=$NR$77,$NN$77,0),IF($NP$77="Bell_Curve",$NN$77*(237-$NR$77+1)*($NS$77-237+1)/$NU$77,$NN$77/$NT$77)),0)</f>
        <v/>
      </c>
      <c r="IH77" s="402">
        <f>IF(AND(238&gt;=$NR$77,238&lt;=$NS$77),IF($NP$77="Single_Point",IF(238=$NR$77,$NN$77,0),IF($NP$77="Bell_Curve",$NN$77*(238-$NR$77+1)*($NS$77-238+1)/$NU$77,$NN$77/$NT$77)),0)</f>
        <v/>
      </c>
      <c r="II77" s="402">
        <f>IF(AND(239&gt;=$NR$77,239&lt;=$NS$77),IF($NP$77="Single_Point",IF(239=$NR$77,$NN$77,0),IF($NP$77="Bell_Curve",$NN$77*(239-$NR$77+1)*($NS$77-239+1)/$NU$77,$NN$77/$NT$77)),0)</f>
        <v/>
      </c>
      <c r="IJ77" s="402">
        <f>IF(AND(240&gt;=$NR$77,240&lt;=$NS$77),IF($NP$77="Single_Point",IF(240=$NR$77,$NN$77,0),IF($NP$77="Bell_Curve",$NN$77*(240-$NR$77+1)*($NS$77-240+1)/$NU$77,$NN$77/$NT$77)),0)</f>
        <v/>
      </c>
      <c r="IK77" s="402">
        <f>IF(AND(241&gt;=$NR$77,241&lt;=$NS$77),IF($NP$77="Single_Point",IF(241=$NR$77,$NN$77,0),IF($NP$77="Bell_Curve",$NN$77*(241-$NR$77+1)*($NS$77-241+1)/$NU$77,$NN$77/$NT$77)),0)</f>
        <v/>
      </c>
      <c r="IL77" s="402">
        <f>IF(AND(242&gt;=$NR$77,242&lt;=$NS$77),IF($NP$77="Single_Point",IF(242=$NR$77,$NN$77,0),IF($NP$77="Bell_Curve",$NN$77*(242-$NR$77+1)*($NS$77-242+1)/$NU$77,$NN$77/$NT$77)),0)</f>
        <v/>
      </c>
      <c r="IM77" s="402">
        <f>IF(AND(243&gt;=$NR$77,243&lt;=$NS$77),IF($NP$77="Single_Point",IF(243=$NR$77,$NN$77,0),IF($NP$77="Bell_Curve",$NN$77*(243-$NR$77+1)*($NS$77-243+1)/$NU$77,$NN$77/$NT$77)),0)</f>
        <v/>
      </c>
      <c r="IN77" s="402">
        <f>IF(AND(244&gt;=$NR$77,244&lt;=$NS$77),IF($NP$77="Single_Point",IF(244=$NR$77,$NN$77,0),IF($NP$77="Bell_Curve",$NN$77*(244-$NR$77+1)*($NS$77-244+1)/$NU$77,$NN$77/$NT$77)),0)</f>
        <v/>
      </c>
      <c r="IO77" s="402">
        <f>IF(AND(245&gt;=$NR$77,245&lt;=$NS$77),IF($NP$77="Single_Point",IF(245=$NR$77,$NN$77,0),IF($NP$77="Bell_Curve",$NN$77*(245-$NR$77+1)*($NS$77-245+1)/$NU$77,$NN$77/$NT$77)),0)</f>
        <v/>
      </c>
      <c r="IP77" s="402">
        <f>IF(AND(246&gt;=$NR$77,246&lt;=$NS$77),IF($NP$77="Single_Point",IF(246=$NR$77,$NN$77,0),IF($NP$77="Bell_Curve",$NN$77*(246-$NR$77+1)*($NS$77-246+1)/$NU$77,$NN$77/$NT$77)),0)</f>
        <v/>
      </c>
      <c r="IQ77" s="402">
        <f>IF(AND(247&gt;=$NR$77,247&lt;=$NS$77),IF($NP$77="Single_Point",IF(247=$NR$77,$NN$77,0),IF($NP$77="Bell_Curve",$NN$77*(247-$NR$77+1)*($NS$77-247+1)/$NU$77,$NN$77/$NT$77)),0)</f>
        <v/>
      </c>
      <c r="IR77" s="402">
        <f>IF(AND(248&gt;=$NR$77,248&lt;=$NS$77),IF($NP$77="Single_Point",IF(248=$NR$77,$NN$77,0),IF($NP$77="Bell_Curve",$NN$77*(248-$NR$77+1)*($NS$77-248+1)/$NU$77,$NN$77/$NT$77)),0)</f>
        <v/>
      </c>
      <c r="IS77" s="402">
        <f>IF(AND(249&gt;=$NR$77,249&lt;=$NS$77),IF($NP$77="Single_Point",IF(249=$NR$77,$NN$77,0),IF($NP$77="Bell_Curve",$NN$77*(249-$NR$77+1)*($NS$77-249+1)/$NU$77,$NN$77/$NT$77)),0)</f>
        <v/>
      </c>
      <c r="IT77" s="402">
        <f>IF(AND(250&gt;=$NR$77,250&lt;=$NS$77),IF($NP$77="Single_Point",IF(250=$NR$77,$NN$77,0),IF($NP$77="Bell_Curve",$NN$77*(250-$NR$77+1)*($NS$77-250+1)/$NU$77,$NN$77/$NT$77)),0)</f>
        <v/>
      </c>
      <c r="IU77" s="402">
        <f>IF(AND(251&gt;=$NR$77,251&lt;=$NS$77),IF($NP$77="Single_Point",IF(251=$NR$77,$NN$77,0),IF($NP$77="Bell_Curve",$NN$77*(251-$NR$77+1)*($NS$77-251+1)/$NU$77,$NN$77/$NT$77)),0)</f>
        <v/>
      </c>
      <c r="IV77" s="402">
        <f>IF(AND(252&gt;=$NR$77,252&lt;=$NS$77),IF($NP$77="Single_Point",IF(252=$NR$77,$NN$77,0),IF($NP$77="Bell_Curve",$NN$77*(252-$NR$77+1)*($NS$77-252+1)/$NU$77,$NN$77/$NT$77)),0)</f>
        <v/>
      </c>
      <c r="IW77" s="402">
        <f>IF(AND(253&gt;=$NR$77,253&lt;=$NS$77),IF($NP$77="Single_Point",IF(253=$NR$77,$NN$77,0),IF($NP$77="Bell_Curve",$NN$77*(253-$NR$77+1)*($NS$77-253+1)/$NU$77,$NN$77/$NT$77)),0)</f>
        <v/>
      </c>
      <c r="IX77" s="402">
        <f>IF(AND(254&gt;=$NR$77,254&lt;=$NS$77),IF($NP$77="Single_Point",IF(254=$NR$77,$NN$77,0),IF($NP$77="Bell_Curve",$NN$77*(254-$NR$77+1)*($NS$77-254+1)/$NU$77,$NN$77/$NT$77)),0)</f>
        <v/>
      </c>
      <c r="IY77" s="402">
        <f>IF(AND(255&gt;=$NR$77,255&lt;=$NS$77),IF($NP$77="Single_Point",IF(255=$NR$77,$NN$77,0),IF($NP$77="Bell_Curve",$NN$77*(255-$NR$77+1)*($NS$77-255+1)/$NU$77,$NN$77/$NT$77)),0)</f>
        <v/>
      </c>
      <c r="IZ77" s="402">
        <f>IF(AND(256&gt;=$NR$77,256&lt;=$NS$77),IF($NP$77="Single_Point",IF(256=$NR$77,$NN$77,0),IF($NP$77="Bell_Curve",$NN$77*(256-$NR$77+1)*($NS$77-256+1)/$NU$77,$NN$77/$NT$77)),0)</f>
        <v/>
      </c>
      <c r="JA77" s="402">
        <f>IF(AND(257&gt;=$NR$77,257&lt;=$NS$77),IF($NP$77="Single_Point",IF(257=$NR$77,$NN$77,0),IF($NP$77="Bell_Curve",$NN$77*(257-$NR$77+1)*($NS$77-257+1)/$NU$77,$NN$77/$NT$77)),0)</f>
        <v/>
      </c>
      <c r="JB77" s="402">
        <f>IF(AND(258&gt;=$NR$77,258&lt;=$NS$77),IF($NP$77="Single_Point",IF(258=$NR$77,$NN$77,0),IF($NP$77="Bell_Curve",$NN$77*(258-$NR$77+1)*($NS$77-258+1)/$NU$77,$NN$77/$NT$77)),0)</f>
        <v/>
      </c>
      <c r="JC77" s="402">
        <f>IF(AND(259&gt;=$NR$77,259&lt;=$NS$77),IF($NP$77="Single_Point",IF(259=$NR$77,$NN$77,0),IF($NP$77="Bell_Curve",$NN$77*(259-$NR$77+1)*($NS$77-259+1)/$NU$77,$NN$77/$NT$77)),0)</f>
        <v/>
      </c>
      <c r="JD77" s="402">
        <f>IF(AND(260&gt;=$NR$77,260&lt;=$NS$77),IF($NP$77="Single_Point",IF(260=$NR$77,$NN$77,0),IF($NP$77="Bell_Curve",$NN$77*(260-$NR$77+1)*($NS$77-260+1)/$NU$77,$NN$77/$NT$77)),0)</f>
        <v/>
      </c>
      <c r="JE77" s="402">
        <f>IF(AND(261&gt;=$NR$77,261&lt;=$NS$77),IF($NP$77="Single_Point",IF(261=$NR$77,$NN$77,0),IF($NP$77="Bell_Curve",$NN$77*(261-$NR$77+1)*($NS$77-261+1)/$NU$77,$NN$77/$NT$77)),0)</f>
        <v/>
      </c>
      <c r="JF77" s="402">
        <f>IF(AND(262&gt;=$NR$77,262&lt;=$NS$77),IF($NP$77="Single_Point",IF(262=$NR$77,$NN$77,0),IF($NP$77="Bell_Curve",$NN$77*(262-$NR$77+1)*($NS$77-262+1)/$NU$77,$NN$77/$NT$77)),0)</f>
        <v/>
      </c>
      <c r="JG77" s="402">
        <f>IF(AND(263&gt;=$NR$77,263&lt;=$NS$77),IF($NP$77="Single_Point",IF(263=$NR$77,$NN$77,0),IF($NP$77="Bell_Curve",$NN$77*(263-$NR$77+1)*($NS$77-263+1)/$NU$77,$NN$77/$NT$77)),0)</f>
        <v/>
      </c>
      <c r="JH77" s="402">
        <f>IF(AND(264&gt;=$NR$77,264&lt;=$NS$77),IF($NP$77="Single_Point",IF(264=$NR$77,$NN$77,0),IF($NP$77="Bell_Curve",$NN$77*(264-$NR$77+1)*($NS$77-264+1)/$NU$77,$NN$77/$NT$77)),0)</f>
        <v/>
      </c>
      <c r="JI77" s="402">
        <f>IF(AND(265&gt;=$NR$77,265&lt;=$NS$77),IF($NP$77="Single_Point",IF(265=$NR$77,$NN$77,0),IF($NP$77="Bell_Curve",$NN$77*(265-$NR$77+1)*($NS$77-265+1)/$NU$77,$NN$77/$NT$77)),0)</f>
        <v/>
      </c>
      <c r="JJ77" s="402">
        <f>IF(AND(266&gt;=$NR$77,266&lt;=$NS$77),IF($NP$77="Single_Point",IF(266=$NR$77,$NN$77,0),IF($NP$77="Bell_Curve",$NN$77*(266-$NR$77+1)*($NS$77-266+1)/$NU$77,$NN$77/$NT$77)),0)</f>
        <v/>
      </c>
      <c r="JK77" s="402">
        <f>IF(AND(267&gt;=$NR$77,267&lt;=$NS$77),IF($NP$77="Single_Point",IF(267=$NR$77,$NN$77,0),IF($NP$77="Bell_Curve",$NN$77*(267-$NR$77+1)*($NS$77-267+1)/$NU$77,$NN$77/$NT$77)),0)</f>
        <v/>
      </c>
      <c r="JL77" s="402">
        <f>IF(AND(268&gt;=$NR$77,268&lt;=$NS$77),IF($NP$77="Single_Point",IF(268=$NR$77,$NN$77,0),IF($NP$77="Bell_Curve",$NN$77*(268-$NR$77+1)*($NS$77-268+1)/$NU$77,$NN$77/$NT$77)),0)</f>
        <v/>
      </c>
      <c r="JM77" s="402">
        <f>IF(AND(269&gt;=$NR$77,269&lt;=$NS$77),IF($NP$77="Single_Point",IF(269=$NR$77,$NN$77,0),IF($NP$77="Bell_Curve",$NN$77*(269-$NR$77+1)*($NS$77-269+1)/$NU$77,$NN$77/$NT$77)),0)</f>
        <v/>
      </c>
      <c r="JN77" s="402">
        <f>IF(AND(270&gt;=$NR$77,270&lt;=$NS$77),IF($NP$77="Single_Point",IF(270=$NR$77,$NN$77,0),IF($NP$77="Bell_Curve",$NN$77*(270-$NR$77+1)*($NS$77-270+1)/$NU$77,$NN$77/$NT$77)),0)</f>
        <v/>
      </c>
      <c r="JO77" s="402">
        <f>IF(AND(271&gt;=$NR$77,271&lt;=$NS$77),IF($NP$77="Single_Point",IF(271=$NR$77,$NN$77,0),IF($NP$77="Bell_Curve",$NN$77*(271-$NR$77+1)*($NS$77-271+1)/$NU$77,$NN$77/$NT$77)),0)</f>
        <v/>
      </c>
      <c r="JP77" s="402">
        <f>IF(AND(272&gt;=$NR$77,272&lt;=$NS$77),IF($NP$77="Single_Point",IF(272=$NR$77,$NN$77,0),IF($NP$77="Bell_Curve",$NN$77*(272-$NR$77+1)*($NS$77-272+1)/$NU$77,$NN$77/$NT$77)),0)</f>
        <v/>
      </c>
      <c r="JQ77" s="402">
        <f>IF(AND(273&gt;=$NR$77,273&lt;=$NS$77),IF($NP$77="Single_Point",IF(273=$NR$77,$NN$77,0),IF($NP$77="Bell_Curve",$NN$77*(273-$NR$77+1)*($NS$77-273+1)/$NU$77,$NN$77/$NT$77)),0)</f>
        <v/>
      </c>
      <c r="JR77" s="402">
        <f>IF(AND(274&gt;=$NR$77,274&lt;=$NS$77),IF($NP$77="Single_Point",IF(274=$NR$77,$NN$77,0),IF($NP$77="Bell_Curve",$NN$77*(274-$NR$77+1)*($NS$77-274+1)/$NU$77,$NN$77/$NT$77)),0)</f>
        <v/>
      </c>
      <c r="JS77" s="402">
        <f>IF(AND(275&gt;=$NR$77,275&lt;=$NS$77),IF($NP$77="Single_Point",IF(275=$NR$77,$NN$77,0),IF($NP$77="Bell_Curve",$NN$77*(275-$NR$77+1)*($NS$77-275+1)/$NU$77,$NN$77/$NT$77)),0)</f>
        <v/>
      </c>
      <c r="JT77" s="402">
        <f>IF(AND(276&gt;=$NR$77,276&lt;=$NS$77),IF($NP$77="Single_Point",IF(276=$NR$77,$NN$77,0),IF($NP$77="Bell_Curve",$NN$77*(276-$NR$77+1)*($NS$77-276+1)/$NU$77,$NN$77/$NT$77)),0)</f>
        <v/>
      </c>
      <c r="JU77" s="402">
        <f>IF(AND(277&gt;=$NR$77,277&lt;=$NS$77),IF($NP$77="Single_Point",IF(277=$NR$77,$NN$77,0),IF($NP$77="Bell_Curve",$NN$77*(277-$NR$77+1)*($NS$77-277+1)/$NU$77,$NN$77/$NT$77)),0)</f>
        <v/>
      </c>
      <c r="JV77" s="402">
        <f>IF(AND(278&gt;=$NR$77,278&lt;=$NS$77),IF($NP$77="Single_Point",IF(278=$NR$77,$NN$77,0),IF($NP$77="Bell_Curve",$NN$77*(278-$NR$77+1)*($NS$77-278+1)/$NU$77,$NN$77/$NT$77)),0)</f>
        <v/>
      </c>
      <c r="JW77" s="402">
        <f>IF(AND(279&gt;=$NR$77,279&lt;=$NS$77),IF($NP$77="Single_Point",IF(279=$NR$77,$NN$77,0),IF($NP$77="Bell_Curve",$NN$77*(279-$NR$77+1)*($NS$77-279+1)/$NU$77,$NN$77/$NT$77)),0)</f>
        <v/>
      </c>
      <c r="JX77" s="402">
        <f>IF(AND(280&gt;=$NR$77,280&lt;=$NS$77),IF($NP$77="Single_Point",IF(280=$NR$77,$NN$77,0),IF($NP$77="Bell_Curve",$NN$77*(280-$NR$77+1)*($NS$77-280+1)/$NU$77,$NN$77/$NT$77)),0)</f>
        <v/>
      </c>
      <c r="JY77" s="402">
        <f>IF(AND(281&gt;=$NR$77,281&lt;=$NS$77),IF($NP$77="Single_Point",IF(281=$NR$77,$NN$77,0),IF($NP$77="Bell_Curve",$NN$77*(281-$NR$77+1)*($NS$77-281+1)/$NU$77,$NN$77/$NT$77)),0)</f>
        <v/>
      </c>
      <c r="JZ77" s="402">
        <f>IF(AND(282&gt;=$NR$77,282&lt;=$NS$77),IF($NP$77="Single_Point",IF(282=$NR$77,$NN$77,0),IF($NP$77="Bell_Curve",$NN$77*(282-$NR$77+1)*($NS$77-282+1)/$NU$77,$NN$77/$NT$77)),0)</f>
        <v/>
      </c>
      <c r="KA77" s="402">
        <f>IF(AND(283&gt;=$NR$77,283&lt;=$NS$77),IF($NP$77="Single_Point",IF(283=$NR$77,$NN$77,0),IF($NP$77="Bell_Curve",$NN$77*(283-$NR$77+1)*($NS$77-283+1)/$NU$77,$NN$77/$NT$77)),0)</f>
        <v/>
      </c>
      <c r="KB77" s="402">
        <f>IF(AND(284&gt;=$NR$77,284&lt;=$NS$77),IF($NP$77="Single_Point",IF(284=$NR$77,$NN$77,0),IF($NP$77="Bell_Curve",$NN$77*(284-$NR$77+1)*($NS$77-284+1)/$NU$77,$NN$77/$NT$77)),0)</f>
        <v/>
      </c>
      <c r="KC77" s="402">
        <f>IF(AND(285&gt;=$NR$77,285&lt;=$NS$77),IF($NP$77="Single_Point",IF(285=$NR$77,$NN$77,0),IF($NP$77="Bell_Curve",$NN$77*(285-$NR$77+1)*($NS$77-285+1)/$NU$77,$NN$77/$NT$77)),0)</f>
        <v/>
      </c>
      <c r="KD77" s="402">
        <f>IF(AND(286&gt;=$NR$77,286&lt;=$NS$77),IF($NP$77="Single_Point",IF(286=$NR$77,$NN$77,0),IF($NP$77="Bell_Curve",$NN$77*(286-$NR$77+1)*($NS$77-286+1)/$NU$77,$NN$77/$NT$77)),0)</f>
        <v/>
      </c>
      <c r="KE77" s="402">
        <f>IF(AND(287&gt;=$NR$77,287&lt;=$NS$77),IF($NP$77="Single_Point",IF(287=$NR$77,$NN$77,0),IF($NP$77="Bell_Curve",$NN$77*(287-$NR$77+1)*($NS$77-287+1)/$NU$77,$NN$77/$NT$77)),0)</f>
        <v/>
      </c>
      <c r="KF77" s="402">
        <f>IF(AND(288&gt;=$NR$77,288&lt;=$NS$77),IF($NP$77="Single_Point",IF(288=$NR$77,$NN$77,0),IF($NP$77="Bell_Curve",$NN$77*(288-$NR$77+1)*($NS$77-288+1)/$NU$77,$NN$77/$NT$77)),0)</f>
        <v/>
      </c>
      <c r="KG77" s="402">
        <f>IF(AND(289&gt;=$NR$77,289&lt;=$NS$77),IF($NP$77="Single_Point",IF(289=$NR$77,$NN$77,0),IF($NP$77="Bell_Curve",$NN$77*(289-$NR$77+1)*($NS$77-289+1)/$NU$77,$NN$77/$NT$77)),0)</f>
        <v/>
      </c>
      <c r="KH77" s="402">
        <f>IF(AND(290&gt;=$NR$77,290&lt;=$NS$77),IF($NP$77="Single_Point",IF(290=$NR$77,$NN$77,0),IF($NP$77="Bell_Curve",$NN$77*(290-$NR$77+1)*($NS$77-290+1)/$NU$77,$NN$77/$NT$77)),0)</f>
        <v/>
      </c>
      <c r="KI77" s="402">
        <f>IF(AND(291&gt;=$NR$77,291&lt;=$NS$77),IF($NP$77="Single_Point",IF(291=$NR$77,$NN$77,0),IF($NP$77="Bell_Curve",$NN$77*(291-$NR$77+1)*($NS$77-291+1)/$NU$77,$NN$77/$NT$77)),0)</f>
        <v/>
      </c>
      <c r="KJ77" s="402">
        <f>IF(AND(292&gt;=$NR$77,292&lt;=$NS$77),IF($NP$77="Single_Point",IF(292=$NR$77,$NN$77,0),IF($NP$77="Bell_Curve",$NN$77*(292-$NR$77+1)*($NS$77-292+1)/$NU$77,$NN$77/$NT$77)),0)</f>
        <v/>
      </c>
      <c r="KK77" s="402">
        <f>IF(AND(293&gt;=$NR$77,293&lt;=$NS$77),IF($NP$77="Single_Point",IF(293=$NR$77,$NN$77,0),IF($NP$77="Bell_Curve",$NN$77*(293-$NR$77+1)*($NS$77-293+1)/$NU$77,$NN$77/$NT$77)),0)</f>
        <v/>
      </c>
      <c r="KL77" s="402">
        <f>IF(AND(294&gt;=$NR$77,294&lt;=$NS$77),IF($NP$77="Single_Point",IF(294=$NR$77,$NN$77,0),IF($NP$77="Bell_Curve",$NN$77*(294-$NR$77+1)*($NS$77-294+1)/$NU$77,$NN$77/$NT$77)),0)</f>
        <v/>
      </c>
      <c r="KM77" s="402">
        <f>IF(AND(295&gt;=$NR$77,295&lt;=$NS$77),IF($NP$77="Single_Point",IF(295=$NR$77,$NN$77,0),IF($NP$77="Bell_Curve",$NN$77*(295-$NR$77+1)*($NS$77-295+1)/$NU$77,$NN$77/$NT$77)),0)</f>
        <v/>
      </c>
      <c r="KN77" s="402">
        <f>IF(AND(296&gt;=$NR$77,296&lt;=$NS$77),IF($NP$77="Single_Point",IF(296=$NR$77,$NN$77,0),IF($NP$77="Bell_Curve",$NN$77*(296-$NR$77+1)*($NS$77-296+1)/$NU$77,$NN$77/$NT$77)),0)</f>
        <v/>
      </c>
      <c r="KO77" s="402">
        <f>IF(AND(297&gt;=$NR$77,297&lt;=$NS$77),IF($NP$77="Single_Point",IF(297=$NR$77,$NN$77,0),IF($NP$77="Bell_Curve",$NN$77*(297-$NR$77+1)*($NS$77-297+1)/$NU$77,$NN$77/$NT$77)),0)</f>
        <v/>
      </c>
      <c r="KP77" s="402">
        <f>IF(AND(298&gt;=$NR$77,298&lt;=$NS$77),IF($NP$77="Single_Point",IF(298=$NR$77,$NN$77,0),IF($NP$77="Bell_Curve",$NN$77*(298-$NR$77+1)*($NS$77-298+1)/$NU$77,$NN$77/$NT$77)),0)</f>
        <v/>
      </c>
      <c r="KQ77" s="402">
        <f>IF(AND(299&gt;=$NR$77,299&lt;=$NS$77),IF($NP$77="Single_Point",IF(299=$NR$77,$NN$77,0),IF($NP$77="Bell_Curve",$NN$77*(299-$NR$77+1)*($NS$77-299+1)/$NU$77,$NN$77/$NT$77)),0)</f>
        <v/>
      </c>
      <c r="KR77" s="402">
        <f>IF(AND(300&gt;=$NR$77,300&lt;=$NS$77),IF($NP$77="Single_Point",IF(300=$NR$77,$NN$77,0),IF($NP$77="Bell_Curve",$NN$77*(300-$NR$77+1)*($NS$77-300+1)/$NU$77,$NN$77/$NT$77)),0)</f>
        <v/>
      </c>
      <c r="KS77" s="402">
        <f>IF(AND(301&gt;=$NR$77,301&lt;=$NS$77),IF($NP$77="Single_Point",IF(301=$NR$77,$NN$77,0),IF($NP$77="Bell_Curve",$NN$77*(301-$NR$77+1)*($NS$77-301+1)/$NU$77,$NN$77/$NT$77)),0)</f>
        <v/>
      </c>
      <c r="KT77" s="402">
        <f>IF(AND(302&gt;=$NR$77,302&lt;=$NS$77),IF($NP$77="Single_Point",IF(302=$NR$77,$NN$77,0),IF($NP$77="Bell_Curve",$NN$77*(302-$NR$77+1)*($NS$77-302+1)/$NU$77,$NN$77/$NT$77)),0)</f>
        <v/>
      </c>
      <c r="KU77" s="402">
        <f>IF(AND(303&gt;=$NR$77,303&lt;=$NS$77),IF($NP$77="Single_Point",IF(303=$NR$77,$NN$77,0),IF($NP$77="Bell_Curve",$NN$77*(303-$NR$77+1)*($NS$77-303+1)/$NU$77,$NN$77/$NT$77)),0)</f>
        <v/>
      </c>
      <c r="KV77" s="402">
        <f>IF(AND(304&gt;=$NR$77,304&lt;=$NS$77),IF($NP$77="Single_Point",IF(304=$NR$77,$NN$77,0),IF($NP$77="Bell_Curve",$NN$77*(304-$NR$77+1)*($NS$77-304+1)/$NU$77,$NN$77/$NT$77)),0)</f>
        <v/>
      </c>
      <c r="KW77" s="402">
        <f>IF(AND(305&gt;=$NR$77,305&lt;=$NS$77),IF($NP$77="Single_Point",IF(305=$NR$77,$NN$77,0),IF($NP$77="Bell_Curve",$NN$77*(305-$NR$77+1)*($NS$77-305+1)/$NU$77,$NN$77/$NT$77)),0)</f>
        <v/>
      </c>
      <c r="KX77" s="402">
        <f>IF(AND(306&gt;=$NR$77,306&lt;=$NS$77),IF($NP$77="Single_Point",IF(306=$NR$77,$NN$77,0),IF($NP$77="Bell_Curve",$NN$77*(306-$NR$77+1)*($NS$77-306+1)/$NU$77,$NN$77/$NT$77)),0)</f>
        <v/>
      </c>
      <c r="KY77" s="402">
        <f>IF(AND(307&gt;=$NR$77,307&lt;=$NS$77),IF($NP$77="Single_Point",IF(307=$NR$77,$NN$77,0),IF($NP$77="Bell_Curve",$NN$77*(307-$NR$77+1)*($NS$77-307+1)/$NU$77,$NN$77/$NT$77)),0)</f>
        <v/>
      </c>
      <c r="KZ77" s="402">
        <f>IF(AND(308&gt;=$NR$77,308&lt;=$NS$77),IF($NP$77="Single_Point",IF(308=$NR$77,$NN$77,0),IF($NP$77="Bell_Curve",$NN$77*(308-$NR$77+1)*($NS$77-308+1)/$NU$77,$NN$77/$NT$77)),0)</f>
        <v/>
      </c>
      <c r="LA77" s="402">
        <f>IF(AND(309&gt;=$NR$77,309&lt;=$NS$77),IF($NP$77="Single_Point",IF(309=$NR$77,$NN$77,0),IF($NP$77="Bell_Curve",$NN$77*(309-$NR$77+1)*($NS$77-309+1)/$NU$77,$NN$77/$NT$77)),0)</f>
        <v/>
      </c>
      <c r="LB77" s="402">
        <f>IF(AND(310&gt;=$NR$77,310&lt;=$NS$77),IF($NP$77="Single_Point",IF(310=$NR$77,$NN$77,0),IF($NP$77="Bell_Curve",$NN$77*(310-$NR$77+1)*($NS$77-310+1)/$NU$77,$NN$77/$NT$77)),0)</f>
        <v/>
      </c>
      <c r="LC77" s="402">
        <f>IF(AND(311&gt;=$NR$77,311&lt;=$NS$77),IF($NP$77="Single_Point",IF(311=$NR$77,$NN$77,0),IF($NP$77="Bell_Curve",$NN$77*(311-$NR$77+1)*($NS$77-311+1)/$NU$77,$NN$77/$NT$77)),0)</f>
        <v/>
      </c>
      <c r="LD77" s="402">
        <f>IF(AND(312&gt;=$NR$77,312&lt;=$NS$77),IF($NP$77="Single_Point",IF(312=$NR$77,$NN$77,0),IF($NP$77="Bell_Curve",$NN$77*(312-$NR$77+1)*($NS$77-312+1)/$NU$77,$NN$77/$NT$77)),0)</f>
        <v/>
      </c>
      <c r="LE77" s="402">
        <f>IF(AND(313&gt;=$NR$77,313&lt;=$NS$77),IF($NP$77="Single_Point",IF(313=$NR$77,$NN$77,0),IF($NP$77="Bell_Curve",$NN$77*(313-$NR$77+1)*($NS$77-313+1)/$NU$77,$NN$77/$NT$77)),0)</f>
        <v/>
      </c>
      <c r="LF77" s="402">
        <f>IF(AND(314&gt;=$NR$77,314&lt;=$NS$77),IF($NP$77="Single_Point",IF(314=$NR$77,$NN$77,0),IF($NP$77="Bell_Curve",$NN$77*(314-$NR$77+1)*($NS$77-314+1)/$NU$77,$NN$77/$NT$77)),0)</f>
        <v/>
      </c>
      <c r="LG77" s="402">
        <f>IF(AND(315&gt;=$NR$77,315&lt;=$NS$77),IF($NP$77="Single_Point",IF(315=$NR$77,$NN$77,0),IF($NP$77="Bell_Curve",$NN$77*(315-$NR$77+1)*($NS$77-315+1)/$NU$77,$NN$77/$NT$77)),0)</f>
        <v/>
      </c>
      <c r="LH77" s="402">
        <f>IF(AND(316&gt;=$NR$77,316&lt;=$NS$77),IF($NP$77="Single_Point",IF(316=$NR$77,$NN$77,0),IF($NP$77="Bell_Curve",$NN$77*(316-$NR$77+1)*($NS$77-316+1)/$NU$77,$NN$77/$NT$77)),0)</f>
        <v/>
      </c>
      <c r="LI77" s="402">
        <f>IF(AND(317&gt;=$NR$77,317&lt;=$NS$77),IF($NP$77="Single_Point",IF(317=$NR$77,$NN$77,0),IF($NP$77="Bell_Curve",$NN$77*(317-$NR$77+1)*($NS$77-317+1)/$NU$77,$NN$77/$NT$77)),0)</f>
        <v/>
      </c>
      <c r="LJ77" s="402">
        <f>IF(AND(318&gt;=$NR$77,318&lt;=$NS$77),IF($NP$77="Single_Point",IF(318=$NR$77,$NN$77,0),IF($NP$77="Bell_Curve",$NN$77*(318-$NR$77+1)*($NS$77-318+1)/$NU$77,$NN$77/$NT$77)),0)</f>
        <v/>
      </c>
      <c r="LK77" s="402">
        <f>IF(AND(319&gt;=$NR$77,319&lt;=$NS$77),IF($NP$77="Single_Point",IF(319=$NR$77,$NN$77,0),IF($NP$77="Bell_Curve",$NN$77*(319-$NR$77+1)*($NS$77-319+1)/$NU$77,$NN$77/$NT$77)),0)</f>
        <v/>
      </c>
      <c r="LL77" s="402">
        <f>IF(AND(320&gt;=$NR$77,320&lt;=$NS$77),IF($NP$77="Single_Point",IF(320=$NR$77,$NN$77,0),IF($NP$77="Bell_Curve",$NN$77*(320-$NR$77+1)*($NS$77-320+1)/$NU$77,$NN$77/$NT$77)),0)</f>
        <v/>
      </c>
      <c r="LM77" s="402">
        <f>IF(AND(321&gt;=$NR$77,321&lt;=$NS$77),IF($NP$77="Single_Point",IF(321=$NR$77,$NN$77,0),IF($NP$77="Bell_Curve",$NN$77*(321-$NR$77+1)*($NS$77-321+1)/$NU$77,$NN$77/$NT$77)),0)</f>
        <v/>
      </c>
      <c r="LN77" s="402">
        <f>IF(AND(322&gt;=$NR$77,322&lt;=$NS$77),IF($NP$77="Single_Point",IF(322=$NR$77,$NN$77,0),IF($NP$77="Bell_Curve",$NN$77*(322-$NR$77+1)*($NS$77-322+1)/$NU$77,$NN$77/$NT$77)),0)</f>
        <v/>
      </c>
      <c r="LO77" s="402">
        <f>IF(AND(323&gt;=$NR$77,323&lt;=$NS$77),IF($NP$77="Single_Point",IF(323=$NR$77,$NN$77,0),IF($NP$77="Bell_Curve",$NN$77*(323-$NR$77+1)*($NS$77-323+1)/$NU$77,$NN$77/$NT$77)),0)</f>
        <v/>
      </c>
      <c r="LP77" s="402">
        <f>IF(AND(324&gt;=$NR$77,324&lt;=$NS$77),IF($NP$77="Single_Point",IF(324=$NR$77,$NN$77,0),IF($NP$77="Bell_Curve",$NN$77*(324-$NR$77+1)*($NS$77-324+1)/$NU$77,$NN$77/$NT$77)),0)</f>
        <v/>
      </c>
      <c r="LQ77" s="402">
        <f>IF(AND(325&gt;=$NR$77,325&lt;=$NS$77),IF($NP$77="Single_Point",IF(325=$NR$77,$NN$77,0),IF($NP$77="Bell_Curve",$NN$77*(325-$NR$77+1)*($NS$77-325+1)/$NU$77,$NN$77/$NT$77)),0)</f>
        <v/>
      </c>
      <c r="LR77" s="402">
        <f>IF(AND(326&gt;=$NR$77,326&lt;=$NS$77),IF($NP$77="Single_Point",IF(326=$NR$77,$NN$77,0),IF($NP$77="Bell_Curve",$NN$77*(326-$NR$77+1)*($NS$77-326+1)/$NU$77,$NN$77/$NT$77)),0)</f>
        <v/>
      </c>
      <c r="LS77" s="402">
        <f>IF(AND(327&gt;=$NR$77,327&lt;=$NS$77),IF($NP$77="Single_Point",IF(327=$NR$77,$NN$77,0),IF($NP$77="Bell_Curve",$NN$77*(327-$NR$77+1)*($NS$77-327+1)/$NU$77,$NN$77/$NT$77)),0)</f>
        <v/>
      </c>
      <c r="LT77" s="402">
        <f>IF(AND(328&gt;=$NR$77,328&lt;=$NS$77),IF($NP$77="Single_Point",IF(328=$NR$77,$NN$77,0),IF($NP$77="Bell_Curve",$NN$77*(328-$NR$77+1)*($NS$77-328+1)/$NU$77,$NN$77/$NT$77)),0)</f>
        <v/>
      </c>
      <c r="LU77" s="402">
        <f>IF(AND(329&gt;=$NR$77,329&lt;=$NS$77),IF($NP$77="Single_Point",IF(329=$NR$77,$NN$77,0),IF($NP$77="Bell_Curve",$NN$77*(329-$NR$77+1)*($NS$77-329+1)/$NU$77,$NN$77/$NT$77)),0)</f>
        <v/>
      </c>
      <c r="LV77" s="402">
        <f>IF(AND(330&gt;=$NR$77,330&lt;=$NS$77),IF($NP$77="Single_Point",IF(330=$NR$77,$NN$77,0),IF($NP$77="Bell_Curve",$NN$77*(330-$NR$77+1)*($NS$77-330+1)/$NU$77,$NN$77/$NT$77)),0)</f>
        <v/>
      </c>
      <c r="LW77" s="402">
        <f>IF(AND(331&gt;=$NR$77,331&lt;=$NS$77),IF($NP$77="Single_Point",IF(331=$NR$77,$NN$77,0),IF($NP$77="Bell_Curve",$NN$77*(331-$NR$77+1)*($NS$77-331+1)/$NU$77,$NN$77/$NT$77)),0)</f>
        <v/>
      </c>
      <c r="LX77" s="402">
        <f>IF(AND(332&gt;=$NR$77,332&lt;=$NS$77),IF($NP$77="Single_Point",IF(332=$NR$77,$NN$77,0),IF($NP$77="Bell_Curve",$NN$77*(332-$NR$77+1)*($NS$77-332+1)/$NU$77,$NN$77/$NT$77)),0)</f>
        <v/>
      </c>
      <c r="LY77" s="402">
        <f>IF(AND(333&gt;=$NR$77,333&lt;=$NS$77),IF($NP$77="Single_Point",IF(333=$NR$77,$NN$77,0),IF($NP$77="Bell_Curve",$NN$77*(333-$NR$77+1)*($NS$77-333+1)/$NU$77,$NN$77/$NT$77)),0)</f>
        <v/>
      </c>
      <c r="LZ77" s="402">
        <f>IF(AND(334&gt;=$NR$77,334&lt;=$NS$77),IF($NP$77="Single_Point",IF(334=$NR$77,$NN$77,0),IF($NP$77="Bell_Curve",$NN$77*(334-$NR$77+1)*($NS$77-334+1)/$NU$77,$NN$77/$NT$77)),0)</f>
        <v/>
      </c>
      <c r="MA77" s="402">
        <f>IF(AND(335&gt;=$NR$77,335&lt;=$NS$77),IF($NP$77="Single_Point",IF(335=$NR$77,$NN$77,0),IF($NP$77="Bell_Curve",$NN$77*(335-$NR$77+1)*($NS$77-335+1)/$NU$77,$NN$77/$NT$77)),0)</f>
        <v/>
      </c>
      <c r="MB77" s="402">
        <f>IF(AND(336&gt;=$NR$77,336&lt;=$NS$77),IF($NP$77="Single_Point",IF(336=$NR$77,$NN$77,0),IF($NP$77="Bell_Curve",$NN$77*(336-$NR$77+1)*($NS$77-336+1)/$NU$77,$NN$77/$NT$77)),0)</f>
        <v/>
      </c>
      <c r="MC77" s="402">
        <f>IF(AND(337&gt;=$NR$77,337&lt;=$NS$77),IF($NP$77="Single_Point",IF(337=$NR$77,$NN$77,0),IF($NP$77="Bell_Curve",$NN$77*(337-$NR$77+1)*($NS$77-337+1)/$NU$77,$NN$77/$NT$77)),0)</f>
        <v/>
      </c>
      <c r="MD77" s="402">
        <f>IF(AND(338&gt;=$NR$77,338&lt;=$NS$77),IF($NP$77="Single_Point",IF(338=$NR$77,$NN$77,0),IF($NP$77="Bell_Curve",$NN$77*(338-$NR$77+1)*($NS$77-338+1)/$NU$77,$NN$77/$NT$77)),0)</f>
        <v/>
      </c>
      <c r="ME77" s="402">
        <f>IF(AND(339&gt;=$NR$77,339&lt;=$NS$77),IF($NP$77="Single_Point",IF(339=$NR$77,$NN$77,0),IF($NP$77="Bell_Curve",$NN$77*(339-$NR$77+1)*($NS$77-339+1)/$NU$77,$NN$77/$NT$77)),0)</f>
        <v/>
      </c>
      <c r="MF77" s="402">
        <f>IF(AND(340&gt;=$NR$77,340&lt;=$NS$77),IF($NP$77="Single_Point",IF(340=$NR$77,$NN$77,0),IF($NP$77="Bell_Curve",$NN$77*(340-$NR$77+1)*($NS$77-340+1)/$NU$77,$NN$77/$NT$77)),0)</f>
        <v/>
      </c>
      <c r="MG77" s="402">
        <f>IF(AND(341&gt;=$NR$77,341&lt;=$NS$77),IF($NP$77="Single_Point",IF(341=$NR$77,$NN$77,0),IF($NP$77="Bell_Curve",$NN$77*(341-$NR$77+1)*($NS$77-341+1)/$NU$77,$NN$77/$NT$77)),0)</f>
        <v/>
      </c>
      <c r="MH77" s="402">
        <f>IF(AND(342&gt;=$NR$77,342&lt;=$NS$77),IF($NP$77="Single_Point",IF(342=$NR$77,$NN$77,0),IF($NP$77="Bell_Curve",$NN$77*(342-$NR$77+1)*($NS$77-342+1)/$NU$77,$NN$77/$NT$77)),0)</f>
        <v/>
      </c>
      <c r="MI77" s="402">
        <f>IF(AND(343&gt;=$NR$77,343&lt;=$NS$77),IF($NP$77="Single_Point",IF(343=$NR$77,$NN$77,0),IF($NP$77="Bell_Curve",$NN$77*(343-$NR$77+1)*($NS$77-343+1)/$NU$77,$NN$77/$NT$77)),0)</f>
        <v/>
      </c>
      <c r="MJ77" s="402">
        <f>IF(AND(344&gt;=$NR$77,344&lt;=$NS$77),IF($NP$77="Single_Point",IF(344=$NR$77,$NN$77,0),IF($NP$77="Bell_Curve",$NN$77*(344-$NR$77+1)*($NS$77-344+1)/$NU$77,$NN$77/$NT$77)),0)</f>
        <v/>
      </c>
      <c r="MK77" s="402">
        <f>IF(AND(345&gt;=$NR$77,345&lt;=$NS$77),IF($NP$77="Single_Point",IF(345=$NR$77,$NN$77,0),IF($NP$77="Bell_Curve",$NN$77*(345-$NR$77+1)*($NS$77-345+1)/$NU$77,$NN$77/$NT$77)),0)</f>
        <v/>
      </c>
      <c r="ML77" s="402">
        <f>IF(AND(346&gt;=$NR$77,346&lt;=$NS$77),IF($NP$77="Single_Point",IF(346=$NR$77,$NN$77,0),IF($NP$77="Bell_Curve",$NN$77*(346-$NR$77+1)*($NS$77-346+1)/$NU$77,$NN$77/$NT$77)),0)</f>
        <v/>
      </c>
      <c r="MM77" s="402">
        <f>IF(AND(347&gt;=$NR$77,347&lt;=$NS$77),IF($NP$77="Single_Point",IF(347=$NR$77,$NN$77,0),IF($NP$77="Bell_Curve",$NN$77*(347-$NR$77+1)*($NS$77-347+1)/$NU$77,$NN$77/$NT$77)),0)</f>
        <v/>
      </c>
      <c r="MN77" s="402">
        <f>IF(AND(348&gt;=$NR$77,348&lt;=$NS$77),IF($NP$77="Single_Point",IF(348=$NR$77,$NN$77,0),IF($NP$77="Bell_Curve",$NN$77*(348-$NR$77+1)*($NS$77-348+1)/$NU$77,$NN$77/$NT$77)),0)</f>
        <v/>
      </c>
      <c r="MO77" s="402">
        <f>IF(AND(349&gt;=$NR$77,349&lt;=$NS$77),IF($NP$77="Single_Point",IF(349=$NR$77,$NN$77,0),IF($NP$77="Bell_Curve",$NN$77*(349-$NR$77+1)*($NS$77-349+1)/$NU$77,$NN$77/$NT$77)),0)</f>
        <v/>
      </c>
      <c r="MP77" s="402">
        <f>IF(AND(350&gt;=$NR$77,350&lt;=$NS$77),IF($NP$77="Single_Point",IF(350=$NR$77,$NN$77,0),IF($NP$77="Bell_Curve",$NN$77*(350-$NR$77+1)*($NS$77-350+1)/$NU$77,$NN$77/$NT$77)),0)</f>
        <v/>
      </c>
      <c r="MQ77" s="402">
        <f>IF(AND(351&gt;=$NR$77,351&lt;=$NS$77),IF($NP$77="Single_Point",IF(351=$NR$77,$NN$77,0),IF($NP$77="Bell_Curve",$NN$77*(351-$NR$77+1)*($NS$77-351+1)/$NU$77,$NN$77/$NT$77)),0)</f>
        <v/>
      </c>
      <c r="MR77" s="402">
        <f>IF(AND(352&gt;=$NR$77,352&lt;=$NS$77),IF($NP$77="Single_Point",IF(352=$NR$77,$NN$77,0),IF($NP$77="Bell_Curve",$NN$77*(352-$NR$77+1)*($NS$77-352+1)/$NU$77,$NN$77/$NT$77)),0)</f>
        <v/>
      </c>
      <c r="MS77" s="402">
        <f>IF(AND(353&gt;=$NR$77,353&lt;=$NS$77),IF($NP$77="Single_Point",IF(353=$NR$77,$NN$77,0),IF($NP$77="Bell_Curve",$NN$77*(353-$NR$77+1)*($NS$77-353+1)/$NU$77,$NN$77/$NT$77)),0)</f>
        <v/>
      </c>
      <c r="MT77" s="402">
        <f>IF(AND(354&gt;=$NR$77,354&lt;=$NS$77),IF($NP$77="Single_Point",IF(354=$NR$77,$NN$77,0),IF($NP$77="Bell_Curve",$NN$77*(354-$NR$77+1)*($NS$77-354+1)/$NU$77,$NN$77/$NT$77)),0)</f>
        <v/>
      </c>
      <c r="MU77" s="402">
        <f>IF(AND(355&gt;=$NR$77,355&lt;=$NS$77),IF($NP$77="Single_Point",IF(355=$NR$77,$NN$77,0),IF($NP$77="Bell_Curve",$NN$77*(355-$NR$77+1)*($NS$77-355+1)/$NU$77,$NN$77/$NT$77)),0)</f>
        <v/>
      </c>
      <c r="MV77" s="402">
        <f>IF(AND(356&gt;=$NR$77,356&lt;=$NS$77),IF($NP$77="Single_Point",IF(356=$NR$77,$NN$77,0),IF($NP$77="Bell_Curve",$NN$77*(356-$NR$77+1)*($NS$77-356+1)/$NU$77,$NN$77/$NT$77)),0)</f>
        <v/>
      </c>
      <c r="MW77" s="402">
        <f>IF(AND(357&gt;=$NR$77,357&lt;=$NS$77),IF($NP$77="Single_Point",IF(357=$NR$77,$NN$77,0),IF($NP$77="Bell_Curve",$NN$77*(357-$NR$77+1)*($NS$77-357+1)/$NU$77,$NN$77/$NT$77)),0)</f>
        <v/>
      </c>
      <c r="MX77" s="402">
        <f>IF(AND(358&gt;=$NR$77,358&lt;=$NS$77),IF($NP$77="Single_Point",IF(358=$NR$77,$NN$77,0),IF($NP$77="Bell_Curve",$NN$77*(358-$NR$77+1)*($NS$77-358+1)/$NU$77,$NN$77/$NT$77)),0)</f>
        <v/>
      </c>
      <c r="MY77" s="402">
        <f>IF(AND(359&gt;=$NR$77,359&lt;=$NS$77),IF($NP$77="Single_Point",IF(359=$NR$77,$NN$77,0),IF($NP$77="Bell_Curve",$NN$77*(359-$NR$77+1)*($NS$77-359+1)/$NU$77,$NN$77/$NT$77)),0)</f>
        <v/>
      </c>
      <c r="MZ77" s="402">
        <f>IF(AND(360&gt;=$NR$77,360&lt;=$NS$77),IF($NP$77="Single_Point",IF(360=$NR$77,$NN$77,0),IF($NP$77="Bell_Curve",$NN$77*(360-$NR$77+1)*($NS$77-360+1)/$NU$77,$NN$77/$NT$77)),0)</f>
        <v/>
      </c>
      <c r="NA77" s="402">
        <f>IF(AND(361&gt;=$NR$77,361&lt;=$NS$77),IF($NP$77="Single_Point",IF(361=$NR$77,$NN$77,0),IF($NP$77="Bell_Curve",$NN$77*(361-$NR$77+1)*($NS$77-361+1)/$NU$77,$NN$77/$NT$77)),0)</f>
        <v/>
      </c>
      <c r="NB77" s="402">
        <f>IF(AND(362&gt;=$NR$77,362&lt;=$NS$77),IF($NP$77="Single_Point",IF(362=$NR$77,$NN$77,0),IF($NP$77="Bell_Curve",$NN$77*(362-$NR$77+1)*($NS$77-362+1)/$NU$77,$NN$77/$NT$77)),0)</f>
        <v/>
      </c>
      <c r="NC77" s="402">
        <f>IF(AND(363&gt;=$NR$77,363&lt;=$NS$77),IF($NP$77="Single_Point",IF(363=$NR$77,$NN$77,0),IF($NP$77="Bell_Curve",$NN$77*(363-$NR$77+1)*($NS$77-363+1)/$NU$77,$NN$77/$NT$77)),0)</f>
        <v/>
      </c>
      <c r="ND77" s="402">
        <f>IF(AND(364&gt;=$NR$77,364&lt;=$NS$77),IF($NP$77="Single_Point",IF(364=$NR$77,$NN$77,0),IF($NP$77="Bell_Curve",$NN$77*(364-$NR$77+1)*($NS$77-364+1)/$NU$77,$NN$77/$NT$77)),0)</f>
        <v/>
      </c>
      <c r="NE77" s="402">
        <f>IF(AND(365&gt;=$NR$77,365&lt;=$NS$77),IF($NP$77="Single_Point",IF(365=$NR$77,$NN$77,0),IF($NP$77="Bell_Curve",$NN$77*(365-$NR$77+1)*($NS$77-365+1)/$NU$77,$NN$77/$NT$77)),0)</f>
        <v/>
      </c>
      <c r="NF77" s="402">
        <f>IF(AND(366&gt;=$NR$77,366&lt;=$NS$77),IF($NP$77="Single_Point",IF(366=$NR$77,$NN$77,0),IF($NP$77="Bell_Curve",$NN$77*(366-$NR$77+1)*($NS$77-366+1)/$NU$77,$NN$77/$NT$77)),0)</f>
        <v/>
      </c>
      <c r="NG77" s="402">
        <f>IF(AND(367&gt;=$NR$77,367&lt;=$NS$77),IF($NP$77="Single_Point",IF(367=$NR$77,$NN$77,0),IF($NP$77="Bell_Curve",$NN$77*(367-$NR$77+1)*($NS$77-367+1)/$NU$77,$NN$77/$NT$77)),0)</f>
        <v/>
      </c>
      <c r="NH77" s="402">
        <f>IF(AND(368&gt;=$NR$77,368&lt;=$NS$77),IF($NP$77="Single_Point",IF(368=$NR$77,$NN$77,0),IF($NP$77="Bell_Curve",$NN$77*(368-$NR$77+1)*($NS$77-368+1)/$NU$77,$NN$77/$NT$77)),0)</f>
        <v/>
      </c>
      <c r="NI77" s="402">
        <f>IF(AND(369&gt;=$NR$77,369&lt;=$NS$77),IF($NP$77="Single_Point",IF(369=$NR$77,$NN$77,0),IF($NP$77="Bell_Curve",$NN$77*(369-$NR$77+1)*($NS$77-369+1)/$NU$77,$NN$77/$NT$77)),0)</f>
        <v/>
      </c>
      <c r="NJ77" s="402">
        <f>IF(AND(370&gt;=$NR$77,370&lt;=$NS$77),IF($NP$77="Single_Point",IF(370=$NR$77,$NN$77,0),IF($NP$77="Bell_Curve",$NN$77*(370-$NR$77+1)*($NS$77-370+1)/$NU$77,$NN$77/$NT$77)),0)</f>
        <v/>
      </c>
      <c r="NK77" s="402">
        <f>IF(AND(371&gt;=$NR$77,371&lt;=$NS$77),IF($NP$77="Single_Point",IF(371=$NR$77,$NN$77,0),IF($NP$77="Bell_Curve",$NN$77*(371-$NR$77+1)*($NS$77-371+1)/$NU$77,$NN$77/$NT$77)),0)</f>
        <v/>
      </c>
      <c r="NL77" s="402">
        <f>IF(AND(372&gt;=$NR$77,372&lt;=$NS$77),IF($NP$77="Single_Point",IF(372=$NR$77,$NN$77,0),IF($NP$77="Bell_Curve",$NN$77*(372-$NR$77+1)*($NS$77-372+1)/$NU$77,$NN$77/$NT$77)),0)</f>
        <v/>
      </c>
      <c r="NM77">
        <f>Budget!C76</f>
        <v/>
      </c>
      <c r="NN77">
        <f>Budget!J76</f>
        <v/>
      </c>
      <c r="NO77">
        <f>Budget!G76</f>
        <v/>
      </c>
      <c r="NP77">
        <f>Budget!H76</f>
        <v/>
      </c>
      <c r="NQ77">
        <f>Budget!I76</f>
        <v/>
      </c>
      <c r="NR77">
        <f>MAX(1,MIN(372,INDEX(MilestoneStart,MATCH(NO77,MilestoneNames,0))+NQ77))</f>
        <v/>
      </c>
      <c r="NS77">
        <f>MAX(NR77,MIN(372,INDEX(MilestoneEnd,MATCH(NO77,MilestoneNames,0))+NQ77))</f>
        <v/>
      </c>
      <c r="NT77">
        <f>NS77-NR77+1</f>
        <v/>
      </c>
      <c r="NU77">
        <f>NT77*(NT77+1)*(NT77+2)/6</f>
        <v/>
      </c>
    </row>
    <row r="78">
      <c r="B78" s="316">
        <f>Budget!B77</f>
        <v/>
      </c>
      <c r="D78" s="402">
        <f>SUM(E78:NL78)</f>
        <v/>
      </c>
      <c r="E78" s="402">
        <f>IF(AND(1&gt;=$NR$78,1&lt;=$NS$78),IF($NP$78="Single_Point",IF(1=$NR$78,$NN$78,0),IF($NP$78="Bell_Curve",$NN$78*(1-$NR$78+1)*($NS$78-1+1)/$NU$78,$NN$78/$NT$78)),0)</f>
        <v/>
      </c>
      <c r="F78" s="402">
        <f>IF(AND(2&gt;=$NR$78,2&lt;=$NS$78),IF($NP$78="Single_Point",IF(2=$NR$78,$NN$78,0),IF($NP$78="Bell_Curve",$NN$78*(2-$NR$78+1)*($NS$78-2+1)/$NU$78,$NN$78/$NT$78)),0)</f>
        <v/>
      </c>
      <c r="G78" s="402">
        <f>IF(AND(3&gt;=$NR$78,3&lt;=$NS$78),IF($NP$78="Single_Point",IF(3=$NR$78,$NN$78,0),IF($NP$78="Bell_Curve",$NN$78*(3-$NR$78+1)*($NS$78-3+1)/$NU$78,$NN$78/$NT$78)),0)</f>
        <v/>
      </c>
      <c r="H78" s="402">
        <f>IF(AND(4&gt;=$NR$78,4&lt;=$NS$78),IF($NP$78="Single_Point",IF(4=$NR$78,$NN$78,0),IF($NP$78="Bell_Curve",$NN$78*(4-$NR$78+1)*($NS$78-4+1)/$NU$78,$NN$78/$NT$78)),0)</f>
        <v/>
      </c>
      <c r="I78" s="402">
        <f>IF(AND(5&gt;=$NR$78,5&lt;=$NS$78),IF($NP$78="Single_Point",IF(5=$NR$78,$NN$78,0),IF($NP$78="Bell_Curve",$NN$78*(5-$NR$78+1)*($NS$78-5+1)/$NU$78,$NN$78/$NT$78)),0)</f>
        <v/>
      </c>
      <c r="J78" s="402">
        <f>IF(AND(6&gt;=$NR$78,6&lt;=$NS$78),IF($NP$78="Single_Point",IF(6=$NR$78,$NN$78,0),IF($NP$78="Bell_Curve",$NN$78*(6-$NR$78+1)*($NS$78-6+1)/$NU$78,$NN$78/$NT$78)),0)</f>
        <v/>
      </c>
      <c r="K78" s="402">
        <f>IF(AND(7&gt;=$NR$78,7&lt;=$NS$78),IF($NP$78="Single_Point",IF(7=$NR$78,$NN$78,0),IF($NP$78="Bell_Curve",$NN$78*(7-$NR$78+1)*($NS$78-7+1)/$NU$78,$NN$78/$NT$78)),0)</f>
        <v/>
      </c>
      <c r="L78" s="402">
        <f>IF(AND(8&gt;=$NR$78,8&lt;=$NS$78),IF($NP$78="Single_Point",IF(8=$NR$78,$NN$78,0),IF($NP$78="Bell_Curve",$NN$78*(8-$NR$78+1)*($NS$78-8+1)/$NU$78,$NN$78/$NT$78)),0)</f>
        <v/>
      </c>
      <c r="M78" s="402">
        <f>IF(AND(9&gt;=$NR$78,9&lt;=$NS$78),IF($NP$78="Single_Point",IF(9=$NR$78,$NN$78,0),IF($NP$78="Bell_Curve",$NN$78*(9-$NR$78+1)*($NS$78-9+1)/$NU$78,$NN$78/$NT$78)),0)</f>
        <v/>
      </c>
      <c r="N78" s="402">
        <f>IF(AND(10&gt;=$NR$78,10&lt;=$NS$78),IF($NP$78="Single_Point",IF(10=$NR$78,$NN$78,0),IF($NP$78="Bell_Curve",$NN$78*(10-$NR$78+1)*($NS$78-10+1)/$NU$78,$NN$78/$NT$78)),0)</f>
        <v/>
      </c>
      <c r="O78" s="402">
        <f>IF(AND(11&gt;=$NR$78,11&lt;=$NS$78),IF($NP$78="Single_Point",IF(11=$NR$78,$NN$78,0),IF($NP$78="Bell_Curve",$NN$78*(11-$NR$78+1)*($NS$78-11+1)/$NU$78,$NN$78/$NT$78)),0)</f>
        <v/>
      </c>
      <c r="P78" s="402">
        <f>IF(AND(12&gt;=$NR$78,12&lt;=$NS$78),IF($NP$78="Single_Point",IF(12=$NR$78,$NN$78,0),IF($NP$78="Bell_Curve",$NN$78*(12-$NR$78+1)*($NS$78-12+1)/$NU$78,$NN$78/$NT$78)),0)</f>
        <v/>
      </c>
      <c r="Q78" s="402">
        <f>IF(AND(13&gt;=$NR$78,13&lt;=$NS$78),IF($NP$78="Single_Point",IF(13=$NR$78,$NN$78,0),IF($NP$78="Bell_Curve",$NN$78*(13-$NR$78+1)*($NS$78-13+1)/$NU$78,$NN$78/$NT$78)),0)</f>
        <v/>
      </c>
      <c r="R78" s="402">
        <f>IF(AND(14&gt;=$NR$78,14&lt;=$NS$78),IF($NP$78="Single_Point",IF(14=$NR$78,$NN$78,0),IF($NP$78="Bell_Curve",$NN$78*(14-$NR$78+1)*($NS$78-14+1)/$NU$78,$NN$78/$NT$78)),0)</f>
        <v/>
      </c>
      <c r="S78" s="402">
        <f>IF(AND(15&gt;=$NR$78,15&lt;=$NS$78),IF($NP$78="Single_Point",IF(15=$NR$78,$NN$78,0),IF($NP$78="Bell_Curve",$NN$78*(15-$NR$78+1)*($NS$78-15+1)/$NU$78,$NN$78/$NT$78)),0)</f>
        <v/>
      </c>
      <c r="T78" s="402">
        <f>IF(AND(16&gt;=$NR$78,16&lt;=$NS$78),IF($NP$78="Single_Point",IF(16=$NR$78,$NN$78,0),IF($NP$78="Bell_Curve",$NN$78*(16-$NR$78+1)*($NS$78-16+1)/$NU$78,$NN$78/$NT$78)),0)</f>
        <v/>
      </c>
      <c r="U78" s="402">
        <f>IF(AND(17&gt;=$NR$78,17&lt;=$NS$78),IF($NP$78="Single_Point",IF(17=$NR$78,$NN$78,0),IF($NP$78="Bell_Curve",$NN$78*(17-$NR$78+1)*($NS$78-17+1)/$NU$78,$NN$78/$NT$78)),0)</f>
        <v/>
      </c>
      <c r="V78" s="402">
        <f>IF(AND(18&gt;=$NR$78,18&lt;=$NS$78),IF($NP$78="Single_Point",IF(18=$NR$78,$NN$78,0),IF($NP$78="Bell_Curve",$NN$78*(18-$NR$78+1)*($NS$78-18+1)/$NU$78,$NN$78/$NT$78)),0)</f>
        <v/>
      </c>
      <c r="W78" s="402">
        <f>IF(AND(19&gt;=$NR$78,19&lt;=$NS$78),IF($NP$78="Single_Point",IF(19=$NR$78,$NN$78,0),IF($NP$78="Bell_Curve",$NN$78*(19-$NR$78+1)*($NS$78-19+1)/$NU$78,$NN$78/$NT$78)),0)</f>
        <v/>
      </c>
      <c r="X78" s="402">
        <f>IF(AND(20&gt;=$NR$78,20&lt;=$NS$78),IF($NP$78="Single_Point",IF(20=$NR$78,$NN$78,0),IF($NP$78="Bell_Curve",$NN$78*(20-$NR$78+1)*($NS$78-20+1)/$NU$78,$NN$78/$NT$78)),0)</f>
        <v/>
      </c>
      <c r="Y78" s="402">
        <f>IF(AND(21&gt;=$NR$78,21&lt;=$NS$78),IF($NP$78="Single_Point",IF(21=$NR$78,$NN$78,0),IF($NP$78="Bell_Curve",$NN$78*(21-$NR$78+1)*($NS$78-21+1)/$NU$78,$NN$78/$NT$78)),0)</f>
        <v/>
      </c>
      <c r="Z78" s="402">
        <f>IF(AND(22&gt;=$NR$78,22&lt;=$NS$78),IF($NP$78="Single_Point",IF(22=$NR$78,$NN$78,0),IF($NP$78="Bell_Curve",$NN$78*(22-$NR$78+1)*($NS$78-22+1)/$NU$78,$NN$78/$NT$78)),0)</f>
        <v/>
      </c>
      <c r="AA78" s="402">
        <f>IF(AND(23&gt;=$NR$78,23&lt;=$NS$78),IF($NP$78="Single_Point",IF(23=$NR$78,$NN$78,0),IF($NP$78="Bell_Curve",$NN$78*(23-$NR$78+1)*($NS$78-23+1)/$NU$78,$NN$78/$NT$78)),0)</f>
        <v/>
      </c>
      <c r="AB78" s="402">
        <f>IF(AND(24&gt;=$NR$78,24&lt;=$NS$78),IF($NP$78="Single_Point",IF(24=$NR$78,$NN$78,0),IF($NP$78="Bell_Curve",$NN$78*(24-$NR$78+1)*($NS$78-24+1)/$NU$78,$NN$78/$NT$78)),0)</f>
        <v/>
      </c>
      <c r="AC78" s="402">
        <f>IF(AND(25&gt;=$NR$78,25&lt;=$NS$78),IF($NP$78="Single_Point",IF(25=$NR$78,$NN$78,0),IF($NP$78="Bell_Curve",$NN$78*(25-$NR$78+1)*($NS$78-25+1)/$NU$78,$NN$78/$NT$78)),0)</f>
        <v/>
      </c>
      <c r="AD78" s="402">
        <f>IF(AND(26&gt;=$NR$78,26&lt;=$NS$78),IF($NP$78="Single_Point",IF(26=$NR$78,$NN$78,0),IF($NP$78="Bell_Curve",$NN$78*(26-$NR$78+1)*($NS$78-26+1)/$NU$78,$NN$78/$NT$78)),0)</f>
        <v/>
      </c>
      <c r="AE78" s="402">
        <f>IF(AND(27&gt;=$NR$78,27&lt;=$NS$78),IF($NP$78="Single_Point",IF(27=$NR$78,$NN$78,0),IF($NP$78="Bell_Curve",$NN$78*(27-$NR$78+1)*($NS$78-27+1)/$NU$78,$NN$78/$NT$78)),0)</f>
        <v/>
      </c>
      <c r="AF78" s="402">
        <f>IF(AND(28&gt;=$NR$78,28&lt;=$NS$78),IF($NP$78="Single_Point",IF(28=$NR$78,$NN$78,0),IF($NP$78="Bell_Curve",$NN$78*(28-$NR$78+1)*($NS$78-28+1)/$NU$78,$NN$78/$NT$78)),0)</f>
        <v/>
      </c>
      <c r="AG78" s="402">
        <f>IF(AND(29&gt;=$NR$78,29&lt;=$NS$78),IF($NP$78="Single_Point",IF(29=$NR$78,$NN$78,0),IF($NP$78="Bell_Curve",$NN$78*(29-$NR$78+1)*($NS$78-29+1)/$NU$78,$NN$78/$NT$78)),0)</f>
        <v/>
      </c>
      <c r="AH78" s="402">
        <f>IF(AND(30&gt;=$NR$78,30&lt;=$NS$78),IF($NP$78="Single_Point",IF(30=$NR$78,$NN$78,0),IF($NP$78="Bell_Curve",$NN$78*(30-$NR$78+1)*($NS$78-30+1)/$NU$78,$NN$78/$NT$78)),0)</f>
        <v/>
      </c>
      <c r="AI78" s="402">
        <f>IF(AND(31&gt;=$NR$78,31&lt;=$NS$78),IF($NP$78="Single_Point",IF(31=$NR$78,$NN$78,0),IF($NP$78="Bell_Curve",$NN$78*(31-$NR$78+1)*($NS$78-31+1)/$NU$78,$NN$78/$NT$78)),0)</f>
        <v/>
      </c>
      <c r="AJ78" s="402">
        <f>IF(AND(32&gt;=$NR$78,32&lt;=$NS$78),IF($NP$78="Single_Point",IF(32=$NR$78,$NN$78,0),IF($NP$78="Bell_Curve",$NN$78*(32-$NR$78+1)*($NS$78-32+1)/$NU$78,$NN$78/$NT$78)),0)</f>
        <v/>
      </c>
      <c r="AK78" s="402">
        <f>IF(AND(33&gt;=$NR$78,33&lt;=$NS$78),IF($NP$78="Single_Point",IF(33=$NR$78,$NN$78,0),IF($NP$78="Bell_Curve",$NN$78*(33-$NR$78+1)*($NS$78-33+1)/$NU$78,$NN$78/$NT$78)),0)</f>
        <v/>
      </c>
      <c r="AL78" s="402">
        <f>IF(AND(34&gt;=$NR$78,34&lt;=$NS$78),IF($NP$78="Single_Point",IF(34=$NR$78,$NN$78,0),IF($NP$78="Bell_Curve",$NN$78*(34-$NR$78+1)*($NS$78-34+1)/$NU$78,$NN$78/$NT$78)),0)</f>
        <v/>
      </c>
      <c r="AM78" s="402">
        <f>IF(AND(35&gt;=$NR$78,35&lt;=$NS$78),IF($NP$78="Single_Point",IF(35=$NR$78,$NN$78,0),IF($NP$78="Bell_Curve",$NN$78*(35-$NR$78+1)*($NS$78-35+1)/$NU$78,$NN$78/$NT$78)),0)</f>
        <v/>
      </c>
      <c r="AN78" s="402">
        <f>IF(AND(36&gt;=$NR$78,36&lt;=$NS$78),IF($NP$78="Single_Point",IF(36=$NR$78,$NN$78,0),IF($NP$78="Bell_Curve",$NN$78*(36-$NR$78+1)*($NS$78-36+1)/$NU$78,$NN$78/$NT$78)),0)</f>
        <v/>
      </c>
      <c r="AO78" s="402">
        <f>IF(AND(37&gt;=$NR$78,37&lt;=$NS$78),IF($NP$78="Single_Point",IF(37=$NR$78,$NN$78,0),IF($NP$78="Bell_Curve",$NN$78*(37-$NR$78+1)*($NS$78-37+1)/$NU$78,$NN$78/$NT$78)),0)</f>
        <v/>
      </c>
      <c r="AP78" s="402">
        <f>IF(AND(38&gt;=$NR$78,38&lt;=$NS$78),IF($NP$78="Single_Point",IF(38=$NR$78,$NN$78,0),IF($NP$78="Bell_Curve",$NN$78*(38-$NR$78+1)*($NS$78-38+1)/$NU$78,$NN$78/$NT$78)),0)</f>
        <v/>
      </c>
      <c r="AQ78" s="402">
        <f>IF(AND(39&gt;=$NR$78,39&lt;=$NS$78),IF($NP$78="Single_Point",IF(39=$NR$78,$NN$78,0),IF($NP$78="Bell_Curve",$NN$78*(39-$NR$78+1)*($NS$78-39+1)/$NU$78,$NN$78/$NT$78)),0)</f>
        <v/>
      </c>
      <c r="AR78" s="402">
        <f>IF(AND(40&gt;=$NR$78,40&lt;=$NS$78),IF($NP$78="Single_Point",IF(40=$NR$78,$NN$78,0),IF($NP$78="Bell_Curve",$NN$78*(40-$NR$78+1)*($NS$78-40+1)/$NU$78,$NN$78/$NT$78)),0)</f>
        <v/>
      </c>
      <c r="AS78" s="402">
        <f>IF(AND(41&gt;=$NR$78,41&lt;=$NS$78),IF($NP$78="Single_Point",IF(41=$NR$78,$NN$78,0),IF($NP$78="Bell_Curve",$NN$78*(41-$NR$78+1)*($NS$78-41+1)/$NU$78,$NN$78/$NT$78)),0)</f>
        <v/>
      </c>
      <c r="AT78" s="402">
        <f>IF(AND(42&gt;=$NR$78,42&lt;=$NS$78),IF($NP$78="Single_Point",IF(42=$NR$78,$NN$78,0),IF($NP$78="Bell_Curve",$NN$78*(42-$NR$78+1)*($NS$78-42+1)/$NU$78,$NN$78/$NT$78)),0)</f>
        <v/>
      </c>
      <c r="AU78" s="402">
        <f>IF(AND(43&gt;=$NR$78,43&lt;=$NS$78),IF($NP$78="Single_Point",IF(43=$NR$78,$NN$78,0),IF($NP$78="Bell_Curve",$NN$78*(43-$NR$78+1)*($NS$78-43+1)/$NU$78,$NN$78/$NT$78)),0)</f>
        <v/>
      </c>
      <c r="AV78" s="402">
        <f>IF(AND(44&gt;=$NR$78,44&lt;=$NS$78),IF($NP$78="Single_Point",IF(44=$NR$78,$NN$78,0),IF($NP$78="Bell_Curve",$NN$78*(44-$NR$78+1)*($NS$78-44+1)/$NU$78,$NN$78/$NT$78)),0)</f>
        <v/>
      </c>
      <c r="AW78" s="402">
        <f>IF(AND(45&gt;=$NR$78,45&lt;=$NS$78),IF($NP$78="Single_Point",IF(45=$NR$78,$NN$78,0),IF($NP$78="Bell_Curve",$NN$78*(45-$NR$78+1)*($NS$78-45+1)/$NU$78,$NN$78/$NT$78)),0)</f>
        <v/>
      </c>
      <c r="AX78" s="402">
        <f>IF(AND(46&gt;=$NR$78,46&lt;=$NS$78),IF($NP$78="Single_Point",IF(46=$NR$78,$NN$78,0),IF($NP$78="Bell_Curve",$NN$78*(46-$NR$78+1)*($NS$78-46+1)/$NU$78,$NN$78/$NT$78)),0)</f>
        <v/>
      </c>
      <c r="AY78" s="402">
        <f>IF(AND(47&gt;=$NR$78,47&lt;=$NS$78),IF($NP$78="Single_Point",IF(47=$NR$78,$NN$78,0),IF($NP$78="Bell_Curve",$NN$78*(47-$NR$78+1)*($NS$78-47+1)/$NU$78,$NN$78/$NT$78)),0)</f>
        <v/>
      </c>
      <c r="AZ78" s="402">
        <f>IF(AND(48&gt;=$NR$78,48&lt;=$NS$78),IF($NP$78="Single_Point",IF(48=$NR$78,$NN$78,0),IF($NP$78="Bell_Curve",$NN$78*(48-$NR$78+1)*($NS$78-48+1)/$NU$78,$NN$78/$NT$78)),0)</f>
        <v/>
      </c>
      <c r="BA78" s="402">
        <f>IF(AND(49&gt;=$NR$78,49&lt;=$NS$78),IF($NP$78="Single_Point",IF(49=$NR$78,$NN$78,0),IF($NP$78="Bell_Curve",$NN$78*(49-$NR$78+1)*($NS$78-49+1)/$NU$78,$NN$78/$NT$78)),0)</f>
        <v/>
      </c>
      <c r="BB78" s="402">
        <f>IF(AND(50&gt;=$NR$78,50&lt;=$NS$78),IF($NP$78="Single_Point",IF(50=$NR$78,$NN$78,0),IF($NP$78="Bell_Curve",$NN$78*(50-$NR$78+1)*($NS$78-50+1)/$NU$78,$NN$78/$NT$78)),0)</f>
        <v/>
      </c>
      <c r="BC78" s="402">
        <f>IF(AND(51&gt;=$NR$78,51&lt;=$NS$78),IF($NP$78="Single_Point",IF(51=$NR$78,$NN$78,0),IF($NP$78="Bell_Curve",$NN$78*(51-$NR$78+1)*($NS$78-51+1)/$NU$78,$NN$78/$NT$78)),0)</f>
        <v/>
      </c>
      <c r="BD78" s="402">
        <f>IF(AND(52&gt;=$NR$78,52&lt;=$NS$78),IF($NP$78="Single_Point",IF(52=$NR$78,$NN$78,0),IF($NP$78="Bell_Curve",$NN$78*(52-$NR$78+1)*($NS$78-52+1)/$NU$78,$NN$78/$NT$78)),0)</f>
        <v/>
      </c>
      <c r="BE78" s="402">
        <f>IF(AND(53&gt;=$NR$78,53&lt;=$NS$78),IF($NP$78="Single_Point",IF(53=$NR$78,$NN$78,0),IF($NP$78="Bell_Curve",$NN$78*(53-$NR$78+1)*($NS$78-53+1)/$NU$78,$NN$78/$NT$78)),0)</f>
        <v/>
      </c>
      <c r="BF78" s="402">
        <f>IF(AND(54&gt;=$NR$78,54&lt;=$NS$78),IF($NP$78="Single_Point",IF(54=$NR$78,$NN$78,0),IF($NP$78="Bell_Curve",$NN$78*(54-$NR$78+1)*($NS$78-54+1)/$NU$78,$NN$78/$NT$78)),0)</f>
        <v/>
      </c>
      <c r="BG78" s="402">
        <f>IF(AND(55&gt;=$NR$78,55&lt;=$NS$78),IF($NP$78="Single_Point",IF(55=$NR$78,$NN$78,0),IF($NP$78="Bell_Curve",$NN$78*(55-$NR$78+1)*($NS$78-55+1)/$NU$78,$NN$78/$NT$78)),0)</f>
        <v/>
      </c>
      <c r="BH78" s="402">
        <f>IF(AND(56&gt;=$NR$78,56&lt;=$NS$78),IF($NP$78="Single_Point",IF(56=$NR$78,$NN$78,0),IF($NP$78="Bell_Curve",$NN$78*(56-$NR$78+1)*($NS$78-56+1)/$NU$78,$NN$78/$NT$78)),0)</f>
        <v/>
      </c>
      <c r="BI78" s="402">
        <f>IF(AND(57&gt;=$NR$78,57&lt;=$NS$78),IF($NP$78="Single_Point",IF(57=$NR$78,$NN$78,0),IF($NP$78="Bell_Curve",$NN$78*(57-$NR$78+1)*($NS$78-57+1)/$NU$78,$NN$78/$NT$78)),0)</f>
        <v/>
      </c>
      <c r="BJ78" s="402">
        <f>IF(AND(58&gt;=$NR$78,58&lt;=$NS$78),IF($NP$78="Single_Point",IF(58=$NR$78,$NN$78,0),IF($NP$78="Bell_Curve",$NN$78*(58-$NR$78+1)*($NS$78-58+1)/$NU$78,$NN$78/$NT$78)),0)</f>
        <v/>
      </c>
      <c r="BK78" s="402">
        <f>IF(AND(59&gt;=$NR$78,59&lt;=$NS$78),IF($NP$78="Single_Point",IF(59=$NR$78,$NN$78,0),IF($NP$78="Bell_Curve",$NN$78*(59-$NR$78+1)*($NS$78-59+1)/$NU$78,$NN$78/$NT$78)),0)</f>
        <v/>
      </c>
      <c r="BL78" s="402">
        <f>IF(AND(60&gt;=$NR$78,60&lt;=$NS$78),IF($NP$78="Single_Point",IF(60=$NR$78,$NN$78,0),IF($NP$78="Bell_Curve",$NN$78*(60-$NR$78+1)*($NS$78-60+1)/$NU$78,$NN$78/$NT$78)),0)</f>
        <v/>
      </c>
      <c r="BM78" s="402">
        <f>IF(AND(61&gt;=$NR$78,61&lt;=$NS$78),IF($NP$78="Single_Point",IF(61=$NR$78,$NN$78,0),IF($NP$78="Bell_Curve",$NN$78*(61-$NR$78+1)*($NS$78-61+1)/$NU$78,$NN$78/$NT$78)),0)</f>
        <v/>
      </c>
      <c r="BN78" s="402">
        <f>IF(AND(62&gt;=$NR$78,62&lt;=$NS$78),IF($NP$78="Single_Point",IF(62=$NR$78,$NN$78,0),IF($NP$78="Bell_Curve",$NN$78*(62-$NR$78+1)*($NS$78-62+1)/$NU$78,$NN$78/$NT$78)),0)</f>
        <v/>
      </c>
      <c r="BO78" s="402">
        <f>IF(AND(63&gt;=$NR$78,63&lt;=$NS$78),IF($NP$78="Single_Point",IF(63=$NR$78,$NN$78,0),IF($NP$78="Bell_Curve",$NN$78*(63-$NR$78+1)*($NS$78-63+1)/$NU$78,$NN$78/$NT$78)),0)</f>
        <v/>
      </c>
      <c r="BP78" s="402">
        <f>IF(AND(64&gt;=$NR$78,64&lt;=$NS$78),IF($NP$78="Single_Point",IF(64=$NR$78,$NN$78,0),IF($NP$78="Bell_Curve",$NN$78*(64-$NR$78+1)*($NS$78-64+1)/$NU$78,$NN$78/$NT$78)),0)</f>
        <v/>
      </c>
      <c r="BQ78" s="402">
        <f>IF(AND(65&gt;=$NR$78,65&lt;=$NS$78),IF($NP$78="Single_Point",IF(65=$NR$78,$NN$78,0),IF($NP$78="Bell_Curve",$NN$78*(65-$NR$78+1)*($NS$78-65+1)/$NU$78,$NN$78/$NT$78)),0)</f>
        <v/>
      </c>
      <c r="BR78" s="402">
        <f>IF(AND(66&gt;=$NR$78,66&lt;=$NS$78),IF($NP$78="Single_Point",IF(66=$NR$78,$NN$78,0),IF($NP$78="Bell_Curve",$NN$78*(66-$NR$78+1)*($NS$78-66+1)/$NU$78,$NN$78/$NT$78)),0)</f>
        <v/>
      </c>
      <c r="BS78" s="402">
        <f>IF(AND(67&gt;=$NR$78,67&lt;=$NS$78),IF($NP$78="Single_Point",IF(67=$NR$78,$NN$78,0),IF($NP$78="Bell_Curve",$NN$78*(67-$NR$78+1)*($NS$78-67+1)/$NU$78,$NN$78/$NT$78)),0)</f>
        <v/>
      </c>
      <c r="BT78" s="402">
        <f>IF(AND(68&gt;=$NR$78,68&lt;=$NS$78),IF($NP$78="Single_Point",IF(68=$NR$78,$NN$78,0),IF($NP$78="Bell_Curve",$NN$78*(68-$NR$78+1)*($NS$78-68+1)/$NU$78,$NN$78/$NT$78)),0)</f>
        <v/>
      </c>
      <c r="BU78" s="402">
        <f>IF(AND(69&gt;=$NR$78,69&lt;=$NS$78),IF($NP$78="Single_Point",IF(69=$NR$78,$NN$78,0),IF($NP$78="Bell_Curve",$NN$78*(69-$NR$78+1)*($NS$78-69+1)/$NU$78,$NN$78/$NT$78)),0)</f>
        <v/>
      </c>
      <c r="BV78" s="402">
        <f>IF(AND(70&gt;=$NR$78,70&lt;=$NS$78),IF($NP$78="Single_Point",IF(70=$NR$78,$NN$78,0),IF($NP$78="Bell_Curve",$NN$78*(70-$NR$78+1)*($NS$78-70+1)/$NU$78,$NN$78/$NT$78)),0)</f>
        <v/>
      </c>
      <c r="BW78" s="402">
        <f>IF(AND(71&gt;=$NR$78,71&lt;=$NS$78),IF($NP$78="Single_Point",IF(71=$NR$78,$NN$78,0),IF($NP$78="Bell_Curve",$NN$78*(71-$NR$78+1)*($NS$78-71+1)/$NU$78,$NN$78/$NT$78)),0)</f>
        <v/>
      </c>
      <c r="BX78" s="402">
        <f>IF(AND(72&gt;=$NR$78,72&lt;=$NS$78),IF($NP$78="Single_Point",IF(72=$NR$78,$NN$78,0),IF($NP$78="Bell_Curve",$NN$78*(72-$NR$78+1)*($NS$78-72+1)/$NU$78,$NN$78/$NT$78)),0)</f>
        <v/>
      </c>
      <c r="BY78" s="402">
        <f>IF(AND(73&gt;=$NR$78,73&lt;=$NS$78),IF($NP$78="Single_Point",IF(73=$NR$78,$NN$78,0),IF($NP$78="Bell_Curve",$NN$78*(73-$NR$78+1)*($NS$78-73+1)/$NU$78,$NN$78/$NT$78)),0)</f>
        <v/>
      </c>
      <c r="BZ78" s="402">
        <f>IF(AND(74&gt;=$NR$78,74&lt;=$NS$78),IF($NP$78="Single_Point",IF(74=$NR$78,$NN$78,0),IF($NP$78="Bell_Curve",$NN$78*(74-$NR$78+1)*($NS$78-74+1)/$NU$78,$NN$78/$NT$78)),0)</f>
        <v/>
      </c>
      <c r="CA78" s="402">
        <f>IF(AND(75&gt;=$NR$78,75&lt;=$NS$78),IF($NP$78="Single_Point",IF(75=$NR$78,$NN$78,0),IF($NP$78="Bell_Curve",$NN$78*(75-$NR$78+1)*($NS$78-75+1)/$NU$78,$NN$78/$NT$78)),0)</f>
        <v/>
      </c>
      <c r="CB78" s="402">
        <f>IF(AND(76&gt;=$NR$78,76&lt;=$NS$78),IF($NP$78="Single_Point",IF(76=$NR$78,$NN$78,0),IF($NP$78="Bell_Curve",$NN$78*(76-$NR$78+1)*($NS$78-76+1)/$NU$78,$NN$78/$NT$78)),0)</f>
        <v/>
      </c>
      <c r="CC78" s="402">
        <f>IF(AND(77&gt;=$NR$78,77&lt;=$NS$78),IF($NP$78="Single_Point",IF(77=$NR$78,$NN$78,0),IF($NP$78="Bell_Curve",$NN$78*(77-$NR$78+1)*($NS$78-77+1)/$NU$78,$NN$78/$NT$78)),0)</f>
        <v/>
      </c>
      <c r="CD78" s="402">
        <f>IF(AND(78&gt;=$NR$78,78&lt;=$NS$78),IF($NP$78="Single_Point",IF(78=$NR$78,$NN$78,0),IF($NP$78="Bell_Curve",$NN$78*(78-$NR$78+1)*($NS$78-78+1)/$NU$78,$NN$78/$NT$78)),0)</f>
        <v/>
      </c>
      <c r="CE78" s="402">
        <f>IF(AND(79&gt;=$NR$78,79&lt;=$NS$78),IF($NP$78="Single_Point",IF(79=$NR$78,$NN$78,0),IF($NP$78="Bell_Curve",$NN$78*(79-$NR$78+1)*($NS$78-79+1)/$NU$78,$NN$78/$NT$78)),0)</f>
        <v/>
      </c>
      <c r="CF78" s="402">
        <f>IF(AND(80&gt;=$NR$78,80&lt;=$NS$78),IF($NP$78="Single_Point",IF(80=$NR$78,$NN$78,0),IF($NP$78="Bell_Curve",$NN$78*(80-$NR$78+1)*($NS$78-80+1)/$NU$78,$NN$78/$NT$78)),0)</f>
        <v/>
      </c>
      <c r="CG78" s="402">
        <f>IF(AND(81&gt;=$NR$78,81&lt;=$NS$78),IF($NP$78="Single_Point",IF(81=$NR$78,$NN$78,0),IF($NP$78="Bell_Curve",$NN$78*(81-$NR$78+1)*($NS$78-81+1)/$NU$78,$NN$78/$NT$78)),0)</f>
        <v/>
      </c>
      <c r="CH78" s="402">
        <f>IF(AND(82&gt;=$NR$78,82&lt;=$NS$78),IF($NP$78="Single_Point",IF(82=$NR$78,$NN$78,0),IF($NP$78="Bell_Curve",$NN$78*(82-$NR$78+1)*($NS$78-82+1)/$NU$78,$NN$78/$NT$78)),0)</f>
        <v/>
      </c>
      <c r="CI78" s="402">
        <f>IF(AND(83&gt;=$NR$78,83&lt;=$NS$78),IF($NP$78="Single_Point",IF(83=$NR$78,$NN$78,0),IF($NP$78="Bell_Curve",$NN$78*(83-$NR$78+1)*($NS$78-83+1)/$NU$78,$NN$78/$NT$78)),0)</f>
        <v/>
      </c>
      <c r="CJ78" s="402">
        <f>IF(AND(84&gt;=$NR$78,84&lt;=$NS$78),IF($NP$78="Single_Point",IF(84=$NR$78,$NN$78,0),IF($NP$78="Bell_Curve",$NN$78*(84-$NR$78+1)*($NS$78-84+1)/$NU$78,$NN$78/$NT$78)),0)</f>
        <v/>
      </c>
      <c r="CK78" s="402">
        <f>IF(AND(85&gt;=$NR$78,85&lt;=$NS$78),IF($NP$78="Single_Point",IF(85=$NR$78,$NN$78,0),IF($NP$78="Bell_Curve",$NN$78*(85-$NR$78+1)*($NS$78-85+1)/$NU$78,$NN$78/$NT$78)),0)</f>
        <v/>
      </c>
      <c r="CL78" s="402">
        <f>IF(AND(86&gt;=$NR$78,86&lt;=$NS$78),IF($NP$78="Single_Point",IF(86=$NR$78,$NN$78,0),IF($NP$78="Bell_Curve",$NN$78*(86-$NR$78+1)*($NS$78-86+1)/$NU$78,$NN$78/$NT$78)),0)</f>
        <v/>
      </c>
      <c r="CM78" s="402">
        <f>IF(AND(87&gt;=$NR$78,87&lt;=$NS$78),IF($NP$78="Single_Point",IF(87=$NR$78,$NN$78,0),IF($NP$78="Bell_Curve",$NN$78*(87-$NR$78+1)*($NS$78-87+1)/$NU$78,$NN$78/$NT$78)),0)</f>
        <v/>
      </c>
      <c r="CN78" s="402">
        <f>IF(AND(88&gt;=$NR$78,88&lt;=$NS$78),IF($NP$78="Single_Point",IF(88=$NR$78,$NN$78,0),IF($NP$78="Bell_Curve",$NN$78*(88-$NR$78+1)*($NS$78-88+1)/$NU$78,$NN$78/$NT$78)),0)</f>
        <v/>
      </c>
      <c r="CO78" s="402">
        <f>IF(AND(89&gt;=$NR$78,89&lt;=$NS$78),IF($NP$78="Single_Point",IF(89=$NR$78,$NN$78,0),IF($NP$78="Bell_Curve",$NN$78*(89-$NR$78+1)*($NS$78-89+1)/$NU$78,$NN$78/$NT$78)),0)</f>
        <v/>
      </c>
      <c r="CP78" s="402">
        <f>IF(AND(90&gt;=$NR$78,90&lt;=$NS$78),IF($NP$78="Single_Point",IF(90=$NR$78,$NN$78,0),IF($NP$78="Bell_Curve",$NN$78*(90-$NR$78+1)*($NS$78-90+1)/$NU$78,$NN$78/$NT$78)),0)</f>
        <v/>
      </c>
      <c r="CQ78" s="402">
        <f>IF(AND(91&gt;=$NR$78,91&lt;=$NS$78),IF($NP$78="Single_Point",IF(91=$NR$78,$NN$78,0),IF($NP$78="Bell_Curve",$NN$78*(91-$NR$78+1)*($NS$78-91+1)/$NU$78,$NN$78/$NT$78)),0)</f>
        <v/>
      </c>
      <c r="CR78" s="402">
        <f>IF(AND(92&gt;=$NR$78,92&lt;=$NS$78),IF($NP$78="Single_Point",IF(92=$NR$78,$NN$78,0),IF($NP$78="Bell_Curve",$NN$78*(92-$NR$78+1)*($NS$78-92+1)/$NU$78,$NN$78/$NT$78)),0)</f>
        <v/>
      </c>
      <c r="CS78" s="402">
        <f>IF(AND(93&gt;=$NR$78,93&lt;=$NS$78),IF($NP$78="Single_Point",IF(93=$NR$78,$NN$78,0),IF($NP$78="Bell_Curve",$NN$78*(93-$NR$78+1)*($NS$78-93+1)/$NU$78,$NN$78/$NT$78)),0)</f>
        <v/>
      </c>
      <c r="CT78" s="402">
        <f>IF(AND(94&gt;=$NR$78,94&lt;=$NS$78),IF($NP$78="Single_Point",IF(94=$NR$78,$NN$78,0),IF($NP$78="Bell_Curve",$NN$78*(94-$NR$78+1)*($NS$78-94+1)/$NU$78,$NN$78/$NT$78)),0)</f>
        <v/>
      </c>
      <c r="CU78" s="402">
        <f>IF(AND(95&gt;=$NR$78,95&lt;=$NS$78),IF($NP$78="Single_Point",IF(95=$NR$78,$NN$78,0),IF($NP$78="Bell_Curve",$NN$78*(95-$NR$78+1)*($NS$78-95+1)/$NU$78,$NN$78/$NT$78)),0)</f>
        <v/>
      </c>
      <c r="CV78" s="402">
        <f>IF(AND(96&gt;=$NR$78,96&lt;=$NS$78),IF($NP$78="Single_Point",IF(96=$NR$78,$NN$78,0),IF($NP$78="Bell_Curve",$NN$78*(96-$NR$78+1)*($NS$78-96+1)/$NU$78,$NN$78/$NT$78)),0)</f>
        <v/>
      </c>
      <c r="CW78" s="402">
        <f>IF(AND(97&gt;=$NR$78,97&lt;=$NS$78),IF($NP$78="Single_Point",IF(97=$NR$78,$NN$78,0),IF($NP$78="Bell_Curve",$NN$78*(97-$NR$78+1)*($NS$78-97+1)/$NU$78,$NN$78/$NT$78)),0)</f>
        <v/>
      </c>
      <c r="CX78" s="402">
        <f>IF(AND(98&gt;=$NR$78,98&lt;=$NS$78),IF($NP$78="Single_Point",IF(98=$NR$78,$NN$78,0),IF($NP$78="Bell_Curve",$NN$78*(98-$NR$78+1)*($NS$78-98+1)/$NU$78,$NN$78/$NT$78)),0)</f>
        <v/>
      </c>
      <c r="CY78" s="402">
        <f>IF(AND(99&gt;=$NR$78,99&lt;=$NS$78),IF($NP$78="Single_Point",IF(99=$NR$78,$NN$78,0),IF($NP$78="Bell_Curve",$NN$78*(99-$NR$78+1)*($NS$78-99+1)/$NU$78,$NN$78/$NT$78)),0)</f>
        <v/>
      </c>
      <c r="CZ78" s="402">
        <f>IF(AND(100&gt;=$NR$78,100&lt;=$NS$78),IF($NP$78="Single_Point",IF(100=$NR$78,$NN$78,0),IF($NP$78="Bell_Curve",$NN$78*(100-$NR$78+1)*($NS$78-100+1)/$NU$78,$NN$78/$NT$78)),0)</f>
        <v/>
      </c>
      <c r="DA78" s="402">
        <f>IF(AND(101&gt;=$NR$78,101&lt;=$NS$78),IF($NP$78="Single_Point",IF(101=$NR$78,$NN$78,0),IF($NP$78="Bell_Curve",$NN$78*(101-$NR$78+1)*($NS$78-101+1)/$NU$78,$NN$78/$NT$78)),0)</f>
        <v/>
      </c>
      <c r="DB78" s="402">
        <f>IF(AND(102&gt;=$NR$78,102&lt;=$NS$78),IF($NP$78="Single_Point",IF(102=$NR$78,$NN$78,0),IF($NP$78="Bell_Curve",$NN$78*(102-$NR$78+1)*($NS$78-102+1)/$NU$78,$NN$78/$NT$78)),0)</f>
        <v/>
      </c>
      <c r="DC78" s="402">
        <f>IF(AND(103&gt;=$NR$78,103&lt;=$NS$78),IF($NP$78="Single_Point",IF(103=$NR$78,$NN$78,0),IF($NP$78="Bell_Curve",$NN$78*(103-$NR$78+1)*($NS$78-103+1)/$NU$78,$NN$78/$NT$78)),0)</f>
        <v/>
      </c>
      <c r="DD78" s="402">
        <f>IF(AND(104&gt;=$NR$78,104&lt;=$NS$78),IF($NP$78="Single_Point",IF(104=$NR$78,$NN$78,0),IF($NP$78="Bell_Curve",$NN$78*(104-$NR$78+1)*($NS$78-104+1)/$NU$78,$NN$78/$NT$78)),0)</f>
        <v/>
      </c>
      <c r="DE78" s="402">
        <f>IF(AND(105&gt;=$NR$78,105&lt;=$NS$78),IF($NP$78="Single_Point",IF(105=$NR$78,$NN$78,0),IF($NP$78="Bell_Curve",$NN$78*(105-$NR$78+1)*($NS$78-105+1)/$NU$78,$NN$78/$NT$78)),0)</f>
        <v/>
      </c>
      <c r="DF78" s="402">
        <f>IF(AND(106&gt;=$NR$78,106&lt;=$NS$78),IF($NP$78="Single_Point",IF(106=$NR$78,$NN$78,0),IF($NP$78="Bell_Curve",$NN$78*(106-$NR$78+1)*($NS$78-106+1)/$NU$78,$NN$78/$NT$78)),0)</f>
        <v/>
      </c>
      <c r="DG78" s="402">
        <f>IF(AND(107&gt;=$NR$78,107&lt;=$NS$78),IF($NP$78="Single_Point",IF(107=$NR$78,$NN$78,0),IF($NP$78="Bell_Curve",$NN$78*(107-$NR$78+1)*($NS$78-107+1)/$NU$78,$NN$78/$NT$78)),0)</f>
        <v/>
      </c>
      <c r="DH78" s="402">
        <f>IF(AND(108&gt;=$NR$78,108&lt;=$NS$78),IF($NP$78="Single_Point",IF(108=$NR$78,$NN$78,0),IF($NP$78="Bell_Curve",$NN$78*(108-$NR$78+1)*($NS$78-108+1)/$NU$78,$NN$78/$NT$78)),0)</f>
        <v/>
      </c>
      <c r="DI78" s="402">
        <f>IF(AND(109&gt;=$NR$78,109&lt;=$NS$78),IF($NP$78="Single_Point",IF(109=$NR$78,$NN$78,0),IF($NP$78="Bell_Curve",$NN$78*(109-$NR$78+1)*($NS$78-109+1)/$NU$78,$NN$78/$NT$78)),0)</f>
        <v/>
      </c>
      <c r="DJ78" s="402">
        <f>IF(AND(110&gt;=$NR$78,110&lt;=$NS$78),IF($NP$78="Single_Point",IF(110=$NR$78,$NN$78,0),IF($NP$78="Bell_Curve",$NN$78*(110-$NR$78+1)*($NS$78-110+1)/$NU$78,$NN$78/$NT$78)),0)</f>
        <v/>
      </c>
      <c r="DK78" s="402">
        <f>IF(AND(111&gt;=$NR$78,111&lt;=$NS$78),IF($NP$78="Single_Point",IF(111=$NR$78,$NN$78,0),IF($NP$78="Bell_Curve",$NN$78*(111-$NR$78+1)*($NS$78-111+1)/$NU$78,$NN$78/$NT$78)),0)</f>
        <v/>
      </c>
      <c r="DL78" s="402">
        <f>IF(AND(112&gt;=$NR$78,112&lt;=$NS$78),IF($NP$78="Single_Point",IF(112=$NR$78,$NN$78,0),IF($NP$78="Bell_Curve",$NN$78*(112-$NR$78+1)*($NS$78-112+1)/$NU$78,$NN$78/$NT$78)),0)</f>
        <v/>
      </c>
      <c r="DM78" s="402">
        <f>IF(AND(113&gt;=$NR$78,113&lt;=$NS$78),IF($NP$78="Single_Point",IF(113=$NR$78,$NN$78,0),IF($NP$78="Bell_Curve",$NN$78*(113-$NR$78+1)*($NS$78-113+1)/$NU$78,$NN$78/$NT$78)),0)</f>
        <v/>
      </c>
      <c r="DN78" s="402">
        <f>IF(AND(114&gt;=$NR$78,114&lt;=$NS$78),IF($NP$78="Single_Point",IF(114=$NR$78,$NN$78,0),IF($NP$78="Bell_Curve",$NN$78*(114-$NR$78+1)*($NS$78-114+1)/$NU$78,$NN$78/$NT$78)),0)</f>
        <v/>
      </c>
      <c r="DO78" s="402">
        <f>IF(AND(115&gt;=$NR$78,115&lt;=$NS$78),IF($NP$78="Single_Point",IF(115=$NR$78,$NN$78,0),IF($NP$78="Bell_Curve",$NN$78*(115-$NR$78+1)*($NS$78-115+1)/$NU$78,$NN$78/$NT$78)),0)</f>
        <v/>
      </c>
      <c r="DP78" s="402">
        <f>IF(AND(116&gt;=$NR$78,116&lt;=$NS$78),IF($NP$78="Single_Point",IF(116=$NR$78,$NN$78,0),IF($NP$78="Bell_Curve",$NN$78*(116-$NR$78+1)*($NS$78-116+1)/$NU$78,$NN$78/$NT$78)),0)</f>
        <v/>
      </c>
      <c r="DQ78" s="402">
        <f>IF(AND(117&gt;=$NR$78,117&lt;=$NS$78),IF($NP$78="Single_Point",IF(117=$NR$78,$NN$78,0),IF($NP$78="Bell_Curve",$NN$78*(117-$NR$78+1)*($NS$78-117+1)/$NU$78,$NN$78/$NT$78)),0)</f>
        <v/>
      </c>
      <c r="DR78" s="402">
        <f>IF(AND(118&gt;=$NR$78,118&lt;=$NS$78),IF($NP$78="Single_Point",IF(118=$NR$78,$NN$78,0),IF($NP$78="Bell_Curve",$NN$78*(118-$NR$78+1)*($NS$78-118+1)/$NU$78,$NN$78/$NT$78)),0)</f>
        <v/>
      </c>
      <c r="DS78" s="402">
        <f>IF(AND(119&gt;=$NR$78,119&lt;=$NS$78),IF($NP$78="Single_Point",IF(119=$NR$78,$NN$78,0),IF($NP$78="Bell_Curve",$NN$78*(119-$NR$78+1)*($NS$78-119+1)/$NU$78,$NN$78/$NT$78)),0)</f>
        <v/>
      </c>
      <c r="DT78" s="402">
        <f>IF(AND(120&gt;=$NR$78,120&lt;=$NS$78),IF($NP$78="Single_Point",IF(120=$NR$78,$NN$78,0),IF($NP$78="Bell_Curve",$NN$78*(120-$NR$78+1)*($NS$78-120+1)/$NU$78,$NN$78/$NT$78)),0)</f>
        <v/>
      </c>
      <c r="DU78" s="402">
        <f>IF(AND(121&gt;=$NR$78,121&lt;=$NS$78),IF($NP$78="Single_Point",IF(121=$NR$78,$NN$78,0),IF($NP$78="Bell_Curve",$NN$78*(121-$NR$78+1)*($NS$78-121+1)/$NU$78,$NN$78/$NT$78)),0)</f>
        <v/>
      </c>
      <c r="DV78" s="402">
        <f>IF(AND(122&gt;=$NR$78,122&lt;=$NS$78),IF($NP$78="Single_Point",IF(122=$NR$78,$NN$78,0),IF($NP$78="Bell_Curve",$NN$78*(122-$NR$78+1)*($NS$78-122+1)/$NU$78,$NN$78/$NT$78)),0)</f>
        <v/>
      </c>
      <c r="DW78" s="402">
        <f>IF(AND(123&gt;=$NR$78,123&lt;=$NS$78),IF($NP$78="Single_Point",IF(123=$NR$78,$NN$78,0),IF($NP$78="Bell_Curve",$NN$78*(123-$NR$78+1)*($NS$78-123+1)/$NU$78,$NN$78/$NT$78)),0)</f>
        <v/>
      </c>
      <c r="DX78" s="402">
        <f>IF(AND(124&gt;=$NR$78,124&lt;=$NS$78),IF($NP$78="Single_Point",IF(124=$NR$78,$NN$78,0),IF($NP$78="Bell_Curve",$NN$78*(124-$NR$78+1)*($NS$78-124+1)/$NU$78,$NN$78/$NT$78)),0)</f>
        <v/>
      </c>
      <c r="DY78" s="402">
        <f>IF(AND(125&gt;=$NR$78,125&lt;=$NS$78),IF($NP$78="Single_Point",IF(125=$NR$78,$NN$78,0),IF($NP$78="Bell_Curve",$NN$78*(125-$NR$78+1)*($NS$78-125+1)/$NU$78,$NN$78/$NT$78)),0)</f>
        <v/>
      </c>
      <c r="DZ78" s="402">
        <f>IF(AND(126&gt;=$NR$78,126&lt;=$NS$78),IF($NP$78="Single_Point",IF(126=$NR$78,$NN$78,0),IF($NP$78="Bell_Curve",$NN$78*(126-$NR$78+1)*($NS$78-126+1)/$NU$78,$NN$78/$NT$78)),0)</f>
        <v/>
      </c>
      <c r="EA78" s="402">
        <f>IF(AND(127&gt;=$NR$78,127&lt;=$NS$78),IF($NP$78="Single_Point",IF(127=$NR$78,$NN$78,0),IF($NP$78="Bell_Curve",$NN$78*(127-$NR$78+1)*($NS$78-127+1)/$NU$78,$NN$78/$NT$78)),0)</f>
        <v/>
      </c>
      <c r="EB78" s="402">
        <f>IF(AND(128&gt;=$NR$78,128&lt;=$NS$78),IF($NP$78="Single_Point",IF(128=$NR$78,$NN$78,0),IF($NP$78="Bell_Curve",$NN$78*(128-$NR$78+1)*($NS$78-128+1)/$NU$78,$NN$78/$NT$78)),0)</f>
        <v/>
      </c>
      <c r="EC78" s="402">
        <f>IF(AND(129&gt;=$NR$78,129&lt;=$NS$78),IF($NP$78="Single_Point",IF(129=$NR$78,$NN$78,0),IF($NP$78="Bell_Curve",$NN$78*(129-$NR$78+1)*($NS$78-129+1)/$NU$78,$NN$78/$NT$78)),0)</f>
        <v/>
      </c>
      <c r="ED78" s="402">
        <f>IF(AND(130&gt;=$NR$78,130&lt;=$NS$78),IF($NP$78="Single_Point",IF(130=$NR$78,$NN$78,0),IF($NP$78="Bell_Curve",$NN$78*(130-$NR$78+1)*($NS$78-130+1)/$NU$78,$NN$78/$NT$78)),0)</f>
        <v/>
      </c>
      <c r="EE78" s="402">
        <f>IF(AND(131&gt;=$NR$78,131&lt;=$NS$78),IF($NP$78="Single_Point",IF(131=$NR$78,$NN$78,0),IF($NP$78="Bell_Curve",$NN$78*(131-$NR$78+1)*($NS$78-131+1)/$NU$78,$NN$78/$NT$78)),0)</f>
        <v/>
      </c>
      <c r="EF78" s="402">
        <f>IF(AND(132&gt;=$NR$78,132&lt;=$NS$78),IF($NP$78="Single_Point",IF(132=$NR$78,$NN$78,0),IF($NP$78="Bell_Curve",$NN$78*(132-$NR$78+1)*($NS$78-132+1)/$NU$78,$NN$78/$NT$78)),0)</f>
        <v/>
      </c>
      <c r="EG78" s="402">
        <f>IF(AND(133&gt;=$NR$78,133&lt;=$NS$78),IF($NP$78="Single_Point",IF(133=$NR$78,$NN$78,0),IF($NP$78="Bell_Curve",$NN$78*(133-$NR$78+1)*($NS$78-133+1)/$NU$78,$NN$78/$NT$78)),0)</f>
        <v/>
      </c>
      <c r="EH78" s="402">
        <f>IF(AND(134&gt;=$NR$78,134&lt;=$NS$78),IF($NP$78="Single_Point",IF(134=$NR$78,$NN$78,0),IF($NP$78="Bell_Curve",$NN$78*(134-$NR$78+1)*($NS$78-134+1)/$NU$78,$NN$78/$NT$78)),0)</f>
        <v/>
      </c>
      <c r="EI78" s="402">
        <f>IF(AND(135&gt;=$NR$78,135&lt;=$NS$78),IF($NP$78="Single_Point",IF(135=$NR$78,$NN$78,0),IF($NP$78="Bell_Curve",$NN$78*(135-$NR$78+1)*($NS$78-135+1)/$NU$78,$NN$78/$NT$78)),0)</f>
        <v/>
      </c>
      <c r="EJ78" s="402">
        <f>IF(AND(136&gt;=$NR$78,136&lt;=$NS$78),IF($NP$78="Single_Point",IF(136=$NR$78,$NN$78,0),IF($NP$78="Bell_Curve",$NN$78*(136-$NR$78+1)*($NS$78-136+1)/$NU$78,$NN$78/$NT$78)),0)</f>
        <v/>
      </c>
      <c r="EK78" s="402">
        <f>IF(AND(137&gt;=$NR$78,137&lt;=$NS$78),IF($NP$78="Single_Point",IF(137=$NR$78,$NN$78,0),IF($NP$78="Bell_Curve",$NN$78*(137-$NR$78+1)*($NS$78-137+1)/$NU$78,$NN$78/$NT$78)),0)</f>
        <v/>
      </c>
      <c r="EL78" s="402">
        <f>IF(AND(138&gt;=$NR$78,138&lt;=$NS$78),IF($NP$78="Single_Point",IF(138=$NR$78,$NN$78,0),IF($NP$78="Bell_Curve",$NN$78*(138-$NR$78+1)*($NS$78-138+1)/$NU$78,$NN$78/$NT$78)),0)</f>
        <v/>
      </c>
      <c r="EM78" s="402">
        <f>IF(AND(139&gt;=$NR$78,139&lt;=$NS$78),IF($NP$78="Single_Point",IF(139=$NR$78,$NN$78,0),IF($NP$78="Bell_Curve",$NN$78*(139-$NR$78+1)*($NS$78-139+1)/$NU$78,$NN$78/$NT$78)),0)</f>
        <v/>
      </c>
      <c r="EN78" s="402">
        <f>IF(AND(140&gt;=$NR$78,140&lt;=$NS$78),IF($NP$78="Single_Point",IF(140=$NR$78,$NN$78,0),IF($NP$78="Bell_Curve",$NN$78*(140-$NR$78+1)*($NS$78-140+1)/$NU$78,$NN$78/$NT$78)),0)</f>
        <v/>
      </c>
      <c r="EO78" s="402">
        <f>IF(AND(141&gt;=$NR$78,141&lt;=$NS$78),IF($NP$78="Single_Point",IF(141=$NR$78,$NN$78,0),IF($NP$78="Bell_Curve",$NN$78*(141-$NR$78+1)*($NS$78-141+1)/$NU$78,$NN$78/$NT$78)),0)</f>
        <v/>
      </c>
      <c r="EP78" s="402">
        <f>IF(AND(142&gt;=$NR$78,142&lt;=$NS$78),IF($NP$78="Single_Point",IF(142=$NR$78,$NN$78,0),IF($NP$78="Bell_Curve",$NN$78*(142-$NR$78+1)*($NS$78-142+1)/$NU$78,$NN$78/$NT$78)),0)</f>
        <v/>
      </c>
      <c r="EQ78" s="402">
        <f>IF(AND(143&gt;=$NR$78,143&lt;=$NS$78),IF($NP$78="Single_Point",IF(143=$NR$78,$NN$78,0),IF($NP$78="Bell_Curve",$NN$78*(143-$NR$78+1)*($NS$78-143+1)/$NU$78,$NN$78/$NT$78)),0)</f>
        <v/>
      </c>
      <c r="ER78" s="402">
        <f>IF(AND(144&gt;=$NR$78,144&lt;=$NS$78),IF($NP$78="Single_Point",IF(144=$NR$78,$NN$78,0),IF($NP$78="Bell_Curve",$NN$78*(144-$NR$78+1)*($NS$78-144+1)/$NU$78,$NN$78/$NT$78)),0)</f>
        <v/>
      </c>
      <c r="ES78" s="402">
        <f>IF(AND(145&gt;=$NR$78,145&lt;=$NS$78),IF($NP$78="Single_Point",IF(145=$NR$78,$NN$78,0),IF($NP$78="Bell_Curve",$NN$78*(145-$NR$78+1)*($NS$78-145+1)/$NU$78,$NN$78/$NT$78)),0)</f>
        <v/>
      </c>
      <c r="ET78" s="402">
        <f>IF(AND(146&gt;=$NR$78,146&lt;=$NS$78),IF($NP$78="Single_Point",IF(146=$NR$78,$NN$78,0),IF($NP$78="Bell_Curve",$NN$78*(146-$NR$78+1)*($NS$78-146+1)/$NU$78,$NN$78/$NT$78)),0)</f>
        <v/>
      </c>
      <c r="EU78" s="402">
        <f>IF(AND(147&gt;=$NR$78,147&lt;=$NS$78),IF($NP$78="Single_Point",IF(147=$NR$78,$NN$78,0),IF($NP$78="Bell_Curve",$NN$78*(147-$NR$78+1)*($NS$78-147+1)/$NU$78,$NN$78/$NT$78)),0)</f>
        <v/>
      </c>
      <c r="EV78" s="402">
        <f>IF(AND(148&gt;=$NR$78,148&lt;=$NS$78),IF($NP$78="Single_Point",IF(148=$NR$78,$NN$78,0),IF($NP$78="Bell_Curve",$NN$78*(148-$NR$78+1)*($NS$78-148+1)/$NU$78,$NN$78/$NT$78)),0)</f>
        <v/>
      </c>
      <c r="EW78" s="402">
        <f>IF(AND(149&gt;=$NR$78,149&lt;=$NS$78),IF($NP$78="Single_Point",IF(149=$NR$78,$NN$78,0),IF($NP$78="Bell_Curve",$NN$78*(149-$NR$78+1)*($NS$78-149+1)/$NU$78,$NN$78/$NT$78)),0)</f>
        <v/>
      </c>
      <c r="EX78" s="402">
        <f>IF(AND(150&gt;=$NR$78,150&lt;=$NS$78),IF($NP$78="Single_Point",IF(150=$NR$78,$NN$78,0),IF($NP$78="Bell_Curve",$NN$78*(150-$NR$78+1)*($NS$78-150+1)/$NU$78,$NN$78/$NT$78)),0)</f>
        <v/>
      </c>
      <c r="EY78" s="402">
        <f>IF(AND(151&gt;=$NR$78,151&lt;=$NS$78),IF($NP$78="Single_Point",IF(151=$NR$78,$NN$78,0),IF($NP$78="Bell_Curve",$NN$78*(151-$NR$78+1)*($NS$78-151+1)/$NU$78,$NN$78/$NT$78)),0)</f>
        <v/>
      </c>
      <c r="EZ78" s="402">
        <f>IF(AND(152&gt;=$NR$78,152&lt;=$NS$78),IF($NP$78="Single_Point",IF(152=$NR$78,$NN$78,0),IF($NP$78="Bell_Curve",$NN$78*(152-$NR$78+1)*($NS$78-152+1)/$NU$78,$NN$78/$NT$78)),0)</f>
        <v/>
      </c>
      <c r="FA78" s="402">
        <f>IF(AND(153&gt;=$NR$78,153&lt;=$NS$78),IF($NP$78="Single_Point",IF(153=$NR$78,$NN$78,0),IF($NP$78="Bell_Curve",$NN$78*(153-$NR$78+1)*($NS$78-153+1)/$NU$78,$NN$78/$NT$78)),0)</f>
        <v/>
      </c>
      <c r="FB78" s="402">
        <f>IF(AND(154&gt;=$NR$78,154&lt;=$NS$78),IF($NP$78="Single_Point",IF(154=$NR$78,$NN$78,0),IF($NP$78="Bell_Curve",$NN$78*(154-$NR$78+1)*($NS$78-154+1)/$NU$78,$NN$78/$NT$78)),0)</f>
        <v/>
      </c>
      <c r="FC78" s="402">
        <f>IF(AND(155&gt;=$NR$78,155&lt;=$NS$78),IF($NP$78="Single_Point",IF(155=$NR$78,$NN$78,0),IF($NP$78="Bell_Curve",$NN$78*(155-$NR$78+1)*($NS$78-155+1)/$NU$78,$NN$78/$NT$78)),0)</f>
        <v/>
      </c>
      <c r="FD78" s="402">
        <f>IF(AND(156&gt;=$NR$78,156&lt;=$NS$78),IF($NP$78="Single_Point",IF(156=$NR$78,$NN$78,0),IF($NP$78="Bell_Curve",$NN$78*(156-$NR$78+1)*($NS$78-156+1)/$NU$78,$NN$78/$NT$78)),0)</f>
        <v/>
      </c>
      <c r="FE78" s="402">
        <f>IF(AND(157&gt;=$NR$78,157&lt;=$NS$78),IF($NP$78="Single_Point",IF(157=$NR$78,$NN$78,0),IF($NP$78="Bell_Curve",$NN$78*(157-$NR$78+1)*($NS$78-157+1)/$NU$78,$NN$78/$NT$78)),0)</f>
        <v/>
      </c>
      <c r="FF78" s="402">
        <f>IF(AND(158&gt;=$NR$78,158&lt;=$NS$78),IF($NP$78="Single_Point",IF(158=$NR$78,$NN$78,0),IF($NP$78="Bell_Curve",$NN$78*(158-$NR$78+1)*($NS$78-158+1)/$NU$78,$NN$78/$NT$78)),0)</f>
        <v/>
      </c>
      <c r="FG78" s="402">
        <f>IF(AND(159&gt;=$NR$78,159&lt;=$NS$78),IF($NP$78="Single_Point",IF(159=$NR$78,$NN$78,0),IF($NP$78="Bell_Curve",$NN$78*(159-$NR$78+1)*($NS$78-159+1)/$NU$78,$NN$78/$NT$78)),0)</f>
        <v/>
      </c>
      <c r="FH78" s="402">
        <f>IF(AND(160&gt;=$NR$78,160&lt;=$NS$78),IF($NP$78="Single_Point",IF(160=$NR$78,$NN$78,0),IF($NP$78="Bell_Curve",$NN$78*(160-$NR$78+1)*($NS$78-160+1)/$NU$78,$NN$78/$NT$78)),0)</f>
        <v/>
      </c>
      <c r="FI78" s="402">
        <f>IF(AND(161&gt;=$NR$78,161&lt;=$NS$78),IF($NP$78="Single_Point",IF(161=$NR$78,$NN$78,0),IF($NP$78="Bell_Curve",$NN$78*(161-$NR$78+1)*($NS$78-161+1)/$NU$78,$NN$78/$NT$78)),0)</f>
        <v/>
      </c>
      <c r="FJ78" s="402">
        <f>IF(AND(162&gt;=$NR$78,162&lt;=$NS$78),IF($NP$78="Single_Point",IF(162=$NR$78,$NN$78,0),IF($NP$78="Bell_Curve",$NN$78*(162-$NR$78+1)*($NS$78-162+1)/$NU$78,$NN$78/$NT$78)),0)</f>
        <v/>
      </c>
      <c r="FK78" s="402">
        <f>IF(AND(163&gt;=$NR$78,163&lt;=$NS$78),IF($NP$78="Single_Point",IF(163=$NR$78,$NN$78,0),IF($NP$78="Bell_Curve",$NN$78*(163-$NR$78+1)*($NS$78-163+1)/$NU$78,$NN$78/$NT$78)),0)</f>
        <v/>
      </c>
      <c r="FL78" s="402">
        <f>IF(AND(164&gt;=$NR$78,164&lt;=$NS$78),IF($NP$78="Single_Point",IF(164=$NR$78,$NN$78,0),IF($NP$78="Bell_Curve",$NN$78*(164-$NR$78+1)*($NS$78-164+1)/$NU$78,$NN$78/$NT$78)),0)</f>
        <v/>
      </c>
      <c r="FM78" s="402">
        <f>IF(AND(165&gt;=$NR$78,165&lt;=$NS$78),IF($NP$78="Single_Point",IF(165=$NR$78,$NN$78,0),IF($NP$78="Bell_Curve",$NN$78*(165-$NR$78+1)*($NS$78-165+1)/$NU$78,$NN$78/$NT$78)),0)</f>
        <v/>
      </c>
      <c r="FN78" s="402">
        <f>IF(AND(166&gt;=$NR$78,166&lt;=$NS$78),IF($NP$78="Single_Point",IF(166=$NR$78,$NN$78,0),IF($NP$78="Bell_Curve",$NN$78*(166-$NR$78+1)*($NS$78-166+1)/$NU$78,$NN$78/$NT$78)),0)</f>
        <v/>
      </c>
      <c r="FO78" s="402">
        <f>IF(AND(167&gt;=$NR$78,167&lt;=$NS$78),IF($NP$78="Single_Point",IF(167=$NR$78,$NN$78,0),IF($NP$78="Bell_Curve",$NN$78*(167-$NR$78+1)*($NS$78-167+1)/$NU$78,$NN$78/$NT$78)),0)</f>
        <v/>
      </c>
      <c r="FP78" s="402">
        <f>IF(AND(168&gt;=$NR$78,168&lt;=$NS$78),IF($NP$78="Single_Point",IF(168=$NR$78,$NN$78,0),IF($NP$78="Bell_Curve",$NN$78*(168-$NR$78+1)*($NS$78-168+1)/$NU$78,$NN$78/$NT$78)),0)</f>
        <v/>
      </c>
      <c r="FQ78" s="402">
        <f>IF(AND(169&gt;=$NR$78,169&lt;=$NS$78),IF($NP$78="Single_Point",IF(169=$NR$78,$NN$78,0),IF($NP$78="Bell_Curve",$NN$78*(169-$NR$78+1)*($NS$78-169+1)/$NU$78,$NN$78/$NT$78)),0)</f>
        <v/>
      </c>
      <c r="FR78" s="402">
        <f>IF(AND(170&gt;=$NR$78,170&lt;=$NS$78),IF($NP$78="Single_Point",IF(170=$NR$78,$NN$78,0),IF($NP$78="Bell_Curve",$NN$78*(170-$NR$78+1)*($NS$78-170+1)/$NU$78,$NN$78/$NT$78)),0)</f>
        <v/>
      </c>
      <c r="FS78" s="402">
        <f>IF(AND(171&gt;=$NR$78,171&lt;=$NS$78),IF($NP$78="Single_Point",IF(171=$NR$78,$NN$78,0),IF($NP$78="Bell_Curve",$NN$78*(171-$NR$78+1)*($NS$78-171+1)/$NU$78,$NN$78/$NT$78)),0)</f>
        <v/>
      </c>
      <c r="FT78" s="402">
        <f>IF(AND(172&gt;=$NR$78,172&lt;=$NS$78),IF($NP$78="Single_Point",IF(172=$NR$78,$NN$78,0),IF($NP$78="Bell_Curve",$NN$78*(172-$NR$78+1)*($NS$78-172+1)/$NU$78,$NN$78/$NT$78)),0)</f>
        <v/>
      </c>
      <c r="FU78" s="402">
        <f>IF(AND(173&gt;=$NR$78,173&lt;=$NS$78),IF($NP$78="Single_Point",IF(173=$NR$78,$NN$78,0),IF($NP$78="Bell_Curve",$NN$78*(173-$NR$78+1)*($NS$78-173+1)/$NU$78,$NN$78/$NT$78)),0)</f>
        <v/>
      </c>
      <c r="FV78" s="402">
        <f>IF(AND(174&gt;=$NR$78,174&lt;=$NS$78),IF($NP$78="Single_Point",IF(174=$NR$78,$NN$78,0),IF($NP$78="Bell_Curve",$NN$78*(174-$NR$78+1)*($NS$78-174+1)/$NU$78,$NN$78/$NT$78)),0)</f>
        <v/>
      </c>
      <c r="FW78" s="402">
        <f>IF(AND(175&gt;=$NR$78,175&lt;=$NS$78),IF($NP$78="Single_Point",IF(175=$NR$78,$NN$78,0),IF($NP$78="Bell_Curve",$NN$78*(175-$NR$78+1)*($NS$78-175+1)/$NU$78,$NN$78/$NT$78)),0)</f>
        <v/>
      </c>
      <c r="FX78" s="402">
        <f>IF(AND(176&gt;=$NR$78,176&lt;=$NS$78),IF($NP$78="Single_Point",IF(176=$NR$78,$NN$78,0),IF($NP$78="Bell_Curve",$NN$78*(176-$NR$78+1)*($NS$78-176+1)/$NU$78,$NN$78/$NT$78)),0)</f>
        <v/>
      </c>
      <c r="FY78" s="402">
        <f>IF(AND(177&gt;=$NR$78,177&lt;=$NS$78),IF($NP$78="Single_Point",IF(177=$NR$78,$NN$78,0),IF($NP$78="Bell_Curve",$NN$78*(177-$NR$78+1)*($NS$78-177+1)/$NU$78,$NN$78/$NT$78)),0)</f>
        <v/>
      </c>
      <c r="FZ78" s="402">
        <f>IF(AND(178&gt;=$NR$78,178&lt;=$NS$78),IF($NP$78="Single_Point",IF(178=$NR$78,$NN$78,0),IF($NP$78="Bell_Curve",$NN$78*(178-$NR$78+1)*($NS$78-178+1)/$NU$78,$NN$78/$NT$78)),0)</f>
        <v/>
      </c>
      <c r="GA78" s="402">
        <f>IF(AND(179&gt;=$NR$78,179&lt;=$NS$78),IF($NP$78="Single_Point",IF(179=$NR$78,$NN$78,0),IF($NP$78="Bell_Curve",$NN$78*(179-$NR$78+1)*($NS$78-179+1)/$NU$78,$NN$78/$NT$78)),0)</f>
        <v/>
      </c>
      <c r="GB78" s="402">
        <f>IF(AND(180&gt;=$NR$78,180&lt;=$NS$78),IF($NP$78="Single_Point",IF(180=$NR$78,$NN$78,0),IF($NP$78="Bell_Curve",$NN$78*(180-$NR$78+1)*($NS$78-180+1)/$NU$78,$NN$78/$NT$78)),0)</f>
        <v/>
      </c>
      <c r="GC78" s="402">
        <f>IF(AND(181&gt;=$NR$78,181&lt;=$NS$78),IF($NP$78="Single_Point",IF(181=$NR$78,$NN$78,0),IF($NP$78="Bell_Curve",$NN$78*(181-$NR$78+1)*($NS$78-181+1)/$NU$78,$NN$78/$NT$78)),0)</f>
        <v/>
      </c>
      <c r="GD78" s="402">
        <f>IF(AND(182&gt;=$NR$78,182&lt;=$NS$78),IF($NP$78="Single_Point",IF(182=$NR$78,$NN$78,0),IF($NP$78="Bell_Curve",$NN$78*(182-$NR$78+1)*($NS$78-182+1)/$NU$78,$NN$78/$NT$78)),0)</f>
        <v/>
      </c>
      <c r="GE78" s="402">
        <f>IF(AND(183&gt;=$NR$78,183&lt;=$NS$78),IF($NP$78="Single_Point",IF(183=$NR$78,$NN$78,0),IF($NP$78="Bell_Curve",$NN$78*(183-$NR$78+1)*($NS$78-183+1)/$NU$78,$NN$78/$NT$78)),0)</f>
        <v/>
      </c>
      <c r="GF78" s="402">
        <f>IF(AND(184&gt;=$NR$78,184&lt;=$NS$78),IF($NP$78="Single_Point",IF(184=$NR$78,$NN$78,0),IF($NP$78="Bell_Curve",$NN$78*(184-$NR$78+1)*($NS$78-184+1)/$NU$78,$NN$78/$NT$78)),0)</f>
        <v/>
      </c>
      <c r="GG78" s="402">
        <f>IF(AND(185&gt;=$NR$78,185&lt;=$NS$78),IF($NP$78="Single_Point",IF(185=$NR$78,$NN$78,0),IF($NP$78="Bell_Curve",$NN$78*(185-$NR$78+1)*($NS$78-185+1)/$NU$78,$NN$78/$NT$78)),0)</f>
        <v/>
      </c>
      <c r="GH78" s="402">
        <f>IF(AND(186&gt;=$NR$78,186&lt;=$NS$78),IF($NP$78="Single_Point",IF(186=$NR$78,$NN$78,0),IF($NP$78="Bell_Curve",$NN$78*(186-$NR$78+1)*($NS$78-186+1)/$NU$78,$NN$78/$NT$78)),0)</f>
        <v/>
      </c>
      <c r="GI78" s="402">
        <f>IF(AND(187&gt;=$NR$78,187&lt;=$NS$78),IF($NP$78="Single_Point",IF(187=$NR$78,$NN$78,0),IF($NP$78="Bell_Curve",$NN$78*(187-$NR$78+1)*($NS$78-187+1)/$NU$78,$NN$78/$NT$78)),0)</f>
        <v/>
      </c>
      <c r="GJ78" s="402">
        <f>IF(AND(188&gt;=$NR$78,188&lt;=$NS$78),IF($NP$78="Single_Point",IF(188=$NR$78,$NN$78,0),IF($NP$78="Bell_Curve",$NN$78*(188-$NR$78+1)*($NS$78-188+1)/$NU$78,$NN$78/$NT$78)),0)</f>
        <v/>
      </c>
      <c r="GK78" s="402">
        <f>IF(AND(189&gt;=$NR$78,189&lt;=$NS$78),IF($NP$78="Single_Point",IF(189=$NR$78,$NN$78,0),IF($NP$78="Bell_Curve",$NN$78*(189-$NR$78+1)*($NS$78-189+1)/$NU$78,$NN$78/$NT$78)),0)</f>
        <v/>
      </c>
      <c r="GL78" s="402">
        <f>IF(AND(190&gt;=$NR$78,190&lt;=$NS$78),IF($NP$78="Single_Point",IF(190=$NR$78,$NN$78,0),IF($NP$78="Bell_Curve",$NN$78*(190-$NR$78+1)*($NS$78-190+1)/$NU$78,$NN$78/$NT$78)),0)</f>
        <v/>
      </c>
      <c r="GM78" s="402">
        <f>IF(AND(191&gt;=$NR$78,191&lt;=$NS$78),IF($NP$78="Single_Point",IF(191=$NR$78,$NN$78,0),IF($NP$78="Bell_Curve",$NN$78*(191-$NR$78+1)*($NS$78-191+1)/$NU$78,$NN$78/$NT$78)),0)</f>
        <v/>
      </c>
      <c r="GN78" s="402">
        <f>IF(AND(192&gt;=$NR$78,192&lt;=$NS$78),IF($NP$78="Single_Point",IF(192=$NR$78,$NN$78,0),IF($NP$78="Bell_Curve",$NN$78*(192-$NR$78+1)*($NS$78-192+1)/$NU$78,$NN$78/$NT$78)),0)</f>
        <v/>
      </c>
      <c r="GO78" s="402">
        <f>IF(AND(193&gt;=$NR$78,193&lt;=$NS$78),IF($NP$78="Single_Point",IF(193=$NR$78,$NN$78,0),IF($NP$78="Bell_Curve",$NN$78*(193-$NR$78+1)*($NS$78-193+1)/$NU$78,$NN$78/$NT$78)),0)</f>
        <v/>
      </c>
      <c r="GP78" s="402">
        <f>IF(AND(194&gt;=$NR$78,194&lt;=$NS$78),IF($NP$78="Single_Point",IF(194=$NR$78,$NN$78,0),IF($NP$78="Bell_Curve",$NN$78*(194-$NR$78+1)*($NS$78-194+1)/$NU$78,$NN$78/$NT$78)),0)</f>
        <v/>
      </c>
      <c r="GQ78" s="402">
        <f>IF(AND(195&gt;=$NR$78,195&lt;=$NS$78),IF($NP$78="Single_Point",IF(195=$NR$78,$NN$78,0),IF($NP$78="Bell_Curve",$NN$78*(195-$NR$78+1)*($NS$78-195+1)/$NU$78,$NN$78/$NT$78)),0)</f>
        <v/>
      </c>
      <c r="GR78" s="402">
        <f>IF(AND(196&gt;=$NR$78,196&lt;=$NS$78),IF($NP$78="Single_Point",IF(196=$NR$78,$NN$78,0),IF($NP$78="Bell_Curve",$NN$78*(196-$NR$78+1)*($NS$78-196+1)/$NU$78,$NN$78/$NT$78)),0)</f>
        <v/>
      </c>
      <c r="GS78" s="402">
        <f>IF(AND(197&gt;=$NR$78,197&lt;=$NS$78),IF($NP$78="Single_Point",IF(197=$NR$78,$NN$78,0),IF($NP$78="Bell_Curve",$NN$78*(197-$NR$78+1)*($NS$78-197+1)/$NU$78,$NN$78/$NT$78)),0)</f>
        <v/>
      </c>
      <c r="GT78" s="402">
        <f>IF(AND(198&gt;=$NR$78,198&lt;=$NS$78),IF($NP$78="Single_Point",IF(198=$NR$78,$NN$78,0),IF($NP$78="Bell_Curve",$NN$78*(198-$NR$78+1)*($NS$78-198+1)/$NU$78,$NN$78/$NT$78)),0)</f>
        <v/>
      </c>
      <c r="GU78" s="402">
        <f>IF(AND(199&gt;=$NR$78,199&lt;=$NS$78),IF($NP$78="Single_Point",IF(199=$NR$78,$NN$78,0),IF($NP$78="Bell_Curve",$NN$78*(199-$NR$78+1)*($NS$78-199+1)/$NU$78,$NN$78/$NT$78)),0)</f>
        <v/>
      </c>
      <c r="GV78" s="402">
        <f>IF(AND(200&gt;=$NR$78,200&lt;=$NS$78),IF($NP$78="Single_Point",IF(200=$NR$78,$NN$78,0),IF($NP$78="Bell_Curve",$NN$78*(200-$NR$78+1)*($NS$78-200+1)/$NU$78,$NN$78/$NT$78)),0)</f>
        <v/>
      </c>
      <c r="GW78" s="402">
        <f>IF(AND(201&gt;=$NR$78,201&lt;=$NS$78),IF($NP$78="Single_Point",IF(201=$NR$78,$NN$78,0),IF($NP$78="Bell_Curve",$NN$78*(201-$NR$78+1)*($NS$78-201+1)/$NU$78,$NN$78/$NT$78)),0)</f>
        <v/>
      </c>
      <c r="GX78" s="402">
        <f>IF(AND(202&gt;=$NR$78,202&lt;=$NS$78),IF($NP$78="Single_Point",IF(202=$NR$78,$NN$78,0),IF($NP$78="Bell_Curve",$NN$78*(202-$NR$78+1)*($NS$78-202+1)/$NU$78,$NN$78/$NT$78)),0)</f>
        <v/>
      </c>
      <c r="GY78" s="402">
        <f>IF(AND(203&gt;=$NR$78,203&lt;=$NS$78),IF($NP$78="Single_Point",IF(203=$NR$78,$NN$78,0),IF($NP$78="Bell_Curve",$NN$78*(203-$NR$78+1)*($NS$78-203+1)/$NU$78,$NN$78/$NT$78)),0)</f>
        <v/>
      </c>
      <c r="GZ78" s="402">
        <f>IF(AND(204&gt;=$NR$78,204&lt;=$NS$78),IF($NP$78="Single_Point",IF(204=$NR$78,$NN$78,0),IF($NP$78="Bell_Curve",$NN$78*(204-$NR$78+1)*($NS$78-204+1)/$NU$78,$NN$78/$NT$78)),0)</f>
        <v/>
      </c>
      <c r="HA78" s="402">
        <f>IF(AND(205&gt;=$NR$78,205&lt;=$NS$78),IF($NP$78="Single_Point",IF(205=$NR$78,$NN$78,0),IF($NP$78="Bell_Curve",$NN$78*(205-$NR$78+1)*($NS$78-205+1)/$NU$78,$NN$78/$NT$78)),0)</f>
        <v/>
      </c>
      <c r="HB78" s="402">
        <f>IF(AND(206&gt;=$NR$78,206&lt;=$NS$78),IF($NP$78="Single_Point",IF(206=$NR$78,$NN$78,0),IF($NP$78="Bell_Curve",$NN$78*(206-$NR$78+1)*($NS$78-206+1)/$NU$78,$NN$78/$NT$78)),0)</f>
        <v/>
      </c>
      <c r="HC78" s="402">
        <f>IF(AND(207&gt;=$NR$78,207&lt;=$NS$78),IF($NP$78="Single_Point",IF(207=$NR$78,$NN$78,0),IF($NP$78="Bell_Curve",$NN$78*(207-$NR$78+1)*($NS$78-207+1)/$NU$78,$NN$78/$NT$78)),0)</f>
        <v/>
      </c>
      <c r="HD78" s="402">
        <f>IF(AND(208&gt;=$NR$78,208&lt;=$NS$78),IF($NP$78="Single_Point",IF(208=$NR$78,$NN$78,0),IF($NP$78="Bell_Curve",$NN$78*(208-$NR$78+1)*($NS$78-208+1)/$NU$78,$NN$78/$NT$78)),0)</f>
        <v/>
      </c>
      <c r="HE78" s="402">
        <f>IF(AND(209&gt;=$NR$78,209&lt;=$NS$78),IF($NP$78="Single_Point",IF(209=$NR$78,$NN$78,0),IF($NP$78="Bell_Curve",$NN$78*(209-$NR$78+1)*($NS$78-209+1)/$NU$78,$NN$78/$NT$78)),0)</f>
        <v/>
      </c>
      <c r="HF78" s="402">
        <f>IF(AND(210&gt;=$NR$78,210&lt;=$NS$78),IF($NP$78="Single_Point",IF(210=$NR$78,$NN$78,0),IF($NP$78="Bell_Curve",$NN$78*(210-$NR$78+1)*($NS$78-210+1)/$NU$78,$NN$78/$NT$78)),0)</f>
        <v/>
      </c>
      <c r="HG78" s="402">
        <f>IF(AND(211&gt;=$NR$78,211&lt;=$NS$78),IF($NP$78="Single_Point",IF(211=$NR$78,$NN$78,0),IF($NP$78="Bell_Curve",$NN$78*(211-$NR$78+1)*($NS$78-211+1)/$NU$78,$NN$78/$NT$78)),0)</f>
        <v/>
      </c>
      <c r="HH78" s="402">
        <f>IF(AND(212&gt;=$NR$78,212&lt;=$NS$78),IF($NP$78="Single_Point",IF(212=$NR$78,$NN$78,0),IF($NP$78="Bell_Curve",$NN$78*(212-$NR$78+1)*($NS$78-212+1)/$NU$78,$NN$78/$NT$78)),0)</f>
        <v/>
      </c>
      <c r="HI78" s="402">
        <f>IF(AND(213&gt;=$NR$78,213&lt;=$NS$78),IF($NP$78="Single_Point",IF(213=$NR$78,$NN$78,0),IF($NP$78="Bell_Curve",$NN$78*(213-$NR$78+1)*($NS$78-213+1)/$NU$78,$NN$78/$NT$78)),0)</f>
        <v/>
      </c>
      <c r="HJ78" s="402">
        <f>IF(AND(214&gt;=$NR$78,214&lt;=$NS$78),IF($NP$78="Single_Point",IF(214=$NR$78,$NN$78,0),IF($NP$78="Bell_Curve",$NN$78*(214-$NR$78+1)*($NS$78-214+1)/$NU$78,$NN$78/$NT$78)),0)</f>
        <v/>
      </c>
      <c r="HK78" s="402">
        <f>IF(AND(215&gt;=$NR$78,215&lt;=$NS$78),IF($NP$78="Single_Point",IF(215=$NR$78,$NN$78,0),IF($NP$78="Bell_Curve",$NN$78*(215-$NR$78+1)*($NS$78-215+1)/$NU$78,$NN$78/$NT$78)),0)</f>
        <v/>
      </c>
      <c r="HL78" s="402">
        <f>IF(AND(216&gt;=$NR$78,216&lt;=$NS$78),IF($NP$78="Single_Point",IF(216=$NR$78,$NN$78,0),IF($NP$78="Bell_Curve",$NN$78*(216-$NR$78+1)*($NS$78-216+1)/$NU$78,$NN$78/$NT$78)),0)</f>
        <v/>
      </c>
      <c r="HM78" s="402">
        <f>IF(AND(217&gt;=$NR$78,217&lt;=$NS$78),IF($NP$78="Single_Point",IF(217=$NR$78,$NN$78,0),IF($NP$78="Bell_Curve",$NN$78*(217-$NR$78+1)*($NS$78-217+1)/$NU$78,$NN$78/$NT$78)),0)</f>
        <v/>
      </c>
      <c r="HN78" s="402">
        <f>IF(AND(218&gt;=$NR$78,218&lt;=$NS$78),IF($NP$78="Single_Point",IF(218=$NR$78,$NN$78,0),IF($NP$78="Bell_Curve",$NN$78*(218-$NR$78+1)*($NS$78-218+1)/$NU$78,$NN$78/$NT$78)),0)</f>
        <v/>
      </c>
      <c r="HO78" s="402">
        <f>IF(AND(219&gt;=$NR$78,219&lt;=$NS$78),IF($NP$78="Single_Point",IF(219=$NR$78,$NN$78,0),IF($NP$78="Bell_Curve",$NN$78*(219-$NR$78+1)*($NS$78-219+1)/$NU$78,$NN$78/$NT$78)),0)</f>
        <v/>
      </c>
      <c r="HP78" s="402">
        <f>IF(AND(220&gt;=$NR$78,220&lt;=$NS$78),IF($NP$78="Single_Point",IF(220=$NR$78,$NN$78,0),IF($NP$78="Bell_Curve",$NN$78*(220-$NR$78+1)*($NS$78-220+1)/$NU$78,$NN$78/$NT$78)),0)</f>
        <v/>
      </c>
      <c r="HQ78" s="402">
        <f>IF(AND(221&gt;=$NR$78,221&lt;=$NS$78),IF($NP$78="Single_Point",IF(221=$NR$78,$NN$78,0),IF($NP$78="Bell_Curve",$NN$78*(221-$NR$78+1)*($NS$78-221+1)/$NU$78,$NN$78/$NT$78)),0)</f>
        <v/>
      </c>
      <c r="HR78" s="402">
        <f>IF(AND(222&gt;=$NR$78,222&lt;=$NS$78),IF($NP$78="Single_Point",IF(222=$NR$78,$NN$78,0),IF($NP$78="Bell_Curve",$NN$78*(222-$NR$78+1)*($NS$78-222+1)/$NU$78,$NN$78/$NT$78)),0)</f>
        <v/>
      </c>
      <c r="HS78" s="402">
        <f>IF(AND(223&gt;=$NR$78,223&lt;=$NS$78),IF($NP$78="Single_Point",IF(223=$NR$78,$NN$78,0),IF($NP$78="Bell_Curve",$NN$78*(223-$NR$78+1)*($NS$78-223+1)/$NU$78,$NN$78/$NT$78)),0)</f>
        <v/>
      </c>
      <c r="HT78" s="402">
        <f>IF(AND(224&gt;=$NR$78,224&lt;=$NS$78),IF($NP$78="Single_Point",IF(224=$NR$78,$NN$78,0),IF($NP$78="Bell_Curve",$NN$78*(224-$NR$78+1)*($NS$78-224+1)/$NU$78,$NN$78/$NT$78)),0)</f>
        <v/>
      </c>
      <c r="HU78" s="402">
        <f>IF(AND(225&gt;=$NR$78,225&lt;=$NS$78),IF($NP$78="Single_Point",IF(225=$NR$78,$NN$78,0),IF($NP$78="Bell_Curve",$NN$78*(225-$NR$78+1)*($NS$78-225+1)/$NU$78,$NN$78/$NT$78)),0)</f>
        <v/>
      </c>
      <c r="HV78" s="402">
        <f>IF(AND(226&gt;=$NR$78,226&lt;=$NS$78),IF($NP$78="Single_Point",IF(226=$NR$78,$NN$78,0),IF($NP$78="Bell_Curve",$NN$78*(226-$NR$78+1)*($NS$78-226+1)/$NU$78,$NN$78/$NT$78)),0)</f>
        <v/>
      </c>
      <c r="HW78" s="402">
        <f>IF(AND(227&gt;=$NR$78,227&lt;=$NS$78),IF($NP$78="Single_Point",IF(227=$NR$78,$NN$78,0),IF($NP$78="Bell_Curve",$NN$78*(227-$NR$78+1)*($NS$78-227+1)/$NU$78,$NN$78/$NT$78)),0)</f>
        <v/>
      </c>
      <c r="HX78" s="402">
        <f>IF(AND(228&gt;=$NR$78,228&lt;=$NS$78),IF($NP$78="Single_Point",IF(228=$NR$78,$NN$78,0),IF($NP$78="Bell_Curve",$NN$78*(228-$NR$78+1)*($NS$78-228+1)/$NU$78,$NN$78/$NT$78)),0)</f>
        <v/>
      </c>
      <c r="HY78" s="402">
        <f>IF(AND(229&gt;=$NR$78,229&lt;=$NS$78),IF($NP$78="Single_Point",IF(229=$NR$78,$NN$78,0),IF($NP$78="Bell_Curve",$NN$78*(229-$NR$78+1)*($NS$78-229+1)/$NU$78,$NN$78/$NT$78)),0)</f>
        <v/>
      </c>
      <c r="HZ78" s="402">
        <f>IF(AND(230&gt;=$NR$78,230&lt;=$NS$78),IF($NP$78="Single_Point",IF(230=$NR$78,$NN$78,0),IF($NP$78="Bell_Curve",$NN$78*(230-$NR$78+1)*($NS$78-230+1)/$NU$78,$NN$78/$NT$78)),0)</f>
        <v/>
      </c>
      <c r="IA78" s="402">
        <f>IF(AND(231&gt;=$NR$78,231&lt;=$NS$78),IF($NP$78="Single_Point",IF(231=$NR$78,$NN$78,0),IF($NP$78="Bell_Curve",$NN$78*(231-$NR$78+1)*($NS$78-231+1)/$NU$78,$NN$78/$NT$78)),0)</f>
        <v/>
      </c>
      <c r="IB78" s="402">
        <f>IF(AND(232&gt;=$NR$78,232&lt;=$NS$78),IF($NP$78="Single_Point",IF(232=$NR$78,$NN$78,0),IF($NP$78="Bell_Curve",$NN$78*(232-$NR$78+1)*($NS$78-232+1)/$NU$78,$NN$78/$NT$78)),0)</f>
        <v/>
      </c>
      <c r="IC78" s="402">
        <f>IF(AND(233&gt;=$NR$78,233&lt;=$NS$78),IF($NP$78="Single_Point",IF(233=$NR$78,$NN$78,0),IF($NP$78="Bell_Curve",$NN$78*(233-$NR$78+1)*($NS$78-233+1)/$NU$78,$NN$78/$NT$78)),0)</f>
        <v/>
      </c>
      <c r="ID78" s="402">
        <f>IF(AND(234&gt;=$NR$78,234&lt;=$NS$78),IF($NP$78="Single_Point",IF(234=$NR$78,$NN$78,0),IF($NP$78="Bell_Curve",$NN$78*(234-$NR$78+1)*($NS$78-234+1)/$NU$78,$NN$78/$NT$78)),0)</f>
        <v/>
      </c>
      <c r="IE78" s="402">
        <f>IF(AND(235&gt;=$NR$78,235&lt;=$NS$78),IF($NP$78="Single_Point",IF(235=$NR$78,$NN$78,0),IF($NP$78="Bell_Curve",$NN$78*(235-$NR$78+1)*($NS$78-235+1)/$NU$78,$NN$78/$NT$78)),0)</f>
        <v/>
      </c>
      <c r="IF78" s="402">
        <f>IF(AND(236&gt;=$NR$78,236&lt;=$NS$78),IF($NP$78="Single_Point",IF(236=$NR$78,$NN$78,0),IF($NP$78="Bell_Curve",$NN$78*(236-$NR$78+1)*($NS$78-236+1)/$NU$78,$NN$78/$NT$78)),0)</f>
        <v/>
      </c>
      <c r="IG78" s="402">
        <f>IF(AND(237&gt;=$NR$78,237&lt;=$NS$78),IF($NP$78="Single_Point",IF(237=$NR$78,$NN$78,0),IF($NP$78="Bell_Curve",$NN$78*(237-$NR$78+1)*($NS$78-237+1)/$NU$78,$NN$78/$NT$78)),0)</f>
        <v/>
      </c>
      <c r="IH78" s="402">
        <f>IF(AND(238&gt;=$NR$78,238&lt;=$NS$78),IF($NP$78="Single_Point",IF(238=$NR$78,$NN$78,0),IF($NP$78="Bell_Curve",$NN$78*(238-$NR$78+1)*($NS$78-238+1)/$NU$78,$NN$78/$NT$78)),0)</f>
        <v/>
      </c>
      <c r="II78" s="402">
        <f>IF(AND(239&gt;=$NR$78,239&lt;=$NS$78),IF($NP$78="Single_Point",IF(239=$NR$78,$NN$78,0),IF($NP$78="Bell_Curve",$NN$78*(239-$NR$78+1)*($NS$78-239+1)/$NU$78,$NN$78/$NT$78)),0)</f>
        <v/>
      </c>
      <c r="IJ78" s="402">
        <f>IF(AND(240&gt;=$NR$78,240&lt;=$NS$78),IF($NP$78="Single_Point",IF(240=$NR$78,$NN$78,0),IF($NP$78="Bell_Curve",$NN$78*(240-$NR$78+1)*($NS$78-240+1)/$NU$78,$NN$78/$NT$78)),0)</f>
        <v/>
      </c>
      <c r="IK78" s="402">
        <f>IF(AND(241&gt;=$NR$78,241&lt;=$NS$78),IF($NP$78="Single_Point",IF(241=$NR$78,$NN$78,0),IF($NP$78="Bell_Curve",$NN$78*(241-$NR$78+1)*($NS$78-241+1)/$NU$78,$NN$78/$NT$78)),0)</f>
        <v/>
      </c>
      <c r="IL78" s="402">
        <f>IF(AND(242&gt;=$NR$78,242&lt;=$NS$78),IF($NP$78="Single_Point",IF(242=$NR$78,$NN$78,0),IF($NP$78="Bell_Curve",$NN$78*(242-$NR$78+1)*($NS$78-242+1)/$NU$78,$NN$78/$NT$78)),0)</f>
        <v/>
      </c>
      <c r="IM78" s="402">
        <f>IF(AND(243&gt;=$NR$78,243&lt;=$NS$78),IF($NP$78="Single_Point",IF(243=$NR$78,$NN$78,0),IF($NP$78="Bell_Curve",$NN$78*(243-$NR$78+1)*($NS$78-243+1)/$NU$78,$NN$78/$NT$78)),0)</f>
        <v/>
      </c>
      <c r="IN78" s="402">
        <f>IF(AND(244&gt;=$NR$78,244&lt;=$NS$78),IF($NP$78="Single_Point",IF(244=$NR$78,$NN$78,0),IF($NP$78="Bell_Curve",$NN$78*(244-$NR$78+1)*($NS$78-244+1)/$NU$78,$NN$78/$NT$78)),0)</f>
        <v/>
      </c>
      <c r="IO78" s="402">
        <f>IF(AND(245&gt;=$NR$78,245&lt;=$NS$78),IF($NP$78="Single_Point",IF(245=$NR$78,$NN$78,0),IF($NP$78="Bell_Curve",$NN$78*(245-$NR$78+1)*($NS$78-245+1)/$NU$78,$NN$78/$NT$78)),0)</f>
        <v/>
      </c>
      <c r="IP78" s="402">
        <f>IF(AND(246&gt;=$NR$78,246&lt;=$NS$78),IF($NP$78="Single_Point",IF(246=$NR$78,$NN$78,0),IF($NP$78="Bell_Curve",$NN$78*(246-$NR$78+1)*($NS$78-246+1)/$NU$78,$NN$78/$NT$78)),0)</f>
        <v/>
      </c>
      <c r="IQ78" s="402">
        <f>IF(AND(247&gt;=$NR$78,247&lt;=$NS$78),IF($NP$78="Single_Point",IF(247=$NR$78,$NN$78,0),IF($NP$78="Bell_Curve",$NN$78*(247-$NR$78+1)*($NS$78-247+1)/$NU$78,$NN$78/$NT$78)),0)</f>
        <v/>
      </c>
      <c r="IR78" s="402">
        <f>IF(AND(248&gt;=$NR$78,248&lt;=$NS$78),IF($NP$78="Single_Point",IF(248=$NR$78,$NN$78,0),IF($NP$78="Bell_Curve",$NN$78*(248-$NR$78+1)*($NS$78-248+1)/$NU$78,$NN$78/$NT$78)),0)</f>
        <v/>
      </c>
      <c r="IS78" s="402">
        <f>IF(AND(249&gt;=$NR$78,249&lt;=$NS$78),IF($NP$78="Single_Point",IF(249=$NR$78,$NN$78,0),IF($NP$78="Bell_Curve",$NN$78*(249-$NR$78+1)*($NS$78-249+1)/$NU$78,$NN$78/$NT$78)),0)</f>
        <v/>
      </c>
      <c r="IT78" s="402">
        <f>IF(AND(250&gt;=$NR$78,250&lt;=$NS$78),IF($NP$78="Single_Point",IF(250=$NR$78,$NN$78,0),IF($NP$78="Bell_Curve",$NN$78*(250-$NR$78+1)*($NS$78-250+1)/$NU$78,$NN$78/$NT$78)),0)</f>
        <v/>
      </c>
      <c r="IU78" s="402">
        <f>IF(AND(251&gt;=$NR$78,251&lt;=$NS$78),IF($NP$78="Single_Point",IF(251=$NR$78,$NN$78,0),IF($NP$78="Bell_Curve",$NN$78*(251-$NR$78+1)*($NS$78-251+1)/$NU$78,$NN$78/$NT$78)),0)</f>
        <v/>
      </c>
      <c r="IV78" s="402">
        <f>IF(AND(252&gt;=$NR$78,252&lt;=$NS$78),IF($NP$78="Single_Point",IF(252=$NR$78,$NN$78,0),IF($NP$78="Bell_Curve",$NN$78*(252-$NR$78+1)*($NS$78-252+1)/$NU$78,$NN$78/$NT$78)),0)</f>
        <v/>
      </c>
      <c r="IW78" s="402">
        <f>IF(AND(253&gt;=$NR$78,253&lt;=$NS$78),IF($NP$78="Single_Point",IF(253=$NR$78,$NN$78,0),IF($NP$78="Bell_Curve",$NN$78*(253-$NR$78+1)*($NS$78-253+1)/$NU$78,$NN$78/$NT$78)),0)</f>
        <v/>
      </c>
      <c r="IX78" s="402">
        <f>IF(AND(254&gt;=$NR$78,254&lt;=$NS$78),IF($NP$78="Single_Point",IF(254=$NR$78,$NN$78,0),IF($NP$78="Bell_Curve",$NN$78*(254-$NR$78+1)*($NS$78-254+1)/$NU$78,$NN$78/$NT$78)),0)</f>
        <v/>
      </c>
      <c r="IY78" s="402">
        <f>IF(AND(255&gt;=$NR$78,255&lt;=$NS$78),IF($NP$78="Single_Point",IF(255=$NR$78,$NN$78,0),IF($NP$78="Bell_Curve",$NN$78*(255-$NR$78+1)*($NS$78-255+1)/$NU$78,$NN$78/$NT$78)),0)</f>
        <v/>
      </c>
      <c r="IZ78" s="402">
        <f>IF(AND(256&gt;=$NR$78,256&lt;=$NS$78),IF($NP$78="Single_Point",IF(256=$NR$78,$NN$78,0),IF($NP$78="Bell_Curve",$NN$78*(256-$NR$78+1)*($NS$78-256+1)/$NU$78,$NN$78/$NT$78)),0)</f>
        <v/>
      </c>
      <c r="JA78" s="402">
        <f>IF(AND(257&gt;=$NR$78,257&lt;=$NS$78),IF($NP$78="Single_Point",IF(257=$NR$78,$NN$78,0),IF($NP$78="Bell_Curve",$NN$78*(257-$NR$78+1)*($NS$78-257+1)/$NU$78,$NN$78/$NT$78)),0)</f>
        <v/>
      </c>
      <c r="JB78" s="402">
        <f>IF(AND(258&gt;=$NR$78,258&lt;=$NS$78),IF($NP$78="Single_Point",IF(258=$NR$78,$NN$78,0),IF($NP$78="Bell_Curve",$NN$78*(258-$NR$78+1)*($NS$78-258+1)/$NU$78,$NN$78/$NT$78)),0)</f>
        <v/>
      </c>
      <c r="JC78" s="402">
        <f>IF(AND(259&gt;=$NR$78,259&lt;=$NS$78),IF($NP$78="Single_Point",IF(259=$NR$78,$NN$78,0),IF($NP$78="Bell_Curve",$NN$78*(259-$NR$78+1)*($NS$78-259+1)/$NU$78,$NN$78/$NT$78)),0)</f>
        <v/>
      </c>
      <c r="JD78" s="402">
        <f>IF(AND(260&gt;=$NR$78,260&lt;=$NS$78),IF($NP$78="Single_Point",IF(260=$NR$78,$NN$78,0),IF($NP$78="Bell_Curve",$NN$78*(260-$NR$78+1)*($NS$78-260+1)/$NU$78,$NN$78/$NT$78)),0)</f>
        <v/>
      </c>
      <c r="JE78" s="402">
        <f>IF(AND(261&gt;=$NR$78,261&lt;=$NS$78),IF($NP$78="Single_Point",IF(261=$NR$78,$NN$78,0),IF($NP$78="Bell_Curve",$NN$78*(261-$NR$78+1)*($NS$78-261+1)/$NU$78,$NN$78/$NT$78)),0)</f>
        <v/>
      </c>
      <c r="JF78" s="402">
        <f>IF(AND(262&gt;=$NR$78,262&lt;=$NS$78),IF($NP$78="Single_Point",IF(262=$NR$78,$NN$78,0),IF($NP$78="Bell_Curve",$NN$78*(262-$NR$78+1)*($NS$78-262+1)/$NU$78,$NN$78/$NT$78)),0)</f>
        <v/>
      </c>
      <c r="JG78" s="402">
        <f>IF(AND(263&gt;=$NR$78,263&lt;=$NS$78),IF($NP$78="Single_Point",IF(263=$NR$78,$NN$78,0),IF($NP$78="Bell_Curve",$NN$78*(263-$NR$78+1)*($NS$78-263+1)/$NU$78,$NN$78/$NT$78)),0)</f>
        <v/>
      </c>
      <c r="JH78" s="402">
        <f>IF(AND(264&gt;=$NR$78,264&lt;=$NS$78),IF($NP$78="Single_Point",IF(264=$NR$78,$NN$78,0),IF($NP$78="Bell_Curve",$NN$78*(264-$NR$78+1)*($NS$78-264+1)/$NU$78,$NN$78/$NT$78)),0)</f>
        <v/>
      </c>
      <c r="JI78" s="402">
        <f>IF(AND(265&gt;=$NR$78,265&lt;=$NS$78),IF($NP$78="Single_Point",IF(265=$NR$78,$NN$78,0),IF($NP$78="Bell_Curve",$NN$78*(265-$NR$78+1)*($NS$78-265+1)/$NU$78,$NN$78/$NT$78)),0)</f>
        <v/>
      </c>
      <c r="JJ78" s="402">
        <f>IF(AND(266&gt;=$NR$78,266&lt;=$NS$78),IF($NP$78="Single_Point",IF(266=$NR$78,$NN$78,0),IF($NP$78="Bell_Curve",$NN$78*(266-$NR$78+1)*($NS$78-266+1)/$NU$78,$NN$78/$NT$78)),0)</f>
        <v/>
      </c>
      <c r="JK78" s="402">
        <f>IF(AND(267&gt;=$NR$78,267&lt;=$NS$78),IF($NP$78="Single_Point",IF(267=$NR$78,$NN$78,0),IF($NP$78="Bell_Curve",$NN$78*(267-$NR$78+1)*($NS$78-267+1)/$NU$78,$NN$78/$NT$78)),0)</f>
        <v/>
      </c>
      <c r="JL78" s="402">
        <f>IF(AND(268&gt;=$NR$78,268&lt;=$NS$78),IF($NP$78="Single_Point",IF(268=$NR$78,$NN$78,0),IF($NP$78="Bell_Curve",$NN$78*(268-$NR$78+1)*($NS$78-268+1)/$NU$78,$NN$78/$NT$78)),0)</f>
        <v/>
      </c>
      <c r="JM78" s="402">
        <f>IF(AND(269&gt;=$NR$78,269&lt;=$NS$78),IF($NP$78="Single_Point",IF(269=$NR$78,$NN$78,0),IF($NP$78="Bell_Curve",$NN$78*(269-$NR$78+1)*($NS$78-269+1)/$NU$78,$NN$78/$NT$78)),0)</f>
        <v/>
      </c>
      <c r="JN78" s="402">
        <f>IF(AND(270&gt;=$NR$78,270&lt;=$NS$78),IF($NP$78="Single_Point",IF(270=$NR$78,$NN$78,0),IF($NP$78="Bell_Curve",$NN$78*(270-$NR$78+1)*($NS$78-270+1)/$NU$78,$NN$78/$NT$78)),0)</f>
        <v/>
      </c>
      <c r="JO78" s="402">
        <f>IF(AND(271&gt;=$NR$78,271&lt;=$NS$78),IF($NP$78="Single_Point",IF(271=$NR$78,$NN$78,0),IF($NP$78="Bell_Curve",$NN$78*(271-$NR$78+1)*($NS$78-271+1)/$NU$78,$NN$78/$NT$78)),0)</f>
        <v/>
      </c>
      <c r="JP78" s="402">
        <f>IF(AND(272&gt;=$NR$78,272&lt;=$NS$78),IF($NP$78="Single_Point",IF(272=$NR$78,$NN$78,0),IF($NP$78="Bell_Curve",$NN$78*(272-$NR$78+1)*($NS$78-272+1)/$NU$78,$NN$78/$NT$78)),0)</f>
        <v/>
      </c>
      <c r="JQ78" s="402">
        <f>IF(AND(273&gt;=$NR$78,273&lt;=$NS$78),IF($NP$78="Single_Point",IF(273=$NR$78,$NN$78,0),IF($NP$78="Bell_Curve",$NN$78*(273-$NR$78+1)*($NS$78-273+1)/$NU$78,$NN$78/$NT$78)),0)</f>
        <v/>
      </c>
      <c r="JR78" s="402">
        <f>IF(AND(274&gt;=$NR$78,274&lt;=$NS$78),IF($NP$78="Single_Point",IF(274=$NR$78,$NN$78,0),IF($NP$78="Bell_Curve",$NN$78*(274-$NR$78+1)*($NS$78-274+1)/$NU$78,$NN$78/$NT$78)),0)</f>
        <v/>
      </c>
      <c r="JS78" s="402">
        <f>IF(AND(275&gt;=$NR$78,275&lt;=$NS$78),IF($NP$78="Single_Point",IF(275=$NR$78,$NN$78,0),IF($NP$78="Bell_Curve",$NN$78*(275-$NR$78+1)*($NS$78-275+1)/$NU$78,$NN$78/$NT$78)),0)</f>
        <v/>
      </c>
      <c r="JT78" s="402">
        <f>IF(AND(276&gt;=$NR$78,276&lt;=$NS$78),IF($NP$78="Single_Point",IF(276=$NR$78,$NN$78,0),IF($NP$78="Bell_Curve",$NN$78*(276-$NR$78+1)*($NS$78-276+1)/$NU$78,$NN$78/$NT$78)),0)</f>
        <v/>
      </c>
      <c r="JU78" s="402">
        <f>IF(AND(277&gt;=$NR$78,277&lt;=$NS$78),IF($NP$78="Single_Point",IF(277=$NR$78,$NN$78,0),IF($NP$78="Bell_Curve",$NN$78*(277-$NR$78+1)*($NS$78-277+1)/$NU$78,$NN$78/$NT$78)),0)</f>
        <v/>
      </c>
      <c r="JV78" s="402">
        <f>IF(AND(278&gt;=$NR$78,278&lt;=$NS$78),IF($NP$78="Single_Point",IF(278=$NR$78,$NN$78,0),IF($NP$78="Bell_Curve",$NN$78*(278-$NR$78+1)*($NS$78-278+1)/$NU$78,$NN$78/$NT$78)),0)</f>
        <v/>
      </c>
      <c r="JW78" s="402">
        <f>IF(AND(279&gt;=$NR$78,279&lt;=$NS$78),IF($NP$78="Single_Point",IF(279=$NR$78,$NN$78,0),IF($NP$78="Bell_Curve",$NN$78*(279-$NR$78+1)*($NS$78-279+1)/$NU$78,$NN$78/$NT$78)),0)</f>
        <v/>
      </c>
      <c r="JX78" s="402">
        <f>IF(AND(280&gt;=$NR$78,280&lt;=$NS$78),IF($NP$78="Single_Point",IF(280=$NR$78,$NN$78,0),IF($NP$78="Bell_Curve",$NN$78*(280-$NR$78+1)*($NS$78-280+1)/$NU$78,$NN$78/$NT$78)),0)</f>
        <v/>
      </c>
      <c r="JY78" s="402">
        <f>IF(AND(281&gt;=$NR$78,281&lt;=$NS$78),IF($NP$78="Single_Point",IF(281=$NR$78,$NN$78,0),IF($NP$78="Bell_Curve",$NN$78*(281-$NR$78+1)*($NS$78-281+1)/$NU$78,$NN$78/$NT$78)),0)</f>
        <v/>
      </c>
      <c r="JZ78" s="402">
        <f>IF(AND(282&gt;=$NR$78,282&lt;=$NS$78),IF($NP$78="Single_Point",IF(282=$NR$78,$NN$78,0),IF($NP$78="Bell_Curve",$NN$78*(282-$NR$78+1)*($NS$78-282+1)/$NU$78,$NN$78/$NT$78)),0)</f>
        <v/>
      </c>
      <c r="KA78" s="402">
        <f>IF(AND(283&gt;=$NR$78,283&lt;=$NS$78),IF($NP$78="Single_Point",IF(283=$NR$78,$NN$78,0),IF($NP$78="Bell_Curve",$NN$78*(283-$NR$78+1)*($NS$78-283+1)/$NU$78,$NN$78/$NT$78)),0)</f>
        <v/>
      </c>
      <c r="KB78" s="402">
        <f>IF(AND(284&gt;=$NR$78,284&lt;=$NS$78),IF($NP$78="Single_Point",IF(284=$NR$78,$NN$78,0),IF($NP$78="Bell_Curve",$NN$78*(284-$NR$78+1)*($NS$78-284+1)/$NU$78,$NN$78/$NT$78)),0)</f>
        <v/>
      </c>
      <c r="KC78" s="402">
        <f>IF(AND(285&gt;=$NR$78,285&lt;=$NS$78),IF($NP$78="Single_Point",IF(285=$NR$78,$NN$78,0),IF($NP$78="Bell_Curve",$NN$78*(285-$NR$78+1)*($NS$78-285+1)/$NU$78,$NN$78/$NT$78)),0)</f>
        <v/>
      </c>
      <c r="KD78" s="402">
        <f>IF(AND(286&gt;=$NR$78,286&lt;=$NS$78),IF($NP$78="Single_Point",IF(286=$NR$78,$NN$78,0),IF($NP$78="Bell_Curve",$NN$78*(286-$NR$78+1)*($NS$78-286+1)/$NU$78,$NN$78/$NT$78)),0)</f>
        <v/>
      </c>
      <c r="KE78" s="402">
        <f>IF(AND(287&gt;=$NR$78,287&lt;=$NS$78),IF($NP$78="Single_Point",IF(287=$NR$78,$NN$78,0),IF($NP$78="Bell_Curve",$NN$78*(287-$NR$78+1)*($NS$78-287+1)/$NU$78,$NN$78/$NT$78)),0)</f>
        <v/>
      </c>
      <c r="KF78" s="402">
        <f>IF(AND(288&gt;=$NR$78,288&lt;=$NS$78),IF($NP$78="Single_Point",IF(288=$NR$78,$NN$78,0),IF($NP$78="Bell_Curve",$NN$78*(288-$NR$78+1)*($NS$78-288+1)/$NU$78,$NN$78/$NT$78)),0)</f>
        <v/>
      </c>
      <c r="KG78" s="402">
        <f>IF(AND(289&gt;=$NR$78,289&lt;=$NS$78),IF($NP$78="Single_Point",IF(289=$NR$78,$NN$78,0),IF($NP$78="Bell_Curve",$NN$78*(289-$NR$78+1)*($NS$78-289+1)/$NU$78,$NN$78/$NT$78)),0)</f>
        <v/>
      </c>
      <c r="KH78" s="402">
        <f>IF(AND(290&gt;=$NR$78,290&lt;=$NS$78),IF($NP$78="Single_Point",IF(290=$NR$78,$NN$78,0),IF($NP$78="Bell_Curve",$NN$78*(290-$NR$78+1)*($NS$78-290+1)/$NU$78,$NN$78/$NT$78)),0)</f>
        <v/>
      </c>
      <c r="KI78" s="402">
        <f>IF(AND(291&gt;=$NR$78,291&lt;=$NS$78),IF($NP$78="Single_Point",IF(291=$NR$78,$NN$78,0),IF($NP$78="Bell_Curve",$NN$78*(291-$NR$78+1)*($NS$78-291+1)/$NU$78,$NN$78/$NT$78)),0)</f>
        <v/>
      </c>
      <c r="KJ78" s="402">
        <f>IF(AND(292&gt;=$NR$78,292&lt;=$NS$78),IF($NP$78="Single_Point",IF(292=$NR$78,$NN$78,0),IF($NP$78="Bell_Curve",$NN$78*(292-$NR$78+1)*($NS$78-292+1)/$NU$78,$NN$78/$NT$78)),0)</f>
        <v/>
      </c>
      <c r="KK78" s="402">
        <f>IF(AND(293&gt;=$NR$78,293&lt;=$NS$78),IF($NP$78="Single_Point",IF(293=$NR$78,$NN$78,0),IF($NP$78="Bell_Curve",$NN$78*(293-$NR$78+1)*($NS$78-293+1)/$NU$78,$NN$78/$NT$78)),0)</f>
        <v/>
      </c>
      <c r="KL78" s="402">
        <f>IF(AND(294&gt;=$NR$78,294&lt;=$NS$78),IF($NP$78="Single_Point",IF(294=$NR$78,$NN$78,0),IF($NP$78="Bell_Curve",$NN$78*(294-$NR$78+1)*($NS$78-294+1)/$NU$78,$NN$78/$NT$78)),0)</f>
        <v/>
      </c>
      <c r="KM78" s="402">
        <f>IF(AND(295&gt;=$NR$78,295&lt;=$NS$78),IF($NP$78="Single_Point",IF(295=$NR$78,$NN$78,0),IF($NP$78="Bell_Curve",$NN$78*(295-$NR$78+1)*($NS$78-295+1)/$NU$78,$NN$78/$NT$78)),0)</f>
        <v/>
      </c>
      <c r="KN78" s="402">
        <f>IF(AND(296&gt;=$NR$78,296&lt;=$NS$78),IF($NP$78="Single_Point",IF(296=$NR$78,$NN$78,0),IF($NP$78="Bell_Curve",$NN$78*(296-$NR$78+1)*($NS$78-296+1)/$NU$78,$NN$78/$NT$78)),0)</f>
        <v/>
      </c>
      <c r="KO78" s="402">
        <f>IF(AND(297&gt;=$NR$78,297&lt;=$NS$78),IF($NP$78="Single_Point",IF(297=$NR$78,$NN$78,0),IF($NP$78="Bell_Curve",$NN$78*(297-$NR$78+1)*($NS$78-297+1)/$NU$78,$NN$78/$NT$78)),0)</f>
        <v/>
      </c>
      <c r="KP78" s="402">
        <f>IF(AND(298&gt;=$NR$78,298&lt;=$NS$78),IF($NP$78="Single_Point",IF(298=$NR$78,$NN$78,0),IF($NP$78="Bell_Curve",$NN$78*(298-$NR$78+1)*($NS$78-298+1)/$NU$78,$NN$78/$NT$78)),0)</f>
        <v/>
      </c>
      <c r="KQ78" s="402">
        <f>IF(AND(299&gt;=$NR$78,299&lt;=$NS$78),IF($NP$78="Single_Point",IF(299=$NR$78,$NN$78,0),IF($NP$78="Bell_Curve",$NN$78*(299-$NR$78+1)*($NS$78-299+1)/$NU$78,$NN$78/$NT$78)),0)</f>
        <v/>
      </c>
      <c r="KR78" s="402">
        <f>IF(AND(300&gt;=$NR$78,300&lt;=$NS$78),IF($NP$78="Single_Point",IF(300=$NR$78,$NN$78,0),IF($NP$78="Bell_Curve",$NN$78*(300-$NR$78+1)*($NS$78-300+1)/$NU$78,$NN$78/$NT$78)),0)</f>
        <v/>
      </c>
      <c r="KS78" s="402">
        <f>IF(AND(301&gt;=$NR$78,301&lt;=$NS$78),IF($NP$78="Single_Point",IF(301=$NR$78,$NN$78,0),IF($NP$78="Bell_Curve",$NN$78*(301-$NR$78+1)*($NS$78-301+1)/$NU$78,$NN$78/$NT$78)),0)</f>
        <v/>
      </c>
      <c r="KT78" s="402">
        <f>IF(AND(302&gt;=$NR$78,302&lt;=$NS$78),IF($NP$78="Single_Point",IF(302=$NR$78,$NN$78,0),IF($NP$78="Bell_Curve",$NN$78*(302-$NR$78+1)*($NS$78-302+1)/$NU$78,$NN$78/$NT$78)),0)</f>
        <v/>
      </c>
      <c r="KU78" s="402">
        <f>IF(AND(303&gt;=$NR$78,303&lt;=$NS$78),IF($NP$78="Single_Point",IF(303=$NR$78,$NN$78,0),IF($NP$78="Bell_Curve",$NN$78*(303-$NR$78+1)*($NS$78-303+1)/$NU$78,$NN$78/$NT$78)),0)</f>
        <v/>
      </c>
      <c r="KV78" s="402">
        <f>IF(AND(304&gt;=$NR$78,304&lt;=$NS$78),IF($NP$78="Single_Point",IF(304=$NR$78,$NN$78,0),IF($NP$78="Bell_Curve",$NN$78*(304-$NR$78+1)*($NS$78-304+1)/$NU$78,$NN$78/$NT$78)),0)</f>
        <v/>
      </c>
      <c r="KW78" s="402">
        <f>IF(AND(305&gt;=$NR$78,305&lt;=$NS$78),IF($NP$78="Single_Point",IF(305=$NR$78,$NN$78,0),IF($NP$78="Bell_Curve",$NN$78*(305-$NR$78+1)*($NS$78-305+1)/$NU$78,$NN$78/$NT$78)),0)</f>
        <v/>
      </c>
      <c r="KX78" s="402">
        <f>IF(AND(306&gt;=$NR$78,306&lt;=$NS$78),IF($NP$78="Single_Point",IF(306=$NR$78,$NN$78,0),IF($NP$78="Bell_Curve",$NN$78*(306-$NR$78+1)*($NS$78-306+1)/$NU$78,$NN$78/$NT$78)),0)</f>
        <v/>
      </c>
      <c r="KY78" s="402">
        <f>IF(AND(307&gt;=$NR$78,307&lt;=$NS$78),IF($NP$78="Single_Point",IF(307=$NR$78,$NN$78,0),IF($NP$78="Bell_Curve",$NN$78*(307-$NR$78+1)*($NS$78-307+1)/$NU$78,$NN$78/$NT$78)),0)</f>
        <v/>
      </c>
      <c r="KZ78" s="402">
        <f>IF(AND(308&gt;=$NR$78,308&lt;=$NS$78),IF($NP$78="Single_Point",IF(308=$NR$78,$NN$78,0),IF($NP$78="Bell_Curve",$NN$78*(308-$NR$78+1)*($NS$78-308+1)/$NU$78,$NN$78/$NT$78)),0)</f>
        <v/>
      </c>
      <c r="LA78" s="402">
        <f>IF(AND(309&gt;=$NR$78,309&lt;=$NS$78),IF($NP$78="Single_Point",IF(309=$NR$78,$NN$78,0),IF($NP$78="Bell_Curve",$NN$78*(309-$NR$78+1)*($NS$78-309+1)/$NU$78,$NN$78/$NT$78)),0)</f>
        <v/>
      </c>
      <c r="LB78" s="402">
        <f>IF(AND(310&gt;=$NR$78,310&lt;=$NS$78),IF($NP$78="Single_Point",IF(310=$NR$78,$NN$78,0),IF($NP$78="Bell_Curve",$NN$78*(310-$NR$78+1)*($NS$78-310+1)/$NU$78,$NN$78/$NT$78)),0)</f>
        <v/>
      </c>
      <c r="LC78" s="402">
        <f>IF(AND(311&gt;=$NR$78,311&lt;=$NS$78),IF($NP$78="Single_Point",IF(311=$NR$78,$NN$78,0),IF($NP$78="Bell_Curve",$NN$78*(311-$NR$78+1)*($NS$78-311+1)/$NU$78,$NN$78/$NT$78)),0)</f>
        <v/>
      </c>
      <c r="LD78" s="402">
        <f>IF(AND(312&gt;=$NR$78,312&lt;=$NS$78),IF($NP$78="Single_Point",IF(312=$NR$78,$NN$78,0),IF($NP$78="Bell_Curve",$NN$78*(312-$NR$78+1)*($NS$78-312+1)/$NU$78,$NN$78/$NT$78)),0)</f>
        <v/>
      </c>
      <c r="LE78" s="402">
        <f>IF(AND(313&gt;=$NR$78,313&lt;=$NS$78),IF($NP$78="Single_Point",IF(313=$NR$78,$NN$78,0),IF($NP$78="Bell_Curve",$NN$78*(313-$NR$78+1)*($NS$78-313+1)/$NU$78,$NN$78/$NT$78)),0)</f>
        <v/>
      </c>
      <c r="LF78" s="402">
        <f>IF(AND(314&gt;=$NR$78,314&lt;=$NS$78),IF($NP$78="Single_Point",IF(314=$NR$78,$NN$78,0),IF($NP$78="Bell_Curve",$NN$78*(314-$NR$78+1)*($NS$78-314+1)/$NU$78,$NN$78/$NT$78)),0)</f>
        <v/>
      </c>
      <c r="LG78" s="402">
        <f>IF(AND(315&gt;=$NR$78,315&lt;=$NS$78),IF($NP$78="Single_Point",IF(315=$NR$78,$NN$78,0),IF($NP$78="Bell_Curve",$NN$78*(315-$NR$78+1)*($NS$78-315+1)/$NU$78,$NN$78/$NT$78)),0)</f>
        <v/>
      </c>
      <c r="LH78" s="402">
        <f>IF(AND(316&gt;=$NR$78,316&lt;=$NS$78),IF($NP$78="Single_Point",IF(316=$NR$78,$NN$78,0),IF($NP$78="Bell_Curve",$NN$78*(316-$NR$78+1)*($NS$78-316+1)/$NU$78,$NN$78/$NT$78)),0)</f>
        <v/>
      </c>
      <c r="LI78" s="402">
        <f>IF(AND(317&gt;=$NR$78,317&lt;=$NS$78),IF($NP$78="Single_Point",IF(317=$NR$78,$NN$78,0),IF($NP$78="Bell_Curve",$NN$78*(317-$NR$78+1)*($NS$78-317+1)/$NU$78,$NN$78/$NT$78)),0)</f>
        <v/>
      </c>
      <c r="LJ78" s="402">
        <f>IF(AND(318&gt;=$NR$78,318&lt;=$NS$78),IF($NP$78="Single_Point",IF(318=$NR$78,$NN$78,0),IF($NP$78="Bell_Curve",$NN$78*(318-$NR$78+1)*($NS$78-318+1)/$NU$78,$NN$78/$NT$78)),0)</f>
        <v/>
      </c>
      <c r="LK78" s="402">
        <f>IF(AND(319&gt;=$NR$78,319&lt;=$NS$78),IF($NP$78="Single_Point",IF(319=$NR$78,$NN$78,0),IF($NP$78="Bell_Curve",$NN$78*(319-$NR$78+1)*($NS$78-319+1)/$NU$78,$NN$78/$NT$78)),0)</f>
        <v/>
      </c>
      <c r="LL78" s="402">
        <f>IF(AND(320&gt;=$NR$78,320&lt;=$NS$78),IF($NP$78="Single_Point",IF(320=$NR$78,$NN$78,0),IF($NP$78="Bell_Curve",$NN$78*(320-$NR$78+1)*($NS$78-320+1)/$NU$78,$NN$78/$NT$78)),0)</f>
        <v/>
      </c>
      <c r="LM78" s="402">
        <f>IF(AND(321&gt;=$NR$78,321&lt;=$NS$78),IF($NP$78="Single_Point",IF(321=$NR$78,$NN$78,0),IF($NP$78="Bell_Curve",$NN$78*(321-$NR$78+1)*($NS$78-321+1)/$NU$78,$NN$78/$NT$78)),0)</f>
        <v/>
      </c>
      <c r="LN78" s="402">
        <f>IF(AND(322&gt;=$NR$78,322&lt;=$NS$78),IF($NP$78="Single_Point",IF(322=$NR$78,$NN$78,0),IF($NP$78="Bell_Curve",$NN$78*(322-$NR$78+1)*($NS$78-322+1)/$NU$78,$NN$78/$NT$78)),0)</f>
        <v/>
      </c>
      <c r="LO78" s="402">
        <f>IF(AND(323&gt;=$NR$78,323&lt;=$NS$78),IF($NP$78="Single_Point",IF(323=$NR$78,$NN$78,0),IF($NP$78="Bell_Curve",$NN$78*(323-$NR$78+1)*($NS$78-323+1)/$NU$78,$NN$78/$NT$78)),0)</f>
        <v/>
      </c>
      <c r="LP78" s="402">
        <f>IF(AND(324&gt;=$NR$78,324&lt;=$NS$78),IF($NP$78="Single_Point",IF(324=$NR$78,$NN$78,0),IF($NP$78="Bell_Curve",$NN$78*(324-$NR$78+1)*($NS$78-324+1)/$NU$78,$NN$78/$NT$78)),0)</f>
        <v/>
      </c>
      <c r="LQ78" s="402">
        <f>IF(AND(325&gt;=$NR$78,325&lt;=$NS$78),IF($NP$78="Single_Point",IF(325=$NR$78,$NN$78,0),IF($NP$78="Bell_Curve",$NN$78*(325-$NR$78+1)*($NS$78-325+1)/$NU$78,$NN$78/$NT$78)),0)</f>
        <v/>
      </c>
      <c r="LR78" s="402">
        <f>IF(AND(326&gt;=$NR$78,326&lt;=$NS$78),IF($NP$78="Single_Point",IF(326=$NR$78,$NN$78,0),IF($NP$78="Bell_Curve",$NN$78*(326-$NR$78+1)*($NS$78-326+1)/$NU$78,$NN$78/$NT$78)),0)</f>
        <v/>
      </c>
      <c r="LS78" s="402">
        <f>IF(AND(327&gt;=$NR$78,327&lt;=$NS$78),IF($NP$78="Single_Point",IF(327=$NR$78,$NN$78,0),IF($NP$78="Bell_Curve",$NN$78*(327-$NR$78+1)*($NS$78-327+1)/$NU$78,$NN$78/$NT$78)),0)</f>
        <v/>
      </c>
      <c r="LT78" s="402">
        <f>IF(AND(328&gt;=$NR$78,328&lt;=$NS$78),IF($NP$78="Single_Point",IF(328=$NR$78,$NN$78,0),IF($NP$78="Bell_Curve",$NN$78*(328-$NR$78+1)*($NS$78-328+1)/$NU$78,$NN$78/$NT$78)),0)</f>
        <v/>
      </c>
      <c r="LU78" s="402">
        <f>IF(AND(329&gt;=$NR$78,329&lt;=$NS$78),IF($NP$78="Single_Point",IF(329=$NR$78,$NN$78,0),IF($NP$78="Bell_Curve",$NN$78*(329-$NR$78+1)*($NS$78-329+1)/$NU$78,$NN$78/$NT$78)),0)</f>
        <v/>
      </c>
      <c r="LV78" s="402">
        <f>IF(AND(330&gt;=$NR$78,330&lt;=$NS$78),IF($NP$78="Single_Point",IF(330=$NR$78,$NN$78,0),IF($NP$78="Bell_Curve",$NN$78*(330-$NR$78+1)*($NS$78-330+1)/$NU$78,$NN$78/$NT$78)),0)</f>
        <v/>
      </c>
      <c r="LW78" s="402">
        <f>IF(AND(331&gt;=$NR$78,331&lt;=$NS$78),IF($NP$78="Single_Point",IF(331=$NR$78,$NN$78,0),IF($NP$78="Bell_Curve",$NN$78*(331-$NR$78+1)*($NS$78-331+1)/$NU$78,$NN$78/$NT$78)),0)</f>
        <v/>
      </c>
      <c r="LX78" s="402">
        <f>IF(AND(332&gt;=$NR$78,332&lt;=$NS$78),IF($NP$78="Single_Point",IF(332=$NR$78,$NN$78,0),IF($NP$78="Bell_Curve",$NN$78*(332-$NR$78+1)*($NS$78-332+1)/$NU$78,$NN$78/$NT$78)),0)</f>
        <v/>
      </c>
      <c r="LY78" s="402">
        <f>IF(AND(333&gt;=$NR$78,333&lt;=$NS$78),IF($NP$78="Single_Point",IF(333=$NR$78,$NN$78,0),IF($NP$78="Bell_Curve",$NN$78*(333-$NR$78+1)*($NS$78-333+1)/$NU$78,$NN$78/$NT$78)),0)</f>
        <v/>
      </c>
      <c r="LZ78" s="402">
        <f>IF(AND(334&gt;=$NR$78,334&lt;=$NS$78),IF($NP$78="Single_Point",IF(334=$NR$78,$NN$78,0),IF($NP$78="Bell_Curve",$NN$78*(334-$NR$78+1)*($NS$78-334+1)/$NU$78,$NN$78/$NT$78)),0)</f>
        <v/>
      </c>
      <c r="MA78" s="402">
        <f>IF(AND(335&gt;=$NR$78,335&lt;=$NS$78),IF($NP$78="Single_Point",IF(335=$NR$78,$NN$78,0),IF($NP$78="Bell_Curve",$NN$78*(335-$NR$78+1)*($NS$78-335+1)/$NU$78,$NN$78/$NT$78)),0)</f>
        <v/>
      </c>
      <c r="MB78" s="402">
        <f>IF(AND(336&gt;=$NR$78,336&lt;=$NS$78),IF($NP$78="Single_Point",IF(336=$NR$78,$NN$78,0),IF($NP$78="Bell_Curve",$NN$78*(336-$NR$78+1)*($NS$78-336+1)/$NU$78,$NN$78/$NT$78)),0)</f>
        <v/>
      </c>
      <c r="MC78" s="402">
        <f>IF(AND(337&gt;=$NR$78,337&lt;=$NS$78),IF($NP$78="Single_Point",IF(337=$NR$78,$NN$78,0),IF($NP$78="Bell_Curve",$NN$78*(337-$NR$78+1)*($NS$78-337+1)/$NU$78,$NN$78/$NT$78)),0)</f>
        <v/>
      </c>
      <c r="MD78" s="402">
        <f>IF(AND(338&gt;=$NR$78,338&lt;=$NS$78),IF($NP$78="Single_Point",IF(338=$NR$78,$NN$78,0),IF($NP$78="Bell_Curve",$NN$78*(338-$NR$78+1)*($NS$78-338+1)/$NU$78,$NN$78/$NT$78)),0)</f>
        <v/>
      </c>
      <c r="ME78" s="402">
        <f>IF(AND(339&gt;=$NR$78,339&lt;=$NS$78),IF($NP$78="Single_Point",IF(339=$NR$78,$NN$78,0),IF($NP$78="Bell_Curve",$NN$78*(339-$NR$78+1)*($NS$78-339+1)/$NU$78,$NN$78/$NT$78)),0)</f>
        <v/>
      </c>
      <c r="MF78" s="402">
        <f>IF(AND(340&gt;=$NR$78,340&lt;=$NS$78),IF($NP$78="Single_Point",IF(340=$NR$78,$NN$78,0),IF($NP$78="Bell_Curve",$NN$78*(340-$NR$78+1)*($NS$78-340+1)/$NU$78,$NN$78/$NT$78)),0)</f>
        <v/>
      </c>
      <c r="MG78" s="402">
        <f>IF(AND(341&gt;=$NR$78,341&lt;=$NS$78),IF($NP$78="Single_Point",IF(341=$NR$78,$NN$78,0),IF($NP$78="Bell_Curve",$NN$78*(341-$NR$78+1)*($NS$78-341+1)/$NU$78,$NN$78/$NT$78)),0)</f>
        <v/>
      </c>
      <c r="MH78" s="402">
        <f>IF(AND(342&gt;=$NR$78,342&lt;=$NS$78),IF($NP$78="Single_Point",IF(342=$NR$78,$NN$78,0),IF($NP$78="Bell_Curve",$NN$78*(342-$NR$78+1)*($NS$78-342+1)/$NU$78,$NN$78/$NT$78)),0)</f>
        <v/>
      </c>
      <c r="MI78" s="402">
        <f>IF(AND(343&gt;=$NR$78,343&lt;=$NS$78),IF($NP$78="Single_Point",IF(343=$NR$78,$NN$78,0),IF($NP$78="Bell_Curve",$NN$78*(343-$NR$78+1)*($NS$78-343+1)/$NU$78,$NN$78/$NT$78)),0)</f>
        <v/>
      </c>
      <c r="MJ78" s="402">
        <f>IF(AND(344&gt;=$NR$78,344&lt;=$NS$78),IF($NP$78="Single_Point",IF(344=$NR$78,$NN$78,0),IF($NP$78="Bell_Curve",$NN$78*(344-$NR$78+1)*($NS$78-344+1)/$NU$78,$NN$78/$NT$78)),0)</f>
        <v/>
      </c>
      <c r="MK78" s="402">
        <f>IF(AND(345&gt;=$NR$78,345&lt;=$NS$78),IF($NP$78="Single_Point",IF(345=$NR$78,$NN$78,0),IF($NP$78="Bell_Curve",$NN$78*(345-$NR$78+1)*($NS$78-345+1)/$NU$78,$NN$78/$NT$78)),0)</f>
        <v/>
      </c>
      <c r="ML78" s="402">
        <f>IF(AND(346&gt;=$NR$78,346&lt;=$NS$78),IF($NP$78="Single_Point",IF(346=$NR$78,$NN$78,0),IF($NP$78="Bell_Curve",$NN$78*(346-$NR$78+1)*($NS$78-346+1)/$NU$78,$NN$78/$NT$78)),0)</f>
        <v/>
      </c>
      <c r="MM78" s="402">
        <f>IF(AND(347&gt;=$NR$78,347&lt;=$NS$78),IF($NP$78="Single_Point",IF(347=$NR$78,$NN$78,0),IF($NP$78="Bell_Curve",$NN$78*(347-$NR$78+1)*($NS$78-347+1)/$NU$78,$NN$78/$NT$78)),0)</f>
        <v/>
      </c>
      <c r="MN78" s="402">
        <f>IF(AND(348&gt;=$NR$78,348&lt;=$NS$78),IF($NP$78="Single_Point",IF(348=$NR$78,$NN$78,0),IF($NP$78="Bell_Curve",$NN$78*(348-$NR$78+1)*($NS$78-348+1)/$NU$78,$NN$78/$NT$78)),0)</f>
        <v/>
      </c>
      <c r="MO78" s="402">
        <f>IF(AND(349&gt;=$NR$78,349&lt;=$NS$78),IF($NP$78="Single_Point",IF(349=$NR$78,$NN$78,0),IF($NP$78="Bell_Curve",$NN$78*(349-$NR$78+1)*($NS$78-349+1)/$NU$78,$NN$78/$NT$78)),0)</f>
        <v/>
      </c>
      <c r="MP78" s="402">
        <f>IF(AND(350&gt;=$NR$78,350&lt;=$NS$78),IF($NP$78="Single_Point",IF(350=$NR$78,$NN$78,0),IF($NP$78="Bell_Curve",$NN$78*(350-$NR$78+1)*($NS$78-350+1)/$NU$78,$NN$78/$NT$78)),0)</f>
        <v/>
      </c>
      <c r="MQ78" s="402">
        <f>IF(AND(351&gt;=$NR$78,351&lt;=$NS$78),IF($NP$78="Single_Point",IF(351=$NR$78,$NN$78,0),IF($NP$78="Bell_Curve",$NN$78*(351-$NR$78+1)*($NS$78-351+1)/$NU$78,$NN$78/$NT$78)),0)</f>
        <v/>
      </c>
      <c r="MR78" s="402">
        <f>IF(AND(352&gt;=$NR$78,352&lt;=$NS$78),IF($NP$78="Single_Point",IF(352=$NR$78,$NN$78,0),IF($NP$78="Bell_Curve",$NN$78*(352-$NR$78+1)*($NS$78-352+1)/$NU$78,$NN$78/$NT$78)),0)</f>
        <v/>
      </c>
      <c r="MS78" s="402">
        <f>IF(AND(353&gt;=$NR$78,353&lt;=$NS$78),IF($NP$78="Single_Point",IF(353=$NR$78,$NN$78,0),IF($NP$78="Bell_Curve",$NN$78*(353-$NR$78+1)*($NS$78-353+1)/$NU$78,$NN$78/$NT$78)),0)</f>
        <v/>
      </c>
      <c r="MT78" s="402">
        <f>IF(AND(354&gt;=$NR$78,354&lt;=$NS$78),IF($NP$78="Single_Point",IF(354=$NR$78,$NN$78,0),IF($NP$78="Bell_Curve",$NN$78*(354-$NR$78+1)*($NS$78-354+1)/$NU$78,$NN$78/$NT$78)),0)</f>
        <v/>
      </c>
      <c r="MU78" s="402">
        <f>IF(AND(355&gt;=$NR$78,355&lt;=$NS$78),IF($NP$78="Single_Point",IF(355=$NR$78,$NN$78,0),IF($NP$78="Bell_Curve",$NN$78*(355-$NR$78+1)*($NS$78-355+1)/$NU$78,$NN$78/$NT$78)),0)</f>
        <v/>
      </c>
      <c r="MV78" s="402">
        <f>IF(AND(356&gt;=$NR$78,356&lt;=$NS$78),IF($NP$78="Single_Point",IF(356=$NR$78,$NN$78,0),IF($NP$78="Bell_Curve",$NN$78*(356-$NR$78+1)*($NS$78-356+1)/$NU$78,$NN$78/$NT$78)),0)</f>
        <v/>
      </c>
      <c r="MW78" s="402">
        <f>IF(AND(357&gt;=$NR$78,357&lt;=$NS$78),IF($NP$78="Single_Point",IF(357=$NR$78,$NN$78,0),IF($NP$78="Bell_Curve",$NN$78*(357-$NR$78+1)*($NS$78-357+1)/$NU$78,$NN$78/$NT$78)),0)</f>
        <v/>
      </c>
      <c r="MX78" s="402">
        <f>IF(AND(358&gt;=$NR$78,358&lt;=$NS$78),IF($NP$78="Single_Point",IF(358=$NR$78,$NN$78,0),IF($NP$78="Bell_Curve",$NN$78*(358-$NR$78+1)*($NS$78-358+1)/$NU$78,$NN$78/$NT$78)),0)</f>
        <v/>
      </c>
      <c r="MY78" s="402">
        <f>IF(AND(359&gt;=$NR$78,359&lt;=$NS$78),IF($NP$78="Single_Point",IF(359=$NR$78,$NN$78,0),IF($NP$78="Bell_Curve",$NN$78*(359-$NR$78+1)*($NS$78-359+1)/$NU$78,$NN$78/$NT$78)),0)</f>
        <v/>
      </c>
      <c r="MZ78" s="402">
        <f>IF(AND(360&gt;=$NR$78,360&lt;=$NS$78),IF($NP$78="Single_Point",IF(360=$NR$78,$NN$78,0),IF($NP$78="Bell_Curve",$NN$78*(360-$NR$78+1)*($NS$78-360+1)/$NU$78,$NN$78/$NT$78)),0)</f>
        <v/>
      </c>
      <c r="NA78" s="402">
        <f>IF(AND(361&gt;=$NR$78,361&lt;=$NS$78),IF($NP$78="Single_Point",IF(361=$NR$78,$NN$78,0),IF($NP$78="Bell_Curve",$NN$78*(361-$NR$78+1)*($NS$78-361+1)/$NU$78,$NN$78/$NT$78)),0)</f>
        <v/>
      </c>
      <c r="NB78" s="402">
        <f>IF(AND(362&gt;=$NR$78,362&lt;=$NS$78),IF($NP$78="Single_Point",IF(362=$NR$78,$NN$78,0),IF($NP$78="Bell_Curve",$NN$78*(362-$NR$78+1)*($NS$78-362+1)/$NU$78,$NN$78/$NT$78)),0)</f>
        <v/>
      </c>
      <c r="NC78" s="402">
        <f>IF(AND(363&gt;=$NR$78,363&lt;=$NS$78),IF($NP$78="Single_Point",IF(363=$NR$78,$NN$78,0),IF($NP$78="Bell_Curve",$NN$78*(363-$NR$78+1)*($NS$78-363+1)/$NU$78,$NN$78/$NT$78)),0)</f>
        <v/>
      </c>
      <c r="ND78" s="402">
        <f>IF(AND(364&gt;=$NR$78,364&lt;=$NS$78),IF($NP$78="Single_Point",IF(364=$NR$78,$NN$78,0),IF($NP$78="Bell_Curve",$NN$78*(364-$NR$78+1)*($NS$78-364+1)/$NU$78,$NN$78/$NT$78)),0)</f>
        <v/>
      </c>
      <c r="NE78" s="402">
        <f>IF(AND(365&gt;=$NR$78,365&lt;=$NS$78),IF($NP$78="Single_Point",IF(365=$NR$78,$NN$78,0),IF($NP$78="Bell_Curve",$NN$78*(365-$NR$78+1)*($NS$78-365+1)/$NU$78,$NN$78/$NT$78)),0)</f>
        <v/>
      </c>
      <c r="NF78" s="402">
        <f>IF(AND(366&gt;=$NR$78,366&lt;=$NS$78),IF($NP$78="Single_Point",IF(366=$NR$78,$NN$78,0),IF($NP$78="Bell_Curve",$NN$78*(366-$NR$78+1)*($NS$78-366+1)/$NU$78,$NN$78/$NT$78)),0)</f>
        <v/>
      </c>
      <c r="NG78" s="402">
        <f>IF(AND(367&gt;=$NR$78,367&lt;=$NS$78),IF($NP$78="Single_Point",IF(367=$NR$78,$NN$78,0),IF($NP$78="Bell_Curve",$NN$78*(367-$NR$78+1)*($NS$78-367+1)/$NU$78,$NN$78/$NT$78)),0)</f>
        <v/>
      </c>
      <c r="NH78" s="402">
        <f>IF(AND(368&gt;=$NR$78,368&lt;=$NS$78),IF($NP$78="Single_Point",IF(368=$NR$78,$NN$78,0),IF($NP$78="Bell_Curve",$NN$78*(368-$NR$78+1)*($NS$78-368+1)/$NU$78,$NN$78/$NT$78)),0)</f>
        <v/>
      </c>
      <c r="NI78" s="402">
        <f>IF(AND(369&gt;=$NR$78,369&lt;=$NS$78),IF($NP$78="Single_Point",IF(369=$NR$78,$NN$78,0),IF($NP$78="Bell_Curve",$NN$78*(369-$NR$78+1)*($NS$78-369+1)/$NU$78,$NN$78/$NT$78)),0)</f>
        <v/>
      </c>
      <c r="NJ78" s="402">
        <f>IF(AND(370&gt;=$NR$78,370&lt;=$NS$78),IF($NP$78="Single_Point",IF(370=$NR$78,$NN$78,0),IF($NP$78="Bell_Curve",$NN$78*(370-$NR$78+1)*($NS$78-370+1)/$NU$78,$NN$78/$NT$78)),0)</f>
        <v/>
      </c>
      <c r="NK78" s="402">
        <f>IF(AND(371&gt;=$NR$78,371&lt;=$NS$78),IF($NP$78="Single_Point",IF(371=$NR$78,$NN$78,0),IF($NP$78="Bell_Curve",$NN$78*(371-$NR$78+1)*($NS$78-371+1)/$NU$78,$NN$78/$NT$78)),0)</f>
        <v/>
      </c>
      <c r="NL78" s="402">
        <f>IF(AND(372&gt;=$NR$78,372&lt;=$NS$78),IF($NP$78="Single_Point",IF(372=$NR$78,$NN$78,0),IF($NP$78="Bell_Curve",$NN$78*(372-$NR$78+1)*($NS$78-372+1)/$NU$78,$NN$78/$NT$78)),0)</f>
        <v/>
      </c>
      <c r="NM78">
        <f>Budget!C77</f>
        <v/>
      </c>
      <c r="NN78">
        <f>Budget!J77</f>
        <v/>
      </c>
      <c r="NO78">
        <f>Budget!G77</f>
        <v/>
      </c>
      <c r="NP78">
        <f>Budget!H77</f>
        <v/>
      </c>
      <c r="NQ78">
        <f>Budget!I77</f>
        <v/>
      </c>
      <c r="NR78">
        <f>MAX(1,MIN(372,INDEX(MilestoneStart,MATCH(NO78,MilestoneNames,0))+NQ78))</f>
        <v/>
      </c>
      <c r="NS78">
        <f>MAX(NR78,MIN(372,INDEX(MilestoneEnd,MATCH(NO78,MilestoneNames,0))+NQ78))</f>
        <v/>
      </c>
      <c r="NT78">
        <f>NS78-NR78+1</f>
        <v/>
      </c>
      <c r="NU78">
        <f>NT78*(NT78+1)*(NT78+2)/6</f>
        <v/>
      </c>
    </row>
    <row r="79">
      <c r="B79" s="316">
        <f>Budget!B78</f>
        <v/>
      </c>
      <c r="D79" s="402">
        <f>SUM(E79:NL79)</f>
        <v/>
      </c>
      <c r="E79" s="402">
        <f>IF(AND(1&gt;=$NR$79,1&lt;=$NS$79),IF($NP$79="Single_Point",IF(1=$NR$79,$NN$79,0),IF($NP$79="Bell_Curve",$NN$79*(1-$NR$79+1)*($NS$79-1+1)/$NU$79,$NN$79/$NT$79)),0)</f>
        <v/>
      </c>
      <c r="F79" s="402">
        <f>IF(AND(2&gt;=$NR$79,2&lt;=$NS$79),IF($NP$79="Single_Point",IF(2=$NR$79,$NN$79,0),IF($NP$79="Bell_Curve",$NN$79*(2-$NR$79+1)*($NS$79-2+1)/$NU$79,$NN$79/$NT$79)),0)</f>
        <v/>
      </c>
      <c r="G79" s="402">
        <f>IF(AND(3&gt;=$NR$79,3&lt;=$NS$79),IF($NP$79="Single_Point",IF(3=$NR$79,$NN$79,0),IF($NP$79="Bell_Curve",$NN$79*(3-$NR$79+1)*($NS$79-3+1)/$NU$79,$NN$79/$NT$79)),0)</f>
        <v/>
      </c>
      <c r="H79" s="402">
        <f>IF(AND(4&gt;=$NR$79,4&lt;=$NS$79),IF($NP$79="Single_Point",IF(4=$NR$79,$NN$79,0),IF($NP$79="Bell_Curve",$NN$79*(4-$NR$79+1)*($NS$79-4+1)/$NU$79,$NN$79/$NT$79)),0)</f>
        <v/>
      </c>
      <c r="I79" s="402">
        <f>IF(AND(5&gt;=$NR$79,5&lt;=$NS$79),IF($NP$79="Single_Point",IF(5=$NR$79,$NN$79,0),IF($NP$79="Bell_Curve",$NN$79*(5-$NR$79+1)*($NS$79-5+1)/$NU$79,$NN$79/$NT$79)),0)</f>
        <v/>
      </c>
      <c r="J79" s="402">
        <f>IF(AND(6&gt;=$NR$79,6&lt;=$NS$79),IF($NP$79="Single_Point",IF(6=$NR$79,$NN$79,0),IF($NP$79="Bell_Curve",$NN$79*(6-$NR$79+1)*($NS$79-6+1)/$NU$79,$NN$79/$NT$79)),0)</f>
        <v/>
      </c>
      <c r="K79" s="402">
        <f>IF(AND(7&gt;=$NR$79,7&lt;=$NS$79),IF($NP$79="Single_Point",IF(7=$NR$79,$NN$79,0),IF($NP$79="Bell_Curve",$NN$79*(7-$NR$79+1)*($NS$79-7+1)/$NU$79,$NN$79/$NT$79)),0)</f>
        <v/>
      </c>
      <c r="L79" s="402">
        <f>IF(AND(8&gt;=$NR$79,8&lt;=$NS$79),IF($NP$79="Single_Point",IF(8=$NR$79,$NN$79,0),IF($NP$79="Bell_Curve",$NN$79*(8-$NR$79+1)*($NS$79-8+1)/$NU$79,$NN$79/$NT$79)),0)</f>
        <v/>
      </c>
      <c r="M79" s="402">
        <f>IF(AND(9&gt;=$NR$79,9&lt;=$NS$79),IF($NP$79="Single_Point",IF(9=$NR$79,$NN$79,0),IF($NP$79="Bell_Curve",$NN$79*(9-$NR$79+1)*($NS$79-9+1)/$NU$79,$NN$79/$NT$79)),0)</f>
        <v/>
      </c>
      <c r="N79" s="402">
        <f>IF(AND(10&gt;=$NR$79,10&lt;=$NS$79),IF($NP$79="Single_Point",IF(10=$NR$79,$NN$79,0),IF($NP$79="Bell_Curve",$NN$79*(10-$NR$79+1)*($NS$79-10+1)/$NU$79,$NN$79/$NT$79)),0)</f>
        <v/>
      </c>
      <c r="O79" s="402">
        <f>IF(AND(11&gt;=$NR$79,11&lt;=$NS$79),IF($NP$79="Single_Point",IF(11=$NR$79,$NN$79,0),IF($NP$79="Bell_Curve",$NN$79*(11-$NR$79+1)*($NS$79-11+1)/$NU$79,$NN$79/$NT$79)),0)</f>
        <v/>
      </c>
      <c r="P79" s="402">
        <f>IF(AND(12&gt;=$NR$79,12&lt;=$NS$79),IF($NP$79="Single_Point",IF(12=$NR$79,$NN$79,0),IF($NP$79="Bell_Curve",$NN$79*(12-$NR$79+1)*($NS$79-12+1)/$NU$79,$NN$79/$NT$79)),0)</f>
        <v/>
      </c>
      <c r="Q79" s="402">
        <f>IF(AND(13&gt;=$NR$79,13&lt;=$NS$79),IF($NP$79="Single_Point",IF(13=$NR$79,$NN$79,0),IF($NP$79="Bell_Curve",$NN$79*(13-$NR$79+1)*($NS$79-13+1)/$NU$79,$NN$79/$NT$79)),0)</f>
        <v/>
      </c>
      <c r="R79" s="402">
        <f>IF(AND(14&gt;=$NR$79,14&lt;=$NS$79),IF($NP$79="Single_Point",IF(14=$NR$79,$NN$79,0),IF($NP$79="Bell_Curve",$NN$79*(14-$NR$79+1)*($NS$79-14+1)/$NU$79,$NN$79/$NT$79)),0)</f>
        <v/>
      </c>
      <c r="S79" s="402">
        <f>IF(AND(15&gt;=$NR$79,15&lt;=$NS$79),IF($NP$79="Single_Point",IF(15=$NR$79,$NN$79,0),IF($NP$79="Bell_Curve",$NN$79*(15-$NR$79+1)*($NS$79-15+1)/$NU$79,$NN$79/$NT$79)),0)</f>
        <v/>
      </c>
      <c r="T79" s="402">
        <f>IF(AND(16&gt;=$NR$79,16&lt;=$NS$79),IF($NP$79="Single_Point",IF(16=$NR$79,$NN$79,0),IF($NP$79="Bell_Curve",$NN$79*(16-$NR$79+1)*($NS$79-16+1)/$NU$79,$NN$79/$NT$79)),0)</f>
        <v/>
      </c>
      <c r="U79" s="402">
        <f>IF(AND(17&gt;=$NR$79,17&lt;=$NS$79),IF($NP$79="Single_Point",IF(17=$NR$79,$NN$79,0),IF($NP$79="Bell_Curve",$NN$79*(17-$NR$79+1)*($NS$79-17+1)/$NU$79,$NN$79/$NT$79)),0)</f>
        <v/>
      </c>
      <c r="V79" s="402">
        <f>IF(AND(18&gt;=$NR$79,18&lt;=$NS$79),IF($NP$79="Single_Point",IF(18=$NR$79,$NN$79,0),IF($NP$79="Bell_Curve",$NN$79*(18-$NR$79+1)*($NS$79-18+1)/$NU$79,$NN$79/$NT$79)),0)</f>
        <v/>
      </c>
      <c r="W79" s="402">
        <f>IF(AND(19&gt;=$NR$79,19&lt;=$NS$79),IF($NP$79="Single_Point",IF(19=$NR$79,$NN$79,0),IF($NP$79="Bell_Curve",$NN$79*(19-$NR$79+1)*($NS$79-19+1)/$NU$79,$NN$79/$NT$79)),0)</f>
        <v/>
      </c>
      <c r="X79" s="402">
        <f>IF(AND(20&gt;=$NR$79,20&lt;=$NS$79),IF($NP$79="Single_Point",IF(20=$NR$79,$NN$79,0),IF($NP$79="Bell_Curve",$NN$79*(20-$NR$79+1)*($NS$79-20+1)/$NU$79,$NN$79/$NT$79)),0)</f>
        <v/>
      </c>
      <c r="Y79" s="402">
        <f>IF(AND(21&gt;=$NR$79,21&lt;=$NS$79),IF($NP$79="Single_Point",IF(21=$NR$79,$NN$79,0),IF($NP$79="Bell_Curve",$NN$79*(21-$NR$79+1)*($NS$79-21+1)/$NU$79,$NN$79/$NT$79)),0)</f>
        <v/>
      </c>
      <c r="Z79" s="402">
        <f>IF(AND(22&gt;=$NR$79,22&lt;=$NS$79),IF($NP$79="Single_Point",IF(22=$NR$79,$NN$79,0),IF($NP$79="Bell_Curve",$NN$79*(22-$NR$79+1)*($NS$79-22+1)/$NU$79,$NN$79/$NT$79)),0)</f>
        <v/>
      </c>
      <c r="AA79" s="402">
        <f>IF(AND(23&gt;=$NR$79,23&lt;=$NS$79),IF($NP$79="Single_Point",IF(23=$NR$79,$NN$79,0),IF($NP$79="Bell_Curve",$NN$79*(23-$NR$79+1)*($NS$79-23+1)/$NU$79,$NN$79/$NT$79)),0)</f>
        <v/>
      </c>
      <c r="AB79" s="402">
        <f>IF(AND(24&gt;=$NR$79,24&lt;=$NS$79),IF($NP$79="Single_Point",IF(24=$NR$79,$NN$79,0),IF($NP$79="Bell_Curve",$NN$79*(24-$NR$79+1)*($NS$79-24+1)/$NU$79,$NN$79/$NT$79)),0)</f>
        <v/>
      </c>
      <c r="AC79" s="402">
        <f>IF(AND(25&gt;=$NR$79,25&lt;=$NS$79),IF($NP$79="Single_Point",IF(25=$NR$79,$NN$79,0),IF($NP$79="Bell_Curve",$NN$79*(25-$NR$79+1)*($NS$79-25+1)/$NU$79,$NN$79/$NT$79)),0)</f>
        <v/>
      </c>
      <c r="AD79" s="402">
        <f>IF(AND(26&gt;=$NR$79,26&lt;=$NS$79),IF($NP$79="Single_Point",IF(26=$NR$79,$NN$79,0),IF($NP$79="Bell_Curve",$NN$79*(26-$NR$79+1)*($NS$79-26+1)/$NU$79,$NN$79/$NT$79)),0)</f>
        <v/>
      </c>
      <c r="AE79" s="402">
        <f>IF(AND(27&gt;=$NR$79,27&lt;=$NS$79),IF($NP$79="Single_Point",IF(27=$NR$79,$NN$79,0),IF($NP$79="Bell_Curve",$NN$79*(27-$NR$79+1)*($NS$79-27+1)/$NU$79,$NN$79/$NT$79)),0)</f>
        <v/>
      </c>
      <c r="AF79" s="402">
        <f>IF(AND(28&gt;=$NR$79,28&lt;=$NS$79),IF($NP$79="Single_Point",IF(28=$NR$79,$NN$79,0),IF($NP$79="Bell_Curve",$NN$79*(28-$NR$79+1)*($NS$79-28+1)/$NU$79,$NN$79/$NT$79)),0)</f>
        <v/>
      </c>
      <c r="AG79" s="402">
        <f>IF(AND(29&gt;=$NR$79,29&lt;=$NS$79),IF($NP$79="Single_Point",IF(29=$NR$79,$NN$79,0),IF($NP$79="Bell_Curve",$NN$79*(29-$NR$79+1)*($NS$79-29+1)/$NU$79,$NN$79/$NT$79)),0)</f>
        <v/>
      </c>
      <c r="AH79" s="402">
        <f>IF(AND(30&gt;=$NR$79,30&lt;=$NS$79),IF($NP$79="Single_Point",IF(30=$NR$79,$NN$79,0),IF($NP$79="Bell_Curve",$NN$79*(30-$NR$79+1)*($NS$79-30+1)/$NU$79,$NN$79/$NT$79)),0)</f>
        <v/>
      </c>
      <c r="AI79" s="402">
        <f>IF(AND(31&gt;=$NR$79,31&lt;=$NS$79),IF($NP$79="Single_Point",IF(31=$NR$79,$NN$79,0),IF($NP$79="Bell_Curve",$NN$79*(31-$NR$79+1)*($NS$79-31+1)/$NU$79,$NN$79/$NT$79)),0)</f>
        <v/>
      </c>
      <c r="AJ79" s="402">
        <f>IF(AND(32&gt;=$NR$79,32&lt;=$NS$79),IF($NP$79="Single_Point",IF(32=$NR$79,$NN$79,0),IF($NP$79="Bell_Curve",$NN$79*(32-$NR$79+1)*($NS$79-32+1)/$NU$79,$NN$79/$NT$79)),0)</f>
        <v/>
      </c>
      <c r="AK79" s="402">
        <f>IF(AND(33&gt;=$NR$79,33&lt;=$NS$79),IF($NP$79="Single_Point",IF(33=$NR$79,$NN$79,0),IF($NP$79="Bell_Curve",$NN$79*(33-$NR$79+1)*($NS$79-33+1)/$NU$79,$NN$79/$NT$79)),0)</f>
        <v/>
      </c>
      <c r="AL79" s="402">
        <f>IF(AND(34&gt;=$NR$79,34&lt;=$NS$79),IF($NP$79="Single_Point",IF(34=$NR$79,$NN$79,0),IF($NP$79="Bell_Curve",$NN$79*(34-$NR$79+1)*($NS$79-34+1)/$NU$79,$NN$79/$NT$79)),0)</f>
        <v/>
      </c>
      <c r="AM79" s="402">
        <f>IF(AND(35&gt;=$NR$79,35&lt;=$NS$79),IF($NP$79="Single_Point",IF(35=$NR$79,$NN$79,0),IF($NP$79="Bell_Curve",$NN$79*(35-$NR$79+1)*($NS$79-35+1)/$NU$79,$NN$79/$NT$79)),0)</f>
        <v/>
      </c>
      <c r="AN79" s="402">
        <f>IF(AND(36&gt;=$NR$79,36&lt;=$NS$79),IF($NP$79="Single_Point",IF(36=$NR$79,$NN$79,0),IF($NP$79="Bell_Curve",$NN$79*(36-$NR$79+1)*($NS$79-36+1)/$NU$79,$NN$79/$NT$79)),0)</f>
        <v/>
      </c>
      <c r="AO79" s="402">
        <f>IF(AND(37&gt;=$NR$79,37&lt;=$NS$79),IF($NP$79="Single_Point",IF(37=$NR$79,$NN$79,0),IF($NP$79="Bell_Curve",$NN$79*(37-$NR$79+1)*($NS$79-37+1)/$NU$79,$NN$79/$NT$79)),0)</f>
        <v/>
      </c>
      <c r="AP79" s="402">
        <f>IF(AND(38&gt;=$NR$79,38&lt;=$NS$79),IF($NP$79="Single_Point",IF(38=$NR$79,$NN$79,0),IF($NP$79="Bell_Curve",$NN$79*(38-$NR$79+1)*($NS$79-38+1)/$NU$79,$NN$79/$NT$79)),0)</f>
        <v/>
      </c>
      <c r="AQ79" s="402">
        <f>IF(AND(39&gt;=$NR$79,39&lt;=$NS$79),IF($NP$79="Single_Point",IF(39=$NR$79,$NN$79,0),IF($NP$79="Bell_Curve",$NN$79*(39-$NR$79+1)*($NS$79-39+1)/$NU$79,$NN$79/$NT$79)),0)</f>
        <v/>
      </c>
      <c r="AR79" s="402">
        <f>IF(AND(40&gt;=$NR$79,40&lt;=$NS$79),IF($NP$79="Single_Point",IF(40=$NR$79,$NN$79,0),IF($NP$79="Bell_Curve",$NN$79*(40-$NR$79+1)*($NS$79-40+1)/$NU$79,$NN$79/$NT$79)),0)</f>
        <v/>
      </c>
      <c r="AS79" s="402">
        <f>IF(AND(41&gt;=$NR$79,41&lt;=$NS$79),IF($NP$79="Single_Point",IF(41=$NR$79,$NN$79,0),IF($NP$79="Bell_Curve",$NN$79*(41-$NR$79+1)*($NS$79-41+1)/$NU$79,$NN$79/$NT$79)),0)</f>
        <v/>
      </c>
      <c r="AT79" s="402">
        <f>IF(AND(42&gt;=$NR$79,42&lt;=$NS$79),IF($NP$79="Single_Point",IF(42=$NR$79,$NN$79,0),IF($NP$79="Bell_Curve",$NN$79*(42-$NR$79+1)*($NS$79-42+1)/$NU$79,$NN$79/$NT$79)),0)</f>
        <v/>
      </c>
      <c r="AU79" s="402">
        <f>IF(AND(43&gt;=$NR$79,43&lt;=$NS$79),IF($NP$79="Single_Point",IF(43=$NR$79,$NN$79,0),IF($NP$79="Bell_Curve",$NN$79*(43-$NR$79+1)*($NS$79-43+1)/$NU$79,$NN$79/$NT$79)),0)</f>
        <v/>
      </c>
      <c r="AV79" s="402">
        <f>IF(AND(44&gt;=$NR$79,44&lt;=$NS$79),IF($NP$79="Single_Point",IF(44=$NR$79,$NN$79,0),IF($NP$79="Bell_Curve",$NN$79*(44-$NR$79+1)*($NS$79-44+1)/$NU$79,$NN$79/$NT$79)),0)</f>
        <v/>
      </c>
      <c r="AW79" s="402">
        <f>IF(AND(45&gt;=$NR$79,45&lt;=$NS$79),IF($NP$79="Single_Point",IF(45=$NR$79,$NN$79,0),IF($NP$79="Bell_Curve",$NN$79*(45-$NR$79+1)*($NS$79-45+1)/$NU$79,$NN$79/$NT$79)),0)</f>
        <v/>
      </c>
      <c r="AX79" s="402">
        <f>IF(AND(46&gt;=$NR$79,46&lt;=$NS$79),IF($NP$79="Single_Point",IF(46=$NR$79,$NN$79,0),IF($NP$79="Bell_Curve",$NN$79*(46-$NR$79+1)*($NS$79-46+1)/$NU$79,$NN$79/$NT$79)),0)</f>
        <v/>
      </c>
      <c r="AY79" s="402">
        <f>IF(AND(47&gt;=$NR$79,47&lt;=$NS$79),IF($NP$79="Single_Point",IF(47=$NR$79,$NN$79,0),IF($NP$79="Bell_Curve",$NN$79*(47-$NR$79+1)*($NS$79-47+1)/$NU$79,$NN$79/$NT$79)),0)</f>
        <v/>
      </c>
      <c r="AZ79" s="402">
        <f>IF(AND(48&gt;=$NR$79,48&lt;=$NS$79),IF($NP$79="Single_Point",IF(48=$NR$79,$NN$79,0),IF($NP$79="Bell_Curve",$NN$79*(48-$NR$79+1)*($NS$79-48+1)/$NU$79,$NN$79/$NT$79)),0)</f>
        <v/>
      </c>
      <c r="BA79" s="402">
        <f>IF(AND(49&gt;=$NR$79,49&lt;=$NS$79),IF($NP$79="Single_Point",IF(49=$NR$79,$NN$79,0),IF($NP$79="Bell_Curve",$NN$79*(49-$NR$79+1)*($NS$79-49+1)/$NU$79,$NN$79/$NT$79)),0)</f>
        <v/>
      </c>
      <c r="BB79" s="402">
        <f>IF(AND(50&gt;=$NR$79,50&lt;=$NS$79),IF($NP$79="Single_Point",IF(50=$NR$79,$NN$79,0),IF($NP$79="Bell_Curve",$NN$79*(50-$NR$79+1)*($NS$79-50+1)/$NU$79,$NN$79/$NT$79)),0)</f>
        <v/>
      </c>
      <c r="BC79" s="402">
        <f>IF(AND(51&gt;=$NR$79,51&lt;=$NS$79),IF($NP$79="Single_Point",IF(51=$NR$79,$NN$79,0),IF($NP$79="Bell_Curve",$NN$79*(51-$NR$79+1)*($NS$79-51+1)/$NU$79,$NN$79/$NT$79)),0)</f>
        <v/>
      </c>
      <c r="BD79" s="402">
        <f>IF(AND(52&gt;=$NR$79,52&lt;=$NS$79),IF($NP$79="Single_Point",IF(52=$NR$79,$NN$79,0),IF($NP$79="Bell_Curve",$NN$79*(52-$NR$79+1)*($NS$79-52+1)/$NU$79,$NN$79/$NT$79)),0)</f>
        <v/>
      </c>
      <c r="BE79" s="402">
        <f>IF(AND(53&gt;=$NR$79,53&lt;=$NS$79),IF($NP$79="Single_Point",IF(53=$NR$79,$NN$79,0),IF($NP$79="Bell_Curve",$NN$79*(53-$NR$79+1)*($NS$79-53+1)/$NU$79,$NN$79/$NT$79)),0)</f>
        <v/>
      </c>
      <c r="BF79" s="402">
        <f>IF(AND(54&gt;=$NR$79,54&lt;=$NS$79),IF($NP$79="Single_Point",IF(54=$NR$79,$NN$79,0),IF($NP$79="Bell_Curve",$NN$79*(54-$NR$79+1)*($NS$79-54+1)/$NU$79,$NN$79/$NT$79)),0)</f>
        <v/>
      </c>
      <c r="BG79" s="402">
        <f>IF(AND(55&gt;=$NR$79,55&lt;=$NS$79),IF($NP$79="Single_Point",IF(55=$NR$79,$NN$79,0),IF($NP$79="Bell_Curve",$NN$79*(55-$NR$79+1)*($NS$79-55+1)/$NU$79,$NN$79/$NT$79)),0)</f>
        <v/>
      </c>
      <c r="BH79" s="402">
        <f>IF(AND(56&gt;=$NR$79,56&lt;=$NS$79),IF($NP$79="Single_Point",IF(56=$NR$79,$NN$79,0),IF($NP$79="Bell_Curve",$NN$79*(56-$NR$79+1)*($NS$79-56+1)/$NU$79,$NN$79/$NT$79)),0)</f>
        <v/>
      </c>
      <c r="BI79" s="402">
        <f>IF(AND(57&gt;=$NR$79,57&lt;=$NS$79),IF($NP$79="Single_Point",IF(57=$NR$79,$NN$79,0),IF($NP$79="Bell_Curve",$NN$79*(57-$NR$79+1)*($NS$79-57+1)/$NU$79,$NN$79/$NT$79)),0)</f>
        <v/>
      </c>
      <c r="BJ79" s="402">
        <f>IF(AND(58&gt;=$NR$79,58&lt;=$NS$79),IF($NP$79="Single_Point",IF(58=$NR$79,$NN$79,0),IF($NP$79="Bell_Curve",$NN$79*(58-$NR$79+1)*($NS$79-58+1)/$NU$79,$NN$79/$NT$79)),0)</f>
        <v/>
      </c>
      <c r="BK79" s="402">
        <f>IF(AND(59&gt;=$NR$79,59&lt;=$NS$79),IF($NP$79="Single_Point",IF(59=$NR$79,$NN$79,0),IF($NP$79="Bell_Curve",$NN$79*(59-$NR$79+1)*($NS$79-59+1)/$NU$79,$NN$79/$NT$79)),0)</f>
        <v/>
      </c>
      <c r="BL79" s="402">
        <f>IF(AND(60&gt;=$NR$79,60&lt;=$NS$79),IF($NP$79="Single_Point",IF(60=$NR$79,$NN$79,0),IF($NP$79="Bell_Curve",$NN$79*(60-$NR$79+1)*($NS$79-60+1)/$NU$79,$NN$79/$NT$79)),0)</f>
        <v/>
      </c>
      <c r="BM79" s="402">
        <f>IF(AND(61&gt;=$NR$79,61&lt;=$NS$79),IF($NP$79="Single_Point",IF(61=$NR$79,$NN$79,0),IF($NP$79="Bell_Curve",$NN$79*(61-$NR$79+1)*($NS$79-61+1)/$NU$79,$NN$79/$NT$79)),0)</f>
        <v/>
      </c>
      <c r="BN79" s="402">
        <f>IF(AND(62&gt;=$NR$79,62&lt;=$NS$79),IF($NP$79="Single_Point",IF(62=$NR$79,$NN$79,0),IF($NP$79="Bell_Curve",$NN$79*(62-$NR$79+1)*($NS$79-62+1)/$NU$79,$NN$79/$NT$79)),0)</f>
        <v/>
      </c>
      <c r="BO79" s="402">
        <f>IF(AND(63&gt;=$NR$79,63&lt;=$NS$79),IF($NP$79="Single_Point",IF(63=$NR$79,$NN$79,0),IF($NP$79="Bell_Curve",$NN$79*(63-$NR$79+1)*($NS$79-63+1)/$NU$79,$NN$79/$NT$79)),0)</f>
        <v/>
      </c>
      <c r="BP79" s="402">
        <f>IF(AND(64&gt;=$NR$79,64&lt;=$NS$79),IF($NP$79="Single_Point",IF(64=$NR$79,$NN$79,0),IF($NP$79="Bell_Curve",$NN$79*(64-$NR$79+1)*($NS$79-64+1)/$NU$79,$NN$79/$NT$79)),0)</f>
        <v/>
      </c>
      <c r="BQ79" s="402">
        <f>IF(AND(65&gt;=$NR$79,65&lt;=$NS$79),IF($NP$79="Single_Point",IF(65=$NR$79,$NN$79,0),IF($NP$79="Bell_Curve",$NN$79*(65-$NR$79+1)*($NS$79-65+1)/$NU$79,$NN$79/$NT$79)),0)</f>
        <v/>
      </c>
      <c r="BR79" s="402">
        <f>IF(AND(66&gt;=$NR$79,66&lt;=$NS$79),IF($NP$79="Single_Point",IF(66=$NR$79,$NN$79,0),IF($NP$79="Bell_Curve",$NN$79*(66-$NR$79+1)*($NS$79-66+1)/$NU$79,$NN$79/$NT$79)),0)</f>
        <v/>
      </c>
      <c r="BS79" s="402">
        <f>IF(AND(67&gt;=$NR$79,67&lt;=$NS$79),IF($NP$79="Single_Point",IF(67=$NR$79,$NN$79,0),IF($NP$79="Bell_Curve",$NN$79*(67-$NR$79+1)*($NS$79-67+1)/$NU$79,$NN$79/$NT$79)),0)</f>
        <v/>
      </c>
      <c r="BT79" s="402">
        <f>IF(AND(68&gt;=$NR$79,68&lt;=$NS$79),IF($NP$79="Single_Point",IF(68=$NR$79,$NN$79,0),IF($NP$79="Bell_Curve",$NN$79*(68-$NR$79+1)*($NS$79-68+1)/$NU$79,$NN$79/$NT$79)),0)</f>
        <v/>
      </c>
      <c r="BU79" s="402">
        <f>IF(AND(69&gt;=$NR$79,69&lt;=$NS$79),IF($NP$79="Single_Point",IF(69=$NR$79,$NN$79,0),IF($NP$79="Bell_Curve",$NN$79*(69-$NR$79+1)*($NS$79-69+1)/$NU$79,$NN$79/$NT$79)),0)</f>
        <v/>
      </c>
      <c r="BV79" s="402">
        <f>IF(AND(70&gt;=$NR$79,70&lt;=$NS$79),IF($NP$79="Single_Point",IF(70=$NR$79,$NN$79,0),IF($NP$79="Bell_Curve",$NN$79*(70-$NR$79+1)*($NS$79-70+1)/$NU$79,$NN$79/$NT$79)),0)</f>
        <v/>
      </c>
      <c r="BW79" s="402">
        <f>IF(AND(71&gt;=$NR$79,71&lt;=$NS$79),IF($NP$79="Single_Point",IF(71=$NR$79,$NN$79,0),IF($NP$79="Bell_Curve",$NN$79*(71-$NR$79+1)*($NS$79-71+1)/$NU$79,$NN$79/$NT$79)),0)</f>
        <v/>
      </c>
      <c r="BX79" s="402">
        <f>IF(AND(72&gt;=$NR$79,72&lt;=$NS$79),IF($NP$79="Single_Point",IF(72=$NR$79,$NN$79,0),IF($NP$79="Bell_Curve",$NN$79*(72-$NR$79+1)*($NS$79-72+1)/$NU$79,$NN$79/$NT$79)),0)</f>
        <v/>
      </c>
      <c r="BY79" s="402">
        <f>IF(AND(73&gt;=$NR$79,73&lt;=$NS$79),IF($NP$79="Single_Point",IF(73=$NR$79,$NN$79,0),IF($NP$79="Bell_Curve",$NN$79*(73-$NR$79+1)*($NS$79-73+1)/$NU$79,$NN$79/$NT$79)),0)</f>
        <v/>
      </c>
      <c r="BZ79" s="402">
        <f>IF(AND(74&gt;=$NR$79,74&lt;=$NS$79),IF($NP$79="Single_Point",IF(74=$NR$79,$NN$79,0),IF($NP$79="Bell_Curve",$NN$79*(74-$NR$79+1)*($NS$79-74+1)/$NU$79,$NN$79/$NT$79)),0)</f>
        <v/>
      </c>
      <c r="CA79" s="402">
        <f>IF(AND(75&gt;=$NR$79,75&lt;=$NS$79),IF($NP$79="Single_Point",IF(75=$NR$79,$NN$79,0),IF($NP$79="Bell_Curve",$NN$79*(75-$NR$79+1)*($NS$79-75+1)/$NU$79,$NN$79/$NT$79)),0)</f>
        <v/>
      </c>
      <c r="CB79" s="402">
        <f>IF(AND(76&gt;=$NR$79,76&lt;=$NS$79),IF($NP$79="Single_Point",IF(76=$NR$79,$NN$79,0),IF($NP$79="Bell_Curve",$NN$79*(76-$NR$79+1)*($NS$79-76+1)/$NU$79,$NN$79/$NT$79)),0)</f>
        <v/>
      </c>
      <c r="CC79" s="402">
        <f>IF(AND(77&gt;=$NR$79,77&lt;=$NS$79),IF($NP$79="Single_Point",IF(77=$NR$79,$NN$79,0),IF($NP$79="Bell_Curve",$NN$79*(77-$NR$79+1)*($NS$79-77+1)/$NU$79,$NN$79/$NT$79)),0)</f>
        <v/>
      </c>
      <c r="CD79" s="402">
        <f>IF(AND(78&gt;=$NR$79,78&lt;=$NS$79),IF($NP$79="Single_Point",IF(78=$NR$79,$NN$79,0),IF($NP$79="Bell_Curve",$NN$79*(78-$NR$79+1)*($NS$79-78+1)/$NU$79,$NN$79/$NT$79)),0)</f>
        <v/>
      </c>
      <c r="CE79" s="402">
        <f>IF(AND(79&gt;=$NR$79,79&lt;=$NS$79),IF($NP$79="Single_Point",IF(79=$NR$79,$NN$79,0),IF($NP$79="Bell_Curve",$NN$79*(79-$NR$79+1)*($NS$79-79+1)/$NU$79,$NN$79/$NT$79)),0)</f>
        <v/>
      </c>
      <c r="CF79" s="402">
        <f>IF(AND(80&gt;=$NR$79,80&lt;=$NS$79),IF($NP$79="Single_Point",IF(80=$NR$79,$NN$79,0),IF($NP$79="Bell_Curve",$NN$79*(80-$NR$79+1)*($NS$79-80+1)/$NU$79,$NN$79/$NT$79)),0)</f>
        <v/>
      </c>
      <c r="CG79" s="402">
        <f>IF(AND(81&gt;=$NR$79,81&lt;=$NS$79),IF($NP$79="Single_Point",IF(81=$NR$79,$NN$79,0),IF($NP$79="Bell_Curve",$NN$79*(81-$NR$79+1)*($NS$79-81+1)/$NU$79,$NN$79/$NT$79)),0)</f>
        <v/>
      </c>
      <c r="CH79" s="402">
        <f>IF(AND(82&gt;=$NR$79,82&lt;=$NS$79),IF($NP$79="Single_Point",IF(82=$NR$79,$NN$79,0),IF($NP$79="Bell_Curve",$NN$79*(82-$NR$79+1)*($NS$79-82+1)/$NU$79,$NN$79/$NT$79)),0)</f>
        <v/>
      </c>
      <c r="CI79" s="402">
        <f>IF(AND(83&gt;=$NR$79,83&lt;=$NS$79),IF($NP$79="Single_Point",IF(83=$NR$79,$NN$79,0),IF($NP$79="Bell_Curve",$NN$79*(83-$NR$79+1)*($NS$79-83+1)/$NU$79,$NN$79/$NT$79)),0)</f>
        <v/>
      </c>
      <c r="CJ79" s="402">
        <f>IF(AND(84&gt;=$NR$79,84&lt;=$NS$79),IF($NP$79="Single_Point",IF(84=$NR$79,$NN$79,0),IF($NP$79="Bell_Curve",$NN$79*(84-$NR$79+1)*($NS$79-84+1)/$NU$79,$NN$79/$NT$79)),0)</f>
        <v/>
      </c>
      <c r="CK79" s="402">
        <f>IF(AND(85&gt;=$NR$79,85&lt;=$NS$79),IF($NP$79="Single_Point",IF(85=$NR$79,$NN$79,0),IF($NP$79="Bell_Curve",$NN$79*(85-$NR$79+1)*($NS$79-85+1)/$NU$79,$NN$79/$NT$79)),0)</f>
        <v/>
      </c>
      <c r="CL79" s="402">
        <f>IF(AND(86&gt;=$NR$79,86&lt;=$NS$79),IF($NP$79="Single_Point",IF(86=$NR$79,$NN$79,0),IF($NP$79="Bell_Curve",$NN$79*(86-$NR$79+1)*($NS$79-86+1)/$NU$79,$NN$79/$NT$79)),0)</f>
        <v/>
      </c>
      <c r="CM79" s="402">
        <f>IF(AND(87&gt;=$NR$79,87&lt;=$NS$79),IF($NP$79="Single_Point",IF(87=$NR$79,$NN$79,0),IF($NP$79="Bell_Curve",$NN$79*(87-$NR$79+1)*($NS$79-87+1)/$NU$79,$NN$79/$NT$79)),0)</f>
        <v/>
      </c>
      <c r="CN79" s="402">
        <f>IF(AND(88&gt;=$NR$79,88&lt;=$NS$79),IF($NP$79="Single_Point",IF(88=$NR$79,$NN$79,0),IF($NP$79="Bell_Curve",$NN$79*(88-$NR$79+1)*($NS$79-88+1)/$NU$79,$NN$79/$NT$79)),0)</f>
        <v/>
      </c>
      <c r="CO79" s="402">
        <f>IF(AND(89&gt;=$NR$79,89&lt;=$NS$79),IF($NP$79="Single_Point",IF(89=$NR$79,$NN$79,0),IF($NP$79="Bell_Curve",$NN$79*(89-$NR$79+1)*($NS$79-89+1)/$NU$79,$NN$79/$NT$79)),0)</f>
        <v/>
      </c>
      <c r="CP79" s="402">
        <f>IF(AND(90&gt;=$NR$79,90&lt;=$NS$79),IF($NP$79="Single_Point",IF(90=$NR$79,$NN$79,0),IF($NP$79="Bell_Curve",$NN$79*(90-$NR$79+1)*($NS$79-90+1)/$NU$79,$NN$79/$NT$79)),0)</f>
        <v/>
      </c>
      <c r="CQ79" s="402">
        <f>IF(AND(91&gt;=$NR$79,91&lt;=$NS$79),IF($NP$79="Single_Point",IF(91=$NR$79,$NN$79,0),IF($NP$79="Bell_Curve",$NN$79*(91-$NR$79+1)*($NS$79-91+1)/$NU$79,$NN$79/$NT$79)),0)</f>
        <v/>
      </c>
      <c r="CR79" s="402">
        <f>IF(AND(92&gt;=$NR$79,92&lt;=$NS$79),IF($NP$79="Single_Point",IF(92=$NR$79,$NN$79,0),IF($NP$79="Bell_Curve",$NN$79*(92-$NR$79+1)*($NS$79-92+1)/$NU$79,$NN$79/$NT$79)),0)</f>
        <v/>
      </c>
      <c r="CS79" s="402">
        <f>IF(AND(93&gt;=$NR$79,93&lt;=$NS$79),IF($NP$79="Single_Point",IF(93=$NR$79,$NN$79,0),IF($NP$79="Bell_Curve",$NN$79*(93-$NR$79+1)*($NS$79-93+1)/$NU$79,$NN$79/$NT$79)),0)</f>
        <v/>
      </c>
      <c r="CT79" s="402">
        <f>IF(AND(94&gt;=$NR$79,94&lt;=$NS$79),IF($NP$79="Single_Point",IF(94=$NR$79,$NN$79,0),IF($NP$79="Bell_Curve",$NN$79*(94-$NR$79+1)*($NS$79-94+1)/$NU$79,$NN$79/$NT$79)),0)</f>
        <v/>
      </c>
      <c r="CU79" s="402">
        <f>IF(AND(95&gt;=$NR$79,95&lt;=$NS$79),IF($NP$79="Single_Point",IF(95=$NR$79,$NN$79,0),IF($NP$79="Bell_Curve",$NN$79*(95-$NR$79+1)*($NS$79-95+1)/$NU$79,$NN$79/$NT$79)),0)</f>
        <v/>
      </c>
      <c r="CV79" s="402">
        <f>IF(AND(96&gt;=$NR$79,96&lt;=$NS$79),IF($NP$79="Single_Point",IF(96=$NR$79,$NN$79,0),IF($NP$79="Bell_Curve",$NN$79*(96-$NR$79+1)*($NS$79-96+1)/$NU$79,$NN$79/$NT$79)),0)</f>
        <v/>
      </c>
      <c r="CW79" s="402">
        <f>IF(AND(97&gt;=$NR$79,97&lt;=$NS$79),IF($NP$79="Single_Point",IF(97=$NR$79,$NN$79,0),IF($NP$79="Bell_Curve",$NN$79*(97-$NR$79+1)*($NS$79-97+1)/$NU$79,$NN$79/$NT$79)),0)</f>
        <v/>
      </c>
      <c r="CX79" s="402">
        <f>IF(AND(98&gt;=$NR$79,98&lt;=$NS$79),IF($NP$79="Single_Point",IF(98=$NR$79,$NN$79,0),IF($NP$79="Bell_Curve",$NN$79*(98-$NR$79+1)*($NS$79-98+1)/$NU$79,$NN$79/$NT$79)),0)</f>
        <v/>
      </c>
      <c r="CY79" s="402">
        <f>IF(AND(99&gt;=$NR$79,99&lt;=$NS$79),IF($NP$79="Single_Point",IF(99=$NR$79,$NN$79,0),IF($NP$79="Bell_Curve",$NN$79*(99-$NR$79+1)*($NS$79-99+1)/$NU$79,$NN$79/$NT$79)),0)</f>
        <v/>
      </c>
      <c r="CZ79" s="402">
        <f>IF(AND(100&gt;=$NR$79,100&lt;=$NS$79),IF($NP$79="Single_Point",IF(100=$NR$79,$NN$79,0),IF($NP$79="Bell_Curve",$NN$79*(100-$NR$79+1)*($NS$79-100+1)/$NU$79,$NN$79/$NT$79)),0)</f>
        <v/>
      </c>
      <c r="DA79" s="402">
        <f>IF(AND(101&gt;=$NR$79,101&lt;=$NS$79),IF($NP$79="Single_Point",IF(101=$NR$79,$NN$79,0),IF($NP$79="Bell_Curve",$NN$79*(101-$NR$79+1)*($NS$79-101+1)/$NU$79,$NN$79/$NT$79)),0)</f>
        <v/>
      </c>
      <c r="DB79" s="402">
        <f>IF(AND(102&gt;=$NR$79,102&lt;=$NS$79),IF($NP$79="Single_Point",IF(102=$NR$79,$NN$79,0),IF($NP$79="Bell_Curve",$NN$79*(102-$NR$79+1)*($NS$79-102+1)/$NU$79,$NN$79/$NT$79)),0)</f>
        <v/>
      </c>
      <c r="DC79" s="402">
        <f>IF(AND(103&gt;=$NR$79,103&lt;=$NS$79),IF($NP$79="Single_Point",IF(103=$NR$79,$NN$79,0),IF($NP$79="Bell_Curve",$NN$79*(103-$NR$79+1)*($NS$79-103+1)/$NU$79,$NN$79/$NT$79)),0)</f>
        <v/>
      </c>
      <c r="DD79" s="402">
        <f>IF(AND(104&gt;=$NR$79,104&lt;=$NS$79),IF($NP$79="Single_Point",IF(104=$NR$79,$NN$79,0),IF($NP$79="Bell_Curve",$NN$79*(104-$NR$79+1)*($NS$79-104+1)/$NU$79,$NN$79/$NT$79)),0)</f>
        <v/>
      </c>
      <c r="DE79" s="402">
        <f>IF(AND(105&gt;=$NR$79,105&lt;=$NS$79),IF($NP$79="Single_Point",IF(105=$NR$79,$NN$79,0),IF($NP$79="Bell_Curve",$NN$79*(105-$NR$79+1)*($NS$79-105+1)/$NU$79,$NN$79/$NT$79)),0)</f>
        <v/>
      </c>
      <c r="DF79" s="402">
        <f>IF(AND(106&gt;=$NR$79,106&lt;=$NS$79),IF($NP$79="Single_Point",IF(106=$NR$79,$NN$79,0),IF($NP$79="Bell_Curve",$NN$79*(106-$NR$79+1)*($NS$79-106+1)/$NU$79,$NN$79/$NT$79)),0)</f>
        <v/>
      </c>
      <c r="DG79" s="402">
        <f>IF(AND(107&gt;=$NR$79,107&lt;=$NS$79),IF($NP$79="Single_Point",IF(107=$NR$79,$NN$79,0),IF($NP$79="Bell_Curve",$NN$79*(107-$NR$79+1)*($NS$79-107+1)/$NU$79,$NN$79/$NT$79)),0)</f>
        <v/>
      </c>
      <c r="DH79" s="402">
        <f>IF(AND(108&gt;=$NR$79,108&lt;=$NS$79),IF($NP$79="Single_Point",IF(108=$NR$79,$NN$79,0),IF($NP$79="Bell_Curve",$NN$79*(108-$NR$79+1)*($NS$79-108+1)/$NU$79,$NN$79/$NT$79)),0)</f>
        <v/>
      </c>
      <c r="DI79" s="402">
        <f>IF(AND(109&gt;=$NR$79,109&lt;=$NS$79),IF($NP$79="Single_Point",IF(109=$NR$79,$NN$79,0),IF($NP$79="Bell_Curve",$NN$79*(109-$NR$79+1)*($NS$79-109+1)/$NU$79,$NN$79/$NT$79)),0)</f>
        <v/>
      </c>
      <c r="DJ79" s="402">
        <f>IF(AND(110&gt;=$NR$79,110&lt;=$NS$79),IF($NP$79="Single_Point",IF(110=$NR$79,$NN$79,0),IF($NP$79="Bell_Curve",$NN$79*(110-$NR$79+1)*($NS$79-110+1)/$NU$79,$NN$79/$NT$79)),0)</f>
        <v/>
      </c>
      <c r="DK79" s="402">
        <f>IF(AND(111&gt;=$NR$79,111&lt;=$NS$79),IF($NP$79="Single_Point",IF(111=$NR$79,$NN$79,0),IF($NP$79="Bell_Curve",$NN$79*(111-$NR$79+1)*($NS$79-111+1)/$NU$79,$NN$79/$NT$79)),0)</f>
        <v/>
      </c>
      <c r="DL79" s="402">
        <f>IF(AND(112&gt;=$NR$79,112&lt;=$NS$79),IF($NP$79="Single_Point",IF(112=$NR$79,$NN$79,0),IF($NP$79="Bell_Curve",$NN$79*(112-$NR$79+1)*($NS$79-112+1)/$NU$79,$NN$79/$NT$79)),0)</f>
        <v/>
      </c>
      <c r="DM79" s="402">
        <f>IF(AND(113&gt;=$NR$79,113&lt;=$NS$79),IF($NP$79="Single_Point",IF(113=$NR$79,$NN$79,0),IF($NP$79="Bell_Curve",$NN$79*(113-$NR$79+1)*($NS$79-113+1)/$NU$79,$NN$79/$NT$79)),0)</f>
        <v/>
      </c>
      <c r="DN79" s="402">
        <f>IF(AND(114&gt;=$NR$79,114&lt;=$NS$79),IF($NP$79="Single_Point",IF(114=$NR$79,$NN$79,0),IF($NP$79="Bell_Curve",$NN$79*(114-$NR$79+1)*($NS$79-114+1)/$NU$79,$NN$79/$NT$79)),0)</f>
        <v/>
      </c>
      <c r="DO79" s="402">
        <f>IF(AND(115&gt;=$NR$79,115&lt;=$NS$79),IF($NP$79="Single_Point",IF(115=$NR$79,$NN$79,0),IF($NP$79="Bell_Curve",$NN$79*(115-$NR$79+1)*($NS$79-115+1)/$NU$79,$NN$79/$NT$79)),0)</f>
        <v/>
      </c>
      <c r="DP79" s="402">
        <f>IF(AND(116&gt;=$NR$79,116&lt;=$NS$79),IF($NP$79="Single_Point",IF(116=$NR$79,$NN$79,0),IF($NP$79="Bell_Curve",$NN$79*(116-$NR$79+1)*($NS$79-116+1)/$NU$79,$NN$79/$NT$79)),0)</f>
        <v/>
      </c>
      <c r="DQ79" s="402">
        <f>IF(AND(117&gt;=$NR$79,117&lt;=$NS$79),IF($NP$79="Single_Point",IF(117=$NR$79,$NN$79,0),IF($NP$79="Bell_Curve",$NN$79*(117-$NR$79+1)*($NS$79-117+1)/$NU$79,$NN$79/$NT$79)),0)</f>
        <v/>
      </c>
      <c r="DR79" s="402">
        <f>IF(AND(118&gt;=$NR$79,118&lt;=$NS$79),IF($NP$79="Single_Point",IF(118=$NR$79,$NN$79,0),IF($NP$79="Bell_Curve",$NN$79*(118-$NR$79+1)*($NS$79-118+1)/$NU$79,$NN$79/$NT$79)),0)</f>
        <v/>
      </c>
      <c r="DS79" s="402">
        <f>IF(AND(119&gt;=$NR$79,119&lt;=$NS$79),IF($NP$79="Single_Point",IF(119=$NR$79,$NN$79,0),IF($NP$79="Bell_Curve",$NN$79*(119-$NR$79+1)*($NS$79-119+1)/$NU$79,$NN$79/$NT$79)),0)</f>
        <v/>
      </c>
      <c r="DT79" s="402">
        <f>IF(AND(120&gt;=$NR$79,120&lt;=$NS$79),IF($NP$79="Single_Point",IF(120=$NR$79,$NN$79,0),IF($NP$79="Bell_Curve",$NN$79*(120-$NR$79+1)*($NS$79-120+1)/$NU$79,$NN$79/$NT$79)),0)</f>
        <v/>
      </c>
      <c r="DU79" s="402">
        <f>IF(AND(121&gt;=$NR$79,121&lt;=$NS$79),IF($NP$79="Single_Point",IF(121=$NR$79,$NN$79,0),IF($NP$79="Bell_Curve",$NN$79*(121-$NR$79+1)*($NS$79-121+1)/$NU$79,$NN$79/$NT$79)),0)</f>
        <v/>
      </c>
      <c r="DV79" s="402">
        <f>IF(AND(122&gt;=$NR$79,122&lt;=$NS$79),IF($NP$79="Single_Point",IF(122=$NR$79,$NN$79,0),IF($NP$79="Bell_Curve",$NN$79*(122-$NR$79+1)*($NS$79-122+1)/$NU$79,$NN$79/$NT$79)),0)</f>
        <v/>
      </c>
      <c r="DW79" s="402">
        <f>IF(AND(123&gt;=$NR$79,123&lt;=$NS$79),IF($NP$79="Single_Point",IF(123=$NR$79,$NN$79,0),IF($NP$79="Bell_Curve",$NN$79*(123-$NR$79+1)*($NS$79-123+1)/$NU$79,$NN$79/$NT$79)),0)</f>
        <v/>
      </c>
      <c r="DX79" s="402">
        <f>IF(AND(124&gt;=$NR$79,124&lt;=$NS$79),IF($NP$79="Single_Point",IF(124=$NR$79,$NN$79,0),IF($NP$79="Bell_Curve",$NN$79*(124-$NR$79+1)*($NS$79-124+1)/$NU$79,$NN$79/$NT$79)),0)</f>
        <v/>
      </c>
      <c r="DY79" s="402">
        <f>IF(AND(125&gt;=$NR$79,125&lt;=$NS$79),IF($NP$79="Single_Point",IF(125=$NR$79,$NN$79,0),IF($NP$79="Bell_Curve",$NN$79*(125-$NR$79+1)*($NS$79-125+1)/$NU$79,$NN$79/$NT$79)),0)</f>
        <v/>
      </c>
      <c r="DZ79" s="402">
        <f>IF(AND(126&gt;=$NR$79,126&lt;=$NS$79),IF($NP$79="Single_Point",IF(126=$NR$79,$NN$79,0),IF($NP$79="Bell_Curve",$NN$79*(126-$NR$79+1)*($NS$79-126+1)/$NU$79,$NN$79/$NT$79)),0)</f>
        <v/>
      </c>
      <c r="EA79" s="402">
        <f>IF(AND(127&gt;=$NR$79,127&lt;=$NS$79),IF($NP$79="Single_Point",IF(127=$NR$79,$NN$79,0),IF($NP$79="Bell_Curve",$NN$79*(127-$NR$79+1)*($NS$79-127+1)/$NU$79,$NN$79/$NT$79)),0)</f>
        <v/>
      </c>
      <c r="EB79" s="402">
        <f>IF(AND(128&gt;=$NR$79,128&lt;=$NS$79),IF($NP$79="Single_Point",IF(128=$NR$79,$NN$79,0),IF($NP$79="Bell_Curve",$NN$79*(128-$NR$79+1)*($NS$79-128+1)/$NU$79,$NN$79/$NT$79)),0)</f>
        <v/>
      </c>
      <c r="EC79" s="402">
        <f>IF(AND(129&gt;=$NR$79,129&lt;=$NS$79),IF($NP$79="Single_Point",IF(129=$NR$79,$NN$79,0),IF($NP$79="Bell_Curve",$NN$79*(129-$NR$79+1)*($NS$79-129+1)/$NU$79,$NN$79/$NT$79)),0)</f>
        <v/>
      </c>
      <c r="ED79" s="402">
        <f>IF(AND(130&gt;=$NR$79,130&lt;=$NS$79),IF($NP$79="Single_Point",IF(130=$NR$79,$NN$79,0),IF($NP$79="Bell_Curve",$NN$79*(130-$NR$79+1)*($NS$79-130+1)/$NU$79,$NN$79/$NT$79)),0)</f>
        <v/>
      </c>
      <c r="EE79" s="402">
        <f>IF(AND(131&gt;=$NR$79,131&lt;=$NS$79),IF($NP$79="Single_Point",IF(131=$NR$79,$NN$79,0),IF($NP$79="Bell_Curve",$NN$79*(131-$NR$79+1)*($NS$79-131+1)/$NU$79,$NN$79/$NT$79)),0)</f>
        <v/>
      </c>
      <c r="EF79" s="402">
        <f>IF(AND(132&gt;=$NR$79,132&lt;=$NS$79),IF($NP$79="Single_Point",IF(132=$NR$79,$NN$79,0),IF($NP$79="Bell_Curve",$NN$79*(132-$NR$79+1)*($NS$79-132+1)/$NU$79,$NN$79/$NT$79)),0)</f>
        <v/>
      </c>
      <c r="EG79" s="402">
        <f>IF(AND(133&gt;=$NR$79,133&lt;=$NS$79),IF($NP$79="Single_Point",IF(133=$NR$79,$NN$79,0),IF($NP$79="Bell_Curve",$NN$79*(133-$NR$79+1)*($NS$79-133+1)/$NU$79,$NN$79/$NT$79)),0)</f>
        <v/>
      </c>
      <c r="EH79" s="402">
        <f>IF(AND(134&gt;=$NR$79,134&lt;=$NS$79),IF($NP$79="Single_Point",IF(134=$NR$79,$NN$79,0),IF($NP$79="Bell_Curve",$NN$79*(134-$NR$79+1)*($NS$79-134+1)/$NU$79,$NN$79/$NT$79)),0)</f>
        <v/>
      </c>
      <c r="EI79" s="402">
        <f>IF(AND(135&gt;=$NR$79,135&lt;=$NS$79),IF($NP$79="Single_Point",IF(135=$NR$79,$NN$79,0),IF($NP$79="Bell_Curve",$NN$79*(135-$NR$79+1)*($NS$79-135+1)/$NU$79,$NN$79/$NT$79)),0)</f>
        <v/>
      </c>
      <c r="EJ79" s="402">
        <f>IF(AND(136&gt;=$NR$79,136&lt;=$NS$79),IF($NP$79="Single_Point",IF(136=$NR$79,$NN$79,0),IF($NP$79="Bell_Curve",$NN$79*(136-$NR$79+1)*($NS$79-136+1)/$NU$79,$NN$79/$NT$79)),0)</f>
        <v/>
      </c>
      <c r="EK79" s="402">
        <f>IF(AND(137&gt;=$NR$79,137&lt;=$NS$79),IF($NP$79="Single_Point",IF(137=$NR$79,$NN$79,0),IF($NP$79="Bell_Curve",$NN$79*(137-$NR$79+1)*($NS$79-137+1)/$NU$79,$NN$79/$NT$79)),0)</f>
        <v/>
      </c>
      <c r="EL79" s="402">
        <f>IF(AND(138&gt;=$NR$79,138&lt;=$NS$79),IF($NP$79="Single_Point",IF(138=$NR$79,$NN$79,0),IF($NP$79="Bell_Curve",$NN$79*(138-$NR$79+1)*($NS$79-138+1)/$NU$79,$NN$79/$NT$79)),0)</f>
        <v/>
      </c>
      <c r="EM79" s="402">
        <f>IF(AND(139&gt;=$NR$79,139&lt;=$NS$79),IF($NP$79="Single_Point",IF(139=$NR$79,$NN$79,0),IF($NP$79="Bell_Curve",$NN$79*(139-$NR$79+1)*($NS$79-139+1)/$NU$79,$NN$79/$NT$79)),0)</f>
        <v/>
      </c>
      <c r="EN79" s="402">
        <f>IF(AND(140&gt;=$NR$79,140&lt;=$NS$79),IF($NP$79="Single_Point",IF(140=$NR$79,$NN$79,0),IF($NP$79="Bell_Curve",$NN$79*(140-$NR$79+1)*($NS$79-140+1)/$NU$79,$NN$79/$NT$79)),0)</f>
        <v/>
      </c>
      <c r="EO79" s="402">
        <f>IF(AND(141&gt;=$NR$79,141&lt;=$NS$79),IF($NP$79="Single_Point",IF(141=$NR$79,$NN$79,0),IF($NP$79="Bell_Curve",$NN$79*(141-$NR$79+1)*($NS$79-141+1)/$NU$79,$NN$79/$NT$79)),0)</f>
        <v/>
      </c>
      <c r="EP79" s="402">
        <f>IF(AND(142&gt;=$NR$79,142&lt;=$NS$79),IF($NP$79="Single_Point",IF(142=$NR$79,$NN$79,0),IF($NP$79="Bell_Curve",$NN$79*(142-$NR$79+1)*($NS$79-142+1)/$NU$79,$NN$79/$NT$79)),0)</f>
        <v/>
      </c>
      <c r="EQ79" s="402">
        <f>IF(AND(143&gt;=$NR$79,143&lt;=$NS$79),IF($NP$79="Single_Point",IF(143=$NR$79,$NN$79,0),IF($NP$79="Bell_Curve",$NN$79*(143-$NR$79+1)*($NS$79-143+1)/$NU$79,$NN$79/$NT$79)),0)</f>
        <v/>
      </c>
      <c r="ER79" s="402">
        <f>IF(AND(144&gt;=$NR$79,144&lt;=$NS$79),IF($NP$79="Single_Point",IF(144=$NR$79,$NN$79,0),IF($NP$79="Bell_Curve",$NN$79*(144-$NR$79+1)*($NS$79-144+1)/$NU$79,$NN$79/$NT$79)),0)</f>
        <v/>
      </c>
      <c r="ES79" s="402">
        <f>IF(AND(145&gt;=$NR$79,145&lt;=$NS$79),IF($NP$79="Single_Point",IF(145=$NR$79,$NN$79,0),IF($NP$79="Bell_Curve",$NN$79*(145-$NR$79+1)*($NS$79-145+1)/$NU$79,$NN$79/$NT$79)),0)</f>
        <v/>
      </c>
      <c r="ET79" s="402">
        <f>IF(AND(146&gt;=$NR$79,146&lt;=$NS$79),IF($NP$79="Single_Point",IF(146=$NR$79,$NN$79,0),IF($NP$79="Bell_Curve",$NN$79*(146-$NR$79+1)*($NS$79-146+1)/$NU$79,$NN$79/$NT$79)),0)</f>
        <v/>
      </c>
      <c r="EU79" s="402">
        <f>IF(AND(147&gt;=$NR$79,147&lt;=$NS$79),IF($NP$79="Single_Point",IF(147=$NR$79,$NN$79,0),IF($NP$79="Bell_Curve",$NN$79*(147-$NR$79+1)*($NS$79-147+1)/$NU$79,$NN$79/$NT$79)),0)</f>
        <v/>
      </c>
      <c r="EV79" s="402">
        <f>IF(AND(148&gt;=$NR$79,148&lt;=$NS$79),IF($NP$79="Single_Point",IF(148=$NR$79,$NN$79,0),IF($NP$79="Bell_Curve",$NN$79*(148-$NR$79+1)*($NS$79-148+1)/$NU$79,$NN$79/$NT$79)),0)</f>
        <v/>
      </c>
      <c r="EW79" s="402">
        <f>IF(AND(149&gt;=$NR$79,149&lt;=$NS$79),IF($NP$79="Single_Point",IF(149=$NR$79,$NN$79,0),IF($NP$79="Bell_Curve",$NN$79*(149-$NR$79+1)*($NS$79-149+1)/$NU$79,$NN$79/$NT$79)),0)</f>
        <v/>
      </c>
      <c r="EX79" s="402">
        <f>IF(AND(150&gt;=$NR$79,150&lt;=$NS$79),IF($NP$79="Single_Point",IF(150=$NR$79,$NN$79,0),IF($NP$79="Bell_Curve",$NN$79*(150-$NR$79+1)*($NS$79-150+1)/$NU$79,$NN$79/$NT$79)),0)</f>
        <v/>
      </c>
      <c r="EY79" s="402">
        <f>IF(AND(151&gt;=$NR$79,151&lt;=$NS$79),IF($NP$79="Single_Point",IF(151=$NR$79,$NN$79,0),IF($NP$79="Bell_Curve",$NN$79*(151-$NR$79+1)*($NS$79-151+1)/$NU$79,$NN$79/$NT$79)),0)</f>
        <v/>
      </c>
      <c r="EZ79" s="402">
        <f>IF(AND(152&gt;=$NR$79,152&lt;=$NS$79),IF($NP$79="Single_Point",IF(152=$NR$79,$NN$79,0),IF($NP$79="Bell_Curve",$NN$79*(152-$NR$79+1)*($NS$79-152+1)/$NU$79,$NN$79/$NT$79)),0)</f>
        <v/>
      </c>
      <c r="FA79" s="402">
        <f>IF(AND(153&gt;=$NR$79,153&lt;=$NS$79),IF($NP$79="Single_Point",IF(153=$NR$79,$NN$79,0),IF($NP$79="Bell_Curve",$NN$79*(153-$NR$79+1)*($NS$79-153+1)/$NU$79,$NN$79/$NT$79)),0)</f>
        <v/>
      </c>
      <c r="FB79" s="402">
        <f>IF(AND(154&gt;=$NR$79,154&lt;=$NS$79),IF($NP$79="Single_Point",IF(154=$NR$79,$NN$79,0),IF($NP$79="Bell_Curve",$NN$79*(154-$NR$79+1)*($NS$79-154+1)/$NU$79,$NN$79/$NT$79)),0)</f>
        <v/>
      </c>
      <c r="FC79" s="402">
        <f>IF(AND(155&gt;=$NR$79,155&lt;=$NS$79),IF($NP$79="Single_Point",IF(155=$NR$79,$NN$79,0),IF($NP$79="Bell_Curve",$NN$79*(155-$NR$79+1)*($NS$79-155+1)/$NU$79,$NN$79/$NT$79)),0)</f>
        <v/>
      </c>
      <c r="FD79" s="402">
        <f>IF(AND(156&gt;=$NR$79,156&lt;=$NS$79),IF($NP$79="Single_Point",IF(156=$NR$79,$NN$79,0),IF($NP$79="Bell_Curve",$NN$79*(156-$NR$79+1)*($NS$79-156+1)/$NU$79,$NN$79/$NT$79)),0)</f>
        <v/>
      </c>
      <c r="FE79" s="402">
        <f>IF(AND(157&gt;=$NR$79,157&lt;=$NS$79),IF($NP$79="Single_Point",IF(157=$NR$79,$NN$79,0),IF($NP$79="Bell_Curve",$NN$79*(157-$NR$79+1)*($NS$79-157+1)/$NU$79,$NN$79/$NT$79)),0)</f>
        <v/>
      </c>
      <c r="FF79" s="402">
        <f>IF(AND(158&gt;=$NR$79,158&lt;=$NS$79),IF($NP$79="Single_Point",IF(158=$NR$79,$NN$79,0),IF($NP$79="Bell_Curve",$NN$79*(158-$NR$79+1)*($NS$79-158+1)/$NU$79,$NN$79/$NT$79)),0)</f>
        <v/>
      </c>
      <c r="FG79" s="402">
        <f>IF(AND(159&gt;=$NR$79,159&lt;=$NS$79),IF($NP$79="Single_Point",IF(159=$NR$79,$NN$79,0),IF($NP$79="Bell_Curve",$NN$79*(159-$NR$79+1)*($NS$79-159+1)/$NU$79,$NN$79/$NT$79)),0)</f>
        <v/>
      </c>
      <c r="FH79" s="402">
        <f>IF(AND(160&gt;=$NR$79,160&lt;=$NS$79),IF($NP$79="Single_Point",IF(160=$NR$79,$NN$79,0),IF($NP$79="Bell_Curve",$NN$79*(160-$NR$79+1)*($NS$79-160+1)/$NU$79,$NN$79/$NT$79)),0)</f>
        <v/>
      </c>
      <c r="FI79" s="402">
        <f>IF(AND(161&gt;=$NR$79,161&lt;=$NS$79),IF($NP$79="Single_Point",IF(161=$NR$79,$NN$79,0),IF($NP$79="Bell_Curve",$NN$79*(161-$NR$79+1)*($NS$79-161+1)/$NU$79,$NN$79/$NT$79)),0)</f>
        <v/>
      </c>
      <c r="FJ79" s="402">
        <f>IF(AND(162&gt;=$NR$79,162&lt;=$NS$79),IF($NP$79="Single_Point",IF(162=$NR$79,$NN$79,0),IF($NP$79="Bell_Curve",$NN$79*(162-$NR$79+1)*($NS$79-162+1)/$NU$79,$NN$79/$NT$79)),0)</f>
        <v/>
      </c>
      <c r="FK79" s="402">
        <f>IF(AND(163&gt;=$NR$79,163&lt;=$NS$79),IF($NP$79="Single_Point",IF(163=$NR$79,$NN$79,0),IF($NP$79="Bell_Curve",$NN$79*(163-$NR$79+1)*($NS$79-163+1)/$NU$79,$NN$79/$NT$79)),0)</f>
        <v/>
      </c>
      <c r="FL79" s="402">
        <f>IF(AND(164&gt;=$NR$79,164&lt;=$NS$79),IF($NP$79="Single_Point",IF(164=$NR$79,$NN$79,0),IF($NP$79="Bell_Curve",$NN$79*(164-$NR$79+1)*($NS$79-164+1)/$NU$79,$NN$79/$NT$79)),0)</f>
        <v/>
      </c>
      <c r="FM79" s="402">
        <f>IF(AND(165&gt;=$NR$79,165&lt;=$NS$79),IF($NP$79="Single_Point",IF(165=$NR$79,$NN$79,0),IF($NP$79="Bell_Curve",$NN$79*(165-$NR$79+1)*($NS$79-165+1)/$NU$79,$NN$79/$NT$79)),0)</f>
        <v/>
      </c>
      <c r="FN79" s="402">
        <f>IF(AND(166&gt;=$NR$79,166&lt;=$NS$79),IF($NP$79="Single_Point",IF(166=$NR$79,$NN$79,0),IF($NP$79="Bell_Curve",$NN$79*(166-$NR$79+1)*($NS$79-166+1)/$NU$79,$NN$79/$NT$79)),0)</f>
        <v/>
      </c>
      <c r="FO79" s="402">
        <f>IF(AND(167&gt;=$NR$79,167&lt;=$NS$79),IF($NP$79="Single_Point",IF(167=$NR$79,$NN$79,0),IF($NP$79="Bell_Curve",$NN$79*(167-$NR$79+1)*($NS$79-167+1)/$NU$79,$NN$79/$NT$79)),0)</f>
        <v/>
      </c>
      <c r="FP79" s="402">
        <f>IF(AND(168&gt;=$NR$79,168&lt;=$NS$79),IF($NP$79="Single_Point",IF(168=$NR$79,$NN$79,0),IF($NP$79="Bell_Curve",$NN$79*(168-$NR$79+1)*($NS$79-168+1)/$NU$79,$NN$79/$NT$79)),0)</f>
        <v/>
      </c>
      <c r="FQ79" s="402">
        <f>IF(AND(169&gt;=$NR$79,169&lt;=$NS$79),IF($NP$79="Single_Point",IF(169=$NR$79,$NN$79,0),IF($NP$79="Bell_Curve",$NN$79*(169-$NR$79+1)*($NS$79-169+1)/$NU$79,$NN$79/$NT$79)),0)</f>
        <v/>
      </c>
      <c r="FR79" s="402">
        <f>IF(AND(170&gt;=$NR$79,170&lt;=$NS$79),IF($NP$79="Single_Point",IF(170=$NR$79,$NN$79,0),IF($NP$79="Bell_Curve",$NN$79*(170-$NR$79+1)*($NS$79-170+1)/$NU$79,$NN$79/$NT$79)),0)</f>
        <v/>
      </c>
      <c r="FS79" s="402">
        <f>IF(AND(171&gt;=$NR$79,171&lt;=$NS$79),IF($NP$79="Single_Point",IF(171=$NR$79,$NN$79,0),IF($NP$79="Bell_Curve",$NN$79*(171-$NR$79+1)*($NS$79-171+1)/$NU$79,$NN$79/$NT$79)),0)</f>
        <v/>
      </c>
      <c r="FT79" s="402">
        <f>IF(AND(172&gt;=$NR$79,172&lt;=$NS$79),IF($NP$79="Single_Point",IF(172=$NR$79,$NN$79,0),IF($NP$79="Bell_Curve",$NN$79*(172-$NR$79+1)*($NS$79-172+1)/$NU$79,$NN$79/$NT$79)),0)</f>
        <v/>
      </c>
      <c r="FU79" s="402">
        <f>IF(AND(173&gt;=$NR$79,173&lt;=$NS$79),IF($NP$79="Single_Point",IF(173=$NR$79,$NN$79,0),IF($NP$79="Bell_Curve",$NN$79*(173-$NR$79+1)*($NS$79-173+1)/$NU$79,$NN$79/$NT$79)),0)</f>
        <v/>
      </c>
      <c r="FV79" s="402">
        <f>IF(AND(174&gt;=$NR$79,174&lt;=$NS$79),IF($NP$79="Single_Point",IF(174=$NR$79,$NN$79,0),IF($NP$79="Bell_Curve",$NN$79*(174-$NR$79+1)*($NS$79-174+1)/$NU$79,$NN$79/$NT$79)),0)</f>
        <v/>
      </c>
      <c r="FW79" s="402">
        <f>IF(AND(175&gt;=$NR$79,175&lt;=$NS$79),IF($NP$79="Single_Point",IF(175=$NR$79,$NN$79,0),IF($NP$79="Bell_Curve",$NN$79*(175-$NR$79+1)*($NS$79-175+1)/$NU$79,$NN$79/$NT$79)),0)</f>
        <v/>
      </c>
      <c r="FX79" s="402">
        <f>IF(AND(176&gt;=$NR$79,176&lt;=$NS$79),IF($NP$79="Single_Point",IF(176=$NR$79,$NN$79,0),IF($NP$79="Bell_Curve",$NN$79*(176-$NR$79+1)*($NS$79-176+1)/$NU$79,$NN$79/$NT$79)),0)</f>
        <v/>
      </c>
      <c r="FY79" s="402">
        <f>IF(AND(177&gt;=$NR$79,177&lt;=$NS$79),IF($NP$79="Single_Point",IF(177=$NR$79,$NN$79,0),IF($NP$79="Bell_Curve",$NN$79*(177-$NR$79+1)*($NS$79-177+1)/$NU$79,$NN$79/$NT$79)),0)</f>
        <v/>
      </c>
      <c r="FZ79" s="402">
        <f>IF(AND(178&gt;=$NR$79,178&lt;=$NS$79),IF($NP$79="Single_Point",IF(178=$NR$79,$NN$79,0),IF($NP$79="Bell_Curve",$NN$79*(178-$NR$79+1)*($NS$79-178+1)/$NU$79,$NN$79/$NT$79)),0)</f>
        <v/>
      </c>
      <c r="GA79" s="402">
        <f>IF(AND(179&gt;=$NR$79,179&lt;=$NS$79),IF($NP$79="Single_Point",IF(179=$NR$79,$NN$79,0),IF($NP$79="Bell_Curve",$NN$79*(179-$NR$79+1)*($NS$79-179+1)/$NU$79,$NN$79/$NT$79)),0)</f>
        <v/>
      </c>
      <c r="GB79" s="402">
        <f>IF(AND(180&gt;=$NR$79,180&lt;=$NS$79),IF($NP$79="Single_Point",IF(180=$NR$79,$NN$79,0),IF($NP$79="Bell_Curve",$NN$79*(180-$NR$79+1)*($NS$79-180+1)/$NU$79,$NN$79/$NT$79)),0)</f>
        <v/>
      </c>
      <c r="GC79" s="402">
        <f>IF(AND(181&gt;=$NR$79,181&lt;=$NS$79),IF($NP$79="Single_Point",IF(181=$NR$79,$NN$79,0),IF($NP$79="Bell_Curve",$NN$79*(181-$NR$79+1)*($NS$79-181+1)/$NU$79,$NN$79/$NT$79)),0)</f>
        <v/>
      </c>
      <c r="GD79" s="402">
        <f>IF(AND(182&gt;=$NR$79,182&lt;=$NS$79),IF($NP$79="Single_Point",IF(182=$NR$79,$NN$79,0),IF($NP$79="Bell_Curve",$NN$79*(182-$NR$79+1)*($NS$79-182+1)/$NU$79,$NN$79/$NT$79)),0)</f>
        <v/>
      </c>
      <c r="GE79" s="402">
        <f>IF(AND(183&gt;=$NR$79,183&lt;=$NS$79),IF($NP$79="Single_Point",IF(183=$NR$79,$NN$79,0),IF($NP$79="Bell_Curve",$NN$79*(183-$NR$79+1)*($NS$79-183+1)/$NU$79,$NN$79/$NT$79)),0)</f>
        <v/>
      </c>
      <c r="GF79" s="402">
        <f>IF(AND(184&gt;=$NR$79,184&lt;=$NS$79),IF($NP$79="Single_Point",IF(184=$NR$79,$NN$79,0),IF($NP$79="Bell_Curve",$NN$79*(184-$NR$79+1)*($NS$79-184+1)/$NU$79,$NN$79/$NT$79)),0)</f>
        <v/>
      </c>
      <c r="GG79" s="402">
        <f>IF(AND(185&gt;=$NR$79,185&lt;=$NS$79),IF($NP$79="Single_Point",IF(185=$NR$79,$NN$79,0),IF($NP$79="Bell_Curve",$NN$79*(185-$NR$79+1)*($NS$79-185+1)/$NU$79,$NN$79/$NT$79)),0)</f>
        <v/>
      </c>
      <c r="GH79" s="402">
        <f>IF(AND(186&gt;=$NR$79,186&lt;=$NS$79),IF($NP$79="Single_Point",IF(186=$NR$79,$NN$79,0),IF($NP$79="Bell_Curve",$NN$79*(186-$NR$79+1)*($NS$79-186+1)/$NU$79,$NN$79/$NT$79)),0)</f>
        <v/>
      </c>
      <c r="GI79" s="402">
        <f>IF(AND(187&gt;=$NR$79,187&lt;=$NS$79),IF($NP$79="Single_Point",IF(187=$NR$79,$NN$79,0),IF($NP$79="Bell_Curve",$NN$79*(187-$NR$79+1)*($NS$79-187+1)/$NU$79,$NN$79/$NT$79)),0)</f>
        <v/>
      </c>
      <c r="GJ79" s="402">
        <f>IF(AND(188&gt;=$NR$79,188&lt;=$NS$79),IF($NP$79="Single_Point",IF(188=$NR$79,$NN$79,0),IF($NP$79="Bell_Curve",$NN$79*(188-$NR$79+1)*($NS$79-188+1)/$NU$79,$NN$79/$NT$79)),0)</f>
        <v/>
      </c>
      <c r="GK79" s="402">
        <f>IF(AND(189&gt;=$NR$79,189&lt;=$NS$79),IF($NP$79="Single_Point",IF(189=$NR$79,$NN$79,0),IF($NP$79="Bell_Curve",$NN$79*(189-$NR$79+1)*($NS$79-189+1)/$NU$79,$NN$79/$NT$79)),0)</f>
        <v/>
      </c>
      <c r="GL79" s="402">
        <f>IF(AND(190&gt;=$NR$79,190&lt;=$NS$79),IF($NP$79="Single_Point",IF(190=$NR$79,$NN$79,0),IF($NP$79="Bell_Curve",$NN$79*(190-$NR$79+1)*($NS$79-190+1)/$NU$79,$NN$79/$NT$79)),0)</f>
        <v/>
      </c>
      <c r="GM79" s="402">
        <f>IF(AND(191&gt;=$NR$79,191&lt;=$NS$79),IF($NP$79="Single_Point",IF(191=$NR$79,$NN$79,0),IF($NP$79="Bell_Curve",$NN$79*(191-$NR$79+1)*($NS$79-191+1)/$NU$79,$NN$79/$NT$79)),0)</f>
        <v/>
      </c>
      <c r="GN79" s="402">
        <f>IF(AND(192&gt;=$NR$79,192&lt;=$NS$79),IF($NP$79="Single_Point",IF(192=$NR$79,$NN$79,0),IF($NP$79="Bell_Curve",$NN$79*(192-$NR$79+1)*($NS$79-192+1)/$NU$79,$NN$79/$NT$79)),0)</f>
        <v/>
      </c>
      <c r="GO79" s="402">
        <f>IF(AND(193&gt;=$NR$79,193&lt;=$NS$79),IF($NP$79="Single_Point",IF(193=$NR$79,$NN$79,0),IF($NP$79="Bell_Curve",$NN$79*(193-$NR$79+1)*($NS$79-193+1)/$NU$79,$NN$79/$NT$79)),0)</f>
        <v/>
      </c>
      <c r="GP79" s="402">
        <f>IF(AND(194&gt;=$NR$79,194&lt;=$NS$79),IF($NP$79="Single_Point",IF(194=$NR$79,$NN$79,0),IF($NP$79="Bell_Curve",$NN$79*(194-$NR$79+1)*($NS$79-194+1)/$NU$79,$NN$79/$NT$79)),0)</f>
        <v/>
      </c>
      <c r="GQ79" s="402">
        <f>IF(AND(195&gt;=$NR$79,195&lt;=$NS$79),IF($NP$79="Single_Point",IF(195=$NR$79,$NN$79,0),IF($NP$79="Bell_Curve",$NN$79*(195-$NR$79+1)*($NS$79-195+1)/$NU$79,$NN$79/$NT$79)),0)</f>
        <v/>
      </c>
      <c r="GR79" s="402">
        <f>IF(AND(196&gt;=$NR$79,196&lt;=$NS$79),IF($NP$79="Single_Point",IF(196=$NR$79,$NN$79,0),IF($NP$79="Bell_Curve",$NN$79*(196-$NR$79+1)*($NS$79-196+1)/$NU$79,$NN$79/$NT$79)),0)</f>
        <v/>
      </c>
      <c r="GS79" s="402">
        <f>IF(AND(197&gt;=$NR$79,197&lt;=$NS$79),IF($NP$79="Single_Point",IF(197=$NR$79,$NN$79,0),IF($NP$79="Bell_Curve",$NN$79*(197-$NR$79+1)*($NS$79-197+1)/$NU$79,$NN$79/$NT$79)),0)</f>
        <v/>
      </c>
      <c r="GT79" s="402">
        <f>IF(AND(198&gt;=$NR$79,198&lt;=$NS$79),IF($NP$79="Single_Point",IF(198=$NR$79,$NN$79,0),IF($NP$79="Bell_Curve",$NN$79*(198-$NR$79+1)*($NS$79-198+1)/$NU$79,$NN$79/$NT$79)),0)</f>
        <v/>
      </c>
      <c r="GU79" s="402">
        <f>IF(AND(199&gt;=$NR$79,199&lt;=$NS$79),IF($NP$79="Single_Point",IF(199=$NR$79,$NN$79,0),IF($NP$79="Bell_Curve",$NN$79*(199-$NR$79+1)*($NS$79-199+1)/$NU$79,$NN$79/$NT$79)),0)</f>
        <v/>
      </c>
      <c r="GV79" s="402">
        <f>IF(AND(200&gt;=$NR$79,200&lt;=$NS$79),IF($NP$79="Single_Point",IF(200=$NR$79,$NN$79,0),IF($NP$79="Bell_Curve",$NN$79*(200-$NR$79+1)*($NS$79-200+1)/$NU$79,$NN$79/$NT$79)),0)</f>
        <v/>
      </c>
      <c r="GW79" s="402">
        <f>IF(AND(201&gt;=$NR$79,201&lt;=$NS$79),IF($NP$79="Single_Point",IF(201=$NR$79,$NN$79,0),IF($NP$79="Bell_Curve",$NN$79*(201-$NR$79+1)*($NS$79-201+1)/$NU$79,$NN$79/$NT$79)),0)</f>
        <v/>
      </c>
      <c r="GX79" s="402">
        <f>IF(AND(202&gt;=$NR$79,202&lt;=$NS$79),IF($NP$79="Single_Point",IF(202=$NR$79,$NN$79,0),IF($NP$79="Bell_Curve",$NN$79*(202-$NR$79+1)*($NS$79-202+1)/$NU$79,$NN$79/$NT$79)),0)</f>
        <v/>
      </c>
      <c r="GY79" s="402">
        <f>IF(AND(203&gt;=$NR$79,203&lt;=$NS$79),IF($NP$79="Single_Point",IF(203=$NR$79,$NN$79,0),IF($NP$79="Bell_Curve",$NN$79*(203-$NR$79+1)*($NS$79-203+1)/$NU$79,$NN$79/$NT$79)),0)</f>
        <v/>
      </c>
      <c r="GZ79" s="402">
        <f>IF(AND(204&gt;=$NR$79,204&lt;=$NS$79),IF($NP$79="Single_Point",IF(204=$NR$79,$NN$79,0),IF($NP$79="Bell_Curve",$NN$79*(204-$NR$79+1)*($NS$79-204+1)/$NU$79,$NN$79/$NT$79)),0)</f>
        <v/>
      </c>
      <c r="HA79" s="402">
        <f>IF(AND(205&gt;=$NR$79,205&lt;=$NS$79),IF($NP$79="Single_Point",IF(205=$NR$79,$NN$79,0),IF($NP$79="Bell_Curve",$NN$79*(205-$NR$79+1)*($NS$79-205+1)/$NU$79,$NN$79/$NT$79)),0)</f>
        <v/>
      </c>
      <c r="HB79" s="402">
        <f>IF(AND(206&gt;=$NR$79,206&lt;=$NS$79),IF($NP$79="Single_Point",IF(206=$NR$79,$NN$79,0),IF($NP$79="Bell_Curve",$NN$79*(206-$NR$79+1)*($NS$79-206+1)/$NU$79,$NN$79/$NT$79)),0)</f>
        <v/>
      </c>
      <c r="HC79" s="402">
        <f>IF(AND(207&gt;=$NR$79,207&lt;=$NS$79),IF($NP$79="Single_Point",IF(207=$NR$79,$NN$79,0),IF($NP$79="Bell_Curve",$NN$79*(207-$NR$79+1)*($NS$79-207+1)/$NU$79,$NN$79/$NT$79)),0)</f>
        <v/>
      </c>
      <c r="HD79" s="402">
        <f>IF(AND(208&gt;=$NR$79,208&lt;=$NS$79),IF($NP$79="Single_Point",IF(208=$NR$79,$NN$79,0),IF($NP$79="Bell_Curve",$NN$79*(208-$NR$79+1)*($NS$79-208+1)/$NU$79,$NN$79/$NT$79)),0)</f>
        <v/>
      </c>
      <c r="HE79" s="402">
        <f>IF(AND(209&gt;=$NR$79,209&lt;=$NS$79),IF($NP$79="Single_Point",IF(209=$NR$79,$NN$79,0),IF($NP$79="Bell_Curve",$NN$79*(209-$NR$79+1)*($NS$79-209+1)/$NU$79,$NN$79/$NT$79)),0)</f>
        <v/>
      </c>
      <c r="HF79" s="402">
        <f>IF(AND(210&gt;=$NR$79,210&lt;=$NS$79),IF($NP$79="Single_Point",IF(210=$NR$79,$NN$79,0),IF($NP$79="Bell_Curve",$NN$79*(210-$NR$79+1)*($NS$79-210+1)/$NU$79,$NN$79/$NT$79)),0)</f>
        <v/>
      </c>
      <c r="HG79" s="402">
        <f>IF(AND(211&gt;=$NR$79,211&lt;=$NS$79),IF($NP$79="Single_Point",IF(211=$NR$79,$NN$79,0),IF($NP$79="Bell_Curve",$NN$79*(211-$NR$79+1)*($NS$79-211+1)/$NU$79,$NN$79/$NT$79)),0)</f>
        <v/>
      </c>
      <c r="HH79" s="402">
        <f>IF(AND(212&gt;=$NR$79,212&lt;=$NS$79),IF($NP$79="Single_Point",IF(212=$NR$79,$NN$79,0),IF($NP$79="Bell_Curve",$NN$79*(212-$NR$79+1)*($NS$79-212+1)/$NU$79,$NN$79/$NT$79)),0)</f>
        <v/>
      </c>
      <c r="HI79" s="402">
        <f>IF(AND(213&gt;=$NR$79,213&lt;=$NS$79),IF($NP$79="Single_Point",IF(213=$NR$79,$NN$79,0),IF($NP$79="Bell_Curve",$NN$79*(213-$NR$79+1)*($NS$79-213+1)/$NU$79,$NN$79/$NT$79)),0)</f>
        <v/>
      </c>
      <c r="HJ79" s="402">
        <f>IF(AND(214&gt;=$NR$79,214&lt;=$NS$79),IF($NP$79="Single_Point",IF(214=$NR$79,$NN$79,0),IF($NP$79="Bell_Curve",$NN$79*(214-$NR$79+1)*($NS$79-214+1)/$NU$79,$NN$79/$NT$79)),0)</f>
        <v/>
      </c>
      <c r="HK79" s="402">
        <f>IF(AND(215&gt;=$NR$79,215&lt;=$NS$79),IF($NP$79="Single_Point",IF(215=$NR$79,$NN$79,0),IF($NP$79="Bell_Curve",$NN$79*(215-$NR$79+1)*($NS$79-215+1)/$NU$79,$NN$79/$NT$79)),0)</f>
        <v/>
      </c>
      <c r="HL79" s="402">
        <f>IF(AND(216&gt;=$NR$79,216&lt;=$NS$79),IF($NP$79="Single_Point",IF(216=$NR$79,$NN$79,0),IF($NP$79="Bell_Curve",$NN$79*(216-$NR$79+1)*($NS$79-216+1)/$NU$79,$NN$79/$NT$79)),0)</f>
        <v/>
      </c>
      <c r="HM79" s="402">
        <f>IF(AND(217&gt;=$NR$79,217&lt;=$NS$79),IF($NP$79="Single_Point",IF(217=$NR$79,$NN$79,0),IF($NP$79="Bell_Curve",$NN$79*(217-$NR$79+1)*($NS$79-217+1)/$NU$79,$NN$79/$NT$79)),0)</f>
        <v/>
      </c>
      <c r="HN79" s="402">
        <f>IF(AND(218&gt;=$NR$79,218&lt;=$NS$79),IF($NP$79="Single_Point",IF(218=$NR$79,$NN$79,0),IF($NP$79="Bell_Curve",$NN$79*(218-$NR$79+1)*($NS$79-218+1)/$NU$79,$NN$79/$NT$79)),0)</f>
        <v/>
      </c>
      <c r="HO79" s="402">
        <f>IF(AND(219&gt;=$NR$79,219&lt;=$NS$79),IF($NP$79="Single_Point",IF(219=$NR$79,$NN$79,0),IF($NP$79="Bell_Curve",$NN$79*(219-$NR$79+1)*($NS$79-219+1)/$NU$79,$NN$79/$NT$79)),0)</f>
        <v/>
      </c>
      <c r="HP79" s="402">
        <f>IF(AND(220&gt;=$NR$79,220&lt;=$NS$79),IF($NP$79="Single_Point",IF(220=$NR$79,$NN$79,0),IF($NP$79="Bell_Curve",$NN$79*(220-$NR$79+1)*($NS$79-220+1)/$NU$79,$NN$79/$NT$79)),0)</f>
        <v/>
      </c>
      <c r="HQ79" s="402">
        <f>IF(AND(221&gt;=$NR$79,221&lt;=$NS$79),IF($NP$79="Single_Point",IF(221=$NR$79,$NN$79,0),IF($NP$79="Bell_Curve",$NN$79*(221-$NR$79+1)*($NS$79-221+1)/$NU$79,$NN$79/$NT$79)),0)</f>
        <v/>
      </c>
      <c r="HR79" s="402">
        <f>IF(AND(222&gt;=$NR$79,222&lt;=$NS$79),IF($NP$79="Single_Point",IF(222=$NR$79,$NN$79,0),IF($NP$79="Bell_Curve",$NN$79*(222-$NR$79+1)*($NS$79-222+1)/$NU$79,$NN$79/$NT$79)),0)</f>
        <v/>
      </c>
      <c r="HS79" s="402">
        <f>IF(AND(223&gt;=$NR$79,223&lt;=$NS$79),IF($NP$79="Single_Point",IF(223=$NR$79,$NN$79,0),IF($NP$79="Bell_Curve",$NN$79*(223-$NR$79+1)*($NS$79-223+1)/$NU$79,$NN$79/$NT$79)),0)</f>
        <v/>
      </c>
      <c r="HT79" s="402">
        <f>IF(AND(224&gt;=$NR$79,224&lt;=$NS$79),IF($NP$79="Single_Point",IF(224=$NR$79,$NN$79,0),IF($NP$79="Bell_Curve",$NN$79*(224-$NR$79+1)*($NS$79-224+1)/$NU$79,$NN$79/$NT$79)),0)</f>
        <v/>
      </c>
      <c r="HU79" s="402">
        <f>IF(AND(225&gt;=$NR$79,225&lt;=$NS$79),IF($NP$79="Single_Point",IF(225=$NR$79,$NN$79,0),IF($NP$79="Bell_Curve",$NN$79*(225-$NR$79+1)*($NS$79-225+1)/$NU$79,$NN$79/$NT$79)),0)</f>
        <v/>
      </c>
      <c r="HV79" s="402">
        <f>IF(AND(226&gt;=$NR$79,226&lt;=$NS$79),IF($NP$79="Single_Point",IF(226=$NR$79,$NN$79,0),IF($NP$79="Bell_Curve",$NN$79*(226-$NR$79+1)*($NS$79-226+1)/$NU$79,$NN$79/$NT$79)),0)</f>
        <v/>
      </c>
      <c r="HW79" s="402">
        <f>IF(AND(227&gt;=$NR$79,227&lt;=$NS$79),IF($NP$79="Single_Point",IF(227=$NR$79,$NN$79,0),IF($NP$79="Bell_Curve",$NN$79*(227-$NR$79+1)*($NS$79-227+1)/$NU$79,$NN$79/$NT$79)),0)</f>
        <v/>
      </c>
      <c r="HX79" s="402">
        <f>IF(AND(228&gt;=$NR$79,228&lt;=$NS$79),IF($NP$79="Single_Point",IF(228=$NR$79,$NN$79,0),IF($NP$79="Bell_Curve",$NN$79*(228-$NR$79+1)*($NS$79-228+1)/$NU$79,$NN$79/$NT$79)),0)</f>
        <v/>
      </c>
      <c r="HY79" s="402">
        <f>IF(AND(229&gt;=$NR$79,229&lt;=$NS$79),IF($NP$79="Single_Point",IF(229=$NR$79,$NN$79,0),IF($NP$79="Bell_Curve",$NN$79*(229-$NR$79+1)*($NS$79-229+1)/$NU$79,$NN$79/$NT$79)),0)</f>
        <v/>
      </c>
      <c r="HZ79" s="402">
        <f>IF(AND(230&gt;=$NR$79,230&lt;=$NS$79),IF($NP$79="Single_Point",IF(230=$NR$79,$NN$79,0),IF($NP$79="Bell_Curve",$NN$79*(230-$NR$79+1)*($NS$79-230+1)/$NU$79,$NN$79/$NT$79)),0)</f>
        <v/>
      </c>
      <c r="IA79" s="402">
        <f>IF(AND(231&gt;=$NR$79,231&lt;=$NS$79),IF($NP$79="Single_Point",IF(231=$NR$79,$NN$79,0),IF($NP$79="Bell_Curve",$NN$79*(231-$NR$79+1)*($NS$79-231+1)/$NU$79,$NN$79/$NT$79)),0)</f>
        <v/>
      </c>
      <c r="IB79" s="402">
        <f>IF(AND(232&gt;=$NR$79,232&lt;=$NS$79),IF($NP$79="Single_Point",IF(232=$NR$79,$NN$79,0),IF($NP$79="Bell_Curve",$NN$79*(232-$NR$79+1)*($NS$79-232+1)/$NU$79,$NN$79/$NT$79)),0)</f>
        <v/>
      </c>
      <c r="IC79" s="402">
        <f>IF(AND(233&gt;=$NR$79,233&lt;=$NS$79),IF($NP$79="Single_Point",IF(233=$NR$79,$NN$79,0),IF($NP$79="Bell_Curve",$NN$79*(233-$NR$79+1)*($NS$79-233+1)/$NU$79,$NN$79/$NT$79)),0)</f>
        <v/>
      </c>
      <c r="ID79" s="402">
        <f>IF(AND(234&gt;=$NR$79,234&lt;=$NS$79),IF($NP$79="Single_Point",IF(234=$NR$79,$NN$79,0),IF($NP$79="Bell_Curve",$NN$79*(234-$NR$79+1)*($NS$79-234+1)/$NU$79,$NN$79/$NT$79)),0)</f>
        <v/>
      </c>
      <c r="IE79" s="402">
        <f>IF(AND(235&gt;=$NR$79,235&lt;=$NS$79),IF($NP$79="Single_Point",IF(235=$NR$79,$NN$79,0),IF($NP$79="Bell_Curve",$NN$79*(235-$NR$79+1)*($NS$79-235+1)/$NU$79,$NN$79/$NT$79)),0)</f>
        <v/>
      </c>
      <c r="IF79" s="402">
        <f>IF(AND(236&gt;=$NR$79,236&lt;=$NS$79),IF($NP$79="Single_Point",IF(236=$NR$79,$NN$79,0),IF($NP$79="Bell_Curve",$NN$79*(236-$NR$79+1)*($NS$79-236+1)/$NU$79,$NN$79/$NT$79)),0)</f>
        <v/>
      </c>
      <c r="IG79" s="402">
        <f>IF(AND(237&gt;=$NR$79,237&lt;=$NS$79),IF($NP$79="Single_Point",IF(237=$NR$79,$NN$79,0),IF($NP$79="Bell_Curve",$NN$79*(237-$NR$79+1)*($NS$79-237+1)/$NU$79,$NN$79/$NT$79)),0)</f>
        <v/>
      </c>
      <c r="IH79" s="402">
        <f>IF(AND(238&gt;=$NR$79,238&lt;=$NS$79),IF($NP$79="Single_Point",IF(238=$NR$79,$NN$79,0),IF($NP$79="Bell_Curve",$NN$79*(238-$NR$79+1)*($NS$79-238+1)/$NU$79,$NN$79/$NT$79)),0)</f>
        <v/>
      </c>
      <c r="II79" s="402">
        <f>IF(AND(239&gt;=$NR$79,239&lt;=$NS$79),IF($NP$79="Single_Point",IF(239=$NR$79,$NN$79,0),IF($NP$79="Bell_Curve",$NN$79*(239-$NR$79+1)*($NS$79-239+1)/$NU$79,$NN$79/$NT$79)),0)</f>
        <v/>
      </c>
      <c r="IJ79" s="402">
        <f>IF(AND(240&gt;=$NR$79,240&lt;=$NS$79),IF($NP$79="Single_Point",IF(240=$NR$79,$NN$79,0),IF($NP$79="Bell_Curve",$NN$79*(240-$NR$79+1)*($NS$79-240+1)/$NU$79,$NN$79/$NT$79)),0)</f>
        <v/>
      </c>
      <c r="IK79" s="402">
        <f>IF(AND(241&gt;=$NR$79,241&lt;=$NS$79),IF($NP$79="Single_Point",IF(241=$NR$79,$NN$79,0),IF($NP$79="Bell_Curve",$NN$79*(241-$NR$79+1)*($NS$79-241+1)/$NU$79,$NN$79/$NT$79)),0)</f>
        <v/>
      </c>
      <c r="IL79" s="402">
        <f>IF(AND(242&gt;=$NR$79,242&lt;=$NS$79),IF($NP$79="Single_Point",IF(242=$NR$79,$NN$79,0),IF($NP$79="Bell_Curve",$NN$79*(242-$NR$79+1)*($NS$79-242+1)/$NU$79,$NN$79/$NT$79)),0)</f>
        <v/>
      </c>
      <c r="IM79" s="402">
        <f>IF(AND(243&gt;=$NR$79,243&lt;=$NS$79),IF($NP$79="Single_Point",IF(243=$NR$79,$NN$79,0),IF($NP$79="Bell_Curve",$NN$79*(243-$NR$79+1)*($NS$79-243+1)/$NU$79,$NN$79/$NT$79)),0)</f>
        <v/>
      </c>
      <c r="IN79" s="402">
        <f>IF(AND(244&gt;=$NR$79,244&lt;=$NS$79),IF($NP$79="Single_Point",IF(244=$NR$79,$NN$79,0),IF($NP$79="Bell_Curve",$NN$79*(244-$NR$79+1)*($NS$79-244+1)/$NU$79,$NN$79/$NT$79)),0)</f>
        <v/>
      </c>
      <c r="IO79" s="402">
        <f>IF(AND(245&gt;=$NR$79,245&lt;=$NS$79),IF($NP$79="Single_Point",IF(245=$NR$79,$NN$79,0),IF($NP$79="Bell_Curve",$NN$79*(245-$NR$79+1)*($NS$79-245+1)/$NU$79,$NN$79/$NT$79)),0)</f>
        <v/>
      </c>
      <c r="IP79" s="402">
        <f>IF(AND(246&gt;=$NR$79,246&lt;=$NS$79),IF($NP$79="Single_Point",IF(246=$NR$79,$NN$79,0),IF($NP$79="Bell_Curve",$NN$79*(246-$NR$79+1)*($NS$79-246+1)/$NU$79,$NN$79/$NT$79)),0)</f>
        <v/>
      </c>
      <c r="IQ79" s="402">
        <f>IF(AND(247&gt;=$NR$79,247&lt;=$NS$79),IF($NP$79="Single_Point",IF(247=$NR$79,$NN$79,0),IF($NP$79="Bell_Curve",$NN$79*(247-$NR$79+1)*($NS$79-247+1)/$NU$79,$NN$79/$NT$79)),0)</f>
        <v/>
      </c>
      <c r="IR79" s="402">
        <f>IF(AND(248&gt;=$NR$79,248&lt;=$NS$79),IF($NP$79="Single_Point",IF(248=$NR$79,$NN$79,0),IF($NP$79="Bell_Curve",$NN$79*(248-$NR$79+1)*($NS$79-248+1)/$NU$79,$NN$79/$NT$79)),0)</f>
        <v/>
      </c>
      <c r="IS79" s="402">
        <f>IF(AND(249&gt;=$NR$79,249&lt;=$NS$79),IF($NP$79="Single_Point",IF(249=$NR$79,$NN$79,0),IF($NP$79="Bell_Curve",$NN$79*(249-$NR$79+1)*($NS$79-249+1)/$NU$79,$NN$79/$NT$79)),0)</f>
        <v/>
      </c>
      <c r="IT79" s="402">
        <f>IF(AND(250&gt;=$NR$79,250&lt;=$NS$79),IF($NP$79="Single_Point",IF(250=$NR$79,$NN$79,0),IF($NP$79="Bell_Curve",$NN$79*(250-$NR$79+1)*($NS$79-250+1)/$NU$79,$NN$79/$NT$79)),0)</f>
        <v/>
      </c>
      <c r="IU79" s="402">
        <f>IF(AND(251&gt;=$NR$79,251&lt;=$NS$79),IF($NP$79="Single_Point",IF(251=$NR$79,$NN$79,0),IF($NP$79="Bell_Curve",$NN$79*(251-$NR$79+1)*($NS$79-251+1)/$NU$79,$NN$79/$NT$79)),0)</f>
        <v/>
      </c>
      <c r="IV79" s="402">
        <f>IF(AND(252&gt;=$NR$79,252&lt;=$NS$79),IF($NP$79="Single_Point",IF(252=$NR$79,$NN$79,0),IF($NP$79="Bell_Curve",$NN$79*(252-$NR$79+1)*($NS$79-252+1)/$NU$79,$NN$79/$NT$79)),0)</f>
        <v/>
      </c>
      <c r="IW79" s="402">
        <f>IF(AND(253&gt;=$NR$79,253&lt;=$NS$79),IF($NP$79="Single_Point",IF(253=$NR$79,$NN$79,0),IF($NP$79="Bell_Curve",$NN$79*(253-$NR$79+1)*($NS$79-253+1)/$NU$79,$NN$79/$NT$79)),0)</f>
        <v/>
      </c>
      <c r="IX79" s="402">
        <f>IF(AND(254&gt;=$NR$79,254&lt;=$NS$79),IF($NP$79="Single_Point",IF(254=$NR$79,$NN$79,0),IF($NP$79="Bell_Curve",$NN$79*(254-$NR$79+1)*($NS$79-254+1)/$NU$79,$NN$79/$NT$79)),0)</f>
        <v/>
      </c>
      <c r="IY79" s="402">
        <f>IF(AND(255&gt;=$NR$79,255&lt;=$NS$79),IF($NP$79="Single_Point",IF(255=$NR$79,$NN$79,0),IF($NP$79="Bell_Curve",$NN$79*(255-$NR$79+1)*($NS$79-255+1)/$NU$79,$NN$79/$NT$79)),0)</f>
        <v/>
      </c>
      <c r="IZ79" s="402">
        <f>IF(AND(256&gt;=$NR$79,256&lt;=$NS$79),IF($NP$79="Single_Point",IF(256=$NR$79,$NN$79,0),IF($NP$79="Bell_Curve",$NN$79*(256-$NR$79+1)*($NS$79-256+1)/$NU$79,$NN$79/$NT$79)),0)</f>
        <v/>
      </c>
      <c r="JA79" s="402">
        <f>IF(AND(257&gt;=$NR$79,257&lt;=$NS$79),IF($NP$79="Single_Point",IF(257=$NR$79,$NN$79,0),IF($NP$79="Bell_Curve",$NN$79*(257-$NR$79+1)*($NS$79-257+1)/$NU$79,$NN$79/$NT$79)),0)</f>
        <v/>
      </c>
      <c r="JB79" s="402">
        <f>IF(AND(258&gt;=$NR$79,258&lt;=$NS$79),IF($NP$79="Single_Point",IF(258=$NR$79,$NN$79,0),IF($NP$79="Bell_Curve",$NN$79*(258-$NR$79+1)*($NS$79-258+1)/$NU$79,$NN$79/$NT$79)),0)</f>
        <v/>
      </c>
      <c r="JC79" s="402">
        <f>IF(AND(259&gt;=$NR$79,259&lt;=$NS$79),IF($NP$79="Single_Point",IF(259=$NR$79,$NN$79,0),IF($NP$79="Bell_Curve",$NN$79*(259-$NR$79+1)*($NS$79-259+1)/$NU$79,$NN$79/$NT$79)),0)</f>
        <v/>
      </c>
      <c r="JD79" s="402">
        <f>IF(AND(260&gt;=$NR$79,260&lt;=$NS$79),IF($NP$79="Single_Point",IF(260=$NR$79,$NN$79,0),IF($NP$79="Bell_Curve",$NN$79*(260-$NR$79+1)*($NS$79-260+1)/$NU$79,$NN$79/$NT$79)),0)</f>
        <v/>
      </c>
      <c r="JE79" s="402">
        <f>IF(AND(261&gt;=$NR$79,261&lt;=$NS$79),IF($NP$79="Single_Point",IF(261=$NR$79,$NN$79,0),IF($NP$79="Bell_Curve",$NN$79*(261-$NR$79+1)*($NS$79-261+1)/$NU$79,$NN$79/$NT$79)),0)</f>
        <v/>
      </c>
      <c r="JF79" s="402">
        <f>IF(AND(262&gt;=$NR$79,262&lt;=$NS$79),IF($NP$79="Single_Point",IF(262=$NR$79,$NN$79,0),IF($NP$79="Bell_Curve",$NN$79*(262-$NR$79+1)*($NS$79-262+1)/$NU$79,$NN$79/$NT$79)),0)</f>
        <v/>
      </c>
      <c r="JG79" s="402">
        <f>IF(AND(263&gt;=$NR$79,263&lt;=$NS$79),IF($NP$79="Single_Point",IF(263=$NR$79,$NN$79,0),IF($NP$79="Bell_Curve",$NN$79*(263-$NR$79+1)*($NS$79-263+1)/$NU$79,$NN$79/$NT$79)),0)</f>
        <v/>
      </c>
      <c r="JH79" s="402">
        <f>IF(AND(264&gt;=$NR$79,264&lt;=$NS$79),IF($NP$79="Single_Point",IF(264=$NR$79,$NN$79,0),IF($NP$79="Bell_Curve",$NN$79*(264-$NR$79+1)*($NS$79-264+1)/$NU$79,$NN$79/$NT$79)),0)</f>
        <v/>
      </c>
      <c r="JI79" s="402">
        <f>IF(AND(265&gt;=$NR$79,265&lt;=$NS$79),IF($NP$79="Single_Point",IF(265=$NR$79,$NN$79,0),IF($NP$79="Bell_Curve",$NN$79*(265-$NR$79+1)*($NS$79-265+1)/$NU$79,$NN$79/$NT$79)),0)</f>
        <v/>
      </c>
      <c r="JJ79" s="402">
        <f>IF(AND(266&gt;=$NR$79,266&lt;=$NS$79),IF($NP$79="Single_Point",IF(266=$NR$79,$NN$79,0),IF($NP$79="Bell_Curve",$NN$79*(266-$NR$79+1)*($NS$79-266+1)/$NU$79,$NN$79/$NT$79)),0)</f>
        <v/>
      </c>
      <c r="JK79" s="402">
        <f>IF(AND(267&gt;=$NR$79,267&lt;=$NS$79),IF($NP$79="Single_Point",IF(267=$NR$79,$NN$79,0),IF($NP$79="Bell_Curve",$NN$79*(267-$NR$79+1)*($NS$79-267+1)/$NU$79,$NN$79/$NT$79)),0)</f>
        <v/>
      </c>
      <c r="JL79" s="402">
        <f>IF(AND(268&gt;=$NR$79,268&lt;=$NS$79),IF($NP$79="Single_Point",IF(268=$NR$79,$NN$79,0),IF($NP$79="Bell_Curve",$NN$79*(268-$NR$79+1)*($NS$79-268+1)/$NU$79,$NN$79/$NT$79)),0)</f>
        <v/>
      </c>
      <c r="JM79" s="402">
        <f>IF(AND(269&gt;=$NR$79,269&lt;=$NS$79),IF($NP$79="Single_Point",IF(269=$NR$79,$NN$79,0),IF($NP$79="Bell_Curve",$NN$79*(269-$NR$79+1)*($NS$79-269+1)/$NU$79,$NN$79/$NT$79)),0)</f>
        <v/>
      </c>
      <c r="JN79" s="402">
        <f>IF(AND(270&gt;=$NR$79,270&lt;=$NS$79),IF($NP$79="Single_Point",IF(270=$NR$79,$NN$79,0),IF($NP$79="Bell_Curve",$NN$79*(270-$NR$79+1)*($NS$79-270+1)/$NU$79,$NN$79/$NT$79)),0)</f>
        <v/>
      </c>
      <c r="JO79" s="402">
        <f>IF(AND(271&gt;=$NR$79,271&lt;=$NS$79),IF($NP$79="Single_Point",IF(271=$NR$79,$NN$79,0),IF($NP$79="Bell_Curve",$NN$79*(271-$NR$79+1)*($NS$79-271+1)/$NU$79,$NN$79/$NT$79)),0)</f>
        <v/>
      </c>
      <c r="JP79" s="402">
        <f>IF(AND(272&gt;=$NR$79,272&lt;=$NS$79),IF($NP$79="Single_Point",IF(272=$NR$79,$NN$79,0),IF($NP$79="Bell_Curve",$NN$79*(272-$NR$79+1)*($NS$79-272+1)/$NU$79,$NN$79/$NT$79)),0)</f>
        <v/>
      </c>
      <c r="JQ79" s="402">
        <f>IF(AND(273&gt;=$NR$79,273&lt;=$NS$79),IF($NP$79="Single_Point",IF(273=$NR$79,$NN$79,0),IF($NP$79="Bell_Curve",$NN$79*(273-$NR$79+1)*($NS$79-273+1)/$NU$79,$NN$79/$NT$79)),0)</f>
        <v/>
      </c>
      <c r="JR79" s="402">
        <f>IF(AND(274&gt;=$NR$79,274&lt;=$NS$79),IF($NP$79="Single_Point",IF(274=$NR$79,$NN$79,0),IF($NP$79="Bell_Curve",$NN$79*(274-$NR$79+1)*($NS$79-274+1)/$NU$79,$NN$79/$NT$79)),0)</f>
        <v/>
      </c>
      <c r="JS79" s="402">
        <f>IF(AND(275&gt;=$NR$79,275&lt;=$NS$79),IF($NP$79="Single_Point",IF(275=$NR$79,$NN$79,0),IF($NP$79="Bell_Curve",$NN$79*(275-$NR$79+1)*($NS$79-275+1)/$NU$79,$NN$79/$NT$79)),0)</f>
        <v/>
      </c>
      <c r="JT79" s="402">
        <f>IF(AND(276&gt;=$NR$79,276&lt;=$NS$79),IF($NP$79="Single_Point",IF(276=$NR$79,$NN$79,0),IF($NP$79="Bell_Curve",$NN$79*(276-$NR$79+1)*($NS$79-276+1)/$NU$79,$NN$79/$NT$79)),0)</f>
        <v/>
      </c>
      <c r="JU79" s="402">
        <f>IF(AND(277&gt;=$NR$79,277&lt;=$NS$79),IF($NP$79="Single_Point",IF(277=$NR$79,$NN$79,0),IF($NP$79="Bell_Curve",$NN$79*(277-$NR$79+1)*($NS$79-277+1)/$NU$79,$NN$79/$NT$79)),0)</f>
        <v/>
      </c>
      <c r="JV79" s="402">
        <f>IF(AND(278&gt;=$NR$79,278&lt;=$NS$79),IF($NP$79="Single_Point",IF(278=$NR$79,$NN$79,0),IF($NP$79="Bell_Curve",$NN$79*(278-$NR$79+1)*($NS$79-278+1)/$NU$79,$NN$79/$NT$79)),0)</f>
        <v/>
      </c>
      <c r="JW79" s="402">
        <f>IF(AND(279&gt;=$NR$79,279&lt;=$NS$79),IF($NP$79="Single_Point",IF(279=$NR$79,$NN$79,0),IF($NP$79="Bell_Curve",$NN$79*(279-$NR$79+1)*($NS$79-279+1)/$NU$79,$NN$79/$NT$79)),0)</f>
        <v/>
      </c>
      <c r="JX79" s="402">
        <f>IF(AND(280&gt;=$NR$79,280&lt;=$NS$79),IF($NP$79="Single_Point",IF(280=$NR$79,$NN$79,0),IF($NP$79="Bell_Curve",$NN$79*(280-$NR$79+1)*($NS$79-280+1)/$NU$79,$NN$79/$NT$79)),0)</f>
        <v/>
      </c>
      <c r="JY79" s="402">
        <f>IF(AND(281&gt;=$NR$79,281&lt;=$NS$79),IF($NP$79="Single_Point",IF(281=$NR$79,$NN$79,0),IF($NP$79="Bell_Curve",$NN$79*(281-$NR$79+1)*($NS$79-281+1)/$NU$79,$NN$79/$NT$79)),0)</f>
        <v/>
      </c>
      <c r="JZ79" s="402">
        <f>IF(AND(282&gt;=$NR$79,282&lt;=$NS$79),IF($NP$79="Single_Point",IF(282=$NR$79,$NN$79,0),IF($NP$79="Bell_Curve",$NN$79*(282-$NR$79+1)*($NS$79-282+1)/$NU$79,$NN$79/$NT$79)),0)</f>
        <v/>
      </c>
      <c r="KA79" s="402">
        <f>IF(AND(283&gt;=$NR$79,283&lt;=$NS$79),IF($NP$79="Single_Point",IF(283=$NR$79,$NN$79,0),IF($NP$79="Bell_Curve",$NN$79*(283-$NR$79+1)*($NS$79-283+1)/$NU$79,$NN$79/$NT$79)),0)</f>
        <v/>
      </c>
      <c r="KB79" s="402">
        <f>IF(AND(284&gt;=$NR$79,284&lt;=$NS$79),IF($NP$79="Single_Point",IF(284=$NR$79,$NN$79,0),IF($NP$79="Bell_Curve",$NN$79*(284-$NR$79+1)*($NS$79-284+1)/$NU$79,$NN$79/$NT$79)),0)</f>
        <v/>
      </c>
      <c r="KC79" s="402">
        <f>IF(AND(285&gt;=$NR$79,285&lt;=$NS$79),IF($NP$79="Single_Point",IF(285=$NR$79,$NN$79,0),IF($NP$79="Bell_Curve",$NN$79*(285-$NR$79+1)*($NS$79-285+1)/$NU$79,$NN$79/$NT$79)),0)</f>
        <v/>
      </c>
      <c r="KD79" s="402">
        <f>IF(AND(286&gt;=$NR$79,286&lt;=$NS$79),IF($NP$79="Single_Point",IF(286=$NR$79,$NN$79,0),IF($NP$79="Bell_Curve",$NN$79*(286-$NR$79+1)*($NS$79-286+1)/$NU$79,$NN$79/$NT$79)),0)</f>
        <v/>
      </c>
      <c r="KE79" s="402">
        <f>IF(AND(287&gt;=$NR$79,287&lt;=$NS$79),IF($NP$79="Single_Point",IF(287=$NR$79,$NN$79,0),IF($NP$79="Bell_Curve",$NN$79*(287-$NR$79+1)*($NS$79-287+1)/$NU$79,$NN$79/$NT$79)),0)</f>
        <v/>
      </c>
      <c r="KF79" s="402">
        <f>IF(AND(288&gt;=$NR$79,288&lt;=$NS$79),IF($NP$79="Single_Point",IF(288=$NR$79,$NN$79,0),IF($NP$79="Bell_Curve",$NN$79*(288-$NR$79+1)*($NS$79-288+1)/$NU$79,$NN$79/$NT$79)),0)</f>
        <v/>
      </c>
      <c r="KG79" s="402">
        <f>IF(AND(289&gt;=$NR$79,289&lt;=$NS$79),IF($NP$79="Single_Point",IF(289=$NR$79,$NN$79,0),IF($NP$79="Bell_Curve",$NN$79*(289-$NR$79+1)*($NS$79-289+1)/$NU$79,$NN$79/$NT$79)),0)</f>
        <v/>
      </c>
      <c r="KH79" s="402">
        <f>IF(AND(290&gt;=$NR$79,290&lt;=$NS$79),IF($NP$79="Single_Point",IF(290=$NR$79,$NN$79,0),IF($NP$79="Bell_Curve",$NN$79*(290-$NR$79+1)*($NS$79-290+1)/$NU$79,$NN$79/$NT$79)),0)</f>
        <v/>
      </c>
      <c r="KI79" s="402">
        <f>IF(AND(291&gt;=$NR$79,291&lt;=$NS$79),IF($NP$79="Single_Point",IF(291=$NR$79,$NN$79,0),IF($NP$79="Bell_Curve",$NN$79*(291-$NR$79+1)*($NS$79-291+1)/$NU$79,$NN$79/$NT$79)),0)</f>
        <v/>
      </c>
      <c r="KJ79" s="402">
        <f>IF(AND(292&gt;=$NR$79,292&lt;=$NS$79),IF($NP$79="Single_Point",IF(292=$NR$79,$NN$79,0),IF($NP$79="Bell_Curve",$NN$79*(292-$NR$79+1)*($NS$79-292+1)/$NU$79,$NN$79/$NT$79)),0)</f>
        <v/>
      </c>
      <c r="KK79" s="402">
        <f>IF(AND(293&gt;=$NR$79,293&lt;=$NS$79),IF($NP$79="Single_Point",IF(293=$NR$79,$NN$79,0),IF($NP$79="Bell_Curve",$NN$79*(293-$NR$79+1)*($NS$79-293+1)/$NU$79,$NN$79/$NT$79)),0)</f>
        <v/>
      </c>
      <c r="KL79" s="402">
        <f>IF(AND(294&gt;=$NR$79,294&lt;=$NS$79),IF($NP$79="Single_Point",IF(294=$NR$79,$NN$79,0),IF($NP$79="Bell_Curve",$NN$79*(294-$NR$79+1)*($NS$79-294+1)/$NU$79,$NN$79/$NT$79)),0)</f>
        <v/>
      </c>
      <c r="KM79" s="402">
        <f>IF(AND(295&gt;=$NR$79,295&lt;=$NS$79),IF($NP$79="Single_Point",IF(295=$NR$79,$NN$79,0),IF($NP$79="Bell_Curve",$NN$79*(295-$NR$79+1)*($NS$79-295+1)/$NU$79,$NN$79/$NT$79)),0)</f>
        <v/>
      </c>
      <c r="KN79" s="402">
        <f>IF(AND(296&gt;=$NR$79,296&lt;=$NS$79),IF($NP$79="Single_Point",IF(296=$NR$79,$NN$79,0),IF($NP$79="Bell_Curve",$NN$79*(296-$NR$79+1)*($NS$79-296+1)/$NU$79,$NN$79/$NT$79)),0)</f>
        <v/>
      </c>
      <c r="KO79" s="402">
        <f>IF(AND(297&gt;=$NR$79,297&lt;=$NS$79),IF($NP$79="Single_Point",IF(297=$NR$79,$NN$79,0),IF($NP$79="Bell_Curve",$NN$79*(297-$NR$79+1)*($NS$79-297+1)/$NU$79,$NN$79/$NT$79)),0)</f>
        <v/>
      </c>
      <c r="KP79" s="402">
        <f>IF(AND(298&gt;=$NR$79,298&lt;=$NS$79),IF($NP$79="Single_Point",IF(298=$NR$79,$NN$79,0),IF($NP$79="Bell_Curve",$NN$79*(298-$NR$79+1)*($NS$79-298+1)/$NU$79,$NN$79/$NT$79)),0)</f>
        <v/>
      </c>
      <c r="KQ79" s="402">
        <f>IF(AND(299&gt;=$NR$79,299&lt;=$NS$79),IF($NP$79="Single_Point",IF(299=$NR$79,$NN$79,0),IF($NP$79="Bell_Curve",$NN$79*(299-$NR$79+1)*($NS$79-299+1)/$NU$79,$NN$79/$NT$79)),0)</f>
        <v/>
      </c>
      <c r="KR79" s="402">
        <f>IF(AND(300&gt;=$NR$79,300&lt;=$NS$79),IF($NP$79="Single_Point",IF(300=$NR$79,$NN$79,0),IF($NP$79="Bell_Curve",$NN$79*(300-$NR$79+1)*($NS$79-300+1)/$NU$79,$NN$79/$NT$79)),0)</f>
        <v/>
      </c>
      <c r="KS79" s="402">
        <f>IF(AND(301&gt;=$NR$79,301&lt;=$NS$79),IF($NP$79="Single_Point",IF(301=$NR$79,$NN$79,0),IF($NP$79="Bell_Curve",$NN$79*(301-$NR$79+1)*($NS$79-301+1)/$NU$79,$NN$79/$NT$79)),0)</f>
        <v/>
      </c>
      <c r="KT79" s="402">
        <f>IF(AND(302&gt;=$NR$79,302&lt;=$NS$79),IF($NP$79="Single_Point",IF(302=$NR$79,$NN$79,0),IF($NP$79="Bell_Curve",$NN$79*(302-$NR$79+1)*($NS$79-302+1)/$NU$79,$NN$79/$NT$79)),0)</f>
        <v/>
      </c>
      <c r="KU79" s="402">
        <f>IF(AND(303&gt;=$NR$79,303&lt;=$NS$79),IF($NP$79="Single_Point",IF(303=$NR$79,$NN$79,0),IF($NP$79="Bell_Curve",$NN$79*(303-$NR$79+1)*($NS$79-303+1)/$NU$79,$NN$79/$NT$79)),0)</f>
        <v/>
      </c>
      <c r="KV79" s="402">
        <f>IF(AND(304&gt;=$NR$79,304&lt;=$NS$79),IF($NP$79="Single_Point",IF(304=$NR$79,$NN$79,0),IF($NP$79="Bell_Curve",$NN$79*(304-$NR$79+1)*($NS$79-304+1)/$NU$79,$NN$79/$NT$79)),0)</f>
        <v/>
      </c>
      <c r="KW79" s="402">
        <f>IF(AND(305&gt;=$NR$79,305&lt;=$NS$79),IF($NP$79="Single_Point",IF(305=$NR$79,$NN$79,0),IF($NP$79="Bell_Curve",$NN$79*(305-$NR$79+1)*($NS$79-305+1)/$NU$79,$NN$79/$NT$79)),0)</f>
        <v/>
      </c>
      <c r="KX79" s="402">
        <f>IF(AND(306&gt;=$NR$79,306&lt;=$NS$79),IF($NP$79="Single_Point",IF(306=$NR$79,$NN$79,0),IF($NP$79="Bell_Curve",$NN$79*(306-$NR$79+1)*($NS$79-306+1)/$NU$79,$NN$79/$NT$79)),0)</f>
        <v/>
      </c>
      <c r="KY79" s="402">
        <f>IF(AND(307&gt;=$NR$79,307&lt;=$NS$79),IF($NP$79="Single_Point",IF(307=$NR$79,$NN$79,0),IF($NP$79="Bell_Curve",$NN$79*(307-$NR$79+1)*($NS$79-307+1)/$NU$79,$NN$79/$NT$79)),0)</f>
        <v/>
      </c>
      <c r="KZ79" s="402">
        <f>IF(AND(308&gt;=$NR$79,308&lt;=$NS$79),IF($NP$79="Single_Point",IF(308=$NR$79,$NN$79,0),IF($NP$79="Bell_Curve",$NN$79*(308-$NR$79+1)*($NS$79-308+1)/$NU$79,$NN$79/$NT$79)),0)</f>
        <v/>
      </c>
      <c r="LA79" s="402">
        <f>IF(AND(309&gt;=$NR$79,309&lt;=$NS$79),IF($NP$79="Single_Point",IF(309=$NR$79,$NN$79,0),IF($NP$79="Bell_Curve",$NN$79*(309-$NR$79+1)*($NS$79-309+1)/$NU$79,$NN$79/$NT$79)),0)</f>
        <v/>
      </c>
      <c r="LB79" s="402">
        <f>IF(AND(310&gt;=$NR$79,310&lt;=$NS$79),IF($NP$79="Single_Point",IF(310=$NR$79,$NN$79,0),IF($NP$79="Bell_Curve",$NN$79*(310-$NR$79+1)*($NS$79-310+1)/$NU$79,$NN$79/$NT$79)),0)</f>
        <v/>
      </c>
      <c r="LC79" s="402">
        <f>IF(AND(311&gt;=$NR$79,311&lt;=$NS$79),IF($NP$79="Single_Point",IF(311=$NR$79,$NN$79,0),IF($NP$79="Bell_Curve",$NN$79*(311-$NR$79+1)*($NS$79-311+1)/$NU$79,$NN$79/$NT$79)),0)</f>
        <v/>
      </c>
      <c r="LD79" s="402">
        <f>IF(AND(312&gt;=$NR$79,312&lt;=$NS$79),IF($NP$79="Single_Point",IF(312=$NR$79,$NN$79,0),IF($NP$79="Bell_Curve",$NN$79*(312-$NR$79+1)*($NS$79-312+1)/$NU$79,$NN$79/$NT$79)),0)</f>
        <v/>
      </c>
      <c r="LE79" s="402">
        <f>IF(AND(313&gt;=$NR$79,313&lt;=$NS$79),IF($NP$79="Single_Point",IF(313=$NR$79,$NN$79,0),IF($NP$79="Bell_Curve",$NN$79*(313-$NR$79+1)*($NS$79-313+1)/$NU$79,$NN$79/$NT$79)),0)</f>
        <v/>
      </c>
      <c r="LF79" s="402">
        <f>IF(AND(314&gt;=$NR$79,314&lt;=$NS$79),IF($NP$79="Single_Point",IF(314=$NR$79,$NN$79,0),IF($NP$79="Bell_Curve",$NN$79*(314-$NR$79+1)*($NS$79-314+1)/$NU$79,$NN$79/$NT$79)),0)</f>
        <v/>
      </c>
      <c r="LG79" s="402">
        <f>IF(AND(315&gt;=$NR$79,315&lt;=$NS$79),IF($NP$79="Single_Point",IF(315=$NR$79,$NN$79,0),IF($NP$79="Bell_Curve",$NN$79*(315-$NR$79+1)*($NS$79-315+1)/$NU$79,$NN$79/$NT$79)),0)</f>
        <v/>
      </c>
      <c r="LH79" s="402">
        <f>IF(AND(316&gt;=$NR$79,316&lt;=$NS$79),IF($NP$79="Single_Point",IF(316=$NR$79,$NN$79,0),IF($NP$79="Bell_Curve",$NN$79*(316-$NR$79+1)*($NS$79-316+1)/$NU$79,$NN$79/$NT$79)),0)</f>
        <v/>
      </c>
      <c r="LI79" s="402">
        <f>IF(AND(317&gt;=$NR$79,317&lt;=$NS$79),IF($NP$79="Single_Point",IF(317=$NR$79,$NN$79,0),IF($NP$79="Bell_Curve",$NN$79*(317-$NR$79+1)*($NS$79-317+1)/$NU$79,$NN$79/$NT$79)),0)</f>
        <v/>
      </c>
      <c r="LJ79" s="402">
        <f>IF(AND(318&gt;=$NR$79,318&lt;=$NS$79),IF($NP$79="Single_Point",IF(318=$NR$79,$NN$79,0),IF($NP$79="Bell_Curve",$NN$79*(318-$NR$79+1)*($NS$79-318+1)/$NU$79,$NN$79/$NT$79)),0)</f>
        <v/>
      </c>
      <c r="LK79" s="402">
        <f>IF(AND(319&gt;=$NR$79,319&lt;=$NS$79),IF($NP$79="Single_Point",IF(319=$NR$79,$NN$79,0),IF($NP$79="Bell_Curve",$NN$79*(319-$NR$79+1)*($NS$79-319+1)/$NU$79,$NN$79/$NT$79)),0)</f>
        <v/>
      </c>
      <c r="LL79" s="402">
        <f>IF(AND(320&gt;=$NR$79,320&lt;=$NS$79),IF($NP$79="Single_Point",IF(320=$NR$79,$NN$79,0),IF($NP$79="Bell_Curve",$NN$79*(320-$NR$79+1)*($NS$79-320+1)/$NU$79,$NN$79/$NT$79)),0)</f>
        <v/>
      </c>
      <c r="LM79" s="402">
        <f>IF(AND(321&gt;=$NR$79,321&lt;=$NS$79),IF($NP$79="Single_Point",IF(321=$NR$79,$NN$79,0),IF($NP$79="Bell_Curve",$NN$79*(321-$NR$79+1)*($NS$79-321+1)/$NU$79,$NN$79/$NT$79)),0)</f>
        <v/>
      </c>
      <c r="LN79" s="402">
        <f>IF(AND(322&gt;=$NR$79,322&lt;=$NS$79),IF($NP$79="Single_Point",IF(322=$NR$79,$NN$79,0),IF($NP$79="Bell_Curve",$NN$79*(322-$NR$79+1)*($NS$79-322+1)/$NU$79,$NN$79/$NT$79)),0)</f>
        <v/>
      </c>
      <c r="LO79" s="402">
        <f>IF(AND(323&gt;=$NR$79,323&lt;=$NS$79),IF($NP$79="Single_Point",IF(323=$NR$79,$NN$79,0),IF($NP$79="Bell_Curve",$NN$79*(323-$NR$79+1)*($NS$79-323+1)/$NU$79,$NN$79/$NT$79)),0)</f>
        <v/>
      </c>
      <c r="LP79" s="402">
        <f>IF(AND(324&gt;=$NR$79,324&lt;=$NS$79),IF($NP$79="Single_Point",IF(324=$NR$79,$NN$79,0),IF($NP$79="Bell_Curve",$NN$79*(324-$NR$79+1)*($NS$79-324+1)/$NU$79,$NN$79/$NT$79)),0)</f>
        <v/>
      </c>
      <c r="LQ79" s="402">
        <f>IF(AND(325&gt;=$NR$79,325&lt;=$NS$79),IF($NP$79="Single_Point",IF(325=$NR$79,$NN$79,0),IF($NP$79="Bell_Curve",$NN$79*(325-$NR$79+1)*($NS$79-325+1)/$NU$79,$NN$79/$NT$79)),0)</f>
        <v/>
      </c>
      <c r="LR79" s="402">
        <f>IF(AND(326&gt;=$NR$79,326&lt;=$NS$79),IF($NP$79="Single_Point",IF(326=$NR$79,$NN$79,0),IF($NP$79="Bell_Curve",$NN$79*(326-$NR$79+1)*($NS$79-326+1)/$NU$79,$NN$79/$NT$79)),0)</f>
        <v/>
      </c>
      <c r="LS79" s="402">
        <f>IF(AND(327&gt;=$NR$79,327&lt;=$NS$79),IF($NP$79="Single_Point",IF(327=$NR$79,$NN$79,0),IF($NP$79="Bell_Curve",$NN$79*(327-$NR$79+1)*($NS$79-327+1)/$NU$79,$NN$79/$NT$79)),0)</f>
        <v/>
      </c>
      <c r="LT79" s="402">
        <f>IF(AND(328&gt;=$NR$79,328&lt;=$NS$79),IF($NP$79="Single_Point",IF(328=$NR$79,$NN$79,0),IF($NP$79="Bell_Curve",$NN$79*(328-$NR$79+1)*($NS$79-328+1)/$NU$79,$NN$79/$NT$79)),0)</f>
        <v/>
      </c>
      <c r="LU79" s="402">
        <f>IF(AND(329&gt;=$NR$79,329&lt;=$NS$79),IF($NP$79="Single_Point",IF(329=$NR$79,$NN$79,0),IF($NP$79="Bell_Curve",$NN$79*(329-$NR$79+1)*($NS$79-329+1)/$NU$79,$NN$79/$NT$79)),0)</f>
        <v/>
      </c>
      <c r="LV79" s="402">
        <f>IF(AND(330&gt;=$NR$79,330&lt;=$NS$79),IF($NP$79="Single_Point",IF(330=$NR$79,$NN$79,0),IF($NP$79="Bell_Curve",$NN$79*(330-$NR$79+1)*($NS$79-330+1)/$NU$79,$NN$79/$NT$79)),0)</f>
        <v/>
      </c>
      <c r="LW79" s="402">
        <f>IF(AND(331&gt;=$NR$79,331&lt;=$NS$79),IF($NP$79="Single_Point",IF(331=$NR$79,$NN$79,0),IF($NP$79="Bell_Curve",$NN$79*(331-$NR$79+1)*($NS$79-331+1)/$NU$79,$NN$79/$NT$79)),0)</f>
        <v/>
      </c>
      <c r="LX79" s="402">
        <f>IF(AND(332&gt;=$NR$79,332&lt;=$NS$79),IF($NP$79="Single_Point",IF(332=$NR$79,$NN$79,0),IF($NP$79="Bell_Curve",$NN$79*(332-$NR$79+1)*($NS$79-332+1)/$NU$79,$NN$79/$NT$79)),0)</f>
        <v/>
      </c>
      <c r="LY79" s="402">
        <f>IF(AND(333&gt;=$NR$79,333&lt;=$NS$79),IF($NP$79="Single_Point",IF(333=$NR$79,$NN$79,0),IF($NP$79="Bell_Curve",$NN$79*(333-$NR$79+1)*($NS$79-333+1)/$NU$79,$NN$79/$NT$79)),0)</f>
        <v/>
      </c>
      <c r="LZ79" s="402">
        <f>IF(AND(334&gt;=$NR$79,334&lt;=$NS$79),IF($NP$79="Single_Point",IF(334=$NR$79,$NN$79,0),IF($NP$79="Bell_Curve",$NN$79*(334-$NR$79+1)*($NS$79-334+1)/$NU$79,$NN$79/$NT$79)),0)</f>
        <v/>
      </c>
      <c r="MA79" s="402">
        <f>IF(AND(335&gt;=$NR$79,335&lt;=$NS$79),IF($NP$79="Single_Point",IF(335=$NR$79,$NN$79,0),IF($NP$79="Bell_Curve",$NN$79*(335-$NR$79+1)*($NS$79-335+1)/$NU$79,$NN$79/$NT$79)),0)</f>
        <v/>
      </c>
      <c r="MB79" s="402">
        <f>IF(AND(336&gt;=$NR$79,336&lt;=$NS$79),IF($NP$79="Single_Point",IF(336=$NR$79,$NN$79,0),IF($NP$79="Bell_Curve",$NN$79*(336-$NR$79+1)*($NS$79-336+1)/$NU$79,$NN$79/$NT$79)),0)</f>
        <v/>
      </c>
      <c r="MC79" s="402">
        <f>IF(AND(337&gt;=$NR$79,337&lt;=$NS$79),IF($NP$79="Single_Point",IF(337=$NR$79,$NN$79,0),IF($NP$79="Bell_Curve",$NN$79*(337-$NR$79+1)*($NS$79-337+1)/$NU$79,$NN$79/$NT$79)),0)</f>
        <v/>
      </c>
      <c r="MD79" s="402">
        <f>IF(AND(338&gt;=$NR$79,338&lt;=$NS$79),IF($NP$79="Single_Point",IF(338=$NR$79,$NN$79,0),IF($NP$79="Bell_Curve",$NN$79*(338-$NR$79+1)*($NS$79-338+1)/$NU$79,$NN$79/$NT$79)),0)</f>
        <v/>
      </c>
      <c r="ME79" s="402">
        <f>IF(AND(339&gt;=$NR$79,339&lt;=$NS$79),IF($NP$79="Single_Point",IF(339=$NR$79,$NN$79,0),IF($NP$79="Bell_Curve",$NN$79*(339-$NR$79+1)*($NS$79-339+1)/$NU$79,$NN$79/$NT$79)),0)</f>
        <v/>
      </c>
      <c r="MF79" s="402">
        <f>IF(AND(340&gt;=$NR$79,340&lt;=$NS$79),IF($NP$79="Single_Point",IF(340=$NR$79,$NN$79,0),IF($NP$79="Bell_Curve",$NN$79*(340-$NR$79+1)*($NS$79-340+1)/$NU$79,$NN$79/$NT$79)),0)</f>
        <v/>
      </c>
      <c r="MG79" s="402">
        <f>IF(AND(341&gt;=$NR$79,341&lt;=$NS$79),IF($NP$79="Single_Point",IF(341=$NR$79,$NN$79,0),IF($NP$79="Bell_Curve",$NN$79*(341-$NR$79+1)*($NS$79-341+1)/$NU$79,$NN$79/$NT$79)),0)</f>
        <v/>
      </c>
      <c r="MH79" s="402">
        <f>IF(AND(342&gt;=$NR$79,342&lt;=$NS$79),IF($NP$79="Single_Point",IF(342=$NR$79,$NN$79,0),IF($NP$79="Bell_Curve",$NN$79*(342-$NR$79+1)*($NS$79-342+1)/$NU$79,$NN$79/$NT$79)),0)</f>
        <v/>
      </c>
      <c r="MI79" s="402">
        <f>IF(AND(343&gt;=$NR$79,343&lt;=$NS$79),IF($NP$79="Single_Point",IF(343=$NR$79,$NN$79,0),IF($NP$79="Bell_Curve",$NN$79*(343-$NR$79+1)*($NS$79-343+1)/$NU$79,$NN$79/$NT$79)),0)</f>
        <v/>
      </c>
      <c r="MJ79" s="402">
        <f>IF(AND(344&gt;=$NR$79,344&lt;=$NS$79),IF($NP$79="Single_Point",IF(344=$NR$79,$NN$79,0),IF($NP$79="Bell_Curve",$NN$79*(344-$NR$79+1)*($NS$79-344+1)/$NU$79,$NN$79/$NT$79)),0)</f>
        <v/>
      </c>
      <c r="MK79" s="402">
        <f>IF(AND(345&gt;=$NR$79,345&lt;=$NS$79),IF($NP$79="Single_Point",IF(345=$NR$79,$NN$79,0),IF($NP$79="Bell_Curve",$NN$79*(345-$NR$79+1)*($NS$79-345+1)/$NU$79,$NN$79/$NT$79)),0)</f>
        <v/>
      </c>
      <c r="ML79" s="402">
        <f>IF(AND(346&gt;=$NR$79,346&lt;=$NS$79),IF($NP$79="Single_Point",IF(346=$NR$79,$NN$79,0),IF($NP$79="Bell_Curve",$NN$79*(346-$NR$79+1)*($NS$79-346+1)/$NU$79,$NN$79/$NT$79)),0)</f>
        <v/>
      </c>
      <c r="MM79" s="402">
        <f>IF(AND(347&gt;=$NR$79,347&lt;=$NS$79),IF($NP$79="Single_Point",IF(347=$NR$79,$NN$79,0),IF($NP$79="Bell_Curve",$NN$79*(347-$NR$79+1)*($NS$79-347+1)/$NU$79,$NN$79/$NT$79)),0)</f>
        <v/>
      </c>
      <c r="MN79" s="402">
        <f>IF(AND(348&gt;=$NR$79,348&lt;=$NS$79),IF($NP$79="Single_Point",IF(348=$NR$79,$NN$79,0),IF($NP$79="Bell_Curve",$NN$79*(348-$NR$79+1)*($NS$79-348+1)/$NU$79,$NN$79/$NT$79)),0)</f>
        <v/>
      </c>
      <c r="MO79" s="402">
        <f>IF(AND(349&gt;=$NR$79,349&lt;=$NS$79),IF($NP$79="Single_Point",IF(349=$NR$79,$NN$79,0),IF($NP$79="Bell_Curve",$NN$79*(349-$NR$79+1)*($NS$79-349+1)/$NU$79,$NN$79/$NT$79)),0)</f>
        <v/>
      </c>
      <c r="MP79" s="402">
        <f>IF(AND(350&gt;=$NR$79,350&lt;=$NS$79),IF($NP$79="Single_Point",IF(350=$NR$79,$NN$79,0),IF($NP$79="Bell_Curve",$NN$79*(350-$NR$79+1)*($NS$79-350+1)/$NU$79,$NN$79/$NT$79)),0)</f>
        <v/>
      </c>
      <c r="MQ79" s="402">
        <f>IF(AND(351&gt;=$NR$79,351&lt;=$NS$79),IF($NP$79="Single_Point",IF(351=$NR$79,$NN$79,0),IF($NP$79="Bell_Curve",$NN$79*(351-$NR$79+1)*($NS$79-351+1)/$NU$79,$NN$79/$NT$79)),0)</f>
        <v/>
      </c>
      <c r="MR79" s="402">
        <f>IF(AND(352&gt;=$NR$79,352&lt;=$NS$79),IF($NP$79="Single_Point",IF(352=$NR$79,$NN$79,0),IF($NP$79="Bell_Curve",$NN$79*(352-$NR$79+1)*($NS$79-352+1)/$NU$79,$NN$79/$NT$79)),0)</f>
        <v/>
      </c>
      <c r="MS79" s="402">
        <f>IF(AND(353&gt;=$NR$79,353&lt;=$NS$79),IF($NP$79="Single_Point",IF(353=$NR$79,$NN$79,0),IF($NP$79="Bell_Curve",$NN$79*(353-$NR$79+1)*($NS$79-353+1)/$NU$79,$NN$79/$NT$79)),0)</f>
        <v/>
      </c>
      <c r="MT79" s="402">
        <f>IF(AND(354&gt;=$NR$79,354&lt;=$NS$79),IF($NP$79="Single_Point",IF(354=$NR$79,$NN$79,0),IF($NP$79="Bell_Curve",$NN$79*(354-$NR$79+1)*($NS$79-354+1)/$NU$79,$NN$79/$NT$79)),0)</f>
        <v/>
      </c>
      <c r="MU79" s="402">
        <f>IF(AND(355&gt;=$NR$79,355&lt;=$NS$79),IF($NP$79="Single_Point",IF(355=$NR$79,$NN$79,0),IF($NP$79="Bell_Curve",$NN$79*(355-$NR$79+1)*($NS$79-355+1)/$NU$79,$NN$79/$NT$79)),0)</f>
        <v/>
      </c>
      <c r="MV79" s="402">
        <f>IF(AND(356&gt;=$NR$79,356&lt;=$NS$79),IF($NP$79="Single_Point",IF(356=$NR$79,$NN$79,0),IF($NP$79="Bell_Curve",$NN$79*(356-$NR$79+1)*($NS$79-356+1)/$NU$79,$NN$79/$NT$79)),0)</f>
        <v/>
      </c>
      <c r="MW79" s="402">
        <f>IF(AND(357&gt;=$NR$79,357&lt;=$NS$79),IF($NP$79="Single_Point",IF(357=$NR$79,$NN$79,0),IF($NP$79="Bell_Curve",$NN$79*(357-$NR$79+1)*($NS$79-357+1)/$NU$79,$NN$79/$NT$79)),0)</f>
        <v/>
      </c>
      <c r="MX79" s="402">
        <f>IF(AND(358&gt;=$NR$79,358&lt;=$NS$79),IF($NP$79="Single_Point",IF(358=$NR$79,$NN$79,0),IF($NP$79="Bell_Curve",$NN$79*(358-$NR$79+1)*($NS$79-358+1)/$NU$79,$NN$79/$NT$79)),0)</f>
        <v/>
      </c>
      <c r="MY79" s="402">
        <f>IF(AND(359&gt;=$NR$79,359&lt;=$NS$79),IF($NP$79="Single_Point",IF(359=$NR$79,$NN$79,0),IF($NP$79="Bell_Curve",$NN$79*(359-$NR$79+1)*($NS$79-359+1)/$NU$79,$NN$79/$NT$79)),0)</f>
        <v/>
      </c>
      <c r="MZ79" s="402">
        <f>IF(AND(360&gt;=$NR$79,360&lt;=$NS$79),IF($NP$79="Single_Point",IF(360=$NR$79,$NN$79,0),IF($NP$79="Bell_Curve",$NN$79*(360-$NR$79+1)*($NS$79-360+1)/$NU$79,$NN$79/$NT$79)),0)</f>
        <v/>
      </c>
      <c r="NA79" s="402">
        <f>IF(AND(361&gt;=$NR$79,361&lt;=$NS$79),IF($NP$79="Single_Point",IF(361=$NR$79,$NN$79,0),IF($NP$79="Bell_Curve",$NN$79*(361-$NR$79+1)*($NS$79-361+1)/$NU$79,$NN$79/$NT$79)),0)</f>
        <v/>
      </c>
      <c r="NB79" s="402">
        <f>IF(AND(362&gt;=$NR$79,362&lt;=$NS$79),IF($NP$79="Single_Point",IF(362=$NR$79,$NN$79,0),IF($NP$79="Bell_Curve",$NN$79*(362-$NR$79+1)*($NS$79-362+1)/$NU$79,$NN$79/$NT$79)),0)</f>
        <v/>
      </c>
      <c r="NC79" s="402">
        <f>IF(AND(363&gt;=$NR$79,363&lt;=$NS$79),IF($NP$79="Single_Point",IF(363=$NR$79,$NN$79,0),IF($NP$79="Bell_Curve",$NN$79*(363-$NR$79+1)*($NS$79-363+1)/$NU$79,$NN$79/$NT$79)),0)</f>
        <v/>
      </c>
      <c r="ND79" s="402">
        <f>IF(AND(364&gt;=$NR$79,364&lt;=$NS$79),IF($NP$79="Single_Point",IF(364=$NR$79,$NN$79,0),IF($NP$79="Bell_Curve",$NN$79*(364-$NR$79+1)*($NS$79-364+1)/$NU$79,$NN$79/$NT$79)),0)</f>
        <v/>
      </c>
      <c r="NE79" s="402">
        <f>IF(AND(365&gt;=$NR$79,365&lt;=$NS$79),IF($NP$79="Single_Point",IF(365=$NR$79,$NN$79,0),IF($NP$79="Bell_Curve",$NN$79*(365-$NR$79+1)*($NS$79-365+1)/$NU$79,$NN$79/$NT$79)),0)</f>
        <v/>
      </c>
      <c r="NF79" s="402">
        <f>IF(AND(366&gt;=$NR$79,366&lt;=$NS$79),IF($NP$79="Single_Point",IF(366=$NR$79,$NN$79,0),IF($NP$79="Bell_Curve",$NN$79*(366-$NR$79+1)*($NS$79-366+1)/$NU$79,$NN$79/$NT$79)),0)</f>
        <v/>
      </c>
      <c r="NG79" s="402">
        <f>IF(AND(367&gt;=$NR$79,367&lt;=$NS$79),IF($NP$79="Single_Point",IF(367=$NR$79,$NN$79,0),IF($NP$79="Bell_Curve",$NN$79*(367-$NR$79+1)*($NS$79-367+1)/$NU$79,$NN$79/$NT$79)),0)</f>
        <v/>
      </c>
      <c r="NH79" s="402">
        <f>IF(AND(368&gt;=$NR$79,368&lt;=$NS$79),IF($NP$79="Single_Point",IF(368=$NR$79,$NN$79,0),IF($NP$79="Bell_Curve",$NN$79*(368-$NR$79+1)*($NS$79-368+1)/$NU$79,$NN$79/$NT$79)),0)</f>
        <v/>
      </c>
      <c r="NI79" s="402">
        <f>IF(AND(369&gt;=$NR$79,369&lt;=$NS$79),IF($NP$79="Single_Point",IF(369=$NR$79,$NN$79,0),IF($NP$79="Bell_Curve",$NN$79*(369-$NR$79+1)*($NS$79-369+1)/$NU$79,$NN$79/$NT$79)),0)</f>
        <v/>
      </c>
      <c r="NJ79" s="402">
        <f>IF(AND(370&gt;=$NR$79,370&lt;=$NS$79),IF($NP$79="Single_Point",IF(370=$NR$79,$NN$79,0),IF($NP$79="Bell_Curve",$NN$79*(370-$NR$79+1)*($NS$79-370+1)/$NU$79,$NN$79/$NT$79)),0)</f>
        <v/>
      </c>
      <c r="NK79" s="402">
        <f>IF(AND(371&gt;=$NR$79,371&lt;=$NS$79),IF($NP$79="Single_Point",IF(371=$NR$79,$NN$79,0),IF($NP$79="Bell_Curve",$NN$79*(371-$NR$79+1)*($NS$79-371+1)/$NU$79,$NN$79/$NT$79)),0)</f>
        <v/>
      </c>
      <c r="NL79" s="402">
        <f>IF(AND(372&gt;=$NR$79,372&lt;=$NS$79),IF($NP$79="Single_Point",IF(372=$NR$79,$NN$79,0),IF($NP$79="Bell_Curve",$NN$79*(372-$NR$79+1)*($NS$79-372+1)/$NU$79,$NN$79/$NT$79)),0)</f>
        <v/>
      </c>
      <c r="NM79">
        <f>Budget!C78</f>
        <v/>
      </c>
      <c r="NN79">
        <f>Budget!J78</f>
        <v/>
      </c>
      <c r="NO79">
        <f>Budget!G78</f>
        <v/>
      </c>
      <c r="NP79">
        <f>Budget!H78</f>
        <v/>
      </c>
      <c r="NQ79">
        <f>Budget!I78</f>
        <v/>
      </c>
      <c r="NR79">
        <f>MAX(1,MIN(372,INDEX(MilestoneStart,MATCH(NO79,MilestoneNames,0))+NQ79))</f>
        <v/>
      </c>
      <c r="NS79">
        <f>MAX(NR79,MIN(372,INDEX(MilestoneEnd,MATCH(NO79,MilestoneNames,0))+NQ79))</f>
        <v/>
      </c>
      <c r="NT79">
        <f>NS79-NR79+1</f>
        <v/>
      </c>
      <c r="NU79">
        <f>NT79*(NT79+1)*(NT79+2)/6</f>
        <v/>
      </c>
    </row>
    <row r="80">
      <c r="B80" s="316">
        <f>Budget!B79</f>
        <v/>
      </c>
      <c r="D80" s="402">
        <f>SUM(E80:NL80)</f>
        <v/>
      </c>
      <c r="E80" s="402">
        <f>IF(AND(1&gt;=$NR$80,1&lt;=$NS$80),IF($NP$80="Single_Point",IF(1=$NR$80,$NN$80,0),IF($NP$80="Bell_Curve",$NN$80*(1-$NR$80+1)*($NS$80-1+1)/$NU$80,$NN$80/$NT$80)),0)</f>
        <v/>
      </c>
      <c r="F80" s="402">
        <f>IF(AND(2&gt;=$NR$80,2&lt;=$NS$80),IF($NP$80="Single_Point",IF(2=$NR$80,$NN$80,0),IF($NP$80="Bell_Curve",$NN$80*(2-$NR$80+1)*($NS$80-2+1)/$NU$80,$NN$80/$NT$80)),0)</f>
        <v/>
      </c>
      <c r="G80" s="402">
        <f>IF(AND(3&gt;=$NR$80,3&lt;=$NS$80),IF($NP$80="Single_Point",IF(3=$NR$80,$NN$80,0),IF($NP$80="Bell_Curve",$NN$80*(3-$NR$80+1)*($NS$80-3+1)/$NU$80,$NN$80/$NT$80)),0)</f>
        <v/>
      </c>
      <c r="H80" s="402">
        <f>IF(AND(4&gt;=$NR$80,4&lt;=$NS$80),IF($NP$80="Single_Point",IF(4=$NR$80,$NN$80,0),IF($NP$80="Bell_Curve",$NN$80*(4-$NR$80+1)*($NS$80-4+1)/$NU$80,$NN$80/$NT$80)),0)</f>
        <v/>
      </c>
      <c r="I80" s="402">
        <f>IF(AND(5&gt;=$NR$80,5&lt;=$NS$80),IF($NP$80="Single_Point",IF(5=$NR$80,$NN$80,0),IF($NP$80="Bell_Curve",$NN$80*(5-$NR$80+1)*($NS$80-5+1)/$NU$80,$NN$80/$NT$80)),0)</f>
        <v/>
      </c>
      <c r="J80" s="402">
        <f>IF(AND(6&gt;=$NR$80,6&lt;=$NS$80),IF($NP$80="Single_Point",IF(6=$NR$80,$NN$80,0),IF($NP$80="Bell_Curve",$NN$80*(6-$NR$80+1)*($NS$80-6+1)/$NU$80,$NN$80/$NT$80)),0)</f>
        <v/>
      </c>
      <c r="K80" s="402">
        <f>IF(AND(7&gt;=$NR$80,7&lt;=$NS$80),IF($NP$80="Single_Point",IF(7=$NR$80,$NN$80,0),IF($NP$80="Bell_Curve",$NN$80*(7-$NR$80+1)*($NS$80-7+1)/$NU$80,$NN$80/$NT$80)),0)</f>
        <v/>
      </c>
      <c r="L80" s="402">
        <f>IF(AND(8&gt;=$NR$80,8&lt;=$NS$80),IF($NP$80="Single_Point",IF(8=$NR$80,$NN$80,0),IF($NP$80="Bell_Curve",$NN$80*(8-$NR$80+1)*($NS$80-8+1)/$NU$80,$NN$80/$NT$80)),0)</f>
        <v/>
      </c>
      <c r="M80" s="402">
        <f>IF(AND(9&gt;=$NR$80,9&lt;=$NS$80),IF($NP$80="Single_Point",IF(9=$NR$80,$NN$80,0),IF($NP$80="Bell_Curve",$NN$80*(9-$NR$80+1)*($NS$80-9+1)/$NU$80,$NN$80/$NT$80)),0)</f>
        <v/>
      </c>
      <c r="N80" s="402">
        <f>IF(AND(10&gt;=$NR$80,10&lt;=$NS$80),IF($NP$80="Single_Point",IF(10=$NR$80,$NN$80,0),IF($NP$80="Bell_Curve",$NN$80*(10-$NR$80+1)*($NS$80-10+1)/$NU$80,$NN$80/$NT$80)),0)</f>
        <v/>
      </c>
      <c r="O80" s="402">
        <f>IF(AND(11&gt;=$NR$80,11&lt;=$NS$80),IF($NP$80="Single_Point",IF(11=$NR$80,$NN$80,0),IF($NP$80="Bell_Curve",$NN$80*(11-$NR$80+1)*($NS$80-11+1)/$NU$80,$NN$80/$NT$80)),0)</f>
        <v/>
      </c>
      <c r="P80" s="402">
        <f>IF(AND(12&gt;=$NR$80,12&lt;=$NS$80),IF($NP$80="Single_Point",IF(12=$NR$80,$NN$80,0),IF($NP$80="Bell_Curve",$NN$80*(12-$NR$80+1)*($NS$80-12+1)/$NU$80,$NN$80/$NT$80)),0)</f>
        <v/>
      </c>
      <c r="Q80" s="402">
        <f>IF(AND(13&gt;=$NR$80,13&lt;=$NS$80),IF($NP$80="Single_Point",IF(13=$NR$80,$NN$80,0),IF($NP$80="Bell_Curve",$NN$80*(13-$NR$80+1)*($NS$80-13+1)/$NU$80,$NN$80/$NT$80)),0)</f>
        <v/>
      </c>
      <c r="R80" s="402">
        <f>IF(AND(14&gt;=$NR$80,14&lt;=$NS$80),IF($NP$80="Single_Point",IF(14=$NR$80,$NN$80,0),IF($NP$80="Bell_Curve",$NN$80*(14-$NR$80+1)*($NS$80-14+1)/$NU$80,$NN$80/$NT$80)),0)</f>
        <v/>
      </c>
      <c r="S80" s="402">
        <f>IF(AND(15&gt;=$NR$80,15&lt;=$NS$80),IF($NP$80="Single_Point",IF(15=$NR$80,$NN$80,0),IF($NP$80="Bell_Curve",$NN$80*(15-$NR$80+1)*($NS$80-15+1)/$NU$80,$NN$80/$NT$80)),0)</f>
        <v/>
      </c>
      <c r="T80" s="402">
        <f>IF(AND(16&gt;=$NR$80,16&lt;=$NS$80),IF($NP$80="Single_Point",IF(16=$NR$80,$NN$80,0),IF($NP$80="Bell_Curve",$NN$80*(16-$NR$80+1)*($NS$80-16+1)/$NU$80,$NN$80/$NT$80)),0)</f>
        <v/>
      </c>
      <c r="U80" s="402">
        <f>IF(AND(17&gt;=$NR$80,17&lt;=$NS$80),IF($NP$80="Single_Point",IF(17=$NR$80,$NN$80,0),IF($NP$80="Bell_Curve",$NN$80*(17-$NR$80+1)*($NS$80-17+1)/$NU$80,$NN$80/$NT$80)),0)</f>
        <v/>
      </c>
      <c r="V80" s="402">
        <f>IF(AND(18&gt;=$NR$80,18&lt;=$NS$80),IF($NP$80="Single_Point",IF(18=$NR$80,$NN$80,0),IF($NP$80="Bell_Curve",$NN$80*(18-$NR$80+1)*($NS$80-18+1)/$NU$80,$NN$80/$NT$80)),0)</f>
        <v/>
      </c>
      <c r="W80" s="402">
        <f>IF(AND(19&gt;=$NR$80,19&lt;=$NS$80),IF($NP$80="Single_Point",IF(19=$NR$80,$NN$80,0),IF($NP$80="Bell_Curve",$NN$80*(19-$NR$80+1)*($NS$80-19+1)/$NU$80,$NN$80/$NT$80)),0)</f>
        <v/>
      </c>
      <c r="X80" s="402">
        <f>IF(AND(20&gt;=$NR$80,20&lt;=$NS$80),IF($NP$80="Single_Point",IF(20=$NR$80,$NN$80,0),IF($NP$80="Bell_Curve",$NN$80*(20-$NR$80+1)*($NS$80-20+1)/$NU$80,$NN$80/$NT$80)),0)</f>
        <v/>
      </c>
      <c r="Y80" s="402">
        <f>IF(AND(21&gt;=$NR$80,21&lt;=$NS$80),IF($NP$80="Single_Point",IF(21=$NR$80,$NN$80,0),IF($NP$80="Bell_Curve",$NN$80*(21-$NR$80+1)*($NS$80-21+1)/$NU$80,$NN$80/$NT$80)),0)</f>
        <v/>
      </c>
      <c r="Z80" s="402">
        <f>IF(AND(22&gt;=$NR$80,22&lt;=$NS$80),IF($NP$80="Single_Point",IF(22=$NR$80,$NN$80,0),IF($NP$80="Bell_Curve",$NN$80*(22-$NR$80+1)*($NS$80-22+1)/$NU$80,$NN$80/$NT$80)),0)</f>
        <v/>
      </c>
      <c r="AA80" s="402">
        <f>IF(AND(23&gt;=$NR$80,23&lt;=$NS$80),IF($NP$80="Single_Point",IF(23=$NR$80,$NN$80,0),IF($NP$80="Bell_Curve",$NN$80*(23-$NR$80+1)*($NS$80-23+1)/$NU$80,$NN$80/$NT$80)),0)</f>
        <v/>
      </c>
      <c r="AB80" s="402">
        <f>IF(AND(24&gt;=$NR$80,24&lt;=$NS$80),IF($NP$80="Single_Point",IF(24=$NR$80,$NN$80,0),IF($NP$80="Bell_Curve",$NN$80*(24-$NR$80+1)*($NS$80-24+1)/$NU$80,$NN$80/$NT$80)),0)</f>
        <v/>
      </c>
      <c r="AC80" s="402">
        <f>IF(AND(25&gt;=$NR$80,25&lt;=$NS$80),IF($NP$80="Single_Point",IF(25=$NR$80,$NN$80,0),IF($NP$80="Bell_Curve",$NN$80*(25-$NR$80+1)*($NS$80-25+1)/$NU$80,$NN$80/$NT$80)),0)</f>
        <v/>
      </c>
      <c r="AD80" s="402">
        <f>IF(AND(26&gt;=$NR$80,26&lt;=$NS$80),IF($NP$80="Single_Point",IF(26=$NR$80,$NN$80,0),IF($NP$80="Bell_Curve",$NN$80*(26-$NR$80+1)*($NS$80-26+1)/$NU$80,$NN$80/$NT$80)),0)</f>
        <v/>
      </c>
      <c r="AE80" s="402">
        <f>IF(AND(27&gt;=$NR$80,27&lt;=$NS$80),IF($NP$80="Single_Point",IF(27=$NR$80,$NN$80,0),IF($NP$80="Bell_Curve",$NN$80*(27-$NR$80+1)*($NS$80-27+1)/$NU$80,$NN$80/$NT$80)),0)</f>
        <v/>
      </c>
      <c r="AF80" s="402">
        <f>IF(AND(28&gt;=$NR$80,28&lt;=$NS$80),IF($NP$80="Single_Point",IF(28=$NR$80,$NN$80,0),IF($NP$80="Bell_Curve",$NN$80*(28-$NR$80+1)*($NS$80-28+1)/$NU$80,$NN$80/$NT$80)),0)</f>
        <v/>
      </c>
      <c r="AG80" s="402">
        <f>IF(AND(29&gt;=$NR$80,29&lt;=$NS$80),IF($NP$80="Single_Point",IF(29=$NR$80,$NN$80,0),IF($NP$80="Bell_Curve",$NN$80*(29-$NR$80+1)*($NS$80-29+1)/$NU$80,$NN$80/$NT$80)),0)</f>
        <v/>
      </c>
      <c r="AH80" s="402">
        <f>IF(AND(30&gt;=$NR$80,30&lt;=$NS$80),IF($NP$80="Single_Point",IF(30=$NR$80,$NN$80,0),IF($NP$80="Bell_Curve",$NN$80*(30-$NR$80+1)*($NS$80-30+1)/$NU$80,$NN$80/$NT$80)),0)</f>
        <v/>
      </c>
      <c r="AI80" s="402">
        <f>IF(AND(31&gt;=$NR$80,31&lt;=$NS$80),IF($NP$80="Single_Point",IF(31=$NR$80,$NN$80,0),IF($NP$80="Bell_Curve",$NN$80*(31-$NR$80+1)*($NS$80-31+1)/$NU$80,$NN$80/$NT$80)),0)</f>
        <v/>
      </c>
      <c r="AJ80" s="402">
        <f>IF(AND(32&gt;=$NR$80,32&lt;=$NS$80),IF($NP$80="Single_Point",IF(32=$NR$80,$NN$80,0),IF($NP$80="Bell_Curve",$NN$80*(32-$NR$80+1)*($NS$80-32+1)/$NU$80,$NN$80/$NT$80)),0)</f>
        <v/>
      </c>
      <c r="AK80" s="402">
        <f>IF(AND(33&gt;=$NR$80,33&lt;=$NS$80),IF($NP$80="Single_Point",IF(33=$NR$80,$NN$80,0),IF($NP$80="Bell_Curve",$NN$80*(33-$NR$80+1)*($NS$80-33+1)/$NU$80,$NN$80/$NT$80)),0)</f>
        <v/>
      </c>
      <c r="AL80" s="402">
        <f>IF(AND(34&gt;=$NR$80,34&lt;=$NS$80),IF($NP$80="Single_Point",IF(34=$NR$80,$NN$80,0),IF($NP$80="Bell_Curve",$NN$80*(34-$NR$80+1)*($NS$80-34+1)/$NU$80,$NN$80/$NT$80)),0)</f>
        <v/>
      </c>
      <c r="AM80" s="402">
        <f>IF(AND(35&gt;=$NR$80,35&lt;=$NS$80),IF($NP$80="Single_Point",IF(35=$NR$80,$NN$80,0),IF($NP$80="Bell_Curve",$NN$80*(35-$NR$80+1)*($NS$80-35+1)/$NU$80,$NN$80/$NT$80)),0)</f>
        <v/>
      </c>
      <c r="AN80" s="402">
        <f>IF(AND(36&gt;=$NR$80,36&lt;=$NS$80),IF($NP$80="Single_Point",IF(36=$NR$80,$NN$80,0),IF($NP$80="Bell_Curve",$NN$80*(36-$NR$80+1)*($NS$80-36+1)/$NU$80,$NN$80/$NT$80)),0)</f>
        <v/>
      </c>
      <c r="AO80" s="402">
        <f>IF(AND(37&gt;=$NR$80,37&lt;=$NS$80),IF($NP$80="Single_Point",IF(37=$NR$80,$NN$80,0),IF($NP$80="Bell_Curve",$NN$80*(37-$NR$80+1)*($NS$80-37+1)/$NU$80,$NN$80/$NT$80)),0)</f>
        <v/>
      </c>
      <c r="AP80" s="402">
        <f>IF(AND(38&gt;=$NR$80,38&lt;=$NS$80),IF($NP$80="Single_Point",IF(38=$NR$80,$NN$80,0),IF($NP$80="Bell_Curve",$NN$80*(38-$NR$80+1)*($NS$80-38+1)/$NU$80,$NN$80/$NT$80)),0)</f>
        <v/>
      </c>
      <c r="AQ80" s="402">
        <f>IF(AND(39&gt;=$NR$80,39&lt;=$NS$80),IF($NP$80="Single_Point",IF(39=$NR$80,$NN$80,0),IF($NP$80="Bell_Curve",$NN$80*(39-$NR$80+1)*($NS$80-39+1)/$NU$80,$NN$80/$NT$80)),0)</f>
        <v/>
      </c>
      <c r="AR80" s="402">
        <f>IF(AND(40&gt;=$NR$80,40&lt;=$NS$80),IF($NP$80="Single_Point",IF(40=$NR$80,$NN$80,0),IF($NP$80="Bell_Curve",$NN$80*(40-$NR$80+1)*($NS$80-40+1)/$NU$80,$NN$80/$NT$80)),0)</f>
        <v/>
      </c>
      <c r="AS80" s="402">
        <f>IF(AND(41&gt;=$NR$80,41&lt;=$NS$80),IF($NP$80="Single_Point",IF(41=$NR$80,$NN$80,0),IF($NP$80="Bell_Curve",$NN$80*(41-$NR$80+1)*($NS$80-41+1)/$NU$80,$NN$80/$NT$80)),0)</f>
        <v/>
      </c>
      <c r="AT80" s="402">
        <f>IF(AND(42&gt;=$NR$80,42&lt;=$NS$80),IF($NP$80="Single_Point",IF(42=$NR$80,$NN$80,0),IF($NP$80="Bell_Curve",$NN$80*(42-$NR$80+1)*($NS$80-42+1)/$NU$80,$NN$80/$NT$80)),0)</f>
        <v/>
      </c>
      <c r="AU80" s="402">
        <f>IF(AND(43&gt;=$NR$80,43&lt;=$NS$80),IF($NP$80="Single_Point",IF(43=$NR$80,$NN$80,0),IF($NP$80="Bell_Curve",$NN$80*(43-$NR$80+1)*($NS$80-43+1)/$NU$80,$NN$80/$NT$80)),0)</f>
        <v/>
      </c>
      <c r="AV80" s="402">
        <f>IF(AND(44&gt;=$NR$80,44&lt;=$NS$80),IF($NP$80="Single_Point",IF(44=$NR$80,$NN$80,0),IF($NP$80="Bell_Curve",$NN$80*(44-$NR$80+1)*($NS$80-44+1)/$NU$80,$NN$80/$NT$80)),0)</f>
        <v/>
      </c>
      <c r="AW80" s="402">
        <f>IF(AND(45&gt;=$NR$80,45&lt;=$NS$80),IF($NP$80="Single_Point",IF(45=$NR$80,$NN$80,0),IF($NP$80="Bell_Curve",$NN$80*(45-$NR$80+1)*($NS$80-45+1)/$NU$80,$NN$80/$NT$80)),0)</f>
        <v/>
      </c>
      <c r="AX80" s="402">
        <f>IF(AND(46&gt;=$NR$80,46&lt;=$NS$80),IF($NP$80="Single_Point",IF(46=$NR$80,$NN$80,0),IF($NP$80="Bell_Curve",$NN$80*(46-$NR$80+1)*($NS$80-46+1)/$NU$80,$NN$80/$NT$80)),0)</f>
        <v/>
      </c>
      <c r="AY80" s="402">
        <f>IF(AND(47&gt;=$NR$80,47&lt;=$NS$80),IF($NP$80="Single_Point",IF(47=$NR$80,$NN$80,0),IF($NP$80="Bell_Curve",$NN$80*(47-$NR$80+1)*($NS$80-47+1)/$NU$80,$NN$80/$NT$80)),0)</f>
        <v/>
      </c>
      <c r="AZ80" s="402">
        <f>IF(AND(48&gt;=$NR$80,48&lt;=$NS$80),IF($NP$80="Single_Point",IF(48=$NR$80,$NN$80,0),IF($NP$80="Bell_Curve",$NN$80*(48-$NR$80+1)*($NS$80-48+1)/$NU$80,$NN$80/$NT$80)),0)</f>
        <v/>
      </c>
      <c r="BA80" s="402">
        <f>IF(AND(49&gt;=$NR$80,49&lt;=$NS$80),IF($NP$80="Single_Point",IF(49=$NR$80,$NN$80,0),IF($NP$80="Bell_Curve",$NN$80*(49-$NR$80+1)*($NS$80-49+1)/$NU$80,$NN$80/$NT$80)),0)</f>
        <v/>
      </c>
      <c r="BB80" s="402">
        <f>IF(AND(50&gt;=$NR$80,50&lt;=$NS$80),IF($NP$80="Single_Point",IF(50=$NR$80,$NN$80,0),IF($NP$80="Bell_Curve",$NN$80*(50-$NR$80+1)*($NS$80-50+1)/$NU$80,$NN$80/$NT$80)),0)</f>
        <v/>
      </c>
      <c r="BC80" s="402">
        <f>IF(AND(51&gt;=$NR$80,51&lt;=$NS$80),IF($NP$80="Single_Point",IF(51=$NR$80,$NN$80,0),IF($NP$80="Bell_Curve",$NN$80*(51-$NR$80+1)*($NS$80-51+1)/$NU$80,$NN$80/$NT$80)),0)</f>
        <v/>
      </c>
      <c r="BD80" s="402">
        <f>IF(AND(52&gt;=$NR$80,52&lt;=$NS$80),IF($NP$80="Single_Point",IF(52=$NR$80,$NN$80,0),IF($NP$80="Bell_Curve",$NN$80*(52-$NR$80+1)*($NS$80-52+1)/$NU$80,$NN$80/$NT$80)),0)</f>
        <v/>
      </c>
      <c r="BE80" s="402">
        <f>IF(AND(53&gt;=$NR$80,53&lt;=$NS$80),IF($NP$80="Single_Point",IF(53=$NR$80,$NN$80,0),IF($NP$80="Bell_Curve",$NN$80*(53-$NR$80+1)*($NS$80-53+1)/$NU$80,$NN$80/$NT$80)),0)</f>
        <v/>
      </c>
      <c r="BF80" s="402">
        <f>IF(AND(54&gt;=$NR$80,54&lt;=$NS$80),IF($NP$80="Single_Point",IF(54=$NR$80,$NN$80,0),IF($NP$80="Bell_Curve",$NN$80*(54-$NR$80+1)*($NS$80-54+1)/$NU$80,$NN$80/$NT$80)),0)</f>
        <v/>
      </c>
      <c r="BG80" s="402">
        <f>IF(AND(55&gt;=$NR$80,55&lt;=$NS$80),IF($NP$80="Single_Point",IF(55=$NR$80,$NN$80,0),IF($NP$80="Bell_Curve",$NN$80*(55-$NR$80+1)*($NS$80-55+1)/$NU$80,$NN$80/$NT$80)),0)</f>
        <v/>
      </c>
      <c r="BH80" s="402">
        <f>IF(AND(56&gt;=$NR$80,56&lt;=$NS$80),IF($NP$80="Single_Point",IF(56=$NR$80,$NN$80,0),IF($NP$80="Bell_Curve",$NN$80*(56-$NR$80+1)*($NS$80-56+1)/$NU$80,$NN$80/$NT$80)),0)</f>
        <v/>
      </c>
      <c r="BI80" s="402">
        <f>IF(AND(57&gt;=$NR$80,57&lt;=$NS$80),IF($NP$80="Single_Point",IF(57=$NR$80,$NN$80,0),IF($NP$80="Bell_Curve",$NN$80*(57-$NR$80+1)*($NS$80-57+1)/$NU$80,$NN$80/$NT$80)),0)</f>
        <v/>
      </c>
      <c r="BJ80" s="402">
        <f>IF(AND(58&gt;=$NR$80,58&lt;=$NS$80),IF($NP$80="Single_Point",IF(58=$NR$80,$NN$80,0),IF($NP$80="Bell_Curve",$NN$80*(58-$NR$80+1)*($NS$80-58+1)/$NU$80,$NN$80/$NT$80)),0)</f>
        <v/>
      </c>
      <c r="BK80" s="402">
        <f>IF(AND(59&gt;=$NR$80,59&lt;=$NS$80),IF($NP$80="Single_Point",IF(59=$NR$80,$NN$80,0),IF($NP$80="Bell_Curve",$NN$80*(59-$NR$80+1)*($NS$80-59+1)/$NU$80,$NN$80/$NT$80)),0)</f>
        <v/>
      </c>
      <c r="BL80" s="402">
        <f>IF(AND(60&gt;=$NR$80,60&lt;=$NS$80),IF($NP$80="Single_Point",IF(60=$NR$80,$NN$80,0),IF($NP$80="Bell_Curve",$NN$80*(60-$NR$80+1)*($NS$80-60+1)/$NU$80,$NN$80/$NT$80)),0)</f>
        <v/>
      </c>
      <c r="BM80" s="402">
        <f>IF(AND(61&gt;=$NR$80,61&lt;=$NS$80),IF($NP$80="Single_Point",IF(61=$NR$80,$NN$80,0),IF($NP$80="Bell_Curve",$NN$80*(61-$NR$80+1)*($NS$80-61+1)/$NU$80,$NN$80/$NT$80)),0)</f>
        <v/>
      </c>
      <c r="BN80" s="402">
        <f>IF(AND(62&gt;=$NR$80,62&lt;=$NS$80),IF($NP$80="Single_Point",IF(62=$NR$80,$NN$80,0),IF($NP$80="Bell_Curve",$NN$80*(62-$NR$80+1)*($NS$80-62+1)/$NU$80,$NN$80/$NT$80)),0)</f>
        <v/>
      </c>
      <c r="BO80" s="402">
        <f>IF(AND(63&gt;=$NR$80,63&lt;=$NS$80),IF($NP$80="Single_Point",IF(63=$NR$80,$NN$80,0),IF($NP$80="Bell_Curve",$NN$80*(63-$NR$80+1)*($NS$80-63+1)/$NU$80,$NN$80/$NT$80)),0)</f>
        <v/>
      </c>
      <c r="BP80" s="402">
        <f>IF(AND(64&gt;=$NR$80,64&lt;=$NS$80),IF($NP$80="Single_Point",IF(64=$NR$80,$NN$80,0),IF($NP$80="Bell_Curve",$NN$80*(64-$NR$80+1)*($NS$80-64+1)/$NU$80,$NN$80/$NT$80)),0)</f>
        <v/>
      </c>
      <c r="BQ80" s="402">
        <f>IF(AND(65&gt;=$NR$80,65&lt;=$NS$80),IF($NP$80="Single_Point",IF(65=$NR$80,$NN$80,0),IF($NP$80="Bell_Curve",$NN$80*(65-$NR$80+1)*($NS$80-65+1)/$NU$80,$NN$80/$NT$80)),0)</f>
        <v/>
      </c>
      <c r="BR80" s="402">
        <f>IF(AND(66&gt;=$NR$80,66&lt;=$NS$80),IF($NP$80="Single_Point",IF(66=$NR$80,$NN$80,0),IF($NP$80="Bell_Curve",$NN$80*(66-$NR$80+1)*($NS$80-66+1)/$NU$80,$NN$80/$NT$80)),0)</f>
        <v/>
      </c>
      <c r="BS80" s="402">
        <f>IF(AND(67&gt;=$NR$80,67&lt;=$NS$80),IF($NP$80="Single_Point",IF(67=$NR$80,$NN$80,0),IF($NP$80="Bell_Curve",$NN$80*(67-$NR$80+1)*($NS$80-67+1)/$NU$80,$NN$80/$NT$80)),0)</f>
        <v/>
      </c>
      <c r="BT80" s="402">
        <f>IF(AND(68&gt;=$NR$80,68&lt;=$NS$80),IF($NP$80="Single_Point",IF(68=$NR$80,$NN$80,0),IF($NP$80="Bell_Curve",$NN$80*(68-$NR$80+1)*($NS$80-68+1)/$NU$80,$NN$80/$NT$80)),0)</f>
        <v/>
      </c>
      <c r="BU80" s="402">
        <f>IF(AND(69&gt;=$NR$80,69&lt;=$NS$80),IF($NP$80="Single_Point",IF(69=$NR$80,$NN$80,0),IF($NP$80="Bell_Curve",$NN$80*(69-$NR$80+1)*($NS$80-69+1)/$NU$80,$NN$80/$NT$80)),0)</f>
        <v/>
      </c>
      <c r="BV80" s="402">
        <f>IF(AND(70&gt;=$NR$80,70&lt;=$NS$80),IF($NP$80="Single_Point",IF(70=$NR$80,$NN$80,0),IF($NP$80="Bell_Curve",$NN$80*(70-$NR$80+1)*($NS$80-70+1)/$NU$80,$NN$80/$NT$80)),0)</f>
        <v/>
      </c>
      <c r="BW80" s="402">
        <f>IF(AND(71&gt;=$NR$80,71&lt;=$NS$80),IF($NP$80="Single_Point",IF(71=$NR$80,$NN$80,0),IF($NP$80="Bell_Curve",$NN$80*(71-$NR$80+1)*($NS$80-71+1)/$NU$80,$NN$80/$NT$80)),0)</f>
        <v/>
      </c>
      <c r="BX80" s="402">
        <f>IF(AND(72&gt;=$NR$80,72&lt;=$NS$80),IF($NP$80="Single_Point",IF(72=$NR$80,$NN$80,0),IF($NP$80="Bell_Curve",$NN$80*(72-$NR$80+1)*($NS$80-72+1)/$NU$80,$NN$80/$NT$80)),0)</f>
        <v/>
      </c>
      <c r="BY80" s="402">
        <f>IF(AND(73&gt;=$NR$80,73&lt;=$NS$80),IF($NP$80="Single_Point",IF(73=$NR$80,$NN$80,0),IF($NP$80="Bell_Curve",$NN$80*(73-$NR$80+1)*($NS$80-73+1)/$NU$80,$NN$80/$NT$80)),0)</f>
        <v/>
      </c>
      <c r="BZ80" s="402">
        <f>IF(AND(74&gt;=$NR$80,74&lt;=$NS$80),IF($NP$80="Single_Point",IF(74=$NR$80,$NN$80,0),IF($NP$80="Bell_Curve",$NN$80*(74-$NR$80+1)*($NS$80-74+1)/$NU$80,$NN$80/$NT$80)),0)</f>
        <v/>
      </c>
      <c r="CA80" s="402">
        <f>IF(AND(75&gt;=$NR$80,75&lt;=$NS$80),IF($NP$80="Single_Point",IF(75=$NR$80,$NN$80,0),IF($NP$80="Bell_Curve",$NN$80*(75-$NR$80+1)*($NS$80-75+1)/$NU$80,$NN$80/$NT$80)),0)</f>
        <v/>
      </c>
      <c r="CB80" s="402">
        <f>IF(AND(76&gt;=$NR$80,76&lt;=$NS$80),IF($NP$80="Single_Point",IF(76=$NR$80,$NN$80,0),IF($NP$80="Bell_Curve",$NN$80*(76-$NR$80+1)*($NS$80-76+1)/$NU$80,$NN$80/$NT$80)),0)</f>
        <v/>
      </c>
      <c r="CC80" s="402">
        <f>IF(AND(77&gt;=$NR$80,77&lt;=$NS$80),IF($NP$80="Single_Point",IF(77=$NR$80,$NN$80,0),IF($NP$80="Bell_Curve",$NN$80*(77-$NR$80+1)*($NS$80-77+1)/$NU$80,$NN$80/$NT$80)),0)</f>
        <v/>
      </c>
      <c r="CD80" s="402">
        <f>IF(AND(78&gt;=$NR$80,78&lt;=$NS$80),IF($NP$80="Single_Point",IF(78=$NR$80,$NN$80,0),IF($NP$80="Bell_Curve",$NN$80*(78-$NR$80+1)*($NS$80-78+1)/$NU$80,$NN$80/$NT$80)),0)</f>
        <v/>
      </c>
      <c r="CE80" s="402">
        <f>IF(AND(79&gt;=$NR$80,79&lt;=$NS$80),IF($NP$80="Single_Point",IF(79=$NR$80,$NN$80,0),IF($NP$80="Bell_Curve",$NN$80*(79-$NR$80+1)*($NS$80-79+1)/$NU$80,$NN$80/$NT$80)),0)</f>
        <v/>
      </c>
      <c r="CF80" s="402">
        <f>IF(AND(80&gt;=$NR$80,80&lt;=$NS$80),IF($NP$80="Single_Point",IF(80=$NR$80,$NN$80,0),IF($NP$80="Bell_Curve",$NN$80*(80-$NR$80+1)*($NS$80-80+1)/$NU$80,$NN$80/$NT$80)),0)</f>
        <v/>
      </c>
      <c r="CG80" s="402">
        <f>IF(AND(81&gt;=$NR$80,81&lt;=$NS$80),IF($NP$80="Single_Point",IF(81=$NR$80,$NN$80,0),IF($NP$80="Bell_Curve",$NN$80*(81-$NR$80+1)*($NS$80-81+1)/$NU$80,$NN$80/$NT$80)),0)</f>
        <v/>
      </c>
      <c r="CH80" s="402">
        <f>IF(AND(82&gt;=$NR$80,82&lt;=$NS$80),IF($NP$80="Single_Point",IF(82=$NR$80,$NN$80,0),IF($NP$80="Bell_Curve",$NN$80*(82-$NR$80+1)*($NS$80-82+1)/$NU$80,$NN$80/$NT$80)),0)</f>
        <v/>
      </c>
      <c r="CI80" s="402">
        <f>IF(AND(83&gt;=$NR$80,83&lt;=$NS$80),IF($NP$80="Single_Point",IF(83=$NR$80,$NN$80,0),IF($NP$80="Bell_Curve",$NN$80*(83-$NR$80+1)*($NS$80-83+1)/$NU$80,$NN$80/$NT$80)),0)</f>
        <v/>
      </c>
      <c r="CJ80" s="402">
        <f>IF(AND(84&gt;=$NR$80,84&lt;=$NS$80),IF($NP$80="Single_Point",IF(84=$NR$80,$NN$80,0),IF($NP$80="Bell_Curve",$NN$80*(84-$NR$80+1)*($NS$80-84+1)/$NU$80,$NN$80/$NT$80)),0)</f>
        <v/>
      </c>
      <c r="CK80" s="402">
        <f>IF(AND(85&gt;=$NR$80,85&lt;=$NS$80),IF($NP$80="Single_Point",IF(85=$NR$80,$NN$80,0),IF($NP$80="Bell_Curve",$NN$80*(85-$NR$80+1)*($NS$80-85+1)/$NU$80,$NN$80/$NT$80)),0)</f>
        <v/>
      </c>
      <c r="CL80" s="402">
        <f>IF(AND(86&gt;=$NR$80,86&lt;=$NS$80),IF($NP$80="Single_Point",IF(86=$NR$80,$NN$80,0),IF($NP$80="Bell_Curve",$NN$80*(86-$NR$80+1)*($NS$80-86+1)/$NU$80,$NN$80/$NT$80)),0)</f>
        <v/>
      </c>
      <c r="CM80" s="402">
        <f>IF(AND(87&gt;=$NR$80,87&lt;=$NS$80),IF($NP$80="Single_Point",IF(87=$NR$80,$NN$80,0),IF($NP$80="Bell_Curve",$NN$80*(87-$NR$80+1)*($NS$80-87+1)/$NU$80,$NN$80/$NT$80)),0)</f>
        <v/>
      </c>
      <c r="CN80" s="402">
        <f>IF(AND(88&gt;=$NR$80,88&lt;=$NS$80),IF($NP$80="Single_Point",IF(88=$NR$80,$NN$80,0),IF($NP$80="Bell_Curve",$NN$80*(88-$NR$80+1)*($NS$80-88+1)/$NU$80,$NN$80/$NT$80)),0)</f>
        <v/>
      </c>
      <c r="CO80" s="402">
        <f>IF(AND(89&gt;=$NR$80,89&lt;=$NS$80),IF($NP$80="Single_Point",IF(89=$NR$80,$NN$80,0),IF($NP$80="Bell_Curve",$NN$80*(89-$NR$80+1)*($NS$80-89+1)/$NU$80,$NN$80/$NT$80)),0)</f>
        <v/>
      </c>
      <c r="CP80" s="402">
        <f>IF(AND(90&gt;=$NR$80,90&lt;=$NS$80),IF($NP$80="Single_Point",IF(90=$NR$80,$NN$80,0),IF($NP$80="Bell_Curve",$NN$80*(90-$NR$80+1)*($NS$80-90+1)/$NU$80,$NN$80/$NT$80)),0)</f>
        <v/>
      </c>
      <c r="CQ80" s="402">
        <f>IF(AND(91&gt;=$NR$80,91&lt;=$NS$80),IF($NP$80="Single_Point",IF(91=$NR$80,$NN$80,0),IF($NP$80="Bell_Curve",$NN$80*(91-$NR$80+1)*($NS$80-91+1)/$NU$80,$NN$80/$NT$80)),0)</f>
        <v/>
      </c>
      <c r="CR80" s="402">
        <f>IF(AND(92&gt;=$NR$80,92&lt;=$NS$80),IF($NP$80="Single_Point",IF(92=$NR$80,$NN$80,0),IF($NP$80="Bell_Curve",$NN$80*(92-$NR$80+1)*($NS$80-92+1)/$NU$80,$NN$80/$NT$80)),0)</f>
        <v/>
      </c>
      <c r="CS80" s="402">
        <f>IF(AND(93&gt;=$NR$80,93&lt;=$NS$80),IF($NP$80="Single_Point",IF(93=$NR$80,$NN$80,0),IF($NP$80="Bell_Curve",$NN$80*(93-$NR$80+1)*($NS$80-93+1)/$NU$80,$NN$80/$NT$80)),0)</f>
        <v/>
      </c>
      <c r="CT80" s="402">
        <f>IF(AND(94&gt;=$NR$80,94&lt;=$NS$80),IF($NP$80="Single_Point",IF(94=$NR$80,$NN$80,0),IF($NP$80="Bell_Curve",$NN$80*(94-$NR$80+1)*($NS$80-94+1)/$NU$80,$NN$80/$NT$80)),0)</f>
        <v/>
      </c>
      <c r="CU80" s="402">
        <f>IF(AND(95&gt;=$NR$80,95&lt;=$NS$80),IF($NP$80="Single_Point",IF(95=$NR$80,$NN$80,0),IF($NP$80="Bell_Curve",$NN$80*(95-$NR$80+1)*($NS$80-95+1)/$NU$80,$NN$80/$NT$80)),0)</f>
        <v/>
      </c>
      <c r="CV80" s="402">
        <f>IF(AND(96&gt;=$NR$80,96&lt;=$NS$80),IF($NP$80="Single_Point",IF(96=$NR$80,$NN$80,0),IF($NP$80="Bell_Curve",$NN$80*(96-$NR$80+1)*($NS$80-96+1)/$NU$80,$NN$80/$NT$80)),0)</f>
        <v/>
      </c>
      <c r="CW80" s="402">
        <f>IF(AND(97&gt;=$NR$80,97&lt;=$NS$80),IF($NP$80="Single_Point",IF(97=$NR$80,$NN$80,0),IF($NP$80="Bell_Curve",$NN$80*(97-$NR$80+1)*($NS$80-97+1)/$NU$80,$NN$80/$NT$80)),0)</f>
        <v/>
      </c>
      <c r="CX80" s="402">
        <f>IF(AND(98&gt;=$NR$80,98&lt;=$NS$80),IF($NP$80="Single_Point",IF(98=$NR$80,$NN$80,0),IF($NP$80="Bell_Curve",$NN$80*(98-$NR$80+1)*($NS$80-98+1)/$NU$80,$NN$80/$NT$80)),0)</f>
        <v/>
      </c>
      <c r="CY80" s="402">
        <f>IF(AND(99&gt;=$NR$80,99&lt;=$NS$80),IF($NP$80="Single_Point",IF(99=$NR$80,$NN$80,0),IF($NP$80="Bell_Curve",$NN$80*(99-$NR$80+1)*($NS$80-99+1)/$NU$80,$NN$80/$NT$80)),0)</f>
        <v/>
      </c>
      <c r="CZ80" s="402">
        <f>IF(AND(100&gt;=$NR$80,100&lt;=$NS$80),IF($NP$80="Single_Point",IF(100=$NR$80,$NN$80,0),IF($NP$80="Bell_Curve",$NN$80*(100-$NR$80+1)*($NS$80-100+1)/$NU$80,$NN$80/$NT$80)),0)</f>
        <v/>
      </c>
      <c r="DA80" s="402">
        <f>IF(AND(101&gt;=$NR$80,101&lt;=$NS$80),IF($NP$80="Single_Point",IF(101=$NR$80,$NN$80,0),IF($NP$80="Bell_Curve",$NN$80*(101-$NR$80+1)*($NS$80-101+1)/$NU$80,$NN$80/$NT$80)),0)</f>
        <v/>
      </c>
      <c r="DB80" s="402">
        <f>IF(AND(102&gt;=$NR$80,102&lt;=$NS$80),IF($NP$80="Single_Point",IF(102=$NR$80,$NN$80,0),IF($NP$80="Bell_Curve",$NN$80*(102-$NR$80+1)*($NS$80-102+1)/$NU$80,$NN$80/$NT$80)),0)</f>
        <v/>
      </c>
      <c r="DC80" s="402">
        <f>IF(AND(103&gt;=$NR$80,103&lt;=$NS$80),IF($NP$80="Single_Point",IF(103=$NR$80,$NN$80,0),IF($NP$80="Bell_Curve",$NN$80*(103-$NR$80+1)*($NS$80-103+1)/$NU$80,$NN$80/$NT$80)),0)</f>
        <v/>
      </c>
      <c r="DD80" s="402">
        <f>IF(AND(104&gt;=$NR$80,104&lt;=$NS$80),IF($NP$80="Single_Point",IF(104=$NR$80,$NN$80,0),IF($NP$80="Bell_Curve",$NN$80*(104-$NR$80+1)*($NS$80-104+1)/$NU$80,$NN$80/$NT$80)),0)</f>
        <v/>
      </c>
      <c r="DE80" s="402">
        <f>IF(AND(105&gt;=$NR$80,105&lt;=$NS$80),IF($NP$80="Single_Point",IF(105=$NR$80,$NN$80,0),IF($NP$80="Bell_Curve",$NN$80*(105-$NR$80+1)*($NS$80-105+1)/$NU$80,$NN$80/$NT$80)),0)</f>
        <v/>
      </c>
      <c r="DF80" s="402">
        <f>IF(AND(106&gt;=$NR$80,106&lt;=$NS$80),IF($NP$80="Single_Point",IF(106=$NR$80,$NN$80,0),IF($NP$80="Bell_Curve",$NN$80*(106-$NR$80+1)*($NS$80-106+1)/$NU$80,$NN$80/$NT$80)),0)</f>
        <v/>
      </c>
      <c r="DG80" s="402">
        <f>IF(AND(107&gt;=$NR$80,107&lt;=$NS$80),IF($NP$80="Single_Point",IF(107=$NR$80,$NN$80,0),IF($NP$80="Bell_Curve",$NN$80*(107-$NR$80+1)*($NS$80-107+1)/$NU$80,$NN$80/$NT$80)),0)</f>
        <v/>
      </c>
      <c r="DH80" s="402">
        <f>IF(AND(108&gt;=$NR$80,108&lt;=$NS$80),IF($NP$80="Single_Point",IF(108=$NR$80,$NN$80,0),IF($NP$80="Bell_Curve",$NN$80*(108-$NR$80+1)*($NS$80-108+1)/$NU$80,$NN$80/$NT$80)),0)</f>
        <v/>
      </c>
      <c r="DI80" s="402">
        <f>IF(AND(109&gt;=$NR$80,109&lt;=$NS$80),IF($NP$80="Single_Point",IF(109=$NR$80,$NN$80,0),IF($NP$80="Bell_Curve",$NN$80*(109-$NR$80+1)*($NS$80-109+1)/$NU$80,$NN$80/$NT$80)),0)</f>
        <v/>
      </c>
      <c r="DJ80" s="402">
        <f>IF(AND(110&gt;=$NR$80,110&lt;=$NS$80),IF($NP$80="Single_Point",IF(110=$NR$80,$NN$80,0),IF($NP$80="Bell_Curve",$NN$80*(110-$NR$80+1)*($NS$80-110+1)/$NU$80,$NN$80/$NT$80)),0)</f>
        <v/>
      </c>
      <c r="DK80" s="402">
        <f>IF(AND(111&gt;=$NR$80,111&lt;=$NS$80),IF($NP$80="Single_Point",IF(111=$NR$80,$NN$80,0),IF($NP$80="Bell_Curve",$NN$80*(111-$NR$80+1)*($NS$80-111+1)/$NU$80,$NN$80/$NT$80)),0)</f>
        <v/>
      </c>
      <c r="DL80" s="402">
        <f>IF(AND(112&gt;=$NR$80,112&lt;=$NS$80),IF($NP$80="Single_Point",IF(112=$NR$80,$NN$80,0),IF($NP$80="Bell_Curve",$NN$80*(112-$NR$80+1)*($NS$80-112+1)/$NU$80,$NN$80/$NT$80)),0)</f>
        <v/>
      </c>
      <c r="DM80" s="402">
        <f>IF(AND(113&gt;=$NR$80,113&lt;=$NS$80),IF($NP$80="Single_Point",IF(113=$NR$80,$NN$80,0),IF($NP$80="Bell_Curve",$NN$80*(113-$NR$80+1)*($NS$80-113+1)/$NU$80,$NN$80/$NT$80)),0)</f>
        <v/>
      </c>
      <c r="DN80" s="402">
        <f>IF(AND(114&gt;=$NR$80,114&lt;=$NS$80),IF($NP$80="Single_Point",IF(114=$NR$80,$NN$80,0),IF($NP$80="Bell_Curve",$NN$80*(114-$NR$80+1)*($NS$80-114+1)/$NU$80,$NN$80/$NT$80)),0)</f>
        <v/>
      </c>
      <c r="DO80" s="402">
        <f>IF(AND(115&gt;=$NR$80,115&lt;=$NS$80),IF($NP$80="Single_Point",IF(115=$NR$80,$NN$80,0),IF($NP$80="Bell_Curve",$NN$80*(115-$NR$80+1)*($NS$80-115+1)/$NU$80,$NN$80/$NT$80)),0)</f>
        <v/>
      </c>
      <c r="DP80" s="402">
        <f>IF(AND(116&gt;=$NR$80,116&lt;=$NS$80),IF($NP$80="Single_Point",IF(116=$NR$80,$NN$80,0),IF($NP$80="Bell_Curve",$NN$80*(116-$NR$80+1)*($NS$80-116+1)/$NU$80,$NN$80/$NT$80)),0)</f>
        <v/>
      </c>
      <c r="DQ80" s="402">
        <f>IF(AND(117&gt;=$NR$80,117&lt;=$NS$80),IF($NP$80="Single_Point",IF(117=$NR$80,$NN$80,0),IF($NP$80="Bell_Curve",$NN$80*(117-$NR$80+1)*($NS$80-117+1)/$NU$80,$NN$80/$NT$80)),0)</f>
        <v/>
      </c>
      <c r="DR80" s="402">
        <f>IF(AND(118&gt;=$NR$80,118&lt;=$NS$80),IF($NP$80="Single_Point",IF(118=$NR$80,$NN$80,0),IF($NP$80="Bell_Curve",$NN$80*(118-$NR$80+1)*($NS$80-118+1)/$NU$80,$NN$80/$NT$80)),0)</f>
        <v/>
      </c>
      <c r="DS80" s="402">
        <f>IF(AND(119&gt;=$NR$80,119&lt;=$NS$80),IF($NP$80="Single_Point",IF(119=$NR$80,$NN$80,0),IF($NP$80="Bell_Curve",$NN$80*(119-$NR$80+1)*($NS$80-119+1)/$NU$80,$NN$80/$NT$80)),0)</f>
        <v/>
      </c>
      <c r="DT80" s="402">
        <f>IF(AND(120&gt;=$NR$80,120&lt;=$NS$80),IF($NP$80="Single_Point",IF(120=$NR$80,$NN$80,0),IF($NP$80="Bell_Curve",$NN$80*(120-$NR$80+1)*($NS$80-120+1)/$NU$80,$NN$80/$NT$80)),0)</f>
        <v/>
      </c>
      <c r="DU80" s="402">
        <f>IF(AND(121&gt;=$NR$80,121&lt;=$NS$80),IF($NP$80="Single_Point",IF(121=$NR$80,$NN$80,0),IF($NP$80="Bell_Curve",$NN$80*(121-$NR$80+1)*($NS$80-121+1)/$NU$80,$NN$80/$NT$80)),0)</f>
        <v/>
      </c>
      <c r="DV80" s="402">
        <f>IF(AND(122&gt;=$NR$80,122&lt;=$NS$80),IF($NP$80="Single_Point",IF(122=$NR$80,$NN$80,0),IF($NP$80="Bell_Curve",$NN$80*(122-$NR$80+1)*($NS$80-122+1)/$NU$80,$NN$80/$NT$80)),0)</f>
        <v/>
      </c>
      <c r="DW80" s="402">
        <f>IF(AND(123&gt;=$NR$80,123&lt;=$NS$80),IF($NP$80="Single_Point",IF(123=$NR$80,$NN$80,0),IF($NP$80="Bell_Curve",$NN$80*(123-$NR$80+1)*($NS$80-123+1)/$NU$80,$NN$80/$NT$80)),0)</f>
        <v/>
      </c>
      <c r="DX80" s="402">
        <f>IF(AND(124&gt;=$NR$80,124&lt;=$NS$80),IF($NP$80="Single_Point",IF(124=$NR$80,$NN$80,0),IF($NP$80="Bell_Curve",$NN$80*(124-$NR$80+1)*($NS$80-124+1)/$NU$80,$NN$80/$NT$80)),0)</f>
        <v/>
      </c>
      <c r="DY80" s="402">
        <f>IF(AND(125&gt;=$NR$80,125&lt;=$NS$80),IF($NP$80="Single_Point",IF(125=$NR$80,$NN$80,0),IF($NP$80="Bell_Curve",$NN$80*(125-$NR$80+1)*($NS$80-125+1)/$NU$80,$NN$80/$NT$80)),0)</f>
        <v/>
      </c>
      <c r="DZ80" s="402">
        <f>IF(AND(126&gt;=$NR$80,126&lt;=$NS$80),IF($NP$80="Single_Point",IF(126=$NR$80,$NN$80,0),IF($NP$80="Bell_Curve",$NN$80*(126-$NR$80+1)*($NS$80-126+1)/$NU$80,$NN$80/$NT$80)),0)</f>
        <v/>
      </c>
      <c r="EA80" s="402">
        <f>IF(AND(127&gt;=$NR$80,127&lt;=$NS$80),IF($NP$80="Single_Point",IF(127=$NR$80,$NN$80,0),IF($NP$80="Bell_Curve",$NN$80*(127-$NR$80+1)*($NS$80-127+1)/$NU$80,$NN$80/$NT$80)),0)</f>
        <v/>
      </c>
      <c r="EB80" s="402">
        <f>IF(AND(128&gt;=$NR$80,128&lt;=$NS$80),IF($NP$80="Single_Point",IF(128=$NR$80,$NN$80,0),IF($NP$80="Bell_Curve",$NN$80*(128-$NR$80+1)*($NS$80-128+1)/$NU$80,$NN$80/$NT$80)),0)</f>
        <v/>
      </c>
      <c r="EC80" s="402">
        <f>IF(AND(129&gt;=$NR$80,129&lt;=$NS$80),IF($NP$80="Single_Point",IF(129=$NR$80,$NN$80,0),IF($NP$80="Bell_Curve",$NN$80*(129-$NR$80+1)*($NS$80-129+1)/$NU$80,$NN$80/$NT$80)),0)</f>
        <v/>
      </c>
      <c r="ED80" s="402">
        <f>IF(AND(130&gt;=$NR$80,130&lt;=$NS$80),IF($NP$80="Single_Point",IF(130=$NR$80,$NN$80,0),IF($NP$80="Bell_Curve",$NN$80*(130-$NR$80+1)*($NS$80-130+1)/$NU$80,$NN$80/$NT$80)),0)</f>
        <v/>
      </c>
      <c r="EE80" s="402">
        <f>IF(AND(131&gt;=$NR$80,131&lt;=$NS$80),IF($NP$80="Single_Point",IF(131=$NR$80,$NN$80,0),IF($NP$80="Bell_Curve",$NN$80*(131-$NR$80+1)*($NS$80-131+1)/$NU$80,$NN$80/$NT$80)),0)</f>
        <v/>
      </c>
      <c r="EF80" s="402">
        <f>IF(AND(132&gt;=$NR$80,132&lt;=$NS$80),IF($NP$80="Single_Point",IF(132=$NR$80,$NN$80,0),IF($NP$80="Bell_Curve",$NN$80*(132-$NR$80+1)*($NS$80-132+1)/$NU$80,$NN$80/$NT$80)),0)</f>
        <v/>
      </c>
      <c r="EG80" s="402">
        <f>IF(AND(133&gt;=$NR$80,133&lt;=$NS$80),IF($NP$80="Single_Point",IF(133=$NR$80,$NN$80,0),IF($NP$80="Bell_Curve",$NN$80*(133-$NR$80+1)*($NS$80-133+1)/$NU$80,$NN$80/$NT$80)),0)</f>
        <v/>
      </c>
      <c r="EH80" s="402">
        <f>IF(AND(134&gt;=$NR$80,134&lt;=$NS$80),IF($NP$80="Single_Point",IF(134=$NR$80,$NN$80,0),IF($NP$80="Bell_Curve",$NN$80*(134-$NR$80+1)*($NS$80-134+1)/$NU$80,$NN$80/$NT$80)),0)</f>
        <v/>
      </c>
      <c r="EI80" s="402">
        <f>IF(AND(135&gt;=$NR$80,135&lt;=$NS$80),IF($NP$80="Single_Point",IF(135=$NR$80,$NN$80,0),IF($NP$80="Bell_Curve",$NN$80*(135-$NR$80+1)*($NS$80-135+1)/$NU$80,$NN$80/$NT$80)),0)</f>
        <v/>
      </c>
      <c r="EJ80" s="402">
        <f>IF(AND(136&gt;=$NR$80,136&lt;=$NS$80),IF($NP$80="Single_Point",IF(136=$NR$80,$NN$80,0),IF($NP$80="Bell_Curve",$NN$80*(136-$NR$80+1)*($NS$80-136+1)/$NU$80,$NN$80/$NT$80)),0)</f>
        <v/>
      </c>
      <c r="EK80" s="402">
        <f>IF(AND(137&gt;=$NR$80,137&lt;=$NS$80),IF($NP$80="Single_Point",IF(137=$NR$80,$NN$80,0),IF($NP$80="Bell_Curve",$NN$80*(137-$NR$80+1)*($NS$80-137+1)/$NU$80,$NN$80/$NT$80)),0)</f>
        <v/>
      </c>
      <c r="EL80" s="402">
        <f>IF(AND(138&gt;=$NR$80,138&lt;=$NS$80),IF($NP$80="Single_Point",IF(138=$NR$80,$NN$80,0),IF($NP$80="Bell_Curve",$NN$80*(138-$NR$80+1)*($NS$80-138+1)/$NU$80,$NN$80/$NT$80)),0)</f>
        <v/>
      </c>
      <c r="EM80" s="402">
        <f>IF(AND(139&gt;=$NR$80,139&lt;=$NS$80),IF($NP$80="Single_Point",IF(139=$NR$80,$NN$80,0),IF($NP$80="Bell_Curve",$NN$80*(139-$NR$80+1)*($NS$80-139+1)/$NU$80,$NN$80/$NT$80)),0)</f>
        <v/>
      </c>
      <c r="EN80" s="402">
        <f>IF(AND(140&gt;=$NR$80,140&lt;=$NS$80),IF($NP$80="Single_Point",IF(140=$NR$80,$NN$80,0),IF($NP$80="Bell_Curve",$NN$80*(140-$NR$80+1)*($NS$80-140+1)/$NU$80,$NN$80/$NT$80)),0)</f>
        <v/>
      </c>
      <c r="EO80" s="402">
        <f>IF(AND(141&gt;=$NR$80,141&lt;=$NS$80),IF($NP$80="Single_Point",IF(141=$NR$80,$NN$80,0),IF($NP$80="Bell_Curve",$NN$80*(141-$NR$80+1)*($NS$80-141+1)/$NU$80,$NN$80/$NT$80)),0)</f>
        <v/>
      </c>
      <c r="EP80" s="402">
        <f>IF(AND(142&gt;=$NR$80,142&lt;=$NS$80),IF($NP$80="Single_Point",IF(142=$NR$80,$NN$80,0),IF($NP$80="Bell_Curve",$NN$80*(142-$NR$80+1)*($NS$80-142+1)/$NU$80,$NN$80/$NT$80)),0)</f>
        <v/>
      </c>
      <c r="EQ80" s="402">
        <f>IF(AND(143&gt;=$NR$80,143&lt;=$NS$80),IF($NP$80="Single_Point",IF(143=$NR$80,$NN$80,0),IF($NP$80="Bell_Curve",$NN$80*(143-$NR$80+1)*($NS$80-143+1)/$NU$80,$NN$80/$NT$80)),0)</f>
        <v/>
      </c>
      <c r="ER80" s="402">
        <f>IF(AND(144&gt;=$NR$80,144&lt;=$NS$80),IF($NP$80="Single_Point",IF(144=$NR$80,$NN$80,0),IF($NP$80="Bell_Curve",$NN$80*(144-$NR$80+1)*($NS$80-144+1)/$NU$80,$NN$80/$NT$80)),0)</f>
        <v/>
      </c>
      <c r="ES80" s="402">
        <f>IF(AND(145&gt;=$NR$80,145&lt;=$NS$80),IF($NP$80="Single_Point",IF(145=$NR$80,$NN$80,0),IF($NP$80="Bell_Curve",$NN$80*(145-$NR$80+1)*($NS$80-145+1)/$NU$80,$NN$80/$NT$80)),0)</f>
        <v/>
      </c>
      <c r="ET80" s="402">
        <f>IF(AND(146&gt;=$NR$80,146&lt;=$NS$80),IF($NP$80="Single_Point",IF(146=$NR$80,$NN$80,0),IF($NP$80="Bell_Curve",$NN$80*(146-$NR$80+1)*($NS$80-146+1)/$NU$80,$NN$80/$NT$80)),0)</f>
        <v/>
      </c>
      <c r="EU80" s="402">
        <f>IF(AND(147&gt;=$NR$80,147&lt;=$NS$80),IF($NP$80="Single_Point",IF(147=$NR$80,$NN$80,0),IF($NP$80="Bell_Curve",$NN$80*(147-$NR$80+1)*($NS$80-147+1)/$NU$80,$NN$80/$NT$80)),0)</f>
        <v/>
      </c>
      <c r="EV80" s="402">
        <f>IF(AND(148&gt;=$NR$80,148&lt;=$NS$80),IF($NP$80="Single_Point",IF(148=$NR$80,$NN$80,0),IF($NP$80="Bell_Curve",$NN$80*(148-$NR$80+1)*($NS$80-148+1)/$NU$80,$NN$80/$NT$80)),0)</f>
        <v/>
      </c>
      <c r="EW80" s="402">
        <f>IF(AND(149&gt;=$NR$80,149&lt;=$NS$80),IF($NP$80="Single_Point",IF(149=$NR$80,$NN$80,0),IF($NP$80="Bell_Curve",$NN$80*(149-$NR$80+1)*($NS$80-149+1)/$NU$80,$NN$80/$NT$80)),0)</f>
        <v/>
      </c>
      <c r="EX80" s="402">
        <f>IF(AND(150&gt;=$NR$80,150&lt;=$NS$80),IF($NP$80="Single_Point",IF(150=$NR$80,$NN$80,0),IF($NP$80="Bell_Curve",$NN$80*(150-$NR$80+1)*($NS$80-150+1)/$NU$80,$NN$80/$NT$80)),0)</f>
        <v/>
      </c>
      <c r="EY80" s="402">
        <f>IF(AND(151&gt;=$NR$80,151&lt;=$NS$80),IF($NP$80="Single_Point",IF(151=$NR$80,$NN$80,0),IF($NP$80="Bell_Curve",$NN$80*(151-$NR$80+1)*($NS$80-151+1)/$NU$80,$NN$80/$NT$80)),0)</f>
        <v/>
      </c>
      <c r="EZ80" s="402">
        <f>IF(AND(152&gt;=$NR$80,152&lt;=$NS$80),IF($NP$80="Single_Point",IF(152=$NR$80,$NN$80,0),IF($NP$80="Bell_Curve",$NN$80*(152-$NR$80+1)*($NS$80-152+1)/$NU$80,$NN$80/$NT$80)),0)</f>
        <v/>
      </c>
      <c r="FA80" s="402">
        <f>IF(AND(153&gt;=$NR$80,153&lt;=$NS$80),IF($NP$80="Single_Point",IF(153=$NR$80,$NN$80,0),IF($NP$80="Bell_Curve",$NN$80*(153-$NR$80+1)*($NS$80-153+1)/$NU$80,$NN$80/$NT$80)),0)</f>
        <v/>
      </c>
      <c r="FB80" s="402">
        <f>IF(AND(154&gt;=$NR$80,154&lt;=$NS$80),IF($NP$80="Single_Point",IF(154=$NR$80,$NN$80,0),IF($NP$80="Bell_Curve",$NN$80*(154-$NR$80+1)*($NS$80-154+1)/$NU$80,$NN$80/$NT$80)),0)</f>
        <v/>
      </c>
      <c r="FC80" s="402">
        <f>IF(AND(155&gt;=$NR$80,155&lt;=$NS$80),IF($NP$80="Single_Point",IF(155=$NR$80,$NN$80,0),IF($NP$80="Bell_Curve",$NN$80*(155-$NR$80+1)*($NS$80-155+1)/$NU$80,$NN$80/$NT$80)),0)</f>
        <v/>
      </c>
      <c r="FD80" s="402">
        <f>IF(AND(156&gt;=$NR$80,156&lt;=$NS$80),IF($NP$80="Single_Point",IF(156=$NR$80,$NN$80,0),IF($NP$80="Bell_Curve",$NN$80*(156-$NR$80+1)*($NS$80-156+1)/$NU$80,$NN$80/$NT$80)),0)</f>
        <v/>
      </c>
      <c r="FE80" s="402">
        <f>IF(AND(157&gt;=$NR$80,157&lt;=$NS$80),IF($NP$80="Single_Point",IF(157=$NR$80,$NN$80,0),IF($NP$80="Bell_Curve",$NN$80*(157-$NR$80+1)*($NS$80-157+1)/$NU$80,$NN$80/$NT$80)),0)</f>
        <v/>
      </c>
      <c r="FF80" s="402">
        <f>IF(AND(158&gt;=$NR$80,158&lt;=$NS$80),IF($NP$80="Single_Point",IF(158=$NR$80,$NN$80,0),IF($NP$80="Bell_Curve",$NN$80*(158-$NR$80+1)*($NS$80-158+1)/$NU$80,$NN$80/$NT$80)),0)</f>
        <v/>
      </c>
      <c r="FG80" s="402">
        <f>IF(AND(159&gt;=$NR$80,159&lt;=$NS$80),IF($NP$80="Single_Point",IF(159=$NR$80,$NN$80,0),IF($NP$80="Bell_Curve",$NN$80*(159-$NR$80+1)*($NS$80-159+1)/$NU$80,$NN$80/$NT$80)),0)</f>
        <v/>
      </c>
      <c r="FH80" s="402">
        <f>IF(AND(160&gt;=$NR$80,160&lt;=$NS$80),IF($NP$80="Single_Point",IF(160=$NR$80,$NN$80,0),IF($NP$80="Bell_Curve",$NN$80*(160-$NR$80+1)*($NS$80-160+1)/$NU$80,$NN$80/$NT$80)),0)</f>
        <v/>
      </c>
      <c r="FI80" s="402">
        <f>IF(AND(161&gt;=$NR$80,161&lt;=$NS$80),IF($NP$80="Single_Point",IF(161=$NR$80,$NN$80,0),IF($NP$80="Bell_Curve",$NN$80*(161-$NR$80+1)*($NS$80-161+1)/$NU$80,$NN$80/$NT$80)),0)</f>
        <v/>
      </c>
      <c r="FJ80" s="402">
        <f>IF(AND(162&gt;=$NR$80,162&lt;=$NS$80),IF($NP$80="Single_Point",IF(162=$NR$80,$NN$80,0),IF($NP$80="Bell_Curve",$NN$80*(162-$NR$80+1)*($NS$80-162+1)/$NU$80,$NN$80/$NT$80)),0)</f>
        <v/>
      </c>
      <c r="FK80" s="402">
        <f>IF(AND(163&gt;=$NR$80,163&lt;=$NS$80),IF($NP$80="Single_Point",IF(163=$NR$80,$NN$80,0),IF($NP$80="Bell_Curve",$NN$80*(163-$NR$80+1)*($NS$80-163+1)/$NU$80,$NN$80/$NT$80)),0)</f>
        <v/>
      </c>
      <c r="FL80" s="402">
        <f>IF(AND(164&gt;=$NR$80,164&lt;=$NS$80),IF($NP$80="Single_Point",IF(164=$NR$80,$NN$80,0),IF($NP$80="Bell_Curve",$NN$80*(164-$NR$80+1)*($NS$80-164+1)/$NU$80,$NN$80/$NT$80)),0)</f>
        <v/>
      </c>
      <c r="FM80" s="402">
        <f>IF(AND(165&gt;=$NR$80,165&lt;=$NS$80),IF($NP$80="Single_Point",IF(165=$NR$80,$NN$80,0),IF($NP$80="Bell_Curve",$NN$80*(165-$NR$80+1)*($NS$80-165+1)/$NU$80,$NN$80/$NT$80)),0)</f>
        <v/>
      </c>
      <c r="FN80" s="402">
        <f>IF(AND(166&gt;=$NR$80,166&lt;=$NS$80),IF($NP$80="Single_Point",IF(166=$NR$80,$NN$80,0),IF($NP$80="Bell_Curve",$NN$80*(166-$NR$80+1)*($NS$80-166+1)/$NU$80,$NN$80/$NT$80)),0)</f>
        <v/>
      </c>
      <c r="FO80" s="402">
        <f>IF(AND(167&gt;=$NR$80,167&lt;=$NS$80),IF($NP$80="Single_Point",IF(167=$NR$80,$NN$80,0),IF($NP$80="Bell_Curve",$NN$80*(167-$NR$80+1)*($NS$80-167+1)/$NU$80,$NN$80/$NT$80)),0)</f>
        <v/>
      </c>
      <c r="FP80" s="402">
        <f>IF(AND(168&gt;=$NR$80,168&lt;=$NS$80),IF($NP$80="Single_Point",IF(168=$NR$80,$NN$80,0),IF($NP$80="Bell_Curve",$NN$80*(168-$NR$80+1)*($NS$80-168+1)/$NU$80,$NN$80/$NT$80)),0)</f>
        <v/>
      </c>
      <c r="FQ80" s="402">
        <f>IF(AND(169&gt;=$NR$80,169&lt;=$NS$80),IF($NP$80="Single_Point",IF(169=$NR$80,$NN$80,0),IF($NP$80="Bell_Curve",$NN$80*(169-$NR$80+1)*($NS$80-169+1)/$NU$80,$NN$80/$NT$80)),0)</f>
        <v/>
      </c>
      <c r="FR80" s="402">
        <f>IF(AND(170&gt;=$NR$80,170&lt;=$NS$80),IF($NP$80="Single_Point",IF(170=$NR$80,$NN$80,0),IF($NP$80="Bell_Curve",$NN$80*(170-$NR$80+1)*($NS$80-170+1)/$NU$80,$NN$80/$NT$80)),0)</f>
        <v/>
      </c>
      <c r="FS80" s="402">
        <f>IF(AND(171&gt;=$NR$80,171&lt;=$NS$80),IF($NP$80="Single_Point",IF(171=$NR$80,$NN$80,0),IF($NP$80="Bell_Curve",$NN$80*(171-$NR$80+1)*($NS$80-171+1)/$NU$80,$NN$80/$NT$80)),0)</f>
        <v/>
      </c>
      <c r="FT80" s="402">
        <f>IF(AND(172&gt;=$NR$80,172&lt;=$NS$80),IF($NP$80="Single_Point",IF(172=$NR$80,$NN$80,0),IF($NP$80="Bell_Curve",$NN$80*(172-$NR$80+1)*($NS$80-172+1)/$NU$80,$NN$80/$NT$80)),0)</f>
        <v/>
      </c>
      <c r="FU80" s="402">
        <f>IF(AND(173&gt;=$NR$80,173&lt;=$NS$80),IF($NP$80="Single_Point",IF(173=$NR$80,$NN$80,0),IF($NP$80="Bell_Curve",$NN$80*(173-$NR$80+1)*($NS$80-173+1)/$NU$80,$NN$80/$NT$80)),0)</f>
        <v/>
      </c>
      <c r="FV80" s="402">
        <f>IF(AND(174&gt;=$NR$80,174&lt;=$NS$80),IF($NP$80="Single_Point",IF(174=$NR$80,$NN$80,0),IF($NP$80="Bell_Curve",$NN$80*(174-$NR$80+1)*($NS$80-174+1)/$NU$80,$NN$80/$NT$80)),0)</f>
        <v/>
      </c>
      <c r="FW80" s="402">
        <f>IF(AND(175&gt;=$NR$80,175&lt;=$NS$80),IF($NP$80="Single_Point",IF(175=$NR$80,$NN$80,0),IF($NP$80="Bell_Curve",$NN$80*(175-$NR$80+1)*($NS$80-175+1)/$NU$80,$NN$80/$NT$80)),0)</f>
        <v/>
      </c>
      <c r="FX80" s="402">
        <f>IF(AND(176&gt;=$NR$80,176&lt;=$NS$80),IF($NP$80="Single_Point",IF(176=$NR$80,$NN$80,0),IF($NP$80="Bell_Curve",$NN$80*(176-$NR$80+1)*($NS$80-176+1)/$NU$80,$NN$80/$NT$80)),0)</f>
        <v/>
      </c>
      <c r="FY80" s="402">
        <f>IF(AND(177&gt;=$NR$80,177&lt;=$NS$80),IF($NP$80="Single_Point",IF(177=$NR$80,$NN$80,0),IF($NP$80="Bell_Curve",$NN$80*(177-$NR$80+1)*($NS$80-177+1)/$NU$80,$NN$80/$NT$80)),0)</f>
        <v/>
      </c>
      <c r="FZ80" s="402">
        <f>IF(AND(178&gt;=$NR$80,178&lt;=$NS$80),IF($NP$80="Single_Point",IF(178=$NR$80,$NN$80,0),IF($NP$80="Bell_Curve",$NN$80*(178-$NR$80+1)*($NS$80-178+1)/$NU$80,$NN$80/$NT$80)),0)</f>
        <v/>
      </c>
      <c r="GA80" s="402">
        <f>IF(AND(179&gt;=$NR$80,179&lt;=$NS$80),IF($NP$80="Single_Point",IF(179=$NR$80,$NN$80,0),IF($NP$80="Bell_Curve",$NN$80*(179-$NR$80+1)*($NS$80-179+1)/$NU$80,$NN$80/$NT$80)),0)</f>
        <v/>
      </c>
      <c r="GB80" s="402">
        <f>IF(AND(180&gt;=$NR$80,180&lt;=$NS$80),IF($NP$80="Single_Point",IF(180=$NR$80,$NN$80,0),IF($NP$80="Bell_Curve",$NN$80*(180-$NR$80+1)*($NS$80-180+1)/$NU$80,$NN$80/$NT$80)),0)</f>
        <v/>
      </c>
      <c r="GC80" s="402">
        <f>IF(AND(181&gt;=$NR$80,181&lt;=$NS$80),IF($NP$80="Single_Point",IF(181=$NR$80,$NN$80,0),IF($NP$80="Bell_Curve",$NN$80*(181-$NR$80+1)*($NS$80-181+1)/$NU$80,$NN$80/$NT$80)),0)</f>
        <v/>
      </c>
      <c r="GD80" s="402">
        <f>IF(AND(182&gt;=$NR$80,182&lt;=$NS$80),IF($NP$80="Single_Point",IF(182=$NR$80,$NN$80,0),IF($NP$80="Bell_Curve",$NN$80*(182-$NR$80+1)*($NS$80-182+1)/$NU$80,$NN$80/$NT$80)),0)</f>
        <v/>
      </c>
      <c r="GE80" s="402">
        <f>IF(AND(183&gt;=$NR$80,183&lt;=$NS$80),IF($NP$80="Single_Point",IF(183=$NR$80,$NN$80,0),IF($NP$80="Bell_Curve",$NN$80*(183-$NR$80+1)*($NS$80-183+1)/$NU$80,$NN$80/$NT$80)),0)</f>
        <v/>
      </c>
      <c r="GF80" s="402">
        <f>IF(AND(184&gt;=$NR$80,184&lt;=$NS$80),IF($NP$80="Single_Point",IF(184=$NR$80,$NN$80,0),IF($NP$80="Bell_Curve",$NN$80*(184-$NR$80+1)*($NS$80-184+1)/$NU$80,$NN$80/$NT$80)),0)</f>
        <v/>
      </c>
      <c r="GG80" s="402">
        <f>IF(AND(185&gt;=$NR$80,185&lt;=$NS$80),IF($NP$80="Single_Point",IF(185=$NR$80,$NN$80,0),IF($NP$80="Bell_Curve",$NN$80*(185-$NR$80+1)*($NS$80-185+1)/$NU$80,$NN$80/$NT$80)),0)</f>
        <v/>
      </c>
      <c r="GH80" s="402">
        <f>IF(AND(186&gt;=$NR$80,186&lt;=$NS$80),IF($NP$80="Single_Point",IF(186=$NR$80,$NN$80,0),IF($NP$80="Bell_Curve",$NN$80*(186-$NR$80+1)*($NS$80-186+1)/$NU$80,$NN$80/$NT$80)),0)</f>
        <v/>
      </c>
      <c r="GI80" s="402">
        <f>IF(AND(187&gt;=$NR$80,187&lt;=$NS$80),IF($NP$80="Single_Point",IF(187=$NR$80,$NN$80,0),IF($NP$80="Bell_Curve",$NN$80*(187-$NR$80+1)*($NS$80-187+1)/$NU$80,$NN$80/$NT$80)),0)</f>
        <v/>
      </c>
      <c r="GJ80" s="402">
        <f>IF(AND(188&gt;=$NR$80,188&lt;=$NS$80),IF($NP$80="Single_Point",IF(188=$NR$80,$NN$80,0),IF($NP$80="Bell_Curve",$NN$80*(188-$NR$80+1)*($NS$80-188+1)/$NU$80,$NN$80/$NT$80)),0)</f>
        <v/>
      </c>
      <c r="GK80" s="402">
        <f>IF(AND(189&gt;=$NR$80,189&lt;=$NS$80),IF($NP$80="Single_Point",IF(189=$NR$80,$NN$80,0),IF($NP$80="Bell_Curve",$NN$80*(189-$NR$80+1)*($NS$80-189+1)/$NU$80,$NN$80/$NT$80)),0)</f>
        <v/>
      </c>
      <c r="GL80" s="402">
        <f>IF(AND(190&gt;=$NR$80,190&lt;=$NS$80),IF($NP$80="Single_Point",IF(190=$NR$80,$NN$80,0),IF($NP$80="Bell_Curve",$NN$80*(190-$NR$80+1)*($NS$80-190+1)/$NU$80,$NN$80/$NT$80)),0)</f>
        <v/>
      </c>
      <c r="GM80" s="402">
        <f>IF(AND(191&gt;=$NR$80,191&lt;=$NS$80),IF($NP$80="Single_Point",IF(191=$NR$80,$NN$80,0),IF($NP$80="Bell_Curve",$NN$80*(191-$NR$80+1)*($NS$80-191+1)/$NU$80,$NN$80/$NT$80)),0)</f>
        <v/>
      </c>
      <c r="GN80" s="402">
        <f>IF(AND(192&gt;=$NR$80,192&lt;=$NS$80),IF($NP$80="Single_Point",IF(192=$NR$80,$NN$80,0),IF($NP$80="Bell_Curve",$NN$80*(192-$NR$80+1)*($NS$80-192+1)/$NU$80,$NN$80/$NT$80)),0)</f>
        <v/>
      </c>
      <c r="GO80" s="402">
        <f>IF(AND(193&gt;=$NR$80,193&lt;=$NS$80),IF($NP$80="Single_Point",IF(193=$NR$80,$NN$80,0),IF($NP$80="Bell_Curve",$NN$80*(193-$NR$80+1)*($NS$80-193+1)/$NU$80,$NN$80/$NT$80)),0)</f>
        <v/>
      </c>
      <c r="GP80" s="402">
        <f>IF(AND(194&gt;=$NR$80,194&lt;=$NS$80),IF($NP$80="Single_Point",IF(194=$NR$80,$NN$80,0),IF($NP$80="Bell_Curve",$NN$80*(194-$NR$80+1)*($NS$80-194+1)/$NU$80,$NN$80/$NT$80)),0)</f>
        <v/>
      </c>
      <c r="GQ80" s="402">
        <f>IF(AND(195&gt;=$NR$80,195&lt;=$NS$80),IF($NP$80="Single_Point",IF(195=$NR$80,$NN$80,0),IF($NP$80="Bell_Curve",$NN$80*(195-$NR$80+1)*($NS$80-195+1)/$NU$80,$NN$80/$NT$80)),0)</f>
        <v/>
      </c>
      <c r="GR80" s="402">
        <f>IF(AND(196&gt;=$NR$80,196&lt;=$NS$80),IF($NP$80="Single_Point",IF(196=$NR$80,$NN$80,0),IF($NP$80="Bell_Curve",$NN$80*(196-$NR$80+1)*($NS$80-196+1)/$NU$80,$NN$80/$NT$80)),0)</f>
        <v/>
      </c>
      <c r="GS80" s="402">
        <f>IF(AND(197&gt;=$NR$80,197&lt;=$NS$80),IF($NP$80="Single_Point",IF(197=$NR$80,$NN$80,0),IF($NP$80="Bell_Curve",$NN$80*(197-$NR$80+1)*($NS$80-197+1)/$NU$80,$NN$80/$NT$80)),0)</f>
        <v/>
      </c>
      <c r="GT80" s="402">
        <f>IF(AND(198&gt;=$NR$80,198&lt;=$NS$80),IF($NP$80="Single_Point",IF(198=$NR$80,$NN$80,0),IF($NP$80="Bell_Curve",$NN$80*(198-$NR$80+1)*($NS$80-198+1)/$NU$80,$NN$80/$NT$80)),0)</f>
        <v/>
      </c>
      <c r="GU80" s="402">
        <f>IF(AND(199&gt;=$NR$80,199&lt;=$NS$80),IF($NP$80="Single_Point",IF(199=$NR$80,$NN$80,0),IF($NP$80="Bell_Curve",$NN$80*(199-$NR$80+1)*($NS$80-199+1)/$NU$80,$NN$80/$NT$80)),0)</f>
        <v/>
      </c>
      <c r="GV80" s="402">
        <f>IF(AND(200&gt;=$NR$80,200&lt;=$NS$80),IF($NP$80="Single_Point",IF(200=$NR$80,$NN$80,0),IF($NP$80="Bell_Curve",$NN$80*(200-$NR$80+1)*($NS$80-200+1)/$NU$80,$NN$80/$NT$80)),0)</f>
        <v/>
      </c>
      <c r="GW80" s="402">
        <f>IF(AND(201&gt;=$NR$80,201&lt;=$NS$80),IF($NP$80="Single_Point",IF(201=$NR$80,$NN$80,0),IF($NP$80="Bell_Curve",$NN$80*(201-$NR$80+1)*($NS$80-201+1)/$NU$80,$NN$80/$NT$80)),0)</f>
        <v/>
      </c>
      <c r="GX80" s="402">
        <f>IF(AND(202&gt;=$NR$80,202&lt;=$NS$80),IF($NP$80="Single_Point",IF(202=$NR$80,$NN$80,0),IF($NP$80="Bell_Curve",$NN$80*(202-$NR$80+1)*($NS$80-202+1)/$NU$80,$NN$80/$NT$80)),0)</f>
        <v/>
      </c>
      <c r="GY80" s="402">
        <f>IF(AND(203&gt;=$NR$80,203&lt;=$NS$80),IF($NP$80="Single_Point",IF(203=$NR$80,$NN$80,0),IF($NP$80="Bell_Curve",$NN$80*(203-$NR$80+1)*($NS$80-203+1)/$NU$80,$NN$80/$NT$80)),0)</f>
        <v/>
      </c>
      <c r="GZ80" s="402">
        <f>IF(AND(204&gt;=$NR$80,204&lt;=$NS$80),IF($NP$80="Single_Point",IF(204=$NR$80,$NN$80,0),IF($NP$80="Bell_Curve",$NN$80*(204-$NR$80+1)*($NS$80-204+1)/$NU$80,$NN$80/$NT$80)),0)</f>
        <v/>
      </c>
      <c r="HA80" s="402">
        <f>IF(AND(205&gt;=$NR$80,205&lt;=$NS$80),IF($NP$80="Single_Point",IF(205=$NR$80,$NN$80,0),IF($NP$80="Bell_Curve",$NN$80*(205-$NR$80+1)*($NS$80-205+1)/$NU$80,$NN$80/$NT$80)),0)</f>
        <v/>
      </c>
      <c r="HB80" s="402">
        <f>IF(AND(206&gt;=$NR$80,206&lt;=$NS$80),IF($NP$80="Single_Point",IF(206=$NR$80,$NN$80,0),IF($NP$80="Bell_Curve",$NN$80*(206-$NR$80+1)*($NS$80-206+1)/$NU$80,$NN$80/$NT$80)),0)</f>
        <v/>
      </c>
      <c r="HC80" s="402">
        <f>IF(AND(207&gt;=$NR$80,207&lt;=$NS$80),IF($NP$80="Single_Point",IF(207=$NR$80,$NN$80,0),IF($NP$80="Bell_Curve",$NN$80*(207-$NR$80+1)*($NS$80-207+1)/$NU$80,$NN$80/$NT$80)),0)</f>
        <v/>
      </c>
      <c r="HD80" s="402">
        <f>IF(AND(208&gt;=$NR$80,208&lt;=$NS$80),IF($NP$80="Single_Point",IF(208=$NR$80,$NN$80,0),IF($NP$80="Bell_Curve",$NN$80*(208-$NR$80+1)*($NS$80-208+1)/$NU$80,$NN$80/$NT$80)),0)</f>
        <v/>
      </c>
      <c r="HE80" s="402">
        <f>IF(AND(209&gt;=$NR$80,209&lt;=$NS$80),IF($NP$80="Single_Point",IF(209=$NR$80,$NN$80,0),IF($NP$80="Bell_Curve",$NN$80*(209-$NR$80+1)*($NS$80-209+1)/$NU$80,$NN$80/$NT$80)),0)</f>
        <v/>
      </c>
      <c r="HF80" s="402">
        <f>IF(AND(210&gt;=$NR$80,210&lt;=$NS$80),IF($NP$80="Single_Point",IF(210=$NR$80,$NN$80,0),IF($NP$80="Bell_Curve",$NN$80*(210-$NR$80+1)*($NS$80-210+1)/$NU$80,$NN$80/$NT$80)),0)</f>
        <v/>
      </c>
      <c r="HG80" s="402">
        <f>IF(AND(211&gt;=$NR$80,211&lt;=$NS$80),IF($NP$80="Single_Point",IF(211=$NR$80,$NN$80,0),IF($NP$80="Bell_Curve",$NN$80*(211-$NR$80+1)*($NS$80-211+1)/$NU$80,$NN$80/$NT$80)),0)</f>
        <v/>
      </c>
      <c r="HH80" s="402">
        <f>IF(AND(212&gt;=$NR$80,212&lt;=$NS$80),IF($NP$80="Single_Point",IF(212=$NR$80,$NN$80,0),IF($NP$80="Bell_Curve",$NN$80*(212-$NR$80+1)*($NS$80-212+1)/$NU$80,$NN$80/$NT$80)),0)</f>
        <v/>
      </c>
      <c r="HI80" s="402">
        <f>IF(AND(213&gt;=$NR$80,213&lt;=$NS$80),IF($NP$80="Single_Point",IF(213=$NR$80,$NN$80,0),IF($NP$80="Bell_Curve",$NN$80*(213-$NR$80+1)*($NS$80-213+1)/$NU$80,$NN$80/$NT$80)),0)</f>
        <v/>
      </c>
      <c r="HJ80" s="402">
        <f>IF(AND(214&gt;=$NR$80,214&lt;=$NS$80),IF($NP$80="Single_Point",IF(214=$NR$80,$NN$80,0),IF($NP$80="Bell_Curve",$NN$80*(214-$NR$80+1)*($NS$80-214+1)/$NU$80,$NN$80/$NT$80)),0)</f>
        <v/>
      </c>
      <c r="HK80" s="402">
        <f>IF(AND(215&gt;=$NR$80,215&lt;=$NS$80),IF($NP$80="Single_Point",IF(215=$NR$80,$NN$80,0),IF($NP$80="Bell_Curve",$NN$80*(215-$NR$80+1)*($NS$80-215+1)/$NU$80,$NN$80/$NT$80)),0)</f>
        <v/>
      </c>
      <c r="HL80" s="402">
        <f>IF(AND(216&gt;=$NR$80,216&lt;=$NS$80),IF($NP$80="Single_Point",IF(216=$NR$80,$NN$80,0),IF($NP$80="Bell_Curve",$NN$80*(216-$NR$80+1)*($NS$80-216+1)/$NU$80,$NN$80/$NT$80)),0)</f>
        <v/>
      </c>
      <c r="HM80" s="402">
        <f>IF(AND(217&gt;=$NR$80,217&lt;=$NS$80),IF($NP$80="Single_Point",IF(217=$NR$80,$NN$80,0),IF($NP$80="Bell_Curve",$NN$80*(217-$NR$80+1)*($NS$80-217+1)/$NU$80,$NN$80/$NT$80)),0)</f>
        <v/>
      </c>
      <c r="HN80" s="402">
        <f>IF(AND(218&gt;=$NR$80,218&lt;=$NS$80),IF($NP$80="Single_Point",IF(218=$NR$80,$NN$80,0),IF($NP$80="Bell_Curve",$NN$80*(218-$NR$80+1)*($NS$80-218+1)/$NU$80,$NN$80/$NT$80)),0)</f>
        <v/>
      </c>
      <c r="HO80" s="402">
        <f>IF(AND(219&gt;=$NR$80,219&lt;=$NS$80),IF($NP$80="Single_Point",IF(219=$NR$80,$NN$80,0),IF($NP$80="Bell_Curve",$NN$80*(219-$NR$80+1)*($NS$80-219+1)/$NU$80,$NN$80/$NT$80)),0)</f>
        <v/>
      </c>
      <c r="HP80" s="402">
        <f>IF(AND(220&gt;=$NR$80,220&lt;=$NS$80),IF($NP$80="Single_Point",IF(220=$NR$80,$NN$80,0),IF($NP$80="Bell_Curve",$NN$80*(220-$NR$80+1)*($NS$80-220+1)/$NU$80,$NN$80/$NT$80)),0)</f>
        <v/>
      </c>
      <c r="HQ80" s="402">
        <f>IF(AND(221&gt;=$NR$80,221&lt;=$NS$80),IF($NP$80="Single_Point",IF(221=$NR$80,$NN$80,0),IF($NP$80="Bell_Curve",$NN$80*(221-$NR$80+1)*($NS$80-221+1)/$NU$80,$NN$80/$NT$80)),0)</f>
        <v/>
      </c>
      <c r="HR80" s="402">
        <f>IF(AND(222&gt;=$NR$80,222&lt;=$NS$80),IF($NP$80="Single_Point",IF(222=$NR$80,$NN$80,0),IF($NP$80="Bell_Curve",$NN$80*(222-$NR$80+1)*($NS$80-222+1)/$NU$80,$NN$80/$NT$80)),0)</f>
        <v/>
      </c>
      <c r="HS80" s="402">
        <f>IF(AND(223&gt;=$NR$80,223&lt;=$NS$80),IF($NP$80="Single_Point",IF(223=$NR$80,$NN$80,0),IF($NP$80="Bell_Curve",$NN$80*(223-$NR$80+1)*($NS$80-223+1)/$NU$80,$NN$80/$NT$80)),0)</f>
        <v/>
      </c>
      <c r="HT80" s="402">
        <f>IF(AND(224&gt;=$NR$80,224&lt;=$NS$80),IF($NP$80="Single_Point",IF(224=$NR$80,$NN$80,0),IF($NP$80="Bell_Curve",$NN$80*(224-$NR$80+1)*($NS$80-224+1)/$NU$80,$NN$80/$NT$80)),0)</f>
        <v/>
      </c>
      <c r="HU80" s="402">
        <f>IF(AND(225&gt;=$NR$80,225&lt;=$NS$80),IF($NP$80="Single_Point",IF(225=$NR$80,$NN$80,0),IF($NP$80="Bell_Curve",$NN$80*(225-$NR$80+1)*($NS$80-225+1)/$NU$80,$NN$80/$NT$80)),0)</f>
        <v/>
      </c>
      <c r="HV80" s="402">
        <f>IF(AND(226&gt;=$NR$80,226&lt;=$NS$80),IF($NP$80="Single_Point",IF(226=$NR$80,$NN$80,0),IF($NP$80="Bell_Curve",$NN$80*(226-$NR$80+1)*($NS$80-226+1)/$NU$80,$NN$80/$NT$80)),0)</f>
        <v/>
      </c>
      <c r="HW80" s="402">
        <f>IF(AND(227&gt;=$NR$80,227&lt;=$NS$80),IF($NP$80="Single_Point",IF(227=$NR$80,$NN$80,0),IF($NP$80="Bell_Curve",$NN$80*(227-$NR$80+1)*($NS$80-227+1)/$NU$80,$NN$80/$NT$80)),0)</f>
        <v/>
      </c>
      <c r="HX80" s="402">
        <f>IF(AND(228&gt;=$NR$80,228&lt;=$NS$80),IF($NP$80="Single_Point",IF(228=$NR$80,$NN$80,0),IF($NP$80="Bell_Curve",$NN$80*(228-$NR$80+1)*($NS$80-228+1)/$NU$80,$NN$80/$NT$80)),0)</f>
        <v/>
      </c>
      <c r="HY80" s="402">
        <f>IF(AND(229&gt;=$NR$80,229&lt;=$NS$80),IF($NP$80="Single_Point",IF(229=$NR$80,$NN$80,0),IF($NP$80="Bell_Curve",$NN$80*(229-$NR$80+1)*($NS$80-229+1)/$NU$80,$NN$80/$NT$80)),0)</f>
        <v/>
      </c>
      <c r="HZ80" s="402">
        <f>IF(AND(230&gt;=$NR$80,230&lt;=$NS$80),IF($NP$80="Single_Point",IF(230=$NR$80,$NN$80,0),IF($NP$80="Bell_Curve",$NN$80*(230-$NR$80+1)*($NS$80-230+1)/$NU$80,$NN$80/$NT$80)),0)</f>
        <v/>
      </c>
      <c r="IA80" s="402">
        <f>IF(AND(231&gt;=$NR$80,231&lt;=$NS$80),IF($NP$80="Single_Point",IF(231=$NR$80,$NN$80,0),IF($NP$80="Bell_Curve",$NN$80*(231-$NR$80+1)*($NS$80-231+1)/$NU$80,$NN$80/$NT$80)),0)</f>
        <v/>
      </c>
      <c r="IB80" s="402">
        <f>IF(AND(232&gt;=$NR$80,232&lt;=$NS$80),IF($NP$80="Single_Point",IF(232=$NR$80,$NN$80,0),IF($NP$80="Bell_Curve",$NN$80*(232-$NR$80+1)*($NS$80-232+1)/$NU$80,$NN$80/$NT$80)),0)</f>
        <v/>
      </c>
      <c r="IC80" s="402">
        <f>IF(AND(233&gt;=$NR$80,233&lt;=$NS$80),IF($NP$80="Single_Point",IF(233=$NR$80,$NN$80,0),IF($NP$80="Bell_Curve",$NN$80*(233-$NR$80+1)*($NS$80-233+1)/$NU$80,$NN$80/$NT$80)),0)</f>
        <v/>
      </c>
      <c r="ID80" s="402">
        <f>IF(AND(234&gt;=$NR$80,234&lt;=$NS$80),IF($NP$80="Single_Point",IF(234=$NR$80,$NN$80,0),IF($NP$80="Bell_Curve",$NN$80*(234-$NR$80+1)*($NS$80-234+1)/$NU$80,$NN$80/$NT$80)),0)</f>
        <v/>
      </c>
      <c r="IE80" s="402">
        <f>IF(AND(235&gt;=$NR$80,235&lt;=$NS$80),IF($NP$80="Single_Point",IF(235=$NR$80,$NN$80,0),IF($NP$80="Bell_Curve",$NN$80*(235-$NR$80+1)*($NS$80-235+1)/$NU$80,$NN$80/$NT$80)),0)</f>
        <v/>
      </c>
      <c r="IF80" s="402">
        <f>IF(AND(236&gt;=$NR$80,236&lt;=$NS$80),IF($NP$80="Single_Point",IF(236=$NR$80,$NN$80,0),IF($NP$80="Bell_Curve",$NN$80*(236-$NR$80+1)*($NS$80-236+1)/$NU$80,$NN$80/$NT$80)),0)</f>
        <v/>
      </c>
      <c r="IG80" s="402">
        <f>IF(AND(237&gt;=$NR$80,237&lt;=$NS$80),IF($NP$80="Single_Point",IF(237=$NR$80,$NN$80,0),IF($NP$80="Bell_Curve",$NN$80*(237-$NR$80+1)*($NS$80-237+1)/$NU$80,$NN$80/$NT$80)),0)</f>
        <v/>
      </c>
      <c r="IH80" s="402">
        <f>IF(AND(238&gt;=$NR$80,238&lt;=$NS$80),IF($NP$80="Single_Point",IF(238=$NR$80,$NN$80,0),IF($NP$80="Bell_Curve",$NN$80*(238-$NR$80+1)*($NS$80-238+1)/$NU$80,$NN$80/$NT$80)),0)</f>
        <v/>
      </c>
      <c r="II80" s="402">
        <f>IF(AND(239&gt;=$NR$80,239&lt;=$NS$80),IF($NP$80="Single_Point",IF(239=$NR$80,$NN$80,0),IF($NP$80="Bell_Curve",$NN$80*(239-$NR$80+1)*($NS$80-239+1)/$NU$80,$NN$80/$NT$80)),0)</f>
        <v/>
      </c>
      <c r="IJ80" s="402">
        <f>IF(AND(240&gt;=$NR$80,240&lt;=$NS$80),IF($NP$80="Single_Point",IF(240=$NR$80,$NN$80,0),IF($NP$80="Bell_Curve",$NN$80*(240-$NR$80+1)*($NS$80-240+1)/$NU$80,$NN$80/$NT$80)),0)</f>
        <v/>
      </c>
      <c r="IK80" s="402">
        <f>IF(AND(241&gt;=$NR$80,241&lt;=$NS$80),IF($NP$80="Single_Point",IF(241=$NR$80,$NN$80,0),IF($NP$80="Bell_Curve",$NN$80*(241-$NR$80+1)*($NS$80-241+1)/$NU$80,$NN$80/$NT$80)),0)</f>
        <v/>
      </c>
      <c r="IL80" s="402">
        <f>IF(AND(242&gt;=$NR$80,242&lt;=$NS$80),IF($NP$80="Single_Point",IF(242=$NR$80,$NN$80,0),IF($NP$80="Bell_Curve",$NN$80*(242-$NR$80+1)*($NS$80-242+1)/$NU$80,$NN$80/$NT$80)),0)</f>
        <v/>
      </c>
      <c r="IM80" s="402">
        <f>IF(AND(243&gt;=$NR$80,243&lt;=$NS$80),IF($NP$80="Single_Point",IF(243=$NR$80,$NN$80,0),IF($NP$80="Bell_Curve",$NN$80*(243-$NR$80+1)*($NS$80-243+1)/$NU$80,$NN$80/$NT$80)),0)</f>
        <v/>
      </c>
      <c r="IN80" s="402">
        <f>IF(AND(244&gt;=$NR$80,244&lt;=$NS$80),IF($NP$80="Single_Point",IF(244=$NR$80,$NN$80,0),IF($NP$80="Bell_Curve",$NN$80*(244-$NR$80+1)*($NS$80-244+1)/$NU$80,$NN$80/$NT$80)),0)</f>
        <v/>
      </c>
      <c r="IO80" s="402">
        <f>IF(AND(245&gt;=$NR$80,245&lt;=$NS$80),IF($NP$80="Single_Point",IF(245=$NR$80,$NN$80,0),IF($NP$80="Bell_Curve",$NN$80*(245-$NR$80+1)*($NS$80-245+1)/$NU$80,$NN$80/$NT$80)),0)</f>
        <v/>
      </c>
      <c r="IP80" s="402">
        <f>IF(AND(246&gt;=$NR$80,246&lt;=$NS$80),IF($NP$80="Single_Point",IF(246=$NR$80,$NN$80,0),IF($NP$80="Bell_Curve",$NN$80*(246-$NR$80+1)*($NS$80-246+1)/$NU$80,$NN$80/$NT$80)),0)</f>
        <v/>
      </c>
      <c r="IQ80" s="402">
        <f>IF(AND(247&gt;=$NR$80,247&lt;=$NS$80),IF($NP$80="Single_Point",IF(247=$NR$80,$NN$80,0),IF($NP$80="Bell_Curve",$NN$80*(247-$NR$80+1)*($NS$80-247+1)/$NU$80,$NN$80/$NT$80)),0)</f>
        <v/>
      </c>
      <c r="IR80" s="402">
        <f>IF(AND(248&gt;=$NR$80,248&lt;=$NS$80),IF($NP$80="Single_Point",IF(248=$NR$80,$NN$80,0),IF($NP$80="Bell_Curve",$NN$80*(248-$NR$80+1)*($NS$80-248+1)/$NU$80,$NN$80/$NT$80)),0)</f>
        <v/>
      </c>
      <c r="IS80" s="402">
        <f>IF(AND(249&gt;=$NR$80,249&lt;=$NS$80),IF($NP$80="Single_Point",IF(249=$NR$80,$NN$80,0),IF($NP$80="Bell_Curve",$NN$80*(249-$NR$80+1)*($NS$80-249+1)/$NU$80,$NN$80/$NT$80)),0)</f>
        <v/>
      </c>
      <c r="IT80" s="402">
        <f>IF(AND(250&gt;=$NR$80,250&lt;=$NS$80),IF($NP$80="Single_Point",IF(250=$NR$80,$NN$80,0),IF($NP$80="Bell_Curve",$NN$80*(250-$NR$80+1)*($NS$80-250+1)/$NU$80,$NN$80/$NT$80)),0)</f>
        <v/>
      </c>
      <c r="IU80" s="402">
        <f>IF(AND(251&gt;=$NR$80,251&lt;=$NS$80),IF($NP$80="Single_Point",IF(251=$NR$80,$NN$80,0),IF($NP$80="Bell_Curve",$NN$80*(251-$NR$80+1)*($NS$80-251+1)/$NU$80,$NN$80/$NT$80)),0)</f>
        <v/>
      </c>
      <c r="IV80" s="402">
        <f>IF(AND(252&gt;=$NR$80,252&lt;=$NS$80),IF($NP$80="Single_Point",IF(252=$NR$80,$NN$80,0),IF($NP$80="Bell_Curve",$NN$80*(252-$NR$80+1)*($NS$80-252+1)/$NU$80,$NN$80/$NT$80)),0)</f>
        <v/>
      </c>
      <c r="IW80" s="402">
        <f>IF(AND(253&gt;=$NR$80,253&lt;=$NS$80),IF($NP$80="Single_Point",IF(253=$NR$80,$NN$80,0),IF($NP$80="Bell_Curve",$NN$80*(253-$NR$80+1)*($NS$80-253+1)/$NU$80,$NN$80/$NT$80)),0)</f>
        <v/>
      </c>
      <c r="IX80" s="402">
        <f>IF(AND(254&gt;=$NR$80,254&lt;=$NS$80),IF($NP$80="Single_Point",IF(254=$NR$80,$NN$80,0),IF($NP$80="Bell_Curve",$NN$80*(254-$NR$80+1)*($NS$80-254+1)/$NU$80,$NN$80/$NT$80)),0)</f>
        <v/>
      </c>
      <c r="IY80" s="402">
        <f>IF(AND(255&gt;=$NR$80,255&lt;=$NS$80),IF($NP$80="Single_Point",IF(255=$NR$80,$NN$80,0),IF($NP$80="Bell_Curve",$NN$80*(255-$NR$80+1)*($NS$80-255+1)/$NU$80,$NN$80/$NT$80)),0)</f>
        <v/>
      </c>
      <c r="IZ80" s="402">
        <f>IF(AND(256&gt;=$NR$80,256&lt;=$NS$80),IF($NP$80="Single_Point",IF(256=$NR$80,$NN$80,0),IF($NP$80="Bell_Curve",$NN$80*(256-$NR$80+1)*($NS$80-256+1)/$NU$80,$NN$80/$NT$80)),0)</f>
        <v/>
      </c>
      <c r="JA80" s="402">
        <f>IF(AND(257&gt;=$NR$80,257&lt;=$NS$80),IF($NP$80="Single_Point",IF(257=$NR$80,$NN$80,0),IF($NP$80="Bell_Curve",$NN$80*(257-$NR$80+1)*($NS$80-257+1)/$NU$80,$NN$80/$NT$80)),0)</f>
        <v/>
      </c>
      <c r="JB80" s="402">
        <f>IF(AND(258&gt;=$NR$80,258&lt;=$NS$80),IF($NP$80="Single_Point",IF(258=$NR$80,$NN$80,0),IF($NP$80="Bell_Curve",$NN$80*(258-$NR$80+1)*($NS$80-258+1)/$NU$80,$NN$80/$NT$80)),0)</f>
        <v/>
      </c>
      <c r="JC80" s="402">
        <f>IF(AND(259&gt;=$NR$80,259&lt;=$NS$80),IF($NP$80="Single_Point",IF(259=$NR$80,$NN$80,0),IF($NP$80="Bell_Curve",$NN$80*(259-$NR$80+1)*($NS$80-259+1)/$NU$80,$NN$80/$NT$80)),0)</f>
        <v/>
      </c>
      <c r="JD80" s="402">
        <f>IF(AND(260&gt;=$NR$80,260&lt;=$NS$80),IF($NP$80="Single_Point",IF(260=$NR$80,$NN$80,0),IF($NP$80="Bell_Curve",$NN$80*(260-$NR$80+1)*($NS$80-260+1)/$NU$80,$NN$80/$NT$80)),0)</f>
        <v/>
      </c>
      <c r="JE80" s="402">
        <f>IF(AND(261&gt;=$NR$80,261&lt;=$NS$80),IF($NP$80="Single_Point",IF(261=$NR$80,$NN$80,0),IF($NP$80="Bell_Curve",$NN$80*(261-$NR$80+1)*($NS$80-261+1)/$NU$80,$NN$80/$NT$80)),0)</f>
        <v/>
      </c>
      <c r="JF80" s="402">
        <f>IF(AND(262&gt;=$NR$80,262&lt;=$NS$80),IF($NP$80="Single_Point",IF(262=$NR$80,$NN$80,0),IF($NP$80="Bell_Curve",$NN$80*(262-$NR$80+1)*($NS$80-262+1)/$NU$80,$NN$80/$NT$80)),0)</f>
        <v/>
      </c>
      <c r="JG80" s="402">
        <f>IF(AND(263&gt;=$NR$80,263&lt;=$NS$80),IF($NP$80="Single_Point",IF(263=$NR$80,$NN$80,0),IF($NP$80="Bell_Curve",$NN$80*(263-$NR$80+1)*($NS$80-263+1)/$NU$80,$NN$80/$NT$80)),0)</f>
        <v/>
      </c>
      <c r="JH80" s="402">
        <f>IF(AND(264&gt;=$NR$80,264&lt;=$NS$80),IF($NP$80="Single_Point",IF(264=$NR$80,$NN$80,0),IF($NP$80="Bell_Curve",$NN$80*(264-$NR$80+1)*($NS$80-264+1)/$NU$80,$NN$80/$NT$80)),0)</f>
        <v/>
      </c>
      <c r="JI80" s="402">
        <f>IF(AND(265&gt;=$NR$80,265&lt;=$NS$80),IF($NP$80="Single_Point",IF(265=$NR$80,$NN$80,0),IF($NP$80="Bell_Curve",$NN$80*(265-$NR$80+1)*($NS$80-265+1)/$NU$80,$NN$80/$NT$80)),0)</f>
        <v/>
      </c>
      <c r="JJ80" s="402">
        <f>IF(AND(266&gt;=$NR$80,266&lt;=$NS$80),IF($NP$80="Single_Point",IF(266=$NR$80,$NN$80,0),IF($NP$80="Bell_Curve",$NN$80*(266-$NR$80+1)*($NS$80-266+1)/$NU$80,$NN$80/$NT$80)),0)</f>
        <v/>
      </c>
      <c r="JK80" s="402">
        <f>IF(AND(267&gt;=$NR$80,267&lt;=$NS$80),IF($NP$80="Single_Point",IF(267=$NR$80,$NN$80,0),IF($NP$80="Bell_Curve",$NN$80*(267-$NR$80+1)*($NS$80-267+1)/$NU$80,$NN$80/$NT$80)),0)</f>
        <v/>
      </c>
      <c r="JL80" s="402">
        <f>IF(AND(268&gt;=$NR$80,268&lt;=$NS$80),IF($NP$80="Single_Point",IF(268=$NR$80,$NN$80,0),IF($NP$80="Bell_Curve",$NN$80*(268-$NR$80+1)*($NS$80-268+1)/$NU$80,$NN$80/$NT$80)),0)</f>
        <v/>
      </c>
      <c r="JM80" s="402">
        <f>IF(AND(269&gt;=$NR$80,269&lt;=$NS$80),IF($NP$80="Single_Point",IF(269=$NR$80,$NN$80,0),IF($NP$80="Bell_Curve",$NN$80*(269-$NR$80+1)*($NS$80-269+1)/$NU$80,$NN$80/$NT$80)),0)</f>
        <v/>
      </c>
      <c r="JN80" s="402">
        <f>IF(AND(270&gt;=$NR$80,270&lt;=$NS$80),IF($NP$80="Single_Point",IF(270=$NR$80,$NN$80,0),IF($NP$80="Bell_Curve",$NN$80*(270-$NR$80+1)*($NS$80-270+1)/$NU$80,$NN$80/$NT$80)),0)</f>
        <v/>
      </c>
      <c r="JO80" s="402">
        <f>IF(AND(271&gt;=$NR$80,271&lt;=$NS$80),IF($NP$80="Single_Point",IF(271=$NR$80,$NN$80,0),IF($NP$80="Bell_Curve",$NN$80*(271-$NR$80+1)*($NS$80-271+1)/$NU$80,$NN$80/$NT$80)),0)</f>
        <v/>
      </c>
      <c r="JP80" s="402">
        <f>IF(AND(272&gt;=$NR$80,272&lt;=$NS$80),IF($NP$80="Single_Point",IF(272=$NR$80,$NN$80,0),IF($NP$80="Bell_Curve",$NN$80*(272-$NR$80+1)*($NS$80-272+1)/$NU$80,$NN$80/$NT$80)),0)</f>
        <v/>
      </c>
      <c r="JQ80" s="402">
        <f>IF(AND(273&gt;=$NR$80,273&lt;=$NS$80),IF($NP$80="Single_Point",IF(273=$NR$80,$NN$80,0),IF($NP$80="Bell_Curve",$NN$80*(273-$NR$80+1)*($NS$80-273+1)/$NU$80,$NN$80/$NT$80)),0)</f>
        <v/>
      </c>
      <c r="JR80" s="402">
        <f>IF(AND(274&gt;=$NR$80,274&lt;=$NS$80),IF($NP$80="Single_Point",IF(274=$NR$80,$NN$80,0),IF($NP$80="Bell_Curve",$NN$80*(274-$NR$80+1)*($NS$80-274+1)/$NU$80,$NN$80/$NT$80)),0)</f>
        <v/>
      </c>
      <c r="JS80" s="402">
        <f>IF(AND(275&gt;=$NR$80,275&lt;=$NS$80),IF($NP$80="Single_Point",IF(275=$NR$80,$NN$80,0),IF($NP$80="Bell_Curve",$NN$80*(275-$NR$80+1)*($NS$80-275+1)/$NU$80,$NN$80/$NT$80)),0)</f>
        <v/>
      </c>
      <c r="JT80" s="402">
        <f>IF(AND(276&gt;=$NR$80,276&lt;=$NS$80),IF($NP$80="Single_Point",IF(276=$NR$80,$NN$80,0),IF($NP$80="Bell_Curve",$NN$80*(276-$NR$80+1)*($NS$80-276+1)/$NU$80,$NN$80/$NT$80)),0)</f>
        <v/>
      </c>
      <c r="JU80" s="402">
        <f>IF(AND(277&gt;=$NR$80,277&lt;=$NS$80),IF($NP$80="Single_Point",IF(277=$NR$80,$NN$80,0),IF($NP$80="Bell_Curve",$NN$80*(277-$NR$80+1)*($NS$80-277+1)/$NU$80,$NN$80/$NT$80)),0)</f>
        <v/>
      </c>
      <c r="JV80" s="402">
        <f>IF(AND(278&gt;=$NR$80,278&lt;=$NS$80),IF($NP$80="Single_Point",IF(278=$NR$80,$NN$80,0),IF($NP$80="Bell_Curve",$NN$80*(278-$NR$80+1)*($NS$80-278+1)/$NU$80,$NN$80/$NT$80)),0)</f>
        <v/>
      </c>
      <c r="JW80" s="402">
        <f>IF(AND(279&gt;=$NR$80,279&lt;=$NS$80),IF($NP$80="Single_Point",IF(279=$NR$80,$NN$80,0),IF($NP$80="Bell_Curve",$NN$80*(279-$NR$80+1)*($NS$80-279+1)/$NU$80,$NN$80/$NT$80)),0)</f>
        <v/>
      </c>
      <c r="JX80" s="402">
        <f>IF(AND(280&gt;=$NR$80,280&lt;=$NS$80),IF($NP$80="Single_Point",IF(280=$NR$80,$NN$80,0),IF($NP$80="Bell_Curve",$NN$80*(280-$NR$80+1)*($NS$80-280+1)/$NU$80,$NN$80/$NT$80)),0)</f>
        <v/>
      </c>
      <c r="JY80" s="402">
        <f>IF(AND(281&gt;=$NR$80,281&lt;=$NS$80),IF($NP$80="Single_Point",IF(281=$NR$80,$NN$80,0),IF($NP$80="Bell_Curve",$NN$80*(281-$NR$80+1)*($NS$80-281+1)/$NU$80,$NN$80/$NT$80)),0)</f>
        <v/>
      </c>
      <c r="JZ80" s="402">
        <f>IF(AND(282&gt;=$NR$80,282&lt;=$NS$80),IF($NP$80="Single_Point",IF(282=$NR$80,$NN$80,0),IF($NP$80="Bell_Curve",$NN$80*(282-$NR$80+1)*($NS$80-282+1)/$NU$80,$NN$80/$NT$80)),0)</f>
        <v/>
      </c>
      <c r="KA80" s="402">
        <f>IF(AND(283&gt;=$NR$80,283&lt;=$NS$80),IF($NP$80="Single_Point",IF(283=$NR$80,$NN$80,0),IF($NP$80="Bell_Curve",$NN$80*(283-$NR$80+1)*($NS$80-283+1)/$NU$80,$NN$80/$NT$80)),0)</f>
        <v/>
      </c>
      <c r="KB80" s="402">
        <f>IF(AND(284&gt;=$NR$80,284&lt;=$NS$80),IF($NP$80="Single_Point",IF(284=$NR$80,$NN$80,0),IF($NP$80="Bell_Curve",$NN$80*(284-$NR$80+1)*($NS$80-284+1)/$NU$80,$NN$80/$NT$80)),0)</f>
        <v/>
      </c>
      <c r="KC80" s="402">
        <f>IF(AND(285&gt;=$NR$80,285&lt;=$NS$80),IF($NP$80="Single_Point",IF(285=$NR$80,$NN$80,0),IF($NP$80="Bell_Curve",$NN$80*(285-$NR$80+1)*($NS$80-285+1)/$NU$80,$NN$80/$NT$80)),0)</f>
        <v/>
      </c>
      <c r="KD80" s="402">
        <f>IF(AND(286&gt;=$NR$80,286&lt;=$NS$80),IF($NP$80="Single_Point",IF(286=$NR$80,$NN$80,0),IF($NP$80="Bell_Curve",$NN$80*(286-$NR$80+1)*($NS$80-286+1)/$NU$80,$NN$80/$NT$80)),0)</f>
        <v/>
      </c>
      <c r="KE80" s="402">
        <f>IF(AND(287&gt;=$NR$80,287&lt;=$NS$80),IF($NP$80="Single_Point",IF(287=$NR$80,$NN$80,0),IF($NP$80="Bell_Curve",$NN$80*(287-$NR$80+1)*($NS$80-287+1)/$NU$80,$NN$80/$NT$80)),0)</f>
        <v/>
      </c>
      <c r="KF80" s="402">
        <f>IF(AND(288&gt;=$NR$80,288&lt;=$NS$80),IF($NP$80="Single_Point",IF(288=$NR$80,$NN$80,0),IF($NP$80="Bell_Curve",$NN$80*(288-$NR$80+1)*($NS$80-288+1)/$NU$80,$NN$80/$NT$80)),0)</f>
        <v/>
      </c>
      <c r="KG80" s="402">
        <f>IF(AND(289&gt;=$NR$80,289&lt;=$NS$80),IF($NP$80="Single_Point",IF(289=$NR$80,$NN$80,0),IF($NP$80="Bell_Curve",$NN$80*(289-$NR$80+1)*($NS$80-289+1)/$NU$80,$NN$80/$NT$80)),0)</f>
        <v/>
      </c>
      <c r="KH80" s="402">
        <f>IF(AND(290&gt;=$NR$80,290&lt;=$NS$80),IF($NP$80="Single_Point",IF(290=$NR$80,$NN$80,0),IF($NP$80="Bell_Curve",$NN$80*(290-$NR$80+1)*($NS$80-290+1)/$NU$80,$NN$80/$NT$80)),0)</f>
        <v/>
      </c>
      <c r="KI80" s="402">
        <f>IF(AND(291&gt;=$NR$80,291&lt;=$NS$80),IF($NP$80="Single_Point",IF(291=$NR$80,$NN$80,0),IF($NP$80="Bell_Curve",$NN$80*(291-$NR$80+1)*($NS$80-291+1)/$NU$80,$NN$80/$NT$80)),0)</f>
        <v/>
      </c>
      <c r="KJ80" s="402">
        <f>IF(AND(292&gt;=$NR$80,292&lt;=$NS$80),IF($NP$80="Single_Point",IF(292=$NR$80,$NN$80,0),IF($NP$80="Bell_Curve",$NN$80*(292-$NR$80+1)*($NS$80-292+1)/$NU$80,$NN$80/$NT$80)),0)</f>
        <v/>
      </c>
      <c r="KK80" s="402">
        <f>IF(AND(293&gt;=$NR$80,293&lt;=$NS$80),IF($NP$80="Single_Point",IF(293=$NR$80,$NN$80,0),IF($NP$80="Bell_Curve",$NN$80*(293-$NR$80+1)*($NS$80-293+1)/$NU$80,$NN$80/$NT$80)),0)</f>
        <v/>
      </c>
      <c r="KL80" s="402">
        <f>IF(AND(294&gt;=$NR$80,294&lt;=$NS$80),IF($NP$80="Single_Point",IF(294=$NR$80,$NN$80,0),IF($NP$80="Bell_Curve",$NN$80*(294-$NR$80+1)*($NS$80-294+1)/$NU$80,$NN$80/$NT$80)),0)</f>
        <v/>
      </c>
      <c r="KM80" s="402">
        <f>IF(AND(295&gt;=$NR$80,295&lt;=$NS$80),IF($NP$80="Single_Point",IF(295=$NR$80,$NN$80,0),IF($NP$80="Bell_Curve",$NN$80*(295-$NR$80+1)*($NS$80-295+1)/$NU$80,$NN$80/$NT$80)),0)</f>
        <v/>
      </c>
      <c r="KN80" s="402">
        <f>IF(AND(296&gt;=$NR$80,296&lt;=$NS$80),IF($NP$80="Single_Point",IF(296=$NR$80,$NN$80,0),IF($NP$80="Bell_Curve",$NN$80*(296-$NR$80+1)*($NS$80-296+1)/$NU$80,$NN$80/$NT$80)),0)</f>
        <v/>
      </c>
      <c r="KO80" s="402">
        <f>IF(AND(297&gt;=$NR$80,297&lt;=$NS$80),IF($NP$80="Single_Point",IF(297=$NR$80,$NN$80,0),IF($NP$80="Bell_Curve",$NN$80*(297-$NR$80+1)*($NS$80-297+1)/$NU$80,$NN$80/$NT$80)),0)</f>
        <v/>
      </c>
      <c r="KP80" s="402">
        <f>IF(AND(298&gt;=$NR$80,298&lt;=$NS$80),IF($NP$80="Single_Point",IF(298=$NR$80,$NN$80,0),IF($NP$80="Bell_Curve",$NN$80*(298-$NR$80+1)*($NS$80-298+1)/$NU$80,$NN$80/$NT$80)),0)</f>
        <v/>
      </c>
      <c r="KQ80" s="402">
        <f>IF(AND(299&gt;=$NR$80,299&lt;=$NS$80),IF($NP$80="Single_Point",IF(299=$NR$80,$NN$80,0),IF($NP$80="Bell_Curve",$NN$80*(299-$NR$80+1)*($NS$80-299+1)/$NU$80,$NN$80/$NT$80)),0)</f>
        <v/>
      </c>
      <c r="KR80" s="402">
        <f>IF(AND(300&gt;=$NR$80,300&lt;=$NS$80),IF($NP$80="Single_Point",IF(300=$NR$80,$NN$80,0),IF($NP$80="Bell_Curve",$NN$80*(300-$NR$80+1)*($NS$80-300+1)/$NU$80,$NN$80/$NT$80)),0)</f>
        <v/>
      </c>
      <c r="KS80" s="402">
        <f>IF(AND(301&gt;=$NR$80,301&lt;=$NS$80),IF($NP$80="Single_Point",IF(301=$NR$80,$NN$80,0),IF($NP$80="Bell_Curve",$NN$80*(301-$NR$80+1)*($NS$80-301+1)/$NU$80,$NN$80/$NT$80)),0)</f>
        <v/>
      </c>
      <c r="KT80" s="402">
        <f>IF(AND(302&gt;=$NR$80,302&lt;=$NS$80),IF($NP$80="Single_Point",IF(302=$NR$80,$NN$80,0),IF($NP$80="Bell_Curve",$NN$80*(302-$NR$80+1)*($NS$80-302+1)/$NU$80,$NN$80/$NT$80)),0)</f>
        <v/>
      </c>
      <c r="KU80" s="402">
        <f>IF(AND(303&gt;=$NR$80,303&lt;=$NS$80),IF($NP$80="Single_Point",IF(303=$NR$80,$NN$80,0),IF($NP$80="Bell_Curve",$NN$80*(303-$NR$80+1)*($NS$80-303+1)/$NU$80,$NN$80/$NT$80)),0)</f>
        <v/>
      </c>
      <c r="KV80" s="402">
        <f>IF(AND(304&gt;=$NR$80,304&lt;=$NS$80),IF($NP$80="Single_Point",IF(304=$NR$80,$NN$80,0),IF($NP$80="Bell_Curve",$NN$80*(304-$NR$80+1)*($NS$80-304+1)/$NU$80,$NN$80/$NT$80)),0)</f>
        <v/>
      </c>
      <c r="KW80" s="402">
        <f>IF(AND(305&gt;=$NR$80,305&lt;=$NS$80),IF($NP$80="Single_Point",IF(305=$NR$80,$NN$80,0),IF($NP$80="Bell_Curve",$NN$80*(305-$NR$80+1)*($NS$80-305+1)/$NU$80,$NN$80/$NT$80)),0)</f>
        <v/>
      </c>
      <c r="KX80" s="402">
        <f>IF(AND(306&gt;=$NR$80,306&lt;=$NS$80),IF($NP$80="Single_Point",IF(306=$NR$80,$NN$80,0),IF($NP$80="Bell_Curve",$NN$80*(306-$NR$80+1)*($NS$80-306+1)/$NU$80,$NN$80/$NT$80)),0)</f>
        <v/>
      </c>
      <c r="KY80" s="402">
        <f>IF(AND(307&gt;=$NR$80,307&lt;=$NS$80),IF($NP$80="Single_Point",IF(307=$NR$80,$NN$80,0),IF($NP$80="Bell_Curve",$NN$80*(307-$NR$80+1)*($NS$80-307+1)/$NU$80,$NN$80/$NT$80)),0)</f>
        <v/>
      </c>
      <c r="KZ80" s="402">
        <f>IF(AND(308&gt;=$NR$80,308&lt;=$NS$80),IF($NP$80="Single_Point",IF(308=$NR$80,$NN$80,0),IF($NP$80="Bell_Curve",$NN$80*(308-$NR$80+1)*($NS$80-308+1)/$NU$80,$NN$80/$NT$80)),0)</f>
        <v/>
      </c>
      <c r="LA80" s="402">
        <f>IF(AND(309&gt;=$NR$80,309&lt;=$NS$80),IF($NP$80="Single_Point",IF(309=$NR$80,$NN$80,0),IF($NP$80="Bell_Curve",$NN$80*(309-$NR$80+1)*($NS$80-309+1)/$NU$80,$NN$80/$NT$80)),0)</f>
        <v/>
      </c>
      <c r="LB80" s="402">
        <f>IF(AND(310&gt;=$NR$80,310&lt;=$NS$80),IF($NP$80="Single_Point",IF(310=$NR$80,$NN$80,0),IF($NP$80="Bell_Curve",$NN$80*(310-$NR$80+1)*($NS$80-310+1)/$NU$80,$NN$80/$NT$80)),0)</f>
        <v/>
      </c>
      <c r="LC80" s="402">
        <f>IF(AND(311&gt;=$NR$80,311&lt;=$NS$80),IF($NP$80="Single_Point",IF(311=$NR$80,$NN$80,0),IF($NP$80="Bell_Curve",$NN$80*(311-$NR$80+1)*($NS$80-311+1)/$NU$80,$NN$80/$NT$80)),0)</f>
        <v/>
      </c>
      <c r="LD80" s="402">
        <f>IF(AND(312&gt;=$NR$80,312&lt;=$NS$80),IF($NP$80="Single_Point",IF(312=$NR$80,$NN$80,0),IF($NP$80="Bell_Curve",$NN$80*(312-$NR$80+1)*($NS$80-312+1)/$NU$80,$NN$80/$NT$80)),0)</f>
        <v/>
      </c>
      <c r="LE80" s="402">
        <f>IF(AND(313&gt;=$NR$80,313&lt;=$NS$80),IF($NP$80="Single_Point",IF(313=$NR$80,$NN$80,0),IF($NP$80="Bell_Curve",$NN$80*(313-$NR$80+1)*($NS$80-313+1)/$NU$80,$NN$80/$NT$80)),0)</f>
        <v/>
      </c>
      <c r="LF80" s="402">
        <f>IF(AND(314&gt;=$NR$80,314&lt;=$NS$80),IF($NP$80="Single_Point",IF(314=$NR$80,$NN$80,0),IF($NP$80="Bell_Curve",$NN$80*(314-$NR$80+1)*($NS$80-314+1)/$NU$80,$NN$80/$NT$80)),0)</f>
        <v/>
      </c>
      <c r="LG80" s="402">
        <f>IF(AND(315&gt;=$NR$80,315&lt;=$NS$80),IF($NP$80="Single_Point",IF(315=$NR$80,$NN$80,0),IF($NP$80="Bell_Curve",$NN$80*(315-$NR$80+1)*($NS$80-315+1)/$NU$80,$NN$80/$NT$80)),0)</f>
        <v/>
      </c>
      <c r="LH80" s="402">
        <f>IF(AND(316&gt;=$NR$80,316&lt;=$NS$80),IF($NP$80="Single_Point",IF(316=$NR$80,$NN$80,0),IF($NP$80="Bell_Curve",$NN$80*(316-$NR$80+1)*($NS$80-316+1)/$NU$80,$NN$80/$NT$80)),0)</f>
        <v/>
      </c>
      <c r="LI80" s="402">
        <f>IF(AND(317&gt;=$NR$80,317&lt;=$NS$80),IF($NP$80="Single_Point",IF(317=$NR$80,$NN$80,0),IF($NP$80="Bell_Curve",$NN$80*(317-$NR$80+1)*($NS$80-317+1)/$NU$80,$NN$80/$NT$80)),0)</f>
        <v/>
      </c>
      <c r="LJ80" s="402">
        <f>IF(AND(318&gt;=$NR$80,318&lt;=$NS$80),IF($NP$80="Single_Point",IF(318=$NR$80,$NN$80,0),IF($NP$80="Bell_Curve",$NN$80*(318-$NR$80+1)*($NS$80-318+1)/$NU$80,$NN$80/$NT$80)),0)</f>
        <v/>
      </c>
      <c r="LK80" s="402">
        <f>IF(AND(319&gt;=$NR$80,319&lt;=$NS$80),IF($NP$80="Single_Point",IF(319=$NR$80,$NN$80,0),IF($NP$80="Bell_Curve",$NN$80*(319-$NR$80+1)*($NS$80-319+1)/$NU$80,$NN$80/$NT$80)),0)</f>
        <v/>
      </c>
      <c r="LL80" s="402">
        <f>IF(AND(320&gt;=$NR$80,320&lt;=$NS$80),IF($NP$80="Single_Point",IF(320=$NR$80,$NN$80,0),IF($NP$80="Bell_Curve",$NN$80*(320-$NR$80+1)*($NS$80-320+1)/$NU$80,$NN$80/$NT$80)),0)</f>
        <v/>
      </c>
      <c r="LM80" s="402">
        <f>IF(AND(321&gt;=$NR$80,321&lt;=$NS$80),IF($NP$80="Single_Point",IF(321=$NR$80,$NN$80,0),IF($NP$80="Bell_Curve",$NN$80*(321-$NR$80+1)*($NS$80-321+1)/$NU$80,$NN$80/$NT$80)),0)</f>
        <v/>
      </c>
      <c r="LN80" s="402">
        <f>IF(AND(322&gt;=$NR$80,322&lt;=$NS$80),IF($NP$80="Single_Point",IF(322=$NR$80,$NN$80,0),IF($NP$80="Bell_Curve",$NN$80*(322-$NR$80+1)*($NS$80-322+1)/$NU$80,$NN$80/$NT$80)),0)</f>
        <v/>
      </c>
      <c r="LO80" s="402">
        <f>IF(AND(323&gt;=$NR$80,323&lt;=$NS$80),IF($NP$80="Single_Point",IF(323=$NR$80,$NN$80,0),IF($NP$80="Bell_Curve",$NN$80*(323-$NR$80+1)*($NS$80-323+1)/$NU$80,$NN$80/$NT$80)),0)</f>
        <v/>
      </c>
      <c r="LP80" s="402">
        <f>IF(AND(324&gt;=$NR$80,324&lt;=$NS$80),IF($NP$80="Single_Point",IF(324=$NR$80,$NN$80,0),IF($NP$80="Bell_Curve",$NN$80*(324-$NR$80+1)*($NS$80-324+1)/$NU$80,$NN$80/$NT$80)),0)</f>
        <v/>
      </c>
      <c r="LQ80" s="402">
        <f>IF(AND(325&gt;=$NR$80,325&lt;=$NS$80),IF($NP$80="Single_Point",IF(325=$NR$80,$NN$80,0),IF($NP$80="Bell_Curve",$NN$80*(325-$NR$80+1)*($NS$80-325+1)/$NU$80,$NN$80/$NT$80)),0)</f>
        <v/>
      </c>
      <c r="LR80" s="402">
        <f>IF(AND(326&gt;=$NR$80,326&lt;=$NS$80),IF($NP$80="Single_Point",IF(326=$NR$80,$NN$80,0),IF($NP$80="Bell_Curve",$NN$80*(326-$NR$80+1)*($NS$80-326+1)/$NU$80,$NN$80/$NT$80)),0)</f>
        <v/>
      </c>
      <c r="LS80" s="402">
        <f>IF(AND(327&gt;=$NR$80,327&lt;=$NS$80),IF($NP$80="Single_Point",IF(327=$NR$80,$NN$80,0),IF($NP$80="Bell_Curve",$NN$80*(327-$NR$80+1)*($NS$80-327+1)/$NU$80,$NN$80/$NT$80)),0)</f>
        <v/>
      </c>
      <c r="LT80" s="402">
        <f>IF(AND(328&gt;=$NR$80,328&lt;=$NS$80),IF($NP$80="Single_Point",IF(328=$NR$80,$NN$80,0),IF($NP$80="Bell_Curve",$NN$80*(328-$NR$80+1)*($NS$80-328+1)/$NU$80,$NN$80/$NT$80)),0)</f>
        <v/>
      </c>
      <c r="LU80" s="402">
        <f>IF(AND(329&gt;=$NR$80,329&lt;=$NS$80),IF($NP$80="Single_Point",IF(329=$NR$80,$NN$80,0),IF($NP$80="Bell_Curve",$NN$80*(329-$NR$80+1)*($NS$80-329+1)/$NU$80,$NN$80/$NT$80)),0)</f>
        <v/>
      </c>
      <c r="LV80" s="402">
        <f>IF(AND(330&gt;=$NR$80,330&lt;=$NS$80),IF($NP$80="Single_Point",IF(330=$NR$80,$NN$80,0),IF($NP$80="Bell_Curve",$NN$80*(330-$NR$80+1)*($NS$80-330+1)/$NU$80,$NN$80/$NT$80)),0)</f>
        <v/>
      </c>
      <c r="LW80" s="402">
        <f>IF(AND(331&gt;=$NR$80,331&lt;=$NS$80),IF($NP$80="Single_Point",IF(331=$NR$80,$NN$80,0),IF($NP$80="Bell_Curve",$NN$80*(331-$NR$80+1)*($NS$80-331+1)/$NU$80,$NN$80/$NT$80)),0)</f>
        <v/>
      </c>
      <c r="LX80" s="402">
        <f>IF(AND(332&gt;=$NR$80,332&lt;=$NS$80),IF($NP$80="Single_Point",IF(332=$NR$80,$NN$80,0),IF($NP$80="Bell_Curve",$NN$80*(332-$NR$80+1)*($NS$80-332+1)/$NU$80,$NN$80/$NT$80)),0)</f>
        <v/>
      </c>
      <c r="LY80" s="402">
        <f>IF(AND(333&gt;=$NR$80,333&lt;=$NS$80),IF($NP$80="Single_Point",IF(333=$NR$80,$NN$80,0),IF($NP$80="Bell_Curve",$NN$80*(333-$NR$80+1)*($NS$80-333+1)/$NU$80,$NN$80/$NT$80)),0)</f>
        <v/>
      </c>
      <c r="LZ80" s="402">
        <f>IF(AND(334&gt;=$NR$80,334&lt;=$NS$80),IF($NP$80="Single_Point",IF(334=$NR$80,$NN$80,0),IF($NP$80="Bell_Curve",$NN$80*(334-$NR$80+1)*($NS$80-334+1)/$NU$80,$NN$80/$NT$80)),0)</f>
        <v/>
      </c>
      <c r="MA80" s="402">
        <f>IF(AND(335&gt;=$NR$80,335&lt;=$NS$80),IF($NP$80="Single_Point",IF(335=$NR$80,$NN$80,0),IF($NP$80="Bell_Curve",$NN$80*(335-$NR$80+1)*($NS$80-335+1)/$NU$80,$NN$80/$NT$80)),0)</f>
        <v/>
      </c>
      <c r="MB80" s="402">
        <f>IF(AND(336&gt;=$NR$80,336&lt;=$NS$80),IF($NP$80="Single_Point",IF(336=$NR$80,$NN$80,0),IF($NP$80="Bell_Curve",$NN$80*(336-$NR$80+1)*($NS$80-336+1)/$NU$80,$NN$80/$NT$80)),0)</f>
        <v/>
      </c>
      <c r="MC80" s="402">
        <f>IF(AND(337&gt;=$NR$80,337&lt;=$NS$80),IF($NP$80="Single_Point",IF(337=$NR$80,$NN$80,0),IF($NP$80="Bell_Curve",$NN$80*(337-$NR$80+1)*($NS$80-337+1)/$NU$80,$NN$80/$NT$80)),0)</f>
        <v/>
      </c>
      <c r="MD80" s="402">
        <f>IF(AND(338&gt;=$NR$80,338&lt;=$NS$80),IF($NP$80="Single_Point",IF(338=$NR$80,$NN$80,0),IF($NP$80="Bell_Curve",$NN$80*(338-$NR$80+1)*($NS$80-338+1)/$NU$80,$NN$80/$NT$80)),0)</f>
        <v/>
      </c>
      <c r="ME80" s="402">
        <f>IF(AND(339&gt;=$NR$80,339&lt;=$NS$80),IF($NP$80="Single_Point",IF(339=$NR$80,$NN$80,0),IF($NP$80="Bell_Curve",$NN$80*(339-$NR$80+1)*($NS$80-339+1)/$NU$80,$NN$80/$NT$80)),0)</f>
        <v/>
      </c>
      <c r="MF80" s="402">
        <f>IF(AND(340&gt;=$NR$80,340&lt;=$NS$80),IF($NP$80="Single_Point",IF(340=$NR$80,$NN$80,0),IF($NP$80="Bell_Curve",$NN$80*(340-$NR$80+1)*($NS$80-340+1)/$NU$80,$NN$80/$NT$80)),0)</f>
        <v/>
      </c>
      <c r="MG80" s="402">
        <f>IF(AND(341&gt;=$NR$80,341&lt;=$NS$80),IF($NP$80="Single_Point",IF(341=$NR$80,$NN$80,0),IF($NP$80="Bell_Curve",$NN$80*(341-$NR$80+1)*($NS$80-341+1)/$NU$80,$NN$80/$NT$80)),0)</f>
        <v/>
      </c>
      <c r="MH80" s="402">
        <f>IF(AND(342&gt;=$NR$80,342&lt;=$NS$80),IF($NP$80="Single_Point",IF(342=$NR$80,$NN$80,0),IF($NP$80="Bell_Curve",$NN$80*(342-$NR$80+1)*($NS$80-342+1)/$NU$80,$NN$80/$NT$80)),0)</f>
        <v/>
      </c>
      <c r="MI80" s="402">
        <f>IF(AND(343&gt;=$NR$80,343&lt;=$NS$80),IF($NP$80="Single_Point",IF(343=$NR$80,$NN$80,0),IF($NP$80="Bell_Curve",$NN$80*(343-$NR$80+1)*($NS$80-343+1)/$NU$80,$NN$80/$NT$80)),0)</f>
        <v/>
      </c>
      <c r="MJ80" s="402">
        <f>IF(AND(344&gt;=$NR$80,344&lt;=$NS$80),IF($NP$80="Single_Point",IF(344=$NR$80,$NN$80,0),IF($NP$80="Bell_Curve",$NN$80*(344-$NR$80+1)*($NS$80-344+1)/$NU$80,$NN$80/$NT$80)),0)</f>
        <v/>
      </c>
      <c r="MK80" s="402">
        <f>IF(AND(345&gt;=$NR$80,345&lt;=$NS$80),IF($NP$80="Single_Point",IF(345=$NR$80,$NN$80,0),IF($NP$80="Bell_Curve",$NN$80*(345-$NR$80+1)*($NS$80-345+1)/$NU$80,$NN$80/$NT$80)),0)</f>
        <v/>
      </c>
      <c r="ML80" s="402">
        <f>IF(AND(346&gt;=$NR$80,346&lt;=$NS$80),IF($NP$80="Single_Point",IF(346=$NR$80,$NN$80,0),IF($NP$80="Bell_Curve",$NN$80*(346-$NR$80+1)*($NS$80-346+1)/$NU$80,$NN$80/$NT$80)),0)</f>
        <v/>
      </c>
      <c r="MM80" s="402">
        <f>IF(AND(347&gt;=$NR$80,347&lt;=$NS$80),IF($NP$80="Single_Point",IF(347=$NR$80,$NN$80,0),IF($NP$80="Bell_Curve",$NN$80*(347-$NR$80+1)*($NS$80-347+1)/$NU$80,$NN$80/$NT$80)),0)</f>
        <v/>
      </c>
      <c r="MN80" s="402">
        <f>IF(AND(348&gt;=$NR$80,348&lt;=$NS$80),IF($NP$80="Single_Point",IF(348=$NR$80,$NN$80,0),IF($NP$80="Bell_Curve",$NN$80*(348-$NR$80+1)*($NS$80-348+1)/$NU$80,$NN$80/$NT$80)),0)</f>
        <v/>
      </c>
      <c r="MO80" s="402">
        <f>IF(AND(349&gt;=$NR$80,349&lt;=$NS$80),IF($NP$80="Single_Point",IF(349=$NR$80,$NN$80,0),IF($NP$80="Bell_Curve",$NN$80*(349-$NR$80+1)*($NS$80-349+1)/$NU$80,$NN$80/$NT$80)),0)</f>
        <v/>
      </c>
      <c r="MP80" s="402">
        <f>IF(AND(350&gt;=$NR$80,350&lt;=$NS$80),IF($NP$80="Single_Point",IF(350=$NR$80,$NN$80,0),IF($NP$80="Bell_Curve",$NN$80*(350-$NR$80+1)*($NS$80-350+1)/$NU$80,$NN$80/$NT$80)),0)</f>
        <v/>
      </c>
      <c r="MQ80" s="402">
        <f>IF(AND(351&gt;=$NR$80,351&lt;=$NS$80),IF($NP$80="Single_Point",IF(351=$NR$80,$NN$80,0),IF($NP$80="Bell_Curve",$NN$80*(351-$NR$80+1)*($NS$80-351+1)/$NU$80,$NN$80/$NT$80)),0)</f>
        <v/>
      </c>
      <c r="MR80" s="402">
        <f>IF(AND(352&gt;=$NR$80,352&lt;=$NS$80),IF($NP$80="Single_Point",IF(352=$NR$80,$NN$80,0),IF($NP$80="Bell_Curve",$NN$80*(352-$NR$80+1)*($NS$80-352+1)/$NU$80,$NN$80/$NT$80)),0)</f>
        <v/>
      </c>
      <c r="MS80" s="402">
        <f>IF(AND(353&gt;=$NR$80,353&lt;=$NS$80),IF($NP$80="Single_Point",IF(353=$NR$80,$NN$80,0),IF($NP$80="Bell_Curve",$NN$80*(353-$NR$80+1)*($NS$80-353+1)/$NU$80,$NN$80/$NT$80)),0)</f>
        <v/>
      </c>
      <c r="MT80" s="402">
        <f>IF(AND(354&gt;=$NR$80,354&lt;=$NS$80),IF($NP$80="Single_Point",IF(354=$NR$80,$NN$80,0),IF($NP$80="Bell_Curve",$NN$80*(354-$NR$80+1)*($NS$80-354+1)/$NU$80,$NN$80/$NT$80)),0)</f>
        <v/>
      </c>
      <c r="MU80" s="402">
        <f>IF(AND(355&gt;=$NR$80,355&lt;=$NS$80),IF($NP$80="Single_Point",IF(355=$NR$80,$NN$80,0),IF($NP$80="Bell_Curve",$NN$80*(355-$NR$80+1)*($NS$80-355+1)/$NU$80,$NN$80/$NT$80)),0)</f>
        <v/>
      </c>
      <c r="MV80" s="402">
        <f>IF(AND(356&gt;=$NR$80,356&lt;=$NS$80),IF($NP$80="Single_Point",IF(356=$NR$80,$NN$80,0),IF($NP$80="Bell_Curve",$NN$80*(356-$NR$80+1)*($NS$80-356+1)/$NU$80,$NN$80/$NT$80)),0)</f>
        <v/>
      </c>
      <c r="MW80" s="402">
        <f>IF(AND(357&gt;=$NR$80,357&lt;=$NS$80),IF($NP$80="Single_Point",IF(357=$NR$80,$NN$80,0),IF($NP$80="Bell_Curve",$NN$80*(357-$NR$80+1)*($NS$80-357+1)/$NU$80,$NN$80/$NT$80)),0)</f>
        <v/>
      </c>
      <c r="MX80" s="402">
        <f>IF(AND(358&gt;=$NR$80,358&lt;=$NS$80),IF($NP$80="Single_Point",IF(358=$NR$80,$NN$80,0),IF($NP$80="Bell_Curve",$NN$80*(358-$NR$80+1)*($NS$80-358+1)/$NU$80,$NN$80/$NT$80)),0)</f>
        <v/>
      </c>
      <c r="MY80" s="402">
        <f>IF(AND(359&gt;=$NR$80,359&lt;=$NS$80),IF($NP$80="Single_Point",IF(359=$NR$80,$NN$80,0),IF($NP$80="Bell_Curve",$NN$80*(359-$NR$80+1)*($NS$80-359+1)/$NU$80,$NN$80/$NT$80)),0)</f>
        <v/>
      </c>
      <c r="MZ80" s="402">
        <f>IF(AND(360&gt;=$NR$80,360&lt;=$NS$80),IF($NP$80="Single_Point",IF(360=$NR$80,$NN$80,0),IF($NP$80="Bell_Curve",$NN$80*(360-$NR$80+1)*($NS$80-360+1)/$NU$80,$NN$80/$NT$80)),0)</f>
        <v/>
      </c>
      <c r="NA80" s="402">
        <f>IF(AND(361&gt;=$NR$80,361&lt;=$NS$80),IF($NP$80="Single_Point",IF(361=$NR$80,$NN$80,0),IF($NP$80="Bell_Curve",$NN$80*(361-$NR$80+1)*($NS$80-361+1)/$NU$80,$NN$80/$NT$80)),0)</f>
        <v/>
      </c>
      <c r="NB80" s="402">
        <f>IF(AND(362&gt;=$NR$80,362&lt;=$NS$80),IF($NP$80="Single_Point",IF(362=$NR$80,$NN$80,0),IF($NP$80="Bell_Curve",$NN$80*(362-$NR$80+1)*($NS$80-362+1)/$NU$80,$NN$80/$NT$80)),0)</f>
        <v/>
      </c>
      <c r="NC80" s="402">
        <f>IF(AND(363&gt;=$NR$80,363&lt;=$NS$80),IF($NP$80="Single_Point",IF(363=$NR$80,$NN$80,0),IF($NP$80="Bell_Curve",$NN$80*(363-$NR$80+1)*($NS$80-363+1)/$NU$80,$NN$80/$NT$80)),0)</f>
        <v/>
      </c>
      <c r="ND80" s="402">
        <f>IF(AND(364&gt;=$NR$80,364&lt;=$NS$80),IF($NP$80="Single_Point",IF(364=$NR$80,$NN$80,0),IF($NP$80="Bell_Curve",$NN$80*(364-$NR$80+1)*($NS$80-364+1)/$NU$80,$NN$80/$NT$80)),0)</f>
        <v/>
      </c>
      <c r="NE80" s="402">
        <f>IF(AND(365&gt;=$NR$80,365&lt;=$NS$80),IF($NP$80="Single_Point",IF(365=$NR$80,$NN$80,0),IF($NP$80="Bell_Curve",$NN$80*(365-$NR$80+1)*($NS$80-365+1)/$NU$80,$NN$80/$NT$80)),0)</f>
        <v/>
      </c>
      <c r="NF80" s="402">
        <f>IF(AND(366&gt;=$NR$80,366&lt;=$NS$80),IF($NP$80="Single_Point",IF(366=$NR$80,$NN$80,0),IF($NP$80="Bell_Curve",$NN$80*(366-$NR$80+1)*($NS$80-366+1)/$NU$80,$NN$80/$NT$80)),0)</f>
        <v/>
      </c>
      <c r="NG80" s="402">
        <f>IF(AND(367&gt;=$NR$80,367&lt;=$NS$80),IF($NP$80="Single_Point",IF(367=$NR$80,$NN$80,0),IF($NP$80="Bell_Curve",$NN$80*(367-$NR$80+1)*($NS$80-367+1)/$NU$80,$NN$80/$NT$80)),0)</f>
        <v/>
      </c>
      <c r="NH80" s="402">
        <f>IF(AND(368&gt;=$NR$80,368&lt;=$NS$80),IF($NP$80="Single_Point",IF(368=$NR$80,$NN$80,0),IF($NP$80="Bell_Curve",$NN$80*(368-$NR$80+1)*($NS$80-368+1)/$NU$80,$NN$80/$NT$80)),0)</f>
        <v/>
      </c>
      <c r="NI80" s="402">
        <f>IF(AND(369&gt;=$NR$80,369&lt;=$NS$80),IF($NP$80="Single_Point",IF(369=$NR$80,$NN$80,0),IF($NP$80="Bell_Curve",$NN$80*(369-$NR$80+1)*($NS$80-369+1)/$NU$80,$NN$80/$NT$80)),0)</f>
        <v/>
      </c>
      <c r="NJ80" s="402">
        <f>IF(AND(370&gt;=$NR$80,370&lt;=$NS$80),IF($NP$80="Single_Point",IF(370=$NR$80,$NN$80,0),IF($NP$80="Bell_Curve",$NN$80*(370-$NR$80+1)*($NS$80-370+1)/$NU$80,$NN$80/$NT$80)),0)</f>
        <v/>
      </c>
      <c r="NK80" s="402">
        <f>IF(AND(371&gt;=$NR$80,371&lt;=$NS$80),IF($NP$80="Single_Point",IF(371=$NR$80,$NN$80,0),IF($NP$80="Bell_Curve",$NN$80*(371-$NR$80+1)*($NS$80-371+1)/$NU$80,$NN$80/$NT$80)),0)</f>
        <v/>
      </c>
      <c r="NL80" s="402">
        <f>IF(AND(372&gt;=$NR$80,372&lt;=$NS$80),IF($NP$80="Single_Point",IF(372=$NR$80,$NN$80,0),IF($NP$80="Bell_Curve",$NN$80*(372-$NR$80+1)*($NS$80-372+1)/$NU$80,$NN$80/$NT$80)),0)</f>
        <v/>
      </c>
      <c r="NM80">
        <f>Budget!C79</f>
        <v/>
      </c>
      <c r="NN80">
        <f>Budget!J79</f>
        <v/>
      </c>
      <c r="NO80">
        <f>Budget!G79</f>
        <v/>
      </c>
      <c r="NP80">
        <f>Budget!H79</f>
        <v/>
      </c>
      <c r="NQ80">
        <f>Budget!I79</f>
        <v/>
      </c>
      <c r="NR80">
        <f>MAX(1,MIN(372,INDEX(MilestoneStart,MATCH(NO80,MilestoneNames,0))+NQ80))</f>
        <v/>
      </c>
      <c r="NS80">
        <f>MAX(NR80,MIN(372,INDEX(MilestoneEnd,MATCH(NO80,MilestoneNames,0))+NQ80))</f>
        <v/>
      </c>
      <c r="NT80">
        <f>NS80-NR80+1</f>
        <v/>
      </c>
      <c r="NU80">
        <f>NT80*(NT80+1)*(NT80+2)/6</f>
        <v/>
      </c>
    </row>
    <row r="81">
      <c r="B81" s="316">
        <f>Budget!B80</f>
        <v/>
      </c>
      <c r="D81" s="402">
        <f>SUM(E81:NL81)</f>
        <v/>
      </c>
      <c r="E81" s="402">
        <f>IF(AND(1&gt;=$NR$81,1&lt;=$NS$81),IF($NP$81="Single_Point",IF(1=$NR$81,$NN$81,0),IF($NP$81="Bell_Curve",$NN$81*(1-$NR$81+1)*($NS$81-1+1)/$NU$81,$NN$81/$NT$81)),0)</f>
        <v/>
      </c>
      <c r="F81" s="402">
        <f>IF(AND(2&gt;=$NR$81,2&lt;=$NS$81),IF($NP$81="Single_Point",IF(2=$NR$81,$NN$81,0),IF($NP$81="Bell_Curve",$NN$81*(2-$NR$81+1)*($NS$81-2+1)/$NU$81,$NN$81/$NT$81)),0)</f>
        <v/>
      </c>
      <c r="G81" s="402">
        <f>IF(AND(3&gt;=$NR$81,3&lt;=$NS$81),IF($NP$81="Single_Point",IF(3=$NR$81,$NN$81,0),IF($NP$81="Bell_Curve",$NN$81*(3-$NR$81+1)*($NS$81-3+1)/$NU$81,$NN$81/$NT$81)),0)</f>
        <v/>
      </c>
      <c r="H81" s="402">
        <f>IF(AND(4&gt;=$NR$81,4&lt;=$NS$81),IF($NP$81="Single_Point",IF(4=$NR$81,$NN$81,0),IF($NP$81="Bell_Curve",$NN$81*(4-$NR$81+1)*($NS$81-4+1)/$NU$81,$NN$81/$NT$81)),0)</f>
        <v/>
      </c>
      <c r="I81" s="402">
        <f>IF(AND(5&gt;=$NR$81,5&lt;=$NS$81),IF($NP$81="Single_Point",IF(5=$NR$81,$NN$81,0),IF($NP$81="Bell_Curve",$NN$81*(5-$NR$81+1)*($NS$81-5+1)/$NU$81,$NN$81/$NT$81)),0)</f>
        <v/>
      </c>
      <c r="J81" s="402">
        <f>IF(AND(6&gt;=$NR$81,6&lt;=$NS$81),IF($NP$81="Single_Point",IF(6=$NR$81,$NN$81,0),IF($NP$81="Bell_Curve",$NN$81*(6-$NR$81+1)*($NS$81-6+1)/$NU$81,$NN$81/$NT$81)),0)</f>
        <v/>
      </c>
      <c r="K81" s="402">
        <f>IF(AND(7&gt;=$NR$81,7&lt;=$NS$81),IF($NP$81="Single_Point",IF(7=$NR$81,$NN$81,0),IF($NP$81="Bell_Curve",$NN$81*(7-$NR$81+1)*($NS$81-7+1)/$NU$81,$NN$81/$NT$81)),0)</f>
        <v/>
      </c>
      <c r="L81" s="402">
        <f>IF(AND(8&gt;=$NR$81,8&lt;=$NS$81),IF($NP$81="Single_Point",IF(8=$NR$81,$NN$81,0),IF($NP$81="Bell_Curve",$NN$81*(8-$NR$81+1)*($NS$81-8+1)/$NU$81,$NN$81/$NT$81)),0)</f>
        <v/>
      </c>
      <c r="M81" s="402">
        <f>IF(AND(9&gt;=$NR$81,9&lt;=$NS$81),IF($NP$81="Single_Point",IF(9=$NR$81,$NN$81,0),IF($NP$81="Bell_Curve",$NN$81*(9-$NR$81+1)*($NS$81-9+1)/$NU$81,$NN$81/$NT$81)),0)</f>
        <v/>
      </c>
      <c r="N81" s="402">
        <f>IF(AND(10&gt;=$NR$81,10&lt;=$NS$81),IF($NP$81="Single_Point",IF(10=$NR$81,$NN$81,0),IF($NP$81="Bell_Curve",$NN$81*(10-$NR$81+1)*($NS$81-10+1)/$NU$81,$NN$81/$NT$81)),0)</f>
        <v/>
      </c>
      <c r="O81" s="402">
        <f>IF(AND(11&gt;=$NR$81,11&lt;=$NS$81),IF($NP$81="Single_Point",IF(11=$NR$81,$NN$81,0),IF($NP$81="Bell_Curve",$NN$81*(11-$NR$81+1)*($NS$81-11+1)/$NU$81,$NN$81/$NT$81)),0)</f>
        <v/>
      </c>
      <c r="P81" s="402">
        <f>IF(AND(12&gt;=$NR$81,12&lt;=$NS$81),IF($NP$81="Single_Point",IF(12=$NR$81,$NN$81,0),IF($NP$81="Bell_Curve",$NN$81*(12-$NR$81+1)*($NS$81-12+1)/$NU$81,$NN$81/$NT$81)),0)</f>
        <v/>
      </c>
      <c r="Q81" s="402">
        <f>IF(AND(13&gt;=$NR$81,13&lt;=$NS$81),IF($NP$81="Single_Point",IF(13=$NR$81,$NN$81,0),IF($NP$81="Bell_Curve",$NN$81*(13-$NR$81+1)*($NS$81-13+1)/$NU$81,$NN$81/$NT$81)),0)</f>
        <v/>
      </c>
      <c r="R81" s="402">
        <f>IF(AND(14&gt;=$NR$81,14&lt;=$NS$81),IF($NP$81="Single_Point",IF(14=$NR$81,$NN$81,0),IF($NP$81="Bell_Curve",$NN$81*(14-$NR$81+1)*($NS$81-14+1)/$NU$81,$NN$81/$NT$81)),0)</f>
        <v/>
      </c>
      <c r="S81" s="402">
        <f>IF(AND(15&gt;=$NR$81,15&lt;=$NS$81),IF($NP$81="Single_Point",IF(15=$NR$81,$NN$81,0),IF($NP$81="Bell_Curve",$NN$81*(15-$NR$81+1)*($NS$81-15+1)/$NU$81,$NN$81/$NT$81)),0)</f>
        <v/>
      </c>
      <c r="T81" s="402">
        <f>IF(AND(16&gt;=$NR$81,16&lt;=$NS$81),IF($NP$81="Single_Point",IF(16=$NR$81,$NN$81,0),IF($NP$81="Bell_Curve",$NN$81*(16-$NR$81+1)*($NS$81-16+1)/$NU$81,$NN$81/$NT$81)),0)</f>
        <v/>
      </c>
      <c r="U81" s="402">
        <f>IF(AND(17&gt;=$NR$81,17&lt;=$NS$81),IF($NP$81="Single_Point",IF(17=$NR$81,$NN$81,0),IF($NP$81="Bell_Curve",$NN$81*(17-$NR$81+1)*($NS$81-17+1)/$NU$81,$NN$81/$NT$81)),0)</f>
        <v/>
      </c>
      <c r="V81" s="402">
        <f>IF(AND(18&gt;=$NR$81,18&lt;=$NS$81),IF($NP$81="Single_Point",IF(18=$NR$81,$NN$81,0),IF($NP$81="Bell_Curve",$NN$81*(18-$NR$81+1)*($NS$81-18+1)/$NU$81,$NN$81/$NT$81)),0)</f>
        <v/>
      </c>
      <c r="W81" s="402">
        <f>IF(AND(19&gt;=$NR$81,19&lt;=$NS$81),IF($NP$81="Single_Point",IF(19=$NR$81,$NN$81,0),IF($NP$81="Bell_Curve",$NN$81*(19-$NR$81+1)*($NS$81-19+1)/$NU$81,$NN$81/$NT$81)),0)</f>
        <v/>
      </c>
      <c r="X81" s="402">
        <f>IF(AND(20&gt;=$NR$81,20&lt;=$NS$81),IF($NP$81="Single_Point",IF(20=$NR$81,$NN$81,0),IF($NP$81="Bell_Curve",$NN$81*(20-$NR$81+1)*($NS$81-20+1)/$NU$81,$NN$81/$NT$81)),0)</f>
        <v/>
      </c>
      <c r="Y81" s="402">
        <f>IF(AND(21&gt;=$NR$81,21&lt;=$NS$81),IF($NP$81="Single_Point",IF(21=$NR$81,$NN$81,0),IF($NP$81="Bell_Curve",$NN$81*(21-$NR$81+1)*($NS$81-21+1)/$NU$81,$NN$81/$NT$81)),0)</f>
        <v/>
      </c>
      <c r="Z81" s="402">
        <f>IF(AND(22&gt;=$NR$81,22&lt;=$NS$81),IF($NP$81="Single_Point",IF(22=$NR$81,$NN$81,0),IF($NP$81="Bell_Curve",$NN$81*(22-$NR$81+1)*($NS$81-22+1)/$NU$81,$NN$81/$NT$81)),0)</f>
        <v/>
      </c>
      <c r="AA81" s="402">
        <f>IF(AND(23&gt;=$NR$81,23&lt;=$NS$81),IF($NP$81="Single_Point",IF(23=$NR$81,$NN$81,0),IF($NP$81="Bell_Curve",$NN$81*(23-$NR$81+1)*($NS$81-23+1)/$NU$81,$NN$81/$NT$81)),0)</f>
        <v/>
      </c>
      <c r="AB81" s="402">
        <f>IF(AND(24&gt;=$NR$81,24&lt;=$NS$81),IF($NP$81="Single_Point",IF(24=$NR$81,$NN$81,0),IF($NP$81="Bell_Curve",$NN$81*(24-$NR$81+1)*($NS$81-24+1)/$NU$81,$NN$81/$NT$81)),0)</f>
        <v/>
      </c>
      <c r="AC81" s="402">
        <f>IF(AND(25&gt;=$NR$81,25&lt;=$NS$81),IF($NP$81="Single_Point",IF(25=$NR$81,$NN$81,0),IF($NP$81="Bell_Curve",$NN$81*(25-$NR$81+1)*($NS$81-25+1)/$NU$81,$NN$81/$NT$81)),0)</f>
        <v/>
      </c>
      <c r="AD81" s="402">
        <f>IF(AND(26&gt;=$NR$81,26&lt;=$NS$81),IF($NP$81="Single_Point",IF(26=$NR$81,$NN$81,0),IF($NP$81="Bell_Curve",$NN$81*(26-$NR$81+1)*($NS$81-26+1)/$NU$81,$NN$81/$NT$81)),0)</f>
        <v/>
      </c>
      <c r="AE81" s="402">
        <f>IF(AND(27&gt;=$NR$81,27&lt;=$NS$81),IF($NP$81="Single_Point",IF(27=$NR$81,$NN$81,0),IF($NP$81="Bell_Curve",$NN$81*(27-$NR$81+1)*($NS$81-27+1)/$NU$81,$NN$81/$NT$81)),0)</f>
        <v/>
      </c>
      <c r="AF81" s="402">
        <f>IF(AND(28&gt;=$NR$81,28&lt;=$NS$81),IF($NP$81="Single_Point",IF(28=$NR$81,$NN$81,0),IF($NP$81="Bell_Curve",$NN$81*(28-$NR$81+1)*($NS$81-28+1)/$NU$81,$NN$81/$NT$81)),0)</f>
        <v/>
      </c>
      <c r="AG81" s="402">
        <f>IF(AND(29&gt;=$NR$81,29&lt;=$NS$81),IF($NP$81="Single_Point",IF(29=$NR$81,$NN$81,0),IF($NP$81="Bell_Curve",$NN$81*(29-$NR$81+1)*($NS$81-29+1)/$NU$81,$NN$81/$NT$81)),0)</f>
        <v/>
      </c>
      <c r="AH81" s="402">
        <f>IF(AND(30&gt;=$NR$81,30&lt;=$NS$81),IF($NP$81="Single_Point",IF(30=$NR$81,$NN$81,0),IF($NP$81="Bell_Curve",$NN$81*(30-$NR$81+1)*($NS$81-30+1)/$NU$81,$NN$81/$NT$81)),0)</f>
        <v/>
      </c>
      <c r="AI81" s="402">
        <f>IF(AND(31&gt;=$NR$81,31&lt;=$NS$81),IF($NP$81="Single_Point",IF(31=$NR$81,$NN$81,0),IF($NP$81="Bell_Curve",$NN$81*(31-$NR$81+1)*($NS$81-31+1)/$NU$81,$NN$81/$NT$81)),0)</f>
        <v/>
      </c>
      <c r="AJ81" s="402">
        <f>IF(AND(32&gt;=$NR$81,32&lt;=$NS$81),IF($NP$81="Single_Point",IF(32=$NR$81,$NN$81,0),IF($NP$81="Bell_Curve",$NN$81*(32-$NR$81+1)*($NS$81-32+1)/$NU$81,$NN$81/$NT$81)),0)</f>
        <v/>
      </c>
      <c r="AK81" s="402">
        <f>IF(AND(33&gt;=$NR$81,33&lt;=$NS$81),IF($NP$81="Single_Point",IF(33=$NR$81,$NN$81,0),IF($NP$81="Bell_Curve",$NN$81*(33-$NR$81+1)*($NS$81-33+1)/$NU$81,$NN$81/$NT$81)),0)</f>
        <v/>
      </c>
      <c r="AL81" s="402">
        <f>IF(AND(34&gt;=$NR$81,34&lt;=$NS$81),IF($NP$81="Single_Point",IF(34=$NR$81,$NN$81,0),IF($NP$81="Bell_Curve",$NN$81*(34-$NR$81+1)*($NS$81-34+1)/$NU$81,$NN$81/$NT$81)),0)</f>
        <v/>
      </c>
      <c r="AM81" s="402">
        <f>IF(AND(35&gt;=$NR$81,35&lt;=$NS$81),IF($NP$81="Single_Point",IF(35=$NR$81,$NN$81,0),IF($NP$81="Bell_Curve",$NN$81*(35-$NR$81+1)*($NS$81-35+1)/$NU$81,$NN$81/$NT$81)),0)</f>
        <v/>
      </c>
      <c r="AN81" s="402">
        <f>IF(AND(36&gt;=$NR$81,36&lt;=$NS$81),IF($NP$81="Single_Point",IF(36=$NR$81,$NN$81,0),IF($NP$81="Bell_Curve",$NN$81*(36-$NR$81+1)*($NS$81-36+1)/$NU$81,$NN$81/$NT$81)),0)</f>
        <v/>
      </c>
      <c r="AO81" s="402">
        <f>IF(AND(37&gt;=$NR$81,37&lt;=$NS$81),IF($NP$81="Single_Point",IF(37=$NR$81,$NN$81,0),IF($NP$81="Bell_Curve",$NN$81*(37-$NR$81+1)*($NS$81-37+1)/$NU$81,$NN$81/$NT$81)),0)</f>
        <v/>
      </c>
      <c r="AP81" s="402">
        <f>IF(AND(38&gt;=$NR$81,38&lt;=$NS$81),IF($NP$81="Single_Point",IF(38=$NR$81,$NN$81,0),IF($NP$81="Bell_Curve",$NN$81*(38-$NR$81+1)*($NS$81-38+1)/$NU$81,$NN$81/$NT$81)),0)</f>
        <v/>
      </c>
      <c r="AQ81" s="402">
        <f>IF(AND(39&gt;=$NR$81,39&lt;=$NS$81),IF($NP$81="Single_Point",IF(39=$NR$81,$NN$81,0),IF($NP$81="Bell_Curve",$NN$81*(39-$NR$81+1)*($NS$81-39+1)/$NU$81,$NN$81/$NT$81)),0)</f>
        <v/>
      </c>
      <c r="AR81" s="402">
        <f>IF(AND(40&gt;=$NR$81,40&lt;=$NS$81),IF($NP$81="Single_Point",IF(40=$NR$81,$NN$81,0),IF($NP$81="Bell_Curve",$NN$81*(40-$NR$81+1)*($NS$81-40+1)/$NU$81,$NN$81/$NT$81)),0)</f>
        <v/>
      </c>
      <c r="AS81" s="402">
        <f>IF(AND(41&gt;=$NR$81,41&lt;=$NS$81),IF($NP$81="Single_Point",IF(41=$NR$81,$NN$81,0),IF($NP$81="Bell_Curve",$NN$81*(41-$NR$81+1)*($NS$81-41+1)/$NU$81,$NN$81/$NT$81)),0)</f>
        <v/>
      </c>
      <c r="AT81" s="402">
        <f>IF(AND(42&gt;=$NR$81,42&lt;=$NS$81),IF($NP$81="Single_Point",IF(42=$NR$81,$NN$81,0),IF($NP$81="Bell_Curve",$NN$81*(42-$NR$81+1)*($NS$81-42+1)/$NU$81,$NN$81/$NT$81)),0)</f>
        <v/>
      </c>
      <c r="AU81" s="402">
        <f>IF(AND(43&gt;=$NR$81,43&lt;=$NS$81),IF($NP$81="Single_Point",IF(43=$NR$81,$NN$81,0),IF($NP$81="Bell_Curve",$NN$81*(43-$NR$81+1)*($NS$81-43+1)/$NU$81,$NN$81/$NT$81)),0)</f>
        <v/>
      </c>
      <c r="AV81" s="402">
        <f>IF(AND(44&gt;=$NR$81,44&lt;=$NS$81),IF($NP$81="Single_Point",IF(44=$NR$81,$NN$81,0),IF($NP$81="Bell_Curve",$NN$81*(44-$NR$81+1)*($NS$81-44+1)/$NU$81,$NN$81/$NT$81)),0)</f>
        <v/>
      </c>
      <c r="AW81" s="402">
        <f>IF(AND(45&gt;=$NR$81,45&lt;=$NS$81),IF($NP$81="Single_Point",IF(45=$NR$81,$NN$81,0),IF($NP$81="Bell_Curve",$NN$81*(45-$NR$81+1)*($NS$81-45+1)/$NU$81,$NN$81/$NT$81)),0)</f>
        <v/>
      </c>
      <c r="AX81" s="402">
        <f>IF(AND(46&gt;=$NR$81,46&lt;=$NS$81),IF($NP$81="Single_Point",IF(46=$NR$81,$NN$81,0),IF($NP$81="Bell_Curve",$NN$81*(46-$NR$81+1)*($NS$81-46+1)/$NU$81,$NN$81/$NT$81)),0)</f>
        <v/>
      </c>
      <c r="AY81" s="402">
        <f>IF(AND(47&gt;=$NR$81,47&lt;=$NS$81),IF($NP$81="Single_Point",IF(47=$NR$81,$NN$81,0),IF($NP$81="Bell_Curve",$NN$81*(47-$NR$81+1)*($NS$81-47+1)/$NU$81,$NN$81/$NT$81)),0)</f>
        <v/>
      </c>
      <c r="AZ81" s="402">
        <f>IF(AND(48&gt;=$NR$81,48&lt;=$NS$81),IF($NP$81="Single_Point",IF(48=$NR$81,$NN$81,0),IF($NP$81="Bell_Curve",$NN$81*(48-$NR$81+1)*($NS$81-48+1)/$NU$81,$NN$81/$NT$81)),0)</f>
        <v/>
      </c>
      <c r="BA81" s="402">
        <f>IF(AND(49&gt;=$NR$81,49&lt;=$NS$81),IF($NP$81="Single_Point",IF(49=$NR$81,$NN$81,0),IF($NP$81="Bell_Curve",$NN$81*(49-$NR$81+1)*($NS$81-49+1)/$NU$81,$NN$81/$NT$81)),0)</f>
        <v/>
      </c>
      <c r="BB81" s="402">
        <f>IF(AND(50&gt;=$NR$81,50&lt;=$NS$81),IF($NP$81="Single_Point",IF(50=$NR$81,$NN$81,0),IF($NP$81="Bell_Curve",$NN$81*(50-$NR$81+1)*($NS$81-50+1)/$NU$81,$NN$81/$NT$81)),0)</f>
        <v/>
      </c>
      <c r="BC81" s="402">
        <f>IF(AND(51&gt;=$NR$81,51&lt;=$NS$81),IF($NP$81="Single_Point",IF(51=$NR$81,$NN$81,0),IF($NP$81="Bell_Curve",$NN$81*(51-$NR$81+1)*($NS$81-51+1)/$NU$81,$NN$81/$NT$81)),0)</f>
        <v/>
      </c>
      <c r="BD81" s="402">
        <f>IF(AND(52&gt;=$NR$81,52&lt;=$NS$81),IF($NP$81="Single_Point",IF(52=$NR$81,$NN$81,0),IF($NP$81="Bell_Curve",$NN$81*(52-$NR$81+1)*($NS$81-52+1)/$NU$81,$NN$81/$NT$81)),0)</f>
        <v/>
      </c>
      <c r="BE81" s="402">
        <f>IF(AND(53&gt;=$NR$81,53&lt;=$NS$81),IF($NP$81="Single_Point",IF(53=$NR$81,$NN$81,0),IF($NP$81="Bell_Curve",$NN$81*(53-$NR$81+1)*($NS$81-53+1)/$NU$81,$NN$81/$NT$81)),0)</f>
        <v/>
      </c>
      <c r="BF81" s="402">
        <f>IF(AND(54&gt;=$NR$81,54&lt;=$NS$81),IF($NP$81="Single_Point",IF(54=$NR$81,$NN$81,0),IF($NP$81="Bell_Curve",$NN$81*(54-$NR$81+1)*($NS$81-54+1)/$NU$81,$NN$81/$NT$81)),0)</f>
        <v/>
      </c>
      <c r="BG81" s="402">
        <f>IF(AND(55&gt;=$NR$81,55&lt;=$NS$81),IF($NP$81="Single_Point",IF(55=$NR$81,$NN$81,0),IF($NP$81="Bell_Curve",$NN$81*(55-$NR$81+1)*($NS$81-55+1)/$NU$81,$NN$81/$NT$81)),0)</f>
        <v/>
      </c>
      <c r="BH81" s="402">
        <f>IF(AND(56&gt;=$NR$81,56&lt;=$NS$81),IF($NP$81="Single_Point",IF(56=$NR$81,$NN$81,0),IF($NP$81="Bell_Curve",$NN$81*(56-$NR$81+1)*($NS$81-56+1)/$NU$81,$NN$81/$NT$81)),0)</f>
        <v/>
      </c>
      <c r="BI81" s="402">
        <f>IF(AND(57&gt;=$NR$81,57&lt;=$NS$81),IF($NP$81="Single_Point",IF(57=$NR$81,$NN$81,0),IF($NP$81="Bell_Curve",$NN$81*(57-$NR$81+1)*($NS$81-57+1)/$NU$81,$NN$81/$NT$81)),0)</f>
        <v/>
      </c>
      <c r="BJ81" s="402">
        <f>IF(AND(58&gt;=$NR$81,58&lt;=$NS$81),IF($NP$81="Single_Point",IF(58=$NR$81,$NN$81,0),IF($NP$81="Bell_Curve",$NN$81*(58-$NR$81+1)*($NS$81-58+1)/$NU$81,$NN$81/$NT$81)),0)</f>
        <v/>
      </c>
      <c r="BK81" s="402">
        <f>IF(AND(59&gt;=$NR$81,59&lt;=$NS$81),IF($NP$81="Single_Point",IF(59=$NR$81,$NN$81,0),IF($NP$81="Bell_Curve",$NN$81*(59-$NR$81+1)*($NS$81-59+1)/$NU$81,$NN$81/$NT$81)),0)</f>
        <v/>
      </c>
      <c r="BL81" s="402">
        <f>IF(AND(60&gt;=$NR$81,60&lt;=$NS$81),IF($NP$81="Single_Point",IF(60=$NR$81,$NN$81,0),IF($NP$81="Bell_Curve",$NN$81*(60-$NR$81+1)*($NS$81-60+1)/$NU$81,$NN$81/$NT$81)),0)</f>
        <v/>
      </c>
      <c r="BM81" s="402">
        <f>IF(AND(61&gt;=$NR$81,61&lt;=$NS$81),IF($NP$81="Single_Point",IF(61=$NR$81,$NN$81,0),IF($NP$81="Bell_Curve",$NN$81*(61-$NR$81+1)*($NS$81-61+1)/$NU$81,$NN$81/$NT$81)),0)</f>
        <v/>
      </c>
      <c r="BN81" s="402">
        <f>IF(AND(62&gt;=$NR$81,62&lt;=$NS$81),IF($NP$81="Single_Point",IF(62=$NR$81,$NN$81,0),IF($NP$81="Bell_Curve",$NN$81*(62-$NR$81+1)*($NS$81-62+1)/$NU$81,$NN$81/$NT$81)),0)</f>
        <v/>
      </c>
      <c r="BO81" s="402">
        <f>IF(AND(63&gt;=$NR$81,63&lt;=$NS$81),IF($NP$81="Single_Point",IF(63=$NR$81,$NN$81,0),IF($NP$81="Bell_Curve",$NN$81*(63-$NR$81+1)*($NS$81-63+1)/$NU$81,$NN$81/$NT$81)),0)</f>
        <v/>
      </c>
      <c r="BP81" s="402">
        <f>IF(AND(64&gt;=$NR$81,64&lt;=$NS$81),IF($NP$81="Single_Point",IF(64=$NR$81,$NN$81,0),IF($NP$81="Bell_Curve",$NN$81*(64-$NR$81+1)*($NS$81-64+1)/$NU$81,$NN$81/$NT$81)),0)</f>
        <v/>
      </c>
      <c r="BQ81" s="402">
        <f>IF(AND(65&gt;=$NR$81,65&lt;=$NS$81),IF($NP$81="Single_Point",IF(65=$NR$81,$NN$81,0),IF($NP$81="Bell_Curve",$NN$81*(65-$NR$81+1)*($NS$81-65+1)/$NU$81,$NN$81/$NT$81)),0)</f>
        <v/>
      </c>
      <c r="BR81" s="402">
        <f>IF(AND(66&gt;=$NR$81,66&lt;=$NS$81),IF($NP$81="Single_Point",IF(66=$NR$81,$NN$81,0),IF($NP$81="Bell_Curve",$NN$81*(66-$NR$81+1)*($NS$81-66+1)/$NU$81,$NN$81/$NT$81)),0)</f>
        <v/>
      </c>
      <c r="BS81" s="402">
        <f>IF(AND(67&gt;=$NR$81,67&lt;=$NS$81),IF($NP$81="Single_Point",IF(67=$NR$81,$NN$81,0),IF($NP$81="Bell_Curve",$NN$81*(67-$NR$81+1)*($NS$81-67+1)/$NU$81,$NN$81/$NT$81)),0)</f>
        <v/>
      </c>
      <c r="BT81" s="402">
        <f>IF(AND(68&gt;=$NR$81,68&lt;=$NS$81),IF($NP$81="Single_Point",IF(68=$NR$81,$NN$81,0),IF($NP$81="Bell_Curve",$NN$81*(68-$NR$81+1)*($NS$81-68+1)/$NU$81,$NN$81/$NT$81)),0)</f>
        <v/>
      </c>
      <c r="BU81" s="402">
        <f>IF(AND(69&gt;=$NR$81,69&lt;=$NS$81),IF($NP$81="Single_Point",IF(69=$NR$81,$NN$81,0),IF($NP$81="Bell_Curve",$NN$81*(69-$NR$81+1)*($NS$81-69+1)/$NU$81,$NN$81/$NT$81)),0)</f>
        <v/>
      </c>
      <c r="BV81" s="402">
        <f>IF(AND(70&gt;=$NR$81,70&lt;=$NS$81),IF($NP$81="Single_Point",IF(70=$NR$81,$NN$81,0),IF($NP$81="Bell_Curve",$NN$81*(70-$NR$81+1)*($NS$81-70+1)/$NU$81,$NN$81/$NT$81)),0)</f>
        <v/>
      </c>
      <c r="BW81" s="402">
        <f>IF(AND(71&gt;=$NR$81,71&lt;=$NS$81),IF($NP$81="Single_Point",IF(71=$NR$81,$NN$81,0),IF($NP$81="Bell_Curve",$NN$81*(71-$NR$81+1)*($NS$81-71+1)/$NU$81,$NN$81/$NT$81)),0)</f>
        <v/>
      </c>
      <c r="BX81" s="402">
        <f>IF(AND(72&gt;=$NR$81,72&lt;=$NS$81),IF($NP$81="Single_Point",IF(72=$NR$81,$NN$81,0),IF($NP$81="Bell_Curve",$NN$81*(72-$NR$81+1)*($NS$81-72+1)/$NU$81,$NN$81/$NT$81)),0)</f>
        <v/>
      </c>
      <c r="BY81" s="402">
        <f>IF(AND(73&gt;=$NR$81,73&lt;=$NS$81),IF($NP$81="Single_Point",IF(73=$NR$81,$NN$81,0),IF($NP$81="Bell_Curve",$NN$81*(73-$NR$81+1)*($NS$81-73+1)/$NU$81,$NN$81/$NT$81)),0)</f>
        <v/>
      </c>
      <c r="BZ81" s="402">
        <f>IF(AND(74&gt;=$NR$81,74&lt;=$NS$81),IF($NP$81="Single_Point",IF(74=$NR$81,$NN$81,0),IF($NP$81="Bell_Curve",$NN$81*(74-$NR$81+1)*($NS$81-74+1)/$NU$81,$NN$81/$NT$81)),0)</f>
        <v/>
      </c>
      <c r="CA81" s="402">
        <f>IF(AND(75&gt;=$NR$81,75&lt;=$NS$81),IF($NP$81="Single_Point",IF(75=$NR$81,$NN$81,0),IF($NP$81="Bell_Curve",$NN$81*(75-$NR$81+1)*($NS$81-75+1)/$NU$81,$NN$81/$NT$81)),0)</f>
        <v/>
      </c>
      <c r="CB81" s="402">
        <f>IF(AND(76&gt;=$NR$81,76&lt;=$NS$81),IF($NP$81="Single_Point",IF(76=$NR$81,$NN$81,0),IF($NP$81="Bell_Curve",$NN$81*(76-$NR$81+1)*($NS$81-76+1)/$NU$81,$NN$81/$NT$81)),0)</f>
        <v/>
      </c>
      <c r="CC81" s="402">
        <f>IF(AND(77&gt;=$NR$81,77&lt;=$NS$81),IF($NP$81="Single_Point",IF(77=$NR$81,$NN$81,0),IF($NP$81="Bell_Curve",$NN$81*(77-$NR$81+1)*($NS$81-77+1)/$NU$81,$NN$81/$NT$81)),0)</f>
        <v/>
      </c>
      <c r="CD81" s="402">
        <f>IF(AND(78&gt;=$NR$81,78&lt;=$NS$81),IF($NP$81="Single_Point",IF(78=$NR$81,$NN$81,0),IF($NP$81="Bell_Curve",$NN$81*(78-$NR$81+1)*($NS$81-78+1)/$NU$81,$NN$81/$NT$81)),0)</f>
        <v/>
      </c>
      <c r="CE81" s="402">
        <f>IF(AND(79&gt;=$NR$81,79&lt;=$NS$81),IF($NP$81="Single_Point",IF(79=$NR$81,$NN$81,0),IF($NP$81="Bell_Curve",$NN$81*(79-$NR$81+1)*($NS$81-79+1)/$NU$81,$NN$81/$NT$81)),0)</f>
        <v/>
      </c>
      <c r="CF81" s="402">
        <f>IF(AND(80&gt;=$NR$81,80&lt;=$NS$81),IF($NP$81="Single_Point",IF(80=$NR$81,$NN$81,0),IF($NP$81="Bell_Curve",$NN$81*(80-$NR$81+1)*($NS$81-80+1)/$NU$81,$NN$81/$NT$81)),0)</f>
        <v/>
      </c>
      <c r="CG81" s="402">
        <f>IF(AND(81&gt;=$NR$81,81&lt;=$NS$81),IF($NP$81="Single_Point",IF(81=$NR$81,$NN$81,0),IF($NP$81="Bell_Curve",$NN$81*(81-$NR$81+1)*($NS$81-81+1)/$NU$81,$NN$81/$NT$81)),0)</f>
        <v/>
      </c>
      <c r="CH81" s="402">
        <f>IF(AND(82&gt;=$NR$81,82&lt;=$NS$81),IF($NP$81="Single_Point",IF(82=$NR$81,$NN$81,0),IF($NP$81="Bell_Curve",$NN$81*(82-$NR$81+1)*($NS$81-82+1)/$NU$81,$NN$81/$NT$81)),0)</f>
        <v/>
      </c>
      <c r="CI81" s="402">
        <f>IF(AND(83&gt;=$NR$81,83&lt;=$NS$81),IF($NP$81="Single_Point",IF(83=$NR$81,$NN$81,0),IF($NP$81="Bell_Curve",$NN$81*(83-$NR$81+1)*($NS$81-83+1)/$NU$81,$NN$81/$NT$81)),0)</f>
        <v/>
      </c>
      <c r="CJ81" s="402">
        <f>IF(AND(84&gt;=$NR$81,84&lt;=$NS$81),IF($NP$81="Single_Point",IF(84=$NR$81,$NN$81,0),IF($NP$81="Bell_Curve",$NN$81*(84-$NR$81+1)*($NS$81-84+1)/$NU$81,$NN$81/$NT$81)),0)</f>
        <v/>
      </c>
      <c r="CK81" s="402">
        <f>IF(AND(85&gt;=$NR$81,85&lt;=$NS$81),IF($NP$81="Single_Point",IF(85=$NR$81,$NN$81,0),IF($NP$81="Bell_Curve",$NN$81*(85-$NR$81+1)*($NS$81-85+1)/$NU$81,$NN$81/$NT$81)),0)</f>
        <v/>
      </c>
      <c r="CL81" s="402">
        <f>IF(AND(86&gt;=$NR$81,86&lt;=$NS$81),IF($NP$81="Single_Point",IF(86=$NR$81,$NN$81,0),IF($NP$81="Bell_Curve",$NN$81*(86-$NR$81+1)*($NS$81-86+1)/$NU$81,$NN$81/$NT$81)),0)</f>
        <v/>
      </c>
      <c r="CM81" s="402">
        <f>IF(AND(87&gt;=$NR$81,87&lt;=$NS$81),IF($NP$81="Single_Point",IF(87=$NR$81,$NN$81,0),IF($NP$81="Bell_Curve",$NN$81*(87-$NR$81+1)*($NS$81-87+1)/$NU$81,$NN$81/$NT$81)),0)</f>
        <v/>
      </c>
      <c r="CN81" s="402">
        <f>IF(AND(88&gt;=$NR$81,88&lt;=$NS$81),IF($NP$81="Single_Point",IF(88=$NR$81,$NN$81,0),IF($NP$81="Bell_Curve",$NN$81*(88-$NR$81+1)*($NS$81-88+1)/$NU$81,$NN$81/$NT$81)),0)</f>
        <v/>
      </c>
      <c r="CO81" s="402">
        <f>IF(AND(89&gt;=$NR$81,89&lt;=$NS$81),IF($NP$81="Single_Point",IF(89=$NR$81,$NN$81,0),IF($NP$81="Bell_Curve",$NN$81*(89-$NR$81+1)*($NS$81-89+1)/$NU$81,$NN$81/$NT$81)),0)</f>
        <v/>
      </c>
      <c r="CP81" s="402">
        <f>IF(AND(90&gt;=$NR$81,90&lt;=$NS$81),IF($NP$81="Single_Point",IF(90=$NR$81,$NN$81,0),IF($NP$81="Bell_Curve",$NN$81*(90-$NR$81+1)*($NS$81-90+1)/$NU$81,$NN$81/$NT$81)),0)</f>
        <v/>
      </c>
      <c r="CQ81" s="402">
        <f>IF(AND(91&gt;=$NR$81,91&lt;=$NS$81),IF($NP$81="Single_Point",IF(91=$NR$81,$NN$81,0),IF($NP$81="Bell_Curve",$NN$81*(91-$NR$81+1)*($NS$81-91+1)/$NU$81,$NN$81/$NT$81)),0)</f>
        <v/>
      </c>
      <c r="CR81" s="402">
        <f>IF(AND(92&gt;=$NR$81,92&lt;=$NS$81),IF($NP$81="Single_Point",IF(92=$NR$81,$NN$81,0),IF($NP$81="Bell_Curve",$NN$81*(92-$NR$81+1)*($NS$81-92+1)/$NU$81,$NN$81/$NT$81)),0)</f>
        <v/>
      </c>
      <c r="CS81" s="402">
        <f>IF(AND(93&gt;=$NR$81,93&lt;=$NS$81),IF($NP$81="Single_Point",IF(93=$NR$81,$NN$81,0),IF($NP$81="Bell_Curve",$NN$81*(93-$NR$81+1)*($NS$81-93+1)/$NU$81,$NN$81/$NT$81)),0)</f>
        <v/>
      </c>
      <c r="CT81" s="402">
        <f>IF(AND(94&gt;=$NR$81,94&lt;=$NS$81),IF($NP$81="Single_Point",IF(94=$NR$81,$NN$81,0),IF($NP$81="Bell_Curve",$NN$81*(94-$NR$81+1)*($NS$81-94+1)/$NU$81,$NN$81/$NT$81)),0)</f>
        <v/>
      </c>
      <c r="CU81" s="402">
        <f>IF(AND(95&gt;=$NR$81,95&lt;=$NS$81),IF($NP$81="Single_Point",IF(95=$NR$81,$NN$81,0),IF($NP$81="Bell_Curve",$NN$81*(95-$NR$81+1)*($NS$81-95+1)/$NU$81,$NN$81/$NT$81)),0)</f>
        <v/>
      </c>
      <c r="CV81" s="402">
        <f>IF(AND(96&gt;=$NR$81,96&lt;=$NS$81),IF($NP$81="Single_Point",IF(96=$NR$81,$NN$81,0),IF($NP$81="Bell_Curve",$NN$81*(96-$NR$81+1)*($NS$81-96+1)/$NU$81,$NN$81/$NT$81)),0)</f>
        <v/>
      </c>
      <c r="CW81" s="402">
        <f>IF(AND(97&gt;=$NR$81,97&lt;=$NS$81),IF($NP$81="Single_Point",IF(97=$NR$81,$NN$81,0),IF($NP$81="Bell_Curve",$NN$81*(97-$NR$81+1)*($NS$81-97+1)/$NU$81,$NN$81/$NT$81)),0)</f>
        <v/>
      </c>
      <c r="CX81" s="402">
        <f>IF(AND(98&gt;=$NR$81,98&lt;=$NS$81),IF($NP$81="Single_Point",IF(98=$NR$81,$NN$81,0),IF($NP$81="Bell_Curve",$NN$81*(98-$NR$81+1)*($NS$81-98+1)/$NU$81,$NN$81/$NT$81)),0)</f>
        <v/>
      </c>
      <c r="CY81" s="402">
        <f>IF(AND(99&gt;=$NR$81,99&lt;=$NS$81),IF($NP$81="Single_Point",IF(99=$NR$81,$NN$81,0),IF($NP$81="Bell_Curve",$NN$81*(99-$NR$81+1)*($NS$81-99+1)/$NU$81,$NN$81/$NT$81)),0)</f>
        <v/>
      </c>
      <c r="CZ81" s="402">
        <f>IF(AND(100&gt;=$NR$81,100&lt;=$NS$81),IF($NP$81="Single_Point",IF(100=$NR$81,$NN$81,0),IF($NP$81="Bell_Curve",$NN$81*(100-$NR$81+1)*($NS$81-100+1)/$NU$81,$NN$81/$NT$81)),0)</f>
        <v/>
      </c>
      <c r="DA81" s="402">
        <f>IF(AND(101&gt;=$NR$81,101&lt;=$NS$81),IF($NP$81="Single_Point",IF(101=$NR$81,$NN$81,0),IF($NP$81="Bell_Curve",$NN$81*(101-$NR$81+1)*($NS$81-101+1)/$NU$81,$NN$81/$NT$81)),0)</f>
        <v/>
      </c>
      <c r="DB81" s="402">
        <f>IF(AND(102&gt;=$NR$81,102&lt;=$NS$81),IF($NP$81="Single_Point",IF(102=$NR$81,$NN$81,0),IF($NP$81="Bell_Curve",$NN$81*(102-$NR$81+1)*($NS$81-102+1)/$NU$81,$NN$81/$NT$81)),0)</f>
        <v/>
      </c>
      <c r="DC81" s="402">
        <f>IF(AND(103&gt;=$NR$81,103&lt;=$NS$81),IF($NP$81="Single_Point",IF(103=$NR$81,$NN$81,0),IF($NP$81="Bell_Curve",$NN$81*(103-$NR$81+1)*($NS$81-103+1)/$NU$81,$NN$81/$NT$81)),0)</f>
        <v/>
      </c>
      <c r="DD81" s="402">
        <f>IF(AND(104&gt;=$NR$81,104&lt;=$NS$81),IF($NP$81="Single_Point",IF(104=$NR$81,$NN$81,0),IF($NP$81="Bell_Curve",$NN$81*(104-$NR$81+1)*($NS$81-104+1)/$NU$81,$NN$81/$NT$81)),0)</f>
        <v/>
      </c>
      <c r="DE81" s="402">
        <f>IF(AND(105&gt;=$NR$81,105&lt;=$NS$81),IF($NP$81="Single_Point",IF(105=$NR$81,$NN$81,0),IF($NP$81="Bell_Curve",$NN$81*(105-$NR$81+1)*($NS$81-105+1)/$NU$81,$NN$81/$NT$81)),0)</f>
        <v/>
      </c>
      <c r="DF81" s="402">
        <f>IF(AND(106&gt;=$NR$81,106&lt;=$NS$81),IF($NP$81="Single_Point",IF(106=$NR$81,$NN$81,0),IF($NP$81="Bell_Curve",$NN$81*(106-$NR$81+1)*($NS$81-106+1)/$NU$81,$NN$81/$NT$81)),0)</f>
        <v/>
      </c>
      <c r="DG81" s="402">
        <f>IF(AND(107&gt;=$NR$81,107&lt;=$NS$81),IF($NP$81="Single_Point",IF(107=$NR$81,$NN$81,0),IF($NP$81="Bell_Curve",$NN$81*(107-$NR$81+1)*($NS$81-107+1)/$NU$81,$NN$81/$NT$81)),0)</f>
        <v/>
      </c>
      <c r="DH81" s="402">
        <f>IF(AND(108&gt;=$NR$81,108&lt;=$NS$81),IF($NP$81="Single_Point",IF(108=$NR$81,$NN$81,0),IF($NP$81="Bell_Curve",$NN$81*(108-$NR$81+1)*($NS$81-108+1)/$NU$81,$NN$81/$NT$81)),0)</f>
        <v/>
      </c>
      <c r="DI81" s="402">
        <f>IF(AND(109&gt;=$NR$81,109&lt;=$NS$81),IF($NP$81="Single_Point",IF(109=$NR$81,$NN$81,0),IF($NP$81="Bell_Curve",$NN$81*(109-$NR$81+1)*($NS$81-109+1)/$NU$81,$NN$81/$NT$81)),0)</f>
        <v/>
      </c>
      <c r="DJ81" s="402">
        <f>IF(AND(110&gt;=$NR$81,110&lt;=$NS$81),IF($NP$81="Single_Point",IF(110=$NR$81,$NN$81,0),IF($NP$81="Bell_Curve",$NN$81*(110-$NR$81+1)*($NS$81-110+1)/$NU$81,$NN$81/$NT$81)),0)</f>
        <v/>
      </c>
      <c r="DK81" s="402">
        <f>IF(AND(111&gt;=$NR$81,111&lt;=$NS$81),IF($NP$81="Single_Point",IF(111=$NR$81,$NN$81,0),IF($NP$81="Bell_Curve",$NN$81*(111-$NR$81+1)*($NS$81-111+1)/$NU$81,$NN$81/$NT$81)),0)</f>
        <v/>
      </c>
      <c r="DL81" s="402">
        <f>IF(AND(112&gt;=$NR$81,112&lt;=$NS$81),IF($NP$81="Single_Point",IF(112=$NR$81,$NN$81,0),IF($NP$81="Bell_Curve",$NN$81*(112-$NR$81+1)*($NS$81-112+1)/$NU$81,$NN$81/$NT$81)),0)</f>
        <v/>
      </c>
      <c r="DM81" s="402">
        <f>IF(AND(113&gt;=$NR$81,113&lt;=$NS$81),IF($NP$81="Single_Point",IF(113=$NR$81,$NN$81,0),IF($NP$81="Bell_Curve",$NN$81*(113-$NR$81+1)*($NS$81-113+1)/$NU$81,$NN$81/$NT$81)),0)</f>
        <v/>
      </c>
      <c r="DN81" s="402">
        <f>IF(AND(114&gt;=$NR$81,114&lt;=$NS$81),IF($NP$81="Single_Point",IF(114=$NR$81,$NN$81,0),IF($NP$81="Bell_Curve",$NN$81*(114-$NR$81+1)*($NS$81-114+1)/$NU$81,$NN$81/$NT$81)),0)</f>
        <v/>
      </c>
      <c r="DO81" s="402">
        <f>IF(AND(115&gt;=$NR$81,115&lt;=$NS$81),IF($NP$81="Single_Point",IF(115=$NR$81,$NN$81,0),IF($NP$81="Bell_Curve",$NN$81*(115-$NR$81+1)*($NS$81-115+1)/$NU$81,$NN$81/$NT$81)),0)</f>
        <v/>
      </c>
      <c r="DP81" s="402">
        <f>IF(AND(116&gt;=$NR$81,116&lt;=$NS$81),IF($NP$81="Single_Point",IF(116=$NR$81,$NN$81,0),IF($NP$81="Bell_Curve",$NN$81*(116-$NR$81+1)*($NS$81-116+1)/$NU$81,$NN$81/$NT$81)),0)</f>
        <v/>
      </c>
      <c r="DQ81" s="402">
        <f>IF(AND(117&gt;=$NR$81,117&lt;=$NS$81),IF($NP$81="Single_Point",IF(117=$NR$81,$NN$81,0),IF($NP$81="Bell_Curve",$NN$81*(117-$NR$81+1)*($NS$81-117+1)/$NU$81,$NN$81/$NT$81)),0)</f>
        <v/>
      </c>
      <c r="DR81" s="402">
        <f>IF(AND(118&gt;=$NR$81,118&lt;=$NS$81),IF($NP$81="Single_Point",IF(118=$NR$81,$NN$81,0),IF($NP$81="Bell_Curve",$NN$81*(118-$NR$81+1)*($NS$81-118+1)/$NU$81,$NN$81/$NT$81)),0)</f>
        <v/>
      </c>
      <c r="DS81" s="402">
        <f>IF(AND(119&gt;=$NR$81,119&lt;=$NS$81),IF($NP$81="Single_Point",IF(119=$NR$81,$NN$81,0),IF($NP$81="Bell_Curve",$NN$81*(119-$NR$81+1)*($NS$81-119+1)/$NU$81,$NN$81/$NT$81)),0)</f>
        <v/>
      </c>
      <c r="DT81" s="402">
        <f>IF(AND(120&gt;=$NR$81,120&lt;=$NS$81),IF($NP$81="Single_Point",IF(120=$NR$81,$NN$81,0),IF($NP$81="Bell_Curve",$NN$81*(120-$NR$81+1)*($NS$81-120+1)/$NU$81,$NN$81/$NT$81)),0)</f>
        <v/>
      </c>
      <c r="DU81" s="402">
        <f>IF(AND(121&gt;=$NR$81,121&lt;=$NS$81),IF($NP$81="Single_Point",IF(121=$NR$81,$NN$81,0),IF($NP$81="Bell_Curve",$NN$81*(121-$NR$81+1)*($NS$81-121+1)/$NU$81,$NN$81/$NT$81)),0)</f>
        <v/>
      </c>
      <c r="DV81" s="402">
        <f>IF(AND(122&gt;=$NR$81,122&lt;=$NS$81),IF($NP$81="Single_Point",IF(122=$NR$81,$NN$81,0),IF($NP$81="Bell_Curve",$NN$81*(122-$NR$81+1)*($NS$81-122+1)/$NU$81,$NN$81/$NT$81)),0)</f>
        <v/>
      </c>
      <c r="DW81" s="402">
        <f>IF(AND(123&gt;=$NR$81,123&lt;=$NS$81),IF($NP$81="Single_Point",IF(123=$NR$81,$NN$81,0),IF($NP$81="Bell_Curve",$NN$81*(123-$NR$81+1)*($NS$81-123+1)/$NU$81,$NN$81/$NT$81)),0)</f>
        <v/>
      </c>
      <c r="DX81" s="402">
        <f>IF(AND(124&gt;=$NR$81,124&lt;=$NS$81),IF($NP$81="Single_Point",IF(124=$NR$81,$NN$81,0),IF($NP$81="Bell_Curve",$NN$81*(124-$NR$81+1)*($NS$81-124+1)/$NU$81,$NN$81/$NT$81)),0)</f>
        <v/>
      </c>
      <c r="DY81" s="402">
        <f>IF(AND(125&gt;=$NR$81,125&lt;=$NS$81),IF($NP$81="Single_Point",IF(125=$NR$81,$NN$81,0),IF($NP$81="Bell_Curve",$NN$81*(125-$NR$81+1)*($NS$81-125+1)/$NU$81,$NN$81/$NT$81)),0)</f>
        <v/>
      </c>
      <c r="DZ81" s="402">
        <f>IF(AND(126&gt;=$NR$81,126&lt;=$NS$81),IF($NP$81="Single_Point",IF(126=$NR$81,$NN$81,0),IF($NP$81="Bell_Curve",$NN$81*(126-$NR$81+1)*($NS$81-126+1)/$NU$81,$NN$81/$NT$81)),0)</f>
        <v/>
      </c>
      <c r="EA81" s="402">
        <f>IF(AND(127&gt;=$NR$81,127&lt;=$NS$81),IF($NP$81="Single_Point",IF(127=$NR$81,$NN$81,0),IF($NP$81="Bell_Curve",$NN$81*(127-$NR$81+1)*($NS$81-127+1)/$NU$81,$NN$81/$NT$81)),0)</f>
        <v/>
      </c>
      <c r="EB81" s="402">
        <f>IF(AND(128&gt;=$NR$81,128&lt;=$NS$81),IF($NP$81="Single_Point",IF(128=$NR$81,$NN$81,0),IF($NP$81="Bell_Curve",$NN$81*(128-$NR$81+1)*($NS$81-128+1)/$NU$81,$NN$81/$NT$81)),0)</f>
        <v/>
      </c>
      <c r="EC81" s="402">
        <f>IF(AND(129&gt;=$NR$81,129&lt;=$NS$81),IF($NP$81="Single_Point",IF(129=$NR$81,$NN$81,0),IF($NP$81="Bell_Curve",$NN$81*(129-$NR$81+1)*($NS$81-129+1)/$NU$81,$NN$81/$NT$81)),0)</f>
        <v/>
      </c>
      <c r="ED81" s="402">
        <f>IF(AND(130&gt;=$NR$81,130&lt;=$NS$81),IF($NP$81="Single_Point",IF(130=$NR$81,$NN$81,0),IF($NP$81="Bell_Curve",$NN$81*(130-$NR$81+1)*($NS$81-130+1)/$NU$81,$NN$81/$NT$81)),0)</f>
        <v/>
      </c>
      <c r="EE81" s="402">
        <f>IF(AND(131&gt;=$NR$81,131&lt;=$NS$81),IF($NP$81="Single_Point",IF(131=$NR$81,$NN$81,0),IF($NP$81="Bell_Curve",$NN$81*(131-$NR$81+1)*($NS$81-131+1)/$NU$81,$NN$81/$NT$81)),0)</f>
        <v/>
      </c>
      <c r="EF81" s="402">
        <f>IF(AND(132&gt;=$NR$81,132&lt;=$NS$81),IF($NP$81="Single_Point",IF(132=$NR$81,$NN$81,0),IF($NP$81="Bell_Curve",$NN$81*(132-$NR$81+1)*($NS$81-132+1)/$NU$81,$NN$81/$NT$81)),0)</f>
        <v/>
      </c>
      <c r="EG81" s="402">
        <f>IF(AND(133&gt;=$NR$81,133&lt;=$NS$81),IF($NP$81="Single_Point",IF(133=$NR$81,$NN$81,0),IF($NP$81="Bell_Curve",$NN$81*(133-$NR$81+1)*($NS$81-133+1)/$NU$81,$NN$81/$NT$81)),0)</f>
        <v/>
      </c>
      <c r="EH81" s="402">
        <f>IF(AND(134&gt;=$NR$81,134&lt;=$NS$81),IF($NP$81="Single_Point",IF(134=$NR$81,$NN$81,0),IF($NP$81="Bell_Curve",$NN$81*(134-$NR$81+1)*($NS$81-134+1)/$NU$81,$NN$81/$NT$81)),0)</f>
        <v/>
      </c>
      <c r="EI81" s="402">
        <f>IF(AND(135&gt;=$NR$81,135&lt;=$NS$81),IF($NP$81="Single_Point",IF(135=$NR$81,$NN$81,0),IF($NP$81="Bell_Curve",$NN$81*(135-$NR$81+1)*($NS$81-135+1)/$NU$81,$NN$81/$NT$81)),0)</f>
        <v/>
      </c>
      <c r="EJ81" s="402">
        <f>IF(AND(136&gt;=$NR$81,136&lt;=$NS$81),IF($NP$81="Single_Point",IF(136=$NR$81,$NN$81,0),IF($NP$81="Bell_Curve",$NN$81*(136-$NR$81+1)*($NS$81-136+1)/$NU$81,$NN$81/$NT$81)),0)</f>
        <v/>
      </c>
      <c r="EK81" s="402">
        <f>IF(AND(137&gt;=$NR$81,137&lt;=$NS$81),IF($NP$81="Single_Point",IF(137=$NR$81,$NN$81,0),IF($NP$81="Bell_Curve",$NN$81*(137-$NR$81+1)*($NS$81-137+1)/$NU$81,$NN$81/$NT$81)),0)</f>
        <v/>
      </c>
      <c r="EL81" s="402">
        <f>IF(AND(138&gt;=$NR$81,138&lt;=$NS$81),IF($NP$81="Single_Point",IF(138=$NR$81,$NN$81,0),IF($NP$81="Bell_Curve",$NN$81*(138-$NR$81+1)*($NS$81-138+1)/$NU$81,$NN$81/$NT$81)),0)</f>
        <v/>
      </c>
      <c r="EM81" s="402">
        <f>IF(AND(139&gt;=$NR$81,139&lt;=$NS$81),IF($NP$81="Single_Point",IF(139=$NR$81,$NN$81,0),IF($NP$81="Bell_Curve",$NN$81*(139-$NR$81+1)*($NS$81-139+1)/$NU$81,$NN$81/$NT$81)),0)</f>
        <v/>
      </c>
      <c r="EN81" s="402">
        <f>IF(AND(140&gt;=$NR$81,140&lt;=$NS$81),IF($NP$81="Single_Point",IF(140=$NR$81,$NN$81,0),IF($NP$81="Bell_Curve",$NN$81*(140-$NR$81+1)*($NS$81-140+1)/$NU$81,$NN$81/$NT$81)),0)</f>
        <v/>
      </c>
      <c r="EO81" s="402">
        <f>IF(AND(141&gt;=$NR$81,141&lt;=$NS$81),IF($NP$81="Single_Point",IF(141=$NR$81,$NN$81,0),IF($NP$81="Bell_Curve",$NN$81*(141-$NR$81+1)*($NS$81-141+1)/$NU$81,$NN$81/$NT$81)),0)</f>
        <v/>
      </c>
      <c r="EP81" s="402">
        <f>IF(AND(142&gt;=$NR$81,142&lt;=$NS$81),IF($NP$81="Single_Point",IF(142=$NR$81,$NN$81,0),IF($NP$81="Bell_Curve",$NN$81*(142-$NR$81+1)*($NS$81-142+1)/$NU$81,$NN$81/$NT$81)),0)</f>
        <v/>
      </c>
      <c r="EQ81" s="402">
        <f>IF(AND(143&gt;=$NR$81,143&lt;=$NS$81),IF($NP$81="Single_Point",IF(143=$NR$81,$NN$81,0),IF($NP$81="Bell_Curve",$NN$81*(143-$NR$81+1)*($NS$81-143+1)/$NU$81,$NN$81/$NT$81)),0)</f>
        <v/>
      </c>
      <c r="ER81" s="402">
        <f>IF(AND(144&gt;=$NR$81,144&lt;=$NS$81),IF($NP$81="Single_Point",IF(144=$NR$81,$NN$81,0),IF($NP$81="Bell_Curve",$NN$81*(144-$NR$81+1)*($NS$81-144+1)/$NU$81,$NN$81/$NT$81)),0)</f>
        <v/>
      </c>
      <c r="ES81" s="402">
        <f>IF(AND(145&gt;=$NR$81,145&lt;=$NS$81),IF($NP$81="Single_Point",IF(145=$NR$81,$NN$81,0),IF($NP$81="Bell_Curve",$NN$81*(145-$NR$81+1)*($NS$81-145+1)/$NU$81,$NN$81/$NT$81)),0)</f>
        <v/>
      </c>
      <c r="ET81" s="402">
        <f>IF(AND(146&gt;=$NR$81,146&lt;=$NS$81),IF($NP$81="Single_Point",IF(146=$NR$81,$NN$81,0),IF($NP$81="Bell_Curve",$NN$81*(146-$NR$81+1)*($NS$81-146+1)/$NU$81,$NN$81/$NT$81)),0)</f>
        <v/>
      </c>
      <c r="EU81" s="402">
        <f>IF(AND(147&gt;=$NR$81,147&lt;=$NS$81),IF($NP$81="Single_Point",IF(147=$NR$81,$NN$81,0),IF($NP$81="Bell_Curve",$NN$81*(147-$NR$81+1)*($NS$81-147+1)/$NU$81,$NN$81/$NT$81)),0)</f>
        <v/>
      </c>
      <c r="EV81" s="402">
        <f>IF(AND(148&gt;=$NR$81,148&lt;=$NS$81),IF($NP$81="Single_Point",IF(148=$NR$81,$NN$81,0),IF($NP$81="Bell_Curve",$NN$81*(148-$NR$81+1)*($NS$81-148+1)/$NU$81,$NN$81/$NT$81)),0)</f>
        <v/>
      </c>
      <c r="EW81" s="402">
        <f>IF(AND(149&gt;=$NR$81,149&lt;=$NS$81),IF($NP$81="Single_Point",IF(149=$NR$81,$NN$81,0),IF($NP$81="Bell_Curve",$NN$81*(149-$NR$81+1)*($NS$81-149+1)/$NU$81,$NN$81/$NT$81)),0)</f>
        <v/>
      </c>
      <c r="EX81" s="402">
        <f>IF(AND(150&gt;=$NR$81,150&lt;=$NS$81),IF($NP$81="Single_Point",IF(150=$NR$81,$NN$81,0),IF($NP$81="Bell_Curve",$NN$81*(150-$NR$81+1)*($NS$81-150+1)/$NU$81,$NN$81/$NT$81)),0)</f>
        <v/>
      </c>
      <c r="EY81" s="402">
        <f>IF(AND(151&gt;=$NR$81,151&lt;=$NS$81),IF($NP$81="Single_Point",IF(151=$NR$81,$NN$81,0),IF($NP$81="Bell_Curve",$NN$81*(151-$NR$81+1)*($NS$81-151+1)/$NU$81,$NN$81/$NT$81)),0)</f>
        <v/>
      </c>
      <c r="EZ81" s="402">
        <f>IF(AND(152&gt;=$NR$81,152&lt;=$NS$81),IF($NP$81="Single_Point",IF(152=$NR$81,$NN$81,0),IF($NP$81="Bell_Curve",$NN$81*(152-$NR$81+1)*($NS$81-152+1)/$NU$81,$NN$81/$NT$81)),0)</f>
        <v/>
      </c>
      <c r="FA81" s="402">
        <f>IF(AND(153&gt;=$NR$81,153&lt;=$NS$81),IF($NP$81="Single_Point",IF(153=$NR$81,$NN$81,0),IF($NP$81="Bell_Curve",$NN$81*(153-$NR$81+1)*($NS$81-153+1)/$NU$81,$NN$81/$NT$81)),0)</f>
        <v/>
      </c>
      <c r="FB81" s="402">
        <f>IF(AND(154&gt;=$NR$81,154&lt;=$NS$81),IF($NP$81="Single_Point",IF(154=$NR$81,$NN$81,0),IF($NP$81="Bell_Curve",$NN$81*(154-$NR$81+1)*($NS$81-154+1)/$NU$81,$NN$81/$NT$81)),0)</f>
        <v/>
      </c>
      <c r="FC81" s="402">
        <f>IF(AND(155&gt;=$NR$81,155&lt;=$NS$81),IF($NP$81="Single_Point",IF(155=$NR$81,$NN$81,0),IF($NP$81="Bell_Curve",$NN$81*(155-$NR$81+1)*($NS$81-155+1)/$NU$81,$NN$81/$NT$81)),0)</f>
        <v/>
      </c>
      <c r="FD81" s="402">
        <f>IF(AND(156&gt;=$NR$81,156&lt;=$NS$81),IF($NP$81="Single_Point",IF(156=$NR$81,$NN$81,0),IF($NP$81="Bell_Curve",$NN$81*(156-$NR$81+1)*($NS$81-156+1)/$NU$81,$NN$81/$NT$81)),0)</f>
        <v/>
      </c>
      <c r="FE81" s="402">
        <f>IF(AND(157&gt;=$NR$81,157&lt;=$NS$81),IF($NP$81="Single_Point",IF(157=$NR$81,$NN$81,0),IF($NP$81="Bell_Curve",$NN$81*(157-$NR$81+1)*($NS$81-157+1)/$NU$81,$NN$81/$NT$81)),0)</f>
        <v/>
      </c>
      <c r="FF81" s="402">
        <f>IF(AND(158&gt;=$NR$81,158&lt;=$NS$81),IF($NP$81="Single_Point",IF(158=$NR$81,$NN$81,0),IF($NP$81="Bell_Curve",$NN$81*(158-$NR$81+1)*($NS$81-158+1)/$NU$81,$NN$81/$NT$81)),0)</f>
        <v/>
      </c>
      <c r="FG81" s="402">
        <f>IF(AND(159&gt;=$NR$81,159&lt;=$NS$81),IF($NP$81="Single_Point",IF(159=$NR$81,$NN$81,0),IF($NP$81="Bell_Curve",$NN$81*(159-$NR$81+1)*($NS$81-159+1)/$NU$81,$NN$81/$NT$81)),0)</f>
        <v/>
      </c>
      <c r="FH81" s="402">
        <f>IF(AND(160&gt;=$NR$81,160&lt;=$NS$81),IF($NP$81="Single_Point",IF(160=$NR$81,$NN$81,0),IF($NP$81="Bell_Curve",$NN$81*(160-$NR$81+1)*($NS$81-160+1)/$NU$81,$NN$81/$NT$81)),0)</f>
        <v/>
      </c>
      <c r="FI81" s="402">
        <f>IF(AND(161&gt;=$NR$81,161&lt;=$NS$81),IF($NP$81="Single_Point",IF(161=$NR$81,$NN$81,0),IF($NP$81="Bell_Curve",$NN$81*(161-$NR$81+1)*($NS$81-161+1)/$NU$81,$NN$81/$NT$81)),0)</f>
        <v/>
      </c>
      <c r="FJ81" s="402">
        <f>IF(AND(162&gt;=$NR$81,162&lt;=$NS$81),IF($NP$81="Single_Point",IF(162=$NR$81,$NN$81,0),IF($NP$81="Bell_Curve",$NN$81*(162-$NR$81+1)*($NS$81-162+1)/$NU$81,$NN$81/$NT$81)),0)</f>
        <v/>
      </c>
      <c r="FK81" s="402">
        <f>IF(AND(163&gt;=$NR$81,163&lt;=$NS$81),IF($NP$81="Single_Point",IF(163=$NR$81,$NN$81,0),IF($NP$81="Bell_Curve",$NN$81*(163-$NR$81+1)*($NS$81-163+1)/$NU$81,$NN$81/$NT$81)),0)</f>
        <v/>
      </c>
      <c r="FL81" s="402">
        <f>IF(AND(164&gt;=$NR$81,164&lt;=$NS$81),IF($NP$81="Single_Point",IF(164=$NR$81,$NN$81,0),IF($NP$81="Bell_Curve",$NN$81*(164-$NR$81+1)*($NS$81-164+1)/$NU$81,$NN$81/$NT$81)),0)</f>
        <v/>
      </c>
      <c r="FM81" s="402">
        <f>IF(AND(165&gt;=$NR$81,165&lt;=$NS$81),IF($NP$81="Single_Point",IF(165=$NR$81,$NN$81,0),IF($NP$81="Bell_Curve",$NN$81*(165-$NR$81+1)*($NS$81-165+1)/$NU$81,$NN$81/$NT$81)),0)</f>
        <v/>
      </c>
      <c r="FN81" s="402">
        <f>IF(AND(166&gt;=$NR$81,166&lt;=$NS$81),IF($NP$81="Single_Point",IF(166=$NR$81,$NN$81,0),IF($NP$81="Bell_Curve",$NN$81*(166-$NR$81+1)*($NS$81-166+1)/$NU$81,$NN$81/$NT$81)),0)</f>
        <v/>
      </c>
      <c r="FO81" s="402">
        <f>IF(AND(167&gt;=$NR$81,167&lt;=$NS$81),IF($NP$81="Single_Point",IF(167=$NR$81,$NN$81,0),IF($NP$81="Bell_Curve",$NN$81*(167-$NR$81+1)*($NS$81-167+1)/$NU$81,$NN$81/$NT$81)),0)</f>
        <v/>
      </c>
      <c r="FP81" s="402">
        <f>IF(AND(168&gt;=$NR$81,168&lt;=$NS$81),IF($NP$81="Single_Point",IF(168=$NR$81,$NN$81,0),IF($NP$81="Bell_Curve",$NN$81*(168-$NR$81+1)*($NS$81-168+1)/$NU$81,$NN$81/$NT$81)),0)</f>
        <v/>
      </c>
      <c r="FQ81" s="402">
        <f>IF(AND(169&gt;=$NR$81,169&lt;=$NS$81),IF($NP$81="Single_Point",IF(169=$NR$81,$NN$81,0),IF($NP$81="Bell_Curve",$NN$81*(169-$NR$81+1)*($NS$81-169+1)/$NU$81,$NN$81/$NT$81)),0)</f>
        <v/>
      </c>
      <c r="FR81" s="402">
        <f>IF(AND(170&gt;=$NR$81,170&lt;=$NS$81),IF($NP$81="Single_Point",IF(170=$NR$81,$NN$81,0),IF($NP$81="Bell_Curve",$NN$81*(170-$NR$81+1)*($NS$81-170+1)/$NU$81,$NN$81/$NT$81)),0)</f>
        <v/>
      </c>
      <c r="FS81" s="402">
        <f>IF(AND(171&gt;=$NR$81,171&lt;=$NS$81),IF($NP$81="Single_Point",IF(171=$NR$81,$NN$81,0),IF($NP$81="Bell_Curve",$NN$81*(171-$NR$81+1)*($NS$81-171+1)/$NU$81,$NN$81/$NT$81)),0)</f>
        <v/>
      </c>
      <c r="FT81" s="402">
        <f>IF(AND(172&gt;=$NR$81,172&lt;=$NS$81),IF($NP$81="Single_Point",IF(172=$NR$81,$NN$81,0),IF($NP$81="Bell_Curve",$NN$81*(172-$NR$81+1)*($NS$81-172+1)/$NU$81,$NN$81/$NT$81)),0)</f>
        <v/>
      </c>
      <c r="FU81" s="402">
        <f>IF(AND(173&gt;=$NR$81,173&lt;=$NS$81),IF($NP$81="Single_Point",IF(173=$NR$81,$NN$81,0),IF($NP$81="Bell_Curve",$NN$81*(173-$NR$81+1)*($NS$81-173+1)/$NU$81,$NN$81/$NT$81)),0)</f>
        <v/>
      </c>
      <c r="FV81" s="402">
        <f>IF(AND(174&gt;=$NR$81,174&lt;=$NS$81),IF($NP$81="Single_Point",IF(174=$NR$81,$NN$81,0),IF($NP$81="Bell_Curve",$NN$81*(174-$NR$81+1)*($NS$81-174+1)/$NU$81,$NN$81/$NT$81)),0)</f>
        <v/>
      </c>
      <c r="FW81" s="402">
        <f>IF(AND(175&gt;=$NR$81,175&lt;=$NS$81),IF($NP$81="Single_Point",IF(175=$NR$81,$NN$81,0),IF($NP$81="Bell_Curve",$NN$81*(175-$NR$81+1)*($NS$81-175+1)/$NU$81,$NN$81/$NT$81)),0)</f>
        <v/>
      </c>
      <c r="FX81" s="402">
        <f>IF(AND(176&gt;=$NR$81,176&lt;=$NS$81),IF($NP$81="Single_Point",IF(176=$NR$81,$NN$81,0),IF($NP$81="Bell_Curve",$NN$81*(176-$NR$81+1)*($NS$81-176+1)/$NU$81,$NN$81/$NT$81)),0)</f>
        <v/>
      </c>
      <c r="FY81" s="402">
        <f>IF(AND(177&gt;=$NR$81,177&lt;=$NS$81),IF($NP$81="Single_Point",IF(177=$NR$81,$NN$81,0),IF($NP$81="Bell_Curve",$NN$81*(177-$NR$81+1)*($NS$81-177+1)/$NU$81,$NN$81/$NT$81)),0)</f>
        <v/>
      </c>
      <c r="FZ81" s="402">
        <f>IF(AND(178&gt;=$NR$81,178&lt;=$NS$81),IF($NP$81="Single_Point",IF(178=$NR$81,$NN$81,0),IF($NP$81="Bell_Curve",$NN$81*(178-$NR$81+1)*($NS$81-178+1)/$NU$81,$NN$81/$NT$81)),0)</f>
        <v/>
      </c>
      <c r="GA81" s="402">
        <f>IF(AND(179&gt;=$NR$81,179&lt;=$NS$81),IF($NP$81="Single_Point",IF(179=$NR$81,$NN$81,0),IF($NP$81="Bell_Curve",$NN$81*(179-$NR$81+1)*($NS$81-179+1)/$NU$81,$NN$81/$NT$81)),0)</f>
        <v/>
      </c>
      <c r="GB81" s="402">
        <f>IF(AND(180&gt;=$NR$81,180&lt;=$NS$81),IF($NP$81="Single_Point",IF(180=$NR$81,$NN$81,0),IF($NP$81="Bell_Curve",$NN$81*(180-$NR$81+1)*($NS$81-180+1)/$NU$81,$NN$81/$NT$81)),0)</f>
        <v/>
      </c>
      <c r="GC81" s="402">
        <f>IF(AND(181&gt;=$NR$81,181&lt;=$NS$81),IF($NP$81="Single_Point",IF(181=$NR$81,$NN$81,0),IF($NP$81="Bell_Curve",$NN$81*(181-$NR$81+1)*($NS$81-181+1)/$NU$81,$NN$81/$NT$81)),0)</f>
        <v/>
      </c>
      <c r="GD81" s="402">
        <f>IF(AND(182&gt;=$NR$81,182&lt;=$NS$81),IF($NP$81="Single_Point",IF(182=$NR$81,$NN$81,0),IF($NP$81="Bell_Curve",$NN$81*(182-$NR$81+1)*($NS$81-182+1)/$NU$81,$NN$81/$NT$81)),0)</f>
        <v/>
      </c>
      <c r="GE81" s="402">
        <f>IF(AND(183&gt;=$NR$81,183&lt;=$NS$81),IF($NP$81="Single_Point",IF(183=$NR$81,$NN$81,0),IF($NP$81="Bell_Curve",$NN$81*(183-$NR$81+1)*($NS$81-183+1)/$NU$81,$NN$81/$NT$81)),0)</f>
        <v/>
      </c>
      <c r="GF81" s="402">
        <f>IF(AND(184&gt;=$NR$81,184&lt;=$NS$81),IF($NP$81="Single_Point",IF(184=$NR$81,$NN$81,0),IF($NP$81="Bell_Curve",$NN$81*(184-$NR$81+1)*($NS$81-184+1)/$NU$81,$NN$81/$NT$81)),0)</f>
        <v/>
      </c>
      <c r="GG81" s="402">
        <f>IF(AND(185&gt;=$NR$81,185&lt;=$NS$81),IF($NP$81="Single_Point",IF(185=$NR$81,$NN$81,0),IF($NP$81="Bell_Curve",$NN$81*(185-$NR$81+1)*($NS$81-185+1)/$NU$81,$NN$81/$NT$81)),0)</f>
        <v/>
      </c>
      <c r="GH81" s="402">
        <f>IF(AND(186&gt;=$NR$81,186&lt;=$NS$81),IF($NP$81="Single_Point",IF(186=$NR$81,$NN$81,0),IF($NP$81="Bell_Curve",$NN$81*(186-$NR$81+1)*($NS$81-186+1)/$NU$81,$NN$81/$NT$81)),0)</f>
        <v/>
      </c>
      <c r="GI81" s="402">
        <f>IF(AND(187&gt;=$NR$81,187&lt;=$NS$81),IF($NP$81="Single_Point",IF(187=$NR$81,$NN$81,0),IF($NP$81="Bell_Curve",$NN$81*(187-$NR$81+1)*($NS$81-187+1)/$NU$81,$NN$81/$NT$81)),0)</f>
        <v/>
      </c>
      <c r="GJ81" s="402">
        <f>IF(AND(188&gt;=$NR$81,188&lt;=$NS$81),IF($NP$81="Single_Point",IF(188=$NR$81,$NN$81,0),IF($NP$81="Bell_Curve",$NN$81*(188-$NR$81+1)*($NS$81-188+1)/$NU$81,$NN$81/$NT$81)),0)</f>
        <v/>
      </c>
      <c r="GK81" s="402">
        <f>IF(AND(189&gt;=$NR$81,189&lt;=$NS$81),IF($NP$81="Single_Point",IF(189=$NR$81,$NN$81,0),IF($NP$81="Bell_Curve",$NN$81*(189-$NR$81+1)*($NS$81-189+1)/$NU$81,$NN$81/$NT$81)),0)</f>
        <v/>
      </c>
      <c r="GL81" s="402">
        <f>IF(AND(190&gt;=$NR$81,190&lt;=$NS$81),IF($NP$81="Single_Point",IF(190=$NR$81,$NN$81,0),IF($NP$81="Bell_Curve",$NN$81*(190-$NR$81+1)*($NS$81-190+1)/$NU$81,$NN$81/$NT$81)),0)</f>
        <v/>
      </c>
      <c r="GM81" s="402">
        <f>IF(AND(191&gt;=$NR$81,191&lt;=$NS$81),IF($NP$81="Single_Point",IF(191=$NR$81,$NN$81,0),IF($NP$81="Bell_Curve",$NN$81*(191-$NR$81+1)*($NS$81-191+1)/$NU$81,$NN$81/$NT$81)),0)</f>
        <v/>
      </c>
      <c r="GN81" s="402">
        <f>IF(AND(192&gt;=$NR$81,192&lt;=$NS$81),IF($NP$81="Single_Point",IF(192=$NR$81,$NN$81,0),IF($NP$81="Bell_Curve",$NN$81*(192-$NR$81+1)*($NS$81-192+1)/$NU$81,$NN$81/$NT$81)),0)</f>
        <v/>
      </c>
      <c r="GO81" s="402">
        <f>IF(AND(193&gt;=$NR$81,193&lt;=$NS$81),IF($NP$81="Single_Point",IF(193=$NR$81,$NN$81,0),IF($NP$81="Bell_Curve",$NN$81*(193-$NR$81+1)*($NS$81-193+1)/$NU$81,$NN$81/$NT$81)),0)</f>
        <v/>
      </c>
      <c r="GP81" s="402">
        <f>IF(AND(194&gt;=$NR$81,194&lt;=$NS$81),IF($NP$81="Single_Point",IF(194=$NR$81,$NN$81,0),IF($NP$81="Bell_Curve",$NN$81*(194-$NR$81+1)*($NS$81-194+1)/$NU$81,$NN$81/$NT$81)),0)</f>
        <v/>
      </c>
      <c r="GQ81" s="402">
        <f>IF(AND(195&gt;=$NR$81,195&lt;=$NS$81),IF($NP$81="Single_Point",IF(195=$NR$81,$NN$81,0),IF($NP$81="Bell_Curve",$NN$81*(195-$NR$81+1)*($NS$81-195+1)/$NU$81,$NN$81/$NT$81)),0)</f>
        <v/>
      </c>
      <c r="GR81" s="402">
        <f>IF(AND(196&gt;=$NR$81,196&lt;=$NS$81),IF($NP$81="Single_Point",IF(196=$NR$81,$NN$81,0),IF($NP$81="Bell_Curve",$NN$81*(196-$NR$81+1)*($NS$81-196+1)/$NU$81,$NN$81/$NT$81)),0)</f>
        <v/>
      </c>
      <c r="GS81" s="402">
        <f>IF(AND(197&gt;=$NR$81,197&lt;=$NS$81),IF($NP$81="Single_Point",IF(197=$NR$81,$NN$81,0),IF($NP$81="Bell_Curve",$NN$81*(197-$NR$81+1)*($NS$81-197+1)/$NU$81,$NN$81/$NT$81)),0)</f>
        <v/>
      </c>
      <c r="GT81" s="402">
        <f>IF(AND(198&gt;=$NR$81,198&lt;=$NS$81),IF($NP$81="Single_Point",IF(198=$NR$81,$NN$81,0),IF($NP$81="Bell_Curve",$NN$81*(198-$NR$81+1)*($NS$81-198+1)/$NU$81,$NN$81/$NT$81)),0)</f>
        <v/>
      </c>
      <c r="GU81" s="402">
        <f>IF(AND(199&gt;=$NR$81,199&lt;=$NS$81),IF($NP$81="Single_Point",IF(199=$NR$81,$NN$81,0),IF($NP$81="Bell_Curve",$NN$81*(199-$NR$81+1)*($NS$81-199+1)/$NU$81,$NN$81/$NT$81)),0)</f>
        <v/>
      </c>
      <c r="GV81" s="402">
        <f>IF(AND(200&gt;=$NR$81,200&lt;=$NS$81),IF($NP$81="Single_Point",IF(200=$NR$81,$NN$81,0),IF($NP$81="Bell_Curve",$NN$81*(200-$NR$81+1)*($NS$81-200+1)/$NU$81,$NN$81/$NT$81)),0)</f>
        <v/>
      </c>
      <c r="GW81" s="402">
        <f>IF(AND(201&gt;=$NR$81,201&lt;=$NS$81),IF($NP$81="Single_Point",IF(201=$NR$81,$NN$81,0),IF($NP$81="Bell_Curve",$NN$81*(201-$NR$81+1)*($NS$81-201+1)/$NU$81,$NN$81/$NT$81)),0)</f>
        <v/>
      </c>
      <c r="GX81" s="402">
        <f>IF(AND(202&gt;=$NR$81,202&lt;=$NS$81),IF($NP$81="Single_Point",IF(202=$NR$81,$NN$81,0),IF($NP$81="Bell_Curve",$NN$81*(202-$NR$81+1)*($NS$81-202+1)/$NU$81,$NN$81/$NT$81)),0)</f>
        <v/>
      </c>
      <c r="GY81" s="402">
        <f>IF(AND(203&gt;=$NR$81,203&lt;=$NS$81),IF($NP$81="Single_Point",IF(203=$NR$81,$NN$81,0),IF($NP$81="Bell_Curve",$NN$81*(203-$NR$81+1)*($NS$81-203+1)/$NU$81,$NN$81/$NT$81)),0)</f>
        <v/>
      </c>
      <c r="GZ81" s="402">
        <f>IF(AND(204&gt;=$NR$81,204&lt;=$NS$81),IF($NP$81="Single_Point",IF(204=$NR$81,$NN$81,0),IF($NP$81="Bell_Curve",$NN$81*(204-$NR$81+1)*($NS$81-204+1)/$NU$81,$NN$81/$NT$81)),0)</f>
        <v/>
      </c>
      <c r="HA81" s="402">
        <f>IF(AND(205&gt;=$NR$81,205&lt;=$NS$81),IF($NP$81="Single_Point",IF(205=$NR$81,$NN$81,0),IF($NP$81="Bell_Curve",$NN$81*(205-$NR$81+1)*($NS$81-205+1)/$NU$81,$NN$81/$NT$81)),0)</f>
        <v/>
      </c>
      <c r="HB81" s="402">
        <f>IF(AND(206&gt;=$NR$81,206&lt;=$NS$81),IF($NP$81="Single_Point",IF(206=$NR$81,$NN$81,0),IF($NP$81="Bell_Curve",$NN$81*(206-$NR$81+1)*($NS$81-206+1)/$NU$81,$NN$81/$NT$81)),0)</f>
        <v/>
      </c>
      <c r="HC81" s="402">
        <f>IF(AND(207&gt;=$NR$81,207&lt;=$NS$81),IF($NP$81="Single_Point",IF(207=$NR$81,$NN$81,0),IF($NP$81="Bell_Curve",$NN$81*(207-$NR$81+1)*($NS$81-207+1)/$NU$81,$NN$81/$NT$81)),0)</f>
        <v/>
      </c>
      <c r="HD81" s="402">
        <f>IF(AND(208&gt;=$NR$81,208&lt;=$NS$81),IF($NP$81="Single_Point",IF(208=$NR$81,$NN$81,0),IF($NP$81="Bell_Curve",$NN$81*(208-$NR$81+1)*($NS$81-208+1)/$NU$81,$NN$81/$NT$81)),0)</f>
        <v/>
      </c>
      <c r="HE81" s="402">
        <f>IF(AND(209&gt;=$NR$81,209&lt;=$NS$81),IF($NP$81="Single_Point",IF(209=$NR$81,$NN$81,0),IF($NP$81="Bell_Curve",$NN$81*(209-$NR$81+1)*($NS$81-209+1)/$NU$81,$NN$81/$NT$81)),0)</f>
        <v/>
      </c>
      <c r="HF81" s="402">
        <f>IF(AND(210&gt;=$NR$81,210&lt;=$NS$81),IF($NP$81="Single_Point",IF(210=$NR$81,$NN$81,0),IF($NP$81="Bell_Curve",$NN$81*(210-$NR$81+1)*($NS$81-210+1)/$NU$81,$NN$81/$NT$81)),0)</f>
        <v/>
      </c>
      <c r="HG81" s="402">
        <f>IF(AND(211&gt;=$NR$81,211&lt;=$NS$81),IF($NP$81="Single_Point",IF(211=$NR$81,$NN$81,0),IF($NP$81="Bell_Curve",$NN$81*(211-$NR$81+1)*($NS$81-211+1)/$NU$81,$NN$81/$NT$81)),0)</f>
        <v/>
      </c>
      <c r="HH81" s="402">
        <f>IF(AND(212&gt;=$NR$81,212&lt;=$NS$81),IF($NP$81="Single_Point",IF(212=$NR$81,$NN$81,0),IF($NP$81="Bell_Curve",$NN$81*(212-$NR$81+1)*($NS$81-212+1)/$NU$81,$NN$81/$NT$81)),0)</f>
        <v/>
      </c>
      <c r="HI81" s="402">
        <f>IF(AND(213&gt;=$NR$81,213&lt;=$NS$81),IF($NP$81="Single_Point",IF(213=$NR$81,$NN$81,0),IF($NP$81="Bell_Curve",$NN$81*(213-$NR$81+1)*($NS$81-213+1)/$NU$81,$NN$81/$NT$81)),0)</f>
        <v/>
      </c>
      <c r="HJ81" s="402">
        <f>IF(AND(214&gt;=$NR$81,214&lt;=$NS$81),IF($NP$81="Single_Point",IF(214=$NR$81,$NN$81,0),IF($NP$81="Bell_Curve",$NN$81*(214-$NR$81+1)*($NS$81-214+1)/$NU$81,$NN$81/$NT$81)),0)</f>
        <v/>
      </c>
      <c r="HK81" s="402">
        <f>IF(AND(215&gt;=$NR$81,215&lt;=$NS$81),IF($NP$81="Single_Point",IF(215=$NR$81,$NN$81,0),IF($NP$81="Bell_Curve",$NN$81*(215-$NR$81+1)*($NS$81-215+1)/$NU$81,$NN$81/$NT$81)),0)</f>
        <v/>
      </c>
      <c r="HL81" s="402">
        <f>IF(AND(216&gt;=$NR$81,216&lt;=$NS$81),IF($NP$81="Single_Point",IF(216=$NR$81,$NN$81,0),IF($NP$81="Bell_Curve",$NN$81*(216-$NR$81+1)*($NS$81-216+1)/$NU$81,$NN$81/$NT$81)),0)</f>
        <v/>
      </c>
      <c r="HM81" s="402">
        <f>IF(AND(217&gt;=$NR$81,217&lt;=$NS$81),IF($NP$81="Single_Point",IF(217=$NR$81,$NN$81,0),IF($NP$81="Bell_Curve",$NN$81*(217-$NR$81+1)*($NS$81-217+1)/$NU$81,$NN$81/$NT$81)),0)</f>
        <v/>
      </c>
      <c r="HN81" s="402">
        <f>IF(AND(218&gt;=$NR$81,218&lt;=$NS$81),IF($NP$81="Single_Point",IF(218=$NR$81,$NN$81,0),IF($NP$81="Bell_Curve",$NN$81*(218-$NR$81+1)*($NS$81-218+1)/$NU$81,$NN$81/$NT$81)),0)</f>
        <v/>
      </c>
      <c r="HO81" s="402">
        <f>IF(AND(219&gt;=$NR$81,219&lt;=$NS$81),IF($NP$81="Single_Point",IF(219=$NR$81,$NN$81,0),IF($NP$81="Bell_Curve",$NN$81*(219-$NR$81+1)*($NS$81-219+1)/$NU$81,$NN$81/$NT$81)),0)</f>
        <v/>
      </c>
      <c r="HP81" s="402">
        <f>IF(AND(220&gt;=$NR$81,220&lt;=$NS$81),IF($NP$81="Single_Point",IF(220=$NR$81,$NN$81,0),IF($NP$81="Bell_Curve",$NN$81*(220-$NR$81+1)*($NS$81-220+1)/$NU$81,$NN$81/$NT$81)),0)</f>
        <v/>
      </c>
      <c r="HQ81" s="402">
        <f>IF(AND(221&gt;=$NR$81,221&lt;=$NS$81),IF($NP$81="Single_Point",IF(221=$NR$81,$NN$81,0),IF($NP$81="Bell_Curve",$NN$81*(221-$NR$81+1)*($NS$81-221+1)/$NU$81,$NN$81/$NT$81)),0)</f>
        <v/>
      </c>
      <c r="HR81" s="402">
        <f>IF(AND(222&gt;=$NR$81,222&lt;=$NS$81),IF($NP$81="Single_Point",IF(222=$NR$81,$NN$81,0),IF($NP$81="Bell_Curve",$NN$81*(222-$NR$81+1)*($NS$81-222+1)/$NU$81,$NN$81/$NT$81)),0)</f>
        <v/>
      </c>
      <c r="HS81" s="402">
        <f>IF(AND(223&gt;=$NR$81,223&lt;=$NS$81),IF($NP$81="Single_Point",IF(223=$NR$81,$NN$81,0),IF($NP$81="Bell_Curve",$NN$81*(223-$NR$81+1)*($NS$81-223+1)/$NU$81,$NN$81/$NT$81)),0)</f>
        <v/>
      </c>
      <c r="HT81" s="402">
        <f>IF(AND(224&gt;=$NR$81,224&lt;=$NS$81),IF($NP$81="Single_Point",IF(224=$NR$81,$NN$81,0),IF($NP$81="Bell_Curve",$NN$81*(224-$NR$81+1)*($NS$81-224+1)/$NU$81,$NN$81/$NT$81)),0)</f>
        <v/>
      </c>
      <c r="HU81" s="402">
        <f>IF(AND(225&gt;=$NR$81,225&lt;=$NS$81),IF($NP$81="Single_Point",IF(225=$NR$81,$NN$81,0),IF($NP$81="Bell_Curve",$NN$81*(225-$NR$81+1)*($NS$81-225+1)/$NU$81,$NN$81/$NT$81)),0)</f>
        <v/>
      </c>
      <c r="HV81" s="402">
        <f>IF(AND(226&gt;=$NR$81,226&lt;=$NS$81),IF($NP$81="Single_Point",IF(226=$NR$81,$NN$81,0),IF($NP$81="Bell_Curve",$NN$81*(226-$NR$81+1)*($NS$81-226+1)/$NU$81,$NN$81/$NT$81)),0)</f>
        <v/>
      </c>
      <c r="HW81" s="402">
        <f>IF(AND(227&gt;=$NR$81,227&lt;=$NS$81),IF($NP$81="Single_Point",IF(227=$NR$81,$NN$81,0),IF($NP$81="Bell_Curve",$NN$81*(227-$NR$81+1)*($NS$81-227+1)/$NU$81,$NN$81/$NT$81)),0)</f>
        <v/>
      </c>
      <c r="HX81" s="402">
        <f>IF(AND(228&gt;=$NR$81,228&lt;=$NS$81),IF($NP$81="Single_Point",IF(228=$NR$81,$NN$81,0),IF($NP$81="Bell_Curve",$NN$81*(228-$NR$81+1)*($NS$81-228+1)/$NU$81,$NN$81/$NT$81)),0)</f>
        <v/>
      </c>
      <c r="HY81" s="402">
        <f>IF(AND(229&gt;=$NR$81,229&lt;=$NS$81),IF($NP$81="Single_Point",IF(229=$NR$81,$NN$81,0),IF($NP$81="Bell_Curve",$NN$81*(229-$NR$81+1)*($NS$81-229+1)/$NU$81,$NN$81/$NT$81)),0)</f>
        <v/>
      </c>
      <c r="HZ81" s="402">
        <f>IF(AND(230&gt;=$NR$81,230&lt;=$NS$81),IF($NP$81="Single_Point",IF(230=$NR$81,$NN$81,0),IF($NP$81="Bell_Curve",$NN$81*(230-$NR$81+1)*($NS$81-230+1)/$NU$81,$NN$81/$NT$81)),0)</f>
        <v/>
      </c>
      <c r="IA81" s="402">
        <f>IF(AND(231&gt;=$NR$81,231&lt;=$NS$81),IF($NP$81="Single_Point",IF(231=$NR$81,$NN$81,0),IF($NP$81="Bell_Curve",$NN$81*(231-$NR$81+1)*($NS$81-231+1)/$NU$81,$NN$81/$NT$81)),0)</f>
        <v/>
      </c>
      <c r="IB81" s="402">
        <f>IF(AND(232&gt;=$NR$81,232&lt;=$NS$81),IF($NP$81="Single_Point",IF(232=$NR$81,$NN$81,0),IF($NP$81="Bell_Curve",$NN$81*(232-$NR$81+1)*($NS$81-232+1)/$NU$81,$NN$81/$NT$81)),0)</f>
        <v/>
      </c>
      <c r="IC81" s="402">
        <f>IF(AND(233&gt;=$NR$81,233&lt;=$NS$81),IF($NP$81="Single_Point",IF(233=$NR$81,$NN$81,0),IF($NP$81="Bell_Curve",$NN$81*(233-$NR$81+1)*($NS$81-233+1)/$NU$81,$NN$81/$NT$81)),0)</f>
        <v/>
      </c>
      <c r="ID81" s="402">
        <f>IF(AND(234&gt;=$NR$81,234&lt;=$NS$81),IF($NP$81="Single_Point",IF(234=$NR$81,$NN$81,0),IF($NP$81="Bell_Curve",$NN$81*(234-$NR$81+1)*($NS$81-234+1)/$NU$81,$NN$81/$NT$81)),0)</f>
        <v/>
      </c>
      <c r="IE81" s="402">
        <f>IF(AND(235&gt;=$NR$81,235&lt;=$NS$81),IF($NP$81="Single_Point",IF(235=$NR$81,$NN$81,0),IF($NP$81="Bell_Curve",$NN$81*(235-$NR$81+1)*($NS$81-235+1)/$NU$81,$NN$81/$NT$81)),0)</f>
        <v/>
      </c>
      <c r="IF81" s="402">
        <f>IF(AND(236&gt;=$NR$81,236&lt;=$NS$81),IF($NP$81="Single_Point",IF(236=$NR$81,$NN$81,0),IF($NP$81="Bell_Curve",$NN$81*(236-$NR$81+1)*($NS$81-236+1)/$NU$81,$NN$81/$NT$81)),0)</f>
        <v/>
      </c>
      <c r="IG81" s="402">
        <f>IF(AND(237&gt;=$NR$81,237&lt;=$NS$81),IF($NP$81="Single_Point",IF(237=$NR$81,$NN$81,0),IF($NP$81="Bell_Curve",$NN$81*(237-$NR$81+1)*($NS$81-237+1)/$NU$81,$NN$81/$NT$81)),0)</f>
        <v/>
      </c>
      <c r="IH81" s="402">
        <f>IF(AND(238&gt;=$NR$81,238&lt;=$NS$81),IF($NP$81="Single_Point",IF(238=$NR$81,$NN$81,0),IF($NP$81="Bell_Curve",$NN$81*(238-$NR$81+1)*($NS$81-238+1)/$NU$81,$NN$81/$NT$81)),0)</f>
        <v/>
      </c>
      <c r="II81" s="402">
        <f>IF(AND(239&gt;=$NR$81,239&lt;=$NS$81),IF($NP$81="Single_Point",IF(239=$NR$81,$NN$81,0),IF($NP$81="Bell_Curve",$NN$81*(239-$NR$81+1)*($NS$81-239+1)/$NU$81,$NN$81/$NT$81)),0)</f>
        <v/>
      </c>
      <c r="IJ81" s="402">
        <f>IF(AND(240&gt;=$NR$81,240&lt;=$NS$81),IF($NP$81="Single_Point",IF(240=$NR$81,$NN$81,0),IF($NP$81="Bell_Curve",$NN$81*(240-$NR$81+1)*($NS$81-240+1)/$NU$81,$NN$81/$NT$81)),0)</f>
        <v/>
      </c>
      <c r="IK81" s="402">
        <f>IF(AND(241&gt;=$NR$81,241&lt;=$NS$81),IF($NP$81="Single_Point",IF(241=$NR$81,$NN$81,0),IF($NP$81="Bell_Curve",$NN$81*(241-$NR$81+1)*($NS$81-241+1)/$NU$81,$NN$81/$NT$81)),0)</f>
        <v/>
      </c>
      <c r="IL81" s="402">
        <f>IF(AND(242&gt;=$NR$81,242&lt;=$NS$81),IF($NP$81="Single_Point",IF(242=$NR$81,$NN$81,0),IF($NP$81="Bell_Curve",$NN$81*(242-$NR$81+1)*($NS$81-242+1)/$NU$81,$NN$81/$NT$81)),0)</f>
        <v/>
      </c>
      <c r="IM81" s="402">
        <f>IF(AND(243&gt;=$NR$81,243&lt;=$NS$81),IF($NP$81="Single_Point",IF(243=$NR$81,$NN$81,0),IF($NP$81="Bell_Curve",$NN$81*(243-$NR$81+1)*($NS$81-243+1)/$NU$81,$NN$81/$NT$81)),0)</f>
        <v/>
      </c>
      <c r="IN81" s="402">
        <f>IF(AND(244&gt;=$NR$81,244&lt;=$NS$81),IF($NP$81="Single_Point",IF(244=$NR$81,$NN$81,0),IF($NP$81="Bell_Curve",$NN$81*(244-$NR$81+1)*($NS$81-244+1)/$NU$81,$NN$81/$NT$81)),0)</f>
        <v/>
      </c>
      <c r="IO81" s="402">
        <f>IF(AND(245&gt;=$NR$81,245&lt;=$NS$81),IF($NP$81="Single_Point",IF(245=$NR$81,$NN$81,0),IF($NP$81="Bell_Curve",$NN$81*(245-$NR$81+1)*($NS$81-245+1)/$NU$81,$NN$81/$NT$81)),0)</f>
        <v/>
      </c>
      <c r="IP81" s="402">
        <f>IF(AND(246&gt;=$NR$81,246&lt;=$NS$81),IF($NP$81="Single_Point",IF(246=$NR$81,$NN$81,0),IF($NP$81="Bell_Curve",$NN$81*(246-$NR$81+1)*($NS$81-246+1)/$NU$81,$NN$81/$NT$81)),0)</f>
        <v/>
      </c>
      <c r="IQ81" s="402">
        <f>IF(AND(247&gt;=$NR$81,247&lt;=$NS$81),IF($NP$81="Single_Point",IF(247=$NR$81,$NN$81,0),IF($NP$81="Bell_Curve",$NN$81*(247-$NR$81+1)*($NS$81-247+1)/$NU$81,$NN$81/$NT$81)),0)</f>
        <v/>
      </c>
      <c r="IR81" s="402">
        <f>IF(AND(248&gt;=$NR$81,248&lt;=$NS$81),IF($NP$81="Single_Point",IF(248=$NR$81,$NN$81,0),IF($NP$81="Bell_Curve",$NN$81*(248-$NR$81+1)*($NS$81-248+1)/$NU$81,$NN$81/$NT$81)),0)</f>
        <v/>
      </c>
      <c r="IS81" s="402">
        <f>IF(AND(249&gt;=$NR$81,249&lt;=$NS$81),IF($NP$81="Single_Point",IF(249=$NR$81,$NN$81,0),IF($NP$81="Bell_Curve",$NN$81*(249-$NR$81+1)*($NS$81-249+1)/$NU$81,$NN$81/$NT$81)),0)</f>
        <v/>
      </c>
      <c r="IT81" s="402">
        <f>IF(AND(250&gt;=$NR$81,250&lt;=$NS$81),IF($NP$81="Single_Point",IF(250=$NR$81,$NN$81,0),IF($NP$81="Bell_Curve",$NN$81*(250-$NR$81+1)*($NS$81-250+1)/$NU$81,$NN$81/$NT$81)),0)</f>
        <v/>
      </c>
      <c r="IU81" s="402">
        <f>IF(AND(251&gt;=$NR$81,251&lt;=$NS$81),IF($NP$81="Single_Point",IF(251=$NR$81,$NN$81,0),IF($NP$81="Bell_Curve",$NN$81*(251-$NR$81+1)*($NS$81-251+1)/$NU$81,$NN$81/$NT$81)),0)</f>
        <v/>
      </c>
      <c r="IV81" s="402">
        <f>IF(AND(252&gt;=$NR$81,252&lt;=$NS$81),IF($NP$81="Single_Point",IF(252=$NR$81,$NN$81,0),IF($NP$81="Bell_Curve",$NN$81*(252-$NR$81+1)*($NS$81-252+1)/$NU$81,$NN$81/$NT$81)),0)</f>
        <v/>
      </c>
      <c r="IW81" s="402">
        <f>IF(AND(253&gt;=$NR$81,253&lt;=$NS$81),IF($NP$81="Single_Point",IF(253=$NR$81,$NN$81,0),IF($NP$81="Bell_Curve",$NN$81*(253-$NR$81+1)*($NS$81-253+1)/$NU$81,$NN$81/$NT$81)),0)</f>
        <v/>
      </c>
      <c r="IX81" s="402">
        <f>IF(AND(254&gt;=$NR$81,254&lt;=$NS$81),IF($NP$81="Single_Point",IF(254=$NR$81,$NN$81,0),IF($NP$81="Bell_Curve",$NN$81*(254-$NR$81+1)*($NS$81-254+1)/$NU$81,$NN$81/$NT$81)),0)</f>
        <v/>
      </c>
      <c r="IY81" s="402">
        <f>IF(AND(255&gt;=$NR$81,255&lt;=$NS$81),IF($NP$81="Single_Point",IF(255=$NR$81,$NN$81,0),IF($NP$81="Bell_Curve",$NN$81*(255-$NR$81+1)*($NS$81-255+1)/$NU$81,$NN$81/$NT$81)),0)</f>
        <v/>
      </c>
      <c r="IZ81" s="402">
        <f>IF(AND(256&gt;=$NR$81,256&lt;=$NS$81),IF($NP$81="Single_Point",IF(256=$NR$81,$NN$81,0),IF($NP$81="Bell_Curve",$NN$81*(256-$NR$81+1)*($NS$81-256+1)/$NU$81,$NN$81/$NT$81)),0)</f>
        <v/>
      </c>
      <c r="JA81" s="402">
        <f>IF(AND(257&gt;=$NR$81,257&lt;=$NS$81),IF($NP$81="Single_Point",IF(257=$NR$81,$NN$81,0),IF($NP$81="Bell_Curve",$NN$81*(257-$NR$81+1)*($NS$81-257+1)/$NU$81,$NN$81/$NT$81)),0)</f>
        <v/>
      </c>
      <c r="JB81" s="402">
        <f>IF(AND(258&gt;=$NR$81,258&lt;=$NS$81),IF($NP$81="Single_Point",IF(258=$NR$81,$NN$81,0),IF($NP$81="Bell_Curve",$NN$81*(258-$NR$81+1)*($NS$81-258+1)/$NU$81,$NN$81/$NT$81)),0)</f>
        <v/>
      </c>
      <c r="JC81" s="402">
        <f>IF(AND(259&gt;=$NR$81,259&lt;=$NS$81),IF($NP$81="Single_Point",IF(259=$NR$81,$NN$81,0),IF($NP$81="Bell_Curve",$NN$81*(259-$NR$81+1)*($NS$81-259+1)/$NU$81,$NN$81/$NT$81)),0)</f>
        <v/>
      </c>
      <c r="JD81" s="402">
        <f>IF(AND(260&gt;=$NR$81,260&lt;=$NS$81),IF($NP$81="Single_Point",IF(260=$NR$81,$NN$81,0),IF($NP$81="Bell_Curve",$NN$81*(260-$NR$81+1)*($NS$81-260+1)/$NU$81,$NN$81/$NT$81)),0)</f>
        <v/>
      </c>
      <c r="JE81" s="402">
        <f>IF(AND(261&gt;=$NR$81,261&lt;=$NS$81),IF($NP$81="Single_Point",IF(261=$NR$81,$NN$81,0),IF($NP$81="Bell_Curve",$NN$81*(261-$NR$81+1)*($NS$81-261+1)/$NU$81,$NN$81/$NT$81)),0)</f>
        <v/>
      </c>
      <c r="JF81" s="402">
        <f>IF(AND(262&gt;=$NR$81,262&lt;=$NS$81),IF($NP$81="Single_Point",IF(262=$NR$81,$NN$81,0),IF($NP$81="Bell_Curve",$NN$81*(262-$NR$81+1)*($NS$81-262+1)/$NU$81,$NN$81/$NT$81)),0)</f>
        <v/>
      </c>
      <c r="JG81" s="402">
        <f>IF(AND(263&gt;=$NR$81,263&lt;=$NS$81),IF($NP$81="Single_Point",IF(263=$NR$81,$NN$81,0),IF($NP$81="Bell_Curve",$NN$81*(263-$NR$81+1)*($NS$81-263+1)/$NU$81,$NN$81/$NT$81)),0)</f>
        <v/>
      </c>
      <c r="JH81" s="402">
        <f>IF(AND(264&gt;=$NR$81,264&lt;=$NS$81),IF($NP$81="Single_Point",IF(264=$NR$81,$NN$81,0),IF($NP$81="Bell_Curve",$NN$81*(264-$NR$81+1)*($NS$81-264+1)/$NU$81,$NN$81/$NT$81)),0)</f>
        <v/>
      </c>
      <c r="JI81" s="402">
        <f>IF(AND(265&gt;=$NR$81,265&lt;=$NS$81),IF($NP$81="Single_Point",IF(265=$NR$81,$NN$81,0),IF($NP$81="Bell_Curve",$NN$81*(265-$NR$81+1)*($NS$81-265+1)/$NU$81,$NN$81/$NT$81)),0)</f>
        <v/>
      </c>
      <c r="JJ81" s="402">
        <f>IF(AND(266&gt;=$NR$81,266&lt;=$NS$81),IF($NP$81="Single_Point",IF(266=$NR$81,$NN$81,0),IF($NP$81="Bell_Curve",$NN$81*(266-$NR$81+1)*($NS$81-266+1)/$NU$81,$NN$81/$NT$81)),0)</f>
        <v/>
      </c>
      <c r="JK81" s="402">
        <f>IF(AND(267&gt;=$NR$81,267&lt;=$NS$81),IF($NP$81="Single_Point",IF(267=$NR$81,$NN$81,0),IF($NP$81="Bell_Curve",$NN$81*(267-$NR$81+1)*($NS$81-267+1)/$NU$81,$NN$81/$NT$81)),0)</f>
        <v/>
      </c>
      <c r="JL81" s="402">
        <f>IF(AND(268&gt;=$NR$81,268&lt;=$NS$81),IF($NP$81="Single_Point",IF(268=$NR$81,$NN$81,0),IF($NP$81="Bell_Curve",$NN$81*(268-$NR$81+1)*($NS$81-268+1)/$NU$81,$NN$81/$NT$81)),0)</f>
        <v/>
      </c>
      <c r="JM81" s="402">
        <f>IF(AND(269&gt;=$NR$81,269&lt;=$NS$81),IF($NP$81="Single_Point",IF(269=$NR$81,$NN$81,0),IF($NP$81="Bell_Curve",$NN$81*(269-$NR$81+1)*($NS$81-269+1)/$NU$81,$NN$81/$NT$81)),0)</f>
        <v/>
      </c>
      <c r="JN81" s="402">
        <f>IF(AND(270&gt;=$NR$81,270&lt;=$NS$81),IF($NP$81="Single_Point",IF(270=$NR$81,$NN$81,0),IF($NP$81="Bell_Curve",$NN$81*(270-$NR$81+1)*($NS$81-270+1)/$NU$81,$NN$81/$NT$81)),0)</f>
        <v/>
      </c>
      <c r="JO81" s="402">
        <f>IF(AND(271&gt;=$NR$81,271&lt;=$NS$81),IF($NP$81="Single_Point",IF(271=$NR$81,$NN$81,0),IF($NP$81="Bell_Curve",$NN$81*(271-$NR$81+1)*($NS$81-271+1)/$NU$81,$NN$81/$NT$81)),0)</f>
        <v/>
      </c>
      <c r="JP81" s="402">
        <f>IF(AND(272&gt;=$NR$81,272&lt;=$NS$81),IF($NP$81="Single_Point",IF(272=$NR$81,$NN$81,0),IF($NP$81="Bell_Curve",$NN$81*(272-$NR$81+1)*($NS$81-272+1)/$NU$81,$NN$81/$NT$81)),0)</f>
        <v/>
      </c>
      <c r="JQ81" s="402">
        <f>IF(AND(273&gt;=$NR$81,273&lt;=$NS$81),IF($NP$81="Single_Point",IF(273=$NR$81,$NN$81,0),IF($NP$81="Bell_Curve",$NN$81*(273-$NR$81+1)*($NS$81-273+1)/$NU$81,$NN$81/$NT$81)),0)</f>
        <v/>
      </c>
      <c r="JR81" s="402">
        <f>IF(AND(274&gt;=$NR$81,274&lt;=$NS$81),IF($NP$81="Single_Point",IF(274=$NR$81,$NN$81,0),IF($NP$81="Bell_Curve",$NN$81*(274-$NR$81+1)*($NS$81-274+1)/$NU$81,$NN$81/$NT$81)),0)</f>
        <v/>
      </c>
      <c r="JS81" s="402">
        <f>IF(AND(275&gt;=$NR$81,275&lt;=$NS$81),IF($NP$81="Single_Point",IF(275=$NR$81,$NN$81,0),IF($NP$81="Bell_Curve",$NN$81*(275-$NR$81+1)*($NS$81-275+1)/$NU$81,$NN$81/$NT$81)),0)</f>
        <v/>
      </c>
      <c r="JT81" s="402">
        <f>IF(AND(276&gt;=$NR$81,276&lt;=$NS$81),IF($NP$81="Single_Point",IF(276=$NR$81,$NN$81,0),IF($NP$81="Bell_Curve",$NN$81*(276-$NR$81+1)*($NS$81-276+1)/$NU$81,$NN$81/$NT$81)),0)</f>
        <v/>
      </c>
      <c r="JU81" s="402">
        <f>IF(AND(277&gt;=$NR$81,277&lt;=$NS$81),IF($NP$81="Single_Point",IF(277=$NR$81,$NN$81,0),IF($NP$81="Bell_Curve",$NN$81*(277-$NR$81+1)*($NS$81-277+1)/$NU$81,$NN$81/$NT$81)),0)</f>
        <v/>
      </c>
      <c r="JV81" s="402">
        <f>IF(AND(278&gt;=$NR$81,278&lt;=$NS$81),IF($NP$81="Single_Point",IF(278=$NR$81,$NN$81,0),IF($NP$81="Bell_Curve",$NN$81*(278-$NR$81+1)*($NS$81-278+1)/$NU$81,$NN$81/$NT$81)),0)</f>
        <v/>
      </c>
      <c r="JW81" s="402">
        <f>IF(AND(279&gt;=$NR$81,279&lt;=$NS$81),IF($NP$81="Single_Point",IF(279=$NR$81,$NN$81,0),IF($NP$81="Bell_Curve",$NN$81*(279-$NR$81+1)*($NS$81-279+1)/$NU$81,$NN$81/$NT$81)),0)</f>
        <v/>
      </c>
      <c r="JX81" s="402">
        <f>IF(AND(280&gt;=$NR$81,280&lt;=$NS$81),IF($NP$81="Single_Point",IF(280=$NR$81,$NN$81,0),IF($NP$81="Bell_Curve",$NN$81*(280-$NR$81+1)*($NS$81-280+1)/$NU$81,$NN$81/$NT$81)),0)</f>
        <v/>
      </c>
      <c r="JY81" s="402">
        <f>IF(AND(281&gt;=$NR$81,281&lt;=$NS$81),IF($NP$81="Single_Point",IF(281=$NR$81,$NN$81,0),IF($NP$81="Bell_Curve",$NN$81*(281-$NR$81+1)*($NS$81-281+1)/$NU$81,$NN$81/$NT$81)),0)</f>
        <v/>
      </c>
      <c r="JZ81" s="402">
        <f>IF(AND(282&gt;=$NR$81,282&lt;=$NS$81),IF($NP$81="Single_Point",IF(282=$NR$81,$NN$81,0),IF($NP$81="Bell_Curve",$NN$81*(282-$NR$81+1)*($NS$81-282+1)/$NU$81,$NN$81/$NT$81)),0)</f>
        <v/>
      </c>
      <c r="KA81" s="402">
        <f>IF(AND(283&gt;=$NR$81,283&lt;=$NS$81),IF($NP$81="Single_Point",IF(283=$NR$81,$NN$81,0),IF($NP$81="Bell_Curve",$NN$81*(283-$NR$81+1)*($NS$81-283+1)/$NU$81,$NN$81/$NT$81)),0)</f>
        <v/>
      </c>
      <c r="KB81" s="402">
        <f>IF(AND(284&gt;=$NR$81,284&lt;=$NS$81),IF($NP$81="Single_Point",IF(284=$NR$81,$NN$81,0),IF($NP$81="Bell_Curve",$NN$81*(284-$NR$81+1)*($NS$81-284+1)/$NU$81,$NN$81/$NT$81)),0)</f>
        <v/>
      </c>
      <c r="KC81" s="402">
        <f>IF(AND(285&gt;=$NR$81,285&lt;=$NS$81),IF($NP$81="Single_Point",IF(285=$NR$81,$NN$81,0),IF($NP$81="Bell_Curve",$NN$81*(285-$NR$81+1)*($NS$81-285+1)/$NU$81,$NN$81/$NT$81)),0)</f>
        <v/>
      </c>
      <c r="KD81" s="402">
        <f>IF(AND(286&gt;=$NR$81,286&lt;=$NS$81),IF($NP$81="Single_Point",IF(286=$NR$81,$NN$81,0),IF($NP$81="Bell_Curve",$NN$81*(286-$NR$81+1)*($NS$81-286+1)/$NU$81,$NN$81/$NT$81)),0)</f>
        <v/>
      </c>
      <c r="KE81" s="402">
        <f>IF(AND(287&gt;=$NR$81,287&lt;=$NS$81),IF($NP$81="Single_Point",IF(287=$NR$81,$NN$81,0),IF($NP$81="Bell_Curve",$NN$81*(287-$NR$81+1)*($NS$81-287+1)/$NU$81,$NN$81/$NT$81)),0)</f>
        <v/>
      </c>
      <c r="KF81" s="402">
        <f>IF(AND(288&gt;=$NR$81,288&lt;=$NS$81),IF($NP$81="Single_Point",IF(288=$NR$81,$NN$81,0),IF($NP$81="Bell_Curve",$NN$81*(288-$NR$81+1)*($NS$81-288+1)/$NU$81,$NN$81/$NT$81)),0)</f>
        <v/>
      </c>
      <c r="KG81" s="402">
        <f>IF(AND(289&gt;=$NR$81,289&lt;=$NS$81),IF($NP$81="Single_Point",IF(289=$NR$81,$NN$81,0),IF($NP$81="Bell_Curve",$NN$81*(289-$NR$81+1)*($NS$81-289+1)/$NU$81,$NN$81/$NT$81)),0)</f>
        <v/>
      </c>
      <c r="KH81" s="402">
        <f>IF(AND(290&gt;=$NR$81,290&lt;=$NS$81),IF($NP$81="Single_Point",IF(290=$NR$81,$NN$81,0),IF($NP$81="Bell_Curve",$NN$81*(290-$NR$81+1)*($NS$81-290+1)/$NU$81,$NN$81/$NT$81)),0)</f>
        <v/>
      </c>
      <c r="KI81" s="402">
        <f>IF(AND(291&gt;=$NR$81,291&lt;=$NS$81),IF($NP$81="Single_Point",IF(291=$NR$81,$NN$81,0),IF($NP$81="Bell_Curve",$NN$81*(291-$NR$81+1)*($NS$81-291+1)/$NU$81,$NN$81/$NT$81)),0)</f>
        <v/>
      </c>
      <c r="KJ81" s="402">
        <f>IF(AND(292&gt;=$NR$81,292&lt;=$NS$81),IF($NP$81="Single_Point",IF(292=$NR$81,$NN$81,0),IF($NP$81="Bell_Curve",$NN$81*(292-$NR$81+1)*($NS$81-292+1)/$NU$81,$NN$81/$NT$81)),0)</f>
        <v/>
      </c>
      <c r="KK81" s="402">
        <f>IF(AND(293&gt;=$NR$81,293&lt;=$NS$81),IF($NP$81="Single_Point",IF(293=$NR$81,$NN$81,0),IF($NP$81="Bell_Curve",$NN$81*(293-$NR$81+1)*($NS$81-293+1)/$NU$81,$NN$81/$NT$81)),0)</f>
        <v/>
      </c>
      <c r="KL81" s="402">
        <f>IF(AND(294&gt;=$NR$81,294&lt;=$NS$81),IF($NP$81="Single_Point",IF(294=$NR$81,$NN$81,0),IF($NP$81="Bell_Curve",$NN$81*(294-$NR$81+1)*($NS$81-294+1)/$NU$81,$NN$81/$NT$81)),0)</f>
        <v/>
      </c>
      <c r="KM81" s="402">
        <f>IF(AND(295&gt;=$NR$81,295&lt;=$NS$81),IF($NP$81="Single_Point",IF(295=$NR$81,$NN$81,0),IF($NP$81="Bell_Curve",$NN$81*(295-$NR$81+1)*($NS$81-295+1)/$NU$81,$NN$81/$NT$81)),0)</f>
        <v/>
      </c>
      <c r="KN81" s="402">
        <f>IF(AND(296&gt;=$NR$81,296&lt;=$NS$81),IF($NP$81="Single_Point",IF(296=$NR$81,$NN$81,0),IF($NP$81="Bell_Curve",$NN$81*(296-$NR$81+1)*($NS$81-296+1)/$NU$81,$NN$81/$NT$81)),0)</f>
        <v/>
      </c>
      <c r="KO81" s="402">
        <f>IF(AND(297&gt;=$NR$81,297&lt;=$NS$81),IF($NP$81="Single_Point",IF(297=$NR$81,$NN$81,0),IF($NP$81="Bell_Curve",$NN$81*(297-$NR$81+1)*($NS$81-297+1)/$NU$81,$NN$81/$NT$81)),0)</f>
        <v/>
      </c>
      <c r="KP81" s="402">
        <f>IF(AND(298&gt;=$NR$81,298&lt;=$NS$81),IF($NP$81="Single_Point",IF(298=$NR$81,$NN$81,0),IF($NP$81="Bell_Curve",$NN$81*(298-$NR$81+1)*($NS$81-298+1)/$NU$81,$NN$81/$NT$81)),0)</f>
        <v/>
      </c>
      <c r="KQ81" s="402">
        <f>IF(AND(299&gt;=$NR$81,299&lt;=$NS$81),IF($NP$81="Single_Point",IF(299=$NR$81,$NN$81,0),IF($NP$81="Bell_Curve",$NN$81*(299-$NR$81+1)*($NS$81-299+1)/$NU$81,$NN$81/$NT$81)),0)</f>
        <v/>
      </c>
      <c r="KR81" s="402">
        <f>IF(AND(300&gt;=$NR$81,300&lt;=$NS$81),IF($NP$81="Single_Point",IF(300=$NR$81,$NN$81,0),IF($NP$81="Bell_Curve",$NN$81*(300-$NR$81+1)*($NS$81-300+1)/$NU$81,$NN$81/$NT$81)),0)</f>
        <v/>
      </c>
      <c r="KS81" s="402">
        <f>IF(AND(301&gt;=$NR$81,301&lt;=$NS$81),IF($NP$81="Single_Point",IF(301=$NR$81,$NN$81,0),IF($NP$81="Bell_Curve",$NN$81*(301-$NR$81+1)*($NS$81-301+1)/$NU$81,$NN$81/$NT$81)),0)</f>
        <v/>
      </c>
      <c r="KT81" s="402">
        <f>IF(AND(302&gt;=$NR$81,302&lt;=$NS$81),IF($NP$81="Single_Point",IF(302=$NR$81,$NN$81,0),IF($NP$81="Bell_Curve",$NN$81*(302-$NR$81+1)*($NS$81-302+1)/$NU$81,$NN$81/$NT$81)),0)</f>
        <v/>
      </c>
      <c r="KU81" s="402">
        <f>IF(AND(303&gt;=$NR$81,303&lt;=$NS$81),IF($NP$81="Single_Point",IF(303=$NR$81,$NN$81,0),IF($NP$81="Bell_Curve",$NN$81*(303-$NR$81+1)*($NS$81-303+1)/$NU$81,$NN$81/$NT$81)),0)</f>
        <v/>
      </c>
      <c r="KV81" s="402">
        <f>IF(AND(304&gt;=$NR$81,304&lt;=$NS$81),IF($NP$81="Single_Point",IF(304=$NR$81,$NN$81,0),IF($NP$81="Bell_Curve",$NN$81*(304-$NR$81+1)*($NS$81-304+1)/$NU$81,$NN$81/$NT$81)),0)</f>
        <v/>
      </c>
      <c r="KW81" s="402">
        <f>IF(AND(305&gt;=$NR$81,305&lt;=$NS$81),IF($NP$81="Single_Point",IF(305=$NR$81,$NN$81,0),IF($NP$81="Bell_Curve",$NN$81*(305-$NR$81+1)*($NS$81-305+1)/$NU$81,$NN$81/$NT$81)),0)</f>
        <v/>
      </c>
      <c r="KX81" s="402">
        <f>IF(AND(306&gt;=$NR$81,306&lt;=$NS$81),IF($NP$81="Single_Point",IF(306=$NR$81,$NN$81,0),IF($NP$81="Bell_Curve",$NN$81*(306-$NR$81+1)*($NS$81-306+1)/$NU$81,$NN$81/$NT$81)),0)</f>
        <v/>
      </c>
      <c r="KY81" s="402">
        <f>IF(AND(307&gt;=$NR$81,307&lt;=$NS$81),IF($NP$81="Single_Point",IF(307=$NR$81,$NN$81,0),IF($NP$81="Bell_Curve",$NN$81*(307-$NR$81+1)*($NS$81-307+1)/$NU$81,$NN$81/$NT$81)),0)</f>
        <v/>
      </c>
      <c r="KZ81" s="402">
        <f>IF(AND(308&gt;=$NR$81,308&lt;=$NS$81),IF($NP$81="Single_Point",IF(308=$NR$81,$NN$81,0),IF($NP$81="Bell_Curve",$NN$81*(308-$NR$81+1)*($NS$81-308+1)/$NU$81,$NN$81/$NT$81)),0)</f>
        <v/>
      </c>
      <c r="LA81" s="402">
        <f>IF(AND(309&gt;=$NR$81,309&lt;=$NS$81),IF($NP$81="Single_Point",IF(309=$NR$81,$NN$81,0),IF($NP$81="Bell_Curve",$NN$81*(309-$NR$81+1)*($NS$81-309+1)/$NU$81,$NN$81/$NT$81)),0)</f>
        <v/>
      </c>
      <c r="LB81" s="402">
        <f>IF(AND(310&gt;=$NR$81,310&lt;=$NS$81),IF($NP$81="Single_Point",IF(310=$NR$81,$NN$81,0),IF($NP$81="Bell_Curve",$NN$81*(310-$NR$81+1)*($NS$81-310+1)/$NU$81,$NN$81/$NT$81)),0)</f>
        <v/>
      </c>
      <c r="LC81" s="402">
        <f>IF(AND(311&gt;=$NR$81,311&lt;=$NS$81),IF($NP$81="Single_Point",IF(311=$NR$81,$NN$81,0),IF($NP$81="Bell_Curve",$NN$81*(311-$NR$81+1)*($NS$81-311+1)/$NU$81,$NN$81/$NT$81)),0)</f>
        <v/>
      </c>
      <c r="LD81" s="402">
        <f>IF(AND(312&gt;=$NR$81,312&lt;=$NS$81),IF($NP$81="Single_Point",IF(312=$NR$81,$NN$81,0),IF($NP$81="Bell_Curve",$NN$81*(312-$NR$81+1)*($NS$81-312+1)/$NU$81,$NN$81/$NT$81)),0)</f>
        <v/>
      </c>
      <c r="LE81" s="402">
        <f>IF(AND(313&gt;=$NR$81,313&lt;=$NS$81),IF($NP$81="Single_Point",IF(313=$NR$81,$NN$81,0),IF($NP$81="Bell_Curve",$NN$81*(313-$NR$81+1)*($NS$81-313+1)/$NU$81,$NN$81/$NT$81)),0)</f>
        <v/>
      </c>
      <c r="LF81" s="402">
        <f>IF(AND(314&gt;=$NR$81,314&lt;=$NS$81),IF($NP$81="Single_Point",IF(314=$NR$81,$NN$81,0),IF($NP$81="Bell_Curve",$NN$81*(314-$NR$81+1)*($NS$81-314+1)/$NU$81,$NN$81/$NT$81)),0)</f>
        <v/>
      </c>
      <c r="LG81" s="402">
        <f>IF(AND(315&gt;=$NR$81,315&lt;=$NS$81),IF($NP$81="Single_Point",IF(315=$NR$81,$NN$81,0),IF($NP$81="Bell_Curve",$NN$81*(315-$NR$81+1)*($NS$81-315+1)/$NU$81,$NN$81/$NT$81)),0)</f>
        <v/>
      </c>
      <c r="LH81" s="402">
        <f>IF(AND(316&gt;=$NR$81,316&lt;=$NS$81),IF($NP$81="Single_Point",IF(316=$NR$81,$NN$81,0),IF($NP$81="Bell_Curve",$NN$81*(316-$NR$81+1)*($NS$81-316+1)/$NU$81,$NN$81/$NT$81)),0)</f>
        <v/>
      </c>
      <c r="LI81" s="402">
        <f>IF(AND(317&gt;=$NR$81,317&lt;=$NS$81),IF($NP$81="Single_Point",IF(317=$NR$81,$NN$81,0),IF($NP$81="Bell_Curve",$NN$81*(317-$NR$81+1)*($NS$81-317+1)/$NU$81,$NN$81/$NT$81)),0)</f>
        <v/>
      </c>
      <c r="LJ81" s="402">
        <f>IF(AND(318&gt;=$NR$81,318&lt;=$NS$81),IF($NP$81="Single_Point",IF(318=$NR$81,$NN$81,0),IF($NP$81="Bell_Curve",$NN$81*(318-$NR$81+1)*($NS$81-318+1)/$NU$81,$NN$81/$NT$81)),0)</f>
        <v/>
      </c>
      <c r="LK81" s="402">
        <f>IF(AND(319&gt;=$NR$81,319&lt;=$NS$81),IF($NP$81="Single_Point",IF(319=$NR$81,$NN$81,0),IF($NP$81="Bell_Curve",$NN$81*(319-$NR$81+1)*($NS$81-319+1)/$NU$81,$NN$81/$NT$81)),0)</f>
        <v/>
      </c>
      <c r="LL81" s="402">
        <f>IF(AND(320&gt;=$NR$81,320&lt;=$NS$81),IF($NP$81="Single_Point",IF(320=$NR$81,$NN$81,0),IF($NP$81="Bell_Curve",$NN$81*(320-$NR$81+1)*($NS$81-320+1)/$NU$81,$NN$81/$NT$81)),0)</f>
        <v/>
      </c>
      <c r="LM81" s="402">
        <f>IF(AND(321&gt;=$NR$81,321&lt;=$NS$81),IF($NP$81="Single_Point",IF(321=$NR$81,$NN$81,0),IF($NP$81="Bell_Curve",$NN$81*(321-$NR$81+1)*($NS$81-321+1)/$NU$81,$NN$81/$NT$81)),0)</f>
        <v/>
      </c>
      <c r="LN81" s="402">
        <f>IF(AND(322&gt;=$NR$81,322&lt;=$NS$81),IF($NP$81="Single_Point",IF(322=$NR$81,$NN$81,0),IF($NP$81="Bell_Curve",$NN$81*(322-$NR$81+1)*($NS$81-322+1)/$NU$81,$NN$81/$NT$81)),0)</f>
        <v/>
      </c>
      <c r="LO81" s="402">
        <f>IF(AND(323&gt;=$NR$81,323&lt;=$NS$81),IF($NP$81="Single_Point",IF(323=$NR$81,$NN$81,0),IF($NP$81="Bell_Curve",$NN$81*(323-$NR$81+1)*($NS$81-323+1)/$NU$81,$NN$81/$NT$81)),0)</f>
        <v/>
      </c>
      <c r="LP81" s="402">
        <f>IF(AND(324&gt;=$NR$81,324&lt;=$NS$81),IF($NP$81="Single_Point",IF(324=$NR$81,$NN$81,0),IF($NP$81="Bell_Curve",$NN$81*(324-$NR$81+1)*($NS$81-324+1)/$NU$81,$NN$81/$NT$81)),0)</f>
        <v/>
      </c>
      <c r="LQ81" s="402">
        <f>IF(AND(325&gt;=$NR$81,325&lt;=$NS$81),IF($NP$81="Single_Point",IF(325=$NR$81,$NN$81,0),IF($NP$81="Bell_Curve",$NN$81*(325-$NR$81+1)*($NS$81-325+1)/$NU$81,$NN$81/$NT$81)),0)</f>
        <v/>
      </c>
      <c r="LR81" s="402">
        <f>IF(AND(326&gt;=$NR$81,326&lt;=$NS$81),IF($NP$81="Single_Point",IF(326=$NR$81,$NN$81,0),IF($NP$81="Bell_Curve",$NN$81*(326-$NR$81+1)*($NS$81-326+1)/$NU$81,$NN$81/$NT$81)),0)</f>
        <v/>
      </c>
      <c r="LS81" s="402">
        <f>IF(AND(327&gt;=$NR$81,327&lt;=$NS$81),IF($NP$81="Single_Point",IF(327=$NR$81,$NN$81,0),IF($NP$81="Bell_Curve",$NN$81*(327-$NR$81+1)*($NS$81-327+1)/$NU$81,$NN$81/$NT$81)),0)</f>
        <v/>
      </c>
      <c r="LT81" s="402">
        <f>IF(AND(328&gt;=$NR$81,328&lt;=$NS$81),IF($NP$81="Single_Point",IF(328=$NR$81,$NN$81,0),IF($NP$81="Bell_Curve",$NN$81*(328-$NR$81+1)*($NS$81-328+1)/$NU$81,$NN$81/$NT$81)),0)</f>
        <v/>
      </c>
      <c r="LU81" s="402">
        <f>IF(AND(329&gt;=$NR$81,329&lt;=$NS$81),IF($NP$81="Single_Point",IF(329=$NR$81,$NN$81,0),IF($NP$81="Bell_Curve",$NN$81*(329-$NR$81+1)*($NS$81-329+1)/$NU$81,$NN$81/$NT$81)),0)</f>
        <v/>
      </c>
      <c r="LV81" s="402">
        <f>IF(AND(330&gt;=$NR$81,330&lt;=$NS$81),IF($NP$81="Single_Point",IF(330=$NR$81,$NN$81,0),IF($NP$81="Bell_Curve",$NN$81*(330-$NR$81+1)*($NS$81-330+1)/$NU$81,$NN$81/$NT$81)),0)</f>
        <v/>
      </c>
      <c r="LW81" s="402">
        <f>IF(AND(331&gt;=$NR$81,331&lt;=$NS$81),IF($NP$81="Single_Point",IF(331=$NR$81,$NN$81,0),IF($NP$81="Bell_Curve",$NN$81*(331-$NR$81+1)*($NS$81-331+1)/$NU$81,$NN$81/$NT$81)),0)</f>
        <v/>
      </c>
      <c r="LX81" s="402">
        <f>IF(AND(332&gt;=$NR$81,332&lt;=$NS$81),IF($NP$81="Single_Point",IF(332=$NR$81,$NN$81,0),IF($NP$81="Bell_Curve",$NN$81*(332-$NR$81+1)*($NS$81-332+1)/$NU$81,$NN$81/$NT$81)),0)</f>
        <v/>
      </c>
      <c r="LY81" s="402">
        <f>IF(AND(333&gt;=$NR$81,333&lt;=$NS$81),IF($NP$81="Single_Point",IF(333=$NR$81,$NN$81,0),IF($NP$81="Bell_Curve",$NN$81*(333-$NR$81+1)*($NS$81-333+1)/$NU$81,$NN$81/$NT$81)),0)</f>
        <v/>
      </c>
      <c r="LZ81" s="402">
        <f>IF(AND(334&gt;=$NR$81,334&lt;=$NS$81),IF($NP$81="Single_Point",IF(334=$NR$81,$NN$81,0),IF($NP$81="Bell_Curve",$NN$81*(334-$NR$81+1)*($NS$81-334+1)/$NU$81,$NN$81/$NT$81)),0)</f>
        <v/>
      </c>
      <c r="MA81" s="402">
        <f>IF(AND(335&gt;=$NR$81,335&lt;=$NS$81),IF($NP$81="Single_Point",IF(335=$NR$81,$NN$81,0),IF($NP$81="Bell_Curve",$NN$81*(335-$NR$81+1)*($NS$81-335+1)/$NU$81,$NN$81/$NT$81)),0)</f>
        <v/>
      </c>
      <c r="MB81" s="402">
        <f>IF(AND(336&gt;=$NR$81,336&lt;=$NS$81),IF($NP$81="Single_Point",IF(336=$NR$81,$NN$81,0),IF($NP$81="Bell_Curve",$NN$81*(336-$NR$81+1)*($NS$81-336+1)/$NU$81,$NN$81/$NT$81)),0)</f>
        <v/>
      </c>
      <c r="MC81" s="402">
        <f>IF(AND(337&gt;=$NR$81,337&lt;=$NS$81),IF($NP$81="Single_Point",IF(337=$NR$81,$NN$81,0),IF($NP$81="Bell_Curve",$NN$81*(337-$NR$81+1)*($NS$81-337+1)/$NU$81,$NN$81/$NT$81)),0)</f>
        <v/>
      </c>
      <c r="MD81" s="402">
        <f>IF(AND(338&gt;=$NR$81,338&lt;=$NS$81),IF($NP$81="Single_Point",IF(338=$NR$81,$NN$81,0),IF($NP$81="Bell_Curve",$NN$81*(338-$NR$81+1)*($NS$81-338+1)/$NU$81,$NN$81/$NT$81)),0)</f>
        <v/>
      </c>
      <c r="ME81" s="402">
        <f>IF(AND(339&gt;=$NR$81,339&lt;=$NS$81),IF($NP$81="Single_Point",IF(339=$NR$81,$NN$81,0),IF($NP$81="Bell_Curve",$NN$81*(339-$NR$81+1)*($NS$81-339+1)/$NU$81,$NN$81/$NT$81)),0)</f>
        <v/>
      </c>
      <c r="MF81" s="402">
        <f>IF(AND(340&gt;=$NR$81,340&lt;=$NS$81),IF($NP$81="Single_Point",IF(340=$NR$81,$NN$81,0),IF($NP$81="Bell_Curve",$NN$81*(340-$NR$81+1)*($NS$81-340+1)/$NU$81,$NN$81/$NT$81)),0)</f>
        <v/>
      </c>
      <c r="MG81" s="402">
        <f>IF(AND(341&gt;=$NR$81,341&lt;=$NS$81),IF($NP$81="Single_Point",IF(341=$NR$81,$NN$81,0),IF($NP$81="Bell_Curve",$NN$81*(341-$NR$81+1)*($NS$81-341+1)/$NU$81,$NN$81/$NT$81)),0)</f>
        <v/>
      </c>
      <c r="MH81" s="402">
        <f>IF(AND(342&gt;=$NR$81,342&lt;=$NS$81),IF($NP$81="Single_Point",IF(342=$NR$81,$NN$81,0),IF($NP$81="Bell_Curve",$NN$81*(342-$NR$81+1)*($NS$81-342+1)/$NU$81,$NN$81/$NT$81)),0)</f>
        <v/>
      </c>
      <c r="MI81" s="402">
        <f>IF(AND(343&gt;=$NR$81,343&lt;=$NS$81),IF($NP$81="Single_Point",IF(343=$NR$81,$NN$81,0),IF($NP$81="Bell_Curve",$NN$81*(343-$NR$81+1)*($NS$81-343+1)/$NU$81,$NN$81/$NT$81)),0)</f>
        <v/>
      </c>
      <c r="MJ81" s="402">
        <f>IF(AND(344&gt;=$NR$81,344&lt;=$NS$81),IF($NP$81="Single_Point",IF(344=$NR$81,$NN$81,0),IF($NP$81="Bell_Curve",$NN$81*(344-$NR$81+1)*($NS$81-344+1)/$NU$81,$NN$81/$NT$81)),0)</f>
        <v/>
      </c>
      <c r="MK81" s="402">
        <f>IF(AND(345&gt;=$NR$81,345&lt;=$NS$81),IF($NP$81="Single_Point",IF(345=$NR$81,$NN$81,0),IF($NP$81="Bell_Curve",$NN$81*(345-$NR$81+1)*($NS$81-345+1)/$NU$81,$NN$81/$NT$81)),0)</f>
        <v/>
      </c>
      <c r="ML81" s="402">
        <f>IF(AND(346&gt;=$NR$81,346&lt;=$NS$81),IF($NP$81="Single_Point",IF(346=$NR$81,$NN$81,0),IF($NP$81="Bell_Curve",$NN$81*(346-$NR$81+1)*($NS$81-346+1)/$NU$81,$NN$81/$NT$81)),0)</f>
        <v/>
      </c>
      <c r="MM81" s="402">
        <f>IF(AND(347&gt;=$NR$81,347&lt;=$NS$81),IF($NP$81="Single_Point",IF(347=$NR$81,$NN$81,0),IF($NP$81="Bell_Curve",$NN$81*(347-$NR$81+1)*($NS$81-347+1)/$NU$81,$NN$81/$NT$81)),0)</f>
        <v/>
      </c>
      <c r="MN81" s="402">
        <f>IF(AND(348&gt;=$NR$81,348&lt;=$NS$81),IF($NP$81="Single_Point",IF(348=$NR$81,$NN$81,0),IF($NP$81="Bell_Curve",$NN$81*(348-$NR$81+1)*($NS$81-348+1)/$NU$81,$NN$81/$NT$81)),0)</f>
        <v/>
      </c>
      <c r="MO81" s="402">
        <f>IF(AND(349&gt;=$NR$81,349&lt;=$NS$81),IF($NP$81="Single_Point",IF(349=$NR$81,$NN$81,0),IF($NP$81="Bell_Curve",$NN$81*(349-$NR$81+1)*($NS$81-349+1)/$NU$81,$NN$81/$NT$81)),0)</f>
        <v/>
      </c>
      <c r="MP81" s="402">
        <f>IF(AND(350&gt;=$NR$81,350&lt;=$NS$81),IF($NP$81="Single_Point",IF(350=$NR$81,$NN$81,0),IF($NP$81="Bell_Curve",$NN$81*(350-$NR$81+1)*($NS$81-350+1)/$NU$81,$NN$81/$NT$81)),0)</f>
        <v/>
      </c>
      <c r="MQ81" s="402">
        <f>IF(AND(351&gt;=$NR$81,351&lt;=$NS$81),IF($NP$81="Single_Point",IF(351=$NR$81,$NN$81,0),IF($NP$81="Bell_Curve",$NN$81*(351-$NR$81+1)*($NS$81-351+1)/$NU$81,$NN$81/$NT$81)),0)</f>
        <v/>
      </c>
      <c r="MR81" s="402">
        <f>IF(AND(352&gt;=$NR$81,352&lt;=$NS$81),IF($NP$81="Single_Point",IF(352=$NR$81,$NN$81,0),IF($NP$81="Bell_Curve",$NN$81*(352-$NR$81+1)*($NS$81-352+1)/$NU$81,$NN$81/$NT$81)),0)</f>
        <v/>
      </c>
      <c r="MS81" s="402">
        <f>IF(AND(353&gt;=$NR$81,353&lt;=$NS$81),IF($NP$81="Single_Point",IF(353=$NR$81,$NN$81,0),IF($NP$81="Bell_Curve",$NN$81*(353-$NR$81+1)*($NS$81-353+1)/$NU$81,$NN$81/$NT$81)),0)</f>
        <v/>
      </c>
      <c r="MT81" s="402">
        <f>IF(AND(354&gt;=$NR$81,354&lt;=$NS$81),IF($NP$81="Single_Point",IF(354=$NR$81,$NN$81,0),IF($NP$81="Bell_Curve",$NN$81*(354-$NR$81+1)*($NS$81-354+1)/$NU$81,$NN$81/$NT$81)),0)</f>
        <v/>
      </c>
      <c r="MU81" s="402">
        <f>IF(AND(355&gt;=$NR$81,355&lt;=$NS$81),IF($NP$81="Single_Point",IF(355=$NR$81,$NN$81,0),IF($NP$81="Bell_Curve",$NN$81*(355-$NR$81+1)*($NS$81-355+1)/$NU$81,$NN$81/$NT$81)),0)</f>
        <v/>
      </c>
      <c r="MV81" s="402">
        <f>IF(AND(356&gt;=$NR$81,356&lt;=$NS$81),IF($NP$81="Single_Point",IF(356=$NR$81,$NN$81,0),IF($NP$81="Bell_Curve",$NN$81*(356-$NR$81+1)*($NS$81-356+1)/$NU$81,$NN$81/$NT$81)),0)</f>
        <v/>
      </c>
      <c r="MW81" s="402">
        <f>IF(AND(357&gt;=$NR$81,357&lt;=$NS$81),IF($NP$81="Single_Point",IF(357=$NR$81,$NN$81,0),IF($NP$81="Bell_Curve",$NN$81*(357-$NR$81+1)*($NS$81-357+1)/$NU$81,$NN$81/$NT$81)),0)</f>
        <v/>
      </c>
      <c r="MX81" s="402">
        <f>IF(AND(358&gt;=$NR$81,358&lt;=$NS$81),IF($NP$81="Single_Point",IF(358=$NR$81,$NN$81,0),IF($NP$81="Bell_Curve",$NN$81*(358-$NR$81+1)*($NS$81-358+1)/$NU$81,$NN$81/$NT$81)),0)</f>
        <v/>
      </c>
      <c r="MY81" s="402">
        <f>IF(AND(359&gt;=$NR$81,359&lt;=$NS$81),IF($NP$81="Single_Point",IF(359=$NR$81,$NN$81,0),IF($NP$81="Bell_Curve",$NN$81*(359-$NR$81+1)*($NS$81-359+1)/$NU$81,$NN$81/$NT$81)),0)</f>
        <v/>
      </c>
      <c r="MZ81" s="402">
        <f>IF(AND(360&gt;=$NR$81,360&lt;=$NS$81),IF($NP$81="Single_Point",IF(360=$NR$81,$NN$81,0),IF($NP$81="Bell_Curve",$NN$81*(360-$NR$81+1)*($NS$81-360+1)/$NU$81,$NN$81/$NT$81)),0)</f>
        <v/>
      </c>
      <c r="NA81" s="402">
        <f>IF(AND(361&gt;=$NR$81,361&lt;=$NS$81),IF($NP$81="Single_Point",IF(361=$NR$81,$NN$81,0),IF($NP$81="Bell_Curve",$NN$81*(361-$NR$81+1)*($NS$81-361+1)/$NU$81,$NN$81/$NT$81)),0)</f>
        <v/>
      </c>
      <c r="NB81" s="402">
        <f>IF(AND(362&gt;=$NR$81,362&lt;=$NS$81),IF($NP$81="Single_Point",IF(362=$NR$81,$NN$81,0),IF($NP$81="Bell_Curve",$NN$81*(362-$NR$81+1)*($NS$81-362+1)/$NU$81,$NN$81/$NT$81)),0)</f>
        <v/>
      </c>
      <c r="NC81" s="402">
        <f>IF(AND(363&gt;=$NR$81,363&lt;=$NS$81),IF($NP$81="Single_Point",IF(363=$NR$81,$NN$81,0),IF($NP$81="Bell_Curve",$NN$81*(363-$NR$81+1)*($NS$81-363+1)/$NU$81,$NN$81/$NT$81)),0)</f>
        <v/>
      </c>
      <c r="ND81" s="402">
        <f>IF(AND(364&gt;=$NR$81,364&lt;=$NS$81),IF($NP$81="Single_Point",IF(364=$NR$81,$NN$81,0),IF($NP$81="Bell_Curve",$NN$81*(364-$NR$81+1)*($NS$81-364+1)/$NU$81,$NN$81/$NT$81)),0)</f>
        <v/>
      </c>
      <c r="NE81" s="402">
        <f>IF(AND(365&gt;=$NR$81,365&lt;=$NS$81),IF($NP$81="Single_Point",IF(365=$NR$81,$NN$81,0),IF($NP$81="Bell_Curve",$NN$81*(365-$NR$81+1)*($NS$81-365+1)/$NU$81,$NN$81/$NT$81)),0)</f>
        <v/>
      </c>
      <c r="NF81" s="402">
        <f>IF(AND(366&gt;=$NR$81,366&lt;=$NS$81),IF($NP$81="Single_Point",IF(366=$NR$81,$NN$81,0),IF($NP$81="Bell_Curve",$NN$81*(366-$NR$81+1)*($NS$81-366+1)/$NU$81,$NN$81/$NT$81)),0)</f>
        <v/>
      </c>
      <c r="NG81" s="402">
        <f>IF(AND(367&gt;=$NR$81,367&lt;=$NS$81),IF($NP$81="Single_Point",IF(367=$NR$81,$NN$81,0),IF($NP$81="Bell_Curve",$NN$81*(367-$NR$81+1)*($NS$81-367+1)/$NU$81,$NN$81/$NT$81)),0)</f>
        <v/>
      </c>
      <c r="NH81" s="402">
        <f>IF(AND(368&gt;=$NR$81,368&lt;=$NS$81),IF($NP$81="Single_Point",IF(368=$NR$81,$NN$81,0),IF($NP$81="Bell_Curve",$NN$81*(368-$NR$81+1)*($NS$81-368+1)/$NU$81,$NN$81/$NT$81)),0)</f>
        <v/>
      </c>
      <c r="NI81" s="402">
        <f>IF(AND(369&gt;=$NR$81,369&lt;=$NS$81),IF($NP$81="Single_Point",IF(369=$NR$81,$NN$81,0),IF($NP$81="Bell_Curve",$NN$81*(369-$NR$81+1)*($NS$81-369+1)/$NU$81,$NN$81/$NT$81)),0)</f>
        <v/>
      </c>
      <c r="NJ81" s="402">
        <f>IF(AND(370&gt;=$NR$81,370&lt;=$NS$81),IF($NP$81="Single_Point",IF(370=$NR$81,$NN$81,0),IF($NP$81="Bell_Curve",$NN$81*(370-$NR$81+1)*($NS$81-370+1)/$NU$81,$NN$81/$NT$81)),0)</f>
        <v/>
      </c>
      <c r="NK81" s="402">
        <f>IF(AND(371&gt;=$NR$81,371&lt;=$NS$81),IF($NP$81="Single_Point",IF(371=$NR$81,$NN$81,0),IF($NP$81="Bell_Curve",$NN$81*(371-$NR$81+1)*($NS$81-371+1)/$NU$81,$NN$81/$NT$81)),0)</f>
        <v/>
      </c>
      <c r="NL81" s="402">
        <f>IF(AND(372&gt;=$NR$81,372&lt;=$NS$81),IF($NP$81="Single_Point",IF(372=$NR$81,$NN$81,0),IF($NP$81="Bell_Curve",$NN$81*(372-$NR$81+1)*($NS$81-372+1)/$NU$81,$NN$81/$NT$81)),0)</f>
        <v/>
      </c>
      <c r="NM81">
        <f>Budget!C80</f>
        <v/>
      </c>
      <c r="NN81">
        <f>Budget!J80</f>
        <v/>
      </c>
      <c r="NO81">
        <f>Budget!G80</f>
        <v/>
      </c>
      <c r="NP81">
        <f>Budget!H80</f>
        <v/>
      </c>
      <c r="NQ81">
        <f>Budget!I80</f>
        <v/>
      </c>
      <c r="NR81">
        <f>MAX(1,MIN(372,INDEX(MilestoneStart,MATCH(NO81,MilestoneNames,0))+NQ81))</f>
        <v/>
      </c>
      <c r="NS81">
        <f>MAX(NR81,MIN(372,INDEX(MilestoneEnd,MATCH(NO81,MilestoneNames,0))+NQ81))</f>
        <v/>
      </c>
      <c r="NT81">
        <f>NS81-NR81+1</f>
        <v/>
      </c>
      <c r="NU81">
        <f>NT81*(NT81+1)*(NT81+2)/6</f>
        <v/>
      </c>
    </row>
    <row r="82">
      <c r="B82" s="316">
        <f>Budget!B81</f>
        <v/>
      </c>
      <c r="D82" s="402">
        <f>SUM(E82:NL82)</f>
        <v/>
      </c>
      <c r="E82" s="402">
        <f>IF(AND(1&gt;=$NR$82,1&lt;=$NS$82),IF($NP$82="Single_Point",IF(1=$NR$82,$NN$82,0),IF($NP$82="Bell_Curve",$NN$82*(1-$NR$82+1)*($NS$82-1+1)/$NU$82,$NN$82/$NT$82)),0)</f>
        <v/>
      </c>
      <c r="F82" s="402">
        <f>IF(AND(2&gt;=$NR$82,2&lt;=$NS$82),IF($NP$82="Single_Point",IF(2=$NR$82,$NN$82,0),IF($NP$82="Bell_Curve",$NN$82*(2-$NR$82+1)*($NS$82-2+1)/$NU$82,$NN$82/$NT$82)),0)</f>
        <v/>
      </c>
      <c r="G82" s="402">
        <f>IF(AND(3&gt;=$NR$82,3&lt;=$NS$82),IF($NP$82="Single_Point",IF(3=$NR$82,$NN$82,0),IF($NP$82="Bell_Curve",$NN$82*(3-$NR$82+1)*($NS$82-3+1)/$NU$82,$NN$82/$NT$82)),0)</f>
        <v/>
      </c>
      <c r="H82" s="402">
        <f>IF(AND(4&gt;=$NR$82,4&lt;=$NS$82),IF($NP$82="Single_Point",IF(4=$NR$82,$NN$82,0),IF($NP$82="Bell_Curve",$NN$82*(4-$NR$82+1)*($NS$82-4+1)/$NU$82,$NN$82/$NT$82)),0)</f>
        <v/>
      </c>
      <c r="I82" s="402">
        <f>IF(AND(5&gt;=$NR$82,5&lt;=$NS$82),IF($NP$82="Single_Point",IF(5=$NR$82,$NN$82,0),IF($NP$82="Bell_Curve",$NN$82*(5-$NR$82+1)*($NS$82-5+1)/$NU$82,$NN$82/$NT$82)),0)</f>
        <v/>
      </c>
      <c r="J82" s="402">
        <f>IF(AND(6&gt;=$NR$82,6&lt;=$NS$82),IF($NP$82="Single_Point",IF(6=$NR$82,$NN$82,0),IF($NP$82="Bell_Curve",$NN$82*(6-$NR$82+1)*($NS$82-6+1)/$NU$82,$NN$82/$NT$82)),0)</f>
        <v/>
      </c>
      <c r="K82" s="402">
        <f>IF(AND(7&gt;=$NR$82,7&lt;=$NS$82),IF($NP$82="Single_Point",IF(7=$NR$82,$NN$82,0),IF($NP$82="Bell_Curve",$NN$82*(7-$NR$82+1)*($NS$82-7+1)/$NU$82,$NN$82/$NT$82)),0)</f>
        <v/>
      </c>
      <c r="L82" s="402">
        <f>IF(AND(8&gt;=$NR$82,8&lt;=$NS$82),IF($NP$82="Single_Point",IF(8=$NR$82,$NN$82,0),IF($NP$82="Bell_Curve",$NN$82*(8-$NR$82+1)*($NS$82-8+1)/$NU$82,$NN$82/$NT$82)),0)</f>
        <v/>
      </c>
      <c r="M82" s="402">
        <f>IF(AND(9&gt;=$NR$82,9&lt;=$NS$82),IF($NP$82="Single_Point",IF(9=$NR$82,$NN$82,0),IF($NP$82="Bell_Curve",$NN$82*(9-$NR$82+1)*($NS$82-9+1)/$NU$82,$NN$82/$NT$82)),0)</f>
        <v/>
      </c>
      <c r="N82" s="402">
        <f>IF(AND(10&gt;=$NR$82,10&lt;=$NS$82),IF($NP$82="Single_Point",IF(10=$NR$82,$NN$82,0),IF($NP$82="Bell_Curve",$NN$82*(10-$NR$82+1)*($NS$82-10+1)/$NU$82,$NN$82/$NT$82)),0)</f>
        <v/>
      </c>
      <c r="O82" s="402">
        <f>IF(AND(11&gt;=$NR$82,11&lt;=$NS$82),IF($NP$82="Single_Point",IF(11=$NR$82,$NN$82,0),IF($NP$82="Bell_Curve",$NN$82*(11-$NR$82+1)*($NS$82-11+1)/$NU$82,$NN$82/$NT$82)),0)</f>
        <v/>
      </c>
      <c r="P82" s="402">
        <f>IF(AND(12&gt;=$NR$82,12&lt;=$NS$82),IF($NP$82="Single_Point",IF(12=$NR$82,$NN$82,0),IF($NP$82="Bell_Curve",$NN$82*(12-$NR$82+1)*($NS$82-12+1)/$NU$82,$NN$82/$NT$82)),0)</f>
        <v/>
      </c>
      <c r="Q82" s="402">
        <f>IF(AND(13&gt;=$NR$82,13&lt;=$NS$82),IF($NP$82="Single_Point",IF(13=$NR$82,$NN$82,0),IF($NP$82="Bell_Curve",$NN$82*(13-$NR$82+1)*($NS$82-13+1)/$NU$82,$NN$82/$NT$82)),0)</f>
        <v/>
      </c>
      <c r="R82" s="402">
        <f>IF(AND(14&gt;=$NR$82,14&lt;=$NS$82),IF($NP$82="Single_Point",IF(14=$NR$82,$NN$82,0),IF($NP$82="Bell_Curve",$NN$82*(14-$NR$82+1)*($NS$82-14+1)/$NU$82,$NN$82/$NT$82)),0)</f>
        <v/>
      </c>
      <c r="S82" s="402">
        <f>IF(AND(15&gt;=$NR$82,15&lt;=$NS$82),IF($NP$82="Single_Point",IF(15=$NR$82,$NN$82,0),IF($NP$82="Bell_Curve",$NN$82*(15-$NR$82+1)*($NS$82-15+1)/$NU$82,$NN$82/$NT$82)),0)</f>
        <v/>
      </c>
      <c r="T82" s="402">
        <f>IF(AND(16&gt;=$NR$82,16&lt;=$NS$82),IF($NP$82="Single_Point",IF(16=$NR$82,$NN$82,0),IF($NP$82="Bell_Curve",$NN$82*(16-$NR$82+1)*($NS$82-16+1)/$NU$82,$NN$82/$NT$82)),0)</f>
        <v/>
      </c>
      <c r="U82" s="402">
        <f>IF(AND(17&gt;=$NR$82,17&lt;=$NS$82),IF($NP$82="Single_Point",IF(17=$NR$82,$NN$82,0),IF($NP$82="Bell_Curve",$NN$82*(17-$NR$82+1)*($NS$82-17+1)/$NU$82,$NN$82/$NT$82)),0)</f>
        <v/>
      </c>
      <c r="V82" s="402">
        <f>IF(AND(18&gt;=$NR$82,18&lt;=$NS$82),IF($NP$82="Single_Point",IF(18=$NR$82,$NN$82,0),IF($NP$82="Bell_Curve",$NN$82*(18-$NR$82+1)*($NS$82-18+1)/$NU$82,$NN$82/$NT$82)),0)</f>
        <v/>
      </c>
      <c r="W82" s="402">
        <f>IF(AND(19&gt;=$NR$82,19&lt;=$NS$82),IF($NP$82="Single_Point",IF(19=$NR$82,$NN$82,0),IF($NP$82="Bell_Curve",$NN$82*(19-$NR$82+1)*($NS$82-19+1)/$NU$82,$NN$82/$NT$82)),0)</f>
        <v/>
      </c>
      <c r="X82" s="402">
        <f>IF(AND(20&gt;=$NR$82,20&lt;=$NS$82),IF($NP$82="Single_Point",IF(20=$NR$82,$NN$82,0),IF($NP$82="Bell_Curve",$NN$82*(20-$NR$82+1)*($NS$82-20+1)/$NU$82,$NN$82/$NT$82)),0)</f>
        <v/>
      </c>
      <c r="Y82" s="402">
        <f>IF(AND(21&gt;=$NR$82,21&lt;=$NS$82),IF($NP$82="Single_Point",IF(21=$NR$82,$NN$82,0),IF($NP$82="Bell_Curve",$NN$82*(21-$NR$82+1)*($NS$82-21+1)/$NU$82,$NN$82/$NT$82)),0)</f>
        <v/>
      </c>
      <c r="Z82" s="402">
        <f>IF(AND(22&gt;=$NR$82,22&lt;=$NS$82),IF($NP$82="Single_Point",IF(22=$NR$82,$NN$82,0),IF($NP$82="Bell_Curve",$NN$82*(22-$NR$82+1)*($NS$82-22+1)/$NU$82,$NN$82/$NT$82)),0)</f>
        <v/>
      </c>
      <c r="AA82" s="402">
        <f>IF(AND(23&gt;=$NR$82,23&lt;=$NS$82),IF($NP$82="Single_Point",IF(23=$NR$82,$NN$82,0),IF($NP$82="Bell_Curve",$NN$82*(23-$NR$82+1)*($NS$82-23+1)/$NU$82,$NN$82/$NT$82)),0)</f>
        <v/>
      </c>
      <c r="AB82" s="402">
        <f>IF(AND(24&gt;=$NR$82,24&lt;=$NS$82),IF($NP$82="Single_Point",IF(24=$NR$82,$NN$82,0),IF($NP$82="Bell_Curve",$NN$82*(24-$NR$82+1)*($NS$82-24+1)/$NU$82,$NN$82/$NT$82)),0)</f>
        <v/>
      </c>
      <c r="AC82" s="402">
        <f>IF(AND(25&gt;=$NR$82,25&lt;=$NS$82),IF($NP$82="Single_Point",IF(25=$NR$82,$NN$82,0),IF($NP$82="Bell_Curve",$NN$82*(25-$NR$82+1)*($NS$82-25+1)/$NU$82,$NN$82/$NT$82)),0)</f>
        <v/>
      </c>
      <c r="AD82" s="402">
        <f>IF(AND(26&gt;=$NR$82,26&lt;=$NS$82),IF($NP$82="Single_Point",IF(26=$NR$82,$NN$82,0),IF($NP$82="Bell_Curve",$NN$82*(26-$NR$82+1)*($NS$82-26+1)/$NU$82,$NN$82/$NT$82)),0)</f>
        <v/>
      </c>
      <c r="AE82" s="402">
        <f>IF(AND(27&gt;=$NR$82,27&lt;=$NS$82),IF($NP$82="Single_Point",IF(27=$NR$82,$NN$82,0),IF($NP$82="Bell_Curve",$NN$82*(27-$NR$82+1)*($NS$82-27+1)/$NU$82,$NN$82/$NT$82)),0)</f>
        <v/>
      </c>
      <c r="AF82" s="402">
        <f>IF(AND(28&gt;=$NR$82,28&lt;=$NS$82),IF($NP$82="Single_Point",IF(28=$NR$82,$NN$82,0),IF($NP$82="Bell_Curve",$NN$82*(28-$NR$82+1)*($NS$82-28+1)/$NU$82,$NN$82/$NT$82)),0)</f>
        <v/>
      </c>
      <c r="AG82" s="402">
        <f>IF(AND(29&gt;=$NR$82,29&lt;=$NS$82),IF($NP$82="Single_Point",IF(29=$NR$82,$NN$82,0),IF($NP$82="Bell_Curve",$NN$82*(29-$NR$82+1)*($NS$82-29+1)/$NU$82,$NN$82/$NT$82)),0)</f>
        <v/>
      </c>
      <c r="AH82" s="402">
        <f>IF(AND(30&gt;=$NR$82,30&lt;=$NS$82),IF($NP$82="Single_Point",IF(30=$NR$82,$NN$82,0),IF($NP$82="Bell_Curve",$NN$82*(30-$NR$82+1)*($NS$82-30+1)/$NU$82,$NN$82/$NT$82)),0)</f>
        <v/>
      </c>
      <c r="AI82" s="402">
        <f>IF(AND(31&gt;=$NR$82,31&lt;=$NS$82),IF($NP$82="Single_Point",IF(31=$NR$82,$NN$82,0),IF($NP$82="Bell_Curve",$NN$82*(31-$NR$82+1)*($NS$82-31+1)/$NU$82,$NN$82/$NT$82)),0)</f>
        <v/>
      </c>
      <c r="AJ82" s="402">
        <f>IF(AND(32&gt;=$NR$82,32&lt;=$NS$82),IF($NP$82="Single_Point",IF(32=$NR$82,$NN$82,0),IF($NP$82="Bell_Curve",$NN$82*(32-$NR$82+1)*($NS$82-32+1)/$NU$82,$NN$82/$NT$82)),0)</f>
        <v/>
      </c>
      <c r="AK82" s="402">
        <f>IF(AND(33&gt;=$NR$82,33&lt;=$NS$82),IF($NP$82="Single_Point",IF(33=$NR$82,$NN$82,0),IF($NP$82="Bell_Curve",$NN$82*(33-$NR$82+1)*($NS$82-33+1)/$NU$82,$NN$82/$NT$82)),0)</f>
        <v/>
      </c>
      <c r="AL82" s="402">
        <f>IF(AND(34&gt;=$NR$82,34&lt;=$NS$82),IF($NP$82="Single_Point",IF(34=$NR$82,$NN$82,0),IF($NP$82="Bell_Curve",$NN$82*(34-$NR$82+1)*($NS$82-34+1)/$NU$82,$NN$82/$NT$82)),0)</f>
        <v/>
      </c>
      <c r="AM82" s="402">
        <f>IF(AND(35&gt;=$NR$82,35&lt;=$NS$82),IF($NP$82="Single_Point",IF(35=$NR$82,$NN$82,0),IF($NP$82="Bell_Curve",$NN$82*(35-$NR$82+1)*($NS$82-35+1)/$NU$82,$NN$82/$NT$82)),0)</f>
        <v/>
      </c>
      <c r="AN82" s="402">
        <f>IF(AND(36&gt;=$NR$82,36&lt;=$NS$82),IF($NP$82="Single_Point",IF(36=$NR$82,$NN$82,0),IF($NP$82="Bell_Curve",$NN$82*(36-$NR$82+1)*($NS$82-36+1)/$NU$82,$NN$82/$NT$82)),0)</f>
        <v/>
      </c>
      <c r="AO82" s="402">
        <f>IF(AND(37&gt;=$NR$82,37&lt;=$NS$82),IF($NP$82="Single_Point",IF(37=$NR$82,$NN$82,0),IF($NP$82="Bell_Curve",$NN$82*(37-$NR$82+1)*($NS$82-37+1)/$NU$82,$NN$82/$NT$82)),0)</f>
        <v/>
      </c>
      <c r="AP82" s="402">
        <f>IF(AND(38&gt;=$NR$82,38&lt;=$NS$82),IF($NP$82="Single_Point",IF(38=$NR$82,$NN$82,0),IF($NP$82="Bell_Curve",$NN$82*(38-$NR$82+1)*($NS$82-38+1)/$NU$82,$NN$82/$NT$82)),0)</f>
        <v/>
      </c>
      <c r="AQ82" s="402">
        <f>IF(AND(39&gt;=$NR$82,39&lt;=$NS$82),IF($NP$82="Single_Point",IF(39=$NR$82,$NN$82,0),IF($NP$82="Bell_Curve",$NN$82*(39-$NR$82+1)*($NS$82-39+1)/$NU$82,$NN$82/$NT$82)),0)</f>
        <v/>
      </c>
      <c r="AR82" s="402">
        <f>IF(AND(40&gt;=$NR$82,40&lt;=$NS$82),IF($NP$82="Single_Point",IF(40=$NR$82,$NN$82,0),IF($NP$82="Bell_Curve",$NN$82*(40-$NR$82+1)*($NS$82-40+1)/$NU$82,$NN$82/$NT$82)),0)</f>
        <v/>
      </c>
      <c r="AS82" s="402">
        <f>IF(AND(41&gt;=$NR$82,41&lt;=$NS$82),IF($NP$82="Single_Point",IF(41=$NR$82,$NN$82,0),IF($NP$82="Bell_Curve",$NN$82*(41-$NR$82+1)*($NS$82-41+1)/$NU$82,$NN$82/$NT$82)),0)</f>
        <v/>
      </c>
      <c r="AT82" s="402">
        <f>IF(AND(42&gt;=$NR$82,42&lt;=$NS$82),IF($NP$82="Single_Point",IF(42=$NR$82,$NN$82,0),IF($NP$82="Bell_Curve",$NN$82*(42-$NR$82+1)*($NS$82-42+1)/$NU$82,$NN$82/$NT$82)),0)</f>
        <v/>
      </c>
      <c r="AU82" s="402">
        <f>IF(AND(43&gt;=$NR$82,43&lt;=$NS$82),IF($NP$82="Single_Point",IF(43=$NR$82,$NN$82,0),IF($NP$82="Bell_Curve",$NN$82*(43-$NR$82+1)*($NS$82-43+1)/$NU$82,$NN$82/$NT$82)),0)</f>
        <v/>
      </c>
      <c r="AV82" s="402">
        <f>IF(AND(44&gt;=$NR$82,44&lt;=$NS$82),IF($NP$82="Single_Point",IF(44=$NR$82,$NN$82,0),IF($NP$82="Bell_Curve",$NN$82*(44-$NR$82+1)*($NS$82-44+1)/$NU$82,$NN$82/$NT$82)),0)</f>
        <v/>
      </c>
      <c r="AW82" s="402">
        <f>IF(AND(45&gt;=$NR$82,45&lt;=$NS$82),IF($NP$82="Single_Point",IF(45=$NR$82,$NN$82,0),IF($NP$82="Bell_Curve",$NN$82*(45-$NR$82+1)*($NS$82-45+1)/$NU$82,$NN$82/$NT$82)),0)</f>
        <v/>
      </c>
      <c r="AX82" s="402">
        <f>IF(AND(46&gt;=$NR$82,46&lt;=$NS$82),IF($NP$82="Single_Point",IF(46=$NR$82,$NN$82,0),IF($NP$82="Bell_Curve",$NN$82*(46-$NR$82+1)*($NS$82-46+1)/$NU$82,$NN$82/$NT$82)),0)</f>
        <v/>
      </c>
      <c r="AY82" s="402">
        <f>IF(AND(47&gt;=$NR$82,47&lt;=$NS$82),IF($NP$82="Single_Point",IF(47=$NR$82,$NN$82,0),IF($NP$82="Bell_Curve",$NN$82*(47-$NR$82+1)*($NS$82-47+1)/$NU$82,$NN$82/$NT$82)),0)</f>
        <v/>
      </c>
      <c r="AZ82" s="402">
        <f>IF(AND(48&gt;=$NR$82,48&lt;=$NS$82),IF($NP$82="Single_Point",IF(48=$NR$82,$NN$82,0),IF($NP$82="Bell_Curve",$NN$82*(48-$NR$82+1)*($NS$82-48+1)/$NU$82,$NN$82/$NT$82)),0)</f>
        <v/>
      </c>
      <c r="BA82" s="402">
        <f>IF(AND(49&gt;=$NR$82,49&lt;=$NS$82),IF($NP$82="Single_Point",IF(49=$NR$82,$NN$82,0),IF($NP$82="Bell_Curve",$NN$82*(49-$NR$82+1)*($NS$82-49+1)/$NU$82,$NN$82/$NT$82)),0)</f>
        <v/>
      </c>
      <c r="BB82" s="402">
        <f>IF(AND(50&gt;=$NR$82,50&lt;=$NS$82),IF($NP$82="Single_Point",IF(50=$NR$82,$NN$82,0),IF($NP$82="Bell_Curve",$NN$82*(50-$NR$82+1)*($NS$82-50+1)/$NU$82,$NN$82/$NT$82)),0)</f>
        <v/>
      </c>
      <c r="BC82" s="402">
        <f>IF(AND(51&gt;=$NR$82,51&lt;=$NS$82),IF($NP$82="Single_Point",IF(51=$NR$82,$NN$82,0),IF($NP$82="Bell_Curve",$NN$82*(51-$NR$82+1)*($NS$82-51+1)/$NU$82,$NN$82/$NT$82)),0)</f>
        <v/>
      </c>
      <c r="BD82" s="402">
        <f>IF(AND(52&gt;=$NR$82,52&lt;=$NS$82),IF($NP$82="Single_Point",IF(52=$NR$82,$NN$82,0),IF($NP$82="Bell_Curve",$NN$82*(52-$NR$82+1)*($NS$82-52+1)/$NU$82,$NN$82/$NT$82)),0)</f>
        <v/>
      </c>
      <c r="BE82" s="402">
        <f>IF(AND(53&gt;=$NR$82,53&lt;=$NS$82),IF($NP$82="Single_Point",IF(53=$NR$82,$NN$82,0),IF($NP$82="Bell_Curve",$NN$82*(53-$NR$82+1)*($NS$82-53+1)/$NU$82,$NN$82/$NT$82)),0)</f>
        <v/>
      </c>
      <c r="BF82" s="402">
        <f>IF(AND(54&gt;=$NR$82,54&lt;=$NS$82),IF($NP$82="Single_Point",IF(54=$NR$82,$NN$82,0),IF($NP$82="Bell_Curve",$NN$82*(54-$NR$82+1)*($NS$82-54+1)/$NU$82,$NN$82/$NT$82)),0)</f>
        <v/>
      </c>
      <c r="BG82" s="402">
        <f>IF(AND(55&gt;=$NR$82,55&lt;=$NS$82),IF($NP$82="Single_Point",IF(55=$NR$82,$NN$82,0),IF($NP$82="Bell_Curve",$NN$82*(55-$NR$82+1)*($NS$82-55+1)/$NU$82,$NN$82/$NT$82)),0)</f>
        <v/>
      </c>
      <c r="BH82" s="402">
        <f>IF(AND(56&gt;=$NR$82,56&lt;=$NS$82),IF($NP$82="Single_Point",IF(56=$NR$82,$NN$82,0),IF($NP$82="Bell_Curve",$NN$82*(56-$NR$82+1)*($NS$82-56+1)/$NU$82,$NN$82/$NT$82)),0)</f>
        <v/>
      </c>
      <c r="BI82" s="402">
        <f>IF(AND(57&gt;=$NR$82,57&lt;=$NS$82),IF($NP$82="Single_Point",IF(57=$NR$82,$NN$82,0),IF($NP$82="Bell_Curve",$NN$82*(57-$NR$82+1)*($NS$82-57+1)/$NU$82,$NN$82/$NT$82)),0)</f>
        <v/>
      </c>
      <c r="BJ82" s="402">
        <f>IF(AND(58&gt;=$NR$82,58&lt;=$NS$82),IF($NP$82="Single_Point",IF(58=$NR$82,$NN$82,0),IF($NP$82="Bell_Curve",$NN$82*(58-$NR$82+1)*($NS$82-58+1)/$NU$82,$NN$82/$NT$82)),0)</f>
        <v/>
      </c>
      <c r="BK82" s="402">
        <f>IF(AND(59&gt;=$NR$82,59&lt;=$NS$82),IF($NP$82="Single_Point",IF(59=$NR$82,$NN$82,0),IF($NP$82="Bell_Curve",$NN$82*(59-$NR$82+1)*($NS$82-59+1)/$NU$82,$NN$82/$NT$82)),0)</f>
        <v/>
      </c>
      <c r="BL82" s="402">
        <f>IF(AND(60&gt;=$NR$82,60&lt;=$NS$82),IF($NP$82="Single_Point",IF(60=$NR$82,$NN$82,0),IF($NP$82="Bell_Curve",$NN$82*(60-$NR$82+1)*($NS$82-60+1)/$NU$82,$NN$82/$NT$82)),0)</f>
        <v/>
      </c>
      <c r="BM82" s="402">
        <f>IF(AND(61&gt;=$NR$82,61&lt;=$NS$82),IF($NP$82="Single_Point",IF(61=$NR$82,$NN$82,0),IF($NP$82="Bell_Curve",$NN$82*(61-$NR$82+1)*($NS$82-61+1)/$NU$82,$NN$82/$NT$82)),0)</f>
        <v/>
      </c>
      <c r="BN82" s="402">
        <f>IF(AND(62&gt;=$NR$82,62&lt;=$NS$82),IF($NP$82="Single_Point",IF(62=$NR$82,$NN$82,0),IF($NP$82="Bell_Curve",$NN$82*(62-$NR$82+1)*($NS$82-62+1)/$NU$82,$NN$82/$NT$82)),0)</f>
        <v/>
      </c>
      <c r="BO82" s="402">
        <f>IF(AND(63&gt;=$NR$82,63&lt;=$NS$82),IF($NP$82="Single_Point",IF(63=$NR$82,$NN$82,0),IF($NP$82="Bell_Curve",$NN$82*(63-$NR$82+1)*($NS$82-63+1)/$NU$82,$NN$82/$NT$82)),0)</f>
        <v/>
      </c>
      <c r="BP82" s="402">
        <f>IF(AND(64&gt;=$NR$82,64&lt;=$NS$82),IF($NP$82="Single_Point",IF(64=$NR$82,$NN$82,0),IF($NP$82="Bell_Curve",$NN$82*(64-$NR$82+1)*($NS$82-64+1)/$NU$82,$NN$82/$NT$82)),0)</f>
        <v/>
      </c>
      <c r="BQ82" s="402">
        <f>IF(AND(65&gt;=$NR$82,65&lt;=$NS$82),IF($NP$82="Single_Point",IF(65=$NR$82,$NN$82,0),IF($NP$82="Bell_Curve",$NN$82*(65-$NR$82+1)*($NS$82-65+1)/$NU$82,$NN$82/$NT$82)),0)</f>
        <v/>
      </c>
      <c r="BR82" s="402">
        <f>IF(AND(66&gt;=$NR$82,66&lt;=$NS$82),IF($NP$82="Single_Point",IF(66=$NR$82,$NN$82,0),IF($NP$82="Bell_Curve",$NN$82*(66-$NR$82+1)*($NS$82-66+1)/$NU$82,$NN$82/$NT$82)),0)</f>
        <v/>
      </c>
      <c r="BS82" s="402">
        <f>IF(AND(67&gt;=$NR$82,67&lt;=$NS$82),IF($NP$82="Single_Point",IF(67=$NR$82,$NN$82,0),IF($NP$82="Bell_Curve",$NN$82*(67-$NR$82+1)*($NS$82-67+1)/$NU$82,$NN$82/$NT$82)),0)</f>
        <v/>
      </c>
      <c r="BT82" s="402">
        <f>IF(AND(68&gt;=$NR$82,68&lt;=$NS$82),IF($NP$82="Single_Point",IF(68=$NR$82,$NN$82,0),IF($NP$82="Bell_Curve",$NN$82*(68-$NR$82+1)*($NS$82-68+1)/$NU$82,$NN$82/$NT$82)),0)</f>
        <v/>
      </c>
      <c r="BU82" s="402">
        <f>IF(AND(69&gt;=$NR$82,69&lt;=$NS$82),IF($NP$82="Single_Point",IF(69=$NR$82,$NN$82,0),IF($NP$82="Bell_Curve",$NN$82*(69-$NR$82+1)*($NS$82-69+1)/$NU$82,$NN$82/$NT$82)),0)</f>
        <v/>
      </c>
      <c r="BV82" s="402">
        <f>IF(AND(70&gt;=$NR$82,70&lt;=$NS$82),IF($NP$82="Single_Point",IF(70=$NR$82,$NN$82,0),IF($NP$82="Bell_Curve",$NN$82*(70-$NR$82+1)*($NS$82-70+1)/$NU$82,$NN$82/$NT$82)),0)</f>
        <v/>
      </c>
      <c r="BW82" s="402">
        <f>IF(AND(71&gt;=$NR$82,71&lt;=$NS$82),IF($NP$82="Single_Point",IF(71=$NR$82,$NN$82,0),IF($NP$82="Bell_Curve",$NN$82*(71-$NR$82+1)*($NS$82-71+1)/$NU$82,$NN$82/$NT$82)),0)</f>
        <v/>
      </c>
      <c r="BX82" s="402">
        <f>IF(AND(72&gt;=$NR$82,72&lt;=$NS$82),IF($NP$82="Single_Point",IF(72=$NR$82,$NN$82,0),IF($NP$82="Bell_Curve",$NN$82*(72-$NR$82+1)*($NS$82-72+1)/$NU$82,$NN$82/$NT$82)),0)</f>
        <v/>
      </c>
      <c r="BY82" s="402">
        <f>IF(AND(73&gt;=$NR$82,73&lt;=$NS$82),IF($NP$82="Single_Point",IF(73=$NR$82,$NN$82,0),IF($NP$82="Bell_Curve",$NN$82*(73-$NR$82+1)*($NS$82-73+1)/$NU$82,$NN$82/$NT$82)),0)</f>
        <v/>
      </c>
      <c r="BZ82" s="402">
        <f>IF(AND(74&gt;=$NR$82,74&lt;=$NS$82),IF($NP$82="Single_Point",IF(74=$NR$82,$NN$82,0),IF($NP$82="Bell_Curve",$NN$82*(74-$NR$82+1)*($NS$82-74+1)/$NU$82,$NN$82/$NT$82)),0)</f>
        <v/>
      </c>
      <c r="CA82" s="402">
        <f>IF(AND(75&gt;=$NR$82,75&lt;=$NS$82),IF($NP$82="Single_Point",IF(75=$NR$82,$NN$82,0),IF($NP$82="Bell_Curve",$NN$82*(75-$NR$82+1)*($NS$82-75+1)/$NU$82,$NN$82/$NT$82)),0)</f>
        <v/>
      </c>
      <c r="CB82" s="402">
        <f>IF(AND(76&gt;=$NR$82,76&lt;=$NS$82),IF($NP$82="Single_Point",IF(76=$NR$82,$NN$82,0),IF($NP$82="Bell_Curve",$NN$82*(76-$NR$82+1)*($NS$82-76+1)/$NU$82,$NN$82/$NT$82)),0)</f>
        <v/>
      </c>
      <c r="CC82" s="402">
        <f>IF(AND(77&gt;=$NR$82,77&lt;=$NS$82),IF($NP$82="Single_Point",IF(77=$NR$82,$NN$82,0),IF($NP$82="Bell_Curve",$NN$82*(77-$NR$82+1)*($NS$82-77+1)/$NU$82,$NN$82/$NT$82)),0)</f>
        <v/>
      </c>
      <c r="CD82" s="402">
        <f>IF(AND(78&gt;=$NR$82,78&lt;=$NS$82),IF($NP$82="Single_Point",IF(78=$NR$82,$NN$82,0),IF($NP$82="Bell_Curve",$NN$82*(78-$NR$82+1)*($NS$82-78+1)/$NU$82,$NN$82/$NT$82)),0)</f>
        <v/>
      </c>
      <c r="CE82" s="402">
        <f>IF(AND(79&gt;=$NR$82,79&lt;=$NS$82),IF($NP$82="Single_Point",IF(79=$NR$82,$NN$82,0),IF($NP$82="Bell_Curve",$NN$82*(79-$NR$82+1)*($NS$82-79+1)/$NU$82,$NN$82/$NT$82)),0)</f>
        <v/>
      </c>
      <c r="CF82" s="402">
        <f>IF(AND(80&gt;=$NR$82,80&lt;=$NS$82),IF($NP$82="Single_Point",IF(80=$NR$82,$NN$82,0),IF($NP$82="Bell_Curve",$NN$82*(80-$NR$82+1)*($NS$82-80+1)/$NU$82,$NN$82/$NT$82)),0)</f>
        <v/>
      </c>
      <c r="CG82" s="402">
        <f>IF(AND(81&gt;=$NR$82,81&lt;=$NS$82),IF($NP$82="Single_Point",IF(81=$NR$82,$NN$82,0),IF($NP$82="Bell_Curve",$NN$82*(81-$NR$82+1)*($NS$82-81+1)/$NU$82,$NN$82/$NT$82)),0)</f>
        <v/>
      </c>
      <c r="CH82" s="402">
        <f>IF(AND(82&gt;=$NR$82,82&lt;=$NS$82),IF($NP$82="Single_Point",IF(82=$NR$82,$NN$82,0),IF($NP$82="Bell_Curve",$NN$82*(82-$NR$82+1)*($NS$82-82+1)/$NU$82,$NN$82/$NT$82)),0)</f>
        <v/>
      </c>
      <c r="CI82" s="402">
        <f>IF(AND(83&gt;=$NR$82,83&lt;=$NS$82),IF($NP$82="Single_Point",IF(83=$NR$82,$NN$82,0),IF($NP$82="Bell_Curve",$NN$82*(83-$NR$82+1)*($NS$82-83+1)/$NU$82,$NN$82/$NT$82)),0)</f>
        <v/>
      </c>
      <c r="CJ82" s="402">
        <f>IF(AND(84&gt;=$NR$82,84&lt;=$NS$82),IF($NP$82="Single_Point",IF(84=$NR$82,$NN$82,0),IF($NP$82="Bell_Curve",$NN$82*(84-$NR$82+1)*($NS$82-84+1)/$NU$82,$NN$82/$NT$82)),0)</f>
        <v/>
      </c>
      <c r="CK82" s="402">
        <f>IF(AND(85&gt;=$NR$82,85&lt;=$NS$82),IF($NP$82="Single_Point",IF(85=$NR$82,$NN$82,0),IF($NP$82="Bell_Curve",$NN$82*(85-$NR$82+1)*($NS$82-85+1)/$NU$82,$NN$82/$NT$82)),0)</f>
        <v/>
      </c>
      <c r="CL82" s="402">
        <f>IF(AND(86&gt;=$NR$82,86&lt;=$NS$82),IF($NP$82="Single_Point",IF(86=$NR$82,$NN$82,0),IF($NP$82="Bell_Curve",$NN$82*(86-$NR$82+1)*($NS$82-86+1)/$NU$82,$NN$82/$NT$82)),0)</f>
        <v/>
      </c>
      <c r="CM82" s="402">
        <f>IF(AND(87&gt;=$NR$82,87&lt;=$NS$82),IF($NP$82="Single_Point",IF(87=$NR$82,$NN$82,0),IF($NP$82="Bell_Curve",$NN$82*(87-$NR$82+1)*($NS$82-87+1)/$NU$82,$NN$82/$NT$82)),0)</f>
        <v/>
      </c>
      <c r="CN82" s="402">
        <f>IF(AND(88&gt;=$NR$82,88&lt;=$NS$82),IF($NP$82="Single_Point",IF(88=$NR$82,$NN$82,0),IF($NP$82="Bell_Curve",$NN$82*(88-$NR$82+1)*($NS$82-88+1)/$NU$82,$NN$82/$NT$82)),0)</f>
        <v/>
      </c>
      <c r="CO82" s="402">
        <f>IF(AND(89&gt;=$NR$82,89&lt;=$NS$82),IF($NP$82="Single_Point",IF(89=$NR$82,$NN$82,0),IF($NP$82="Bell_Curve",$NN$82*(89-$NR$82+1)*($NS$82-89+1)/$NU$82,$NN$82/$NT$82)),0)</f>
        <v/>
      </c>
      <c r="CP82" s="402">
        <f>IF(AND(90&gt;=$NR$82,90&lt;=$NS$82),IF($NP$82="Single_Point",IF(90=$NR$82,$NN$82,0),IF($NP$82="Bell_Curve",$NN$82*(90-$NR$82+1)*($NS$82-90+1)/$NU$82,$NN$82/$NT$82)),0)</f>
        <v/>
      </c>
      <c r="CQ82" s="402">
        <f>IF(AND(91&gt;=$NR$82,91&lt;=$NS$82),IF($NP$82="Single_Point",IF(91=$NR$82,$NN$82,0),IF($NP$82="Bell_Curve",$NN$82*(91-$NR$82+1)*($NS$82-91+1)/$NU$82,$NN$82/$NT$82)),0)</f>
        <v/>
      </c>
      <c r="CR82" s="402">
        <f>IF(AND(92&gt;=$NR$82,92&lt;=$NS$82),IF($NP$82="Single_Point",IF(92=$NR$82,$NN$82,0),IF($NP$82="Bell_Curve",$NN$82*(92-$NR$82+1)*($NS$82-92+1)/$NU$82,$NN$82/$NT$82)),0)</f>
        <v/>
      </c>
      <c r="CS82" s="402">
        <f>IF(AND(93&gt;=$NR$82,93&lt;=$NS$82),IF($NP$82="Single_Point",IF(93=$NR$82,$NN$82,0),IF($NP$82="Bell_Curve",$NN$82*(93-$NR$82+1)*($NS$82-93+1)/$NU$82,$NN$82/$NT$82)),0)</f>
        <v/>
      </c>
      <c r="CT82" s="402">
        <f>IF(AND(94&gt;=$NR$82,94&lt;=$NS$82),IF($NP$82="Single_Point",IF(94=$NR$82,$NN$82,0),IF($NP$82="Bell_Curve",$NN$82*(94-$NR$82+1)*($NS$82-94+1)/$NU$82,$NN$82/$NT$82)),0)</f>
        <v/>
      </c>
      <c r="CU82" s="402">
        <f>IF(AND(95&gt;=$NR$82,95&lt;=$NS$82),IF($NP$82="Single_Point",IF(95=$NR$82,$NN$82,0),IF($NP$82="Bell_Curve",$NN$82*(95-$NR$82+1)*($NS$82-95+1)/$NU$82,$NN$82/$NT$82)),0)</f>
        <v/>
      </c>
      <c r="CV82" s="402">
        <f>IF(AND(96&gt;=$NR$82,96&lt;=$NS$82),IF($NP$82="Single_Point",IF(96=$NR$82,$NN$82,0),IF($NP$82="Bell_Curve",$NN$82*(96-$NR$82+1)*($NS$82-96+1)/$NU$82,$NN$82/$NT$82)),0)</f>
        <v/>
      </c>
      <c r="CW82" s="402">
        <f>IF(AND(97&gt;=$NR$82,97&lt;=$NS$82),IF($NP$82="Single_Point",IF(97=$NR$82,$NN$82,0),IF($NP$82="Bell_Curve",$NN$82*(97-$NR$82+1)*($NS$82-97+1)/$NU$82,$NN$82/$NT$82)),0)</f>
        <v/>
      </c>
      <c r="CX82" s="402">
        <f>IF(AND(98&gt;=$NR$82,98&lt;=$NS$82),IF($NP$82="Single_Point",IF(98=$NR$82,$NN$82,0),IF($NP$82="Bell_Curve",$NN$82*(98-$NR$82+1)*($NS$82-98+1)/$NU$82,$NN$82/$NT$82)),0)</f>
        <v/>
      </c>
      <c r="CY82" s="402">
        <f>IF(AND(99&gt;=$NR$82,99&lt;=$NS$82),IF($NP$82="Single_Point",IF(99=$NR$82,$NN$82,0),IF($NP$82="Bell_Curve",$NN$82*(99-$NR$82+1)*($NS$82-99+1)/$NU$82,$NN$82/$NT$82)),0)</f>
        <v/>
      </c>
      <c r="CZ82" s="402">
        <f>IF(AND(100&gt;=$NR$82,100&lt;=$NS$82),IF($NP$82="Single_Point",IF(100=$NR$82,$NN$82,0),IF($NP$82="Bell_Curve",$NN$82*(100-$NR$82+1)*($NS$82-100+1)/$NU$82,$NN$82/$NT$82)),0)</f>
        <v/>
      </c>
      <c r="DA82" s="402">
        <f>IF(AND(101&gt;=$NR$82,101&lt;=$NS$82),IF($NP$82="Single_Point",IF(101=$NR$82,$NN$82,0),IF($NP$82="Bell_Curve",$NN$82*(101-$NR$82+1)*($NS$82-101+1)/$NU$82,$NN$82/$NT$82)),0)</f>
        <v/>
      </c>
      <c r="DB82" s="402">
        <f>IF(AND(102&gt;=$NR$82,102&lt;=$NS$82),IF($NP$82="Single_Point",IF(102=$NR$82,$NN$82,0),IF($NP$82="Bell_Curve",$NN$82*(102-$NR$82+1)*($NS$82-102+1)/$NU$82,$NN$82/$NT$82)),0)</f>
        <v/>
      </c>
      <c r="DC82" s="402">
        <f>IF(AND(103&gt;=$NR$82,103&lt;=$NS$82),IF($NP$82="Single_Point",IF(103=$NR$82,$NN$82,0),IF($NP$82="Bell_Curve",$NN$82*(103-$NR$82+1)*($NS$82-103+1)/$NU$82,$NN$82/$NT$82)),0)</f>
        <v/>
      </c>
      <c r="DD82" s="402">
        <f>IF(AND(104&gt;=$NR$82,104&lt;=$NS$82),IF($NP$82="Single_Point",IF(104=$NR$82,$NN$82,0),IF($NP$82="Bell_Curve",$NN$82*(104-$NR$82+1)*($NS$82-104+1)/$NU$82,$NN$82/$NT$82)),0)</f>
        <v/>
      </c>
      <c r="DE82" s="402">
        <f>IF(AND(105&gt;=$NR$82,105&lt;=$NS$82),IF($NP$82="Single_Point",IF(105=$NR$82,$NN$82,0),IF($NP$82="Bell_Curve",$NN$82*(105-$NR$82+1)*($NS$82-105+1)/$NU$82,$NN$82/$NT$82)),0)</f>
        <v/>
      </c>
      <c r="DF82" s="402">
        <f>IF(AND(106&gt;=$NR$82,106&lt;=$NS$82),IF($NP$82="Single_Point",IF(106=$NR$82,$NN$82,0),IF($NP$82="Bell_Curve",$NN$82*(106-$NR$82+1)*($NS$82-106+1)/$NU$82,$NN$82/$NT$82)),0)</f>
        <v/>
      </c>
      <c r="DG82" s="402">
        <f>IF(AND(107&gt;=$NR$82,107&lt;=$NS$82),IF($NP$82="Single_Point",IF(107=$NR$82,$NN$82,0),IF($NP$82="Bell_Curve",$NN$82*(107-$NR$82+1)*($NS$82-107+1)/$NU$82,$NN$82/$NT$82)),0)</f>
        <v/>
      </c>
      <c r="DH82" s="402">
        <f>IF(AND(108&gt;=$NR$82,108&lt;=$NS$82),IF($NP$82="Single_Point",IF(108=$NR$82,$NN$82,0),IF($NP$82="Bell_Curve",$NN$82*(108-$NR$82+1)*($NS$82-108+1)/$NU$82,$NN$82/$NT$82)),0)</f>
        <v/>
      </c>
      <c r="DI82" s="402">
        <f>IF(AND(109&gt;=$NR$82,109&lt;=$NS$82),IF($NP$82="Single_Point",IF(109=$NR$82,$NN$82,0),IF($NP$82="Bell_Curve",$NN$82*(109-$NR$82+1)*($NS$82-109+1)/$NU$82,$NN$82/$NT$82)),0)</f>
        <v/>
      </c>
      <c r="DJ82" s="402">
        <f>IF(AND(110&gt;=$NR$82,110&lt;=$NS$82),IF($NP$82="Single_Point",IF(110=$NR$82,$NN$82,0),IF($NP$82="Bell_Curve",$NN$82*(110-$NR$82+1)*($NS$82-110+1)/$NU$82,$NN$82/$NT$82)),0)</f>
        <v/>
      </c>
      <c r="DK82" s="402">
        <f>IF(AND(111&gt;=$NR$82,111&lt;=$NS$82),IF($NP$82="Single_Point",IF(111=$NR$82,$NN$82,0),IF($NP$82="Bell_Curve",$NN$82*(111-$NR$82+1)*($NS$82-111+1)/$NU$82,$NN$82/$NT$82)),0)</f>
        <v/>
      </c>
      <c r="DL82" s="402">
        <f>IF(AND(112&gt;=$NR$82,112&lt;=$NS$82),IF($NP$82="Single_Point",IF(112=$NR$82,$NN$82,0),IF($NP$82="Bell_Curve",$NN$82*(112-$NR$82+1)*($NS$82-112+1)/$NU$82,$NN$82/$NT$82)),0)</f>
        <v/>
      </c>
      <c r="DM82" s="402">
        <f>IF(AND(113&gt;=$NR$82,113&lt;=$NS$82),IF($NP$82="Single_Point",IF(113=$NR$82,$NN$82,0),IF($NP$82="Bell_Curve",$NN$82*(113-$NR$82+1)*($NS$82-113+1)/$NU$82,$NN$82/$NT$82)),0)</f>
        <v/>
      </c>
      <c r="DN82" s="402">
        <f>IF(AND(114&gt;=$NR$82,114&lt;=$NS$82),IF($NP$82="Single_Point",IF(114=$NR$82,$NN$82,0),IF($NP$82="Bell_Curve",$NN$82*(114-$NR$82+1)*($NS$82-114+1)/$NU$82,$NN$82/$NT$82)),0)</f>
        <v/>
      </c>
      <c r="DO82" s="402">
        <f>IF(AND(115&gt;=$NR$82,115&lt;=$NS$82),IF($NP$82="Single_Point",IF(115=$NR$82,$NN$82,0),IF($NP$82="Bell_Curve",$NN$82*(115-$NR$82+1)*($NS$82-115+1)/$NU$82,$NN$82/$NT$82)),0)</f>
        <v/>
      </c>
      <c r="DP82" s="402">
        <f>IF(AND(116&gt;=$NR$82,116&lt;=$NS$82),IF($NP$82="Single_Point",IF(116=$NR$82,$NN$82,0),IF($NP$82="Bell_Curve",$NN$82*(116-$NR$82+1)*($NS$82-116+1)/$NU$82,$NN$82/$NT$82)),0)</f>
        <v/>
      </c>
      <c r="DQ82" s="402">
        <f>IF(AND(117&gt;=$NR$82,117&lt;=$NS$82),IF($NP$82="Single_Point",IF(117=$NR$82,$NN$82,0),IF($NP$82="Bell_Curve",$NN$82*(117-$NR$82+1)*($NS$82-117+1)/$NU$82,$NN$82/$NT$82)),0)</f>
        <v/>
      </c>
      <c r="DR82" s="402">
        <f>IF(AND(118&gt;=$NR$82,118&lt;=$NS$82),IF($NP$82="Single_Point",IF(118=$NR$82,$NN$82,0),IF($NP$82="Bell_Curve",$NN$82*(118-$NR$82+1)*($NS$82-118+1)/$NU$82,$NN$82/$NT$82)),0)</f>
        <v/>
      </c>
      <c r="DS82" s="402">
        <f>IF(AND(119&gt;=$NR$82,119&lt;=$NS$82),IF($NP$82="Single_Point",IF(119=$NR$82,$NN$82,0),IF($NP$82="Bell_Curve",$NN$82*(119-$NR$82+1)*($NS$82-119+1)/$NU$82,$NN$82/$NT$82)),0)</f>
        <v/>
      </c>
      <c r="DT82" s="402">
        <f>IF(AND(120&gt;=$NR$82,120&lt;=$NS$82),IF($NP$82="Single_Point",IF(120=$NR$82,$NN$82,0),IF($NP$82="Bell_Curve",$NN$82*(120-$NR$82+1)*($NS$82-120+1)/$NU$82,$NN$82/$NT$82)),0)</f>
        <v/>
      </c>
      <c r="DU82" s="402">
        <f>IF(AND(121&gt;=$NR$82,121&lt;=$NS$82),IF($NP$82="Single_Point",IF(121=$NR$82,$NN$82,0),IF($NP$82="Bell_Curve",$NN$82*(121-$NR$82+1)*($NS$82-121+1)/$NU$82,$NN$82/$NT$82)),0)</f>
        <v/>
      </c>
      <c r="DV82" s="402">
        <f>IF(AND(122&gt;=$NR$82,122&lt;=$NS$82),IF($NP$82="Single_Point",IF(122=$NR$82,$NN$82,0),IF($NP$82="Bell_Curve",$NN$82*(122-$NR$82+1)*($NS$82-122+1)/$NU$82,$NN$82/$NT$82)),0)</f>
        <v/>
      </c>
      <c r="DW82" s="402">
        <f>IF(AND(123&gt;=$NR$82,123&lt;=$NS$82),IF($NP$82="Single_Point",IF(123=$NR$82,$NN$82,0),IF($NP$82="Bell_Curve",$NN$82*(123-$NR$82+1)*($NS$82-123+1)/$NU$82,$NN$82/$NT$82)),0)</f>
        <v/>
      </c>
      <c r="DX82" s="402">
        <f>IF(AND(124&gt;=$NR$82,124&lt;=$NS$82),IF($NP$82="Single_Point",IF(124=$NR$82,$NN$82,0),IF($NP$82="Bell_Curve",$NN$82*(124-$NR$82+1)*($NS$82-124+1)/$NU$82,$NN$82/$NT$82)),0)</f>
        <v/>
      </c>
      <c r="DY82" s="402">
        <f>IF(AND(125&gt;=$NR$82,125&lt;=$NS$82),IF($NP$82="Single_Point",IF(125=$NR$82,$NN$82,0),IF($NP$82="Bell_Curve",$NN$82*(125-$NR$82+1)*($NS$82-125+1)/$NU$82,$NN$82/$NT$82)),0)</f>
        <v/>
      </c>
      <c r="DZ82" s="402">
        <f>IF(AND(126&gt;=$NR$82,126&lt;=$NS$82),IF($NP$82="Single_Point",IF(126=$NR$82,$NN$82,0),IF($NP$82="Bell_Curve",$NN$82*(126-$NR$82+1)*($NS$82-126+1)/$NU$82,$NN$82/$NT$82)),0)</f>
        <v/>
      </c>
      <c r="EA82" s="402">
        <f>IF(AND(127&gt;=$NR$82,127&lt;=$NS$82),IF($NP$82="Single_Point",IF(127=$NR$82,$NN$82,0),IF($NP$82="Bell_Curve",$NN$82*(127-$NR$82+1)*($NS$82-127+1)/$NU$82,$NN$82/$NT$82)),0)</f>
        <v/>
      </c>
      <c r="EB82" s="402">
        <f>IF(AND(128&gt;=$NR$82,128&lt;=$NS$82),IF($NP$82="Single_Point",IF(128=$NR$82,$NN$82,0),IF($NP$82="Bell_Curve",$NN$82*(128-$NR$82+1)*($NS$82-128+1)/$NU$82,$NN$82/$NT$82)),0)</f>
        <v/>
      </c>
      <c r="EC82" s="402">
        <f>IF(AND(129&gt;=$NR$82,129&lt;=$NS$82),IF($NP$82="Single_Point",IF(129=$NR$82,$NN$82,0),IF($NP$82="Bell_Curve",$NN$82*(129-$NR$82+1)*($NS$82-129+1)/$NU$82,$NN$82/$NT$82)),0)</f>
        <v/>
      </c>
      <c r="ED82" s="402">
        <f>IF(AND(130&gt;=$NR$82,130&lt;=$NS$82),IF($NP$82="Single_Point",IF(130=$NR$82,$NN$82,0),IF($NP$82="Bell_Curve",$NN$82*(130-$NR$82+1)*($NS$82-130+1)/$NU$82,$NN$82/$NT$82)),0)</f>
        <v/>
      </c>
      <c r="EE82" s="402">
        <f>IF(AND(131&gt;=$NR$82,131&lt;=$NS$82),IF($NP$82="Single_Point",IF(131=$NR$82,$NN$82,0),IF($NP$82="Bell_Curve",$NN$82*(131-$NR$82+1)*($NS$82-131+1)/$NU$82,$NN$82/$NT$82)),0)</f>
        <v/>
      </c>
      <c r="EF82" s="402">
        <f>IF(AND(132&gt;=$NR$82,132&lt;=$NS$82),IF($NP$82="Single_Point",IF(132=$NR$82,$NN$82,0),IF($NP$82="Bell_Curve",$NN$82*(132-$NR$82+1)*($NS$82-132+1)/$NU$82,$NN$82/$NT$82)),0)</f>
        <v/>
      </c>
      <c r="EG82" s="402">
        <f>IF(AND(133&gt;=$NR$82,133&lt;=$NS$82),IF($NP$82="Single_Point",IF(133=$NR$82,$NN$82,0),IF($NP$82="Bell_Curve",$NN$82*(133-$NR$82+1)*($NS$82-133+1)/$NU$82,$NN$82/$NT$82)),0)</f>
        <v/>
      </c>
      <c r="EH82" s="402">
        <f>IF(AND(134&gt;=$NR$82,134&lt;=$NS$82),IF($NP$82="Single_Point",IF(134=$NR$82,$NN$82,0),IF($NP$82="Bell_Curve",$NN$82*(134-$NR$82+1)*($NS$82-134+1)/$NU$82,$NN$82/$NT$82)),0)</f>
        <v/>
      </c>
      <c r="EI82" s="402">
        <f>IF(AND(135&gt;=$NR$82,135&lt;=$NS$82),IF($NP$82="Single_Point",IF(135=$NR$82,$NN$82,0),IF($NP$82="Bell_Curve",$NN$82*(135-$NR$82+1)*($NS$82-135+1)/$NU$82,$NN$82/$NT$82)),0)</f>
        <v/>
      </c>
      <c r="EJ82" s="402">
        <f>IF(AND(136&gt;=$NR$82,136&lt;=$NS$82),IF($NP$82="Single_Point",IF(136=$NR$82,$NN$82,0),IF($NP$82="Bell_Curve",$NN$82*(136-$NR$82+1)*($NS$82-136+1)/$NU$82,$NN$82/$NT$82)),0)</f>
        <v/>
      </c>
      <c r="EK82" s="402">
        <f>IF(AND(137&gt;=$NR$82,137&lt;=$NS$82),IF($NP$82="Single_Point",IF(137=$NR$82,$NN$82,0),IF($NP$82="Bell_Curve",$NN$82*(137-$NR$82+1)*($NS$82-137+1)/$NU$82,$NN$82/$NT$82)),0)</f>
        <v/>
      </c>
      <c r="EL82" s="402">
        <f>IF(AND(138&gt;=$NR$82,138&lt;=$NS$82),IF($NP$82="Single_Point",IF(138=$NR$82,$NN$82,0),IF($NP$82="Bell_Curve",$NN$82*(138-$NR$82+1)*($NS$82-138+1)/$NU$82,$NN$82/$NT$82)),0)</f>
        <v/>
      </c>
      <c r="EM82" s="402">
        <f>IF(AND(139&gt;=$NR$82,139&lt;=$NS$82),IF($NP$82="Single_Point",IF(139=$NR$82,$NN$82,0),IF($NP$82="Bell_Curve",$NN$82*(139-$NR$82+1)*($NS$82-139+1)/$NU$82,$NN$82/$NT$82)),0)</f>
        <v/>
      </c>
      <c r="EN82" s="402">
        <f>IF(AND(140&gt;=$NR$82,140&lt;=$NS$82),IF($NP$82="Single_Point",IF(140=$NR$82,$NN$82,0),IF($NP$82="Bell_Curve",$NN$82*(140-$NR$82+1)*($NS$82-140+1)/$NU$82,$NN$82/$NT$82)),0)</f>
        <v/>
      </c>
      <c r="EO82" s="402">
        <f>IF(AND(141&gt;=$NR$82,141&lt;=$NS$82),IF($NP$82="Single_Point",IF(141=$NR$82,$NN$82,0),IF($NP$82="Bell_Curve",$NN$82*(141-$NR$82+1)*($NS$82-141+1)/$NU$82,$NN$82/$NT$82)),0)</f>
        <v/>
      </c>
      <c r="EP82" s="402">
        <f>IF(AND(142&gt;=$NR$82,142&lt;=$NS$82),IF($NP$82="Single_Point",IF(142=$NR$82,$NN$82,0),IF($NP$82="Bell_Curve",$NN$82*(142-$NR$82+1)*($NS$82-142+1)/$NU$82,$NN$82/$NT$82)),0)</f>
        <v/>
      </c>
      <c r="EQ82" s="402">
        <f>IF(AND(143&gt;=$NR$82,143&lt;=$NS$82),IF($NP$82="Single_Point",IF(143=$NR$82,$NN$82,0),IF($NP$82="Bell_Curve",$NN$82*(143-$NR$82+1)*($NS$82-143+1)/$NU$82,$NN$82/$NT$82)),0)</f>
        <v/>
      </c>
      <c r="ER82" s="402">
        <f>IF(AND(144&gt;=$NR$82,144&lt;=$NS$82),IF($NP$82="Single_Point",IF(144=$NR$82,$NN$82,0),IF($NP$82="Bell_Curve",$NN$82*(144-$NR$82+1)*($NS$82-144+1)/$NU$82,$NN$82/$NT$82)),0)</f>
        <v/>
      </c>
      <c r="ES82" s="402">
        <f>IF(AND(145&gt;=$NR$82,145&lt;=$NS$82),IF($NP$82="Single_Point",IF(145=$NR$82,$NN$82,0),IF($NP$82="Bell_Curve",$NN$82*(145-$NR$82+1)*($NS$82-145+1)/$NU$82,$NN$82/$NT$82)),0)</f>
        <v/>
      </c>
      <c r="ET82" s="402">
        <f>IF(AND(146&gt;=$NR$82,146&lt;=$NS$82),IF($NP$82="Single_Point",IF(146=$NR$82,$NN$82,0),IF($NP$82="Bell_Curve",$NN$82*(146-$NR$82+1)*($NS$82-146+1)/$NU$82,$NN$82/$NT$82)),0)</f>
        <v/>
      </c>
      <c r="EU82" s="402">
        <f>IF(AND(147&gt;=$NR$82,147&lt;=$NS$82),IF($NP$82="Single_Point",IF(147=$NR$82,$NN$82,0),IF($NP$82="Bell_Curve",$NN$82*(147-$NR$82+1)*($NS$82-147+1)/$NU$82,$NN$82/$NT$82)),0)</f>
        <v/>
      </c>
      <c r="EV82" s="402">
        <f>IF(AND(148&gt;=$NR$82,148&lt;=$NS$82),IF($NP$82="Single_Point",IF(148=$NR$82,$NN$82,0),IF($NP$82="Bell_Curve",$NN$82*(148-$NR$82+1)*($NS$82-148+1)/$NU$82,$NN$82/$NT$82)),0)</f>
        <v/>
      </c>
      <c r="EW82" s="402">
        <f>IF(AND(149&gt;=$NR$82,149&lt;=$NS$82),IF($NP$82="Single_Point",IF(149=$NR$82,$NN$82,0),IF($NP$82="Bell_Curve",$NN$82*(149-$NR$82+1)*($NS$82-149+1)/$NU$82,$NN$82/$NT$82)),0)</f>
        <v/>
      </c>
      <c r="EX82" s="402">
        <f>IF(AND(150&gt;=$NR$82,150&lt;=$NS$82),IF($NP$82="Single_Point",IF(150=$NR$82,$NN$82,0),IF($NP$82="Bell_Curve",$NN$82*(150-$NR$82+1)*($NS$82-150+1)/$NU$82,$NN$82/$NT$82)),0)</f>
        <v/>
      </c>
      <c r="EY82" s="402">
        <f>IF(AND(151&gt;=$NR$82,151&lt;=$NS$82),IF($NP$82="Single_Point",IF(151=$NR$82,$NN$82,0),IF($NP$82="Bell_Curve",$NN$82*(151-$NR$82+1)*($NS$82-151+1)/$NU$82,$NN$82/$NT$82)),0)</f>
        <v/>
      </c>
      <c r="EZ82" s="402">
        <f>IF(AND(152&gt;=$NR$82,152&lt;=$NS$82),IF($NP$82="Single_Point",IF(152=$NR$82,$NN$82,0),IF($NP$82="Bell_Curve",$NN$82*(152-$NR$82+1)*($NS$82-152+1)/$NU$82,$NN$82/$NT$82)),0)</f>
        <v/>
      </c>
      <c r="FA82" s="402">
        <f>IF(AND(153&gt;=$NR$82,153&lt;=$NS$82),IF($NP$82="Single_Point",IF(153=$NR$82,$NN$82,0),IF($NP$82="Bell_Curve",$NN$82*(153-$NR$82+1)*($NS$82-153+1)/$NU$82,$NN$82/$NT$82)),0)</f>
        <v/>
      </c>
      <c r="FB82" s="402">
        <f>IF(AND(154&gt;=$NR$82,154&lt;=$NS$82),IF($NP$82="Single_Point",IF(154=$NR$82,$NN$82,0),IF($NP$82="Bell_Curve",$NN$82*(154-$NR$82+1)*($NS$82-154+1)/$NU$82,$NN$82/$NT$82)),0)</f>
        <v/>
      </c>
      <c r="FC82" s="402">
        <f>IF(AND(155&gt;=$NR$82,155&lt;=$NS$82),IF($NP$82="Single_Point",IF(155=$NR$82,$NN$82,0),IF($NP$82="Bell_Curve",$NN$82*(155-$NR$82+1)*($NS$82-155+1)/$NU$82,$NN$82/$NT$82)),0)</f>
        <v/>
      </c>
      <c r="FD82" s="402">
        <f>IF(AND(156&gt;=$NR$82,156&lt;=$NS$82),IF($NP$82="Single_Point",IF(156=$NR$82,$NN$82,0),IF($NP$82="Bell_Curve",$NN$82*(156-$NR$82+1)*($NS$82-156+1)/$NU$82,$NN$82/$NT$82)),0)</f>
        <v/>
      </c>
      <c r="FE82" s="402">
        <f>IF(AND(157&gt;=$NR$82,157&lt;=$NS$82),IF($NP$82="Single_Point",IF(157=$NR$82,$NN$82,0),IF($NP$82="Bell_Curve",$NN$82*(157-$NR$82+1)*($NS$82-157+1)/$NU$82,$NN$82/$NT$82)),0)</f>
        <v/>
      </c>
      <c r="FF82" s="402">
        <f>IF(AND(158&gt;=$NR$82,158&lt;=$NS$82),IF($NP$82="Single_Point",IF(158=$NR$82,$NN$82,0),IF($NP$82="Bell_Curve",$NN$82*(158-$NR$82+1)*($NS$82-158+1)/$NU$82,$NN$82/$NT$82)),0)</f>
        <v/>
      </c>
      <c r="FG82" s="402">
        <f>IF(AND(159&gt;=$NR$82,159&lt;=$NS$82),IF($NP$82="Single_Point",IF(159=$NR$82,$NN$82,0),IF($NP$82="Bell_Curve",$NN$82*(159-$NR$82+1)*($NS$82-159+1)/$NU$82,$NN$82/$NT$82)),0)</f>
        <v/>
      </c>
      <c r="FH82" s="402">
        <f>IF(AND(160&gt;=$NR$82,160&lt;=$NS$82),IF($NP$82="Single_Point",IF(160=$NR$82,$NN$82,0),IF($NP$82="Bell_Curve",$NN$82*(160-$NR$82+1)*($NS$82-160+1)/$NU$82,$NN$82/$NT$82)),0)</f>
        <v/>
      </c>
      <c r="FI82" s="402">
        <f>IF(AND(161&gt;=$NR$82,161&lt;=$NS$82),IF($NP$82="Single_Point",IF(161=$NR$82,$NN$82,0),IF($NP$82="Bell_Curve",$NN$82*(161-$NR$82+1)*($NS$82-161+1)/$NU$82,$NN$82/$NT$82)),0)</f>
        <v/>
      </c>
      <c r="FJ82" s="402">
        <f>IF(AND(162&gt;=$NR$82,162&lt;=$NS$82),IF($NP$82="Single_Point",IF(162=$NR$82,$NN$82,0),IF($NP$82="Bell_Curve",$NN$82*(162-$NR$82+1)*($NS$82-162+1)/$NU$82,$NN$82/$NT$82)),0)</f>
        <v/>
      </c>
      <c r="FK82" s="402">
        <f>IF(AND(163&gt;=$NR$82,163&lt;=$NS$82),IF($NP$82="Single_Point",IF(163=$NR$82,$NN$82,0),IF($NP$82="Bell_Curve",$NN$82*(163-$NR$82+1)*($NS$82-163+1)/$NU$82,$NN$82/$NT$82)),0)</f>
        <v/>
      </c>
      <c r="FL82" s="402">
        <f>IF(AND(164&gt;=$NR$82,164&lt;=$NS$82),IF($NP$82="Single_Point",IF(164=$NR$82,$NN$82,0),IF($NP$82="Bell_Curve",$NN$82*(164-$NR$82+1)*($NS$82-164+1)/$NU$82,$NN$82/$NT$82)),0)</f>
        <v/>
      </c>
      <c r="FM82" s="402">
        <f>IF(AND(165&gt;=$NR$82,165&lt;=$NS$82),IF($NP$82="Single_Point",IF(165=$NR$82,$NN$82,0),IF($NP$82="Bell_Curve",$NN$82*(165-$NR$82+1)*($NS$82-165+1)/$NU$82,$NN$82/$NT$82)),0)</f>
        <v/>
      </c>
      <c r="FN82" s="402">
        <f>IF(AND(166&gt;=$NR$82,166&lt;=$NS$82),IF($NP$82="Single_Point",IF(166=$NR$82,$NN$82,0),IF($NP$82="Bell_Curve",$NN$82*(166-$NR$82+1)*($NS$82-166+1)/$NU$82,$NN$82/$NT$82)),0)</f>
        <v/>
      </c>
      <c r="FO82" s="402">
        <f>IF(AND(167&gt;=$NR$82,167&lt;=$NS$82),IF($NP$82="Single_Point",IF(167=$NR$82,$NN$82,0),IF($NP$82="Bell_Curve",$NN$82*(167-$NR$82+1)*($NS$82-167+1)/$NU$82,$NN$82/$NT$82)),0)</f>
        <v/>
      </c>
      <c r="FP82" s="402">
        <f>IF(AND(168&gt;=$NR$82,168&lt;=$NS$82),IF($NP$82="Single_Point",IF(168=$NR$82,$NN$82,0),IF($NP$82="Bell_Curve",$NN$82*(168-$NR$82+1)*($NS$82-168+1)/$NU$82,$NN$82/$NT$82)),0)</f>
        <v/>
      </c>
      <c r="FQ82" s="402">
        <f>IF(AND(169&gt;=$NR$82,169&lt;=$NS$82),IF($NP$82="Single_Point",IF(169=$NR$82,$NN$82,0),IF($NP$82="Bell_Curve",$NN$82*(169-$NR$82+1)*($NS$82-169+1)/$NU$82,$NN$82/$NT$82)),0)</f>
        <v/>
      </c>
      <c r="FR82" s="402">
        <f>IF(AND(170&gt;=$NR$82,170&lt;=$NS$82),IF($NP$82="Single_Point",IF(170=$NR$82,$NN$82,0),IF($NP$82="Bell_Curve",$NN$82*(170-$NR$82+1)*($NS$82-170+1)/$NU$82,$NN$82/$NT$82)),0)</f>
        <v/>
      </c>
      <c r="FS82" s="402">
        <f>IF(AND(171&gt;=$NR$82,171&lt;=$NS$82),IF($NP$82="Single_Point",IF(171=$NR$82,$NN$82,0),IF($NP$82="Bell_Curve",$NN$82*(171-$NR$82+1)*($NS$82-171+1)/$NU$82,$NN$82/$NT$82)),0)</f>
        <v/>
      </c>
      <c r="FT82" s="402">
        <f>IF(AND(172&gt;=$NR$82,172&lt;=$NS$82),IF($NP$82="Single_Point",IF(172=$NR$82,$NN$82,0),IF($NP$82="Bell_Curve",$NN$82*(172-$NR$82+1)*($NS$82-172+1)/$NU$82,$NN$82/$NT$82)),0)</f>
        <v/>
      </c>
      <c r="FU82" s="402">
        <f>IF(AND(173&gt;=$NR$82,173&lt;=$NS$82),IF($NP$82="Single_Point",IF(173=$NR$82,$NN$82,0),IF($NP$82="Bell_Curve",$NN$82*(173-$NR$82+1)*($NS$82-173+1)/$NU$82,$NN$82/$NT$82)),0)</f>
        <v/>
      </c>
      <c r="FV82" s="402">
        <f>IF(AND(174&gt;=$NR$82,174&lt;=$NS$82),IF($NP$82="Single_Point",IF(174=$NR$82,$NN$82,0),IF($NP$82="Bell_Curve",$NN$82*(174-$NR$82+1)*($NS$82-174+1)/$NU$82,$NN$82/$NT$82)),0)</f>
        <v/>
      </c>
      <c r="FW82" s="402">
        <f>IF(AND(175&gt;=$NR$82,175&lt;=$NS$82),IF($NP$82="Single_Point",IF(175=$NR$82,$NN$82,0),IF($NP$82="Bell_Curve",$NN$82*(175-$NR$82+1)*($NS$82-175+1)/$NU$82,$NN$82/$NT$82)),0)</f>
        <v/>
      </c>
      <c r="FX82" s="402">
        <f>IF(AND(176&gt;=$NR$82,176&lt;=$NS$82),IF($NP$82="Single_Point",IF(176=$NR$82,$NN$82,0),IF($NP$82="Bell_Curve",$NN$82*(176-$NR$82+1)*($NS$82-176+1)/$NU$82,$NN$82/$NT$82)),0)</f>
        <v/>
      </c>
      <c r="FY82" s="402">
        <f>IF(AND(177&gt;=$NR$82,177&lt;=$NS$82),IF($NP$82="Single_Point",IF(177=$NR$82,$NN$82,0),IF($NP$82="Bell_Curve",$NN$82*(177-$NR$82+1)*($NS$82-177+1)/$NU$82,$NN$82/$NT$82)),0)</f>
        <v/>
      </c>
      <c r="FZ82" s="402">
        <f>IF(AND(178&gt;=$NR$82,178&lt;=$NS$82),IF($NP$82="Single_Point",IF(178=$NR$82,$NN$82,0),IF($NP$82="Bell_Curve",$NN$82*(178-$NR$82+1)*($NS$82-178+1)/$NU$82,$NN$82/$NT$82)),0)</f>
        <v/>
      </c>
      <c r="GA82" s="402">
        <f>IF(AND(179&gt;=$NR$82,179&lt;=$NS$82),IF($NP$82="Single_Point",IF(179=$NR$82,$NN$82,0),IF($NP$82="Bell_Curve",$NN$82*(179-$NR$82+1)*($NS$82-179+1)/$NU$82,$NN$82/$NT$82)),0)</f>
        <v/>
      </c>
      <c r="GB82" s="402">
        <f>IF(AND(180&gt;=$NR$82,180&lt;=$NS$82),IF($NP$82="Single_Point",IF(180=$NR$82,$NN$82,0),IF($NP$82="Bell_Curve",$NN$82*(180-$NR$82+1)*($NS$82-180+1)/$NU$82,$NN$82/$NT$82)),0)</f>
        <v/>
      </c>
      <c r="GC82" s="402">
        <f>IF(AND(181&gt;=$NR$82,181&lt;=$NS$82),IF($NP$82="Single_Point",IF(181=$NR$82,$NN$82,0),IF($NP$82="Bell_Curve",$NN$82*(181-$NR$82+1)*($NS$82-181+1)/$NU$82,$NN$82/$NT$82)),0)</f>
        <v/>
      </c>
      <c r="GD82" s="402">
        <f>IF(AND(182&gt;=$NR$82,182&lt;=$NS$82),IF($NP$82="Single_Point",IF(182=$NR$82,$NN$82,0),IF($NP$82="Bell_Curve",$NN$82*(182-$NR$82+1)*($NS$82-182+1)/$NU$82,$NN$82/$NT$82)),0)</f>
        <v/>
      </c>
      <c r="GE82" s="402">
        <f>IF(AND(183&gt;=$NR$82,183&lt;=$NS$82),IF($NP$82="Single_Point",IF(183=$NR$82,$NN$82,0),IF($NP$82="Bell_Curve",$NN$82*(183-$NR$82+1)*($NS$82-183+1)/$NU$82,$NN$82/$NT$82)),0)</f>
        <v/>
      </c>
      <c r="GF82" s="402">
        <f>IF(AND(184&gt;=$NR$82,184&lt;=$NS$82),IF($NP$82="Single_Point",IF(184=$NR$82,$NN$82,0),IF($NP$82="Bell_Curve",$NN$82*(184-$NR$82+1)*($NS$82-184+1)/$NU$82,$NN$82/$NT$82)),0)</f>
        <v/>
      </c>
      <c r="GG82" s="402">
        <f>IF(AND(185&gt;=$NR$82,185&lt;=$NS$82),IF($NP$82="Single_Point",IF(185=$NR$82,$NN$82,0),IF($NP$82="Bell_Curve",$NN$82*(185-$NR$82+1)*($NS$82-185+1)/$NU$82,$NN$82/$NT$82)),0)</f>
        <v/>
      </c>
      <c r="GH82" s="402">
        <f>IF(AND(186&gt;=$NR$82,186&lt;=$NS$82),IF($NP$82="Single_Point",IF(186=$NR$82,$NN$82,0),IF($NP$82="Bell_Curve",$NN$82*(186-$NR$82+1)*($NS$82-186+1)/$NU$82,$NN$82/$NT$82)),0)</f>
        <v/>
      </c>
      <c r="GI82" s="402">
        <f>IF(AND(187&gt;=$NR$82,187&lt;=$NS$82),IF($NP$82="Single_Point",IF(187=$NR$82,$NN$82,0),IF($NP$82="Bell_Curve",$NN$82*(187-$NR$82+1)*($NS$82-187+1)/$NU$82,$NN$82/$NT$82)),0)</f>
        <v/>
      </c>
      <c r="GJ82" s="402">
        <f>IF(AND(188&gt;=$NR$82,188&lt;=$NS$82),IF($NP$82="Single_Point",IF(188=$NR$82,$NN$82,0),IF($NP$82="Bell_Curve",$NN$82*(188-$NR$82+1)*($NS$82-188+1)/$NU$82,$NN$82/$NT$82)),0)</f>
        <v/>
      </c>
      <c r="GK82" s="402">
        <f>IF(AND(189&gt;=$NR$82,189&lt;=$NS$82),IF($NP$82="Single_Point",IF(189=$NR$82,$NN$82,0),IF($NP$82="Bell_Curve",$NN$82*(189-$NR$82+1)*($NS$82-189+1)/$NU$82,$NN$82/$NT$82)),0)</f>
        <v/>
      </c>
      <c r="GL82" s="402">
        <f>IF(AND(190&gt;=$NR$82,190&lt;=$NS$82),IF($NP$82="Single_Point",IF(190=$NR$82,$NN$82,0),IF($NP$82="Bell_Curve",$NN$82*(190-$NR$82+1)*($NS$82-190+1)/$NU$82,$NN$82/$NT$82)),0)</f>
        <v/>
      </c>
      <c r="GM82" s="402">
        <f>IF(AND(191&gt;=$NR$82,191&lt;=$NS$82),IF($NP$82="Single_Point",IF(191=$NR$82,$NN$82,0),IF($NP$82="Bell_Curve",$NN$82*(191-$NR$82+1)*($NS$82-191+1)/$NU$82,$NN$82/$NT$82)),0)</f>
        <v/>
      </c>
      <c r="GN82" s="402">
        <f>IF(AND(192&gt;=$NR$82,192&lt;=$NS$82),IF($NP$82="Single_Point",IF(192=$NR$82,$NN$82,0),IF($NP$82="Bell_Curve",$NN$82*(192-$NR$82+1)*($NS$82-192+1)/$NU$82,$NN$82/$NT$82)),0)</f>
        <v/>
      </c>
      <c r="GO82" s="402">
        <f>IF(AND(193&gt;=$NR$82,193&lt;=$NS$82),IF($NP$82="Single_Point",IF(193=$NR$82,$NN$82,0),IF($NP$82="Bell_Curve",$NN$82*(193-$NR$82+1)*($NS$82-193+1)/$NU$82,$NN$82/$NT$82)),0)</f>
        <v/>
      </c>
      <c r="GP82" s="402">
        <f>IF(AND(194&gt;=$NR$82,194&lt;=$NS$82),IF($NP$82="Single_Point",IF(194=$NR$82,$NN$82,0),IF($NP$82="Bell_Curve",$NN$82*(194-$NR$82+1)*($NS$82-194+1)/$NU$82,$NN$82/$NT$82)),0)</f>
        <v/>
      </c>
      <c r="GQ82" s="402">
        <f>IF(AND(195&gt;=$NR$82,195&lt;=$NS$82),IF($NP$82="Single_Point",IF(195=$NR$82,$NN$82,0),IF($NP$82="Bell_Curve",$NN$82*(195-$NR$82+1)*($NS$82-195+1)/$NU$82,$NN$82/$NT$82)),0)</f>
        <v/>
      </c>
      <c r="GR82" s="402">
        <f>IF(AND(196&gt;=$NR$82,196&lt;=$NS$82),IF($NP$82="Single_Point",IF(196=$NR$82,$NN$82,0),IF($NP$82="Bell_Curve",$NN$82*(196-$NR$82+1)*($NS$82-196+1)/$NU$82,$NN$82/$NT$82)),0)</f>
        <v/>
      </c>
      <c r="GS82" s="402">
        <f>IF(AND(197&gt;=$NR$82,197&lt;=$NS$82),IF($NP$82="Single_Point",IF(197=$NR$82,$NN$82,0),IF($NP$82="Bell_Curve",$NN$82*(197-$NR$82+1)*($NS$82-197+1)/$NU$82,$NN$82/$NT$82)),0)</f>
        <v/>
      </c>
      <c r="GT82" s="402">
        <f>IF(AND(198&gt;=$NR$82,198&lt;=$NS$82),IF($NP$82="Single_Point",IF(198=$NR$82,$NN$82,0),IF($NP$82="Bell_Curve",$NN$82*(198-$NR$82+1)*($NS$82-198+1)/$NU$82,$NN$82/$NT$82)),0)</f>
        <v/>
      </c>
      <c r="GU82" s="402">
        <f>IF(AND(199&gt;=$NR$82,199&lt;=$NS$82),IF($NP$82="Single_Point",IF(199=$NR$82,$NN$82,0),IF($NP$82="Bell_Curve",$NN$82*(199-$NR$82+1)*($NS$82-199+1)/$NU$82,$NN$82/$NT$82)),0)</f>
        <v/>
      </c>
      <c r="GV82" s="402">
        <f>IF(AND(200&gt;=$NR$82,200&lt;=$NS$82),IF($NP$82="Single_Point",IF(200=$NR$82,$NN$82,0),IF($NP$82="Bell_Curve",$NN$82*(200-$NR$82+1)*($NS$82-200+1)/$NU$82,$NN$82/$NT$82)),0)</f>
        <v/>
      </c>
      <c r="GW82" s="402">
        <f>IF(AND(201&gt;=$NR$82,201&lt;=$NS$82),IF($NP$82="Single_Point",IF(201=$NR$82,$NN$82,0),IF($NP$82="Bell_Curve",$NN$82*(201-$NR$82+1)*($NS$82-201+1)/$NU$82,$NN$82/$NT$82)),0)</f>
        <v/>
      </c>
      <c r="GX82" s="402">
        <f>IF(AND(202&gt;=$NR$82,202&lt;=$NS$82),IF($NP$82="Single_Point",IF(202=$NR$82,$NN$82,0),IF($NP$82="Bell_Curve",$NN$82*(202-$NR$82+1)*($NS$82-202+1)/$NU$82,$NN$82/$NT$82)),0)</f>
        <v/>
      </c>
      <c r="GY82" s="402">
        <f>IF(AND(203&gt;=$NR$82,203&lt;=$NS$82),IF($NP$82="Single_Point",IF(203=$NR$82,$NN$82,0),IF($NP$82="Bell_Curve",$NN$82*(203-$NR$82+1)*($NS$82-203+1)/$NU$82,$NN$82/$NT$82)),0)</f>
        <v/>
      </c>
      <c r="GZ82" s="402">
        <f>IF(AND(204&gt;=$NR$82,204&lt;=$NS$82),IF($NP$82="Single_Point",IF(204=$NR$82,$NN$82,0),IF($NP$82="Bell_Curve",$NN$82*(204-$NR$82+1)*($NS$82-204+1)/$NU$82,$NN$82/$NT$82)),0)</f>
        <v/>
      </c>
      <c r="HA82" s="402">
        <f>IF(AND(205&gt;=$NR$82,205&lt;=$NS$82),IF($NP$82="Single_Point",IF(205=$NR$82,$NN$82,0),IF($NP$82="Bell_Curve",$NN$82*(205-$NR$82+1)*($NS$82-205+1)/$NU$82,$NN$82/$NT$82)),0)</f>
        <v/>
      </c>
      <c r="HB82" s="402">
        <f>IF(AND(206&gt;=$NR$82,206&lt;=$NS$82),IF($NP$82="Single_Point",IF(206=$NR$82,$NN$82,0),IF($NP$82="Bell_Curve",$NN$82*(206-$NR$82+1)*($NS$82-206+1)/$NU$82,$NN$82/$NT$82)),0)</f>
        <v/>
      </c>
      <c r="HC82" s="402">
        <f>IF(AND(207&gt;=$NR$82,207&lt;=$NS$82),IF($NP$82="Single_Point",IF(207=$NR$82,$NN$82,0),IF($NP$82="Bell_Curve",$NN$82*(207-$NR$82+1)*($NS$82-207+1)/$NU$82,$NN$82/$NT$82)),0)</f>
        <v/>
      </c>
      <c r="HD82" s="402">
        <f>IF(AND(208&gt;=$NR$82,208&lt;=$NS$82),IF($NP$82="Single_Point",IF(208=$NR$82,$NN$82,0),IF($NP$82="Bell_Curve",$NN$82*(208-$NR$82+1)*($NS$82-208+1)/$NU$82,$NN$82/$NT$82)),0)</f>
        <v/>
      </c>
      <c r="HE82" s="402">
        <f>IF(AND(209&gt;=$NR$82,209&lt;=$NS$82),IF($NP$82="Single_Point",IF(209=$NR$82,$NN$82,0),IF($NP$82="Bell_Curve",$NN$82*(209-$NR$82+1)*($NS$82-209+1)/$NU$82,$NN$82/$NT$82)),0)</f>
        <v/>
      </c>
      <c r="HF82" s="402">
        <f>IF(AND(210&gt;=$NR$82,210&lt;=$NS$82),IF($NP$82="Single_Point",IF(210=$NR$82,$NN$82,0),IF($NP$82="Bell_Curve",$NN$82*(210-$NR$82+1)*($NS$82-210+1)/$NU$82,$NN$82/$NT$82)),0)</f>
        <v/>
      </c>
      <c r="HG82" s="402">
        <f>IF(AND(211&gt;=$NR$82,211&lt;=$NS$82),IF($NP$82="Single_Point",IF(211=$NR$82,$NN$82,0),IF($NP$82="Bell_Curve",$NN$82*(211-$NR$82+1)*($NS$82-211+1)/$NU$82,$NN$82/$NT$82)),0)</f>
        <v/>
      </c>
      <c r="HH82" s="402">
        <f>IF(AND(212&gt;=$NR$82,212&lt;=$NS$82),IF($NP$82="Single_Point",IF(212=$NR$82,$NN$82,0),IF($NP$82="Bell_Curve",$NN$82*(212-$NR$82+1)*($NS$82-212+1)/$NU$82,$NN$82/$NT$82)),0)</f>
        <v/>
      </c>
      <c r="HI82" s="402">
        <f>IF(AND(213&gt;=$NR$82,213&lt;=$NS$82),IF($NP$82="Single_Point",IF(213=$NR$82,$NN$82,0),IF($NP$82="Bell_Curve",$NN$82*(213-$NR$82+1)*($NS$82-213+1)/$NU$82,$NN$82/$NT$82)),0)</f>
        <v/>
      </c>
      <c r="HJ82" s="402">
        <f>IF(AND(214&gt;=$NR$82,214&lt;=$NS$82),IF($NP$82="Single_Point",IF(214=$NR$82,$NN$82,0),IF($NP$82="Bell_Curve",$NN$82*(214-$NR$82+1)*($NS$82-214+1)/$NU$82,$NN$82/$NT$82)),0)</f>
        <v/>
      </c>
      <c r="HK82" s="402">
        <f>IF(AND(215&gt;=$NR$82,215&lt;=$NS$82),IF($NP$82="Single_Point",IF(215=$NR$82,$NN$82,0),IF($NP$82="Bell_Curve",$NN$82*(215-$NR$82+1)*($NS$82-215+1)/$NU$82,$NN$82/$NT$82)),0)</f>
        <v/>
      </c>
      <c r="HL82" s="402">
        <f>IF(AND(216&gt;=$NR$82,216&lt;=$NS$82),IF($NP$82="Single_Point",IF(216=$NR$82,$NN$82,0),IF($NP$82="Bell_Curve",$NN$82*(216-$NR$82+1)*($NS$82-216+1)/$NU$82,$NN$82/$NT$82)),0)</f>
        <v/>
      </c>
      <c r="HM82" s="402">
        <f>IF(AND(217&gt;=$NR$82,217&lt;=$NS$82),IF($NP$82="Single_Point",IF(217=$NR$82,$NN$82,0),IF($NP$82="Bell_Curve",$NN$82*(217-$NR$82+1)*($NS$82-217+1)/$NU$82,$NN$82/$NT$82)),0)</f>
        <v/>
      </c>
      <c r="HN82" s="402">
        <f>IF(AND(218&gt;=$NR$82,218&lt;=$NS$82),IF($NP$82="Single_Point",IF(218=$NR$82,$NN$82,0),IF($NP$82="Bell_Curve",$NN$82*(218-$NR$82+1)*($NS$82-218+1)/$NU$82,$NN$82/$NT$82)),0)</f>
        <v/>
      </c>
      <c r="HO82" s="402">
        <f>IF(AND(219&gt;=$NR$82,219&lt;=$NS$82),IF($NP$82="Single_Point",IF(219=$NR$82,$NN$82,0),IF($NP$82="Bell_Curve",$NN$82*(219-$NR$82+1)*($NS$82-219+1)/$NU$82,$NN$82/$NT$82)),0)</f>
        <v/>
      </c>
      <c r="HP82" s="402">
        <f>IF(AND(220&gt;=$NR$82,220&lt;=$NS$82),IF($NP$82="Single_Point",IF(220=$NR$82,$NN$82,0),IF($NP$82="Bell_Curve",$NN$82*(220-$NR$82+1)*($NS$82-220+1)/$NU$82,$NN$82/$NT$82)),0)</f>
        <v/>
      </c>
      <c r="HQ82" s="402">
        <f>IF(AND(221&gt;=$NR$82,221&lt;=$NS$82),IF($NP$82="Single_Point",IF(221=$NR$82,$NN$82,0),IF($NP$82="Bell_Curve",$NN$82*(221-$NR$82+1)*($NS$82-221+1)/$NU$82,$NN$82/$NT$82)),0)</f>
        <v/>
      </c>
      <c r="HR82" s="402">
        <f>IF(AND(222&gt;=$NR$82,222&lt;=$NS$82),IF($NP$82="Single_Point",IF(222=$NR$82,$NN$82,0),IF($NP$82="Bell_Curve",$NN$82*(222-$NR$82+1)*($NS$82-222+1)/$NU$82,$NN$82/$NT$82)),0)</f>
        <v/>
      </c>
      <c r="HS82" s="402">
        <f>IF(AND(223&gt;=$NR$82,223&lt;=$NS$82),IF($NP$82="Single_Point",IF(223=$NR$82,$NN$82,0),IF($NP$82="Bell_Curve",$NN$82*(223-$NR$82+1)*($NS$82-223+1)/$NU$82,$NN$82/$NT$82)),0)</f>
        <v/>
      </c>
      <c r="HT82" s="402">
        <f>IF(AND(224&gt;=$NR$82,224&lt;=$NS$82),IF($NP$82="Single_Point",IF(224=$NR$82,$NN$82,0),IF($NP$82="Bell_Curve",$NN$82*(224-$NR$82+1)*($NS$82-224+1)/$NU$82,$NN$82/$NT$82)),0)</f>
        <v/>
      </c>
      <c r="HU82" s="402">
        <f>IF(AND(225&gt;=$NR$82,225&lt;=$NS$82),IF($NP$82="Single_Point",IF(225=$NR$82,$NN$82,0),IF($NP$82="Bell_Curve",$NN$82*(225-$NR$82+1)*($NS$82-225+1)/$NU$82,$NN$82/$NT$82)),0)</f>
        <v/>
      </c>
      <c r="HV82" s="402">
        <f>IF(AND(226&gt;=$NR$82,226&lt;=$NS$82),IF($NP$82="Single_Point",IF(226=$NR$82,$NN$82,0),IF($NP$82="Bell_Curve",$NN$82*(226-$NR$82+1)*($NS$82-226+1)/$NU$82,$NN$82/$NT$82)),0)</f>
        <v/>
      </c>
      <c r="HW82" s="402">
        <f>IF(AND(227&gt;=$NR$82,227&lt;=$NS$82),IF($NP$82="Single_Point",IF(227=$NR$82,$NN$82,0),IF($NP$82="Bell_Curve",$NN$82*(227-$NR$82+1)*($NS$82-227+1)/$NU$82,$NN$82/$NT$82)),0)</f>
        <v/>
      </c>
      <c r="HX82" s="402">
        <f>IF(AND(228&gt;=$NR$82,228&lt;=$NS$82),IF($NP$82="Single_Point",IF(228=$NR$82,$NN$82,0),IF($NP$82="Bell_Curve",$NN$82*(228-$NR$82+1)*($NS$82-228+1)/$NU$82,$NN$82/$NT$82)),0)</f>
        <v/>
      </c>
      <c r="HY82" s="402">
        <f>IF(AND(229&gt;=$NR$82,229&lt;=$NS$82),IF($NP$82="Single_Point",IF(229=$NR$82,$NN$82,0),IF($NP$82="Bell_Curve",$NN$82*(229-$NR$82+1)*($NS$82-229+1)/$NU$82,$NN$82/$NT$82)),0)</f>
        <v/>
      </c>
      <c r="HZ82" s="402">
        <f>IF(AND(230&gt;=$NR$82,230&lt;=$NS$82),IF($NP$82="Single_Point",IF(230=$NR$82,$NN$82,0),IF($NP$82="Bell_Curve",$NN$82*(230-$NR$82+1)*($NS$82-230+1)/$NU$82,$NN$82/$NT$82)),0)</f>
        <v/>
      </c>
      <c r="IA82" s="402">
        <f>IF(AND(231&gt;=$NR$82,231&lt;=$NS$82),IF($NP$82="Single_Point",IF(231=$NR$82,$NN$82,0),IF($NP$82="Bell_Curve",$NN$82*(231-$NR$82+1)*($NS$82-231+1)/$NU$82,$NN$82/$NT$82)),0)</f>
        <v/>
      </c>
      <c r="IB82" s="402">
        <f>IF(AND(232&gt;=$NR$82,232&lt;=$NS$82),IF($NP$82="Single_Point",IF(232=$NR$82,$NN$82,0),IF($NP$82="Bell_Curve",$NN$82*(232-$NR$82+1)*($NS$82-232+1)/$NU$82,$NN$82/$NT$82)),0)</f>
        <v/>
      </c>
      <c r="IC82" s="402">
        <f>IF(AND(233&gt;=$NR$82,233&lt;=$NS$82),IF($NP$82="Single_Point",IF(233=$NR$82,$NN$82,0),IF($NP$82="Bell_Curve",$NN$82*(233-$NR$82+1)*($NS$82-233+1)/$NU$82,$NN$82/$NT$82)),0)</f>
        <v/>
      </c>
      <c r="ID82" s="402">
        <f>IF(AND(234&gt;=$NR$82,234&lt;=$NS$82),IF($NP$82="Single_Point",IF(234=$NR$82,$NN$82,0),IF($NP$82="Bell_Curve",$NN$82*(234-$NR$82+1)*($NS$82-234+1)/$NU$82,$NN$82/$NT$82)),0)</f>
        <v/>
      </c>
      <c r="IE82" s="402">
        <f>IF(AND(235&gt;=$NR$82,235&lt;=$NS$82),IF($NP$82="Single_Point",IF(235=$NR$82,$NN$82,0),IF($NP$82="Bell_Curve",$NN$82*(235-$NR$82+1)*($NS$82-235+1)/$NU$82,$NN$82/$NT$82)),0)</f>
        <v/>
      </c>
      <c r="IF82" s="402">
        <f>IF(AND(236&gt;=$NR$82,236&lt;=$NS$82),IF($NP$82="Single_Point",IF(236=$NR$82,$NN$82,0),IF($NP$82="Bell_Curve",$NN$82*(236-$NR$82+1)*($NS$82-236+1)/$NU$82,$NN$82/$NT$82)),0)</f>
        <v/>
      </c>
      <c r="IG82" s="402">
        <f>IF(AND(237&gt;=$NR$82,237&lt;=$NS$82),IF($NP$82="Single_Point",IF(237=$NR$82,$NN$82,0),IF($NP$82="Bell_Curve",$NN$82*(237-$NR$82+1)*($NS$82-237+1)/$NU$82,$NN$82/$NT$82)),0)</f>
        <v/>
      </c>
      <c r="IH82" s="402">
        <f>IF(AND(238&gt;=$NR$82,238&lt;=$NS$82),IF($NP$82="Single_Point",IF(238=$NR$82,$NN$82,0),IF($NP$82="Bell_Curve",$NN$82*(238-$NR$82+1)*($NS$82-238+1)/$NU$82,$NN$82/$NT$82)),0)</f>
        <v/>
      </c>
      <c r="II82" s="402">
        <f>IF(AND(239&gt;=$NR$82,239&lt;=$NS$82),IF($NP$82="Single_Point",IF(239=$NR$82,$NN$82,0),IF($NP$82="Bell_Curve",$NN$82*(239-$NR$82+1)*($NS$82-239+1)/$NU$82,$NN$82/$NT$82)),0)</f>
        <v/>
      </c>
      <c r="IJ82" s="402">
        <f>IF(AND(240&gt;=$NR$82,240&lt;=$NS$82),IF($NP$82="Single_Point",IF(240=$NR$82,$NN$82,0),IF($NP$82="Bell_Curve",$NN$82*(240-$NR$82+1)*($NS$82-240+1)/$NU$82,$NN$82/$NT$82)),0)</f>
        <v/>
      </c>
      <c r="IK82" s="402">
        <f>IF(AND(241&gt;=$NR$82,241&lt;=$NS$82),IF($NP$82="Single_Point",IF(241=$NR$82,$NN$82,0),IF($NP$82="Bell_Curve",$NN$82*(241-$NR$82+1)*($NS$82-241+1)/$NU$82,$NN$82/$NT$82)),0)</f>
        <v/>
      </c>
      <c r="IL82" s="402">
        <f>IF(AND(242&gt;=$NR$82,242&lt;=$NS$82),IF($NP$82="Single_Point",IF(242=$NR$82,$NN$82,0),IF($NP$82="Bell_Curve",$NN$82*(242-$NR$82+1)*($NS$82-242+1)/$NU$82,$NN$82/$NT$82)),0)</f>
        <v/>
      </c>
      <c r="IM82" s="402">
        <f>IF(AND(243&gt;=$NR$82,243&lt;=$NS$82),IF($NP$82="Single_Point",IF(243=$NR$82,$NN$82,0),IF($NP$82="Bell_Curve",$NN$82*(243-$NR$82+1)*($NS$82-243+1)/$NU$82,$NN$82/$NT$82)),0)</f>
        <v/>
      </c>
      <c r="IN82" s="402">
        <f>IF(AND(244&gt;=$NR$82,244&lt;=$NS$82),IF($NP$82="Single_Point",IF(244=$NR$82,$NN$82,0),IF($NP$82="Bell_Curve",$NN$82*(244-$NR$82+1)*($NS$82-244+1)/$NU$82,$NN$82/$NT$82)),0)</f>
        <v/>
      </c>
      <c r="IO82" s="402">
        <f>IF(AND(245&gt;=$NR$82,245&lt;=$NS$82),IF($NP$82="Single_Point",IF(245=$NR$82,$NN$82,0),IF($NP$82="Bell_Curve",$NN$82*(245-$NR$82+1)*($NS$82-245+1)/$NU$82,$NN$82/$NT$82)),0)</f>
        <v/>
      </c>
      <c r="IP82" s="402">
        <f>IF(AND(246&gt;=$NR$82,246&lt;=$NS$82),IF($NP$82="Single_Point",IF(246=$NR$82,$NN$82,0),IF($NP$82="Bell_Curve",$NN$82*(246-$NR$82+1)*($NS$82-246+1)/$NU$82,$NN$82/$NT$82)),0)</f>
        <v/>
      </c>
      <c r="IQ82" s="402">
        <f>IF(AND(247&gt;=$NR$82,247&lt;=$NS$82),IF($NP$82="Single_Point",IF(247=$NR$82,$NN$82,0),IF($NP$82="Bell_Curve",$NN$82*(247-$NR$82+1)*($NS$82-247+1)/$NU$82,$NN$82/$NT$82)),0)</f>
        <v/>
      </c>
      <c r="IR82" s="402">
        <f>IF(AND(248&gt;=$NR$82,248&lt;=$NS$82),IF($NP$82="Single_Point",IF(248=$NR$82,$NN$82,0),IF($NP$82="Bell_Curve",$NN$82*(248-$NR$82+1)*($NS$82-248+1)/$NU$82,$NN$82/$NT$82)),0)</f>
        <v/>
      </c>
      <c r="IS82" s="402">
        <f>IF(AND(249&gt;=$NR$82,249&lt;=$NS$82),IF($NP$82="Single_Point",IF(249=$NR$82,$NN$82,0),IF($NP$82="Bell_Curve",$NN$82*(249-$NR$82+1)*($NS$82-249+1)/$NU$82,$NN$82/$NT$82)),0)</f>
        <v/>
      </c>
      <c r="IT82" s="402">
        <f>IF(AND(250&gt;=$NR$82,250&lt;=$NS$82),IF($NP$82="Single_Point",IF(250=$NR$82,$NN$82,0),IF($NP$82="Bell_Curve",$NN$82*(250-$NR$82+1)*($NS$82-250+1)/$NU$82,$NN$82/$NT$82)),0)</f>
        <v/>
      </c>
      <c r="IU82" s="402">
        <f>IF(AND(251&gt;=$NR$82,251&lt;=$NS$82),IF($NP$82="Single_Point",IF(251=$NR$82,$NN$82,0),IF($NP$82="Bell_Curve",$NN$82*(251-$NR$82+1)*($NS$82-251+1)/$NU$82,$NN$82/$NT$82)),0)</f>
        <v/>
      </c>
      <c r="IV82" s="402">
        <f>IF(AND(252&gt;=$NR$82,252&lt;=$NS$82),IF($NP$82="Single_Point",IF(252=$NR$82,$NN$82,0),IF($NP$82="Bell_Curve",$NN$82*(252-$NR$82+1)*($NS$82-252+1)/$NU$82,$NN$82/$NT$82)),0)</f>
        <v/>
      </c>
      <c r="IW82" s="402">
        <f>IF(AND(253&gt;=$NR$82,253&lt;=$NS$82),IF($NP$82="Single_Point",IF(253=$NR$82,$NN$82,0),IF($NP$82="Bell_Curve",$NN$82*(253-$NR$82+1)*($NS$82-253+1)/$NU$82,$NN$82/$NT$82)),0)</f>
        <v/>
      </c>
      <c r="IX82" s="402">
        <f>IF(AND(254&gt;=$NR$82,254&lt;=$NS$82),IF($NP$82="Single_Point",IF(254=$NR$82,$NN$82,0),IF($NP$82="Bell_Curve",$NN$82*(254-$NR$82+1)*($NS$82-254+1)/$NU$82,$NN$82/$NT$82)),0)</f>
        <v/>
      </c>
      <c r="IY82" s="402">
        <f>IF(AND(255&gt;=$NR$82,255&lt;=$NS$82),IF($NP$82="Single_Point",IF(255=$NR$82,$NN$82,0),IF($NP$82="Bell_Curve",$NN$82*(255-$NR$82+1)*($NS$82-255+1)/$NU$82,$NN$82/$NT$82)),0)</f>
        <v/>
      </c>
      <c r="IZ82" s="402">
        <f>IF(AND(256&gt;=$NR$82,256&lt;=$NS$82),IF($NP$82="Single_Point",IF(256=$NR$82,$NN$82,0),IF($NP$82="Bell_Curve",$NN$82*(256-$NR$82+1)*($NS$82-256+1)/$NU$82,$NN$82/$NT$82)),0)</f>
        <v/>
      </c>
      <c r="JA82" s="402">
        <f>IF(AND(257&gt;=$NR$82,257&lt;=$NS$82),IF($NP$82="Single_Point",IF(257=$NR$82,$NN$82,0),IF($NP$82="Bell_Curve",$NN$82*(257-$NR$82+1)*($NS$82-257+1)/$NU$82,$NN$82/$NT$82)),0)</f>
        <v/>
      </c>
      <c r="JB82" s="402">
        <f>IF(AND(258&gt;=$NR$82,258&lt;=$NS$82),IF($NP$82="Single_Point",IF(258=$NR$82,$NN$82,0),IF($NP$82="Bell_Curve",$NN$82*(258-$NR$82+1)*($NS$82-258+1)/$NU$82,$NN$82/$NT$82)),0)</f>
        <v/>
      </c>
      <c r="JC82" s="402">
        <f>IF(AND(259&gt;=$NR$82,259&lt;=$NS$82),IF($NP$82="Single_Point",IF(259=$NR$82,$NN$82,0),IF($NP$82="Bell_Curve",$NN$82*(259-$NR$82+1)*($NS$82-259+1)/$NU$82,$NN$82/$NT$82)),0)</f>
        <v/>
      </c>
      <c r="JD82" s="402">
        <f>IF(AND(260&gt;=$NR$82,260&lt;=$NS$82),IF($NP$82="Single_Point",IF(260=$NR$82,$NN$82,0),IF($NP$82="Bell_Curve",$NN$82*(260-$NR$82+1)*($NS$82-260+1)/$NU$82,$NN$82/$NT$82)),0)</f>
        <v/>
      </c>
      <c r="JE82" s="402">
        <f>IF(AND(261&gt;=$NR$82,261&lt;=$NS$82),IF($NP$82="Single_Point",IF(261=$NR$82,$NN$82,0),IF($NP$82="Bell_Curve",$NN$82*(261-$NR$82+1)*($NS$82-261+1)/$NU$82,$NN$82/$NT$82)),0)</f>
        <v/>
      </c>
      <c r="JF82" s="402">
        <f>IF(AND(262&gt;=$NR$82,262&lt;=$NS$82),IF($NP$82="Single_Point",IF(262=$NR$82,$NN$82,0),IF($NP$82="Bell_Curve",$NN$82*(262-$NR$82+1)*($NS$82-262+1)/$NU$82,$NN$82/$NT$82)),0)</f>
        <v/>
      </c>
      <c r="JG82" s="402">
        <f>IF(AND(263&gt;=$NR$82,263&lt;=$NS$82),IF($NP$82="Single_Point",IF(263=$NR$82,$NN$82,0),IF($NP$82="Bell_Curve",$NN$82*(263-$NR$82+1)*($NS$82-263+1)/$NU$82,$NN$82/$NT$82)),0)</f>
        <v/>
      </c>
      <c r="JH82" s="402">
        <f>IF(AND(264&gt;=$NR$82,264&lt;=$NS$82),IF($NP$82="Single_Point",IF(264=$NR$82,$NN$82,0),IF($NP$82="Bell_Curve",$NN$82*(264-$NR$82+1)*($NS$82-264+1)/$NU$82,$NN$82/$NT$82)),0)</f>
        <v/>
      </c>
      <c r="JI82" s="402">
        <f>IF(AND(265&gt;=$NR$82,265&lt;=$NS$82),IF($NP$82="Single_Point",IF(265=$NR$82,$NN$82,0),IF($NP$82="Bell_Curve",$NN$82*(265-$NR$82+1)*($NS$82-265+1)/$NU$82,$NN$82/$NT$82)),0)</f>
        <v/>
      </c>
      <c r="JJ82" s="402">
        <f>IF(AND(266&gt;=$NR$82,266&lt;=$NS$82),IF($NP$82="Single_Point",IF(266=$NR$82,$NN$82,0),IF($NP$82="Bell_Curve",$NN$82*(266-$NR$82+1)*($NS$82-266+1)/$NU$82,$NN$82/$NT$82)),0)</f>
        <v/>
      </c>
      <c r="JK82" s="402">
        <f>IF(AND(267&gt;=$NR$82,267&lt;=$NS$82),IF($NP$82="Single_Point",IF(267=$NR$82,$NN$82,0),IF($NP$82="Bell_Curve",$NN$82*(267-$NR$82+1)*($NS$82-267+1)/$NU$82,$NN$82/$NT$82)),0)</f>
        <v/>
      </c>
      <c r="JL82" s="402">
        <f>IF(AND(268&gt;=$NR$82,268&lt;=$NS$82),IF($NP$82="Single_Point",IF(268=$NR$82,$NN$82,0),IF($NP$82="Bell_Curve",$NN$82*(268-$NR$82+1)*($NS$82-268+1)/$NU$82,$NN$82/$NT$82)),0)</f>
        <v/>
      </c>
      <c r="JM82" s="402">
        <f>IF(AND(269&gt;=$NR$82,269&lt;=$NS$82),IF($NP$82="Single_Point",IF(269=$NR$82,$NN$82,0),IF($NP$82="Bell_Curve",$NN$82*(269-$NR$82+1)*($NS$82-269+1)/$NU$82,$NN$82/$NT$82)),0)</f>
        <v/>
      </c>
      <c r="JN82" s="402">
        <f>IF(AND(270&gt;=$NR$82,270&lt;=$NS$82),IF($NP$82="Single_Point",IF(270=$NR$82,$NN$82,0),IF($NP$82="Bell_Curve",$NN$82*(270-$NR$82+1)*($NS$82-270+1)/$NU$82,$NN$82/$NT$82)),0)</f>
        <v/>
      </c>
      <c r="JO82" s="402">
        <f>IF(AND(271&gt;=$NR$82,271&lt;=$NS$82),IF($NP$82="Single_Point",IF(271=$NR$82,$NN$82,0),IF($NP$82="Bell_Curve",$NN$82*(271-$NR$82+1)*($NS$82-271+1)/$NU$82,$NN$82/$NT$82)),0)</f>
        <v/>
      </c>
      <c r="JP82" s="402">
        <f>IF(AND(272&gt;=$NR$82,272&lt;=$NS$82),IF($NP$82="Single_Point",IF(272=$NR$82,$NN$82,0),IF($NP$82="Bell_Curve",$NN$82*(272-$NR$82+1)*($NS$82-272+1)/$NU$82,$NN$82/$NT$82)),0)</f>
        <v/>
      </c>
      <c r="JQ82" s="402">
        <f>IF(AND(273&gt;=$NR$82,273&lt;=$NS$82),IF($NP$82="Single_Point",IF(273=$NR$82,$NN$82,0),IF($NP$82="Bell_Curve",$NN$82*(273-$NR$82+1)*($NS$82-273+1)/$NU$82,$NN$82/$NT$82)),0)</f>
        <v/>
      </c>
      <c r="JR82" s="402">
        <f>IF(AND(274&gt;=$NR$82,274&lt;=$NS$82),IF($NP$82="Single_Point",IF(274=$NR$82,$NN$82,0),IF($NP$82="Bell_Curve",$NN$82*(274-$NR$82+1)*($NS$82-274+1)/$NU$82,$NN$82/$NT$82)),0)</f>
        <v/>
      </c>
      <c r="JS82" s="402">
        <f>IF(AND(275&gt;=$NR$82,275&lt;=$NS$82),IF($NP$82="Single_Point",IF(275=$NR$82,$NN$82,0),IF($NP$82="Bell_Curve",$NN$82*(275-$NR$82+1)*($NS$82-275+1)/$NU$82,$NN$82/$NT$82)),0)</f>
        <v/>
      </c>
      <c r="JT82" s="402">
        <f>IF(AND(276&gt;=$NR$82,276&lt;=$NS$82),IF($NP$82="Single_Point",IF(276=$NR$82,$NN$82,0),IF($NP$82="Bell_Curve",$NN$82*(276-$NR$82+1)*($NS$82-276+1)/$NU$82,$NN$82/$NT$82)),0)</f>
        <v/>
      </c>
      <c r="JU82" s="402">
        <f>IF(AND(277&gt;=$NR$82,277&lt;=$NS$82),IF($NP$82="Single_Point",IF(277=$NR$82,$NN$82,0),IF($NP$82="Bell_Curve",$NN$82*(277-$NR$82+1)*($NS$82-277+1)/$NU$82,$NN$82/$NT$82)),0)</f>
        <v/>
      </c>
      <c r="JV82" s="402">
        <f>IF(AND(278&gt;=$NR$82,278&lt;=$NS$82),IF($NP$82="Single_Point",IF(278=$NR$82,$NN$82,0),IF($NP$82="Bell_Curve",$NN$82*(278-$NR$82+1)*($NS$82-278+1)/$NU$82,$NN$82/$NT$82)),0)</f>
        <v/>
      </c>
      <c r="JW82" s="402">
        <f>IF(AND(279&gt;=$NR$82,279&lt;=$NS$82),IF($NP$82="Single_Point",IF(279=$NR$82,$NN$82,0),IF($NP$82="Bell_Curve",$NN$82*(279-$NR$82+1)*($NS$82-279+1)/$NU$82,$NN$82/$NT$82)),0)</f>
        <v/>
      </c>
      <c r="JX82" s="402">
        <f>IF(AND(280&gt;=$NR$82,280&lt;=$NS$82),IF($NP$82="Single_Point",IF(280=$NR$82,$NN$82,0),IF($NP$82="Bell_Curve",$NN$82*(280-$NR$82+1)*($NS$82-280+1)/$NU$82,$NN$82/$NT$82)),0)</f>
        <v/>
      </c>
      <c r="JY82" s="402">
        <f>IF(AND(281&gt;=$NR$82,281&lt;=$NS$82),IF($NP$82="Single_Point",IF(281=$NR$82,$NN$82,0),IF($NP$82="Bell_Curve",$NN$82*(281-$NR$82+1)*($NS$82-281+1)/$NU$82,$NN$82/$NT$82)),0)</f>
        <v/>
      </c>
      <c r="JZ82" s="402">
        <f>IF(AND(282&gt;=$NR$82,282&lt;=$NS$82),IF($NP$82="Single_Point",IF(282=$NR$82,$NN$82,0),IF($NP$82="Bell_Curve",$NN$82*(282-$NR$82+1)*($NS$82-282+1)/$NU$82,$NN$82/$NT$82)),0)</f>
        <v/>
      </c>
      <c r="KA82" s="402">
        <f>IF(AND(283&gt;=$NR$82,283&lt;=$NS$82),IF($NP$82="Single_Point",IF(283=$NR$82,$NN$82,0),IF($NP$82="Bell_Curve",$NN$82*(283-$NR$82+1)*($NS$82-283+1)/$NU$82,$NN$82/$NT$82)),0)</f>
        <v/>
      </c>
      <c r="KB82" s="402">
        <f>IF(AND(284&gt;=$NR$82,284&lt;=$NS$82),IF($NP$82="Single_Point",IF(284=$NR$82,$NN$82,0),IF($NP$82="Bell_Curve",$NN$82*(284-$NR$82+1)*($NS$82-284+1)/$NU$82,$NN$82/$NT$82)),0)</f>
        <v/>
      </c>
      <c r="KC82" s="402">
        <f>IF(AND(285&gt;=$NR$82,285&lt;=$NS$82),IF($NP$82="Single_Point",IF(285=$NR$82,$NN$82,0),IF($NP$82="Bell_Curve",$NN$82*(285-$NR$82+1)*($NS$82-285+1)/$NU$82,$NN$82/$NT$82)),0)</f>
        <v/>
      </c>
      <c r="KD82" s="402">
        <f>IF(AND(286&gt;=$NR$82,286&lt;=$NS$82),IF($NP$82="Single_Point",IF(286=$NR$82,$NN$82,0),IF($NP$82="Bell_Curve",$NN$82*(286-$NR$82+1)*($NS$82-286+1)/$NU$82,$NN$82/$NT$82)),0)</f>
        <v/>
      </c>
      <c r="KE82" s="402">
        <f>IF(AND(287&gt;=$NR$82,287&lt;=$NS$82),IF($NP$82="Single_Point",IF(287=$NR$82,$NN$82,0),IF($NP$82="Bell_Curve",$NN$82*(287-$NR$82+1)*($NS$82-287+1)/$NU$82,$NN$82/$NT$82)),0)</f>
        <v/>
      </c>
      <c r="KF82" s="402">
        <f>IF(AND(288&gt;=$NR$82,288&lt;=$NS$82),IF($NP$82="Single_Point",IF(288=$NR$82,$NN$82,0),IF($NP$82="Bell_Curve",$NN$82*(288-$NR$82+1)*($NS$82-288+1)/$NU$82,$NN$82/$NT$82)),0)</f>
        <v/>
      </c>
      <c r="KG82" s="402">
        <f>IF(AND(289&gt;=$NR$82,289&lt;=$NS$82),IF($NP$82="Single_Point",IF(289=$NR$82,$NN$82,0),IF($NP$82="Bell_Curve",$NN$82*(289-$NR$82+1)*($NS$82-289+1)/$NU$82,$NN$82/$NT$82)),0)</f>
        <v/>
      </c>
      <c r="KH82" s="402">
        <f>IF(AND(290&gt;=$NR$82,290&lt;=$NS$82),IF($NP$82="Single_Point",IF(290=$NR$82,$NN$82,0),IF($NP$82="Bell_Curve",$NN$82*(290-$NR$82+1)*($NS$82-290+1)/$NU$82,$NN$82/$NT$82)),0)</f>
        <v/>
      </c>
      <c r="KI82" s="402">
        <f>IF(AND(291&gt;=$NR$82,291&lt;=$NS$82),IF($NP$82="Single_Point",IF(291=$NR$82,$NN$82,0),IF($NP$82="Bell_Curve",$NN$82*(291-$NR$82+1)*($NS$82-291+1)/$NU$82,$NN$82/$NT$82)),0)</f>
        <v/>
      </c>
      <c r="KJ82" s="402">
        <f>IF(AND(292&gt;=$NR$82,292&lt;=$NS$82),IF($NP$82="Single_Point",IF(292=$NR$82,$NN$82,0),IF($NP$82="Bell_Curve",$NN$82*(292-$NR$82+1)*($NS$82-292+1)/$NU$82,$NN$82/$NT$82)),0)</f>
        <v/>
      </c>
      <c r="KK82" s="402">
        <f>IF(AND(293&gt;=$NR$82,293&lt;=$NS$82),IF($NP$82="Single_Point",IF(293=$NR$82,$NN$82,0),IF($NP$82="Bell_Curve",$NN$82*(293-$NR$82+1)*($NS$82-293+1)/$NU$82,$NN$82/$NT$82)),0)</f>
        <v/>
      </c>
      <c r="KL82" s="402">
        <f>IF(AND(294&gt;=$NR$82,294&lt;=$NS$82),IF($NP$82="Single_Point",IF(294=$NR$82,$NN$82,0),IF($NP$82="Bell_Curve",$NN$82*(294-$NR$82+1)*($NS$82-294+1)/$NU$82,$NN$82/$NT$82)),0)</f>
        <v/>
      </c>
      <c r="KM82" s="402">
        <f>IF(AND(295&gt;=$NR$82,295&lt;=$NS$82),IF($NP$82="Single_Point",IF(295=$NR$82,$NN$82,0),IF($NP$82="Bell_Curve",$NN$82*(295-$NR$82+1)*($NS$82-295+1)/$NU$82,$NN$82/$NT$82)),0)</f>
        <v/>
      </c>
      <c r="KN82" s="402">
        <f>IF(AND(296&gt;=$NR$82,296&lt;=$NS$82),IF($NP$82="Single_Point",IF(296=$NR$82,$NN$82,0),IF($NP$82="Bell_Curve",$NN$82*(296-$NR$82+1)*($NS$82-296+1)/$NU$82,$NN$82/$NT$82)),0)</f>
        <v/>
      </c>
      <c r="KO82" s="402">
        <f>IF(AND(297&gt;=$NR$82,297&lt;=$NS$82),IF($NP$82="Single_Point",IF(297=$NR$82,$NN$82,0),IF($NP$82="Bell_Curve",$NN$82*(297-$NR$82+1)*($NS$82-297+1)/$NU$82,$NN$82/$NT$82)),0)</f>
        <v/>
      </c>
      <c r="KP82" s="402">
        <f>IF(AND(298&gt;=$NR$82,298&lt;=$NS$82),IF($NP$82="Single_Point",IF(298=$NR$82,$NN$82,0),IF($NP$82="Bell_Curve",$NN$82*(298-$NR$82+1)*($NS$82-298+1)/$NU$82,$NN$82/$NT$82)),0)</f>
        <v/>
      </c>
      <c r="KQ82" s="402">
        <f>IF(AND(299&gt;=$NR$82,299&lt;=$NS$82),IF($NP$82="Single_Point",IF(299=$NR$82,$NN$82,0),IF($NP$82="Bell_Curve",$NN$82*(299-$NR$82+1)*($NS$82-299+1)/$NU$82,$NN$82/$NT$82)),0)</f>
        <v/>
      </c>
      <c r="KR82" s="402">
        <f>IF(AND(300&gt;=$NR$82,300&lt;=$NS$82),IF($NP$82="Single_Point",IF(300=$NR$82,$NN$82,0),IF($NP$82="Bell_Curve",$NN$82*(300-$NR$82+1)*($NS$82-300+1)/$NU$82,$NN$82/$NT$82)),0)</f>
        <v/>
      </c>
      <c r="KS82" s="402">
        <f>IF(AND(301&gt;=$NR$82,301&lt;=$NS$82),IF($NP$82="Single_Point",IF(301=$NR$82,$NN$82,0),IF($NP$82="Bell_Curve",$NN$82*(301-$NR$82+1)*($NS$82-301+1)/$NU$82,$NN$82/$NT$82)),0)</f>
        <v/>
      </c>
      <c r="KT82" s="402">
        <f>IF(AND(302&gt;=$NR$82,302&lt;=$NS$82),IF($NP$82="Single_Point",IF(302=$NR$82,$NN$82,0),IF($NP$82="Bell_Curve",$NN$82*(302-$NR$82+1)*($NS$82-302+1)/$NU$82,$NN$82/$NT$82)),0)</f>
        <v/>
      </c>
      <c r="KU82" s="402">
        <f>IF(AND(303&gt;=$NR$82,303&lt;=$NS$82),IF($NP$82="Single_Point",IF(303=$NR$82,$NN$82,0),IF($NP$82="Bell_Curve",$NN$82*(303-$NR$82+1)*($NS$82-303+1)/$NU$82,$NN$82/$NT$82)),0)</f>
        <v/>
      </c>
      <c r="KV82" s="402">
        <f>IF(AND(304&gt;=$NR$82,304&lt;=$NS$82),IF($NP$82="Single_Point",IF(304=$NR$82,$NN$82,0),IF($NP$82="Bell_Curve",$NN$82*(304-$NR$82+1)*($NS$82-304+1)/$NU$82,$NN$82/$NT$82)),0)</f>
        <v/>
      </c>
      <c r="KW82" s="402">
        <f>IF(AND(305&gt;=$NR$82,305&lt;=$NS$82),IF($NP$82="Single_Point",IF(305=$NR$82,$NN$82,0),IF($NP$82="Bell_Curve",$NN$82*(305-$NR$82+1)*($NS$82-305+1)/$NU$82,$NN$82/$NT$82)),0)</f>
        <v/>
      </c>
      <c r="KX82" s="402">
        <f>IF(AND(306&gt;=$NR$82,306&lt;=$NS$82),IF($NP$82="Single_Point",IF(306=$NR$82,$NN$82,0),IF($NP$82="Bell_Curve",$NN$82*(306-$NR$82+1)*($NS$82-306+1)/$NU$82,$NN$82/$NT$82)),0)</f>
        <v/>
      </c>
      <c r="KY82" s="402">
        <f>IF(AND(307&gt;=$NR$82,307&lt;=$NS$82),IF($NP$82="Single_Point",IF(307=$NR$82,$NN$82,0),IF($NP$82="Bell_Curve",$NN$82*(307-$NR$82+1)*($NS$82-307+1)/$NU$82,$NN$82/$NT$82)),0)</f>
        <v/>
      </c>
      <c r="KZ82" s="402">
        <f>IF(AND(308&gt;=$NR$82,308&lt;=$NS$82),IF($NP$82="Single_Point",IF(308=$NR$82,$NN$82,0),IF($NP$82="Bell_Curve",$NN$82*(308-$NR$82+1)*($NS$82-308+1)/$NU$82,$NN$82/$NT$82)),0)</f>
        <v/>
      </c>
      <c r="LA82" s="402">
        <f>IF(AND(309&gt;=$NR$82,309&lt;=$NS$82),IF($NP$82="Single_Point",IF(309=$NR$82,$NN$82,0),IF($NP$82="Bell_Curve",$NN$82*(309-$NR$82+1)*($NS$82-309+1)/$NU$82,$NN$82/$NT$82)),0)</f>
        <v/>
      </c>
      <c r="LB82" s="402">
        <f>IF(AND(310&gt;=$NR$82,310&lt;=$NS$82),IF($NP$82="Single_Point",IF(310=$NR$82,$NN$82,0),IF($NP$82="Bell_Curve",$NN$82*(310-$NR$82+1)*($NS$82-310+1)/$NU$82,$NN$82/$NT$82)),0)</f>
        <v/>
      </c>
      <c r="LC82" s="402">
        <f>IF(AND(311&gt;=$NR$82,311&lt;=$NS$82),IF($NP$82="Single_Point",IF(311=$NR$82,$NN$82,0),IF($NP$82="Bell_Curve",$NN$82*(311-$NR$82+1)*($NS$82-311+1)/$NU$82,$NN$82/$NT$82)),0)</f>
        <v/>
      </c>
      <c r="LD82" s="402">
        <f>IF(AND(312&gt;=$NR$82,312&lt;=$NS$82),IF($NP$82="Single_Point",IF(312=$NR$82,$NN$82,0),IF($NP$82="Bell_Curve",$NN$82*(312-$NR$82+1)*($NS$82-312+1)/$NU$82,$NN$82/$NT$82)),0)</f>
        <v/>
      </c>
      <c r="LE82" s="402">
        <f>IF(AND(313&gt;=$NR$82,313&lt;=$NS$82),IF($NP$82="Single_Point",IF(313=$NR$82,$NN$82,0),IF($NP$82="Bell_Curve",$NN$82*(313-$NR$82+1)*($NS$82-313+1)/$NU$82,$NN$82/$NT$82)),0)</f>
        <v/>
      </c>
      <c r="LF82" s="402">
        <f>IF(AND(314&gt;=$NR$82,314&lt;=$NS$82),IF($NP$82="Single_Point",IF(314=$NR$82,$NN$82,0),IF($NP$82="Bell_Curve",$NN$82*(314-$NR$82+1)*($NS$82-314+1)/$NU$82,$NN$82/$NT$82)),0)</f>
        <v/>
      </c>
      <c r="LG82" s="402">
        <f>IF(AND(315&gt;=$NR$82,315&lt;=$NS$82),IF($NP$82="Single_Point",IF(315=$NR$82,$NN$82,0),IF($NP$82="Bell_Curve",$NN$82*(315-$NR$82+1)*($NS$82-315+1)/$NU$82,$NN$82/$NT$82)),0)</f>
        <v/>
      </c>
      <c r="LH82" s="402">
        <f>IF(AND(316&gt;=$NR$82,316&lt;=$NS$82),IF($NP$82="Single_Point",IF(316=$NR$82,$NN$82,0),IF($NP$82="Bell_Curve",$NN$82*(316-$NR$82+1)*($NS$82-316+1)/$NU$82,$NN$82/$NT$82)),0)</f>
        <v/>
      </c>
      <c r="LI82" s="402">
        <f>IF(AND(317&gt;=$NR$82,317&lt;=$NS$82),IF($NP$82="Single_Point",IF(317=$NR$82,$NN$82,0),IF($NP$82="Bell_Curve",$NN$82*(317-$NR$82+1)*($NS$82-317+1)/$NU$82,$NN$82/$NT$82)),0)</f>
        <v/>
      </c>
      <c r="LJ82" s="402">
        <f>IF(AND(318&gt;=$NR$82,318&lt;=$NS$82),IF($NP$82="Single_Point",IF(318=$NR$82,$NN$82,0),IF($NP$82="Bell_Curve",$NN$82*(318-$NR$82+1)*($NS$82-318+1)/$NU$82,$NN$82/$NT$82)),0)</f>
        <v/>
      </c>
      <c r="LK82" s="402">
        <f>IF(AND(319&gt;=$NR$82,319&lt;=$NS$82),IF($NP$82="Single_Point",IF(319=$NR$82,$NN$82,0),IF($NP$82="Bell_Curve",$NN$82*(319-$NR$82+1)*($NS$82-319+1)/$NU$82,$NN$82/$NT$82)),0)</f>
        <v/>
      </c>
      <c r="LL82" s="402">
        <f>IF(AND(320&gt;=$NR$82,320&lt;=$NS$82),IF($NP$82="Single_Point",IF(320=$NR$82,$NN$82,0),IF($NP$82="Bell_Curve",$NN$82*(320-$NR$82+1)*($NS$82-320+1)/$NU$82,$NN$82/$NT$82)),0)</f>
        <v/>
      </c>
      <c r="LM82" s="402">
        <f>IF(AND(321&gt;=$NR$82,321&lt;=$NS$82),IF($NP$82="Single_Point",IF(321=$NR$82,$NN$82,0),IF($NP$82="Bell_Curve",$NN$82*(321-$NR$82+1)*($NS$82-321+1)/$NU$82,$NN$82/$NT$82)),0)</f>
        <v/>
      </c>
      <c r="LN82" s="402">
        <f>IF(AND(322&gt;=$NR$82,322&lt;=$NS$82),IF($NP$82="Single_Point",IF(322=$NR$82,$NN$82,0),IF($NP$82="Bell_Curve",$NN$82*(322-$NR$82+1)*($NS$82-322+1)/$NU$82,$NN$82/$NT$82)),0)</f>
        <v/>
      </c>
      <c r="LO82" s="402">
        <f>IF(AND(323&gt;=$NR$82,323&lt;=$NS$82),IF($NP$82="Single_Point",IF(323=$NR$82,$NN$82,0),IF($NP$82="Bell_Curve",$NN$82*(323-$NR$82+1)*($NS$82-323+1)/$NU$82,$NN$82/$NT$82)),0)</f>
        <v/>
      </c>
      <c r="LP82" s="402">
        <f>IF(AND(324&gt;=$NR$82,324&lt;=$NS$82),IF($NP$82="Single_Point",IF(324=$NR$82,$NN$82,0),IF($NP$82="Bell_Curve",$NN$82*(324-$NR$82+1)*($NS$82-324+1)/$NU$82,$NN$82/$NT$82)),0)</f>
        <v/>
      </c>
      <c r="LQ82" s="402">
        <f>IF(AND(325&gt;=$NR$82,325&lt;=$NS$82),IF($NP$82="Single_Point",IF(325=$NR$82,$NN$82,0),IF($NP$82="Bell_Curve",$NN$82*(325-$NR$82+1)*($NS$82-325+1)/$NU$82,$NN$82/$NT$82)),0)</f>
        <v/>
      </c>
      <c r="LR82" s="402">
        <f>IF(AND(326&gt;=$NR$82,326&lt;=$NS$82),IF($NP$82="Single_Point",IF(326=$NR$82,$NN$82,0),IF($NP$82="Bell_Curve",$NN$82*(326-$NR$82+1)*($NS$82-326+1)/$NU$82,$NN$82/$NT$82)),0)</f>
        <v/>
      </c>
      <c r="LS82" s="402">
        <f>IF(AND(327&gt;=$NR$82,327&lt;=$NS$82),IF($NP$82="Single_Point",IF(327=$NR$82,$NN$82,0),IF($NP$82="Bell_Curve",$NN$82*(327-$NR$82+1)*($NS$82-327+1)/$NU$82,$NN$82/$NT$82)),0)</f>
        <v/>
      </c>
      <c r="LT82" s="402">
        <f>IF(AND(328&gt;=$NR$82,328&lt;=$NS$82),IF($NP$82="Single_Point",IF(328=$NR$82,$NN$82,0),IF($NP$82="Bell_Curve",$NN$82*(328-$NR$82+1)*($NS$82-328+1)/$NU$82,$NN$82/$NT$82)),0)</f>
        <v/>
      </c>
      <c r="LU82" s="402">
        <f>IF(AND(329&gt;=$NR$82,329&lt;=$NS$82),IF($NP$82="Single_Point",IF(329=$NR$82,$NN$82,0),IF($NP$82="Bell_Curve",$NN$82*(329-$NR$82+1)*($NS$82-329+1)/$NU$82,$NN$82/$NT$82)),0)</f>
        <v/>
      </c>
      <c r="LV82" s="402">
        <f>IF(AND(330&gt;=$NR$82,330&lt;=$NS$82),IF($NP$82="Single_Point",IF(330=$NR$82,$NN$82,0),IF($NP$82="Bell_Curve",$NN$82*(330-$NR$82+1)*($NS$82-330+1)/$NU$82,$NN$82/$NT$82)),0)</f>
        <v/>
      </c>
      <c r="LW82" s="402">
        <f>IF(AND(331&gt;=$NR$82,331&lt;=$NS$82),IF($NP$82="Single_Point",IF(331=$NR$82,$NN$82,0),IF($NP$82="Bell_Curve",$NN$82*(331-$NR$82+1)*($NS$82-331+1)/$NU$82,$NN$82/$NT$82)),0)</f>
        <v/>
      </c>
      <c r="LX82" s="402">
        <f>IF(AND(332&gt;=$NR$82,332&lt;=$NS$82),IF($NP$82="Single_Point",IF(332=$NR$82,$NN$82,0),IF($NP$82="Bell_Curve",$NN$82*(332-$NR$82+1)*($NS$82-332+1)/$NU$82,$NN$82/$NT$82)),0)</f>
        <v/>
      </c>
      <c r="LY82" s="402">
        <f>IF(AND(333&gt;=$NR$82,333&lt;=$NS$82),IF($NP$82="Single_Point",IF(333=$NR$82,$NN$82,0),IF($NP$82="Bell_Curve",$NN$82*(333-$NR$82+1)*($NS$82-333+1)/$NU$82,$NN$82/$NT$82)),0)</f>
        <v/>
      </c>
      <c r="LZ82" s="402">
        <f>IF(AND(334&gt;=$NR$82,334&lt;=$NS$82),IF($NP$82="Single_Point",IF(334=$NR$82,$NN$82,0),IF($NP$82="Bell_Curve",$NN$82*(334-$NR$82+1)*($NS$82-334+1)/$NU$82,$NN$82/$NT$82)),0)</f>
        <v/>
      </c>
      <c r="MA82" s="402">
        <f>IF(AND(335&gt;=$NR$82,335&lt;=$NS$82),IF($NP$82="Single_Point",IF(335=$NR$82,$NN$82,0),IF($NP$82="Bell_Curve",$NN$82*(335-$NR$82+1)*($NS$82-335+1)/$NU$82,$NN$82/$NT$82)),0)</f>
        <v/>
      </c>
      <c r="MB82" s="402">
        <f>IF(AND(336&gt;=$NR$82,336&lt;=$NS$82),IF($NP$82="Single_Point",IF(336=$NR$82,$NN$82,0),IF($NP$82="Bell_Curve",$NN$82*(336-$NR$82+1)*($NS$82-336+1)/$NU$82,$NN$82/$NT$82)),0)</f>
        <v/>
      </c>
      <c r="MC82" s="402">
        <f>IF(AND(337&gt;=$NR$82,337&lt;=$NS$82),IF($NP$82="Single_Point",IF(337=$NR$82,$NN$82,0),IF($NP$82="Bell_Curve",$NN$82*(337-$NR$82+1)*($NS$82-337+1)/$NU$82,$NN$82/$NT$82)),0)</f>
        <v/>
      </c>
      <c r="MD82" s="402">
        <f>IF(AND(338&gt;=$NR$82,338&lt;=$NS$82),IF($NP$82="Single_Point",IF(338=$NR$82,$NN$82,0),IF($NP$82="Bell_Curve",$NN$82*(338-$NR$82+1)*($NS$82-338+1)/$NU$82,$NN$82/$NT$82)),0)</f>
        <v/>
      </c>
      <c r="ME82" s="402">
        <f>IF(AND(339&gt;=$NR$82,339&lt;=$NS$82),IF($NP$82="Single_Point",IF(339=$NR$82,$NN$82,0),IF($NP$82="Bell_Curve",$NN$82*(339-$NR$82+1)*($NS$82-339+1)/$NU$82,$NN$82/$NT$82)),0)</f>
        <v/>
      </c>
      <c r="MF82" s="402">
        <f>IF(AND(340&gt;=$NR$82,340&lt;=$NS$82),IF($NP$82="Single_Point",IF(340=$NR$82,$NN$82,0),IF($NP$82="Bell_Curve",$NN$82*(340-$NR$82+1)*($NS$82-340+1)/$NU$82,$NN$82/$NT$82)),0)</f>
        <v/>
      </c>
      <c r="MG82" s="402">
        <f>IF(AND(341&gt;=$NR$82,341&lt;=$NS$82),IF($NP$82="Single_Point",IF(341=$NR$82,$NN$82,0),IF($NP$82="Bell_Curve",$NN$82*(341-$NR$82+1)*($NS$82-341+1)/$NU$82,$NN$82/$NT$82)),0)</f>
        <v/>
      </c>
      <c r="MH82" s="402">
        <f>IF(AND(342&gt;=$NR$82,342&lt;=$NS$82),IF($NP$82="Single_Point",IF(342=$NR$82,$NN$82,0),IF($NP$82="Bell_Curve",$NN$82*(342-$NR$82+1)*($NS$82-342+1)/$NU$82,$NN$82/$NT$82)),0)</f>
        <v/>
      </c>
      <c r="MI82" s="402">
        <f>IF(AND(343&gt;=$NR$82,343&lt;=$NS$82),IF($NP$82="Single_Point",IF(343=$NR$82,$NN$82,0),IF($NP$82="Bell_Curve",$NN$82*(343-$NR$82+1)*($NS$82-343+1)/$NU$82,$NN$82/$NT$82)),0)</f>
        <v/>
      </c>
      <c r="MJ82" s="402">
        <f>IF(AND(344&gt;=$NR$82,344&lt;=$NS$82),IF($NP$82="Single_Point",IF(344=$NR$82,$NN$82,0),IF($NP$82="Bell_Curve",$NN$82*(344-$NR$82+1)*($NS$82-344+1)/$NU$82,$NN$82/$NT$82)),0)</f>
        <v/>
      </c>
      <c r="MK82" s="402">
        <f>IF(AND(345&gt;=$NR$82,345&lt;=$NS$82),IF($NP$82="Single_Point",IF(345=$NR$82,$NN$82,0),IF($NP$82="Bell_Curve",$NN$82*(345-$NR$82+1)*($NS$82-345+1)/$NU$82,$NN$82/$NT$82)),0)</f>
        <v/>
      </c>
      <c r="ML82" s="402">
        <f>IF(AND(346&gt;=$NR$82,346&lt;=$NS$82),IF($NP$82="Single_Point",IF(346=$NR$82,$NN$82,0),IF($NP$82="Bell_Curve",$NN$82*(346-$NR$82+1)*($NS$82-346+1)/$NU$82,$NN$82/$NT$82)),0)</f>
        <v/>
      </c>
      <c r="MM82" s="402">
        <f>IF(AND(347&gt;=$NR$82,347&lt;=$NS$82),IF($NP$82="Single_Point",IF(347=$NR$82,$NN$82,0),IF($NP$82="Bell_Curve",$NN$82*(347-$NR$82+1)*($NS$82-347+1)/$NU$82,$NN$82/$NT$82)),0)</f>
        <v/>
      </c>
      <c r="MN82" s="402">
        <f>IF(AND(348&gt;=$NR$82,348&lt;=$NS$82),IF($NP$82="Single_Point",IF(348=$NR$82,$NN$82,0),IF($NP$82="Bell_Curve",$NN$82*(348-$NR$82+1)*($NS$82-348+1)/$NU$82,$NN$82/$NT$82)),0)</f>
        <v/>
      </c>
      <c r="MO82" s="402">
        <f>IF(AND(349&gt;=$NR$82,349&lt;=$NS$82),IF($NP$82="Single_Point",IF(349=$NR$82,$NN$82,0),IF($NP$82="Bell_Curve",$NN$82*(349-$NR$82+1)*($NS$82-349+1)/$NU$82,$NN$82/$NT$82)),0)</f>
        <v/>
      </c>
      <c r="MP82" s="402">
        <f>IF(AND(350&gt;=$NR$82,350&lt;=$NS$82),IF($NP$82="Single_Point",IF(350=$NR$82,$NN$82,0),IF($NP$82="Bell_Curve",$NN$82*(350-$NR$82+1)*($NS$82-350+1)/$NU$82,$NN$82/$NT$82)),0)</f>
        <v/>
      </c>
      <c r="MQ82" s="402">
        <f>IF(AND(351&gt;=$NR$82,351&lt;=$NS$82),IF($NP$82="Single_Point",IF(351=$NR$82,$NN$82,0),IF($NP$82="Bell_Curve",$NN$82*(351-$NR$82+1)*($NS$82-351+1)/$NU$82,$NN$82/$NT$82)),0)</f>
        <v/>
      </c>
      <c r="MR82" s="402">
        <f>IF(AND(352&gt;=$NR$82,352&lt;=$NS$82),IF($NP$82="Single_Point",IF(352=$NR$82,$NN$82,0),IF($NP$82="Bell_Curve",$NN$82*(352-$NR$82+1)*($NS$82-352+1)/$NU$82,$NN$82/$NT$82)),0)</f>
        <v/>
      </c>
      <c r="MS82" s="402">
        <f>IF(AND(353&gt;=$NR$82,353&lt;=$NS$82),IF($NP$82="Single_Point",IF(353=$NR$82,$NN$82,0),IF($NP$82="Bell_Curve",$NN$82*(353-$NR$82+1)*($NS$82-353+1)/$NU$82,$NN$82/$NT$82)),0)</f>
        <v/>
      </c>
      <c r="MT82" s="402">
        <f>IF(AND(354&gt;=$NR$82,354&lt;=$NS$82),IF($NP$82="Single_Point",IF(354=$NR$82,$NN$82,0),IF($NP$82="Bell_Curve",$NN$82*(354-$NR$82+1)*($NS$82-354+1)/$NU$82,$NN$82/$NT$82)),0)</f>
        <v/>
      </c>
      <c r="MU82" s="402">
        <f>IF(AND(355&gt;=$NR$82,355&lt;=$NS$82),IF($NP$82="Single_Point",IF(355=$NR$82,$NN$82,0),IF($NP$82="Bell_Curve",$NN$82*(355-$NR$82+1)*($NS$82-355+1)/$NU$82,$NN$82/$NT$82)),0)</f>
        <v/>
      </c>
      <c r="MV82" s="402">
        <f>IF(AND(356&gt;=$NR$82,356&lt;=$NS$82),IF($NP$82="Single_Point",IF(356=$NR$82,$NN$82,0),IF($NP$82="Bell_Curve",$NN$82*(356-$NR$82+1)*($NS$82-356+1)/$NU$82,$NN$82/$NT$82)),0)</f>
        <v/>
      </c>
      <c r="MW82" s="402">
        <f>IF(AND(357&gt;=$NR$82,357&lt;=$NS$82),IF($NP$82="Single_Point",IF(357=$NR$82,$NN$82,0),IF($NP$82="Bell_Curve",$NN$82*(357-$NR$82+1)*($NS$82-357+1)/$NU$82,$NN$82/$NT$82)),0)</f>
        <v/>
      </c>
      <c r="MX82" s="402">
        <f>IF(AND(358&gt;=$NR$82,358&lt;=$NS$82),IF($NP$82="Single_Point",IF(358=$NR$82,$NN$82,0),IF($NP$82="Bell_Curve",$NN$82*(358-$NR$82+1)*($NS$82-358+1)/$NU$82,$NN$82/$NT$82)),0)</f>
        <v/>
      </c>
      <c r="MY82" s="402">
        <f>IF(AND(359&gt;=$NR$82,359&lt;=$NS$82),IF($NP$82="Single_Point",IF(359=$NR$82,$NN$82,0),IF($NP$82="Bell_Curve",$NN$82*(359-$NR$82+1)*($NS$82-359+1)/$NU$82,$NN$82/$NT$82)),0)</f>
        <v/>
      </c>
      <c r="MZ82" s="402">
        <f>IF(AND(360&gt;=$NR$82,360&lt;=$NS$82),IF($NP$82="Single_Point",IF(360=$NR$82,$NN$82,0),IF($NP$82="Bell_Curve",$NN$82*(360-$NR$82+1)*($NS$82-360+1)/$NU$82,$NN$82/$NT$82)),0)</f>
        <v/>
      </c>
      <c r="NA82" s="402">
        <f>IF(AND(361&gt;=$NR$82,361&lt;=$NS$82),IF($NP$82="Single_Point",IF(361=$NR$82,$NN$82,0),IF($NP$82="Bell_Curve",$NN$82*(361-$NR$82+1)*($NS$82-361+1)/$NU$82,$NN$82/$NT$82)),0)</f>
        <v/>
      </c>
      <c r="NB82" s="402">
        <f>IF(AND(362&gt;=$NR$82,362&lt;=$NS$82),IF($NP$82="Single_Point",IF(362=$NR$82,$NN$82,0),IF($NP$82="Bell_Curve",$NN$82*(362-$NR$82+1)*($NS$82-362+1)/$NU$82,$NN$82/$NT$82)),0)</f>
        <v/>
      </c>
      <c r="NC82" s="402">
        <f>IF(AND(363&gt;=$NR$82,363&lt;=$NS$82),IF($NP$82="Single_Point",IF(363=$NR$82,$NN$82,0),IF($NP$82="Bell_Curve",$NN$82*(363-$NR$82+1)*($NS$82-363+1)/$NU$82,$NN$82/$NT$82)),0)</f>
        <v/>
      </c>
      <c r="ND82" s="402">
        <f>IF(AND(364&gt;=$NR$82,364&lt;=$NS$82),IF($NP$82="Single_Point",IF(364=$NR$82,$NN$82,0),IF($NP$82="Bell_Curve",$NN$82*(364-$NR$82+1)*($NS$82-364+1)/$NU$82,$NN$82/$NT$82)),0)</f>
        <v/>
      </c>
      <c r="NE82" s="402">
        <f>IF(AND(365&gt;=$NR$82,365&lt;=$NS$82),IF($NP$82="Single_Point",IF(365=$NR$82,$NN$82,0),IF($NP$82="Bell_Curve",$NN$82*(365-$NR$82+1)*($NS$82-365+1)/$NU$82,$NN$82/$NT$82)),0)</f>
        <v/>
      </c>
      <c r="NF82" s="402">
        <f>IF(AND(366&gt;=$NR$82,366&lt;=$NS$82),IF($NP$82="Single_Point",IF(366=$NR$82,$NN$82,0),IF($NP$82="Bell_Curve",$NN$82*(366-$NR$82+1)*($NS$82-366+1)/$NU$82,$NN$82/$NT$82)),0)</f>
        <v/>
      </c>
      <c r="NG82" s="402">
        <f>IF(AND(367&gt;=$NR$82,367&lt;=$NS$82),IF($NP$82="Single_Point",IF(367=$NR$82,$NN$82,0),IF($NP$82="Bell_Curve",$NN$82*(367-$NR$82+1)*($NS$82-367+1)/$NU$82,$NN$82/$NT$82)),0)</f>
        <v/>
      </c>
      <c r="NH82" s="402">
        <f>IF(AND(368&gt;=$NR$82,368&lt;=$NS$82),IF($NP$82="Single_Point",IF(368=$NR$82,$NN$82,0),IF($NP$82="Bell_Curve",$NN$82*(368-$NR$82+1)*($NS$82-368+1)/$NU$82,$NN$82/$NT$82)),0)</f>
        <v/>
      </c>
      <c r="NI82" s="402">
        <f>IF(AND(369&gt;=$NR$82,369&lt;=$NS$82),IF($NP$82="Single_Point",IF(369=$NR$82,$NN$82,0),IF($NP$82="Bell_Curve",$NN$82*(369-$NR$82+1)*($NS$82-369+1)/$NU$82,$NN$82/$NT$82)),0)</f>
        <v/>
      </c>
      <c r="NJ82" s="402">
        <f>IF(AND(370&gt;=$NR$82,370&lt;=$NS$82),IF($NP$82="Single_Point",IF(370=$NR$82,$NN$82,0),IF($NP$82="Bell_Curve",$NN$82*(370-$NR$82+1)*($NS$82-370+1)/$NU$82,$NN$82/$NT$82)),0)</f>
        <v/>
      </c>
      <c r="NK82" s="402">
        <f>IF(AND(371&gt;=$NR$82,371&lt;=$NS$82),IF($NP$82="Single_Point",IF(371=$NR$82,$NN$82,0),IF($NP$82="Bell_Curve",$NN$82*(371-$NR$82+1)*($NS$82-371+1)/$NU$82,$NN$82/$NT$82)),0)</f>
        <v/>
      </c>
      <c r="NL82" s="402">
        <f>IF(AND(372&gt;=$NR$82,372&lt;=$NS$82),IF($NP$82="Single_Point",IF(372=$NR$82,$NN$82,0),IF($NP$82="Bell_Curve",$NN$82*(372-$NR$82+1)*($NS$82-372+1)/$NU$82,$NN$82/$NT$82)),0)</f>
        <v/>
      </c>
      <c r="NM82">
        <f>Budget!C81</f>
        <v/>
      </c>
      <c r="NN82">
        <f>Budget!J81</f>
        <v/>
      </c>
      <c r="NO82">
        <f>Budget!G81</f>
        <v/>
      </c>
      <c r="NP82">
        <f>Budget!H81</f>
        <v/>
      </c>
      <c r="NQ82">
        <f>Budget!I81</f>
        <v/>
      </c>
      <c r="NR82">
        <f>MAX(1,MIN(372,INDEX(MilestoneStart,MATCH(NO82,MilestoneNames,0))+NQ82))</f>
        <v/>
      </c>
      <c r="NS82">
        <f>MAX(NR82,MIN(372,INDEX(MilestoneEnd,MATCH(NO82,MilestoneNames,0))+NQ82))</f>
        <v/>
      </c>
      <c r="NT82">
        <f>NS82-NR82+1</f>
        <v/>
      </c>
      <c r="NU82">
        <f>NT82*(NT82+1)*(NT82+2)/6</f>
        <v/>
      </c>
    </row>
    <row r="83">
      <c r="B83" s="316">
        <f>Budget!B82</f>
        <v/>
      </c>
      <c r="D83" s="402">
        <f>SUM(E83:NL83)</f>
        <v/>
      </c>
      <c r="E83" s="402">
        <f>IF(AND(1&gt;=$NR$83,1&lt;=$NS$83),IF($NP$83="Single_Point",IF(1=$NR$83,$NN$83,0),IF($NP$83="Bell_Curve",$NN$83*(1-$NR$83+1)*($NS$83-1+1)/$NU$83,$NN$83/$NT$83)),0)</f>
        <v/>
      </c>
      <c r="F83" s="402">
        <f>IF(AND(2&gt;=$NR$83,2&lt;=$NS$83),IF($NP$83="Single_Point",IF(2=$NR$83,$NN$83,0),IF($NP$83="Bell_Curve",$NN$83*(2-$NR$83+1)*($NS$83-2+1)/$NU$83,$NN$83/$NT$83)),0)</f>
        <v/>
      </c>
      <c r="G83" s="402">
        <f>IF(AND(3&gt;=$NR$83,3&lt;=$NS$83),IF($NP$83="Single_Point",IF(3=$NR$83,$NN$83,0),IF($NP$83="Bell_Curve",$NN$83*(3-$NR$83+1)*($NS$83-3+1)/$NU$83,$NN$83/$NT$83)),0)</f>
        <v/>
      </c>
      <c r="H83" s="402">
        <f>IF(AND(4&gt;=$NR$83,4&lt;=$NS$83),IF($NP$83="Single_Point",IF(4=$NR$83,$NN$83,0),IF($NP$83="Bell_Curve",$NN$83*(4-$NR$83+1)*($NS$83-4+1)/$NU$83,$NN$83/$NT$83)),0)</f>
        <v/>
      </c>
      <c r="I83" s="402">
        <f>IF(AND(5&gt;=$NR$83,5&lt;=$NS$83),IF($NP$83="Single_Point",IF(5=$NR$83,$NN$83,0),IF($NP$83="Bell_Curve",$NN$83*(5-$NR$83+1)*($NS$83-5+1)/$NU$83,$NN$83/$NT$83)),0)</f>
        <v/>
      </c>
      <c r="J83" s="402">
        <f>IF(AND(6&gt;=$NR$83,6&lt;=$NS$83),IF($NP$83="Single_Point",IF(6=$NR$83,$NN$83,0),IF($NP$83="Bell_Curve",$NN$83*(6-$NR$83+1)*($NS$83-6+1)/$NU$83,$NN$83/$NT$83)),0)</f>
        <v/>
      </c>
      <c r="K83" s="402">
        <f>IF(AND(7&gt;=$NR$83,7&lt;=$NS$83),IF($NP$83="Single_Point",IF(7=$NR$83,$NN$83,0),IF($NP$83="Bell_Curve",$NN$83*(7-$NR$83+1)*($NS$83-7+1)/$NU$83,$NN$83/$NT$83)),0)</f>
        <v/>
      </c>
      <c r="L83" s="402">
        <f>IF(AND(8&gt;=$NR$83,8&lt;=$NS$83),IF($NP$83="Single_Point",IF(8=$NR$83,$NN$83,0),IF($NP$83="Bell_Curve",$NN$83*(8-$NR$83+1)*($NS$83-8+1)/$NU$83,$NN$83/$NT$83)),0)</f>
        <v/>
      </c>
      <c r="M83" s="402">
        <f>IF(AND(9&gt;=$NR$83,9&lt;=$NS$83),IF($NP$83="Single_Point",IF(9=$NR$83,$NN$83,0),IF($NP$83="Bell_Curve",$NN$83*(9-$NR$83+1)*($NS$83-9+1)/$NU$83,$NN$83/$NT$83)),0)</f>
        <v/>
      </c>
      <c r="N83" s="402">
        <f>IF(AND(10&gt;=$NR$83,10&lt;=$NS$83),IF($NP$83="Single_Point",IF(10=$NR$83,$NN$83,0),IF($NP$83="Bell_Curve",$NN$83*(10-$NR$83+1)*($NS$83-10+1)/$NU$83,$NN$83/$NT$83)),0)</f>
        <v/>
      </c>
      <c r="O83" s="402">
        <f>IF(AND(11&gt;=$NR$83,11&lt;=$NS$83),IF($NP$83="Single_Point",IF(11=$NR$83,$NN$83,0),IF($NP$83="Bell_Curve",$NN$83*(11-$NR$83+1)*($NS$83-11+1)/$NU$83,$NN$83/$NT$83)),0)</f>
        <v/>
      </c>
      <c r="P83" s="402">
        <f>IF(AND(12&gt;=$NR$83,12&lt;=$NS$83),IF($NP$83="Single_Point",IF(12=$NR$83,$NN$83,0),IF($NP$83="Bell_Curve",$NN$83*(12-$NR$83+1)*($NS$83-12+1)/$NU$83,$NN$83/$NT$83)),0)</f>
        <v/>
      </c>
      <c r="Q83" s="402">
        <f>IF(AND(13&gt;=$NR$83,13&lt;=$NS$83),IF($NP$83="Single_Point",IF(13=$NR$83,$NN$83,0),IF($NP$83="Bell_Curve",$NN$83*(13-$NR$83+1)*($NS$83-13+1)/$NU$83,$NN$83/$NT$83)),0)</f>
        <v/>
      </c>
      <c r="R83" s="402">
        <f>IF(AND(14&gt;=$NR$83,14&lt;=$NS$83),IF($NP$83="Single_Point",IF(14=$NR$83,$NN$83,0),IF($NP$83="Bell_Curve",$NN$83*(14-$NR$83+1)*($NS$83-14+1)/$NU$83,$NN$83/$NT$83)),0)</f>
        <v/>
      </c>
      <c r="S83" s="402">
        <f>IF(AND(15&gt;=$NR$83,15&lt;=$NS$83),IF($NP$83="Single_Point",IF(15=$NR$83,$NN$83,0),IF($NP$83="Bell_Curve",$NN$83*(15-$NR$83+1)*($NS$83-15+1)/$NU$83,$NN$83/$NT$83)),0)</f>
        <v/>
      </c>
      <c r="T83" s="402">
        <f>IF(AND(16&gt;=$NR$83,16&lt;=$NS$83),IF($NP$83="Single_Point",IF(16=$NR$83,$NN$83,0),IF($NP$83="Bell_Curve",$NN$83*(16-$NR$83+1)*($NS$83-16+1)/$NU$83,$NN$83/$NT$83)),0)</f>
        <v/>
      </c>
      <c r="U83" s="402">
        <f>IF(AND(17&gt;=$NR$83,17&lt;=$NS$83),IF($NP$83="Single_Point",IF(17=$NR$83,$NN$83,0),IF($NP$83="Bell_Curve",$NN$83*(17-$NR$83+1)*($NS$83-17+1)/$NU$83,$NN$83/$NT$83)),0)</f>
        <v/>
      </c>
      <c r="V83" s="402">
        <f>IF(AND(18&gt;=$NR$83,18&lt;=$NS$83),IF($NP$83="Single_Point",IF(18=$NR$83,$NN$83,0),IF($NP$83="Bell_Curve",$NN$83*(18-$NR$83+1)*($NS$83-18+1)/$NU$83,$NN$83/$NT$83)),0)</f>
        <v/>
      </c>
      <c r="W83" s="402">
        <f>IF(AND(19&gt;=$NR$83,19&lt;=$NS$83),IF($NP$83="Single_Point",IF(19=$NR$83,$NN$83,0),IF($NP$83="Bell_Curve",$NN$83*(19-$NR$83+1)*($NS$83-19+1)/$NU$83,$NN$83/$NT$83)),0)</f>
        <v/>
      </c>
      <c r="X83" s="402">
        <f>IF(AND(20&gt;=$NR$83,20&lt;=$NS$83),IF($NP$83="Single_Point",IF(20=$NR$83,$NN$83,0),IF($NP$83="Bell_Curve",$NN$83*(20-$NR$83+1)*($NS$83-20+1)/$NU$83,$NN$83/$NT$83)),0)</f>
        <v/>
      </c>
      <c r="Y83" s="402">
        <f>IF(AND(21&gt;=$NR$83,21&lt;=$NS$83),IF($NP$83="Single_Point",IF(21=$NR$83,$NN$83,0),IF($NP$83="Bell_Curve",$NN$83*(21-$NR$83+1)*($NS$83-21+1)/$NU$83,$NN$83/$NT$83)),0)</f>
        <v/>
      </c>
      <c r="Z83" s="402">
        <f>IF(AND(22&gt;=$NR$83,22&lt;=$NS$83),IF($NP$83="Single_Point",IF(22=$NR$83,$NN$83,0),IF($NP$83="Bell_Curve",$NN$83*(22-$NR$83+1)*($NS$83-22+1)/$NU$83,$NN$83/$NT$83)),0)</f>
        <v/>
      </c>
      <c r="AA83" s="402">
        <f>IF(AND(23&gt;=$NR$83,23&lt;=$NS$83),IF($NP$83="Single_Point",IF(23=$NR$83,$NN$83,0),IF($NP$83="Bell_Curve",$NN$83*(23-$NR$83+1)*($NS$83-23+1)/$NU$83,$NN$83/$NT$83)),0)</f>
        <v/>
      </c>
      <c r="AB83" s="402">
        <f>IF(AND(24&gt;=$NR$83,24&lt;=$NS$83),IF($NP$83="Single_Point",IF(24=$NR$83,$NN$83,0),IF($NP$83="Bell_Curve",$NN$83*(24-$NR$83+1)*($NS$83-24+1)/$NU$83,$NN$83/$NT$83)),0)</f>
        <v/>
      </c>
      <c r="AC83" s="402">
        <f>IF(AND(25&gt;=$NR$83,25&lt;=$NS$83),IF($NP$83="Single_Point",IF(25=$NR$83,$NN$83,0),IF($NP$83="Bell_Curve",$NN$83*(25-$NR$83+1)*($NS$83-25+1)/$NU$83,$NN$83/$NT$83)),0)</f>
        <v/>
      </c>
      <c r="AD83" s="402">
        <f>IF(AND(26&gt;=$NR$83,26&lt;=$NS$83),IF($NP$83="Single_Point",IF(26=$NR$83,$NN$83,0),IF($NP$83="Bell_Curve",$NN$83*(26-$NR$83+1)*($NS$83-26+1)/$NU$83,$NN$83/$NT$83)),0)</f>
        <v/>
      </c>
      <c r="AE83" s="402">
        <f>IF(AND(27&gt;=$NR$83,27&lt;=$NS$83),IF($NP$83="Single_Point",IF(27=$NR$83,$NN$83,0),IF($NP$83="Bell_Curve",$NN$83*(27-$NR$83+1)*($NS$83-27+1)/$NU$83,$NN$83/$NT$83)),0)</f>
        <v/>
      </c>
      <c r="AF83" s="402">
        <f>IF(AND(28&gt;=$NR$83,28&lt;=$NS$83),IF($NP$83="Single_Point",IF(28=$NR$83,$NN$83,0),IF($NP$83="Bell_Curve",$NN$83*(28-$NR$83+1)*($NS$83-28+1)/$NU$83,$NN$83/$NT$83)),0)</f>
        <v/>
      </c>
      <c r="AG83" s="402">
        <f>IF(AND(29&gt;=$NR$83,29&lt;=$NS$83),IF($NP$83="Single_Point",IF(29=$NR$83,$NN$83,0),IF($NP$83="Bell_Curve",$NN$83*(29-$NR$83+1)*($NS$83-29+1)/$NU$83,$NN$83/$NT$83)),0)</f>
        <v/>
      </c>
      <c r="AH83" s="402">
        <f>IF(AND(30&gt;=$NR$83,30&lt;=$NS$83),IF($NP$83="Single_Point",IF(30=$NR$83,$NN$83,0),IF($NP$83="Bell_Curve",$NN$83*(30-$NR$83+1)*($NS$83-30+1)/$NU$83,$NN$83/$NT$83)),0)</f>
        <v/>
      </c>
      <c r="AI83" s="402">
        <f>IF(AND(31&gt;=$NR$83,31&lt;=$NS$83),IF($NP$83="Single_Point",IF(31=$NR$83,$NN$83,0),IF($NP$83="Bell_Curve",$NN$83*(31-$NR$83+1)*($NS$83-31+1)/$NU$83,$NN$83/$NT$83)),0)</f>
        <v/>
      </c>
      <c r="AJ83" s="402">
        <f>IF(AND(32&gt;=$NR$83,32&lt;=$NS$83),IF($NP$83="Single_Point",IF(32=$NR$83,$NN$83,0),IF($NP$83="Bell_Curve",$NN$83*(32-$NR$83+1)*($NS$83-32+1)/$NU$83,$NN$83/$NT$83)),0)</f>
        <v/>
      </c>
      <c r="AK83" s="402">
        <f>IF(AND(33&gt;=$NR$83,33&lt;=$NS$83),IF($NP$83="Single_Point",IF(33=$NR$83,$NN$83,0),IF($NP$83="Bell_Curve",$NN$83*(33-$NR$83+1)*($NS$83-33+1)/$NU$83,$NN$83/$NT$83)),0)</f>
        <v/>
      </c>
      <c r="AL83" s="402">
        <f>IF(AND(34&gt;=$NR$83,34&lt;=$NS$83),IF($NP$83="Single_Point",IF(34=$NR$83,$NN$83,0),IF($NP$83="Bell_Curve",$NN$83*(34-$NR$83+1)*($NS$83-34+1)/$NU$83,$NN$83/$NT$83)),0)</f>
        <v/>
      </c>
      <c r="AM83" s="402">
        <f>IF(AND(35&gt;=$NR$83,35&lt;=$NS$83),IF($NP$83="Single_Point",IF(35=$NR$83,$NN$83,0),IF($NP$83="Bell_Curve",$NN$83*(35-$NR$83+1)*($NS$83-35+1)/$NU$83,$NN$83/$NT$83)),0)</f>
        <v/>
      </c>
      <c r="AN83" s="402">
        <f>IF(AND(36&gt;=$NR$83,36&lt;=$NS$83),IF($NP$83="Single_Point",IF(36=$NR$83,$NN$83,0),IF($NP$83="Bell_Curve",$NN$83*(36-$NR$83+1)*($NS$83-36+1)/$NU$83,$NN$83/$NT$83)),0)</f>
        <v/>
      </c>
      <c r="AO83" s="402">
        <f>IF(AND(37&gt;=$NR$83,37&lt;=$NS$83),IF($NP$83="Single_Point",IF(37=$NR$83,$NN$83,0),IF($NP$83="Bell_Curve",$NN$83*(37-$NR$83+1)*($NS$83-37+1)/$NU$83,$NN$83/$NT$83)),0)</f>
        <v/>
      </c>
      <c r="AP83" s="402">
        <f>IF(AND(38&gt;=$NR$83,38&lt;=$NS$83),IF($NP$83="Single_Point",IF(38=$NR$83,$NN$83,0),IF($NP$83="Bell_Curve",$NN$83*(38-$NR$83+1)*($NS$83-38+1)/$NU$83,$NN$83/$NT$83)),0)</f>
        <v/>
      </c>
      <c r="AQ83" s="402">
        <f>IF(AND(39&gt;=$NR$83,39&lt;=$NS$83),IF($NP$83="Single_Point",IF(39=$NR$83,$NN$83,0),IF($NP$83="Bell_Curve",$NN$83*(39-$NR$83+1)*($NS$83-39+1)/$NU$83,$NN$83/$NT$83)),0)</f>
        <v/>
      </c>
      <c r="AR83" s="402">
        <f>IF(AND(40&gt;=$NR$83,40&lt;=$NS$83),IF($NP$83="Single_Point",IF(40=$NR$83,$NN$83,0),IF($NP$83="Bell_Curve",$NN$83*(40-$NR$83+1)*($NS$83-40+1)/$NU$83,$NN$83/$NT$83)),0)</f>
        <v/>
      </c>
      <c r="AS83" s="402">
        <f>IF(AND(41&gt;=$NR$83,41&lt;=$NS$83),IF($NP$83="Single_Point",IF(41=$NR$83,$NN$83,0),IF($NP$83="Bell_Curve",$NN$83*(41-$NR$83+1)*($NS$83-41+1)/$NU$83,$NN$83/$NT$83)),0)</f>
        <v/>
      </c>
      <c r="AT83" s="402">
        <f>IF(AND(42&gt;=$NR$83,42&lt;=$NS$83),IF($NP$83="Single_Point",IF(42=$NR$83,$NN$83,0),IF($NP$83="Bell_Curve",$NN$83*(42-$NR$83+1)*($NS$83-42+1)/$NU$83,$NN$83/$NT$83)),0)</f>
        <v/>
      </c>
      <c r="AU83" s="402">
        <f>IF(AND(43&gt;=$NR$83,43&lt;=$NS$83),IF($NP$83="Single_Point",IF(43=$NR$83,$NN$83,0),IF($NP$83="Bell_Curve",$NN$83*(43-$NR$83+1)*($NS$83-43+1)/$NU$83,$NN$83/$NT$83)),0)</f>
        <v/>
      </c>
      <c r="AV83" s="402">
        <f>IF(AND(44&gt;=$NR$83,44&lt;=$NS$83),IF($NP$83="Single_Point",IF(44=$NR$83,$NN$83,0),IF($NP$83="Bell_Curve",$NN$83*(44-$NR$83+1)*($NS$83-44+1)/$NU$83,$NN$83/$NT$83)),0)</f>
        <v/>
      </c>
      <c r="AW83" s="402">
        <f>IF(AND(45&gt;=$NR$83,45&lt;=$NS$83),IF($NP$83="Single_Point",IF(45=$NR$83,$NN$83,0),IF($NP$83="Bell_Curve",$NN$83*(45-$NR$83+1)*($NS$83-45+1)/$NU$83,$NN$83/$NT$83)),0)</f>
        <v/>
      </c>
      <c r="AX83" s="402">
        <f>IF(AND(46&gt;=$NR$83,46&lt;=$NS$83),IF($NP$83="Single_Point",IF(46=$NR$83,$NN$83,0),IF($NP$83="Bell_Curve",$NN$83*(46-$NR$83+1)*($NS$83-46+1)/$NU$83,$NN$83/$NT$83)),0)</f>
        <v/>
      </c>
      <c r="AY83" s="402">
        <f>IF(AND(47&gt;=$NR$83,47&lt;=$NS$83),IF($NP$83="Single_Point",IF(47=$NR$83,$NN$83,0),IF($NP$83="Bell_Curve",$NN$83*(47-$NR$83+1)*($NS$83-47+1)/$NU$83,$NN$83/$NT$83)),0)</f>
        <v/>
      </c>
      <c r="AZ83" s="402">
        <f>IF(AND(48&gt;=$NR$83,48&lt;=$NS$83),IF($NP$83="Single_Point",IF(48=$NR$83,$NN$83,0),IF($NP$83="Bell_Curve",$NN$83*(48-$NR$83+1)*($NS$83-48+1)/$NU$83,$NN$83/$NT$83)),0)</f>
        <v/>
      </c>
      <c r="BA83" s="402">
        <f>IF(AND(49&gt;=$NR$83,49&lt;=$NS$83),IF($NP$83="Single_Point",IF(49=$NR$83,$NN$83,0),IF($NP$83="Bell_Curve",$NN$83*(49-$NR$83+1)*($NS$83-49+1)/$NU$83,$NN$83/$NT$83)),0)</f>
        <v/>
      </c>
      <c r="BB83" s="402">
        <f>IF(AND(50&gt;=$NR$83,50&lt;=$NS$83),IF($NP$83="Single_Point",IF(50=$NR$83,$NN$83,0),IF($NP$83="Bell_Curve",$NN$83*(50-$NR$83+1)*($NS$83-50+1)/$NU$83,$NN$83/$NT$83)),0)</f>
        <v/>
      </c>
      <c r="BC83" s="402">
        <f>IF(AND(51&gt;=$NR$83,51&lt;=$NS$83),IF($NP$83="Single_Point",IF(51=$NR$83,$NN$83,0),IF($NP$83="Bell_Curve",$NN$83*(51-$NR$83+1)*($NS$83-51+1)/$NU$83,$NN$83/$NT$83)),0)</f>
        <v/>
      </c>
      <c r="BD83" s="402">
        <f>IF(AND(52&gt;=$NR$83,52&lt;=$NS$83),IF($NP$83="Single_Point",IF(52=$NR$83,$NN$83,0),IF($NP$83="Bell_Curve",$NN$83*(52-$NR$83+1)*($NS$83-52+1)/$NU$83,$NN$83/$NT$83)),0)</f>
        <v/>
      </c>
      <c r="BE83" s="402">
        <f>IF(AND(53&gt;=$NR$83,53&lt;=$NS$83),IF($NP$83="Single_Point",IF(53=$NR$83,$NN$83,0),IF($NP$83="Bell_Curve",$NN$83*(53-$NR$83+1)*($NS$83-53+1)/$NU$83,$NN$83/$NT$83)),0)</f>
        <v/>
      </c>
      <c r="BF83" s="402">
        <f>IF(AND(54&gt;=$NR$83,54&lt;=$NS$83),IF($NP$83="Single_Point",IF(54=$NR$83,$NN$83,0),IF($NP$83="Bell_Curve",$NN$83*(54-$NR$83+1)*($NS$83-54+1)/$NU$83,$NN$83/$NT$83)),0)</f>
        <v/>
      </c>
      <c r="BG83" s="402">
        <f>IF(AND(55&gt;=$NR$83,55&lt;=$NS$83),IF($NP$83="Single_Point",IF(55=$NR$83,$NN$83,0),IF($NP$83="Bell_Curve",$NN$83*(55-$NR$83+1)*($NS$83-55+1)/$NU$83,$NN$83/$NT$83)),0)</f>
        <v/>
      </c>
      <c r="BH83" s="402">
        <f>IF(AND(56&gt;=$NR$83,56&lt;=$NS$83),IF($NP$83="Single_Point",IF(56=$NR$83,$NN$83,0),IF($NP$83="Bell_Curve",$NN$83*(56-$NR$83+1)*($NS$83-56+1)/$NU$83,$NN$83/$NT$83)),0)</f>
        <v/>
      </c>
      <c r="BI83" s="402">
        <f>IF(AND(57&gt;=$NR$83,57&lt;=$NS$83),IF($NP$83="Single_Point",IF(57=$NR$83,$NN$83,0),IF($NP$83="Bell_Curve",$NN$83*(57-$NR$83+1)*($NS$83-57+1)/$NU$83,$NN$83/$NT$83)),0)</f>
        <v/>
      </c>
      <c r="BJ83" s="402">
        <f>IF(AND(58&gt;=$NR$83,58&lt;=$NS$83),IF($NP$83="Single_Point",IF(58=$NR$83,$NN$83,0),IF($NP$83="Bell_Curve",$NN$83*(58-$NR$83+1)*($NS$83-58+1)/$NU$83,$NN$83/$NT$83)),0)</f>
        <v/>
      </c>
      <c r="BK83" s="402">
        <f>IF(AND(59&gt;=$NR$83,59&lt;=$NS$83),IF($NP$83="Single_Point",IF(59=$NR$83,$NN$83,0),IF($NP$83="Bell_Curve",$NN$83*(59-$NR$83+1)*($NS$83-59+1)/$NU$83,$NN$83/$NT$83)),0)</f>
        <v/>
      </c>
      <c r="BL83" s="402">
        <f>IF(AND(60&gt;=$NR$83,60&lt;=$NS$83),IF($NP$83="Single_Point",IF(60=$NR$83,$NN$83,0),IF($NP$83="Bell_Curve",$NN$83*(60-$NR$83+1)*($NS$83-60+1)/$NU$83,$NN$83/$NT$83)),0)</f>
        <v/>
      </c>
      <c r="BM83" s="402">
        <f>IF(AND(61&gt;=$NR$83,61&lt;=$NS$83),IF($NP$83="Single_Point",IF(61=$NR$83,$NN$83,0),IF($NP$83="Bell_Curve",$NN$83*(61-$NR$83+1)*($NS$83-61+1)/$NU$83,$NN$83/$NT$83)),0)</f>
        <v/>
      </c>
      <c r="BN83" s="402">
        <f>IF(AND(62&gt;=$NR$83,62&lt;=$NS$83),IF($NP$83="Single_Point",IF(62=$NR$83,$NN$83,0),IF($NP$83="Bell_Curve",$NN$83*(62-$NR$83+1)*($NS$83-62+1)/$NU$83,$NN$83/$NT$83)),0)</f>
        <v/>
      </c>
      <c r="BO83" s="402">
        <f>IF(AND(63&gt;=$NR$83,63&lt;=$NS$83),IF($NP$83="Single_Point",IF(63=$NR$83,$NN$83,0),IF($NP$83="Bell_Curve",$NN$83*(63-$NR$83+1)*($NS$83-63+1)/$NU$83,$NN$83/$NT$83)),0)</f>
        <v/>
      </c>
      <c r="BP83" s="402">
        <f>IF(AND(64&gt;=$NR$83,64&lt;=$NS$83),IF($NP$83="Single_Point",IF(64=$NR$83,$NN$83,0),IF($NP$83="Bell_Curve",$NN$83*(64-$NR$83+1)*($NS$83-64+1)/$NU$83,$NN$83/$NT$83)),0)</f>
        <v/>
      </c>
      <c r="BQ83" s="402">
        <f>IF(AND(65&gt;=$NR$83,65&lt;=$NS$83),IF($NP$83="Single_Point",IF(65=$NR$83,$NN$83,0),IF($NP$83="Bell_Curve",$NN$83*(65-$NR$83+1)*($NS$83-65+1)/$NU$83,$NN$83/$NT$83)),0)</f>
        <v/>
      </c>
      <c r="BR83" s="402">
        <f>IF(AND(66&gt;=$NR$83,66&lt;=$NS$83),IF($NP$83="Single_Point",IF(66=$NR$83,$NN$83,0),IF($NP$83="Bell_Curve",$NN$83*(66-$NR$83+1)*($NS$83-66+1)/$NU$83,$NN$83/$NT$83)),0)</f>
        <v/>
      </c>
      <c r="BS83" s="402">
        <f>IF(AND(67&gt;=$NR$83,67&lt;=$NS$83),IF($NP$83="Single_Point",IF(67=$NR$83,$NN$83,0),IF($NP$83="Bell_Curve",$NN$83*(67-$NR$83+1)*($NS$83-67+1)/$NU$83,$NN$83/$NT$83)),0)</f>
        <v/>
      </c>
      <c r="BT83" s="402">
        <f>IF(AND(68&gt;=$NR$83,68&lt;=$NS$83),IF($NP$83="Single_Point",IF(68=$NR$83,$NN$83,0),IF($NP$83="Bell_Curve",$NN$83*(68-$NR$83+1)*($NS$83-68+1)/$NU$83,$NN$83/$NT$83)),0)</f>
        <v/>
      </c>
      <c r="BU83" s="402">
        <f>IF(AND(69&gt;=$NR$83,69&lt;=$NS$83),IF($NP$83="Single_Point",IF(69=$NR$83,$NN$83,0),IF($NP$83="Bell_Curve",$NN$83*(69-$NR$83+1)*($NS$83-69+1)/$NU$83,$NN$83/$NT$83)),0)</f>
        <v/>
      </c>
      <c r="BV83" s="402">
        <f>IF(AND(70&gt;=$NR$83,70&lt;=$NS$83),IF($NP$83="Single_Point",IF(70=$NR$83,$NN$83,0),IF($NP$83="Bell_Curve",$NN$83*(70-$NR$83+1)*($NS$83-70+1)/$NU$83,$NN$83/$NT$83)),0)</f>
        <v/>
      </c>
      <c r="BW83" s="402">
        <f>IF(AND(71&gt;=$NR$83,71&lt;=$NS$83),IF($NP$83="Single_Point",IF(71=$NR$83,$NN$83,0),IF($NP$83="Bell_Curve",$NN$83*(71-$NR$83+1)*($NS$83-71+1)/$NU$83,$NN$83/$NT$83)),0)</f>
        <v/>
      </c>
      <c r="BX83" s="402">
        <f>IF(AND(72&gt;=$NR$83,72&lt;=$NS$83),IF($NP$83="Single_Point",IF(72=$NR$83,$NN$83,0),IF($NP$83="Bell_Curve",$NN$83*(72-$NR$83+1)*($NS$83-72+1)/$NU$83,$NN$83/$NT$83)),0)</f>
        <v/>
      </c>
      <c r="BY83" s="402">
        <f>IF(AND(73&gt;=$NR$83,73&lt;=$NS$83),IF($NP$83="Single_Point",IF(73=$NR$83,$NN$83,0),IF($NP$83="Bell_Curve",$NN$83*(73-$NR$83+1)*($NS$83-73+1)/$NU$83,$NN$83/$NT$83)),0)</f>
        <v/>
      </c>
      <c r="BZ83" s="402">
        <f>IF(AND(74&gt;=$NR$83,74&lt;=$NS$83),IF($NP$83="Single_Point",IF(74=$NR$83,$NN$83,0),IF($NP$83="Bell_Curve",$NN$83*(74-$NR$83+1)*($NS$83-74+1)/$NU$83,$NN$83/$NT$83)),0)</f>
        <v/>
      </c>
      <c r="CA83" s="402">
        <f>IF(AND(75&gt;=$NR$83,75&lt;=$NS$83),IF($NP$83="Single_Point",IF(75=$NR$83,$NN$83,0),IF($NP$83="Bell_Curve",$NN$83*(75-$NR$83+1)*($NS$83-75+1)/$NU$83,$NN$83/$NT$83)),0)</f>
        <v/>
      </c>
      <c r="CB83" s="402">
        <f>IF(AND(76&gt;=$NR$83,76&lt;=$NS$83),IF($NP$83="Single_Point",IF(76=$NR$83,$NN$83,0),IF($NP$83="Bell_Curve",$NN$83*(76-$NR$83+1)*($NS$83-76+1)/$NU$83,$NN$83/$NT$83)),0)</f>
        <v/>
      </c>
      <c r="CC83" s="402">
        <f>IF(AND(77&gt;=$NR$83,77&lt;=$NS$83),IF($NP$83="Single_Point",IF(77=$NR$83,$NN$83,0),IF($NP$83="Bell_Curve",$NN$83*(77-$NR$83+1)*($NS$83-77+1)/$NU$83,$NN$83/$NT$83)),0)</f>
        <v/>
      </c>
      <c r="CD83" s="402">
        <f>IF(AND(78&gt;=$NR$83,78&lt;=$NS$83),IF($NP$83="Single_Point",IF(78=$NR$83,$NN$83,0),IF($NP$83="Bell_Curve",$NN$83*(78-$NR$83+1)*($NS$83-78+1)/$NU$83,$NN$83/$NT$83)),0)</f>
        <v/>
      </c>
      <c r="CE83" s="402">
        <f>IF(AND(79&gt;=$NR$83,79&lt;=$NS$83),IF($NP$83="Single_Point",IF(79=$NR$83,$NN$83,0),IF($NP$83="Bell_Curve",$NN$83*(79-$NR$83+1)*($NS$83-79+1)/$NU$83,$NN$83/$NT$83)),0)</f>
        <v/>
      </c>
      <c r="CF83" s="402">
        <f>IF(AND(80&gt;=$NR$83,80&lt;=$NS$83),IF($NP$83="Single_Point",IF(80=$NR$83,$NN$83,0),IF($NP$83="Bell_Curve",$NN$83*(80-$NR$83+1)*($NS$83-80+1)/$NU$83,$NN$83/$NT$83)),0)</f>
        <v/>
      </c>
      <c r="CG83" s="402">
        <f>IF(AND(81&gt;=$NR$83,81&lt;=$NS$83),IF($NP$83="Single_Point",IF(81=$NR$83,$NN$83,0),IF($NP$83="Bell_Curve",$NN$83*(81-$NR$83+1)*($NS$83-81+1)/$NU$83,$NN$83/$NT$83)),0)</f>
        <v/>
      </c>
      <c r="CH83" s="402">
        <f>IF(AND(82&gt;=$NR$83,82&lt;=$NS$83),IF($NP$83="Single_Point",IF(82=$NR$83,$NN$83,0),IF($NP$83="Bell_Curve",$NN$83*(82-$NR$83+1)*($NS$83-82+1)/$NU$83,$NN$83/$NT$83)),0)</f>
        <v/>
      </c>
      <c r="CI83" s="402">
        <f>IF(AND(83&gt;=$NR$83,83&lt;=$NS$83),IF($NP$83="Single_Point",IF(83=$NR$83,$NN$83,0),IF($NP$83="Bell_Curve",$NN$83*(83-$NR$83+1)*($NS$83-83+1)/$NU$83,$NN$83/$NT$83)),0)</f>
        <v/>
      </c>
      <c r="CJ83" s="402">
        <f>IF(AND(84&gt;=$NR$83,84&lt;=$NS$83),IF($NP$83="Single_Point",IF(84=$NR$83,$NN$83,0),IF($NP$83="Bell_Curve",$NN$83*(84-$NR$83+1)*($NS$83-84+1)/$NU$83,$NN$83/$NT$83)),0)</f>
        <v/>
      </c>
      <c r="CK83" s="402">
        <f>IF(AND(85&gt;=$NR$83,85&lt;=$NS$83),IF($NP$83="Single_Point",IF(85=$NR$83,$NN$83,0),IF($NP$83="Bell_Curve",$NN$83*(85-$NR$83+1)*($NS$83-85+1)/$NU$83,$NN$83/$NT$83)),0)</f>
        <v/>
      </c>
      <c r="CL83" s="402">
        <f>IF(AND(86&gt;=$NR$83,86&lt;=$NS$83),IF($NP$83="Single_Point",IF(86=$NR$83,$NN$83,0),IF($NP$83="Bell_Curve",$NN$83*(86-$NR$83+1)*($NS$83-86+1)/$NU$83,$NN$83/$NT$83)),0)</f>
        <v/>
      </c>
      <c r="CM83" s="402">
        <f>IF(AND(87&gt;=$NR$83,87&lt;=$NS$83),IF($NP$83="Single_Point",IF(87=$NR$83,$NN$83,0),IF($NP$83="Bell_Curve",$NN$83*(87-$NR$83+1)*($NS$83-87+1)/$NU$83,$NN$83/$NT$83)),0)</f>
        <v/>
      </c>
      <c r="CN83" s="402">
        <f>IF(AND(88&gt;=$NR$83,88&lt;=$NS$83),IF($NP$83="Single_Point",IF(88=$NR$83,$NN$83,0),IF($NP$83="Bell_Curve",$NN$83*(88-$NR$83+1)*($NS$83-88+1)/$NU$83,$NN$83/$NT$83)),0)</f>
        <v/>
      </c>
      <c r="CO83" s="402">
        <f>IF(AND(89&gt;=$NR$83,89&lt;=$NS$83),IF($NP$83="Single_Point",IF(89=$NR$83,$NN$83,0),IF($NP$83="Bell_Curve",$NN$83*(89-$NR$83+1)*($NS$83-89+1)/$NU$83,$NN$83/$NT$83)),0)</f>
        <v/>
      </c>
      <c r="CP83" s="402">
        <f>IF(AND(90&gt;=$NR$83,90&lt;=$NS$83),IF($NP$83="Single_Point",IF(90=$NR$83,$NN$83,0),IF($NP$83="Bell_Curve",$NN$83*(90-$NR$83+1)*($NS$83-90+1)/$NU$83,$NN$83/$NT$83)),0)</f>
        <v/>
      </c>
      <c r="CQ83" s="402">
        <f>IF(AND(91&gt;=$NR$83,91&lt;=$NS$83),IF($NP$83="Single_Point",IF(91=$NR$83,$NN$83,0),IF($NP$83="Bell_Curve",$NN$83*(91-$NR$83+1)*($NS$83-91+1)/$NU$83,$NN$83/$NT$83)),0)</f>
        <v/>
      </c>
      <c r="CR83" s="402">
        <f>IF(AND(92&gt;=$NR$83,92&lt;=$NS$83),IF($NP$83="Single_Point",IF(92=$NR$83,$NN$83,0),IF($NP$83="Bell_Curve",$NN$83*(92-$NR$83+1)*($NS$83-92+1)/$NU$83,$NN$83/$NT$83)),0)</f>
        <v/>
      </c>
      <c r="CS83" s="402">
        <f>IF(AND(93&gt;=$NR$83,93&lt;=$NS$83),IF($NP$83="Single_Point",IF(93=$NR$83,$NN$83,0),IF($NP$83="Bell_Curve",$NN$83*(93-$NR$83+1)*($NS$83-93+1)/$NU$83,$NN$83/$NT$83)),0)</f>
        <v/>
      </c>
      <c r="CT83" s="402">
        <f>IF(AND(94&gt;=$NR$83,94&lt;=$NS$83),IF($NP$83="Single_Point",IF(94=$NR$83,$NN$83,0),IF($NP$83="Bell_Curve",$NN$83*(94-$NR$83+1)*($NS$83-94+1)/$NU$83,$NN$83/$NT$83)),0)</f>
        <v/>
      </c>
      <c r="CU83" s="402">
        <f>IF(AND(95&gt;=$NR$83,95&lt;=$NS$83),IF($NP$83="Single_Point",IF(95=$NR$83,$NN$83,0),IF($NP$83="Bell_Curve",$NN$83*(95-$NR$83+1)*($NS$83-95+1)/$NU$83,$NN$83/$NT$83)),0)</f>
        <v/>
      </c>
      <c r="CV83" s="402">
        <f>IF(AND(96&gt;=$NR$83,96&lt;=$NS$83),IF($NP$83="Single_Point",IF(96=$NR$83,$NN$83,0),IF($NP$83="Bell_Curve",$NN$83*(96-$NR$83+1)*($NS$83-96+1)/$NU$83,$NN$83/$NT$83)),0)</f>
        <v/>
      </c>
      <c r="CW83" s="402">
        <f>IF(AND(97&gt;=$NR$83,97&lt;=$NS$83),IF($NP$83="Single_Point",IF(97=$NR$83,$NN$83,0),IF($NP$83="Bell_Curve",$NN$83*(97-$NR$83+1)*($NS$83-97+1)/$NU$83,$NN$83/$NT$83)),0)</f>
        <v/>
      </c>
      <c r="CX83" s="402">
        <f>IF(AND(98&gt;=$NR$83,98&lt;=$NS$83),IF($NP$83="Single_Point",IF(98=$NR$83,$NN$83,0),IF($NP$83="Bell_Curve",$NN$83*(98-$NR$83+1)*($NS$83-98+1)/$NU$83,$NN$83/$NT$83)),0)</f>
        <v/>
      </c>
      <c r="CY83" s="402">
        <f>IF(AND(99&gt;=$NR$83,99&lt;=$NS$83),IF($NP$83="Single_Point",IF(99=$NR$83,$NN$83,0),IF($NP$83="Bell_Curve",$NN$83*(99-$NR$83+1)*($NS$83-99+1)/$NU$83,$NN$83/$NT$83)),0)</f>
        <v/>
      </c>
      <c r="CZ83" s="402">
        <f>IF(AND(100&gt;=$NR$83,100&lt;=$NS$83),IF($NP$83="Single_Point",IF(100=$NR$83,$NN$83,0),IF($NP$83="Bell_Curve",$NN$83*(100-$NR$83+1)*($NS$83-100+1)/$NU$83,$NN$83/$NT$83)),0)</f>
        <v/>
      </c>
      <c r="DA83" s="402">
        <f>IF(AND(101&gt;=$NR$83,101&lt;=$NS$83),IF($NP$83="Single_Point",IF(101=$NR$83,$NN$83,0),IF($NP$83="Bell_Curve",$NN$83*(101-$NR$83+1)*($NS$83-101+1)/$NU$83,$NN$83/$NT$83)),0)</f>
        <v/>
      </c>
      <c r="DB83" s="402">
        <f>IF(AND(102&gt;=$NR$83,102&lt;=$NS$83),IF($NP$83="Single_Point",IF(102=$NR$83,$NN$83,0),IF($NP$83="Bell_Curve",$NN$83*(102-$NR$83+1)*($NS$83-102+1)/$NU$83,$NN$83/$NT$83)),0)</f>
        <v/>
      </c>
      <c r="DC83" s="402">
        <f>IF(AND(103&gt;=$NR$83,103&lt;=$NS$83),IF($NP$83="Single_Point",IF(103=$NR$83,$NN$83,0),IF($NP$83="Bell_Curve",$NN$83*(103-$NR$83+1)*($NS$83-103+1)/$NU$83,$NN$83/$NT$83)),0)</f>
        <v/>
      </c>
      <c r="DD83" s="402">
        <f>IF(AND(104&gt;=$NR$83,104&lt;=$NS$83),IF($NP$83="Single_Point",IF(104=$NR$83,$NN$83,0),IF($NP$83="Bell_Curve",$NN$83*(104-$NR$83+1)*($NS$83-104+1)/$NU$83,$NN$83/$NT$83)),0)</f>
        <v/>
      </c>
      <c r="DE83" s="402">
        <f>IF(AND(105&gt;=$NR$83,105&lt;=$NS$83),IF($NP$83="Single_Point",IF(105=$NR$83,$NN$83,0),IF($NP$83="Bell_Curve",$NN$83*(105-$NR$83+1)*($NS$83-105+1)/$NU$83,$NN$83/$NT$83)),0)</f>
        <v/>
      </c>
      <c r="DF83" s="402">
        <f>IF(AND(106&gt;=$NR$83,106&lt;=$NS$83),IF($NP$83="Single_Point",IF(106=$NR$83,$NN$83,0),IF($NP$83="Bell_Curve",$NN$83*(106-$NR$83+1)*($NS$83-106+1)/$NU$83,$NN$83/$NT$83)),0)</f>
        <v/>
      </c>
      <c r="DG83" s="402">
        <f>IF(AND(107&gt;=$NR$83,107&lt;=$NS$83),IF($NP$83="Single_Point",IF(107=$NR$83,$NN$83,0),IF($NP$83="Bell_Curve",$NN$83*(107-$NR$83+1)*($NS$83-107+1)/$NU$83,$NN$83/$NT$83)),0)</f>
        <v/>
      </c>
      <c r="DH83" s="402">
        <f>IF(AND(108&gt;=$NR$83,108&lt;=$NS$83),IF($NP$83="Single_Point",IF(108=$NR$83,$NN$83,0),IF($NP$83="Bell_Curve",$NN$83*(108-$NR$83+1)*($NS$83-108+1)/$NU$83,$NN$83/$NT$83)),0)</f>
        <v/>
      </c>
      <c r="DI83" s="402">
        <f>IF(AND(109&gt;=$NR$83,109&lt;=$NS$83),IF($NP$83="Single_Point",IF(109=$NR$83,$NN$83,0),IF($NP$83="Bell_Curve",$NN$83*(109-$NR$83+1)*($NS$83-109+1)/$NU$83,$NN$83/$NT$83)),0)</f>
        <v/>
      </c>
      <c r="DJ83" s="402">
        <f>IF(AND(110&gt;=$NR$83,110&lt;=$NS$83),IF($NP$83="Single_Point",IF(110=$NR$83,$NN$83,0),IF($NP$83="Bell_Curve",$NN$83*(110-$NR$83+1)*($NS$83-110+1)/$NU$83,$NN$83/$NT$83)),0)</f>
        <v/>
      </c>
      <c r="DK83" s="402">
        <f>IF(AND(111&gt;=$NR$83,111&lt;=$NS$83),IF($NP$83="Single_Point",IF(111=$NR$83,$NN$83,0),IF($NP$83="Bell_Curve",$NN$83*(111-$NR$83+1)*($NS$83-111+1)/$NU$83,$NN$83/$NT$83)),0)</f>
        <v/>
      </c>
      <c r="DL83" s="402">
        <f>IF(AND(112&gt;=$NR$83,112&lt;=$NS$83),IF($NP$83="Single_Point",IF(112=$NR$83,$NN$83,0),IF($NP$83="Bell_Curve",$NN$83*(112-$NR$83+1)*($NS$83-112+1)/$NU$83,$NN$83/$NT$83)),0)</f>
        <v/>
      </c>
      <c r="DM83" s="402">
        <f>IF(AND(113&gt;=$NR$83,113&lt;=$NS$83),IF($NP$83="Single_Point",IF(113=$NR$83,$NN$83,0),IF($NP$83="Bell_Curve",$NN$83*(113-$NR$83+1)*($NS$83-113+1)/$NU$83,$NN$83/$NT$83)),0)</f>
        <v/>
      </c>
      <c r="DN83" s="402">
        <f>IF(AND(114&gt;=$NR$83,114&lt;=$NS$83),IF($NP$83="Single_Point",IF(114=$NR$83,$NN$83,0),IF($NP$83="Bell_Curve",$NN$83*(114-$NR$83+1)*($NS$83-114+1)/$NU$83,$NN$83/$NT$83)),0)</f>
        <v/>
      </c>
      <c r="DO83" s="402">
        <f>IF(AND(115&gt;=$NR$83,115&lt;=$NS$83),IF($NP$83="Single_Point",IF(115=$NR$83,$NN$83,0),IF($NP$83="Bell_Curve",$NN$83*(115-$NR$83+1)*($NS$83-115+1)/$NU$83,$NN$83/$NT$83)),0)</f>
        <v/>
      </c>
      <c r="DP83" s="402">
        <f>IF(AND(116&gt;=$NR$83,116&lt;=$NS$83),IF($NP$83="Single_Point",IF(116=$NR$83,$NN$83,0),IF($NP$83="Bell_Curve",$NN$83*(116-$NR$83+1)*($NS$83-116+1)/$NU$83,$NN$83/$NT$83)),0)</f>
        <v/>
      </c>
      <c r="DQ83" s="402">
        <f>IF(AND(117&gt;=$NR$83,117&lt;=$NS$83),IF($NP$83="Single_Point",IF(117=$NR$83,$NN$83,0),IF($NP$83="Bell_Curve",$NN$83*(117-$NR$83+1)*($NS$83-117+1)/$NU$83,$NN$83/$NT$83)),0)</f>
        <v/>
      </c>
      <c r="DR83" s="402">
        <f>IF(AND(118&gt;=$NR$83,118&lt;=$NS$83),IF($NP$83="Single_Point",IF(118=$NR$83,$NN$83,0),IF($NP$83="Bell_Curve",$NN$83*(118-$NR$83+1)*($NS$83-118+1)/$NU$83,$NN$83/$NT$83)),0)</f>
        <v/>
      </c>
      <c r="DS83" s="402">
        <f>IF(AND(119&gt;=$NR$83,119&lt;=$NS$83),IF($NP$83="Single_Point",IF(119=$NR$83,$NN$83,0),IF($NP$83="Bell_Curve",$NN$83*(119-$NR$83+1)*($NS$83-119+1)/$NU$83,$NN$83/$NT$83)),0)</f>
        <v/>
      </c>
      <c r="DT83" s="402">
        <f>IF(AND(120&gt;=$NR$83,120&lt;=$NS$83),IF($NP$83="Single_Point",IF(120=$NR$83,$NN$83,0),IF($NP$83="Bell_Curve",$NN$83*(120-$NR$83+1)*($NS$83-120+1)/$NU$83,$NN$83/$NT$83)),0)</f>
        <v/>
      </c>
      <c r="DU83" s="402">
        <f>IF(AND(121&gt;=$NR$83,121&lt;=$NS$83),IF($NP$83="Single_Point",IF(121=$NR$83,$NN$83,0),IF($NP$83="Bell_Curve",$NN$83*(121-$NR$83+1)*($NS$83-121+1)/$NU$83,$NN$83/$NT$83)),0)</f>
        <v/>
      </c>
      <c r="DV83" s="402">
        <f>IF(AND(122&gt;=$NR$83,122&lt;=$NS$83),IF($NP$83="Single_Point",IF(122=$NR$83,$NN$83,0),IF($NP$83="Bell_Curve",$NN$83*(122-$NR$83+1)*($NS$83-122+1)/$NU$83,$NN$83/$NT$83)),0)</f>
        <v/>
      </c>
      <c r="DW83" s="402">
        <f>IF(AND(123&gt;=$NR$83,123&lt;=$NS$83),IF($NP$83="Single_Point",IF(123=$NR$83,$NN$83,0),IF($NP$83="Bell_Curve",$NN$83*(123-$NR$83+1)*($NS$83-123+1)/$NU$83,$NN$83/$NT$83)),0)</f>
        <v/>
      </c>
      <c r="DX83" s="402">
        <f>IF(AND(124&gt;=$NR$83,124&lt;=$NS$83),IF($NP$83="Single_Point",IF(124=$NR$83,$NN$83,0),IF($NP$83="Bell_Curve",$NN$83*(124-$NR$83+1)*($NS$83-124+1)/$NU$83,$NN$83/$NT$83)),0)</f>
        <v/>
      </c>
      <c r="DY83" s="402">
        <f>IF(AND(125&gt;=$NR$83,125&lt;=$NS$83),IF($NP$83="Single_Point",IF(125=$NR$83,$NN$83,0),IF($NP$83="Bell_Curve",$NN$83*(125-$NR$83+1)*($NS$83-125+1)/$NU$83,$NN$83/$NT$83)),0)</f>
        <v/>
      </c>
      <c r="DZ83" s="402">
        <f>IF(AND(126&gt;=$NR$83,126&lt;=$NS$83),IF($NP$83="Single_Point",IF(126=$NR$83,$NN$83,0),IF($NP$83="Bell_Curve",$NN$83*(126-$NR$83+1)*($NS$83-126+1)/$NU$83,$NN$83/$NT$83)),0)</f>
        <v/>
      </c>
      <c r="EA83" s="402">
        <f>IF(AND(127&gt;=$NR$83,127&lt;=$NS$83),IF($NP$83="Single_Point",IF(127=$NR$83,$NN$83,0),IF($NP$83="Bell_Curve",$NN$83*(127-$NR$83+1)*($NS$83-127+1)/$NU$83,$NN$83/$NT$83)),0)</f>
        <v/>
      </c>
      <c r="EB83" s="402">
        <f>IF(AND(128&gt;=$NR$83,128&lt;=$NS$83),IF($NP$83="Single_Point",IF(128=$NR$83,$NN$83,0),IF($NP$83="Bell_Curve",$NN$83*(128-$NR$83+1)*($NS$83-128+1)/$NU$83,$NN$83/$NT$83)),0)</f>
        <v/>
      </c>
      <c r="EC83" s="402">
        <f>IF(AND(129&gt;=$NR$83,129&lt;=$NS$83),IF($NP$83="Single_Point",IF(129=$NR$83,$NN$83,0),IF($NP$83="Bell_Curve",$NN$83*(129-$NR$83+1)*($NS$83-129+1)/$NU$83,$NN$83/$NT$83)),0)</f>
        <v/>
      </c>
      <c r="ED83" s="402">
        <f>IF(AND(130&gt;=$NR$83,130&lt;=$NS$83),IF($NP$83="Single_Point",IF(130=$NR$83,$NN$83,0),IF($NP$83="Bell_Curve",$NN$83*(130-$NR$83+1)*($NS$83-130+1)/$NU$83,$NN$83/$NT$83)),0)</f>
        <v/>
      </c>
      <c r="EE83" s="402">
        <f>IF(AND(131&gt;=$NR$83,131&lt;=$NS$83),IF($NP$83="Single_Point",IF(131=$NR$83,$NN$83,0),IF($NP$83="Bell_Curve",$NN$83*(131-$NR$83+1)*($NS$83-131+1)/$NU$83,$NN$83/$NT$83)),0)</f>
        <v/>
      </c>
      <c r="EF83" s="402">
        <f>IF(AND(132&gt;=$NR$83,132&lt;=$NS$83),IF($NP$83="Single_Point",IF(132=$NR$83,$NN$83,0),IF($NP$83="Bell_Curve",$NN$83*(132-$NR$83+1)*($NS$83-132+1)/$NU$83,$NN$83/$NT$83)),0)</f>
        <v/>
      </c>
      <c r="EG83" s="402">
        <f>IF(AND(133&gt;=$NR$83,133&lt;=$NS$83),IF($NP$83="Single_Point",IF(133=$NR$83,$NN$83,0),IF($NP$83="Bell_Curve",$NN$83*(133-$NR$83+1)*($NS$83-133+1)/$NU$83,$NN$83/$NT$83)),0)</f>
        <v/>
      </c>
      <c r="EH83" s="402">
        <f>IF(AND(134&gt;=$NR$83,134&lt;=$NS$83),IF($NP$83="Single_Point",IF(134=$NR$83,$NN$83,0),IF($NP$83="Bell_Curve",$NN$83*(134-$NR$83+1)*($NS$83-134+1)/$NU$83,$NN$83/$NT$83)),0)</f>
        <v/>
      </c>
      <c r="EI83" s="402">
        <f>IF(AND(135&gt;=$NR$83,135&lt;=$NS$83),IF($NP$83="Single_Point",IF(135=$NR$83,$NN$83,0),IF($NP$83="Bell_Curve",$NN$83*(135-$NR$83+1)*($NS$83-135+1)/$NU$83,$NN$83/$NT$83)),0)</f>
        <v/>
      </c>
      <c r="EJ83" s="402">
        <f>IF(AND(136&gt;=$NR$83,136&lt;=$NS$83),IF($NP$83="Single_Point",IF(136=$NR$83,$NN$83,0),IF($NP$83="Bell_Curve",$NN$83*(136-$NR$83+1)*($NS$83-136+1)/$NU$83,$NN$83/$NT$83)),0)</f>
        <v/>
      </c>
      <c r="EK83" s="402">
        <f>IF(AND(137&gt;=$NR$83,137&lt;=$NS$83),IF($NP$83="Single_Point",IF(137=$NR$83,$NN$83,0),IF($NP$83="Bell_Curve",$NN$83*(137-$NR$83+1)*($NS$83-137+1)/$NU$83,$NN$83/$NT$83)),0)</f>
        <v/>
      </c>
      <c r="EL83" s="402">
        <f>IF(AND(138&gt;=$NR$83,138&lt;=$NS$83),IF($NP$83="Single_Point",IF(138=$NR$83,$NN$83,0),IF($NP$83="Bell_Curve",$NN$83*(138-$NR$83+1)*($NS$83-138+1)/$NU$83,$NN$83/$NT$83)),0)</f>
        <v/>
      </c>
      <c r="EM83" s="402">
        <f>IF(AND(139&gt;=$NR$83,139&lt;=$NS$83),IF($NP$83="Single_Point",IF(139=$NR$83,$NN$83,0),IF($NP$83="Bell_Curve",$NN$83*(139-$NR$83+1)*($NS$83-139+1)/$NU$83,$NN$83/$NT$83)),0)</f>
        <v/>
      </c>
      <c r="EN83" s="402">
        <f>IF(AND(140&gt;=$NR$83,140&lt;=$NS$83),IF($NP$83="Single_Point",IF(140=$NR$83,$NN$83,0),IF($NP$83="Bell_Curve",$NN$83*(140-$NR$83+1)*($NS$83-140+1)/$NU$83,$NN$83/$NT$83)),0)</f>
        <v/>
      </c>
      <c r="EO83" s="402">
        <f>IF(AND(141&gt;=$NR$83,141&lt;=$NS$83),IF($NP$83="Single_Point",IF(141=$NR$83,$NN$83,0),IF($NP$83="Bell_Curve",$NN$83*(141-$NR$83+1)*($NS$83-141+1)/$NU$83,$NN$83/$NT$83)),0)</f>
        <v/>
      </c>
      <c r="EP83" s="402">
        <f>IF(AND(142&gt;=$NR$83,142&lt;=$NS$83),IF($NP$83="Single_Point",IF(142=$NR$83,$NN$83,0),IF($NP$83="Bell_Curve",$NN$83*(142-$NR$83+1)*($NS$83-142+1)/$NU$83,$NN$83/$NT$83)),0)</f>
        <v/>
      </c>
      <c r="EQ83" s="402">
        <f>IF(AND(143&gt;=$NR$83,143&lt;=$NS$83),IF($NP$83="Single_Point",IF(143=$NR$83,$NN$83,0),IF($NP$83="Bell_Curve",$NN$83*(143-$NR$83+1)*($NS$83-143+1)/$NU$83,$NN$83/$NT$83)),0)</f>
        <v/>
      </c>
      <c r="ER83" s="402">
        <f>IF(AND(144&gt;=$NR$83,144&lt;=$NS$83),IF($NP$83="Single_Point",IF(144=$NR$83,$NN$83,0),IF($NP$83="Bell_Curve",$NN$83*(144-$NR$83+1)*($NS$83-144+1)/$NU$83,$NN$83/$NT$83)),0)</f>
        <v/>
      </c>
      <c r="ES83" s="402">
        <f>IF(AND(145&gt;=$NR$83,145&lt;=$NS$83),IF($NP$83="Single_Point",IF(145=$NR$83,$NN$83,0),IF($NP$83="Bell_Curve",$NN$83*(145-$NR$83+1)*($NS$83-145+1)/$NU$83,$NN$83/$NT$83)),0)</f>
        <v/>
      </c>
      <c r="ET83" s="402">
        <f>IF(AND(146&gt;=$NR$83,146&lt;=$NS$83),IF($NP$83="Single_Point",IF(146=$NR$83,$NN$83,0),IF($NP$83="Bell_Curve",$NN$83*(146-$NR$83+1)*($NS$83-146+1)/$NU$83,$NN$83/$NT$83)),0)</f>
        <v/>
      </c>
      <c r="EU83" s="402">
        <f>IF(AND(147&gt;=$NR$83,147&lt;=$NS$83),IF($NP$83="Single_Point",IF(147=$NR$83,$NN$83,0),IF($NP$83="Bell_Curve",$NN$83*(147-$NR$83+1)*($NS$83-147+1)/$NU$83,$NN$83/$NT$83)),0)</f>
        <v/>
      </c>
      <c r="EV83" s="402">
        <f>IF(AND(148&gt;=$NR$83,148&lt;=$NS$83),IF($NP$83="Single_Point",IF(148=$NR$83,$NN$83,0),IF($NP$83="Bell_Curve",$NN$83*(148-$NR$83+1)*($NS$83-148+1)/$NU$83,$NN$83/$NT$83)),0)</f>
        <v/>
      </c>
      <c r="EW83" s="402">
        <f>IF(AND(149&gt;=$NR$83,149&lt;=$NS$83),IF($NP$83="Single_Point",IF(149=$NR$83,$NN$83,0),IF($NP$83="Bell_Curve",$NN$83*(149-$NR$83+1)*($NS$83-149+1)/$NU$83,$NN$83/$NT$83)),0)</f>
        <v/>
      </c>
      <c r="EX83" s="402">
        <f>IF(AND(150&gt;=$NR$83,150&lt;=$NS$83),IF($NP$83="Single_Point",IF(150=$NR$83,$NN$83,0),IF($NP$83="Bell_Curve",$NN$83*(150-$NR$83+1)*($NS$83-150+1)/$NU$83,$NN$83/$NT$83)),0)</f>
        <v/>
      </c>
      <c r="EY83" s="402">
        <f>IF(AND(151&gt;=$NR$83,151&lt;=$NS$83),IF($NP$83="Single_Point",IF(151=$NR$83,$NN$83,0),IF($NP$83="Bell_Curve",$NN$83*(151-$NR$83+1)*($NS$83-151+1)/$NU$83,$NN$83/$NT$83)),0)</f>
        <v/>
      </c>
      <c r="EZ83" s="402">
        <f>IF(AND(152&gt;=$NR$83,152&lt;=$NS$83),IF($NP$83="Single_Point",IF(152=$NR$83,$NN$83,0),IF($NP$83="Bell_Curve",$NN$83*(152-$NR$83+1)*($NS$83-152+1)/$NU$83,$NN$83/$NT$83)),0)</f>
        <v/>
      </c>
      <c r="FA83" s="402">
        <f>IF(AND(153&gt;=$NR$83,153&lt;=$NS$83),IF($NP$83="Single_Point",IF(153=$NR$83,$NN$83,0),IF($NP$83="Bell_Curve",$NN$83*(153-$NR$83+1)*($NS$83-153+1)/$NU$83,$NN$83/$NT$83)),0)</f>
        <v/>
      </c>
      <c r="FB83" s="402">
        <f>IF(AND(154&gt;=$NR$83,154&lt;=$NS$83),IF($NP$83="Single_Point",IF(154=$NR$83,$NN$83,0),IF($NP$83="Bell_Curve",$NN$83*(154-$NR$83+1)*($NS$83-154+1)/$NU$83,$NN$83/$NT$83)),0)</f>
        <v/>
      </c>
      <c r="FC83" s="402">
        <f>IF(AND(155&gt;=$NR$83,155&lt;=$NS$83),IF($NP$83="Single_Point",IF(155=$NR$83,$NN$83,0),IF($NP$83="Bell_Curve",$NN$83*(155-$NR$83+1)*($NS$83-155+1)/$NU$83,$NN$83/$NT$83)),0)</f>
        <v/>
      </c>
      <c r="FD83" s="402">
        <f>IF(AND(156&gt;=$NR$83,156&lt;=$NS$83),IF($NP$83="Single_Point",IF(156=$NR$83,$NN$83,0),IF($NP$83="Bell_Curve",$NN$83*(156-$NR$83+1)*($NS$83-156+1)/$NU$83,$NN$83/$NT$83)),0)</f>
        <v/>
      </c>
      <c r="FE83" s="402">
        <f>IF(AND(157&gt;=$NR$83,157&lt;=$NS$83),IF($NP$83="Single_Point",IF(157=$NR$83,$NN$83,0),IF($NP$83="Bell_Curve",$NN$83*(157-$NR$83+1)*($NS$83-157+1)/$NU$83,$NN$83/$NT$83)),0)</f>
        <v/>
      </c>
      <c r="FF83" s="402">
        <f>IF(AND(158&gt;=$NR$83,158&lt;=$NS$83),IF($NP$83="Single_Point",IF(158=$NR$83,$NN$83,0),IF($NP$83="Bell_Curve",$NN$83*(158-$NR$83+1)*($NS$83-158+1)/$NU$83,$NN$83/$NT$83)),0)</f>
        <v/>
      </c>
      <c r="FG83" s="402">
        <f>IF(AND(159&gt;=$NR$83,159&lt;=$NS$83),IF($NP$83="Single_Point",IF(159=$NR$83,$NN$83,0),IF($NP$83="Bell_Curve",$NN$83*(159-$NR$83+1)*($NS$83-159+1)/$NU$83,$NN$83/$NT$83)),0)</f>
        <v/>
      </c>
      <c r="FH83" s="402">
        <f>IF(AND(160&gt;=$NR$83,160&lt;=$NS$83),IF($NP$83="Single_Point",IF(160=$NR$83,$NN$83,0),IF($NP$83="Bell_Curve",$NN$83*(160-$NR$83+1)*($NS$83-160+1)/$NU$83,$NN$83/$NT$83)),0)</f>
        <v/>
      </c>
      <c r="FI83" s="402">
        <f>IF(AND(161&gt;=$NR$83,161&lt;=$NS$83),IF($NP$83="Single_Point",IF(161=$NR$83,$NN$83,0),IF($NP$83="Bell_Curve",$NN$83*(161-$NR$83+1)*($NS$83-161+1)/$NU$83,$NN$83/$NT$83)),0)</f>
        <v/>
      </c>
      <c r="FJ83" s="402">
        <f>IF(AND(162&gt;=$NR$83,162&lt;=$NS$83),IF($NP$83="Single_Point",IF(162=$NR$83,$NN$83,0),IF($NP$83="Bell_Curve",$NN$83*(162-$NR$83+1)*($NS$83-162+1)/$NU$83,$NN$83/$NT$83)),0)</f>
        <v/>
      </c>
      <c r="FK83" s="402">
        <f>IF(AND(163&gt;=$NR$83,163&lt;=$NS$83),IF($NP$83="Single_Point",IF(163=$NR$83,$NN$83,0),IF($NP$83="Bell_Curve",$NN$83*(163-$NR$83+1)*($NS$83-163+1)/$NU$83,$NN$83/$NT$83)),0)</f>
        <v/>
      </c>
      <c r="FL83" s="402">
        <f>IF(AND(164&gt;=$NR$83,164&lt;=$NS$83),IF($NP$83="Single_Point",IF(164=$NR$83,$NN$83,0),IF($NP$83="Bell_Curve",$NN$83*(164-$NR$83+1)*($NS$83-164+1)/$NU$83,$NN$83/$NT$83)),0)</f>
        <v/>
      </c>
      <c r="FM83" s="402">
        <f>IF(AND(165&gt;=$NR$83,165&lt;=$NS$83),IF($NP$83="Single_Point",IF(165=$NR$83,$NN$83,0),IF($NP$83="Bell_Curve",$NN$83*(165-$NR$83+1)*($NS$83-165+1)/$NU$83,$NN$83/$NT$83)),0)</f>
        <v/>
      </c>
      <c r="FN83" s="402">
        <f>IF(AND(166&gt;=$NR$83,166&lt;=$NS$83),IF($NP$83="Single_Point",IF(166=$NR$83,$NN$83,0),IF($NP$83="Bell_Curve",$NN$83*(166-$NR$83+1)*($NS$83-166+1)/$NU$83,$NN$83/$NT$83)),0)</f>
        <v/>
      </c>
      <c r="FO83" s="402">
        <f>IF(AND(167&gt;=$NR$83,167&lt;=$NS$83),IF($NP$83="Single_Point",IF(167=$NR$83,$NN$83,0),IF($NP$83="Bell_Curve",$NN$83*(167-$NR$83+1)*($NS$83-167+1)/$NU$83,$NN$83/$NT$83)),0)</f>
        <v/>
      </c>
      <c r="FP83" s="402">
        <f>IF(AND(168&gt;=$NR$83,168&lt;=$NS$83),IF($NP$83="Single_Point",IF(168=$NR$83,$NN$83,0),IF($NP$83="Bell_Curve",$NN$83*(168-$NR$83+1)*($NS$83-168+1)/$NU$83,$NN$83/$NT$83)),0)</f>
        <v/>
      </c>
      <c r="FQ83" s="402">
        <f>IF(AND(169&gt;=$NR$83,169&lt;=$NS$83),IF($NP$83="Single_Point",IF(169=$NR$83,$NN$83,0),IF($NP$83="Bell_Curve",$NN$83*(169-$NR$83+1)*($NS$83-169+1)/$NU$83,$NN$83/$NT$83)),0)</f>
        <v/>
      </c>
      <c r="FR83" s="402">
        <f>IF(AND(170&gt;=$NR$83,170&lt;=$NS$83),IF($NP$83="Single_Point",IF(170=$NR$83,$NN$83,0),IF($NP$83="Bell_Curve",$NN$83*(170-$NR$83+1)*($NS$83-170+1)/$NU$83,$NN$83/$NT$83)),0)</f>
        <v/>
      </c>
      <c r="FS83" s="402">
        <f>IF(AND(171&gt;=$NR$83,171&lt;=$NS$83),IF($NP$83="Single_Point",IF(171=$NR$83,$NN$83,0),IF($NP$83="Bell_Curve",$NN$83*(171-$NR$83+1)*($NS$83-171+1)/$NU$83,$NN$83/$NT$83)),0)</f>
        <v/>
      </c>
      <c r="FT83" s="402">
        <f>IF(AND(172&gt;=$NR$83,172&lt;=$NS$83),IF($NP$83="Single_Point",IF(172=$NR$83,$NN$83,0),IF($NP$83="Bell_Curve",$NN$83*(172-$NR$83+1)*($NS$83-172+1)/$NU$83,$NN$83/$NT$83)),0)</f>
        <v/>
      </c>
      <c r="FU83" s="402">
        <f>IF(AND(173&gt;=$NR$83,173&lt;=$NS$83),IF($NP$83="Single_Point",IF(173=$NR$83,$NN$83,0),IF($NP$83="Bell_Curve",$NN$83*(173-$NR$83+1)*($NS$83-173+1)/$NU$83,$NN$83/$NT$83)),0)</f>
        <v/>
      </c>
      <c r="FV83" s="402">
        <f>IF(AND(174&gt;=$NR$83,174&lt;=$NS$83),IF($NP$83="Single_Point",IF(174=$NR$83,$NN$83,0),IF($NP$83="Bell_Curve",$NN$83*(174-$NR$83+1)*($NS$83-174+1)/$NU$83,$NN$83/$NT$83)),0)</f>
        <v/>
      </c>
      <c r="FW83" s="402">
        <f>IF(AND(175&gt;=$NR$83,175&lt;=$NS$83),IF($NP$83="Single_Point",IF(175=$NR$83,$NN$83,0),IF($NP$83="Bell_Curve",$NN$83*(175-$NR$83+1)*($NS$83-175+1)/$NU$83,$NN$83/$NT$83)),0)</f>
        <v/>
      </c>
      <c r="FX83" s="402">
        <f>IF(AND(176&gt;=$NR$83,176&lt;=$NS$83),IF($NP$83="Single_Point",IF(176=$NR$83,$NN$83,0),IF($NP$83="Bell_Curve",$NN$83*(176-$NR$83+1)*($NS$83-176+1)/$NU$83,$NN$83/$NT$83)),0)</f>
        <v/>
      </c>
      <c r="FY83" s="402">
        <f>IF(AND(177&gt;=$NR$83,177&lt;=$NS$83),IF($NP$83="Single_Point",IF(177=$NR$83,$NN$83,0),IF($NP$83="Bell_Curve",$NN$83*(177-$NR$83+1)*($NS$83-177+1)/$NU$83,$NN$83/$NT$83)),0)</f>
        <v/>
      </c>
      <c r="FZ83" s="402">
        <f>IF(AND(178&gt;=$NR$83,178&lt;=$NS$83),IF($NP$83="Single_Point",IF(178=$NR$83,$NN$83,0),IF($NP$83="Bell_Curve",$NN$83*(178-$NR$83+1)*($NS$83-178+1)/$NU$83,$NN$83/$NT$83)),0)</f>
        <v/>
      </c>
      <c r="GA83" s="402">
        <f>IF(AND(179&gt;=$NR$83,179&lt;=$NS$83),IF($NP$83="Single_Point",IF(179=$NR$83,$NN$83,0),IF($NP$83="Bell_Curve",$NN$83*(179-$NR$83+1)*($NS$83-179+1)/$NU$83,$NN$83/$NT$83)),0)</f>
        <v/>
      </c>
      <c r="GB83" s="402">
        <f>IF(AND(180&gt;=$NR$83,180&lt;=$NS$83),IF($NP$83="Single_Point",IF(180=$NR$83,$NN$83,0),IF($NP$83="Bell_Curve",$NN$83*(180-$NR$83+1)*($NS$83-180+1)/$NU$83,$NN$83/$NT$83)),0)</f>
        <v/>
      </c>
      <c r="GC83" s="402">
        <f>IF(AND(181&gt;=$NR$83,181&lt;=$NS$83),IF($NP$83="Single_Point",IF(181=$NR$83,$NN$83,0),IF($NP$83="Bell_Curve",$NN$83*(181-$NR$83+1)*($NS$83-181+1)/$NU$83,$NN$83/$NT$83)),0)</f>
        <v/>
      </c>
      <c r="GD83" s="402">
        <f>IF(AND(182&gt;=$NR$83,182&lt;=$NS$83),IF($NP$83="Single_Point",IF(182=$NR$83,$NN$83,0),IF($NP$83="Bell_Curve",$NN$83*(182-$NR$83+1)*($NS$83-182+1)/$NU$83,$NN$83/$NT$83)),0)</f>
        <v/>
      </c>
      <c r="GE83" s="402">
        <f>IF(AND(183&gt;=$NR$83,183&lt;=$NS$83),IF($NP$83="Single_Point",IF(183=$NR$83,$NN$83,0),IF($NP$83="Bell_Curve",$NN$83*(183-$NR$83+1)*($NS$83-183+1)/$NU$83,$NN$83/$NT$83)),0)</f>
        <v/>
      </c>
      <c r="GF83" s="402">
        <f>IF(AND(184&gt;=$NR$83,184&lt;=$NS$83),IF($NP$83="Single_Point",IF(184=$NR$83,$NN$83,0),IF($NP$83="Bell_Curve",$NN$83*(184-$NR$83+1)*($NS$83-184+1)/$NU$83,$NN$83/$NT$83)),0)</f>
        <v/>
      </c>
      <c r="GG83" s="402">
        <f>IF(AND(185&gt;=$NR$83,185&lt;=$NS$83),IF($NP$83="Single_Point",IF(185=$NR$83,$NN$83,0),IF($NP$83="Bell_Curve",$NN$83*(185-$NR$83+1)*($NS$83-185+1)/$NU$83,$NN$83/$NT$83)),0)</f>
        <v/>
      </c>
      <c r="GH83" s="402">
        <f>IF(AND(186&gt;=$NR$83,186&lt;=$NS$83),IF($NP$83="Single_Point",IF(186=$NR$83,$NN$83,0),IF($NP$83="Bell_Curve",$NN$83*(186-$NR$83+1)*($NS$83-186+1)/$NU$83,$NN$83/$NT$83)),0)</f>
        <v/>
      </c>
      <c r="GI83" s="402">
        <f>IF(AND(187&gt;=$NR$83,187&lt;=$NS$83),IF($NP$83="Single_Point",IF(187=$NR$83,$NN$83,0),IF($NP$83="Bell_Curve",$NN$83*(187-$NR$83+1)*($NS$83-187+1)/$NU$83,$NN$83/$NT$83)),0)</f>
        <v/>
      </c>
      <c r="GJ83" s="402">
        <f>IF(AND(188&gt;=$NR$83,188&lt;=$NS$83),IF($NP$83="Single_Point",IF(188=$NR$83,$NN$83,0),IF($NP$83="Bell_Curve",$NN$83*(188-$NR$83+1)*($NS$83-188+1)/$NU$83,$NN$83/$NT$83)),0)</f>
        <v/>
      </c>
      <c r="GK83" s="402">
        <f>IF(AND(189&gt;=$NR$83,189&lt;=$NS$83),IF($NP$83="Single_Point",IF(189=$NR$83,$NN$83,0),IF($NP$83="Bell_Curve",$NN$83*(189-$NR$83+1)*($NS$83-189+1)/$NU$83,$NN$83/$NT$83)),0)</f>
        <v/>
      </c>
      <c r="GL83" s="402">
        <f>IF(AND(190&gt;=$NR$83,190&lt;=$NS$83),IF($NP$83="Single_Point",IF(190=$NR$83,$NN$83,0),IF($NP$83="Bell_Curve",$NN$83*(190-$NR$83+1)*($NS$83-190+1)/$NU$83,$NN$83/$NT$83)),0)</f>
        <v/>
      </c>
      <c r="GM83" s="402">
        <f>IF(AND(191&gt;=$NR$83,191&lt;=$NS$83),IF($NP$83="Single_Point",IF(191=$NR$83,$NN$83,0),IF($NP$83="Bell_Curve",$NN$83*(191-$NR$83+1)*($NS$83-191+1)/$NU$83,$NN$83/$NT$83)),0)</f>
        <v/>
      </c>
      <c r="GN83" s="402">
        <f>IF(AND(192&gt;=$NR$83,192&lt;=$NS$83),IF($NP$83="Single_Point",IF(192=$NR$83,$NN$83,0),IF($NP$83="Bell_Curve",$NN$83*(192-$NR$83+1)*($NS$83-192+1)/$NU$83,$NN$83/$NT$83)),0)</f>
        <v/>
      </c>
      <c r="GO83" s="402">
        <f>IF(AND(193&gt;=$NR$83,193&lt;=$NS$83),IF($NP$83="Single_Point",IF(193=$NR$83,$NN$83,0),IF($NP$83="Bell_Curve",$NN$83*(193-$NR$83+1)*($NS$83-193+1)/$NU$83,$NN$83/$NT$83)),0)</f>
        <v/>
      </c>
      <c r="GP83" s="402">
        <f>IF(AND(194&gt;=$NR$83,194&lt;=$NS$83),IF($NP$83="Single_Point",IF(194=$NR$83,$NN$83,0),IF($NP$83="Bell_Curve",$NN$83*(194-$NR$83+1)*($NS$83-194+1)/$NU$83,$NN$83/$NT$83)),0)</f>
        <v/>
      </c>
      <c r="GQ83" s="402">
        <f>IF(AND(195&gt;=$NR$83,195&lt;=$NS$83),IF($NP$83="Single_Point",IF(195=$NR$83,$NN$83,0),IF($NP$83="Bell_Curve",$NN$83*(195-$NR$83+1)*($NS$83-195+1)/$NU$83,$NN$83/$NT$83)),0)</f>
        <v/>
      </c>
      <c r="GR83" s="402">
        <f>IF(AND(196&gt;=$NR$83,196&lt;=$NS$83),IF($NP$83="Single_Point",IF(196=$NR$83,$NN$83,0),IF($NP$83="Bell_Curve",$NN$83*(196-$NR$83+1)*($NS$83-196+1)/$NU$83,$NN$83/$NT$83)),0)</f>
        <v/>
      </c>
      <c r="GS83" s="402">
        <f>IF(AND(197&gt;=$NR$83,197&lt;=$NS$83),IF($NP$83="Single_Point",IF(197=$NR$83,$NN$83,0),IF($NP$83="Bell_Curve",$NN$83*(197-$NR$83+1)*($NS$83-197+1)/$NU$83,$NN$83/$NT$83)),0)</f>
        <v/>
      </c>
      <c r="GT83" s="402">
        <f>IF(AND(198&gt;=$NR$83,198&lt;=$NS$83),IF($NP$83="Single_Point",IF(198=$NR$83,$NN$83,0),IF($NP$83="Bell_Curve",$NN$83*(198-$NR$83+1)*($NS$83-198+1)/$NU$83,$NN$83/$NT$83)),0)</f>
        <v/>
      </c>
      <c r="GU83" s="402">
        <f>IF(AND(199&gt;=$NR$83,199&lt;=$NS$83),IF($NP$83="Single_Point",IF(199=$NR$83,$NN$83,0),IF($NP$83="Bell_Curve",$NN$83*(199-$NR$83+1)*($NS$83-199+1)/$NU$83,$NN$83/$NT$83)),0)</f>
        <v/>
      </c>
      <c r="GV83" s="402">
        <f>IF(AND(200&gt;=$NR$83,200&lt;=$NS$83),IF($NP$83="Single_Point",IF(200=$NR$83,$NN$83,0),IF($NP$83="Bell_Curve",$NN$83*(200-$NR$83+1)*($NS$83-200+1)/$NU$83,$NN$83/$NT$83)),0)</f>
        <v/>
      </c>
      <c r="GW83" s="402">
        <f>IF(AND(201&gt;=$NR$83,201&lt;=$NS$83),IF($NP$83="Single_Point",IF(201=$NR$83,$NN$83,0),IF($NP$83="Bell_Curve",$NN$83*(201-$NR$83+1)*($NS$83-201+1)/$NU$83,$NN$83/$NT$83)),0)</f>
        <v/>
      </c>
      <c r="GX83" s="402">
        <f>IF(AND(202&gt;=$NR$83,202&lt;=$NS$83),IF($NP$83="Single_Point",IF(202=$NR$83,$NN$83,0),IF($NP$83="Bell_Curve",$NN$83*(202-$NR$83+1)*($NS$83-202+1)/$NU$83,$NN$83/$NT$83)),0)</f>
        <v/>
      </c>
      <c r="GY83" s="402">
        <f>IF(AND(203&gt;=$NR$83,203&lt;=$NS$83),IF($NP$83="Single_Point",IF(203=$NR$83,$NN$83,0),IF($NP$83="Bell_Curve",$NN$83*(203-$NR$83+1)*($NS$83-203+1)/$NU$83,$NN$83/$NT$83)),0)</f>
        <v/>
      </c>
      <c r="GZ83" s="402">
        <f>IF(AND(204&gt;=$NR$83,204&lt;=$NS$83),IF($NP$83="Single_Point",IF(204=$NR$83,$NN$83,0),IF($NP$83="Bell_Curve",$NN$83*(204-$NR$83+1)*($NS$83-204+1)/$NU$83,$NN$83/$NT$83)),0)</f>
        <v/>
      </c>
      <c r="HA83" s="402">
        <f>IF(AND(205&gt;=$NR$83,205&lt;=$NS$83),IF($NP$83="Single_Point",IF(205=$NR$83,$NN$83,0),IF($NP$83="Bell_Curve",$NN$83*(205-$NR$83+1)*($NS$83-205+1)/$NU$83,$NN$83/$NT$83)),0)</f>
        <v/>
      </c>
      <c r="HB83" s="402">
        <f>IF(AND(206&gt;=$NR$83,206&lt;=$NS$83),IF($NP$83="Single_Point",IF(206=$NR$83,$NN$83,0),IF($NP$83="Bell_Curve",$NN$83*(206-$NR$83+1)*($NS$83-206+1)/$NU$83,$NN$83/$NT$83)),0)</f>
        <v/>
      </c>
      <c r="HC83" s="402">
        <f>IF(AND(207&gt;=$NR$83,207&lt;=$NS$83),IF($NP$83="Single_Point",IF(207=$NR$83,$NN$83,0),IF($NP$83="Bell_Curve",$NN$83*(207-$NR$83+1)*($NS$83-207+1)/$NU$83,$NN$83/$NT$83)),0)</f>
        <v/>
      </c>
      <c r="HD83" s="402">
        <f>IF(AND(208&gt;=$NR$83,208&lt;=$NS$83),IF($NP$83="Single_Point",IF(208=$NR$83,$NN$83,0),IF($NP$83="Bell_Curve",$NN$83*(208-$NR$83+1)*($NS$83-208+1)/$NU$83,$NN$83/$NT$83)),0)</f>
        <v/>
      </c>
      <c r="HE83" s="402">
        <f>IF(AND(209&gt;=$NR$83,209&lt;=$NS$83),IF($NP$83="Single_Point",IF(209=$NR$83,$NN$83,0),IF($NP$83="Bell_Curve",$NN$83*(209-$NR$83+1)*($NS$83-209+1)/$NU$83,$NN$83/$NT$83)),0)</f>
        <v/>
      </c>
      <c r="HF83" s="402">
        <f>IF(AND(210&gt;=$NR$83,210&lt;=$NS$83),IF($NP$83="Single_Point",IF(210=$NR$83,$NN$83,0),IF($NP$83="Bell_Curve",$NN$83*(210-$NR$83+1)*($NS$83-210+1)/$NU$83,$NN$83/$NT$83)),0)</f>
        <v/>
      </c>
      <c r="HG83" s="402">
        <f>IF(AND(211&gt;=$NR$83,211&lt;=$NS$83),IF($NP$83="Single_Point",IF(211=$NR$83,$NN$83,0),IF($NP$83="Bell_Curve",$NN$83*(211-$NR$83+1)*($NS$83-211+1)/$NU$83,$NN$83/$NT$83)),0)</f>
        <v/>
      </c>
      <c r="HH83" s="402">
        <f>IF(AND(212&gt;=$NR$83,212&lt;=$NS$83),IF($NP$83="Single_Point",IF(212=$NR$83,$NN$83,0),IF($NP$83="Bell_Curve",$NN$83*(212-$NR$83+1)*($NS$83-212+1)/$NU$83,$NN$83/$NT$83)),0)</f>
        <v/>
      </c>
      <c r="HI83" s="402">
        <f>IF(AND(213&gt;=$NR$83,213&lt;=$NS$83),IF($NP$83="Single_Point",IF(213=$NR$83,$NN$83,0),IF($NP$83="Bell_Curve",$NN$83*(213-$NR$83+1)*($NS$83-213+1)/$NU$83,$NN$83/$NT$83)),0)</f>
        <v/>
      </c>
      <c r="HJ83" s="402">
        <f>IF(AND(214&gt;=$NR$83,214&lt;=$NS$83),IF($NP$83="Single_Point",IF(214=$NR$83,$NN$83,0),IF($NP$83="Bell_Curve",$NN$83*(214-$NR$83+1)*($NS$83-214+1)/$NU$83,$NN$83/$NT$83)),0)</f>
        <v/>
      </c>
      <c r="HK83" s="402">
        <f>IF(AND(215&gt;=$NR$83,215&lt;=$NS$83),IF($NP$83="Single_Point",IF(215=$NR$83,$NN$83,0),IF($NP$83="Bell_Curve",$NN$83*(215-$NR$83+1)*($NS$83-215+1)/$NU$83,$NN$83/$NT$83)),0)</f>
        <v/>
      </c>
      <c r="HL83" s="402">
        <f>IF(AND(216&gt;=$NR$83,216&lt;=$NS$83),IF($NP$83="Single_Point",IF(216=$NR$83,$NN$83,0),IF($NP$83="Bell_Curve",$NN$83*(216-$NR$83+1)*($NS$83-216+1)/$NU$83,$NN$83/$NT$83)),0)</f>
        <v/>
      </c>
      <c r="HM83" s="402">
        <f>IF(AND(217&gt;=$NR$83,217&lt;=$NS$83),IF($NP$83="Single_Point",IF(217=$NR$83,$NN$83,0),IF($NP$83="Bell_Curve",$NN$83*(217-$NR$83+1)*($NS$83-217+1)/$NU$83,$NN$83/$NT$83)),0)</f>
        <v/>
      </c>
      <c r="HN83" s="402">
        <f>IF(AND(218&gt;=$NR$83,218&lt;=$NS$83),IF($NP$83="Single_Point",IF(218=$NR$83,$NN$83,0),IF($NP$83="Bell_Curve",$NN$83*(218-$NR$83+1)*($NS$83-218+1)/$NU$83,$NN$83/$NT$83)),0)</f>
        <v/>
      </c>
      <c r="HO83" s="402">
        <f>IF(AND(219&gt;=$NR$83,219&lt;=$NS$83),IF($NP$83="Single_Point",IF(219=$NR$83,$NN$83,0),IF($NP$83="Bell_Curve",$NN$83*(219-$NR$83+1)*($NS$83-219+1)/$NU$83,$NN$83/$NT$83)),0)</f>
        <v/>
      </c>
      <c r="HP83" s="402">
        <f>IF(AND(220&gt;=$NR$83,220&lt;=$NS$83),IF($NP$83="Single_Point",IF(220=$NR$83,$NN$83,0),IF($NP$83="Bell_Curve",$NN$83*(220-$NR$83+1)*($NS$83-220+1)/$NU$83,$NN$83/$NT$83)),0)</f>
        <v/>
      </c>
      <c r="HQ83" s="402">
        <f>IF(AND(221&gt;=$NR$83,221&lt;=$NS$83),IF($NP$83="Single_Point",IF(221=$NR$83,$NN$83,0),IF($NP$83="Bell_Curve",$NN$83*(221-$NR$83+1)*($NS$83-221+1)/$NU$83,$NN$83/$NT$83)),0)</f>
        <v/>
      </c>
      <c r="HR83" s="402">
        <f>IF(AND(222&gt;=$NR$83,222&lt;=$NS$83),IF($NP$83="Single_Point",IF(222=$NR$83,$NN$83,0),IF($NP$83="Bell_Curve",$NN$83*(222-$NR$83+1)*($NS$83-222+1)/$NU$83,$NN$83/$NT$83)),0)</f>
        <v/>
      </c>
      <c r="HS83" s="402">
        <f>IF(AND(223&gt;=$NR$83,223&lt;=$NS$83),IF($NP$83="Single_Point",IF(223=$NR$83,$NN$83,0),IF($NP$83="Bell_Curve",$NN$83*(223-$NR$83+1)*($NS$83-223+1)/$NU$83,$NN$83/$NT$83)),0)</f>
        <v/>
      </c>
      <c r="HT83" s="402">
        <f>IF(AND(224&gt;=$NR$83,224&lt;=$NS$83),IF($NP$83="Single_Point",IF(224=$NR$83,$NN$83,0),IF($NP$83="Bell_Curve",$NN$83*(224-$NR$83+1)*($NS$83-224+1)/$NU$83,$NN$83/$NT$83)),0)</f>
        <v/>
      </c>
      <c r="HU83" s="402">
        <f>IF(AND(225&gt;=$NR$83,225&lt;=$NS$83),IF($NP$83="Single_Point",IF(225=$NR$83,$NN$83,0),IF($NP$83="Bell_Curve",$NN$83*(225-$NR$83+1)*($NS$83-225+1)/$NU$83,$NN$83/$NT$83)),0)</f>
        <v/>
      </c>
      <c r="HV83" s="402">
        <f>IF(AND(226&gt;=$NR$83,226&lt;=$NS$83),IF($NP$83="Single_Point",IF(226=$NR$83,$NN$83,0),IF($NP$83="Bell_Curve",$NN$83*(226-$NR$83+1)*($NS$83-226+1)/$NU$83,$NN$83/$NT$83)),0)</f>
        <v/>
      </c>
      <c r="HW83" s="402">
        <f>IF(AND(227&gt;=$NR$83,227&lt;=$NS$83),IF($NP$83="Single_Point",IF(227=$NR$83,$NN$83,0),IF($NP$83="Bell_Curve",$NN$83*(227-$NR$83+1)*($NS$83-227+1)/$NU$83,$NN$83/$NT$83)),0)</f>
        <v/>
      </c>
      <c r="HX83" s="402">
        <f>IF(AND(228&gt;=$NR$83,228&lt;=$NS$83),IF($NP$83="Single_Point",IF(228=$NR$83,$NN$83,0),IF($NP$83="Bell_Curve",$NN$83*(228-$NR$83+1)*($NS$83-228+1)/$NU$83,$NN$83/$NT$83)),0)</f>
        <v/>
      </c>
      <c r="HY83" s="402">
        <f>IF(AND(229&gt;=$NR$83,229&lt;=$NS$83),IF($NP$83="Single_Point",IF(229=$NR$83,$NN$83,0),IF($NP$83="Bell_Curve",$NN$83*(229-$NR$83+1)*($NS$83-229+1)/$NU$83,$NN$83/$NT$83)),0)</f>
        <v/>
      </c>
      <c r="HZ83" s="402">
        <f>IF(AND(230&gt;=$NR$83,230&lt;=$NS$83),IF($NP$83="Single_Point",IF(230=$NR$83,$NN$83,0),IF($NP$83="Bell_Curve",$NN$83*(230-$NR$83+1)*($NS$83-230+1)/$NU$83,$NN$83/$NT$83)),0)</f>
        <v/>
      </c>
      <c r="IA83" s="402">
        <f>IF(AND(231&gt;=$NR$83,231&lt;=$NS$83),IF($NP$83="Single_Point",IF(231=$NR$83,$NN$83,0),IF($NP$83="Bell_Curve",$NN$83*(231-$NR$83+1)*($NS$83-231+1)/$NU$83,$NN$83/$NT$83)),0)</f>
        <v/>
      </c>
      <c r="IB83" s="402">
        <f>IF(AND(232&gt;=$NR$83,232&lt;=$NS$83),IF($NP$83="Single_Point",IF(232=$NR$83,$NN$83,0),IF($NP$83="Bell_Curve",$NN$83*(232-$NR$83+1)*($NS$83-232+1)/$NU$83,$NN$83/$NT$83)),0)</f>
        <v/>
      </c>
      <c r="IC83" s="402">
        <f>IF(AND(233&gt;=$NR$83,233&lt;=$NS$83),IF($NP$83="Single_Point",IF(233=$NR$83,$NN$83,0),IF($NP$83="Bell_Curve",$NN$83*(233-$NR$83+1)*($NS$83-233+1)/$NU$83,$NN$83/$NT$83)),0)</f>
        <v/>
      </c>
      <c r="ID83" s="402">
        <f>IF(AND(234&gt;=$NR$83,234&lt;=$NS$83),IF($NP$83="Single_Point",IF(234=$NR$83,$NN$83,0),IF($NP$83="Bell_Curve",$NN$83*(234-$NR$83+1)*($NS$83-234+1)/$NU$83,$NN$83/$NT$83)),0)</f>
        <v/>
      </c>
      <c r="IE83" s="402">
        <f>IF(AND(235&gt;=$NR$83,235&lt;=$NS$83),IF($NP$83="Single_Point",IF(235=$NR$83,$NN$83,0),IF($NP$83="Bell_Curve",$NN$83*(235-$NR$83+1)*($NS$83-235+1)/$NU$83,$NN$83/$NT$83)),0)</f>
        <v/>
      </c>
      <c r="IF83" s="402">
        <f>IF(AND(236&gt;=$NR$83,236&lt;=$NS$83),IF($NP$83="Single_Point",IF(236=$NR$83,$NN$83,0),IF($NP$83="Bell_Curve",$NN$83*(236-$NR$83+1)*($NS$83-236+1)/$NU$83,$NN$83/$NT$83)),0)</f>
        <v/>
      </c>
      <c r="IG83" s="402">
        <f>IF(AND(237&gt;=$NR$83,237&lt;=$NS$83),IF($NP$83="Single_Point",IF(237=$NR$83,$NN$83,0),IF($NP$83="Bell_Curve",$NN$83*(237-$NR$83+1)*($NS$83-237+1)/$NU$83,$NN$83/$NT$83)),0)</f>
        <v/>
      </c>
      <c r="IH83" s="402">
        <f>IF(AND(238&gt;=$NR$83,238&lt;=$NS$83),IF($NP$83="Single_Point",IF(238=$NR$83,$NN$83,0),IF($NP$83="Bell_Curve",$NN$83*(238-$NR$83+1)*($NS$83-238+1)/$NU$83,$NN$83/$NT$83)),0)</f>
        <v/>
      </c>
      <c r="II83" s="402">
        <f>IF(AND(239&gt;=$NR$83,239&lt;=$NS$83),IF($NP$83="Single_Point",IF(239=$NR$83,$NN$83,0),IF($NP$83="Bell_Curve",$NN$83*(239-$NR$83+1)*($NS$83-239+1)/$NU$83,$NN$83/$NT$83)),0)</f>
        <v/>
      </c>
      <c r="IJ83" s="402">
        <f>IF(AND(240&gt;=$NR$83,240&lt;=$NS$83),IF($NP$83="Single_Point",IF(240=$NR$83,$NN$83,0),IF($NP$83="Bell_Curve",$NN$83*(240-$NR$83+1)*($NS$83-240+1)/$NU$83,$NN$83/$NT$83)),0)</f>
        <v/>
      </c>
      <c r="IK83" s="402">
        <f>IF(AND(241&gt;=$NR$83,241&lt;=$NS$83),IF($NP$83="Single_Point",IF(241=$NR$83,$NN$83,0),IF($NP$83="Bell_Curve",$NN$83*(241-$NR$83+1)*($NS$83-241+1)/$NU$83,$NN$83/$NT$83)),0)</f>
        <v/>
      </c>
      <c r="IL83" s="402">
        <f>IF(AND(242&gt;=$NR$83,242&lt;=$NS$83),IF($NP$83="Single_Point",IF(242=$NR$83,$NN$83,0),IF($NP$83="Bell_Curve",$NN$83*(242-$NR$83+1)*($NS$83-242+1)/$NU$83,$NN$83/$NT$83)),0)</f>
        <v/>
      </c>
      <c r="IM83" s="402">
        <f>IF(AND(243&gt;=$NR$83,243&lt;=$NS$83),IF($NP$83="Single_Point",IF(243=$NR$83,$NN$83,0),IF($NP$83="Bell_Curve",$NN$83*(243-$NR$83+1)*($NS$83-243+1)/$NU$83,$NN$83/$NT$83)),0)</f>
        <v/>
      </c>
      <c r="IN83" s="402">
        <f>IF(AND(244&gt;=$NR$83,244&lt;=$NS$83),IF($NP$83="Single_Point",IF(244=$NR$83,$NN$83,0),IF($NP$83="Bell_Curve",$NN$83*(244-$NR$83+1)*($NS$83-244+1)/$NU$83,$NN$83/$NT$83)),0)</f>
        <v/>
      </c>
      <c r="IO83" s="402">
        <f>IF(AND(245&gt;=$NR$83,245&lt;=$NS$83),IF($NP$83="Single_Point",IF(245=$NR$83,$NN$83,0),IF($NP$83="Bell_Curve",$NN$83*(245-$NR$83+1)*($NS$83-245+1)/$NU$83,$NN$83/$NT$83)),0)</f>
        <v/>
      </c>
      <c r="IP83" s="402">
        <f>IF(AND(246&gt;=$NR$83,246&lt;=$NS$83),IF($NP$83="Single_Point",IF(246=$NR$83,$NN$83,0),IF($NP$83="Bell_Curve",$NN$83*(246-$NR$83+1)*($NS$83-246+1)/$NU$83,$NN$83/$NT$83)),0)</f>
        <v/>
      </c>
      <c r="IQ83" s="402">
        <f>IF(AND(247&gt;=$NR$83,247&lt;=$NS$83),IF($NP$83="Single_Point",IF(247=$NR$83,$NN$83,0),IF($NP$83="Bell_Curve",$NN$83*(247-$NR$83+1)*($NS$83-247+1)/$NU$83,$NN$83/$NT$83)),0)</f>
        <v/>
      </c>
      <c r="IR83" s="402">
        <f>IF(AND(248&gt;=$NR$83,248&lt;=$NS$83),IF($NP$83="Single_Point",IF(248=$NR$83,$NN$83,0),IF($NP$83="Bell_Curve",$NN$83*(248-$NR$83+1)*($NS$83-248+1)/$NU$83,$NN$83/$NT$83)),0)</f>
        <v/>
      </c>
      <c r="IS83" s="402">
        <f>IF(AND(249&gt;=$NR$83,249&lt;=$NS$83),IF($NP$83="Single_Point",IF(249=$NR$83,$NN$83,0),IF($NP$83="Bell_Curve",$NN$83*(249-$NR$83+1)*($NS$83-249+1)/$NU$83,$NN$83/$NT$83)),0)</f>
        <v/>
      </c>
      <c r="IT83" s="402">
        <f>IF(AND(250&gt;=$NR$83,250&lt;=$NS$83),IF($NP$83="Single_Point",IF(250=$NR$83,$NN$83,0),IF($NP$83="Bell_Curve",$NN$83*(250-$NR$83+1)*($NS$83-250+1)/$NU$83,$NN$83/$NT$83)),0)</f>
        <v/>
      </c>
      <c r="IU83" s="402">
        <f>IF(AND(251&gt;=$NR$83,251&lt;=$NS$83),IF($NP$83="Single_Point",IF(251=$NR$83,$NN$83,0),IF($NP$83="Bell_Curve",$NN$83*(251-$NR$83+1)*($NS$83-251+1)/$NU$83,$NN$83/$NT$83)),0)</f>
        <v/>
      </c>
      <c r="IV83" s="402">
        <f>IF(AND(252&gt;=$NR$83,252&lt;=$NS$83),IF($NP$83="Single_Point",IF(252=$NR$83,$NN$83,0),IF($NP$83="Bell_Curve",$NN$83*(252-$NR$83+1)*($NS$83-252+1)/$NU$83,$NN$83/$NT$83)),0)</f>
        <v/>
      </c>
      <c r="IW83" s="402">
        <f>IF(AND(253&gt;=$NR$83,253&lt;=$NS$83),IF($NP$83="Single_Point",IF(253=$NR$83,$NN$83,0),IF($NP$83="Bell_Curve",$NN$83*(253-$NR$83+1)*($NS$83-253+1)/$NU$83,$NN$83/$NT$83)),0)</f>
        <v/>
      </c>
      <c r="IX83" s="402">
        <f>IF(AND(254&gt;=$NR$83,254&lt;=$NS$83),IF($NP$83="Single_Point",IF(254=$NR$83,$NN$83,0),IF($NP$83="Bell_Curve",$NN$83*(254-$NR$83+1)*($NS$83-254+1)/$NU$83,$NN$83/$NT$83)),0)</f>
        <v/>
      </c>
      <c r="IY83" s="402">
        <f>IF(AND(255&gt;=$NR$83,255&lt;=$NS$83),IF($NP$83="Single_Point",IF(255=$NR$83,$NN$83,0),IF($NP$83="Bell_Curve",$NN$83*(255-$NR$83+1)*($NS$83-255+1)/$NU$83,$NN$83/$NT$83)),0)</f>
        <v/>
      </c>
      <c r="IZ83" s="402">
        <f>IF(AND(256&gt;=$NR$83,256&lt;=$NS$83),IF($NP$83="Single_Point",IF(256=$NR$83,$NN$83,0),IF($NP$83="Bell_Curve",$NN$83*(256-$NR$83+1)*($NS$83-256+1)/$NU$83,$NN$83/$NT$83)),0)</f>
        <v/>
      </c>
      <c r="JA83" s="402">
        <f>IF(AND(257&gt;=$NR$83,257&lt;=$NS$83),IF($NP$83="Single_Point",IF(257=$NR$83,$NN$83,0),IF($NP$83="Bell_Curve",$NN$83*(257-$NR$83+1)*($NS$83-257+1)/$NU$83,$NN$83/$NT$83)),0)</f>
        <v/>
      </c>
      <c r="JB83" s="402">
        <f>IF(AND(258&gt;=$NR$83,258&lt;=$NS$83),IF($NP$83="Single_Point",IF(258=$NR$83,$NN$83,0),IF($NP$83="Bell_Curve",$NN$83*(258-$NR$83+1)*($NS$83-258+1)/$NU$83,$NN$83/$NT$83)),0)</f>
        <v/>
      </c>
      <c r="JC83" s="402">
        <f>IF(AND(259&gt;=$NR$83,259&lt;=$NS$83),IF($NP$83="Single_Point",IF(259=$NR$83,$NN$83,0),IF($NP$83="Bell_Curve",$NN$83*(259-$NR$83+1)*($NS$83-259+1)/$NU$83,$NN$83/$NT$83)),0)</f>
        <v/>
      </c>
      <c r="JD83" s="402">
        <f>IF(AND(260&gt;=$NR$83,260&lt;=$NS$83),IF($NP$83="Single_Point",IF(260=$NR$83,$NN$83,0),IF($NP$83="Bell_Curve",$NN$83*(260-$NR$83+1)*($NS$83-260+1)/$NU$83,$NN$83/$NT$83)),0)</f>
        <v/>
      </c>
      <c r="JE83" s="402">
        <f>IF(AND(261&gt;=$NR$83,261&lt;=$NS$83),IF($NP$83="Single_Point",IF(261=$NR$83,$NN$83,0),IF($NP$83="Bell_Curve",$NN$83*(261-$NR$83+1)*($NS$83-261+1)/$NU$83,$NN$83/$NT$83)),0)</f>
        <v/>
      </c>
      <c r="JF83" s="402">
        <f>IF(AND(262&gt;=$NR$83,262&lt;=$NS$83),IF($NP$83="Single_Point",IF(262=$NR$83,$NN$83,0),IF($NP$83="Bell_Curve",$NN$83*(262-$NR$83+1)*($NS$83-262+1)/$NU$83,$NN$83/$NT$83)),0)</f>
        <v/>
      </c>
      <c r="JG83" s="402">
        <f>IF(AND(263&gt;=$NR$83,263&lt;=$NS$83),IF($NP$83="Single_Point",IF(263=$NR$83,$NN$83,0),IF($NP$83="Bell_Curve",$NN$83*(263-$NR$83+1)*($NS$83-263+1)/$NU$83,$NN$83/$NT$83)),0)</f>
        <v/>
      </c>
      <c r="JH83" s="402">
        <f>IF(AND(264&gt;=$NR$83,264&lt;=$NS$83),IF($NP$83="Single_Point",IF(264=$NR$83,$NN$83,0),IF($NP$83="Bell_Curve",$NN$83*(264-$NR$83+1)*($NS$83-264+1)/$NU$83,$NN$83/$NT$83)),0)</f>
        <v/>
      </c>
      <c r="JI83" s="402">
        <f>IF(AND(265&gt;=$NR$83,265&lt;=$NS$83),IF($NP$83="Single_Point",IF(265=$NR$83,$NN$83,0),IF($NP$83="Bell_Curve",$NN$83*(265-$NR$83+1)*($NS$83-265+1)/$NU$83,$NN$83/$NT$83)),0)</f>
        <v/>
      </c>
      <c r="JJ83" s="402">
        <f>IF(AND(266&gt;=$NR$83,266&lt;=$NS$83),IF($NP$83="Single_Point",IF(266=$NR$83,$NN$83,0),IF($NP$83="Bell_Curve",$NN$83*(266-$NR$83+1)*($NS$83-266+1)/$NU$83,$NN$83/$NT$83)),0)</f>
        <v/>
      </c>
      <c r="JK83" s="402">
        <f>IF(AND(267&gt;=$NR$83,267&lt;=$NS$83),IF($NP$83="Single_Point",IF(267=$NR$83,$NN$83,0),IF($NP$83="Bell_Curve",$NN$83*(267-$NR$83+1)*($NS$83-267+1)/$NU$83,$NN$83/$NT$83)),0)</f>
        <v/>
      </c>
      <c r="JL83" s="402">
        <f>IF(AND(268&gt;=$NR$83,268&lt;=$NS$83),IF($NP$83="Single_Point",IF(268=$NR$83,$NN$83,0),IF($NP$83="Bell_Curve",$NN$83*(268-$NR$83+1)*($NS$83-268+1)/$NU$83,$NN$83/$NT$83)),0)</f>
        <v/>
      </c>
      <c r="JM83" s="402">
        <f>IF(AND(269&gt;=$NR$83,269&lt;=$NS$83),IF($NP$83="Single_Point",IF(269=$NR$83,$NN$83,0),IF($NP$83="Bell_Curve",$NN$83*(269-$NR$83+1)*($NS$83-269+1)/$NU$83,$NN$83/$NT$83)),0)</f>
        <v/>
      </c>
      <c r="JN83" s="402">
        <f>IF(AND(270&gt;=$NR$83,270&lt;=$NS$83),IF($NP$83="Single_Point",IF(270=$NR$83,$NN$83,0),IF($NP$83="Bell_Curve",$NN$83*(270-$NR$83+1)*($NS$83-270+1)/$NU$83,$NN$83/$NT$83)),0)</f>
        <v/>
      </c>
      <c r="JO83" s="402">
        <f>IF(AND(271&gt;=$NR$83,271&lt;=$NS$83),IF($NP$83="Single_Point",IF(271=$NR$83,$NN$83,0),IF($NP$83="Bell_Curve",$NN$83*(271-$NR$83+1)*($NS$83-271+1)/$NU$83,$NN$83/$NT$83)),0)</f>
        <v/>
      </c>
      <c r="JP83" s="402">
        <f>IF(AND(272&gt;=$NR$83,272&lt;=$NS$83),IF($NP$83="Single_Point",IF(272=$NR$83,$NN$83,0),IF($NP$83="Bell_Curve",$NN$83*(272-$NR$83+1)*($NS$83-272+1)/$NU$83,$NN$83/$NT$83)),0)</f>
        <v/>
      </c>
      <c r="JQ83" s="402">
        <f>IF(AND(273&gt;=$NR$83,273&lt;=$NS$83),IF($NP$83="Single_Point",IF(273=$NR$83,$NN$83,0),IF($NP$83="Bell_Curve",$NN$83*(273-$NR$83+1)*($NS$83-273+1)/$NU$83,$NN$83/$NT$83)),0)</f>
        <v/>
      </c>
      <c r="JR83" s="402">
        <f>IF(AND(274&gt;=$NR$83,274&lt;=$NS$83),IF($NP$83="Single_Point",IF(274=$NR$83,$NN$83,0),IF($NP$83="Bell_Curve",$NN$83*(274-$NR$83+1)*($NS$83-274+1)/$NU$83,$NN$83/$NT$83)),0)</f>
        <v/>
      </c>
      <c r="JS83" s="402">
        <f>IF(AND(275&gt;=$NR$83,275&lt;=$NS$83),IF($NP$83="Single_Point",IF(275=$NR$83,$NN$83,0),IF($NP$83="Bell_Curve",$NN$83*(275-$NR$83+1)*($NS$83-275+1)/$NU$83,$NN$83/$NT$83)),0)</f>
        <v/>
      </c>
      <c r="JT83" s="402">
        <f>IF(AND(276&gt;=$NR$83,276&lt;=$NS$83),IF($NP$83="Single_Point",IF(276=$NR$83,$NN$83,0),IF($NP$83="Bell_Curve",$NN$83*(276-$NR$83+1)*($NS$83-276+1)/$NU$83,$NN$83/$NT$83)),0)</f>
        <v/>
      </c>
      <c r="JU83" s="402">
        <f>IF(AND(277&gt;=$NR$83,277&lt;=$NS$83),IF($NP$83="Single_Point",IF(277=$NR$83,$NN$83,0),IF($NP$83="Bell_Curve",$NN$83*(277-$NR$83+1)*($NS$83-277+1)/$NU$83,$NN$83/$NT$83)),0)</f>
        <v/>
      </c>
      <c r="JV83" s="402">
        <f>IF(AND(278&gt;=$NR$83,278&lt;=$NS$83),IF($NP$83="Single_Point",IF(278=$NR$83,$NN$83,0),IF($NP$83="Bell_Curve",$NN$83*(278-$NR$83+1)*($NS$83-278+1)/$NU$83,$NN$83/$NT$83)),0)</f>
        <v/>
      </c>
      <c r="JW83" s="402">
        <f>IF(AND(279&gt;=$NR$83,279&lt;=$NS$83),IF($NP$83="Single_Point",IF(279=$NR$83,$NN$83,0),IF($NP$83="Bell_Curve",$NN$83*(279-$NR$83+1)*($NS$83-279+1)/$NU$83,$NN$83/$NT$83)),0)</f>
        <v/>
      </c>
      <c r="JX83" s="402">
        <f>IF(AND(280&gt;=$NR$83,280&lt;=$NS$83),IF($NP$83="Single_Point",IF(280=$NR$83,$NN$83,0),IF($NP$83="Bell_Curve",$NN$83*(280-$NR$83+1)*($NS$83-280+1)/$NU$83,$NN$83/$NT$83)),0)</f>
        <v/>
      </c>
      <c r="JY83" s="402">
        <f>IF(AND(281&gt;=$NR$83,281&lt;=$NS$83),IF($NP$83="Single_Point",IF(281=$NR$83,$NN$83,0),IF($NP$83="Bell_Curve",$NN$83*(281-$NR$83+1)*($NS$83-281+1)/$NU$83,$NN$83/$NT$83)),0)</f>
        <v/>
      </c>
      <c r="JZ83" s="402">
        <f>IF(AND(282&gt;=$NR$83,282&lt;=$NS$83),IF($NP$83="Single_Point",IF(282=$NR$83,$NN$83,0),IF($NP$83="Bell_Curve",$NN$83*(282-$NR$83+1)*($NS$83-282+1)/$NU$83,$NN$83/$NT$83)),0)</f>
        <v/>
      </c>
      <c r="KA83" s="402">
        <f>IF(AND(283&gt;=$NR$83,283&lt;=$NS$83),IF($NP$83="Single_Point",IF(283=$NR$83,$NN$83,0),IF($NP$83="Bell_Curve",$NN$83*(283-$NR$83+1)*($NS$83-283+1)/$NU$83,$NN$83/$NT$83)),0)</f>
        <v/>
      </c>
      <c r="KB83" s="402">
        <f>IF(AND(284&gt;=$NR$83,284&lt;=$NS$83),IF($NP$83="Single_Point",IF(284=$NR$83,$NN$83,0),IF($NP$83="Bell_Curve",$NN$83*(284-$NR$83+1)*($NS$83-284+1)/$NU$83,$NN$83/$NT$83)),0)</f>
        <v/>
      </c>
      <c r="KC83" s="402">
        <f>IF(AND(285&gt;=$NR$83,285&lt;=$NS$83),IF($NP$83="Single_Point",IF(285=$NR$83,$NN$83,0),IF($NP$83="Bell_Curve",$NN$83*(285-$NR$83+1)*($NS$83-285+1)/$NU$83,$NN$83/$NT$83)),0)</f>
        <v/>
      </c>
      <c r="KD83" s="402">
        <f>IF(AND(286&gt;=$NR$83,286&lt;=$NS$83),IF($NP$83="Single_Point",IF(286=$NR$83,$NN$83,0),IF($NP$83="Bell_Curve",$NN$83*(286-$NR$83+1)*($NS$83-286+1)/$NU$83,$NN$83/$NT$83)),0)</f>
        <v/>
      </c>
      <c r="KE83" s="402">
        <f>IF(AND(287&gt;=$NR$83,287&lt;=$NS$83),IF($NP$83="Single_Point",IF(287=$NR$83,$NN$83,0),IF($NP$83="Bell_Curve",$NN$83*(287-$NR$83+1)*($NS$83-287+1)/$NU$83,$NN$83/$NT$83)),0)</f>
        <v/>
      </c>
      <c r="KF83" s="402">
        <f>IF(AND(288&gt;=$NR$83,288&lt;=$NS$83),IF($NP$83="Single_Point",IF(288=$NR$83,$NN$83,0),IF($NP$83="Bell_Curve",$NN$83*(288-$NR$83+1)*($NS$83-288+1)/$NU$83,$NN$83/$NT$83)),0)</f>
        <v/>
      </c>
      <c r="KG83" s="402">
        <f>IF(AND(289&gt;=$NR$83,289&lt;=$NS$83),IF($NP$83="Single_Point",IF(289=$NR$83,$NN$83,0),IF($NP$83="Bell_Curve",$NN$83*(289-$NR$83+1)*($NS$83-289+1)/$NU$83,$NN$83/$NT$83)),0)</f>
        <v/>
      </c>
      <c r="KH83" s="402">
        <f>IF(AND(290&gt;=$NR$83,290&lt;=$NS$83),IF($NP$83="Single_Point",IF(290=$NR$83,$NN$83,0),IF($NP$83="Bell_Curve",$NN$83*(290-$NR$83+1)*($NS$83-290+1)/$NU$83,$NN$83/$NT$83)),0)</f>
        <v/>
      </c>
      <c r="KI83" s="402">
        <f>IF(AND(291&gt;=$NR$83,291&lt;=$NS$83),IF($NP$83="Single_Point",IF(291=$NR$83,$NN$83,0),IF($NP$83="Bell_Curve",$NN$83*(291-$NR$83+1)*($NS$83-291+1)/$NU$83,$NN$83/$NT$83)),0)</f>
        <v/>
      </c>
      <c r="KJ83" s="402">
        <f>IF(AND(292&gt;=$NR$83,292&lt;=$NS$83),IF($NP$83="Single_Point",IF(292=$NR$83,$NN$83,0),IF($NP$83="Bell_Curve",$NN$83*(292-$NR$83+1)*($NS$83-292+1)/$NU$83,$NN$83/$NT$83)),0)</f>
        <v/>
      </c>
      <c r="KK83" s="402">
        <f>IF(AND(293&gt;=$NR$83,293&lt;=$NS$83),IF($NP$83="Single_Point",IF(293=$NR$83,$NN$83,0),IF($NP$83="Bell_Curve",$NN$83*(293-$NR$83+1)*($NS$83-293+1)/$NU$83,$NN$83/$NT$83)),0)</f>
        <v/>
      </c>
      <c r="KL83" s="402">
        <f>IF(AND(294&gt;=$NR$83,294&lt;=$NS$83),IF($NP$83="Single_Point",IF(294=$NR$83,$NN$83,0),IF($NP$83="Bell_Curve",$NN$83*(294-$NR$83+1)*($NS$83-294+1)/$NU$83,$NN$83/$NT$83)),0)</f>
        <v/>
      </c>
      <c r="KM83" s="402">
        <f>IF(AND(295&gt;=$NR$83,295&lt;=$NS$83),IF($NP$83="Single_Point",IF(295=$NR$83,$NN$83,0),IF($NP$83="Bell_Curve",$NN$83*(295-$NR$83+1)*($NS$83-295+1)/$NU$83,$NN$83/$NT$83)),0)</f>
        <v/>
      </c>
      <c r="KN83" s="402">
        <f>IF(AND(296&gt;=$NR$83,296&lt;=$NS$83),IF($NP$83="Single_Point",IF(296=$NR$83,$NN$83,0),IF($NP$83="Bell_Curve",$NN$83*(296-$NR$83+1)*($NS$83-296+1)/$NU$83,$NN$83/$NT$83)),0)</f>
        <v/>
      </c>
      <c r="KO83" s="402">
        <f>IF(AND(297&gt;=$NR$83,297&lt;=$NS$83),IF($NP$83="Single_Point",IF(297=$NR$83,$NN$83,0),IF($NP$83="Bell_Curve",$NN$83*(297-$NR$83+1)*($NS$83-297+1)/$NU$83,$NN$83/$NT$83)),0)</f>
        <v/>
      </c>
      <c r="KP83" s="402">
        <f>IF(AND(298&gt;=$NR$83,298&lt;=$NS$83),IF($NP$83="Single_Point",IF(298=$NR$83,$NN$83,0),IF($NP$83="Bell_Curve",$NN$83*(298-$NR$83+1)*($NS$83-298+1)/$NU$83,$NN$83/$NT$83)),0)</f>
        <v/>
      </c>
      <c r="KQ83" s="402">
        <f>IF(AND(299&gt;=$NR$83,299&lt;=$NS$83),IF($NP$83="Single_Point",IF(299=$NR$83,$NN$83,0),IF($NP$83="Bell_Curve",$NN$83*(299-$NR$83+1)*($NS$83-299+1)/$NU$83,$NN$83/$NT$83)),0)</f>
        <v/>
      </c>
      <c r="KR83" s="402">
        <f>IF(AND(300&gt;=$NR$83,300&lt;=$NS$83),IF($NP$83="Single_Point",IF(300=$NR$83,$NN$83,0),IF($NP$83="Bell_Curve",$NN$83*(300-$NR$83+1)*($NS$83-300+1)/$NU$83,$NN$83/$NT$83)),0)</f>
        <v/>
      </c>
      <c r="KS83" s="402">
        <f>IF(AND(301&gt;=$NR$83,301&lt;=$NS$83),IF($NP$83="Single_Point",IF(301=$NR$83,$NN$83,0),IF($NP$83="Bell_Curve",$NN$83*(301-$NR$83+1)*($NS$83-301+1)/$NU$83,$NN$83/$NT$83)),0)</f>
        <v/>
      </c>
      <c r="KT83" s="402">
        <f>IF(AND(302&gt;=$NR$83,302&lt;=$NS$83),IF($NP$83="Single_Point",IF(302=$NR$83,$NN$83,0),IF($NP$83="Bell_Curve",$NN$83*(302-$NR$83+1)*($NS$83-302+1)/$NU$83,$NN$83/$NT$83)),0)</f>
        <v/>
      </c>
      <c r="KU83" s="402">
        <f>IF(AND(303&gt;=$NR$83,303&lt;=$NS$83),IF($NP$83="Single_Point",IF(303=$NR$83,$NN$83,0),IF($NP$83="Bell_Curve",$NN$83*(303-$NR$83+1)*($NS$83-303+1)/$NU$83,$NN$83/$NT$83)),0)</f>
        <v/>
      </c>
      <c r="KV83" s="402">
        <f>IF(AND(304&gt;=$NR$83,304&lt;=$NS$83),IF($NP$83="Single_Point",IF(304=$NR$83,$NN$83,0),IF($NP$83="Bell_Curve",$NN$83*(304-$NR$83+1)*($NS$83-304+1)/$NU$83,$NN$83/$NT$83)),0)</f>
        <v/>
      </c>
      <c r="KW83" s="402">
        <f>IF(AND(305&gt;=$NR$83,305&lt;=$NS$83),IF($NP$83="Single_Point",IF(305=$NR$83,$NN$83,0),IF($NP$83="Bell_Curve",$NN$83*(305-$NR$83+1)*($NS$83-305+1)/$NU$83,$NN$83/$NT$83)),0)</f>
        <v/>
      </c>
      <c r="KX83" s="402">
        <f>IF(AND(306&gt;=$NR$83,306&lt;=$NS$83),IF($NP$83="Single_Point",IF(306=$NR$83,$NN$83,0),IF($NP$83="Bell_Curve",$NN$83*(306-$NR$83+1)*($NS$83-306+1)/$NU$83,$NN$83/$NT$83)),0)</f>
        <v/>
      </c>
      <c r="KY83" s="402">
        <f>IF(AND(307&gt;=$NR$83,307&lt;=$NS$83),IF($NP$83="Single_Point",IF(307=$NR$83,$NN$83,0),IF($NP$83="Bell_Curve",$NN$83*(307-$NR$83+1)*($NS$83-307+1)/$NU$83,$NN$83/$NT$83)),0)</f>
        <v/>
      </c>
      <c r="KZ83" s="402">
        <f>IF(AND(308&gt;=$NR$83,308&lt;=$NS$83),IF($NP$83="Single_Point",IF(308=$NR$83,$NN$83,0),IF($NP$83="Bell_Curve",$NN$83*(308-$NR$83+1)*($NS$83-308+1)/$NU$83,$NN$83/$NT$83)),0)</f>
        <v/>
      </c>
      <c r="LA83" s="402">
        <f>IF(AND(309&gt;=$NR$83,309&lt;=$NS$83),IF($NP$83="Single_Point",IF(309=$NR$83,$NN$83,0),IF($NP$83="Bell_Curve",$NN$83*(309-$NR$83+1)*($NS$83-309+1)/$NU$83,$NN$83/$NT$83)),0)</f>
        <v/>
      </c>
      <c r="LB83" s="402">
        <f>IF(AND(310&gt;=$NR$83,310&lt;=$NS$83),IF($NP$83="Single_Point",IF(310=$NR$83,$NN$83,0),IF($NP$83="Bell_Curve",$NN$83*(310-$NR$83+1)*($NS$83-310+1)/$NU$83,$NN$83/$NT$83)),0)</f>
        <v/>
      </c>
      <c r="LC83" s="402">
        <f>IF(AND(311&gt;=$NR$83,311&lt;=$NS$83),IF($NP$83="Single_Point",IF(311=$NR$83,$NN$83,0),IF($NP$83="Bell_Curve",$NN$83*(311-$NR$83+1)*($NS$83-311+1)/$NU$83,$NN$83/$NT$83)),0)</f>
        <v/>
      </c>
      <c r="LD83" s="402">
        <f>IF(AND(312&gt;=$NR$83,312&lt;=$NS$83),IF($NP$83="Single_Point",IF(312=$NR$83,$NN$83,0),IF($NP$83="Bell_Curve",$NN$83*(312-$NR$83+1)*($NS$83-312+1)/$NU$83,$NN$83/$NT$83)),0)</f>
        <v/>
      </c>
      <c r="LE83" s="402">
        <f>IF(AND(313&gt;=$NR$83,313&lt;=$NS$83),IF($NP$83="Single_Point",IF(313=$NR$83,$NN$83,0),IF($NP$83="Bell_Curve",$NN$83*(313-$NR$83+1)*($NS$83-313+1)/$NU$83,$NN$83/$NT$83)),0)</f>
        <v/>
      </c>
      <c r="LF83" s="402">
        <f>IF(AND(314&gt;=$NR$83,314&lt;=$NS$83),IF($NP$83="Single_Point",IF(314=$NR$83,$NN$83,0),IF($NP$83="Bell_Curve",$NN$83*(314-$NR$83+1)*($NS$83-314+1)/$NU$83,$NN$83/$NT$83)),0)</f>
        <v/>
      </c>
      <c r="LG83" s="402">
        <f>IF(AND(315&gt;=$NR$83,315&lt;=$NS$83),IF($NP$83="Single_Point",IF(315=$NR$83,$NN$83,0),IF($NP$83="Bell_Curve",$NN$83*(315-$NR$83+1)*($NS$83-315+1)/$NU$83,$NN$83/$NT$83)),0)</f>
        <v/>
      </c>
      <c r="LH83" s="402">
        <f>IF(AND(316&gt;=$NR$83,316&lt;=$NS$83),IF($NP$83="Single_Point",IF(316=$NR$83,$NN$83,0),IF($NP$83="Bell_Curve",$NN$83*(316-$NR$83+1)*($NS$83-316+1)/$NU$83,$NN$83/$NT$83)),0)</f>
        <v/>
      </c>
      <c r="LI83" s="402">
        <f>IF(AND(317&gt;=$NR$83,317&lt;=$NS$83),IF($NP$83="Single_Point",IF(317=$NR$83,$NN$83,0),IF($NP$83="Bell_Curve",$NN$83*(317-$NR$83+1)*($NS$83-317+1)/$NU$83,$NN$83/$NT$83)),0)</f>
        <v/>
      </c>
      <c r="LJ83" s="402">
        <f>IF(AND(318&gt;=$NR$83,318&lt;=$NS$83),IF($NP$83="Single_Point",IF(318=$NR$83,$NN$83,0),IF($NP$83="Bell_Curve",$NN$83*(318-$NR$83+1)*($NS$83-318+1)/$NU$83,$NN$83/$NT$83)),0)</f>
        <v/>
      </c>
      <c r="LK83" s="402">
        <f>IF(AND(319&gt;=$NR$83,319&lt;=$NS$83),IF($NP$83="Single_Point",IF(319=$NR$83,$NN$83,0),IF($NP$83="Bell_Curve",$NN$83*(319-$NR$83+1)*($NS$83-319+1)/$NU$83,$NN$83/$NT$83)),0)</f>
        <v/>
      </c>
      <c r="LL83" s="402">
        <f>IF(AND(320&gt;=$NR$83,320&lt;=$NS$83),IF($NP$83="Single_Point",IF(320=$NR$83,$NN$83,0),IF($NP$83="Bell_Curve",$NN$83*(320-$NR$83+1)*($NS$83-320+1)/$NU$83,$NN$83/$NT$83)),0)</f>
        <v/>
      </c>
      <c r="LM83" s="402">
        <f>IF(AND(321&gt;=$NR$83,321&lt;=$NS$83),IF($NP$83="Single_Point",IF(321=$NR$83,$NN$83,0),IF($NP$83="Bell_Curve",$NN$83*(321-$NR$83+1)*($NS$83-321+1)/$NU$83,$NN$83/$NT$83)),0)</f>
        <v/>
      </c>
      <c r="LN83" s="402">
        <f>IF(AND(322&gt;=$NR$83,322&lt;=$NS$83),IF($NP$83="Single_Point",IF(322=$NR$83,$NN$83,0),IF($NP$83="Bell_Curve",$NN$83*(322-$NR$83+1)*($NS$83-322+1)/$NU$83,$NN$83/$NT$83)),0)</f>
        <v/>
      </c>
      <c r="LO83" s="402">
        <f>IF(AND(323&gt;=$NR$83,323&lt;=$NS$83),IF($NP$83="Single_Point",IF(323=$NR$83,$NN$83,0),IF($NP$83="Bell_Curve",$NN$83*(323-$NR$83+1)*($NS$83-323+1)/$NU$83,$NN$83/$NT$83)),0)</f>
        <v/>
      </c>
      <c r="LP83" s="402">
        <f>IF(AND(324&gt;=$NR$83,324&lt;=$NS$83),IF($NP$83="Single_Point",IF(324=$NR$83,$NN$83,0),IF($NP$83="Bell_Curve",$NN$83*(324-$NR$83+1)*($NS$83-324+1)/$NU$83,$NN$83/$NT$83)),0)</f>
        <v/>
      </c>
      <c r="LQ83" s="402">
        <f>IF(AND(325&gt;=$NR$83,325&lt;=$NS$83),IF($NP$83="Single_Point",IF(325=$NR$83,$NN$83,0),IF($NP$83="Bell_Curve",$NN$83*(325-$NR$83+1)*($NS$83-325+1)/$NU$83,$NN$83/$NT$83)),0)</f>
        <v/>
      </c>
      <c r="LR83" s="402">
        <f>IF(AND(326&gt;=$NR$83,326&lt;=$NS$83),IF($NP$83="Single_Point",IF(326=$NR$83,$NN$83,0),IF($NP$83="Bell_Curve",$NN$83*(326-$NR$83+1)*($NS$83-326+1)/$NU$83,$NN$83/$NT$83)),0)</f>
        <v/>
      </c>
      <c r="LS83" s="402">
        <f>IF(AND(327&gt;=$NR$83,327&lt;=$NS$83),IF($NP$83="Single_Point",IF(327=$NR$83,$NN$83,0),IF($NP$83="Bell_Curve",$NN$83*(327-$NR$83+1)*($NS$83-327+1)/$NU$83,$NN$83/$NT$83)),0)</f>
        <v/>
      </c>
      <c r="LT83" s="402">
        <f>IF(AND(328&gt;=$NR$83,328&lt;=$NS$83),IF($NP$83="Single_Point",IF(328=$NR$83,$NN$83,0),IF($NP$83="Bell_Curve",$NN$83*(328-$NR$83+1)*($NS$83-328+1)/$NU$83,$NN$83/$NT$83)),0)</f>
        <v/>
      </c>
      <c r="LU83" s="402">
        <f>IF(AND(329&gt;=$NR$83,329&lt;=$NS$83),IF($NP$83="Single_Point",IF(329=$NR$83,$NN$83,0),IF($NP$83="Bell_Curve",$NN$83*(329-$NR$83+1)*($NS$83-329+1)/$NU$83,$NN$83/$NT$83)),0)</f>
        <v/>
      </c>
      <c r="LV83" s="402">
        <f>IF(AND(330&gt;=$NR$83,330&lt;=$NS$83),IF($NP$83="Single_Point",IF(330=$NR$83,$NN$83,0),IF($NP$83="Bell_Curve",$NN$83*(330-$NR$83+1)*($NS$83-330+1)/$NU$83,$NN$83/$NT$83)),0)</f>
        <v/>
      </c>
      <c r="LW83" s="402">
        <f>IF(AND(331&gt;=$NR$83,331&lt;=$NS$83),IF($NP$83="Single_Point",IF(331=$NR$83,$NN$83,0),IF($NP$83="Bell_Curve",$NN$83*(331-$NR$83+1)*($NS$83-331+1)/$NU$83,$NN$83/$NT$83)),0)</f>
        <v/>
      </c>
      <c r="LX83" s="402">
        <f>IF(AND(332&gt;=$NR$83,332&lt;=$NS$83),IF($NP$83="Single_Point",IF(332=$NR$83,$NN$83,0),IF($NP$83="Bell_Curve",$NN$83*(332-$NR$83+1)*($NS$83-332+1)/$NU$83,$NN$83/$NT$83)),0)</f>
        <v/>
      </c>
      <c r="LY83" s="402">
        <f>IF(AND(333&gt;=$NR$83,333&lt;=$NS$83),IF($NP$83="Single_Point",IF(333=$NR$83,$NN$83,0),IF($NP$83="Bell_Curve",$NN$83*(333-$NR$83+1)*($NS$83-333+1)/$NU$83,$NN$83/$NT$83)),0)</f>
        <v/>
      </c>
      <c r="LZ83" s="402">
        <f>IF(AND(334&gt;=$NR$83,334&lt;=$NS$83),IF($NP$83="Single_Point",IF(334=$NR$83,$NN$83,0),IF($NP$83="Bell_Curve",$NN$83*(334-$NR$83+1)*($NS$83-334+1)/$NU$83,$NN$83/$NT$83)),0)</f>
        <v/>
      </c>
      <c r="MA83" s="402">
        <f>IF(AND(335&gt;=$NR$83,335&lt;=$NS$83),IF($NP$83="Single_Point",IF(335=$NR$83,$NN$83,0),IF($NP$83="Bell_Curve",$NN$83*(335-$NR$83+1)*($NS$83-335+1)/$NU$83,$NN$83/$NT$83)),0)</f>
        <v/>
      </c>
      <c r="MB83" s="402">
        <f>IF(AND(336&gt;=$NR$83,336&lt;=$NS$83),IF($NP$83="Single_Point",IF(336=$NR$83,$NN$83,0),IF($NP$83="Bell_Curve",$NN$83*(336-$NR$83+1)*($NS$83-336+1)/$NU$83,$NN$83/$NT$83)),0)</f>
        <v/>
      </c>
      <c r="MC83" s="402">
        <f>IF(AND(337&gt;=$NR$83,337&lt;=$NS$83),IF($NP$83="Single_Point",IF(337=$NR$83,$NN$83,0),IF($NP$83="Bell_Curve",$NN$83*(337-$NR$83+1)*($NS$83-337+1)/$NU$83,$NN$83/$NT$83)),0)</f>
        <v/>
      </c>
      <c r="MD83" s="402">
        <f>IF(AND(338&gt;=$NR$83,338&lt;=$NS$83),IF($NP$83="Single_Point",IF(338=$NR$83,$NN$83,0),IF($NP$83="Bell_Curve",$NN$83*(338-$NR$83+1)*($NS$83-338+1)/$NU$83,$NN$83/$NT$83)),0)</f>
        <v/>
      </c>
      <c r="ME83" s="402">
        <f>IF(AND(339&gt;=$NR$83,339&lt;=$NS$83),IF($NP$83="Single_Point",IF(339=$NR$83,$NN$83,0),IF($NP$83="Bell_Curve",$NN$83*(339-$NR$83+1)*($NS$83-339+1)/$NU$83,$NN$83/$NT$83)),0)</f>
        <v/>
      </c>
      <c r="MF83" s="402">
        <f>IF(AND(340&gt;=$NR$83,340&lt;=$NS$83),IF($NP$83="Single_Point",IF(340=$NR$83,$NN$83,0),IF($NP$83="Bell_Curve",$NN$83*(340-$NR$83+1)*($NS$83-340+1)/$NU$83,$NN$83/$NT$83)),0)</f>
        <v/>
      </c>
      <c r="MG83" s="402">
        <f>IF(AND(341&gt;=$NR$83,341&lt;=$NS$83),IF($NP$83="Single_Point",IF(341=$NR$83,$NN$83,0),IF($NP$83="Bell_Curve",$NN$83*(341-$NR$83+1)*($NS$83-341+1)/$NU$83,$NN$83/$NT$83)),0)</f>
        <v/>
      </c>
      <c r="MH83" s="402">
        <f>IF(AND(342&gt;=$NR$83,342&lt;=$NS$83),IF($NP$83="Single_Point",IF(342=$NR$83,$NN$83,0),IF($NP$83="Bell_Curve",$NN$83*(342-$NR$83+1)*($NS$83-342+1)/$NU$83,$NN$83/$NT$83)),0)</f>
        <v/>
      </c>
      <c r="MI83" s="402">
        <f>IF(AND(343&gt;=$NR$83,343&lt;=$NS$83),IF($NP$83="Single_Point",IF(343=$NR$83,$NN$83,0),IF($NP$83="Bell_Curve",$NN$83*(343-$NR$83+1)*($NS$83-343+1)/$NU$83,$NN$83/$NT$83)),0)</f>
        <v/>
      </c>
      <c r="MJ83" s="402">
        <f>IF(AND(344&gt;=$NR$83,344&lt;=$NS$83),IF($NP$83="Single_Point",IF(344=$NR$83,$NN$83,0),IF($NP$83="Bell_Curve",$NN$83*(344-$NR$83+1)*($NS$83-344+1)/$NU$83,$NN$83/$NT$83)),0)</f>
        <v/>
      </c>
      <c r="MK83" s="402">
        <f>IF(AND(345&gt;=$NR$83,345&lt;=$NS$83),IF($NP$83="Single_Point",IF(345=$NR$83,$NN$83,0),IF($NP$83="Bell_Curve",$NN$83*(345-$NR$83+1)*($NS$83-345+1)/$NU$83,$NN$83/$NT$83)),0)</f>
        <v/>
      </c>
      <c r="ML83" s="402">
        <f>IF(AND(346&gt;=$NR$83,346&lt;=$NS$83),IF($NP$83="Single_Point",IF(346=$NR$83,$NN$83,0),IF($NP$83="Bell_Curve",$NN$83*(346-$NR$83+1)*($NS$83-346+1)/$NU$83,$NN$83/$NT$83)),0)</f>
        <v/>
      </c>
      <c r="MM83" s="402">
        <f>IF(AND(347&gt;=$NR$83,347&lt;=$NS$83),IF($NP$83="Single_Point",IF(347=$NR$83,$NN$83,0),IF($NP$83="Bell_Curve",$NN$83*(347-$NR$83+1)*($NS$83-347+1)/$NU$83,$NN$83/$NT$83)),0)</f>
        <v/>
      </c>
      <c r="MN83" s="402">
        <f>IF(AND(348&gt;=$NR$83,348&lt;=$NS$83),IF($NP$83="Single_Point",IF(348=$NR$83,$NN$83,0),IF($NP$83="Bell_Curve",$NN$83*(348-$NR$83+1)*($NS$83-348+1)/$NU$83,$NN$83/$NT$83)),0)</f>
        <v/>
      </c>
      <c r="MO83" s="402">
        <f>IF(AND(349&gt;=$NR$83,349&lt;=$NS$83),IF($NP$83="Single_Point",IF(349=$NR$83,$NN$83,0),IF($NP$83="Bell_Curve",$NN$83*(349-$NR$83+1)*($NS$83-349+1)/$NU$83,$NN$83/$NT$83)),0)</f>
        <v/>
      </c>
      <c r="MP83" s="402">
        <f>IF(AND(350&gt;=$NR$83,350&lt;=$NS$83),IF($NP$83="Single_Point",IF(350=$NR$83,$NN$83,0),IF($NP$83="Bell_Curve",$NN$83*(350-$NR$83+1)*($NS$83-350+1)/$NU$83,$NN$83/$NT$83)),0)</f>
        <v/>
      </c>
      <c r="MQ83" s="402">
        <f>IF(AND(351&gt;=$NR$83,351&lt;=$NS$83),IF($NP$83="Single_Point",IF(351=$NR$83,$NN$83,0),IF($NP$83="Bell_Curve",$NN$83*(351-$NR$83+1)*($NS$83-351+1)/$NU$83,$NN$83/$NT$83)),0)</f>
        <v/>
      </c>
      <c r="MR83" s="402">
        <f>IF(AND(352&gt;=$NR$83,352&lt;=$NS$83),IF($NP$83="Single_Point",IF(352=$NR$83,$NN$83,0),IF($NP$83="Bell_Curve",$NN$83*(352-$NR$83+1)*($NS$83-352+1)/$NU$83,$NN$83/$NT$83)),0)</f>
        <v/>
      </c>
      <c r="MS83" s="402">
        <f>IF(AND(353&gt;=$NR$83,353&lt;=$NS$83),IF($NP$83="Single_Point",IF(353=$NR$83,$NN$83,0),IF($NP$83="Bell_Curve",$NN$83*(353-$NR$83+1)*($NS$83-353+1)/$NU$83,$NN$83/$NT$83)),0)</f>
        <v/>
      </c>
      <c r="MT83" s="402">
        <f>IF(AND(354&gt;=$NR$83,354&lt;=$NS$83),IF($NP$83="Single_Point",IF(354=$NR$83,$NN$83,0),IF($NP$83="Bell_Curve",$NN$83*(354-$NR$83+1)*($NS$83-354+1)/$NU$83,$NN$83/$NT$83)),0)</f>
        <v/>
      </c>
      <c r="MU83" s="402">
        <f>IF(AND(355&gt;=$NR$83,355&lt;=$NS$83),IF($NP$83="Single_Point",IF(355=$NR$83,$NN$83,0),IF($NP$83="Bell_Curve",$NN$83*(355-$NR$83+1)*($NS$83-355+1)/$NU$83,$NN$83/$NT$83)),0)</f>
        <v/>
      </c>
      <c r="MV83" s="402">
        <f>IF(AND(356&gt;=$NR$83,356&lt;=$NS$83),IF($NP$83="Single_Point",IF(356=$NR$83,$NN$83,0),IF($NP$83="Bell_Curve",$NN$83*(356-$NR$83+1)*($NS$83-356+1)/$NU$83,$NN$83/$NT$83)),0)</f>
        <v/>
      </c>
      <c r="MW83" s="402">
        <f>IF(AND(357&gt;=$NR$83,357&lt;=$NS$83),IF($NP$83="Single_Point",IF(357=$NR$83,$NN$83,0),IF($NP$83="Bell_Curve",$NN$83*(357-$NR$83+1)*($NS$83-357+1)/$NU$83,$NN$83/$NT$83)),0)</f>
        <v/>
      </c>
      <c r="MX83" s="402">
        <f>IF(AND(358&gt;=$NR$83,358&lt;=$NS$83),IF($NP$83="Single_Point",IF(358=$NR$83,$NN$83,0),IF($NP$83="Bell_Curve",$NN$83*(358-$NR$83+1)*($NS$83-358+1)/$NU$83,$NN$83/$NT$83)),0)</f>
        <v/>
      </c>
      <c r="MY83" s="402">
        <f>IF(AND(359&gt;=$NR$83,359&lt;=$NS$83),IF($NP$83="Single_Point",IF(359=$NR$83,$NN$83,0),IF($NP$83="Bell_Curve",$NN$83*(359-$NR$83+1)*($NS$83-359+1)/$NU$83,$NN$83/$NT$83)),0)</f>
        <v/>
      </c>
      <c r="MZ83" s="402">
        <f>IF(AND(360&gt;=$NR$83,360&lt;=$NS$83),IF($NP$83="Single_Point",IF(360=$NR$83,$NN$83,0),IF($NP$83="Bell_Curve",$NN$83*(360-$NR$83+1)*($NS$83-360+1)/$NU$83,$NN$83/$NT$83)),0)</f>
        <v/>
      </c>
      <c r="NA83" s="402">
        <f>IF(AND(361&gt;=$NR$83,361&lt;=$NS$83),IF($NP$83="Single_Point",IF(361=$NR$83,$NN$83,0),IF($NP$83="Bell_Curve",$NN$83*(361-$NR$83+1)*($NS$83-361+1)/$NU$83,$NN$83/$NT$83)),0)</f>
        <v/>
      </c>
      <c r="NB83" s="402">
        <f>IF(AND(362&gt;=$NR$83,362&lt;=$NS$83),IF($NP$83="Single_Point",IF(362=$NR$83,$NN$83,0),IF($NP$83="Bell_Curve",$NN$83*(362-$NR$83+1)*($NS$83-362+1)/$NU$83,$NN$83/$NT$83)),0)</f>
        <v/>
      </c>
      <c r="NC83" s="402">
        <f>IF(AND(363&gt;=$NR$83,363&lt;=$NS$83),IF($NP$83="Single_Point",IF(363=$NR$83,$NN$83,0),IF($NP$83="Bell_Curve",$NN$83*(363-$NR$83+1)*($NS$83-363+1)/$NU$83,$NN$83/$NT$83)),0)</f>
        <v/>
      </c>
      <c r="ND83" s="402">
        <f>IF(AND(364&gt;=$NR$83,364&lt;=$NS$83),IF($NP$83="Single_Point",IF(364=$NR$83,$NN$83,0),IF($NP$83="Bell_Curve",$NN$83*(364-$NR$83+1)*($NS$83-364+1)/$NU$83,$NN$83/$NT$83)),0)</f>
        <v/>
      </c>
      <c r="NE83" s="402">
        <f>IF(AND(365&gt;=$NR$83,365&lt;=$NS$83),IF($NP$83="Single_Point",IF(365=$NR$83,$NN$83,0),IF($NP$83="Bell_Curve",$NN$83*(365-$NR$83+1)*($NS$83-365+1)/$NU$83,$NN$83/$NT$83)),0)</f>
        <v/>
      </c>
      <c r="NF83" s="402">
        <f>IF(AND(366&gt;=$NR$83,366&lt;=$NS$83),IF($NP$83="Single_Point",IF(366=$NR$83,$NN$83,0),IF($NP$83="Bell_Curve",$NN$83*(366-$NR$83+1)*($NS$83-366+1)/$NU$83,$NN$83/$NT$83)),0)</f>
        <v/>
      </c>
      <c r="NG83" s="402">
        <f>IF(AND(367&gt;=$NR$83,367&lt;=$NS$83),IF($NP$83="Single_Point",IF(367=$NR$83,$NN$83,0),IF($NP$83="Bell_Curve",$NN$83*(367-$NR$83+1)*($NS$83-367+1)/$NU$83,$NN$83/$NT$83)),0)</f>
        <v/>
      </c>
      <c r="NH83" s="402">
        <f>IF(AND(368&gt;=$NR$83,368&lt;=$NS$83),IF($NP$83="Single_Point",IF(368=$NR$83,$NN$83,0),IF($NP$83="Bell_Curve",$NN$83*(368-$NR$83+1)*($NS$83-368+1)/$NU$83,$NN$83/$NT$83)),0)</f>
        <v/>
      </c>
      <c r="NI83" s="402">
        <f>IF(AND(369&gt;=$NR$83,369&lt;=$NS$83),IF($NP$83="Single_Point",IF(369=$NR$83,$NN$83,0),IF($NP$83="Bell_Curve",$NN$83*(369-$NR$83+1)*($NS$83-369+1)/$NU$83,$NN$83/$NT$83)),0)</f>
        <v/>
      </c>
      <c r="NJ83" s="402">
        <f>IF(AND(370&gt;=$NR$83,370&lt;=$NS$83),IF($NP$83="Single_Point",IF(370=$NR$83,$NN$83,0),IF($NP$83="Bell_Curve",$NN$83*(370-$NR$83+1)*($NS$83-370+1)/$NU$83,$NN$83/$NT$83)),0)</f>
        <v/>
      </c>
      <c r="NK83" s="402">
        <f>IF(AND(371&gt;=$NR$83,371&lt;=$NS$83),IF($NP$83="Single_Point",IF(371=$NR$83,$NN$83,0),IF($NP$83="Bell_Curve",$NN$83*(371-$NR$83+1)*($NS$83-371+1)/$NU$83,$NN$83/$NT$83)),0)</f>
        <v/>
      </c>
      <c r="NL83" s="402">
        <f>IF(AND(372&gt;=$NR$83,372&lt;=$NS$83),IF($NP$83="Single_Point",IF(372=$NR$83,$NN$83,0),IF($NP$83="Bell_Curve",$NN$83*(372-$NR$83+1)*($NS$83-372+1)/$NU$83,$NN$83/$NT$83)),0)</f>
        <v/>
      </c>
      <c r="NM83">
        <f>Budget!C82</f>
        <v/>
      </c>
      <c r="NN83">
        <f>Budget!J82</f>
        <v/>
      </c>
      <c r="NO83">
        <f>Budget!G82</f>
        <v/>
      </c>
      <c r="NP83">
        <f>Budget!H82</f>
        <v/>
      </c>
      <c r="NQ83">
        <f>Budget!I82</f>
        <v/>
      </c>
      <c r="NR83">
        <f>MAX(1,MIN(372,INDEX(MilestoneStart,MATCH(NO83,MilestoneNames,0))+NQ83))</f>
        <v/>
      </c>
      <c r="NS83">
        <f>MAX(NR83,MIN(372,INDEX(MilestoneEnd,MATCH(NO83,MilestoneNames,0))+NQ83))</f>
        <v/>
      </c>
      <c r="NT83">
        <f>NS83-NR83+1</f>
        <v/>
      </c>
      <c r="NU83">
        <f>NT83*(NT83+1)*(NT83+2)/6</f>
        <v/>
      </c>
    </row>
    <row r="84">
      <c r="B84" s="316">
        <f>Budget!B83</f>
        <v/>
      </c>
      <c r="D84" s="402">
        <f>SUM(E84:NL84)</f>
        <v/>
      </c>
      <c r="E84" s="402">
        <f>IF(AND(1&gt;=$NR$84,1&lt;=$NS$84),IF($NP$84="Single_Point",IF(1=$NR$84,$NN$84,0),IF($NP$84="Bell_Curve",$NN$84*(1-$NR$84+1)*($NS$84-1+1)/$NU$84,$NN$84/$NT$84)),0)</f>
        <v/>
      </c>
      <c r="F84" s="402">
        <f>IF(AND(2&gt;=$NR$84,2&lt;=$NS$84),IF($NP$84="Single_Point",IF(2=$NR$84,$NN$84,0),IF($NP$84="Bell_Curve",$NN$84*(2-$NR$84+1)*($NS$84-2+1)/$NU$84,$NN$84/$NT$84)),0)</f>
        <v/>
      </c>
      <c r="G84" s="402">
        <f>IF(AND(3&gt;=$NR$84,3&lt;=$NS$84),IF($NP$84="Single_Point",IF(3=$NR$84,$NN$84,0),IF($NP$84="Bell_Curve",$NN$84*(3-$NR$84+1)*($NS$84-3+1)/$NU$84,$NN$84/$NT$84)),0)</f>
        <v/>
      </c>
      <c r="H84" s="402">
        <f>IF(AND(4&gt;=$NR$84,4&lt;=$NS$84),IF($NP$84="Single_Point",IF(4=$NR$84,$NN$84,0),IF($NP$84="Bell_Curve",$NN$84*(4-$NR$84+1)*($NS$84-4+1)/$NU$84,$NN$84/$NT$84)),0)</f>
        <v/>
      </c>
      <c r="I84" s="402">
        <f>IF(AND(5&gt;=$NR$84,5&lt;=$NS$84),IF($NP$84="Single_Point",IF(5=$NR$84,$NN$84,0),IF($NP$84="Bell_Curve",$NN$84*(5-$NR$84+1)*($NS$84-5+1)/$NU$84,$NN$84/$NT$84)),0)</f>
        <v/>
      </c>
      <c r="J84" s="402">
        <f>IF(AND(6&gt;=$NR$84,6&lt;=$NS$84),IF($NP$84="Single_Point",IF(6=$NR$84,$NN$84,0),IF($NP$84="Bell_Curve",$NN$84*(6-$NR$84+1)*($NS$84-6+1)/$NU$84,$NN$84/$NT$84)),0)</f>
        <v/>
      </c>
      <c r="K84" s="402">
        <f>IF(AND(7&gt;=$NR$84,7&lt;=$NS$84),IF($NP$84="Single_Point",IF(7=$NR$84,$NN$84,0),IF($NP$84="Bell_Curve",$NN$84*(7-$NR$84+1)*($NS$84-7+1)/$NU$84,$NN$84/$NT$84)),0)</f>
        <v/>
      </c>
      <c r="L84" s="402">
        <f>IF(AND(8&gt;=$NR$84,8&lt;=$NS$84),IF($NP$84="Single_Point",IF(8=$NR$84,$NN$84,0),IF($NP$84="Bell_Curve",$NN$84*(8-$NR$84+1)*($NS$84-8+1)/$NU$84,$NN$84/$NT$84)),0)</f>
        <v/>
      </c>
      <c r="M84" s="402">
        <f>IF(AND(9&gt;=$NR$84,9&lt;=$NS$84),IF($NP$84="Single_Point",IF(9=$NR$84,$NN$84,0),IF($NP$84="Bell_Curve",$NN$84*(9-$NR$84+1)*($NS$84-9+1)/$NU$84,$NN$84/$NT$84)),0)</f>
        <v/>
      </c>
      <c r="N84" s="402">
        <f>IF(AND(10&gt;=$NR$84,10&lt;=$NS$84),IF($NP$84="Single_Point",IF(10=$NR$84,$NN$84,0),IF($NP$84="Bell_Curve",$NN$84*(10-$NR$84+1)*($NS$84-10+1)/$NU$84,$NN$84/$NT$84)),0)</f>
        <v/>
      </c>
      <c r="O84" s="402">
        <f>IF(AND(11&gt;=$NR$84,11&lt;=$NS$84),IF($NP$84="Single_Point",IF(11=$NR$84,$NN$84,0),IF($NP$84="Bell_Curve",$NN$84*(11-$NR$84+1)*($NS$84-11+1)/$NU$84,$NN$84/$NT$84)),0)</f>
        <v/>
      </c>
      <c r="P84" s="402">
        <f>IF(AND(12&gt;=$NR$84,12&lt;=$NS$84),IF($NP$84="Single_Point",IF(12=$NR$84,$NN$84,0),IF($NP$84="Bell_Curve",$NN$84*(12-$NR$84+1)*($NS$84-12+1)/$NU$84,$NN$84/$NT$84)),0)</f>
        <v/>
      </c>
      <c r="Q84" s="402">
        <f>IF(AND(13&gt;=$NR$84,13&lt;=$NS$84),IF($NP$84="Single_Point",IF(13=$NR$84,$NN$84,0),IF($NP$84="Bell_Curve",$NN$84*(13-$NR$84+1)*($NS$84-13+1)/$NU$84,$NN$84/$NT$84)),0)</f>
        <v/>
      </c>
      <c r="R84" s="402">
        <f>IF(AND(14&gt;=$NR$84,14&lt;=$NS$84),IF($NP$84="Single_Point",IF(14=$NR$84,$NN$84,0),IF($NP$84="Bell_Curve",$NN$84*(14-$NR$84+1)*($NS$84-14+1)/$NU$84,$NN$84/$NT$84)),0)</f>
        <v/>
      </c>
      <c r="S84" s="402">
        <f>IF(AND(15&gt;=$NR$84,15&lt;=$NS$84),IF($NP$84="Single_Point",IF(15=$NR$84,$NN$84,0),IF($NP$84="Bell_Curve",$NN$84*(15-$NR$84+1)*($NS$84-15+1)/$NU$84,$NN$84/$NT$84)),0)</f>
        <v/>
      </c>
      <c r="T84" s="402">
        <f>IF(AND(16&gt;=$NR$84,16&lt;=$NS$84),IF($NP$84="Single_Point",IF(16=$NR$84,$NN$84,0),IF($NP$84="Bell_Curve",$NN$84*(16-$NR$84+1)*($NS$84-16+1)/$NU$84,$NN$84/$NT$84)),0)</f>
        <v/>
      </c>
      <c r="U84" s="402">
        <f>IF(AND(17&gt;=$NR$84,17&lt;=$NS$84),IF($NP$84="Single_Point",IF(17=$NR$84,$NN$84,0),IF($NP$84="Bell_Curve",$NN$84*(17-$NR$84+1)*($NS$84-17+1)/$NU$84,$NN$84/$NT$84)),0)</f>
        <v/>
      </c>
      <c r="V84" s="402">
        <f>IF(AND(18&gt;=$NR$84,18&lt;=$NS$84),IF($NP$84="Single_Point",IF(18=$NR$84,$NN$84,0),IF($NP$84="Bell_Curve",$NN$84*(18-$NR$84+1)*($NS$84-18+1)/$NU$84,$NN$84/$NT$84)),0)</f>
        <v/>
      </c>
      <c r="W84" s="402">
        <f>IF(AND(19&gt;=$NR$84,19&lt;=$NS$84),IF($NP$84="Single_Point",IF(19=$NR$84,$NN$84,0),IF($NP$84="Bell_Curve",$NN$84*(19-$NR$84+1)*($NS$84-19+1)/$NU$84,$NN$84/$NT$84)),0)</f>
        <v/>
      </c>
      <c r="X84" s="402">
        <f>IF(AND(20&gt;=$NR$84,20&lt;=$NS$84),IF($NP$84="Single_Point",IF(20=$NR$84,$NN$84,0),IF($NP$84="Bell_Curve",$NN$84*(20-$NR$84+1)*($NS$84-20+1)/$NU$84,$NN$84/$NT$84)),0)</f>
        <v/>
      </c>
      <c r="Y84" s="402">
        <f>IF(AND(21&gt;=$NR$84,21&lt;=$NS$84),IF($NP$84="Single_Point",IF(21=$NR$84,$NN$84,0),IF($NP$84="Bell_Curve",$NN$84*(21-$NR$84+1)*($NS$84-21+1)/$NU$84,$NN$84/$NT$84)),0)</f>
        <v/>
      </c>
      <c r="Z84" s="402">
        <f>IF(AND(22&gt;=$NR$84,22&lt;=$NS$84),IF($NP$84="Single_Point",IF(22=$NR$84,$NN$84,0),IF($NP$84="Bell_Curve",$NN$84*(22-$NR$84+1)*($NS$84-22+1)/$NU$84,$NN$84/$NT$84)),0)</f>
        <v/>
      </c>
      <c r="AA84" s="402">
        <f>IF(AND(23&gt;=$NR$84,23&lt;=$NS$84),IF($NP$84="Single_Point",IF(23=$NR$84,$NN$84,0),IF($NP$84="Bell_Curve",$NN$84*(23-$NR$84+1)*($NS$84-23+1)/$NU$84,$NN$84/$NT$84)),0)</f>
        <v/>
      </c>
      <c r="AB84" s="402">
        <f>IF(AND(24&gt;=$NR$84,24&lt;=$NS$84),IF($NP$84="Single_Point",IF(24=$NR$84,$NN$84,0),IF($NP$84="Bell_Curve",$NN$84*(24-$NR$84+1)*($NS$84-24+1)/$NU$84,$NN$84/$NT$84)),0)</f>
        <v/>
      </c>
      <c r="AC84" s="402">
        <f>IF(AND(25&gt;=$NR$84,25&lt;=$NS$84),IF($NP$84="Single_Point",IF(25=$NR$84,$NN$84,0),IF($NP$84="Bell_Curve",$NN$84*(25-$NR$84+1)*($NS$84-25+1)/$NU$84,$NN$84/$NT$84)),0)</f>
        <v/>
      </c>
      <c r="AD84" s="402">
        <f>IF(AND(26&gt;=$NR$84,26&lt;=$NS$84),IF($NP$84="Single_Point",IF(26=$NR$84,$NN$84,0),IF($NP$84="Bell_Curve",$NN$84*(26-$NR$84+1)*($NS$84-26+1)/$NU$84,$NN$84/$NT$84)),0)</f>
        <v/>
      </c>
      <c r="AE84" s="402">
        <f>IF(AND(27&gt;=$NR$84,27&lt;=$NS$84),IF($NP$84="Single_Point",IF(27=$NR$84,$NN$84,0),IF($NP$84="Bell_Curve",$NN$84*(27-$NR$84+1)*($NS$84-27+1)/$NU$84,$NN$84/$NT$84)),0)</f>
        <v/>
      </c>
      <c r="AF84" s="402">
        <f>IF(AND(28&gt;=$NR$84,28&lt;=$NS$84),IF($NP$84="Single_Point",IF(28=$NR$84,$NN$84,0),IF($NP$84="Bell_Curve",$NN$84*(28-$NR$84+1)*($NS$84-28+1)/$NU$84,$NN$84/$NT$84)),0)</f>
        <v/>
      </c>
      <c r="AG84" s="402">
        <f>IF(AND(29&gt;=$NR$84,29&lt;=$NS$84),IF($NP$84="Single_Point",IF(29=$NR$84,$NN$84,0),IF($NP$84="Bell_Curve",$NN$84*(29-$NR$84+1)*($NS$84-29+1)/$NU$84,$NN$84/$NT$84)),0)</f>
        <v/>
      </c>
      <c r="AH84" s="402">
        <f>IF(AND(30&gt;=$NR$84,30&lt;=$NS$84),IF($NP$84="Single_Point",IF(30=$NR$84,$NN$84,0),IF($NP$84="Bell_Curve",$NN$84*(30-$NR$84+1)*($NS$84-30+1)/$NU$84,$NN$84/$NT$84)),0)</f>
        <v/>
      </c>
      <c r="AI84" s="402">
        <f>IF(AND(31&gt;=$NR$84,31&lt;=$NS$84),IF($NP$84="Single_Point",IF(31=$NR$84,$NN$84,0),IF($NP$84="Bell_Curve",$NN$84*(31-$NR$84+1)*($NS$84-31+1)/$NU$84,$NN$84/$NT$84)),0)</f>
        <v/>
      </c>
      <c r="AJ84" s="402">
        <f>IF(AND(32&gt;=$NR$84,32&lt;=$NS$84),IF($NP$84="Single_Point",IF(32=$NR$84,$NN$84,0),IF($NP$84="Bell_Curve",$NN$84*(32-$NR$84+1)*($NS$84-32+1)/$NU$84,$NN$84/$NT$84)),0)</f>
        <v/>
      </c>
      <c r="AK84" s="402">
        <f>IF(AND(33&gt;=$NR$84,33&lt;=$NS$84),IF($NP$84="Single_Point",IF(33=$NR$84,$NN$84,0),IF($NP$84="Bell_Curve",$NN$84*(33-$NR$84+1)*($NS$84-33+1)/$NU$84,$NN$84/$NT$84)),0)</f>
        <v/>
      </c>
      <c r="AL84" s="402">
        <f>IF(AND(34&gt;=$NR$84,34&lt;=$NS$84),IF($NP$84="Single_Point",IF(34=$NR$84,$NN$84,0),IF($NP$84="Bell_Curve",$NN$84*(34-$NR$84+1)*($NS$84-34+1)/$NU$84,$NN$84/$NT$84)),0)</f>
        <v/>
      </c>
      <c r="AM84" s="402">
        <f>IF(AND(35&gt;=$NR$84,35&lt;=$NS$84),IF($NP$84="Single_Point",IF(35=$NR$84,$NN$84,0),IF($NP$84="Bell_Curve",$NN$84*(35-$NR$84+1)*($NS$84-35+1)/$NU$84,$NN$84/$NT$84)),0)</f>
        <v/>
      </c>
      <c r="AN84" s="402">
        <f>IF(AND(36&gt;=$NR$84,36&lt;=$NS$84),IF($NP$84="Single_Point",IF(36=$NR$84,$NN$84,0),IF($NP$84="Bell_Curve",$NN$84*(36-$NR$84+1)*($NS$84-36+1)/$NU$84,$NN$84/$NT$84)),0)</f>
        <v/>
      </c>
      <c r="AO84" s="402">
        <f>IF(AND(37&gt;=$NR$84,37&lt;=$NS$84),IF($NP$84="Single_Point",IF(37=$NR$84,$NN$84,0),IF($NP$84="Bell_Curve",$NN$84*(37-$NR$84+1)*($NS$84-37+1)/$NU$84,$NN$84/$NT$84)),0)</f>
        <v/>
      </c>
      <c r="AP84" s="402">
        <f>IF(AND(38&gt;=$NR$84,38&lt;=$NS$84),IF($NP$84="Single_Point",IF(38=$NR$84,$NN$84,0),IF($NP$84="Bell_Curve",$NN$84*(38-$NR$84+1)*($NS$84-38+1)/$NU$84,$NN$84/$NT$84)),0)</f>
        <v/>
      </c>
      <c r="AQ84" s="402">
        <f>IF(AND(39&gt;=$NR$84,39&lt;=$NS$84),IF($NP$84="Single_Point",IF(39=$NR$84,$NN$84,0),IF($NP$84="Bell_Curve",$NN$84*(39-$NR$84+1)*($NS$84-39+1)/$NU$84,$NN$84/$NT$84)),0)</f>
        <v/>
      </c>
      <c r="AR84" s="402">
        <f>IF(AND(40&gt;=$NR$84,40&lt;=$NS$84),IF($NP$84="Single_Point",IF(40=$NR$84,$NN$84,0),IF($NP$84="Bell_Curve",$NN$84*(40-$NR$84+1)*($NS$84-40+1)/$NU$84,$NN$84/$NT$84)),0)</f>
        <v/>
      </c>
      <c r="AS84" s="402">
        <f>IF(AND(41&gt;=$NR$84,41&lt;=$NS$84),IF($NP$84="Single_Point",IF(41=$NR$84,$NN$84,0),IF($NP$84="Bell_Curve",$NN$84*(41-$NR$84+1)*($NS$84-41+1)/$NU$84,$NN$84/$NT$84)),0)</f>
        <v/>
      </c>
      <c r="AT84" s="402">
        <f>IF(AND(42&gt;=$NR$84,42&lt;=$NS$84),IF($NP$84="Single_Point",IF(42=$NR$84,$NN$84,0),IF($NP$84="Bell_Curve",$NN$84*(42-$NR$84+1)*($NS$84-42+1)/$NU$84,$NN$84/$NT$84)),0)</f>
        <v/>
      </c>
      <c r="AU84" s="402">
        <f>IF(AND(43&gt;=$NR$84,43&lt;=$NS$84),IF($NP$84="Single_Point",IF(43=$NR$84,$NN$84,0),IF($NP$84="Bell_Curve",$NN$84*(43-$NR$84+1)*($NS$84-43+1)/$NU$84,$NN$84/$NT$84)),0)</f>
        <v/>
      </c>
      <c r="AV84" s="402">
        <f>IF(AND(44&gt;=$NR$84,44&lt;=$NS$84),IF($NP$84="Single_Point",IF(44=$NR$84,$NN$84,0),IF($NP$84="Bell_Curve",$NN$84*(44-$NR$84+1)*($NS$84-44+1)/$NU$84,$NN$84/$NT$84)),0)</f>
        <v/>
      </c>
      <c r="AW84" s="402">
        <f>IF(AND(45&gt;=$NR$84,45&lt;=$NS$84),IF($NP$84="Single_Point",IF(45=$NR$84,$NN$84,0),IF($NP$84="Bell_Curve",$NN$84*(45-$NR$84+1)*($NS$84-45+1)/$NU$84,$NN$84/$NT$84)),0)</f>
        <v/>
      </c>
      <c r="AX84" s="402">
        <f>IF(AND(46&gt;=$NR$84,46&lt;=$NS$84),IF($NP$84="Single_Point",IF(46=$NR$84,$NN$84,0),IF($NP$84="Bell_Curve",$NN$84*(46-$NR$84+1)*($NS$84-46+1)/$NU$84,$NN$84/$NT$84)),0)</f>
        <v/>
      </c>
      <c r="AY84" s="402">
        <f>IF(AND(47&gt;=$NR$84,47&lt;=$NS$84),IF($NP$84="Single_Point",IF(47=$NR$84,$NN$84,0),IF($NP$84="Bell_Curve",$NN$84*(47-$NR$84+1)*($NS$84-47+1)/$NU$84,$NN$84/$NT$84)),0)</f>
        <v/>
      </c>
      <c r="AZ84" s="402">
        <f>IF(AND(48&gt;=$NR$84,48&lt;=$NS$84),IF($NP$84="Single_Point",IF(48=$NR$84,$NN$84,0),IF($NP$84="Bell_Curve",$NN$84*(48-$NR$84+1)*($NS$84-48+1)/$NU$84,$NN$84/$NT$84)),0)</f>
        <v/>
      </c>
      <c r="BA84" s="402">
        <f>IF(AND(49&gt;=$NR$84,49&lt;=$NS$84),IF($NP$84="Single_Point",IF(49=$NR$84,$NN$84,0),IF($NP$84="Bell_Curve",$NN$84*(49-$NR$84+1)*($NS$84-49+1)/$NU$84,$NN$84/$NT$84)),0)</f>
        <v/>
      </c>
      <c r="BB84" s="402">
        <f>IF(AND(50&gt;=$NR$84,50&lt;=$NS$84),IF($NP$84="Single_Point",IF(50=$NR$84,$NN$84,0),IF($NP$84="Bell_Curve",$NN$84*(50-$NR$84+1)*($NS$84-50+1)/$NU$84,$NN$84/$NT$84)),0)</f>
        <v/>
      </c>
      <c r="BC84" s="402">
        <f>IF(AND(51&gt;=$NR$84,51&lt;=$NS$84),IF($NP$84="Single_Point",IF(51=$NR$84,$NN$84,0),IF($NP$84="Bell_Curve",$NN$84*(51-$NR$84+1)*($NS$84-51+1)/$NU$84,$NN$84/$NT$84)),0)</f>
        <v/>
      </c>
      <c r="BD84" s="402">
        <f>IF(AND(52&gt;=$NR$84,52&lt;=$NS$84),IF($NP$84="Single_Point",IF(52=$NR$84,$NN$84,0),IF($NP$84="Bell_Curve",$NN$84*(52-$NR$84+1)*($NS$84-52+1)/$NU$84,$NN$84/$NT$84)),0)</f>
        <v/>
      </c>
      <c r="BE84" s="402">
        <f>IF(AND(53&gt;=$NR$84,53&lt;=$NS$84),IF($NP$84="Single_Point",IF(53=$NR$84,$NN$84,0),IF($NP$84="Bell_Curve",$NN$84*(53-$NR$84+1)*($NS$84-53+1)/$NU$84,$NN$84/$NT$84)),0)</f>
        <v/>
      </c>
      <c r="BF84" s="402">
        <f>IF(AND(54&gt;=$NR$84,54&lt;=$NS$84),IF($NP$84="Single_Point",IF(54=$NR$84,$NN$84,0),IF($NP$84="Bell_Curve",$NN$84*(54-$NR$84+1)*($NS$84-54+1)/$NU$84,$NN$84/$NT$84)),0)</f>
        <v/>
      </c>
      <c r="BG84" s="402">
        <f>IF(AND(55&gt;=$NR$84,55&lt;=$NS$84),IF($NP$84="Single_Point",IF(55=$NR$84,$NN$84,0),IF($NP$84="Bell_Curve",$NN$84*(55-$NR$84+1)*($NS$84-55+1)/$NU$84,$NN$84/$NT$84)),0)</f>
        <v/>
      </c>
      <c r="BH84" s="402">
        <f>IF(AND(56&gt;=$NR$84,56&lt;=$NS$84),IF($NP$84="Single_Point",IF(56=$NR$84,$NN$84,0),IF($NP$84="Bell_Curve",$NN$84*(56-$NR$84+1)*($NS$84-56+1)/$NU$84,$NN$84/$NT$84)),0)</f>
        <v/>
      </c>
      <c r="BI84" s="402">
        <f>IF(AND(57&gt;=$NR$84,57&lt;=$NS$84),IF($NP$84="Single_Point",IF(57=$NR$84,$NN$84,0),IF($NP$84="Bell_Curve",$NN$84*(57-$NR$84+1)*($NS$84-57+1)/$NU$84,$NN$84/$NT$84)),0)</f>
        <v/>
      </c>
      <c r="BJ84" s="402">
        <f>IF(AND(58&gt;=$NR$84,58&lt;=$NS$84),IF($NP$84="Single_Point",IF(58=$NR$84,$NN$84,0),IF($NP$84="Bell_Curve",$NN$84*(58-$NR$84+1)*($NS$84-58+1)/$NU$84,$NN$84/$NT$84)),0)</f>
        <v/>
      </c>
      <c r="BK84" s="402">
        <f>IF(AND(59&gt;=$NR$84,59&lt;=$NS$84),IF($NP$84="Single_Point",IF(59=$NR$84,$NN$84,0),IF($NP$84="Bell_Curve",$NN$84*(59-$NR$84+1)*($NS$84-59+1)/$NU$84,$NN$84/$NT$84)),0)</f>
        <v/>
      </c>
      <c r="BL84" s="402">
        <f>IF(AND(60&gt;=$NR$84,60&lt;=$NS$84),IF($NP$84="Single_Point",IF(60=$NR$84,$NN$84,0),IF($NP$84="Bell_Curve",$NN$84*(60-$NR$84+1)*($NS$84-60+1)/$NU$84,$NN$84/$NT$84)),0)</f>
        <v/>
      </c>
      <c r="BM84" s="402">
        <f>IF(AND(61&gt;=$NR$84,61&lt;=$NS$84),IF($NP$84="Single_Point",IF(61=$NR$84,$NN$84,0),IF($NP$84="Bell_Curve",$NN$84*(61-$NR$84+1)*($NS$84-61+1)/$NU$84,$NN$84/$NT$84)),0)</f>
        <v/>
      </c>
      <c r="BN84" s="402">
        <f>IF(AND(62&gt;=$NR$84,62&lt;=$NS$84),IF($NP$84="Single_Point",IF(62=$NR$84,$NN$84,0),IF($NP$84="Bell_Curve",$NN$84*(62-$NR$84+1)*($NS$84-62+1)/$NU$84,$NN$84/$NT$84)),0)</f>
        <v/>
      </c>
      <c r="BO84" s="402">
        <f>IF(AND(63&gt;=$NR$84,63&lt;=$NS$84),IF($NP$84="Single_Point",IF(63=$NR$84,$NN$84,0),IF($NP$84="Bell_Curve",$NN$84*(63-$NR$84+1)*($NS$84-63+1)/$NU$84,$NN$84/$NT$84)),0)</f>
        <v/>
      </c>
      <c r="BP84" s="402">
        <f>IF(AND(64&gt;=$NR$84,64&lt;=$NS$84),IF($NP$84="Single_Point",IF(64=$NR$84,$NN$84,0),IF($NP$84="Bell_Curve",$NN$84*(64-$NR$84+1)*($NS$84-64+1)/$NU$84,$NN$84/$NT$84)),0)</f>
        <v/>
      </c>
      <c r="BQ84" s="402">
        <f>IF(AND(65&gt;=$NR$84,65&lt;=$NS$84),IF($NP$84="Single_Point",IF(65=$NR$84,$NN$84,0),IF($NP$84="Bell_Curve",$NN$84*(65-$NR$84+1)*($NS$84-65+1)/$NU$84,$NN$84/$NT$84)),0)</f>
        <v/>
      </c>
      <c r="BR84" s="402">
        <f>IF(AND(66&gt;=$NR$84,66&lt;=$NS$84),IF($NP$84="Single_Point",IF(66=$NR$84,$NN$84,0),IF($NP$84="Bell_Curve",$NN$84*(66-$NR$84+1)*($NS$84-66+1)/$NU$84,$NN$84/$NT$84)),0)</f>
        <v/>
      </c>
      <c r="BS84" s="402">
        <f>IF(AND(67&gt;=$NR$84,67&lt;=$NS$84),IF($NP$84="Single_Point",IF(67=$NR$84,$NN$84,0),IF($NP$84="Bell_Curve",$NN$84*(67-$NR$84+1)*($NS$84-67+1)/$NU$84,$NN$84/$NT$84)),0)</f>
        <v/>
      </c>
      <c r="BT84" s="402">
        <f>IF(AND(68&gt;=$NR$84,68&lt;=$NS$84),IF($NP$84="Single_Point",IF(68=$NR$84,$NN$84,0),IF($NP$84="Bell_Curve",$NN$84*(68-$NR$84+1)*($NS$84-68+1)/$NU$84,$NN$84/$NT$84)),0)</f>
        <v/>
      </c>
      <c r="BU84" s="402">
        <f>IF(AND(69&gt;=$NR$84,69&lt;=$NS$84),IF($NP$84="Single_Point",IF(69=$NR$84,$NN$84,0),IF($NP$84="Bell_Curve",$NN$84*(69-$NR$84+1)*($NS$84-69+1)/$NU$84,$NN$84/$NT$84)),0)</f>
        <v/>
      </c>
      <c r="BV84" s="402">
        <f>IF(AND(70&gt;=$NR$84,70&lt;=$NS$84),IF($NP$84="Single_Point",IF(70=$NR$84,$NN$84,0),IF($NP$84="Bell_Curve",$NN$84*(70-$NR$84+1)*($NS$84-70+1)/$NU$84,$NN$84/$NT$84)),0)</f>
        <v/>
      </c>
      <c r="BW84" s="402">
        <f>IF(AND(71&gt;=$NR$84,71&lt;=$NS$84),IF($NP$84="Single_Point",IF(71=$NR$84,$NN$84,0),IF($NP$84="Bell_Curve",$NN$84*(71-$NR$84+1)*($NS$84-71+1)/$NU$84,$NN$84/$NT$84)),0)</f>
        <v/>
      </c>
      <c r="BX84" s="402">
        <f>IF(AND(72&gt;=$NR$84,72&lt;=$NS$84),IF($NP$84="Single_Point",IF(72=$NR$84,$NN$84,0),IF($NP$84="Bell_Curve",$NN$84*(72-$NR$84+1)*($NS$84-72+1)/$NU$84,$NN$84/$NT$84)),0)</f>
        <v/>
      </c>
      <c r="BY84" s="402">
        <f>IF(AND(73&gt;=$NR$84,73&lt;=$NS$84),IF($NP$84="Single_Point",IF(73=$NR$84,$NN$84,0),IF($NP$84="Bell_Curve",$NN$84*(73-$NR$84+1)*($NS$84-73+1)/$NU$84,$NN$84/$NT$84)),0)</f>
        <v/>
      </c>
      <c r="BZ84" s="402">
        <f>IF(AND(74&gt;=$NR$84,74&lt;=$NS$84),IF($NP$84="Single_Point",IF(74=$NR$84,$NN$84,0),IF($NP$84="Bell_Curve",$NN$84*(74-$NR$84+1)*($NS$84-74+1)/$NU$84,$NN$84/$NT$84)),0)</f>
        <v/>
      </c>
      <c r="CA84" s="402">
        <f>IF(AND(75&gt;=$NR$84,75&lt;=$NS$84),IF($NP$84="Single_Point",IF(75=$NR$84,$NN$84,0),IF($NP$84="Bell_Curve",$NN$84*(75-$NR$84+1)*($NS$84-75+1)/$NU$84,$NN$84/$NT$84)),0)</f>
        <v/>
      </c>
      <c r="CB84" s="402">
        <f>IF(AND(76&gt;=$NR$84,76&lt;=$NS$84),IF($NP$84="Single_Point",IF(76=$NR$84,$NN$84,0),IF($NP$84="Bell_Curve",$NN$84*(76-$NR$84+1)*($NS$84-76+1)/$NU$84,$NN$84/$NT$84)),0)</f>
        <v/>
      </c>
      <c r="CC84" s="402">
        <f>IF(AND(77&gt;=$NR$84,77&lt;=$NS$84),IF($NP$84="Single_Point",IF(77=$NR$84,$NN$84,0),IF($NP$84="Bell_Curve",$NN$84*(77-$NR$84+1)*($NS$84-77+1)/$NU$84,$NN$84/$NT$84)),0)</f>
        <v/>
      </c>
      <c r="CD84" s="402">
        <f>IF(AND(78&gt;=$NR$84,78&lt;=$NS$84),IF($NP$84="Single_Point",IF(78=$NR$84,$NN$84,0),IF($NP$84="Bell_Curve",$NN$84*(78-$NR$84+1)*($NS$84-78+1)/$NU$84,$NN$84/$NT$84)),0)</f>
        <v/>
      </c>
      <c r="CE84" s="402">
        <f>IF(AND(79&gt;=$NR$84,79&lt;=$NS$84),IF($NP$84="Single_Point",IF(79=$NR$84,$NN$84,0),IF($NP$84="Bell_Curve",$NN$84*(79-$NR$84+1)*($NS$84-79+1)/$NU$84,$NN$84/$NT$84)),0)</f>
        <v/>
      </c>
      <c r="CF84" s="402">
        <f>IF(AND(80&gt;=$NR$84,80&lt;=$NS$84),IF($NP$84="Single_Point",IF(80=$NR$84,$NN$84,0),IF($NP$84="Bell_Curve",$NN$84*(80-$NR$84+1)*($NS$84-80+1)/$NU$84,$NN$84/$NT$84)),0)</f>
        <v/>
      </c>
      <c r="CG84" s="402">
        <f>IF(AND(81&gt;=$NR$84,81&lt;=$NS$84),IF($NP$84="Single_Point",IF(81=$NR$84,$NN$84,0),IF($NP$84="Bell_Curve",$NN$84*(81-$NR$84+1)*($NS$84-81+1)/$NU$84,$NN$84/$NT$84)),0)</f>
        <v/>
      </c>
      <c r="CH84" s="402">
        <f>IF(AND(82&gt;=$NR$84,82&lt;=$NS$84),IF($NP$84="Single_Point",IF(82=$NR$84,$NN$84,0),IF($NP$84="Bell_Curve",$NN$84*(82-$NR$84+1)*($NS$84-82+1)/$NU$84,$NN$84/$NT$84)),0)</f>
        <v/>
      </c>
      <c r="CI84" s="402">
        <f>IF(AND(83&gt;=$NR$84,83&lt;=$NS$84),IF($NP$84="Single_Point",IF(83=$NR$84,$NN$84,0),IF($NP$84="Bell_Curve",$NN$84*(83-$NR$84+1)*($NS$84-83+1)/$NU$84,$NN$84/$NT$84)),0)</f>
        <v/>
      </c>
      <c r="CJ84" s="402">
        <f>IF(AND(84&gt;=$NR$84,84&lt;=$NS$84),IF($NP$84="Single_Point",IF(84=$NR$84,$NN$84,0),IF($NP$84="Bell_Curve",$NN$84*(84-$NR$84+1)*($NS$84-84+1)/$NU$84,$NN$84/$NT$84)),0)</f>
        <v/>
      </c>
      <c r="CK84" s="402">
        <f>IF(AND(85&gt;=$NR$84,85&lt;=$NS$84),IF($NP$84="Single_Point",IF(85=$NR$84,$NN$84,0),IF($NP$84="Bell_Curve",$NN$84*(85-$NR$84+1)*($NS$84-85+1)/$NU$84,$NN$84/$NT$84)),0)</f>
        <v/>
      </c>
      <c r="CL84" s="402">
        <f>IF(AND(86&gt;=$NR$84,86&lt;=$NS$84),IF($NP$84="Single_Point",IF(86=$NR$84,$NN$84,0),IF($NP$84="Bell_Curve",$NN$84*(86-$NR$84+1)*($NS$84-86+1)/$NU$84,$NN$84/$NT$84)),0)</f>
        <v/>
      </c>
      <c r="CM84" s="402">
        <f>IF(AND(87&gt;=$NR$84,87&lt;=$NS$84),IF($NP$84="Single_Point",IF(87=$NR$84,$NN$84,0),IF($NP$84="Bell_Curve",$NN$84*(87-$NR$84+1)*($NS$84-87+1)/$NU$84,$NN$84/$NT$84)),0)</f>
        <v/>
      </c>
      <c r="CN84" s="402">
        <f>IF(AND(88&gt;=$NR$84,88&lt;=$NS$84),IF($NP$84="Single_Point",IF(88=$NR$84,$NN$84,0),IF($NP$84="Bell_Curve",$NN$84*(88-$NR$84+1)*($NS$84-88+1)/$NU$84,$NN$84/$NT$84)),0)</f>
        <v/>
      </c>
      <c r="CO84" s="402">
        <f>IF(AND(89&gt;=$NR$84,89&lt;=$NS$84),IF($NP$84="Single_Point",IF(89=$NR$84,$NN$84,0),IF($NP$84="Bell_Curve",$NN$84*(89-$NR$84+1)*($NS$84-89+1)/$NU$84,$NN$84/$NT$84)),0)</f>
        <v/>
      </c>
      <c r="CP84" s="402">
        <f>IF(AND(90&gt;=$NR$84,90&lt;=$NS$84),IF($NP$84="Single_Point",IF(90=$NR$84,$NN$84,0),IF($NP$84="Bell_Curve",$NN$84*(90-$NR$84+1)*($NS$84-90+1)/$NU$84,$NN$84/$NT$84)),0)</f>
        <v/>
      </c>
      <c r="CQ84" s="402">
        <f>IF(AND(91&gt;=$NR$84,91&lt;=$NS$84),IF($NP$84="Single_Point",IF(91=$NR$84,$NN$84,0),IF($NP$84="Bell_Curve",$NN$84*(91-$NR$84+1)*($NS$84-91+1)/$NU$84,$NN$84/$NT$84)),0)</f>
        <v/>
      </c>
      <c r="CR84" s="402">
        <f>IF(AND(92&gt;=$NR$84,92&lt;=$NS$84),IF($NP$84="Single_Point",IF(92=$NR$84,$NN$84,0),IF($NP$84="Bell_Curve",$NN$84*(92-$NR$84+1)*($NS$84-92+1)/$NU$84,$NN$84/$NT$84)),0)</f>
        <v/>
      </c>
      <c r="CS84" s="402">
        <f>IF(AND(93&gt;=$NR$84,93&lt;=$NS$84),IF($NP$84="Single_Point",IF(93=$NR$84,$NN$84,0),IF($NP$84="Bell_Curve",$NN$84*(93-$NR$84+1)*($NS$84-93+1)/$NU$84,$NN$84/$NT$84)),0)</f>
        <v/>
      </c>
      <c r="CT84" s="402">
        <f>IF(AND(94&gt;=$NR$84,94&lt;=$NS$84),IF($NP$84="Single_Point",IF(94=$NR$84,$NN$84,0),IF($NP$84="Bell_Curve",$NN$84*(94-$NR$84+1)*($NS$84-94+1)/$NU$84,$NN$84/$NT$84)),0)</f>
        <v/>
      </c>
      <c r="CU84" s="402">
        <f>IF(AND(95&gt;=$NR$84,95&lt;=$NS$84),IF($NP$84="Single_Point",IF(95=$NR$84,$NN$84,0),IF($NP$84="Bell_Curve",$NN$84*(95-$NR$84+1)*($NS$84-95+1)/$NU$84,$NN$84/$NT$84)),0)</f>
        <v/>
      </c>
      <c r="CV84" s="402">
        <f>IF(AND(96&gt;=$NR$84,96&lt;=$NS$84),IF($NP$84="Single_Point",IF(96=$NR$84,$NN$84,0),IF($NP$84="Bell_Curve",$NN$84*(96-$NR$84+1)*($NS$84-96+1)/$NU$84,$NN$84/$NT$84)),0)</f>
        <v/>
      </c>
      <c r="CW84" s="402">
        <f>IF(AND(97&gt;=$NR$84,97&lt;=$NS$84),IF($NP$84="Single_Point",IF(97=$NR$84,$NN$84,0),IF($NP$84="Bell_Curve",$NN$84*(97-$NR$84+1)*($NS$84-97+1)/$NU$84,$NN$84/$NT$84)),0)</f>
        <v/>
      </c>
      <c r="CX84" s="402">
        <f>IF(AND(98&gt;=$NR$84,98&lt;=$NS$84),IF($NP$84="Single_Point",IF(98=$NR$84,$NN$84,0),IF($NP$84="Bell_Curve",$NN$84*(98-$NR$84+1)*($NS$84-98+1)/$NU$84,$NN$84/$NT$84)),0)</f>
        <v/>
      </c>
      <c r="CY84" s="402">
        <f>IF(AND(99&gt;=$NR$84,99&lt;=$NS$84),IF($NP$84="Single_Point",IF(99=$NR$84,$NN$84,0),IF($NP$84="Bell_Curve",$NN$84*(99-$NR$84+1)*($NS$84-99+1)/$NU$84,$NN$84/$NT$84)),0)</f>
        <v/>
      </c>
      <c r="CZ84" s="402">
        <f>IF(AND(100&gt;=$NR$84,100&lt;=$NS$84),IF($NP$84="Single_Point",IF(100=$NR$84,$NN$84,0),IF($NP$84="Bell_Curve",$NN$84*(100-$NR$84+1)*($NS$84-100+1)/$NU$84,$NN$84/$NT$84)),0)</f>
        <v/>
      </c>
      <c r="DA84" s="402">
        <f>IF(AND(101&gt;=$NR$84,101&lt;=$NS$84),IF($NP$84="Single_Point",IF(101=$NR$84,$NN$84,0),IF($NP$84="Bell_Curve",$NN$84*(101-$NR$84+1)*($NS$84-101+1)/$NU$84,$NN$84/$NT$84)),0)</f>
        <v/>
      </c>
      <c r="DB84" s="402">
        <f>IF(AND(102&gt;=$NR$84,102&lt;=$NS$84),IF($NP$84="Single_Point",IF(102=$NR$84,$NN$84,0),IF($NP$84="Bell_Curve",$NN$84*(102-$NR$84+1)*($NS$84-102+1)/$NU$84,$NN$84/$NT$84)),0)</f>
        <v/>
      </c>
      <c r="DC84" s="402">
        <f>IF(AND(103&gt;=$NR$84,103&lt;=$NS$84),IF($NP$84="Single_Point",IF(103=$NR$84,$NN$84,0),IF($NP$84="Bell_Curve",$NN$84*(103-$NR$84+1)*($NS$84-103+1)/$NU$84,$NN$84/$NT$84)),0)</f>
        <v/>
      </c>
      <c r="DD84" s="402">
        <f>IF(AND(104&gt;=$NR$84,104&lt;=$NS$84),IF($NP$84="Single_Point",IF(104=$NR$84,$NN$84,0),IF($NP$84="Bell_Curve",$NN$84*(104-$NR$84+1)*($NS$84-104+1)/$NU$84,$NN$84/$NT$84)),0)</f>
        <v/>
      </c>
      <c r="DE84" s="402">
        <f>IF(AND(105&gt;=$NR$84,105&lt;=$NS$84),IF($NP$84="Single_Point",IF(105=$NR$84,$NN$84,0),IF($NP$84="Bell_Curve",$NN$84*(105-$NR$84+1)*($NS$84-105+1)/$NU$84,$NN$84/$NT$84)),0)</f>
        <v/>
      </c>
      <c r="DF84" s="402">
        <f>IF(AND(106&gt;=$NR$84,106&lt;=$NS$84),IF($NP$84="Single_Point",IF(106=$NR$84,$NN$84,0),IF($NP$84="Bell_Curve",$NN$84*(106-$NR$84+1)*($NS$84-106+1)/$NU$84,$NN$84/$NT$84)),0)</f>
        <v/>
      </c>
      <c r="DG84" s="402">
        <f>IF(AND(107&gt;=$NR$84,107&lt;=$NS$84),IF($NP$84="Single_Point",IF(107=$NR$84,$NN$84,0),IF($NP$84="Bell_Curve",$NN$84*(107-$NR$84+1)*($NS$84-107+1)/$NU$84,$NN$84/$NT$84)),0)</f>
        <v/>
      </c>
      <c r="DH84" s="402">
        <f>IF(AND(108&gt;=$NR$84,108&lt;=$NS$84),IF($NP$84="Single_Point",IF(108=$NR$84,$NN$84,0),IF($NP$84="Bell_Curve",$NN$84*(108-$NR$84+1)*($NS$84-108+1)/$NU$84,$NN$84/$NT$84)),0)</f>
        <v/>
      </c>
      <c r="DI84" s="402">
        <f>IF(AND(109&gt;=$NR$84,109&lt;=$NS$84),IF($NP$84="Single_Point",IF(109=$NR$84,$NN$84,0),IF($NP$84="Bell_Curve",$NN$84*(109-$NR$84+1)*($NS$84-109+1)/$NU$84,$NN$84/$NT$84)),0)</f>
        <v/>
      </c>
      <c r="DJ84" s="402">
        <f>IF(AND(110&gt;=$NR$84,110&lt;=$NS$84),IF($NP$84="Single_Point",IF(110=$NR$84,$NN$84,0),IF($NP$84="Bell_Curve",$NN$84*(110-$NR$84+1)*($NS$84-110+1)/$NU$84,$NN$84/$NT$84)),0)</f>
        <v/>
      </c>
      <c r="DK84" s="402">
        <f>IF(AND(111&gt;=$NR$84,111&lt;=$NS$84),IF($NP$84="Single_Point",IF(111=$NR$84,$NN$84,0),IF($NP$84="Bell_Curve",$NN$84*(111-$NR$84+1)*($NS$84-111+1)/$NU$84,$NN$84/$NT$84)),0)</f>
        <v/>
      </c>
      <c r="DL84" s="402">
        <f>IF(AND(112&gt;=$NR$84,112&lt;=$NS$84),IF($NP$84="Single_Point",IF(112=$NR$84,$NN$84,0),IF($NP$84="Bell_Curve",$NN$84*(112-$NR$84+1)*($NS$84-112+1)/$NU$84,$NN$84/$NT$84)),0)</f>
        <v/>
      </c>
      <c r="DM84" s="402">
        <f>IF(AND(113&gt;=$NR$84,113&lt;=$NS$84),IF($NP$84="Single_Point",IF(113=$NR$84,$NN$84,0),IF($NP$84="Bell_Curve",$NN$84*(113-$NR$84+1)*($NS$84-113+1)/$NU$84,$NN$84/$NT$84)),0)</f>
        <v/>
      </c>
      <c r="DN84" s="402">
        <f>IF(AND(114&gt;=$NR$84,114&lt;=$NS$84),IF($NP$84="Single_Point",IF(114=$NR$84,$NN$84,0),IF($NP$84="Bell_Curve",$NN$84*(114-$NR$84+1)*($NS$84-114+1)/$NU$84,$NN$84/$NT$84)),0)</f>
        <v/>
      </c>
      <c r="DO84" s="402">
        <f>IF(AND(115&gt;=$NR$84,115&lt;=$NS$84),IF($NP$84="Single_Point",IF(115=$NR$84,$NN$84,0),IF($NP$84="Bell_Curve",$NN$84*(115-$NR$84+1)*($NS$84-115+1)/$NU$84,$NN$84/$NT$84)),0)</f>
        <v/>
      </c>
      <c r="DP84" s="402">
        <f>IF(AND(116&gt;=$NR$84,116&lt;=$NS$84),IF($NP$84="Single_Point",IF(116=$NR$84,$NN$84,0),IF($NP$84="Bell_Curve",$NN$84*(116-$NR$84+1)*($NS$84-116+1)/$NU$84,$NN$84/$NT$84)),0)</f>
        <v/>
      </c>
      <c r="DQ84" s="402">
        <f>IF(AND(117&gt;=$NR$84,117&lt;=$NS$84),IF($NP$84="Single_Point",IF(117=$NR$84,$NN$84,0),IF($NP$84="Bell_Curve",$NN$84*(117-$NR$84+1)*($NS$84-117+1)/$NU$84,$NN$84/$NT$84)),0)</f>
        <v/>
      </c>
      <c r="DR84" s="402">
        <f>IF(AND(118&gt;=$NR$84,118&lt;=$NS$84),IF($NP$84="Single_Point",IF(118=$NR$84,$NN$84,0),IF($NP$84="Bell_Curve",$NN$84*(118-$NR$84+1)*($NS$84-118+1)/$NU$84,$NN$84/$NT$84)),0)</f>
        <v/>
      </c>
      <c r="DS84" s="402">
        <f>IF(AND(119&gt;=$NR$84,119&lt;=$NS$84),IF($NP$84="Single_Point",IF(119=$NR$84,$NN$84,0),IF($NP$84="Bell_Curve",$NN$84*(119-$NR$84+1)*($NS$84-119+1)/$NU$84,$NN$84/$NT$84)),0)</f>
        <v/>
      </c>
      <c r="DT84" s="402">
        <f>IF(AND(120&gt;=$NR$84,120&lt;=$NS$84),IF($NP$84="Single_Point",IF(120=$NR$84,$NN$84,0),IF($NP$84="Bell_Curve",$NN$84*(120-$NR$84+1)*($NS$84-120+1)/$NU$84,$NN$84/$NT$84)),0)</f>
        <v/>
      </c>
      <c r="DU84" s="402">
        <f>IF(AND(121&gt;=$NR$84,121&lt;=$NS$84),IF($NP$84="Single_Point",IF(121=$NR$84,$NN$84,0),IF($NP$84="Bell_Curve",$NN$84*(121-$NR$84+1)*($NS$84-121+1)/$NU$84,$NN$84/$NT$84)),0)</f>
        <v/>
      </c>
      <c r="DV84" s="402">
        <f>IF(AND(122&gt;=$NR$84,122&lt;=$NS$84),IF($NP$84="Single_Point",IF(122=$NR$84,$NN$84,0),IF($NP$84="Bell_Curve",$NN$84*(122-$NR$84+1)*($NS$84-122+1)/$NU$84,$NN$84/$NT$84)),0)</f>
        <v/>
      </c>
      <c r="DW84" s="402">
        <f>IF(AND(123&gt;=$NR$84,123&lt;=$NS$84),IF($NP$84="Single_Point",IF(123=$NR$84,$NN$84,0),IF($NP$84="Bell_Curve",$NN$84*(123-$NR$84+1)*($NS$84-123+1)/$NU$84,$NN$84/$NT$84)),0)</f>
        <v/>
      </c>
      <c r="DX84" s="402">
        <f>IF(AND(124&gt;=$NR$84,124&lt;=$NS$84),IF($NP$84="Single_Point",IF(124=$NR$84,$NN$84,0),IF($NP$84="Bell_Curve",$NN$84*(124-$NR$84+1)*($NS$84-124+1)/$NU$84,$NN$84/$NT$84)),0)</f>
        <v/>
      </c>
      <c r="DY84" s="402">
        <f>IF(AND(125&gt;=$NR$84,125&lt;=$NS$84),IF($NP$84="Single_Point",IF(125=$NR$84,$NN$84,0),IF($NP$84="Bell_Curve",$NN$84*(125-$NR$84+1)*($NS$84-125+1)/$NU$84,$NN$84/$NT$84)),0)</f>
        <v/>
      </c>
      <c r="DZ84" s="402">
        <f>IF(AND(126&gt;=$NR$84,126&lt;=$NS$84),IF($NP$84="Single_Point",IF(126=$NR$84,$NN$84,0),IF($NP$84="Bell_Curve",$NN$84*(126-$NR$84+1)*($NS$84-126+1)/$NU$84,$NN$84/$NT$84)),0)</f>
        <v/>
      </c>
      <c r="EA84" s="402">
        <f>IF(AND(127&gt;=$NR$84,127&lt;=$NS$84),IF($NP$84="Single_Point",IF(127=$NR$84,$NN$84,0),IF($NP$84="Bell_Curve",$NN$84*(127-$NR$84+1)*($NS$84-127+1)/$NU$84,$NN$84/$NT$84)),0)</f>
        <v/>
      </c>
      <c r="EB84" s="402">
        <f>IF(AND(128&gt;=$NR$84,128&lt;=$NS$84),IF($NP$84="Single_Point",IF(128=$NR$84,$NN$84,0),IF($NP$84="Bell_Curve",$NN$84*(128-$NR$84+1)*($NS$84-128+1)/$NU$84,$NN$84/$NT$84)),0)</f>
        <v/>
      </c>
      <c r="EC84" s="402">
        <f>IF(AND(129&gt;=$NR$84,129&lt;=$NS$84),IF($NP$84="Single_Point",IF(129=$NR$84,$NN$84,0),IF($NP$84="Bell_Curve",$NN$84*(129-$NR$84+1)*($NS$84-129+1)/$NU$84,$NN$84/$NT$84)),0)</f>
        <v/>
      </c>
      <c r="ED84" s="402">
        <f>IF(AND(130&gt;=$NR$84,130&lt;=$NS$84),IF($NP$84="Single_Point",IF(130=$NR$84,$NN$84,0),IF($NP$84="Bell_Curve",$NN$84*(130-$NR$84+1)*($NS$84-130+1)/$NU$84,$NN$84/$NT$84)),0)</f>
        <v/>
      </c>
      <c r="EE84" s="402">
        <f>IF(AND(131&gt;=$NR$84,131&lt;=$NS$84),IF($NP$84="Single_Point",IF(131=$NR$84,$NN$84,0),IF($NP$84="Bell_Curve",$NN$84*(131-$NR$84+1)*($NS$84-131+1)/$NU$84,$NN$84/$NT$84)),0)</f>
        <v/>
      </c>
      <c r="EF84" s="402">
        <f>IF(AND(132&gt;=$NR$84,132&lt;=$NS$84),IF($NP$84="Single_Point",IF(132=$NR$84,$NN$84,0),IF($NP$84="Bell_Curve",$NN$84*(132-$NR$84+1)*($NS$84-132+1)/$NU$84,$NN$84/$NT$84)),0)</f>
        <v/>
      </c>
      <c r="EG84" s="402">
        <f>IF(AND(133&gt;=$NR$84,133&lt;=$NS$84),IF($NP$84="Single_Point",IF(133=$NR$84,$NN$84,0),IF($NP$84="Bell_Curve",$NN$84*(133-$NR$84+1)*($NS$84-133+1)/$NU$84,$NN$84/$NT$84)),0)</f>
        <v/>
      </c>
      <c r="EH84" s="402">
        <f>IF(AND(134&gt;=$NR$84,134&lt;=$NS$84),IF($NP$84="Single_Point",IF(134=$NR$84,$NN$84,0),IF($NP$84="Bell_Curve",$NN$84*(134-$NR$84+1)*($NS$84-134+1)/$NU$84,$NN$84/$NT$84)),0)</f>
        <v/>
      </c>
      <c r="EI84" s="402">
        <f>IF(AND(135&gt;=$NR$84,135&lt;=$NS$84),IF($NP$84="Single_Point",IF(135=$NR$84,$NN$84,0),IF($NP$84="Bell_Curve",$NN$84*(135-$NR$84+1)*($NS$84-135+1)/$NU$84,$NN$84/$NT$84)),0)</f>
        <v/>
      </c>
      <c r="EJ84" s="402">
        <f>IF(AND(136&gt;=$NR$84,136&lt;=$NS$84),IF($NP$84="Single_Point",IF(136=$NR$84,$NN$84,0),IF($NP$84="Bell_Curve",$NN$84*(136-$NR$84+1)*($NS$84-136+1)/$NU$84,$NN$84/$NT$84)),0)</f>
        <v/>
      </c>
      <c r="EK84" s="402">
        <f>IF(AND(137&gt;=$NR$84,137&lt;=$NS$84),IF($NP$84="Single_Point",IF(137=$NR$84,$NN$84,0),IF($NP$84="Bell_Curve",$NN$84*(137-$NR$84+1)*($NS$84-137+1)/$NU$84,$NN$84/$NT$84)),0)</f>
        <v/>
      </c>
      <c r="EL84" s="402">
        <f>IF(AND(138&gt;=$NR$84,138&lt;=$NS$84),IF($NP$84="Single_Point",IF(138=$NR$84,$NN$84,0),IF($NP$84="Bell_Curve",$NN$84*(138-$NR$84+1)*($NS$84-138+1)/$NU$84,$NN$84/$NT$84)),0)</f>
        <v/>
      </c>
      <c r="EM84" s="402">
        <f>IF(AND(139&gt;=$NR$84,139&lt;=$NS$84),IF($NP$84="Single_Point",IF(139=$NR$84,$NN$84,0),IF($NP$84="Bell_Curve",$NN$84*(139-$NR$84+1)*($NS$84-139+1)/$NU$84,$NN$84/$NT$84)),0)</f>
        <v/>
      </c>
      <c r="EN84" s="402">
        <f>IF(AND(140&gt;=$NR$84,140&lt;=$NS$84),IF($NP$84="Single_Point",IF(140=$NR$84,$NN$84,0),IF($NP$84="Bell_Curve",$NN$84*(140-$NR$84+1)*($NS$84-140+1)/$NU$84,$NN$84/$NT$84)),0)</f>
        <v/>
      </c>
      <c r="EO84" s="402">
        <f>IF(AND(141&gt;=$NR$84,141&lt;=$NS$84),IF($NP$84="Single_Point",IF(141=$NR$84,$NN$84,0),IF($NP$84="Bell_Curve",$NN$84*(141-$NR$84+1)*($NS$84-141+1)/$NU$84,$NN$84/$NT$84)),0)</f>
        <v/>
      </c>
      <c r="EP84" s="402">
        <f>IF(AND(142&gt;=$NR$84,142&lt;=$NS$84),IF($NP$84="Single_Point",IF(142=$NR$84,$NN$84,0),IF($NP$84="Bell_Curve",$NN$84*(142-$NR$84+1)*($NS$84-142+1)/$NU$84,$NN$84/$NT$84)),0)</f>
        <v/>
      </c>
      <c r="EQ84" s="402">
        <f>IF(AND(143&gt;=$NR$84,143&lt;=$NS$84),IF($NP$84="Single_Point",IF(143=$NR$84,$NN$84,0),IF($NP$84="Bell_Curve",$NN$84*(143-$NR$84+1)*($NS$84-143+1)/$NU$84,$NN$84/$NT$84)),0)</f>
        <v/>
      </c>
      <c r="ER84" s="402">
        <f>IF(AND(144&gt;=$NR$84,144&lt;=$NS$84),IF($NP$84="Single_Point",IF(144=$NR$84,$NN$84,0),IF($NP$84="Bell_Curve",$NN$84*(144-$NR$84+1)*($NS$84-144+1)/$NU$84,$NN$84/$NT$84)),0)</f>
        <v/>
      </c>
      <c r="ES84" s="402">
        <f>IF(AND(145&gt;=$NR$84,145&lt;=$NS$84),IF($NP$84="Single_Point",IF(145=$NR$84,$NN$84,0),IF($NP$84="Bell_Curve",$NN$84*(145-$NR$84+1)*($NS$84-145+1)/$NU$84,$NN$84/$NT$84)),0)</f>
        <v/>
      </c>
      <c r="ET84" s="402">
        <f>IF(AND(146&gt;=$NR$84,146&lt;=$NS$84),IF($NP$84="Single_Point",IF(146=$NR$84,$NN$84,0),IF($NP$84="Bell_Curve",$NN$84*(146-$NR$84+1)*($NS$84-146+1)/$NU$84,$NN$84/$NT$84)),0)</f>
        <v/>
      </c>
      <c r="EU84" s="402">
        <f>IF(AND(147&gt;=$NR$84,147&lt;=$NS$84),IF($NP$84="Single_Point",IF(147=$NR$84,$NN$84,0),IF($NP$84="Bell_Curve",$NN$84*(147-$NR$84+1)*($NS$84-147+1)/$NU$84,$NN$84/$NT$84)),0)</f>
        <v/>
      </c>
      <c r="EV84" s="402">
        <f>IF(AND(148&gt;=$NR$84,148&lt;=$NS$84),IF($NP$84="Single_Point",IF(148=$NR$84,$NN$84,0),IF($NP$84="Bell_Curve",$NN$84*(148-$NR$84+1)*($NS$84-148+1)/$NU$84,$NN$84/$NT$84)),0)</f>
        <v/>
      </c>
      <c r="EW84" s="402">
        <f>IF(AND(149&gt;=$NR$84,149&lt;=$NS$84),IF($NP$84="Single_Point",IF(149=$NR$84,$NN$84,0),IF($NP$84="Bell_Curve",$NN$84*(149-$NR$84+1)*($NS$84-149+1)/$NU$84,$NN$84/$NT$84)),0)</f>
        <v/>
      </c>
      <c r="EX84" s="402">
        <f>IF(AND(150&gt;=$NR$84,150&lt;=$NS$84),IF($NP$84="Single_Point",IF(150=$NR$84,$NN$84,0),IF($NP$84="Bell_Curve",$NN$84*(150-$NR$84+1)*($NS$84-150+1)/$NU$84,$NN$84/$NT$84)),0)</f>
        <v/>
      </c>
      <c r="EY84" s="402">
        <f>IF(AND(151&gt;=$NR$84,151&lt;=$NS$84),IF($NP$84="Single_Point",IF(151=$NR$84,$NN$84,0),IF($NP$84="Bell_Curve",$NN$84*(151-$NR$84+1)*($NS$84-151+1)/$NU$84,$NN$84/$NT$84)),0)</f>
        <v/>
      </c>
      <c r="EZ84" s="402">
        <f>IF(AND(152&gt;=$NR$84,152&lt;=$NS$84),IF($NP$84="Single_Point",IF(152=$NR$84,$NN$84,0),IF($NP$84="Bell_Curve",$NN$84*(152-$NR$84+1)*($NS$84-152+1)/$NU$84,$NN$84/$NT$84)),0)</f>
        <v/>
      </c>
      <c r="FA84" s="402">
        <f>IF(AND(153&gt;=$NR$84,153&lt;=$NS$84),IF($NP$84="Single_Point",IF(153=$NR$84,$NN$84,0),IF($NP$84="Bell_Curve",$NN$84*(153-$NR$84+1)*($NS$84-153+1)/$NU$84,$NN$84/$NT$84)),0)</f>
        <v/>
      </c>
      <c r="FB84" s="402">
        <f>IF(AND(154&gt;=$NR$84,154&lt;=$NS$84),IF($NP$84="Single_Point",IF(154=$NR$84,$NN$84,0),IF($NP$84="Bell_Curve",$NN$84*(154-$NR$84+1)*($NS$84-154+1)/$NU$84,$NN$84/$NT$84)),0)</f>
        <v/>
      </c>
      <c r="FC84" s="402">
        <f>IF(AND(155&gt;=$NR$84,155&lt;=$NS$84),IF($NP$84="Single_Point",IF(155=$NR$84,$NN$84,0),IF($NP$84="Bell_Curve",$NN$84*(155-$NR$84+1)*($NS$84-155+1)/$NU$84,$NN$84/$NT$84)),0)</f>
        <v/>
      </c>
      <c r="FD84" s="402">
        <f>IF(AND(156&gt;=$NR$84,156&lt;=$NS$84),IF($NP$84="Single_Point",IF(156=$NR$84,$NN$84,0),IF($NP$84="Bell_Curve",$NN$84*(156-$NR$84+1)*($NS$84-156+1)/$NU$84,$NN$84/$NT$84)),0)</f>
        <v/>
      </c>
      <c r="FE84" s="402">
        <f>IF(AND(157&gt;=$NR$84,157&lt;=$NS$84),IF($NP$84="Single_Point",IF(157=$NR$84,$NN$84,0),IF($NP$84="Bell_Curve",$NN$84*(157-$NR$84+1)*($NS$84-157+1)/$NU$84,$NN$84/$NT$84)),0)</f>
        <v/>
      </c>
      <c r="FF84" s="402">
        <f>IF(AND(158&gt;=$NR$84,158&lt;=$NS$84),IF($NP$84="Single_Point",IF(158=$NR$84,$NN$84,0),IF($NP$84="Bell_Curve",$NN$84*(158-$NR$84+1)*($NS$84-158+1)/$NU$84,$NN$84/$NT$84)),0)</f>
        <v/>
      </c>
      <c r="FG84" s="402">
        <f>IF(AND(159&gt;=$NR$84,159&lt;=$NS$84),IF($NP$84="Single_Point",IF(159=$NR$84,$NN$84,0),IF($NP$84="Bell_Curve",$NN$84*(159-$NR$84+1)*($NS$84-159+1)/$NU$84,$NN$84/$NT$84)),0)</f>
        <v/>
      </c>
      <c r="FH84" s="402">
        <f>IF(AND(160&gt;=$NR$84,160&lt;=$NS$84),IF($NP$84="Single_Point",IF(160=$NR$84,$NN$84,0),IF($NP$84="Bell_Curve",$NN$84*(160-$NR$84+1)*($NS$84-160+1)/$NU$84,$NN$84/$NT$84)),0)</f>
        <v/>
      </c>
      <c r="FI84" s="402">
        <f>IF(AND(161&gt;=$NR$84,161&lt;=$NS$84),IF($NP$84="Single_Point",IF(161=$NR$84,$NN$84,0),IF($NP$84="Bell_Curve",$NN$84*(161-$NR$84+1)*($NS$84-161+1)/$NU$84,$NN$84/$NT$84)),0)</f>
        <v/>
      </c>
      <c r="FJ84" s="402">
        <f>IF(AND(162&gt;=$NR$84,162&lt;=$NS$84),IF($NP$84="Single_Point",IF(162=$NR$84,$NN$84,0),IF($NP$84="Bell_Curve",$NN$84*(162-$NR$84+1)*($NS$84-162+1)/$NU$84,$NN$84/$NT$84)),0)</f>
        <v/>
      </c>
      <c r="FK84" s="402">
        <f>IF(AND(163&gt;=$NR$84,163&lt;=$NS$84),IF($NP$84="Single_Point",IF(163=$NR$84,$NN$84,0),IF($NP$84="Bell_Curve",$NN$84*(163-$NR$84+1)*($NS$84-163+1)/$NU$84,$NN$84/$NT$84)),0)</f>
        <v/>
      </c>
      <c r="FL84" s="402">
        <f>IF(AND(164&gt;=$NR$84,164&lt;=$NS$84),IF($NP$84="Single_Point",IF(164=$NR$84,$NN$84,0),IF($NP$84="Bell_Curve",$NN$84*(164-$NR$84+1)*($NS$84-164+1)/$NU$84,$NN$84/$NT$84)),0)</f>
        <v/>
      </c>
      <c r="FM84" s="402">
        <f>IF(AND(165&gt;=$NR$84,165&lt;=$NS$84),IF($NP$84="Single_Point",IF(165=$NR$84,$NN$84,0),IF($NP$84="Bell_Curve",$NN$84*(165-$NR$84+1)*($NS$84-165+1)/$NU$84,$NN$84/$NT$84)),0)</f>
        <v/>
      </c>
      <c r="FN84" s="402">
        <f>IF(AND(166&gt;=$NR$84,166&lt;=$NS$84),IF($NP$84="Single_Point",IF(166=$NR$84,$NN$84,0),IF($NP$84="Bell_Curve",$NN$84*(166-$NR$84+1)*($NS$84-166+1)/$NU$84,$NN$84/$NT$84)),0)</f>
        <v/>
      </c>
      <c r="FO84" s="402">
        <f>IF(AND(167&gt;=$NR$84,167&lt;=$NS$84),IF($NP$84="Single_Point",IF(167=$NR$84,$NN$84,0),IF($NP$84="Bell_Curve",$NN$84*(167-$NR$84+1)*($NS$84-167+1)/$NU$84,$NN$84/$NT$84)),0)</f>
        <v/>
      </c>
      <c r="FP84" s="402">
        <f>IF(AND(168&gt;=$NR$84,168&lt;=$NS$84),IF($NP$84="Single_Point",IF(168=$NR$84,$NN$84,0),IF($NP$84="Bell_Curve",$NN$84*(168-$NR$84+1)*($NS$84-168+1)/$NU$84,$NN$84/$NT$84)),0)</f>
        <v/>
      </c>
      <c r="FQ84" s="402">
        <f>IF(AND(169&gt;=$NR$84,169&lt;=$NS$84),IF($NP$84="Single_Point",IF(169=$NR$84,$NN$84,0),IF($NP$84="Bell_Curve",$NN$84*(169-$NR$84+1)*($NS$84-169+1)/$NU$84,$NN$84/$NT$84)),0)</f>
        <v/>
      </c>
      <c r="FR84" s="402">
        <f>IF(AND(170&gt;=$NR$84,170&lt;=$NS$84),IF($NP$84="Single_Point",IF(170=$NR$84,$NN$84,0),IF($NP$84="Bell_Curve",$NN$84*(170-$NR$84+1)*($NS$84-170+1)/$NU$84,$NN$84/$NT$84)),0)</f>
        <v/>
      </c>
      <c r="FS84" s="402">
        <f>IF(AND(171&gt;=$NR$84,171&lt;=$NS$84),IF($NP$84="Single_Point",IF(171=$NR$84,$NN$84,0),IF($NP$84="Bell_Curve",$NN$84*(171-$NR$84+1)*($NS$84-171+1)/$NU$84,$NN$84/$NT$84)),0)</f>
        <v/>
      </c>
      <c r="FT84" s="402">
        <f>IF(AND(172&gt;=$NR$84,172&lt;=$NS$84),IF($NP$84="Single_Point",IF(172=$NR$84,$NN$84,0),IF($NP$84="Bell_Curve",$NN$84*(172-$NR$84+1)*($NS$84-172+1)/$NU$84,$NN$84/$NT$84)),0)</f>
        <v/>
      </c>
      <c r="FU84" s="402">
        <f>IF(AND(173&gt;=$NR$84,173&lt;=$NS$84),IF($NP$84="Single_Point",IF(173=$NR$84,$NN$84,0),IF($NP$84="Bell_Curve",$NN$84*(173-$NR$84+1)*($NS$84-173+1)/$NU$84,$NN$84/$NT$84)),0)</f>
        <v/>
      </c>
      <c r="FV84" s="402">
        <f>IF(AND(174&gt;=$NR$84,174&lt;=$NS$84),IF($NP$84="Single_Point",IF(174=$NR$84,$NN$84,0),IF($NP$84="Bell_Curve",$NN$84*(174-$NR$84+1)*($NS$84-174+1)/$NU$84,$NN$84/$NT$84)),0)</f>
        <v/>
      </c>
      <c r="FW84" s="402">
        <f>IF(AND(175&gt;=$NR$84,175&lt;=$NS$84),IF($NP$84="Single_Point",IF(175=$NR$84,$NN$84,0),IF($NP$84="Bell_Curve",$NN$84*(175-$NR$84+1)*($NS$84-175+1)/$NU$84,$NN$84/$NT$84)),0)</f>
        <v/>
      </c>
      <c r="FX84" s="402">
        <f>IF(AND(176&gt;=$NR$84,176&lt;=$NS$84),IF($NP$84="Single_Point",IF(176=$NR$84,$NN$84,0),IF($NP$84="Bell_Curve",$NN$84*(176-$NR$84+1)*($NS$84-176+1)/$NU$84,$NN$84/$NT$84)),0)</f>
        <v/>
      </c>
      <c r="FY84" s="402">
        <f>IF(AND(177&gt;=$NR$84,177&lt;=$NS$84),IF($NP$84="Single_Point",IF(177=$NR$84,$NN$84,0),IF($NP$84="Bell_Curve",$NN$84*(177-$NR$84+1)*($NS$84-177+1)/$NU$84,$NN$84/$NT$84)),0)</f>
        <v/>
      </c>
      <c r="FZ84" s="402">
        <f>IF(AND(178&gt;=$NR$84,178&lt;=$NS$84),IF($NP$84="Single_Point",IF(178=$NR$84,$NN$84,0),IF($NP$84="Bell_Curve",$NN$84*(178-$NR$84+1)*($NS$84-178+1)/$NU$84,$NN$84/$NT$84)),0)</f>
        <v/>
      </c>
      <c r="GA84" s="402">
        <f>IF(AND(179&gt;=$NR$84,179&lt;=$NS$84),IF($NP$84="Single_Point",IF(179=$NR$84,$NN$84,0),IF($NP$84="Bell_Curve",$NN$84*(179-$NR$84+1)*($NS$84-179+1)/$NU$84,$NN$84/$NT$84)),0)</f>
        <v/>
      </c>
      <c r="GB84" s="402">
        <f>IF(AND(180&gt;=$NR$84,180&lt;=$NS$84),IF($NP$84="Single_Point",IF(180=$NR$84,$NN$84,0),IF($NP$84="Bell_Curve",$NN$84*(180-$NR$84+1)*($NS$84-180+1)/$NU$84,$NN$84/$NT$84)),0)</f>
        <v/>
      </c>
      <c r="GC84" s="402">
        <f>IF(AND(181&gt;=$NR$84,181&lt;=$NS$84),IF($NP$84="Single_Point",IF(181=$NR$84,$NN$84,0),IF($NP$84="Bell_Curve",$NN$84*(181-$NR$84+1)*($NS$84-181+1)/$NU$84,$NN$84/$NT$84)),0)</f>
        <v/>
      </c>
      <c r="GD84" s="402">
        <f>IF(AND(182&gt;=$NR$84,182&lt;=$NS$84),IF($NP$84="Single_Point",IF(182=$NR$84,$NN$84,0),IF($NP$84="Bell_Curve",$NN$84*(182-$NR$84+1)*($NS$84-182+1)/$NU$84,$NN$84/$NT$84)),0)</f>
        <v/>
      </c>
      <c r="GE84" s="402">
        <f>IF(AND(183&gt;=$NR$84,183&lt;=$NS$84),IF($NP$84="Single_Point",IF(183=$NR$84,$NN$84,0),IF($NP$84="Bell_Curve",$NN$84*(183-$NR$84+1)*($NS$84-183+1)/$NU$84,$NN$84/$NT$84)),0)</f>
        <v/>
      </c>
      <c r="GF84" s="402">
        <f>IF(AND(184&gt;=$NR$84,184&lt;=$NS$84),IF($NP$84="Single_Point",IF(184=$NR$84,$NN$84,0),IF($NP$84="Bell_Curve",$NN$84*(184-$NR$84+1)*($NS$84-184+1)/$NU$84,$NN$84/$NT$84)),0)</f>
        <v/>
      </c>
      <c r="GG84" s="402">
        <f>IF(AND(185&gt;=$NR$84,185&lt;=$NS$84),IF($NP$84="Single_Point",IF(185=$NR$84,$NN$84,0),IF($NP$84="Bell_Curve",$NN$84*(185-$NR$84+1)*($NS$84-185+1)/$NU$84,$NN$84/$NT$84)),0)</f>
        <v/>
      </c>
      <c r="GH84" s="402">
        <f>IF(AND(186&gt;=$NR$84,186&lt;=$NS$84),IF($NP$84="Single_Point",IF(186=$NR$84,$NN$84,0),IF($NP$84="Bell_Curve",$NN$84*(186-$NR$84+1)*($NS$84-186+1)/$NU$84,$NN$84/$NT$84)),0)</f>
        <v/>
      </c>
      <c r="GI84" s="402">
        <f>IF(AND(187&gt;=$NR$84,187&lt;=$NS$84),IF($NP$84="Single_Point",IF(187=$NR$84,$NN$84,0),IF($NP$84="Bell_Curve",$NN$84*(187-$NR$84+1)*($NS$84-187+1)/$NU$84,$NN$84/$NT$84)),0)</f>
        <v/>
      </c>
      <c r="GJ84" s="402">
        <f>IF(AND(188&gt;=$NR$84,188&lt;=$NS$84),IF($NP$84="Single_Point",IF(188=$NR$84,$NN$84,0),IF($NP$84="Bell_Curve",$NN$84*(188-$NR$84+1)*($NS$84-188+1)/$NU$84,$NN$84/$NT$84)),0)</f>
        <v/>
      </c>
      <c r="GK84" s="402">
        <f>IF(AND(189&gt;=$NR$84,189&lt;=$NS$84),IF($NP$84="Single_Point",IF(189=$NR$84,$NN$84,0),IF($NP$84="Bell_Curve",$NN$84*(189-$NR$84+1)*($NS$84-189+1)/$NU$84,$NN$84/$NT$84)),0)</f>
        <v/>
      </c>
      <c r="GL84" s="402">
        <f>IF(AND(190&gt;=$NR$84,190&lt;=$NS$84),IF($NP$84="Single_Point",IF(190=$NR$84,$NN$84,0),IF($NP$84="Bell_Curve",$NN$84*(190-$NR$84+1)*($NS$84-190+1)/$NU$84,$NN$84/$NT$84)),0)</f>
        <v/>
      </c>
      <c r="GM84" s="402">
        <f>IF(AND(191&gt;=$NR$84,191&lt;=$NS$84),IF($NP$84="Single_Point",IF(191=$NR$84,$NN$84,0),IF($NP$84="Bell_Curve",$NN$84*(191-$NR$84+1)*($NS$84-191+1)/$NU$84,$NN$84/$NT$84)),0)</f>
        <v/>
      </c>
      <c r="GN84" s="402">
        <f>IF(AND(192&gt;=$NR$84,192&lt;=$NS$84),IF($NP$84="Single_Point",IF(192=$NR$84,$NN$84,0),IF($NP$84="Bell_Curve",$NN$84*(192-$NR$84+1)*($NS$84-192+1)/$NU$84,$NN$84/$NT$84)),0)</f>
        <v/>
      </c>
      <c r="GO84" s="402">
        <f>IF(AND(193&gt;=$NR$84,193&lt;=$NS$84),IF($NP$84="Single_Point",IF(193=$NR$84,$NN$84,0),IF($NP$84="Bell_Curve",$NN$84*(193-$NR$84+1)*($NS$84-193+1)/$NU$84,$NN$84/$NT$84)),0)</f>
        <v/>
      </c>
      <c r="GP84" s="402">
        <f>IF(AND(194&gt;=$NR$84,194&lt;=$NS$84),IF($NP$84="Single_Point",IF(194=$NR$84,$NN$84,0),IF($NP$84="Bell_Curve",$NN$84*(194-$NR$84+1)*($NS$84-194+1)/$NU$84,$NN$84/$NT$84)),0)</f>
        <v/>
      </c>
      <c r="GQ84" s="402">
        <f>IF(AND(195&gt;=$NR$84,195&lt;=$NS$84),IF($NP$84="Single_Point",IF(195=$NR$84,$NN$84,0),IF($NP$84="Bell_Curve",$NN$84*(195-$NR$84+1)*($NS$84-195+1)/$NU$84,$NN$84/$NT$84)),0)</f>
        <v/>
      </c>
      <c r="GR84" s="402">
        <f>IF(AND(196&gt;=$NR$84,196&lt;=$NS$84),IF($NP$84="Single_Point",IF(196=$NR$84,$NN$84,0),IF($NP$84="Bell_Curve",$NN$84*(196-$NR$84+1)*($NS$84-196+1)/$NU$84,$NN$84/$NT$84)),0)</f>
        <v/>
      </c>
      <c r="GS84" s="402">
        <f>IF(AND(197&gt;=$NR$84,197&lt;=$NS$84),IF($NP$84="Single_Point",IF(197=$NR$84,$NN$84,0),IF($NP$84="Bell_Curve",$NN$84*(197-$NR$84+1)*($NS$84-197+1)/$NU$84,$NN$84/$NT$84)),0)</f>
        <v/>
      </c>
      <c r="GT84" s="402">
        <f>IF(AND(198&gt;=$NR$84,198&lt;=$NS$84),IF($NP$84="Single_Point",IF(198=$NR$84,$NN$84,0),IF($NP$84="Bell_Curve",$NN$84*(198-$NR$84+1)*($NS$84-198+1)/$NU$84,$NN$84/$NT$84)),0)</f>
        <v/>
      </c>
      <c r="GU84" s="402">
        <f>IF(AND(199&gt;=$NR$84,199&lt;=$NS$84),IF($NP$84="Single_Point",IF(199=$NR$84,$NN$84,0),IF($NP$84="Bell_Curve",$NN$84*(199-$NR$84+1)*($NS$84-199+1)/$NU$84,$NN$84/$NT$84)),0)</f>
        <v/>
      </c>
      <c r="GV84" s="402">
        <f>IF(AND(200&gt;=$NR$84,200&lt;=$NS$84),IF($NP$84="Single_Point",IF(200=$NR$84,$NN$84,0),IF($NP$84="Bell_Curve",$NN$84*(200-$NR$84+1)*($NS$84-200+1)/$NU$84,$NN$84/$NT$84)),0)</f>
        <v/>
      </c>
      <c r="GW84" s="402">
        <f>IF(AND(201&gt;=$NR$84,201&lt;=$NS$84),IF($NP$84="Single_Point",IF(201=$NR$84,$NN$84,0),IF($NP$84="Bell_Curve",$NN$84*(201-$NR$84+1)*($NS$84-201+1)/$NU$84,$NN$84/$NT$84)),0)</f>
        <v/>
      </c>
      <c r="GX84" s="402">
        <f>IF(AND(202&gt;=$NR$84,202&lt;=$NS$84),IF($NP$84="Single_Point",IF(202=$NR$84,$NN$84,0),IF($NP$84="Bell_Curve",$NN$84*(202-$NR$84+1)*($NS$84-202+1)/$NU$84,$NN$84/$NT$84)),0)</f>
        <v/>
      </c>
      <c r="GY84" s="402">
        <f>IF(AND(203&gt;=$NR$84,203&lt;=$NS$84),IF($NP$84="Single_Point",IF(203=$NR$84,$NN$84,0),IF($NP$84="Bell_Curve",$NN$84*(203-$NR$84+1)*($NS$84-203+1)/$NU$84,$NN$84/$NT$84)),0)</f>
        <v/>
      </c>
      <c r="GZ84" s="402">
        <f>IF(AND(204&gt;=$NR$84,204&lt;=$NS$84),IF($NP$84="Single_Point",IF(204=$NR$84,$NN$84,0),IF($NP$84="Bell_Curve",$NN$84*(204-$NR$84+1)*($NS$84-204+1)/$NU$84,$NN$84/$NT$84)),0)</f>
        <v/>
      </c>
      <c r="HA84" s="402">
        <f>IF(AND(205&gt;=$NR$84,205&lt;=$NS$84),IF($NP$84="Single_Point",IF(205=$NR$84,$NN$84,0),IF($NP$84="Bell_Curve",$NN$84*(205-$NR$84+1)*($NS$84-205+1)/$NU$84,$NN$84/$NT$84)),0)</f>
        <v/>
      </c>
      <c r="HB84" s="402">
        <f>IF(AND(206&gt;=$NR$84,206&lt;=$NS$84),IF($NP$84="Single_Point",IF(206=$NR$84,$NN$84,0),IF($NP$84="Bell_Curve",$NN$84*(206-$NR$84+1)*($NS$84-206+1)/$NU$84,$NN$84/$NT$84)),0)</f>
        <v/>
      </c>
      <c r="HC84" s="402">
        <f>IF(AND(207&gt;=$NR$84,207&lt;=$NS$84),IF($NP$84="Single_Point",IF(207=$NR$84,$NN$84,0),IF($NP$84="Bell_Curve",$NN$84*(207-$NR$84+1)*($NS$84-207+1)/$NU$84,$NN$84/$NT$84)),0)</f>
        <v/>
      </c>
      <c r="HD84" s="402">
        <f>IF(AND(208&gt;=$NR$84,208&lt;=$NS$84),IF($NP$84="Single_Point",IF(208=$NR$84,$NN$84,0),IF($NP$84="Bell_Curve",$NN$84*(208-$NR$84+1)*($NS$84-208+1)/$NU$84,$NN$84/$NT$84)),0)</f>
        <v/>
      </c>
      <c r="HE84" s="402">
        <f>IF(AND(209&gt;=$NR$84,209&lt;=$NS$84),IF($NP$84="Single_Point",IF(209=$NR$84,$NN$84,0),IF($NP$84="Bell_Curve",$NN$84*(209-$NR$84+1)*($NS$84-209+1)/$NU$84,$NN$84/$NT$84)),0)</f>
        <v/>
      </c>
      <c r="HF84" s="402">
        <f>IF(AND(210&gt;=$NR$84,210&lt;=$NS$84),IF($NP$84="Single_Point",IF(210=$NR$84,$NN$84,0),IF($NP$84="Bell_Curve",$NN$84*(210-$NR$84+1)*($NS$84-210+1)/$NU$84,$NN$84/$NT$84)),0)</f>
        <v/>
      </c>
      <c r="HG84" s="402">
        <f>IF(AND(211&gt;=$NR$84,211&lt;=$NS$84),IF($NP$84="Single_Point",IF(211=$NR$84,$NN$84,0),IF($NP$84="Bell_Curve",$NN$84*(211-$NR$84+1)*($NS$84-211+1)/$NU$84,$NN$84/$NT$84)),0)</f>
        <v/>
      </c>
      <c r="HH84" s="402">
        <f>IF(AND(212&gt;=$NR$84,212&lt;=$NS$84),IF($NP$84="Single_Point",IF(212=$NR$84,$NN$84,0),IF($NP$84="Bell_Curve",$NN$84*(212-$NR$84+1)*($NS$84-212+1)/$NU$84,$NN$84/$NT$84)),0)</f>
        <v/>
      </c>
      <c r="HI84" s="402">
        <f>IF(AND(213&gt;=$NR$84,213&lt;=$NS$84),IF($NP$84="Single_Point",IF(213=$NR$84,$NN$84,0),IF($NP$84="Bell_Curve",$NN$84*(213-$NR$84+1)*($NS$84-213+1)/$NU$84,$NN$84/$NT$84)),0)</f>
        <v/>
      </c>
      <c r="HJ84" s="402">
        <f>IF(AND(214&gt;=$NR$84,214&lt;=$NS$84),IF($NP$84="Single_Point",IF(214=$NR$84,$NN$84,0),IF($NP$84="Bell_Curve",$NN$84*(214-$NR$84+1)*($NS$84-214+1)/$NU$84,$NN$84/$NT$84)),0)</f>
        <v/>
      </c>
      <c r="HK84" s="402">
        <f>IF(AND(215&gt;=$NR$84,215&lt;=$NS$84),IF($NP$84="Single_Point",IF(215=$NR$84,$NN$84,0),IF($NP$84="Bell_Curve",$NN$84*(215-$NR$84+1)*($NS$84-215+1)/$NU$84,$NN$84/$NT$84)),0)</f>
        <v/>
      </c>
      <c r="HL84" s="402">
        <f>IF(AND(216&gt;=$NR$84,216&lt;=$NS$84),IF($NP$84="Single_Point",IF(216=$NR$84,$NN$84,0),IF($NP$84="Bell_Curve",$NN$84*(216-$NR$84+1)*($NS$84-216+1)/$NU$84,$NN$84/$NT$84)),0)</f>
        <v/>
      </c>
      <c r="HM84" s="402">
        <f>IF(AND(217&gt;=$NR$84,217&lt;=$NS$84),IF($NP$84="Single_Point",IF(217=$NR$84,$NN$84,0),IF($NP$84="Bell_Curve",$NN$84*(217-$NR$84+1)*($NS$84-217+1)/$NU$84,$NN$84/$NT$84)),0)</f>
        <v/>
      </c>
      <c r="HN84" s="402">
        <f>IF(AND(218&gt;=$NR$84,218&lt;=$NS$84),IF($NP$84="Single_Point",IF(218=$NR$84,$NN$84,0),IF($NP$84="Bell_Curve",$NN$84*(218-$NR$84+1)*($NS$84-218+1)/$NU$84,$NN$84/$NT$84)),0)</f>
        <v/>
      </c>
      <c r="HO84" s="402">
        <f>IF(AND(219&gt;=$NR$84,219&lt;=$NS$84),IF($NP$84="Single_Point",IF(219=$NR$84,$NN$84,0),IF($NP$84="Bell_Curve",$NN$84*(219-$NR$84+1)*($NS$84-219+1)/$NU$84,$NN$84/$NT$84)),0)</f>
        <v/>
      </c>
      <c r="HP84" s="402">
        <f>IF(AND(220&gt;=$NR$84,220&lt;=$NS$84),IF($NP$84="Single_Point",IF(220=$NR$84,$NN$84,0),IF($NP$84="Bell_Curve",$NN$84*(220-$NR$84+1)*($NS$84-220+1)/$NU$84,$NN$84/$NT$84)),0)</f>
        <v/>
      </c>
      <c r="HQ84" s="402">
        <f>IF(AND(221&gt;=$NR$84,221&lt;=$NS$84),IF($NP$84="Single_Point",IF(221=$NR$84,$NN$84,0),IF($NP$84="Bell_Curve",$NN$84*(221-$NR$84+1)*($NS$84-221+1)/$NU$84,$NN$84/$NT$84)),0)</f>
        <v/>
      </c>
      <c r="HR84" s="402">
        <f>IF(AND(222&gt;=$NR$84,222&lt;=$NS$84),IF($NP$84="Single_Point",IF(222=$NR$84,$NN$84,0),IF($NP$84="Bell_Curve",$NN$84*(222-$NR$84+1)*($NS$84-222+1)/$NU$84,$NN$84/$NT$84)),0)</f>
        <v/>
      </c>
      <c r="HS84" s="402">
        <f>IF(AND(223&gt;=$NR$84,223&lt;=$NS$84),IF($NP$84="Single_Point",IF(223=$NR$84,$NN$84,0),IF($NP$84="Bell_Curve",$NN$84*(223-$NR$84+1)*($NS$84-223+1)/$NU$84,$NN$84/$NT$84)),0)</f>
        <v/>
      </c>
      <c r="HT84" s="402">
        <f>IF(AND(224&gt;=$NR$84,224&lt;=$NS$84),IF($NP$84="Single_Point",IF(224=$NR$84,$NN$84,0),IF($NP$84="Bell_Curve",$NN$84*(224-$NR$84+1)*($NS$84-224+1)/$NU$84,$NN$84/$NT$84)),0)</f>
        <v/>
      </c>
      <c r="HU84" s="402">
        <f>IF(AND(225&gt;=$NR$84,225&lt;=$NS$84),IF($NP$84="Single_Point",IF(225=$NR$84,$NN$84,0),IF($NP$84="Bell_Curve",$NN$84*(225-$NR$84+1)*($NS$84-225+1)/$NU$84,$NN$84/$NT$84)),0)</f>
        <v/>
      </c>
      <c r="HV84" s="402">
        <f>IF(AND(226&gt;=$NR$84,226&lt;=$NS$84),IF($NP$84="Single_Point",IF(226=$NR$84,$NN$84,0),IF($NP$84="Bell_Curve",$NN$84*(226-$NR$84+1)*($NS$84-226+1)/$NU$84,$NN$84/$NT$84)),0)</f>
        <v/>
      </c>
      <c r="HW84" s="402">
        <f>IF(AND(227&gt;=$NR$84,227&lt;=$NS$84),IF($NP$84="Single_Point",IF(227=$NR$84,$NN$84,0),IF($NP$84="Bell_Curve",$NN$84*(227-$NR$84+1)*($NS$84-227+1)/$NU$84,$NN$84/$NT$84)),0)</f>
        <v/>
      </c>
      <c r="HX84" s="402">
        <f>IF(AND(228&gt;=$NR$84,228&lt;=$NS$84),IF($NP$84="Single_Point",IF(228=$NR$84,$NN$84,0),IF($NP$84="Bell_Curve",$NN$84*(228-$NR$84+1)*($NS$84-228+1)/$NU$84,$NN$84/$NT$84)),0)</f>
        <v/>
      </c>
      <c r="HY84" s="402">
        <f>IF(AND(229&gt;=$NR$84,229&lt;=$NS$84),IF($NP$84="Single_Point",IF(229=$NR$84,$NN$84,0),IF($NP$84="Bell_Curve",$NN$84*(229-$NR$84+1)*($NS$84-229+1)/$NU$84,$NN$84/$NT$84)),0)</f>
        <v/>
      </c>
      <c r="HZ84" s="402">
        <f>IF(AND(230&gt;=$NR$84,230&lt;=$NS$84),IF($NP$84="Single_Point",IF(230=$NR$84,$NN$84,0),IF($NP$84="Bell_Curve",$NN$84*(230-$NR$84+1)*($NS$84-230+1)/$NU$84,$NN$84/$NT$84)),0)</f>
        <v/>
      </c>
      <c r="IA84" s="402">
        <f>IF(AND(231&gt;=$NR$84,231&lt;=$NS$84),IF($NP$84="Single_Point",IF(231=$NR$84,$NN$84,0),IF($NP$84="Bell_Curve",$NN$84*(231-$NR$84+1)*($NS$84-231+1)/$NU$84,$NN$84/$NT$84)),0)</f>
        <v/>
      </c>
      <c r="IB84" s="402">
        <f>IF(AND(232&gt;=$NR$84,232&lt;=$NS$84),IF($NP$84="Single_Point",IF(232=$NR$84,$NN$84,0),IF($NP$84="Bell_Curve",$NN$84*(232-$NR$84+1)*($NS$84-232+1)/$NU$84,$NN$84/$NT$84)),0)</f>
        <v/>
      </c>
      <c r="IC84" s="402">
        <f>IF(AND(233&gt;=$NR$84,233&lt;=$NS$84),IF($NP$84="Single_Point",IF(233=$NR$84,$NN$84,0),IF($NP$84="Bell_Curve",$NN$84*(233-$NR$84+1)*($NS$84-233+1)/$NU$84,$NN$84/$NT$84)),0)</f>
        <v/>
      </c>
      <c r="ID84" s="402">
        <f>IF(AND(234&gt;=$NR$84,234&lt;=$NS$84),IF($NP$84="Single_Point",IF(234=$NR$84,$NN$84,0),IF($NP$84="Bell_Curve",$NN$84*(234-$NR$84+1)*($NS$84-234+1)/$NU$84,$NN$84/$NT$84)),0)</f>
        <v/>
      </c>
      <c r="IE84" s="402">
        <f>IF(AND(235&gt;=$NR$84,235&lt;=$NS$84),IF($NP$84="Single_Point",IF(235=$NR$84,$NN$84,0),IF($NP$84="Bell_Curve",$NN$84*(235-$NR$84+1)*($NS$84-235+1)/$NU$84,$NN$84/$NT$84)),0)</f>
        <v/>
      </c>
      <c r="IF84" s="402">
        <f>IF(AND(236&gt;=$NR$84,236&lt;=$NS$84),IF($NP$84="Single_Point",IF(236=$NR$84,$NN$84,0),IF($NP$84="Bell_Curve",$NN$84*(236-$NR$84+1)*($NS$84-236+1)/$NU$84,$NN$84/$NT$84)),0)</f>
        <v/>
      </c>
      <c r="IG84" s="402">
        <f>IF(AND(237&gt;=$NR$84,237&lt;=$NS$84),IF($NP$84="Single_Point",IF(237=$NR$84,$NN$84,0),IF($NP$84="Bell_Curve",$NN$84*(237-$NR$84+1)*($NS$84-237+1)/$NU$84,$NN$84/$NT$84)),0)</f>
        <v/>
      </c>
      <c r="IH84" s="402">
        <f>IF(AND(238&gt;=$NR$84,238&lt;=$NS$84),IF($NP$84="Single_Point",IF(238=$NR$84,$NN$84,0),IF($NP$84="Bell_Curve",$NN$84*(238-$NR$84+1)*($NS$84-238+1)/$NU$84,$NN$84/$NT$84)),0)</f>
        <v/>
      </c>
      <c r="II84" s="402">
        <f>IF(AND(239&gt;=$NR$84,239&lt;=$NS$84),IF($NP$84="Single_Point",IF(239=$NR$84,$NN$84,0),IF($NP$84="Bell_Curve",$NN$84*(239-$NR$84+1)*($NS$84-239+1)/$NU$84,$NN$84/$NT$84)),0)</f>
        <v/>
      </c>
      <c r="IJ84" s="402">
        <f>IF(AND(240&gt;=$NR$84,240&lt;=$NS$84),IF($NP$84="Single_Point",IF(240=$NR$84,$NN$84,0),IF($NP$84="Bell_Curve",$NN$84*(240-$NR$84+1)*($NS$84-240+1)/$NU$84,$NN$84/$NT$84)),0)</f>
        <v/>
      </c>
      <c r="IK84" s="402">
        <f>IF(AND(241&gt;=$NR$84,241&lt;=$NS$84),IF($NP$84="Single_Point",IF(241=$NR$84,$NN$84,0),IF($NP$84="Bell_Curve",$NN$84*(241-$NR$84+1)*($NS$84-241+1)/$NU$84,$NN$84/$NT$84)),0)</f>
        <v/>
      </c>
      <c r="IL84" s="402">
        <f>IF(AND(242&gt;=$NR$84,242&lt;=$NS$84),IF($NP$84="Single_Point",IF(242=$NR$84,$NN$84,0),IF($NP$84="Bell_Curve",$NN$84*(242-$NR$84+1)*($NS$84-242+1)/$NU$84,$NN$84/$NT$84)),0)</f>
        <v/>
      </c>
      <c r="IM84" s="402">
        <f>IF(AND(243&gt;=$NR$84,243&lt;=$NS$84),IF($NP$84="Single_Point",IF(243=$NR$84,$NN$84,0),IF($NP$84="Bell_Curve",$NN$84*(243-$NR$84+1)*($NS$84-243+1)/$NU$84,$NN$84/$NT$84)),0)</f>
        <v/>
      </c>
      <c r="IN84" s="402">
        <f>IF(AND(244&gt;=$NR$84,244&lt;=$NS$84),IF($NP$84="Single_Point",IF(244=$NR$84,$NN$84,0),IF($NP$84="Bell_Curve",$NN$84*(244-$NR$84+1)*($NS$84-244+1)/$NU$84,$NN$84/$NT$84)),0)</f>
        <v/>
      </c>
      <c r="IO84" s="402">
        <f>IF(AND(245&gt;=$NR$84,245&lt;=$NS$84),IF($NP$84="Single_Point",IF(245=$NR$84,$NN$84,0),IF($NP$84="Bell_Curve",$NN$84*(245-$NR$84+1)*($NS$84-245+1)/$NU$84,$NN$84/$NT$84)),0)</f>
        <v/>
      </c>
      <c r="IP84" s="402">
        <f>IF(AND(246&gt;=$NR$84,246&lt;=$NS$84),IF($NP$84="Single_Point",IF(246=$NR$84,$NN$84,0),IF($NP$84="Bell_Curve",$NN$84*(246-$NR$84+1)*($NS$84-246+1)/$NU$84,$NN$84/$NT$84)),0)</f>
        <v/>
      </c>
      <c r="IQ84" s="402">
        <f>IF(AND(247&gt;=$NR$84,247&lt;=$NS$84),IF($NP$84="Single_Point",IF(247=$NR$84,$NN$84,0),IF($NP$84="Bell_Curve",$NN$84*(247-$NR$84+1)*($NS$84-247+1)/$NU$84,$NN$84/$NT$84)),0)</f>
        <v/>
      </c>
      <c r="IR84" s="402">
        <f>IF(AND(248&gt;=$NR$84,248&lt;=$NS$84),IF($NP$84="Single_Point",IF(248=$NR$84,$NN$84,0),IF($NP$84="Bell_Curve",$NN$84*(248-$NR$84+1)*($NS$84-248+1)/$NU$84,$NN$84/$NT$84)),0)</f>
        <v/>
      </c>
      <c r="IS84" s="402">
        <f>IF(AND(249&gt;=$NR$84,249&lt;=$NS$84),IF($NP$84="Single_Point",IF(249=$NR$84,$NN$84,0),IF($NP$84="Bell_Curve",$NN$84*(249-$NR$84+1)*($NS$84-249+1)/$NU$84,$NN$84/$NT$84)),0)</f>
        <v/>
      </c>
      <c r="IT84" s="402">
        <f>IF(AND(250&gt;=$NR$84,250&lt;=$NS$84),IF($NP$84="Single_Point",IF(250=$NR$84,$NN$84,0),IF($NP$84="Bell_Curve",$NN$84*(250-$NR$84+1)*($NS$84-250+1)/$NU$84,$NN$84/$NT$84)),0)</f>
        <v/>
      </c>
      <c r="IU84" s="402">
        <f>IF(AND(251&gt;=$NR$84,251&lt;=$NS$84),IF($NP$84="Single_Point",IF(251=$NR$84,$NN$84,0),IF($NP$84="Bell_Curve",$NN$84*(251-$NR$84+1)*($NS$84-251+1)/$NU$84,$NN$84/$NT$84)),0)</f>
        <v/>
      </c>
      <c r="IV84" s="402">
        <f>IF(AND(252&gt;=$NR$84,252&lt;=$NS$84),IF($NP$84="Single_Point",IF(252=$NR$84,$NN$84,0),IF($NP$84="Bell_Curve",$NN$84*(252-$NR$84+1)*($NS$84-252+1)/$NU$84,$NN$84/$NT$84)),0)</f>
        <v/>
      </c>
      <c r="IW84" s="402">
        <f>IF(AND(253&gt;=$NR$84,253&lt;=$NS$84),IF($NP$84="Single_Point",IF(253=$NR$84,$NN$84,0),IF($NP$84="Bell_Curve",$NN$84*(253-$NR$84+1)*($NS$84-253+1)/$NU$84,$NN$84/$NT$84)),0)</f>
        <v/>
      </c>
      <c r="IX84" s="402">
        <f>IF(AND(254&gt;=$NR$84,254&lt;=$NS$84),IF($NP$84="Single_Point",IF(254=$NR$84,$NN$84,0),IF($NP$84="Bell_Curve",$NN$84*(254-$NR$84+1)*($NS$84-254+1)/$NU$84,$NN$84/$NT$84)),0)</f>
        <v/>
      </c>
      <c r="IY84" s="402">
        <f>IF(AND(255&gt;=$NR$84,255&lt;=$NS$84),IF($NP$84="Single_Point",IF(255=$NR$84,$NN$84,0),IF($NP$84="Bell_Curve",$NN$84*(255-$NR$84+1)*($NS$84-255+1)/$NU$84,$NN$84/$NT$84)),0)</f>
        <v/>
      </c>
      <c r="IZ84" s="402">
        <f>IF(AND(256&gt;=$NR$84,256&lt;=$NS$84),IF($NP$84="Single_Point",IF(256=$NR$84,$NN$84,0),IF($NP$84="Bell_Curve",$NN$84*(256-$NR$84+1)*($NS$84-256+1)/$NU$84,$NN$84/$NT$84)),0)</f>
        <v/>
      </c>
      <c r="JA84" s="402">
        <f>IF(AND(257&gt;=$NR$84,257&lt;=$NS$84),IF($NP$84="Single_Point",IF(257=$NR$84,$NN$84,0),IF($NP$84="Bell_Curve",$NN$84*(257-$NR$84+1)*($NS$84-257+1)/$NU$84,$NN$84/$NT$84)),0)</f>
        <v/>
      </c>
      <c r="JB84" s="402">
        <f>IF(AND(258&gt;=$NR$84,258&lt;=$NS$84),IF($NP$84="Single_Point",IF(258=$NR$84,$NN$84,0),IF($NP$84="Bell_Curve",$NN$84*(258-$NR$84+1)*($NS$84-258+1)/$NU$84,$NN$84/$NT$84)),0)</f>
        <v/>
      </c>
      <c r="JC84" s="402">
        <f>IF(AND(259&gt;=$NR$84,259&lt;=$NS$84),IF($NP$84="Single_Point",IF(259=$NR$84,$NN$84,0),IF($NP$84="Bell_Curve",$NN$84*(259-$NR$84+1)*($NS$84-259+1)/$NU$84,$NN$84/$NT$84)),0)</f>
        <v/>
      </c>
      <c r="JD84" s="402">
        <f>IF(AND(260&gt;=$NR$84,260&lt;=$NS$84),IF($NP$84="Single_Point",IF(260=$NR$84,$NN$84,0),IF($NP$84="Bell_Curve",$NN$84*(260-$NR$84+1)*($NS$84-260+1)/$NU$84,$NN$84/$NT$84)),0)</f>
        <v/>
      </c>
      <c r="JE84" s="402">
        <f>IF(AND(261&gt;=$NR$84,261&lt;=$NS$84),IF($NP$84="Single_Point",IF(261=$NR$84,$NN$84,0),IF($NP$84="Bell_Curve",$NN$84*(261-$NR$84+1)*($NS$84-261+1)/$NU$84,$NN$84/$NT$84)),0)</f>
        <v/>
      </c>
      <c r="JF84" s="402">
        <f>IF(AND(262&gt;=$NR$84,262&lt;=$NS$84),IF($NP$84="Single_Point",IF(262=$NR$84,$NN$84,0),IF($NP$84="Bell_Curve",$NN$84*(262-$NR$84+1)*($NS$84-262+1)/$NU$84,$NN$84/$NT$84)),0)</f>
        <v/>
      </c>
      <c r="JG84" s="402">
        <f>IF(AND(263&gt;=$NR$84,263&lt;=$NS$84),IF($NP$84="Single_Point",IF(263=$NR$84,$NN$84,0),IF($NP$84="Bell_Curve",$NN$84*(263-$NR$84+1)*($NS$84-263+1)/$NU$84,$NN$84/$NT$84)),0)</f>
        <v/>
      </c>
      <c r="JH84" s="402">
        <f>IF(AND(264&gt;=$NR$84,264&lt;=$NS$84),IF($NP$84="Single_Point",IF(264=$NR$84,$NN$84,0),IF($NP$84="Bell_Curve",$NN$84*(264-$NR$84+1)*($NS$84-264+1)/$NU$84,$NN$84/$NT$84)),0)</f>
        <v/>
      </c>
      <c r="JI84" s="402">
        <f>IF(AND(265&gt;=$NR$84,265&lt;=$NS$84),IF($NP$84="Single_Point",IF(265=$NR$84,$NN$84,0),IF($NP$84="Bell_Curve",$NN$84*(265-$NR$84+1)*($NS$84-265+1)/$NU$84,$NN$84/$NT$84)),0)</f>
        <v/>
      </c>
      <c r="JJ84" s="402">
        <f>IF(AND(266&gt;=$NR$84,266&lt;=$NS$84),IF($NP$84="Single_Point",IF(266=$NR$84,$NN$84,0),IF($NP$84="Bell_Curve",$NN$84*(266-$NR$84+1)*($NS$84-266+1)/$NU$84,$NN$84/$NT$84)),0)</f>
        <v/>
      </c>
      <c r="JK84" s="402">
        <f>IF(AND(267&gt;=$NR$84,267&lt;=$NS$84),IF($NP$84="Single_Point",IF(267=$NR$84,$NN$84,0),IF($NP$84="Bell_Curve",$NN$84*(267-$NR$84+1)*($NS$84-267+1)/$NU$84,$NN$84/$NT$84)),0)</f>
        <v/>
      </c>
      <c r="JL84" s="402">
        <f>IF(AND(268&gt;=$NR$84,268&lt;=$NS$84),IF($NP$84="Single_Point",IF(268=$NR$84,$NN$84,0),IF($NP$84="Bell_Curve",$NN$84*(268-$NR$84+1)*($NS$84-268+1)/$NU$84,$NN$84/$NT$84)),0)</f>
        <v/>
      </c>
      <c r="JM84" s="402">
        <f>IF(AND(269&gt;=$NR$84,269&lt;=$NS$84),IF($NP$84="Single_Point",IF(269=$NR$84,$NN$84,0),IF($NP$84="Bell_Curve",$NN$84*(269-$NR$84+1)*($NS$84-269+1)/$NU$84,$NN$84/$NT$84)),0)</f>
        <v/>
      </c>
      <c r="JN84" s="402">
        <f>IF(AND(270&gt;=$NR$84,270&lt;=$NS$84),IF($NP$84="Single_Point",IF(270=$NR$84,$NN$84,0),IF($NP$84="Bell_Curve",$NN$84*(270-$NR$84+1)*($NS$84-270+1)/$NU$84,$NN$84/$NT$84)),0)</f>
        <v/>
      </c>
      <c r="JO84" s="402">
        <f>IF(AND(271&gt;=$NR$84,271&lt;=$NS$84),IF($NP$84="Single_Point",IF(271=$NR$84,$NN$84,0),IF($NP$84="Bell_Curve",$NN$84*(271-$NR$84+1)*($NS$84-271+1)/$NU$84,$NN$84/$NT$84)),0)</f>
        <v/>
      </c>
      <c r="JP84" s="402">
        <f>IF(AND(272&gt;=$NR$84,272&lt;=$NS$84),IF($NP$84="Single_Point",IF(272=$NR$84,$NN$84,0),IF($NP$84="Bell_Curve",$NN$84*(272-$NR$84+1)*($NS$84-272+1)/$NU$84,$NN$84/$NT$84)),0)</f>
        <v/>
      </c>
      <c r="JQ84" s="402">
        <f>IF(AND(273&gt;=$NR$84,273&lt;=$NS$84),IF($NP$84="Single_Point",IF(273=$NR$84,$NN$84,0),IF($NP$84="Bell_Curve",$NN$84*(273-$NR$84+1)*($NS$84-273+1)/$NU$84,$NN$84/$NT$84)),0)</f>
        <v/>
      </c>
      <c r="JR84" s="402">
        <f>IF(AND(274&gt;=$NR$84,274&lt;=$NS$84),IF($NP$84="Single_Point",IF(274=$NR$84,$NN$84,0),IF($NP$84="Bell_Curve",$NN$84*(274-$NR$84+1)*($NS$84-274+1)/$NU$84,$NN$84/$NT$84)),0)</f>
        <v/>
      </c>
      <c r="JS84" s="402">
        <f>IF(AND(275&gt;=$NR$84,275&lt;=$NS$84),IF($NP$84="Single_Point",IF(275=$NR$84,$NN$84,0),IF($NP$84="Bell_Curve",$NN$84*(275-$NR$84+1)*($NS$84-275+1)/$NU$84,$NN$84/$NT$84)),0)</f>
        <v/>
      </c>
      <c r="JT84" s="402">
        <f>IF(AND(276&gt;=$NR$84,276&lt;=$NS$84),IF($NP$84="Single_Point",IF(276=$NR$84,$NN$84,0),IF($NP$84="Bell_Curve",$NN$84*(276-$NR$84+1)*($NS$84-276+1)/$NU$84,$NN$84/$NT$84)),0)</f>
        <v/>
      </c>
      <c r="JU84" s="402">
        <f>IF(AND(277&gt;=$NR$84,277&lt;=$NS$84),IF($NP$84="Single_Point",IF(277=$NR$84,$NN$84,0),IF($NP$84="Bell_Curve",$NN$84*(277-$NR$84+1)*($NS$84-277+1)/$NU$84,$NN$84/$NT$84)),0)</f>
        <v/>
      </c>
      <c r="JV84" s="402">
        <f>IF(AND(278&gt;=$NR$84,278&lt;=$NS$84),IF($NP$84="Single_Point",IF(278=$NR$84,$NN$84,0),IF($NP$84="Bell_Curve",$NN$84*(278-$NR$84+1)*($NS$84-278+1)/$NU$84,$NN$84/$NT$84)),0)</f>
        <v/>
      </c>
      <c r="JW84" s="402">
        <f>IF(AND(279&gt;=$NR$84,279&lt;=$NS$84),IF($NP$84="Single_Point",IF(279=$NR$84,$NN$84,0),IF($NP$84="Bell_Curve",$NN$84*(279-$NR$84+1)*($NS$84-279+1)/$NU$84,$NN$84/$NT$84)),0)</f>
        <v/>
      </c>
      <c r="JX84" s="402">
        <f>IF(AND(280&gt;=$NR$84,280&lt;=$NS$84),IF($NP$84="Single_Point",IF(280=$NR$84,$NN$84,0),IF($NP$84="Bell_Curve",$NN$84*(280-$NR$84+1)*($NS$84-280+1)/$NU$84,$NN$84/$NT$84)),0)</f>
        <v/>
      </c>
      <c r="JY84" s="402">
        <f>IF(AND(281&gt;=$NR$84,281&lt;=$NS$84),IF($NP$84="Single_Point",IF(281=$NR$84,$NN$84,0),IF($NP$84="Bell_Curve",$NN$84*(281-$NR$84+1)*($NS$84-281+1)/$NU$84,$NN$84/$NT$84)),0)</f>
        <v/>
      </c>
      <c r="JZ84" s="402">
        <f>IF(AND(282&gt;=$NR$84,282&lt;=$NS$84),IF($NP$84="Single_Point",IF(282=$NR$84,$NN$84,0),IF($NP$84="Bell_Curve",$NN$84*(282-$NR$84+1)*($NS$84-282+1)/$NU$84,$NN$84/$NT$84)),0)</f>
        <v/>
      </c>
      <c r="KA84" s="402">
        <f>IF(AND(283&gt;=$NR$84,283&lt;=$NS$84),IF($NP$84="Single_Point",IF(283=$NR$84,$NN$84,0),IF($NP$84="Bell_Curve",$NN$84*(283-$NR$84+1)*($NS$84-283+1)/$NU$84,$NN$84/$NT$84)),0)</f>
        <v/>
      </c>
      <c r="KB84" s="402">
        <f>IF(AND(284&gt;=$NR$84,284&lt;=$NS$84),IF($NP$84="Single_Point",IF(284=$NR$84,$NN$84,0),IF($NP$84="Bell_Curve",$NN$84*(284-$NR$84+1)*($NS$84-284+1)/$NU$84,$NN$84/$NT$84)),0)</f>
        <v/>
      </c>
      <c r="KC84" s="402">
        <f>IF(AND(285&gt;=$NR$84,285&lt;=$NS$84),IF($NP$84="Single_Point",IF(285=$NR$84,$NN$84,0),IF($NP$84="Bell_Curve",$NN$84*(285-$NR$84+1)*($NS$84-285+1)/$NU$84,$NN$84/$NT$84)),0)</f>
        <v/>
      </c>
      <c r="KD84" s="402">
        <f>IF(AND(286&gt;=$NR$84,286&lt;=$NS$84),IF($NP$84="Single_Point",IF(286=$NR$84,$NN$84,0),IF($NP$84="Bell_Curve",$NN$84*(286-$NR$84+1)*($NS$84-286+1)/$NU$84,$NN$84/$NT$84)),0)</f>
        <v/>
      </c>
      <c r="KE84" s="402">
        <f>IF(AND(287&gt;=$NR$84,287&lt;=$NS$84),IF($NP$84="Single_Point",IF(287=$NR$84,$NN$84,0),IF($NP$84="Bell_Curve",$NN$84*(287-$NR$84+1)*($NS$84-287+1)/$NU$84,$NN$84/$NT$84)),0)</f>
        <v/>
      </c>
      <c r="KF84" s="402">
        <f>IF(AND(288&gt;=$NR$84,288&lt;=$NS$84),IF($NP$84="Single_Point",IF(288=$NR$84,$NN$84,0),IF($NP$84="Bell_Curve",$NN$84*(288-$NR$84+1)*($NS$84-288+1)/$NU$84,$NN$84/$NT$84)),0)</f>
        <v/>
      </c>
      <c r="KG84" s="402">
        <f>IF(AND(289&gt;=$NR$84,289&lt;=$NS$84),IF($NP$84="Single_Point",IF(289=$NR$84,$NN$84,0),IF($NP$84="Bell_Curve",$NN$84*(289-$NR$84+1)*($NS$84-289+1)/$NU$84,$NN$84/$NT$84)),0)</f>
        <v/>
      </c>
      <c r="KH84" s="402">
        <f>IF(AND(290&gt;=$NR$84,290&lt;=$NS$84),IF($NP$84="Single_Point",IF(290=$NR$84,$NN$84,0),IF($NP$84="Bell_Curve",$NN$84*(290-$NR$84+1)*($NS$84-290+1)/$NU$84,$NN$84/$NT$84)),0)</f>
        <v/>
      </c>
      <c r="KI84" s="402">
        <f>IF(AND(291&gt;=$NR$84,291&lt;=$NS$84),IF($NP$84="Single_Point",IF(291=$NR$84,$NN$84,0),IF($NP$84="Bell_Curve",$NN$84*(291-$NR$84+1)*($NS$84-291+1)/$NU$84,$NN$84/$NT$84)),0)</f>
        <v/>
      </c>
      <c r="KJ84" s="402">
        <f>IF(AND(292&gt;=$NR$84,292&lt;=$NS$84),IF($NP$84="Single_Point",IF(292=$NR$84,$NN$84,0),IF($NP$84="Bell_Curve",$NN$84*(292-$NR$84+1)*($NS$84-292+1)/$NU$84,$NN$84/$NT$84)),0)</f>
        <v/>
      </c>
      <c r="KK84" s="402">
        <f>IF(AND(293&gt;=$NR$84,293&lt;=$NS$84),IF($NP$84="Single_Point",IF(293=$NR$84,$NN$84,0),IF($NP$84="Bell_Curve",$NN$84*(293-$NR$84+1)*($NS$84-293+1)/$NU$84,$NN$84/$NT$84)),0)</f>
        <v/>
      </c>
      <c r="KL84" s="402">
        <f>IF(AND(294&gt;=$NR$84,294&lt;=$NS$84),IF($NP$84="Single_Point",IF(294=$NR$84,$NN$84,0),IF($NP$84="Bell_Curve",$NN$84*(294-$NR$84+1)*($NS$84-294+1)/$NU$84,$NN$84/$NT$84)),0)</f>
        <v/>
      </c>
      <c r="KM84" s="402">
        <f>IF(AND(295&gt;=$NR$84,295&lt;=$NS$84),IF($NP$84="Single_Point",IF(295=$NR$84,$NN$84,0),IF($NP$84="Bell_Curve",$NN$84*(295-$NR$84+1)*($NS$84-295+1)/$NU$84,$NN$84/$NT$84)),0)</f>
        <v/>
      </c>
      <c r="KN84" s="402">
        <f>IF(AND(296&gt;=$NR$84,296&lt;=$NS$84),IF($NP$84="Single_Point",IF(296=$NR$84,$NN$84,0),IF($NP$84="Bell_Curve",$NN$84*(296-$NR$84+1)*($NS$84-296+1)/$NU$84,$NN$84/$NT$84)),0)</f>
        <v/>
      </c>
      <c r="KO84" s="402">
        <f>IF(AND(297&gt;=$NR$84,297&lt;=$NS$84),IF($NP$84="Single_Point",IF(297=$NR$84,$NN$84,0),IF($NP$84="Bell_Curve",$NN$84*(297-$NR$84+1)*($NS$84-297+1)/$NU$84,$NN$84/$NT$84)),0)</f>
        <v/>
      </c>
      <c r="KP84" s="402">
        <f>IF(AND(298&gt;=$NR$84,298&lt;=$NS$84),IF($NP$84="Single_Point",IF(298=$NR$84,$NN$84,0),IF($NP$84="Bell_Curve",$NN$84*(298-$NR$84+1)*($NS$84-298+1)/$NU$84,$NN$84/$NT$84)),0)</f>
        <v/>
      </c>
      <c r="KQ84" s="402">
        <f>IF(AND(299&gt;=$NR$84,299&lt;=$NS$84),IF($NP$84="Single_Point",IF(299=$NR$84,$NN$84,0),IF($NP$84="Bell_Curve",$NN$84*(299-$NR$84+1)*($NS$84-299+1)/$NU$84,$NN$84/$NT$84)),0)</f>
        <v/>
      </c>
      <c r="KR84" s="402">
        <f>IF(AND(300&gt;=$NR$84,300&lt;=$NS$84),IF($NP$84="Single_Point",IF(300=$NR$84,$NN$84,0),IF($NP$84="Bell_Curve",$NN$84*(300-$NR$84+1)*($NS$84-300+1)/$NU$84,$NN$84/$NT$84)),0)</f>
        <v/>
      </c>
      <c r="KS84" s="402">
        <f>IF(AND(301&gt;=$NR$84,301&lt;=$NS$84),IF($NP$84="Single_Point",IF(301=$NR$84,$NN$84,0),IF($NP$84="Bell_Curve",$NN$84*(301-$NR$84+1)*($NS$84-301+1)/$NU$84,$NN$84/$NT$84)),0)</f>
        <v/>
      </c>
      <c r="KT84" s="402">
        <f>IF(AND(302&gt;=$NR$84,302&lt;=$NS$84),IF($NP$84="Single_Point",IF(302=$NR$84,$NN$84,0),IF($NP$84="Bell_Curve",$NN$84*(302-$NR$84+1)*($NS$84-302+1)/$NU$84,$NN$84/$NT$84)),0)</f>
        <v/>
      </c>
      <c r="KU84" s="402">
        <f>IF(AND(303&gt;=$NR$84,303&lt;=$NS$84),IF($NP$84="Single_Point",IF(303=$NR$84,$NN$84,0),IF($NP$84="Bell_Curve",$NN$84*(303-$NR$84+1)*($NS$84-303+1)/$NU$84,$NN$84/$NT$84)),0)</f>
        <v/>
      </c>
      <c r="KV84" s="402">
        <f>IF(AND(304&gt;=$NR$84,304&lt;=$NS$84),IF($NP$84="Single_Point",IF(304=$NR$84,$NN$84,0),IF($NP$84="Bell_Curve",$NN$84*(304-$NR$84+1)*($NS$84-304+1)/$NU$84,$NN$84/$NT$84)),0)</f>
        <v/>
      </c>
      <c r="KW84" s="402">
        <f>IF(AND(305&gt;=$NR$84,305&lt;=$NS$84),IF($NP$84="Single_Point",IF(305=$NR$84,$NN$84,0),IF($NP$84="Bell_Curve",$NN$84*(305-$NR$84+1)*($NS$84-305+1)/$NU$84,$NN$84/$NT$84)),0)</f>
        <v/>
      </c>
      <c r="KX84" s="402">
        <f>IF(AND(306&gt;=$NR$84,306&lt;=$NS$84),IF($NP$84="Single_Point",IF(306=$NR$84,$NN$84,0),IF($NP$84="Bell_Curve",$NN$84*(306-$NR$84+1)*($NS$84-306+1)/$NU$84,$NN$84/$NT$84)),0)</f>
        <v/>
      </c>
      <c r="KY84" s="402">
        <f>IF(AND(307&gt;=$NR$84,307&lt;=$NS$84),IF($NP$84="Single_Point",IF(307=$NR$84,$NN$84,0),IF($NP$84="Bell_Curve",$NN$84*(307-$NR$84+1)*($NS$84-307+1)/$NU$84,$NN$84/$NT$84)),0)</f>
        <v/>
      </c>
      <c r="KZ84" s="402">
        <f>IF(AND(308&gt;=$NR$84,308&lt;=$NS$84),IF($NP$84="Single_Point",IF(308=$NR$84,$NN$84,0),IF($NP$84="Bell_Curve",$NN$84*(308-$NR$84+1)*($NS$84-308+1)/$NU$84,$NN$84/$NT$84)),0)</f>
        <v/>
      </c>
      <c r="LA84" s="402">
        <f>IF(AND(309&gt;=$NR$84,309&lt;=$NS$84),IF($NP$84="Single_Point",IF(309=$NR$84,$NN$84,0),IF($NP$84="Bell_Curve",$NN$84*(309-$NR$84+1)*($NS$84-309+1)/$NU$84,$NN$84/$NT$84)),0)</f>
        <v/>
      </c>
      <c r="LB84" s="402">
        <f>IF(AND(310&gt;=$NR$84,310&lt;=$NS$84),IF($NP$84="Single_Point",IF(310=$NR$84,$NN$84,0),IF($NP$84="Bell_Curve",$NN$84*(310-$NR$84+1)*($NS$84-310+1)/$NU$84,$NN$84/$NT$84)),0)</f>
        <v/>
      </c>
      <c r="LC84" s="402">
        <f>IF(AND(311&gt;=$NR$84,311&lt;=$NS$84),IF($NP$84="Single_Point",IF(311=$NR$84,$NN$84,0),IF($NP$84="Bell_Curve",$NN$84*(311-$NR$84+1)*($NS$84-311+1)/$NU$84,$NN$84/$NT$84)),0)</f>
        <v/>
      </c>
      <c r="LD84" s="402">
        <f>IF(AND(312&gt;=$NR$84,312&lt;=$NS$84),IF($NP$84="Single_Point",IF(312=$NR$84,$NN$84,0),IF($NP$84="Bell_Curve",$NN$84*(312-$NR$84+1)*($NS$84-312+1)/$NU$84,$NN$84/$NT$84)),0)</f>
        <v/>
      </c>
      <c r="LE84" s="402">
        <f>IF(AND(313&gt;=$NR$84,313&lt;=$NS$84),IF($NP$84="Single_Point",IF(313=$NR$84,$NN$84,0),IF($NP$84="Bell_Curve",$NN$84*(313-$NR$84+1)*($NS$84-313+1)/$NU$84,$NN$84/$NT$84)),0)</f>
        <v/>
      </c>
      <c r="LF84" s="402">
        <f>IF(AND(314&gt;=$NR$84,314&lt;=$NS$84),IF($NP$84="Single_Point",IF(314=$NR$84,$NN$84,0),IF($NP$84="Bell_Curve",$NN$84*(314-$NR$84+1)*($NS$84-314+1)/$NU$84,$NN$84/$NT$84)),0)</f>
        <v/>
      </c>
      <c r="LG84" s="402">
        <f>IF(AND(315&gt;=$NR$84,315&lt;=$NS$84),IF($NP$84="Single_Point",IF(315=$NR$84,$NN$84,0),IF($NP$84="Bell_Curve",$NN$84*(315-$NR$84+1)*($NS$84-315+1)/$NU$84,$NN$84/$NT$84)),0)</f>
        <v/>
      </c>
      <c r="LH84" s="402">
        <f>IF(AND(316&gt;=$NR$84,316&lt;=$NS$84),IF($NP$84="Single_Point",IF(316=$NR$84,$NN$84,0),IF($NP$84="Bell_Curve",$NN$84*(316-$NR$84+1)*($NS$84-316+1)/$NU$84,$NN$84/$NT$84)),0)</f>
        <v/>
      </c>
      <c r="LI84" s="402">
        <f>IF(AND(317&gt;=$NR$84,317&lt;=$NS$84),IF($NP$84="Single_Point",IF(317=$NR$84,$NN$84,0),IF($NP$84="Bell_Curve",$NN$84*(317-$NR$84+1)*($NS$84-317+1)/$NU$84,$NN$84/$NT$84)),0)</f>
        <v/>
      </c>
      <c r="LJ84" s="402">
        <f>IF(AND(318&gt;=$NR$84,318&lt;=$NS$84),IF($NP$84="Single_Point",IF(318=$NR$84,$NN$84,0),IF($NP$84="Bell_Curve",$NN$84*(318-$NR$84+1)*($NS$84-318+1)/$NU$84,$NN$84/$NT$84)),0)</f>
        <v/>
      </c>
      <c r="LK84" s="402">
        <f>IF(AND(319&gt;=$NR$84,319&lt;=$NS$84),IF($NP$84="Single_Point",IF(319=$NR$84,$NN$84,0),IF($NP$84="Bell_Curve",$NN$84*(319-$NR$84+1)*($NS$84-319+1)/$NU$84,$NN$84/$NT$84)),0)</f>
        <v/>
      </c>
      <c r="LL84" s="402">
        <f>IF(AND(320&gt;=$NR$84,320&lt;=$NS$84),IF($NP$84="Single_Point",IF(320=$NR$84,$NN$84,0),IF($NP$84="Bell_Curve",$NN$84*(320-$NR$84+1)*($NS$84-320+1)/$NU$84,$NN$84/$NT$84)),0)</f>
        <v/>
      </c>
      <c r="LM84" s="402">
        <f>IF(AND(321&gt;=$NR$84,321&lt;=$NS$84),IF($NP$84="Single_Point",IF(321=$NR$84,$NN$84,0),IF($NP$84="Bell_Curve",$NN$84*(321-$NR$84+1)*($NS$84-321+1)/$NU$84,$NN$84/$NT$84)),0)</f>
        <v/>
      </c>
      <c r="LN84" s="402">
        <f>IF(AND(322&gt;=$NR$84,322&lt;=$NS$84),IF($NP$84="Single_Point",IF(322=$NR$84,$NN$84,0),IF($NP$84="Bell_Curve",$NN$84*(322-$NR$84+1)*($NS$84-322+1)/$NU$84,$NN$84/$NT$84)),0)</f>
        <v/>
      </c>
      <c r="LO84" s="402">
        <f>IF(AND(323&gt;=$NR$84,323&lt;=$NS$84),IF($NP$84="Single_Point",IF(323=$NR$84,$NN$84,0),IF($NP$84="Bell_Curve",$NN$84*(323-$NR$84+1)*($NS$84-323+1)/$NU$84,$NN$84/$NT$84)),0)</f>
        <v/>
      </c>
      <c r="LP84" s="402">
        <f>IF(AND(324&gt;=$NR$84,324&lt;=$NS$84),IF($NP$84="Single_Point",IF(324=$NR$84,$NN$84,0),IF($NP$84="Bell_Curve",$NN$84*(324-$NR$84+1)*($NS$84-324+1)/$NU$84,$NN$84/$NT$84)),0)</f>
        <v/>
      </c>
      <c r="LQ84" s="402">
        <f>IF(AND(325&gt;=$NR$84,325&lt;=$NS$84),IF($NP$84="Single_Point",IF(325=$NR$84,$NN$84,0),IF($NP$84="Bell_Curve",$NN$84*(325-$NR$84+1)*($NS$84-325+1)/$NU$84,$NN$84/$NT$84)),0)</f>
        <v/>
      </c>
      <c r="LR84" s="402">
        <f>IF(AND(326&gt;=$NR$84,326&lt;=$NS$84),IF($NP$84="Single_Point",IF(326=$NR$84,$NN$84,0),IF($NP$84="Bell_Curve",$NN$84*(326-$NR$84+1)*($NS$84-326+1)/$NU$84,$NN$84/$NT$84)),0)</f>
        <v/>
      </c>
      <c r="LS84" s="402">
        <f>IF(AND(327&gt;=$NR$84,327&lt;=$NS$84),IF($NP$84="Single_Point",IF(327=$NR$84,$NN$84,0),IF($NP$84="Bell_Curve",$NN$84*(327-$NR$84+1)*($NS$84-327+1)/$NU$84,$NN$84/$NT$84)),0)</f>
        <v/>
      </c>
      <c r="LT84" s="402">
        <f>IF(AND(328&gt;=$NR$84,328&lt;=$NS$84),IF($NP$84="Single_Point",IF(328=$NR$84,$NN$84,0),IF($NP$84="Bell_Curve",$NN$84*(328-$NR$84+1)*($NS$84-328+1)/$NU$84,$NN$84/$NT$84)),0)</f>
        <v/>
      </c>
      <c r="LU84" s="402">
        <f>IF(AND(329&gt;=$NR$84,329&lt;=$NS$84),IF($NP$84="Single_Point",IF(329=$NR$84,$NN$84,0),IF($NP$84="Bell_Curve",$NN$84*(329-$NR$84+1)*($NS$84-329+1)/$NU$84,$NN$84/$NT$84)),0)</f>
        <v/>
      </c>
      <c r="LV84" s="402">
        <f>IF(AND(330&gt;=$NR$84,330&lt;=$NS$84),IF($NP$84="Single_Point",IF(330=$NR$84,$NN$84,0),IF($NP$84="Bell_Curve",$NN$84*(330-$NR$84+1)*($NS$84-330+1)/$NU$84,$NN$84/$NT$84)),0)</f>
        <v/>
      </c>
      <c r="LW84" s="402">
        <f>IF(AND(331&gt;=$NR$84,331&lt;=$NS$84),IF($NP$84="Single_Point",IF(331=$NR$84,$NN$84,0),IF($NP$84="Bell_Curve",$NN$84*(331-$NR$84+1)*($NS$84-331+1)/$NU$84,$NN$84/$NT$84)),0)</f>
        <v/>
      </c>
      <c r="LX84" s="402">
        <f>IF(AND(332&gt;=$NR$84,332&lt;=$NS$84),IF($NP$84="Single_Point",IF(332=$NR$84,$NN$84,0),IF($NP$84="Bell_Curve",$NN$84*(332-$NR$84+1)*($NS$84-332+1)/$NU$84,$NN$84/$NT$84)),0)</f>
        <v/>
      </c>
      <c r="LY84" s="402">
        <f>IF(AND(333&gt;=$NR$84,333&lt;=$NS$84),IF($NP$84="Single_Point",IF(333=$NR$84,$NN$84,0),IF($NP$84="Bell_Curve",$NN$84*(333-$NR$84+1)*($NS$84-333+1)/$NU$84,$NN$84/$NT$84)),0)</f>
        <v/>
      </c>
      <c r="LZ84" s="402">
        <f>IF(AND(334&gt;=$NR$84,334&lt;=$NS$84),IF($NP$84="Single_Point",IF(334=$NR$84,$NN$84,0),IF($NP$84="Bell_Curve",$NN$84*(334-$NR$84+1)*($NS$84-334+1)/$NU$84,$NN$84/$NT$84)),0)</f>
        <v/>
      </c>
      <c r="MA84" s="402">
        <f>IF(AND(335&gt;=$NR$84,335&lt;=$NS$84),IF($NP$84="Single_Point",IF(335=$NR$84,$NN$84,0),IF($NP$84="Bell_Curve",$NN$84*(335-$NR$84+1)*($NS$84-335+1)/$NU$84,$NN$84/$NT$84)),0)</f>
        <v/>
      </c>
      <c r="MB84" s="402">
        <f>IF(AND(336&gt;=$NR$84,336&lt;=$NS$84),IF($NP$84="Single_Point",IF(336=$NR$84,$NN$84,0),IF($NP$84="Bell_Curve",$NN$84*(336-$NR$84+1)*($NS$84-336+1)/$NU$84,$NN$84/$NT$84)),0)</f>
        <v/>
      </c>
      <c r="MC84" s="402">
        <f>IF(AND(337&gt;=$NR$84,337&lt;=$NS$84),IF($NP$84="Single_Point",IF(337=$NR$84,$NN$84,0),IF($NP$84="Bell_Curve",$NN$84*(337-$NR$84+1)*($NS$84-337+1)/$NU$84,$NN$84/$NT$84)),0)</f>
        <v/>
      </c>
      <c r="MD84" s="402">
        <f>IF(AND(338&gt;=$NR$84,338&lt;=$NS$84),IF($NP$84="Single_Point",IF(338=$NR$84,$NN$84,0),IF($NP$84="Bell_Curve",$NN$84*(338-$NR$84+1)*($NS$84-338+1)/$NU$84,$NN$84/$NT$84)),0)</f>
        <v/>
      </c>
      <c r="ME84" s="402">
        <f>IF(AND(339&gt;=$NR$84,339&lt;=$NS$84),IF($NP$84="Single_Point",IF(339=$NR$84,$NN$84,0),IF($NP$84="Bell_Curve",$NN$84*(339-$NR$84+1)*($NS$84-339+1)/$NU$84,$NN$84/$NT$84)),0)</f>
        <v/>
      </c>
      <c r="MF84" s="402">
        <f>IF(AND(340&gt;=$NR$84,340&lt;=$NS$84),IF($NP$84="Single_Point",IF(340=$NR$84,$NN$84,0),IF($NP$84="Bell_Curve",$NN$84*(340-$NR$84+1)*($NS$84-340+1)/$NU$84,$NN$84/$NT$84)),0)</f>
        <v/>
      </c>
      <c r="MG84" s="402">
        <f>IF(AND(341&gt;=$NR$84,341&lt;=$NS$84),IF($NP$84="Single_Point",IF(341=$NR$84,$NN$84,0),IF($NP$84="Bell_Curve",$NN$84*(341-$NR$84+1)*($NS$84-341+1)/$NU$84,$NN$84/$NT$84)),0)</f>
        <v/>
      </c>
      <c r="MH84" s="402">
        <f>IF(AND(342&gt;=$NR$84,342&lt;=$NS$84),IF($NP$84="Single_Point",IF(342=$NR$84,$NN$84,0),IF($NP$84="Bell_Curve",$NN$84*(342-$NR$84+1)*($NS$84-342+1)/$NU$84,$NN$84/$NT$84)),0)</f>
        <v/>
      </c>
      <c r="MI84" s="402">
        <f>IF(AND(343&gt;=$NR$84,343&lt;=$NS$84),IF($NP$84="Single_Point",IF(343=$NR$84,$NN$84,0),IF($NP$84="Bell_Curve",$NN$84*(343-$NR$84+1)*($NS$84-343+1)/$NU$84,$NN$84/$NT$84)),0)</f>
        <v/>
      </c>
      <c r="MJ84" s="402">
        <f>IF(AND(344&gt;=$NR$84,344&lt;=$NS$84),IF($NP$84="Single_Point",IF(344=$NR$84,$NN$84,0),IF($NP$84="Bell_Curve",$NN$84*(344-$NR$84+1)*($NS$84-344+1)/$NU$84,$NN$84/$NT$84)),0)</f>
        <v/>
      </c>
      <c r="MK84" s="402">
        <f>IF(AND(345&gt;=$NR$84,345&lt;=$NS$84),IF($NP$84="Single_Point",IF(345=$NR$84,$NN$84,0),IF($NP$84="Bell_Curve",$NN$84*(345-$NR$84+1)*($NS$84-345+1)/$NU$84,$NN$84/$NT$84)),0)</f>
        <v/>
      </c>
      <c r="ML84" s="402">
        <f>IF(AND(346&gt;=$NR$84,346&lt;=$NS$84),IF($NP$84="Single_Point",IF(346=$NR$84,$NN$84,0),IF($NP$84="Bell_Curve",$NN$84*(346-$NR$84+1)*($NS$84-346+1)/$NU$84,$NN$84/$NT$84)),0)</f>
        <v/>
      </c>
      <c r="MM84" s="402">
        <f>IF(AND(347&gt;=$NR$84,347&lt;=$NS$84),IF($NP$84="Single_Point",IF(347=$NR$84,$NN$84,0),IF($NP$84="Bell_Curve",$NN$84*(347-$NR$84+1)*($NS$84-347+1)/$NU$84,$NN$84/$NT$84)),0)</f>
        <v/>
      </c>
      <c r="MN84" s="402">
        <f>IF(AND(348&gt;=$NR$84,348&lt;=$NS$84),IF($NP$84="Single_Point",IF(348=$NR$84,$NN$84,0),IF($NP$84="Bell_Curve",$NN$84*(348-$NR$84+1)*($NS$84-348+1)/$NU$84,$NN$84/$NT$84)),0)</f>
        <v/>
      </c>
      <c r="MO84" s="402">
        <f>IF(AND(349&gt;=$NR$84,349&lt;=$NS$84),IF($NP$84="Single_Point",IF(349=$NR$84,$NN$84,0),IF($NP$84="Bell_Curve",$NN$84*(349-$NR$84+1)*($NS$84-349+1)/$NU$84,$NN$84/$NT$84)),0)</f>
        <v/>
      </c>
      <c r="MP84" s="402">
        <f>IF(AND(350&gt;=$NR$84,350&lt;=$NS$84),IF($NP$84="Single_Point",IF(350=$NR$84,$NN$84,0),IF($NP$84="Bell_Curve",$NN$84*(350-$NR$84+1)*($NS$84-350+1)/$NU$84,$NN$84/$NT$84)),0)</f>
        <v/>
      </c>
      <c r="MQ84" s="402">
        <f>IF(AND(351&gt;=$NR$84,351&lt;=$NS$84),IF($NP$84="Single_Point",IF(351=$NR$84,$NN$84,0),IF($NP$84="Bell_Curve",$NN$84*(351-$NR$84+1)*($NS$84-351+1)/$NU$84,$NN$84/$NT$84)),0)</f>
        <v/>
      </c>
      <c r="MR84" s="402">
        <f>IF(AND(352&gt;=$NR$84,352&lt;=$NS$84),IF($NP$84="Single_Point",IF(352=$NR$84,$NN$84,0),IF($NP$84="Bell_Curve",$NN$84*(352-$NR$84+1)*($NS$84-352+1)/$NU$84,$NN$84/$NT$84)),0)</f>
        <v/>
      </c>
      <c r="MS84" s="402">
        <f>IF(AND(353&gt;=$NR$84,353&lt;=$NS$84),IF($NP$84="Single_Point",IF(353=$NR$84,$NN$84,0),IF($NP$84="Bell_Curve",$NN$84*(353-$NR$84+1)*($NS$84-353+1)/$NU$84,$NN$84/$NT$84)),0)</f>
        <v/>
      </c>
      <c r="MT84" s="402">
        <f>IF(AND(354&gt;=$NR$84,354&lt;=$NS$84),IF($NP$84="Single_Point",IF(354=$NR$84,$NN$84,0),IF($NP$84="Bell_Curve",$NN$84*(354-$NR$84+1)*($NS$84-354+1)/$NU$84,$NN$84/$NT$84)),0)</f>
        <v/>
      </c>
      <c r="MU84" s="402">
        <f>IF(AND(355&gt;=$NR$84,355&lt;=$NS$84),IF($NP$84="Single_Point",IF(355=$NR$84,$NN$84,0),IF($NP$84="Bell_Curve",$NN$84*(355-$NR$84+1)*($NS$84-355+1)/$NU$84,$NN$84/$NT$84)),0)</f>
        <v/>
      </c>
      <c r="MV84" s="402">
        <f>IF(AND(356&gt;=$NR$84,356&lt;=$NS$84),IF($NP$84="Single_Point",IF(356=$NR$84,$NN$84,0),IF($NP$84="Bell_Curve",$NN$84*(356-$NR$84+1)*($NS$84-356+1)/$NU$84,$NN$84/$NT$84)),0)</f>
        <v/>
      </c>
      <c r="MW84" s="402">
        <f>IF(AND(357&gt;=$NR$84,357&lt;=$NS$84),IF($NP$84="Single_Point",IF(357=$NR$84,$NN$84,0),IF($NP$84="Bell_Curve",$NN$84*(357-$NR$84+1)*($NS$84-357+1)/$NU$84,$NN$84/$NT$84)),0)</f>
        <v/>
      </c>
      <c r="MX84" s="402">
        <f>IF(AND(358&gt;=$NR$84,358&lt;=$NS$84),IF($NP$84="Single_Point",IF(358=$NR$84,$NN$84,0),IF($NP$84="Bell_Curve",$NN$84*(358-$NR$84+1)*($NS$84-358+1)/$NU$84,$NN$84/$NT$84)),0)</f>
        <v/>
      </c>
      <c r="MY84" s="402">
        <f>IF(AND(359&gt;=$NR$84,359&lt;=$NS$84),IF($NP$84="Single_Point",IF(359=$NR$84,$NN$84,0),IF($NP$84="Bell_Curve",$NN$84*(359-$NR$84+1)*($NS$84-359+1)/$NU$84,$NN$84/$NT$84)),0)</f>
        <v/>
      </c>
      <c r="MZ84" s="402">
        <f>IF(AND(360&gt;=$NR$84,360&lt;=$NS$84),IF($NP$84="Single_Point",IF(360=$NR$84,$NN$84,0),IF($NP$84="Bell_Curve",$NN$84*(360-$NR$84+1)*($NS$84-360+1)/$NU$84,$NN$84/$NT$84)),0)</f>
        <v/>
      </c>
      <c r="NA84" s="402">
        <f>IF(AND(361&gt;=$NR$84,361&lt;=$NS$84),IF($NP$84="Single_Point",IF(361=$NR$84,$NN$84,0),IF($NP$84="Bell_Curve",$NN$84*(361-$NR$84+1)*($NS$84-361+1)/$NU$84,$NN$84/$NT$84)),0)</f>
        <v/>
      </c>
      <c r="NB84" s="402">
        <f>IF(AND(362&gt;=$NR$84,362&lt;=$NS$84),IF($NP$84="Single_Point",IF(362=$NR$84,$NN$84,0),IF($NP$84="Bell_Curve",$NN$84*(362-$NR$84+1)*($NS$84-362+1)/$NU$84,$NN$84/$NT$84)),0)</f>
        <v/>
      </c>
      <c r="NC84" s="402">
        <f>IF(AND(363&gt;=$NR$84,363&lt;=$NS$84),IF($NP$84="Single_Point",IF(363=$NR$84,$NN$84,0),IF($NP$84="Bell_Curve",$NN$84*(363-$NR$84+1)*($NS$84-363+1)/$NU$84,$NN$84/$NT$84)),0)</f>
        <v/>
      </c>
      <c r="ND84" s="402">
        <f>IF(AND(364&gt;=$NR$84,364&lt;=$NS$84),IF($NP$84="Single_Point",IF(364=$NR$84,$NN$84,0),IF($NP$84="Bell_Curve",$NN$84*(364-$NR$84+1)*($NS$84-364+1)/$NU$84,$NN$84/$NT$84)),0)</f>
        <v/>
      </c>
      <c r="NE84" s="402">
        <f>IF(AND(365&gt;=$NR$84,365&lt;=$NS$84),IF($NP$84="Single_Point",IF(365=$NR$84,$NN$84,0),IF($NP$84="Bell_Curve",$NN$84*(365-$NR$84+1)*($NS$84-365+1)/$NU$84,$NN$84/$NT$84)),0)</f>
        <v/>
      </c>
      <c r="NF84" s="402">
        <f>IF(AND(366&gt;=$NR$84,366&lt;=$NS$84),IF($NP$84="Single_Point",IF(366=$NR$84,$NN$84,0),IF($NP$84="Bell_Curve",$NN$84*(366-$NR$84+1)*($NS$84-366+1)/$NU$84,$NN$84/$NT$84)),0)</f>
        <v/>
      </c>
      <c r="NG84" s="402">
        <f>IF(AND(367&gt;=$NR$84,367&lt;=$NS$84),IF($NP$84="Single_Point",IF(367=$NR$84,$NN$84,0),IF($NP$84="Bell_Curve",$NN$84*(367-$NR$84+1)*($NS$84-367+1)/$NU$84,$NN$84/$NT$84)),0)</f>
        <v/>
      </c>
      <c r="NH84" s="402">
        <f>IF(AND(368&gt;=$NR$84,368&lt;=$NS$84),IF($NP$84="Single_Point",IF(368=$NR$84,$NN$84,0),IF($NP$84="Bell_Curve",$NN$84*(368-$NR$84+1)*($NS$84-368+1)/$NU$84,$NN$84/$NT$84)),0)</f>
        <v/>
      </c>
      <c r="NI84" s="402">
        <f>IF(AND(369&gt;=$NR$84,369&lt;=$NS$84),IF($NP$84="Single_Point",IF(369=$NR$84,$NN$84,0),IF($NP$84="Bell_Curve",$NN$84*(369-$NR$84+1)*($NS$84-369+1)/$NU$84,$NN$84/$NT$84)),0)</f>
        <v/>
      </c>
      <c r="NJ84" s="402">
        <f>IF(AND(370&gt;=$NR$84,370&lt;=$NS$84),IF($NP$84="Single_Point",IF(370=$NR$84,$NN$84,0),IF($NP$84="Bell_Curve",$NN$84*(370-$NR$84+1)*($NS$84-370+1)/$NU$84,$NN$84/$NT$84)),0)</f>
        <v/>
      </c>
      <c r="NK84" s="402">
        <f>IF(AND(371&gt;=$NR$84,371&lt;=$NS$84),IF($NP$84="Single_Point",IF(371=$NR$84,$NN$84,0),IF($NP$84="Bell_Curve",$NN$84*(371-$NR$84+1)*($NS$84-371+1)/$NU$84,$NN$84/$NT$84)),0)</f>
        <v/>
      </c>
      <c r="NL84" s="402">
        <f>IF(AND(372&gt;=$NR$84,372&lt;=$NS$84),IF($NP$84="Single_Point",IF(372=$NR$84,$NN$84,0),IF($NP$84="Bell_Curve",$NN$84*(372-$NR$84+1)*($NS$84-372+1)/$NU$84,$NN$84/$NT$84)),0)</f>
        <v/>
      </c>
      <c r="NM84">
        <f>Budget!C83</f>
        <v/>
      </c>
      <c r="NN84">
        <f>Budget!J83</f>
        <v/>
      </c>
      <c r="NO84">
        <f>Budget!G83</f>
        <v/>
      </c>
      <c r="NP84">
        <f>Budget!H83</f>
        <v/>
      </c>
      <c r="NQ84">
        <f>Budget!I83</f>
        <v/>
      </c>
      <c r="NR84">
        <f>MAX(1,MIN(372,INDEX(MilestoneStart,MATCH(NO84,MilestoneNames,0))+NQ84))</f>
        <v/>
      </c>
      <c r="NS84">
        <f>MAX(NR84,MIN(372,INDEX(MilestoneEnd,MATCH(NO84,MilestoneNames,0))+NQ84))</f>
        <v/>
      </c>
      <c r="NT84">
        <f>NS84-NR84+1</f>
        <v/>
      </c>
      <c r="NU84">
        <f>NT84*(NT84+1)*(NT84+2)/6</f>
        <v/>
      </c>
    </row>
    <row r="85">
      <c r="B85" s="316">
        <f>Budget!B84</f>
        <v/>
      </c>
      <c r="D85" s="402">
        <f>SUM(E85:NL85)</f>
        <v/>
      </c>
      <c r="E85" s="402">
        <f>IF(AND(1&gt;=$NR$85,1&lt;=$NS$85),IF($NP$85="Single_Point",IF(1=$NR$85,$NN$85,0),IF($NP$85="Bell_Curve",$NN$85*(1-$NR$85+1)*($NS$85-1+1)/$NU$85,$NN$85/$NT$85)),0)</f>
        <v/>
      </c>
      <c r="F85" s="402">
        <f>IF(AND(2&gt;=$NR$85,2&lt;=$NS$85),IF($NP$85="Single_Point",IF(2=$NR$85,$NN$85,0),IF($NP$85="Bell_Curve",$NN$85*(2-$NR$85+1)*($NS$85-2+1)/$NU$85,$NN$85/$NT$85)),0)</f>
        <v/>
      </c>
      <c r="G85" s="402">
        <f>IF(AND(3&gt;=$NR$85,3&lt;=$NS$85),IF($NP$85="Single_Point",IF(3=$NR$85,$NN$85,0),IF($NP$85="Bell_Curve",$NN$85*(3-$NR$85+1)*($NS$85-3+1)/$NU$85,$NN$85/$NT$85)),0)</f>
        <v/>
      </c>
      <c r="H85" s="402">
        <f>IF(AND(4&gt;=$NR$85,4&lt;=$NS$85),IF($NP$85="Single_Point",IF(4=$NR$85,$NN$85,0),IF($NP$85="Bell_Curve",$NN$85*(4-$NR$85+1)*($NS$85-4+1)/$NU$85,$NN$85/$NT$85)),0)</f>
        <v/>
      </c>
      <c r="I85" s="402">
        <f>IF(AND(5&gt;=$NR$85,5&lt;=$NS$85),IF($NP$85="Single_Point",IF(5=$NR$85,$NN$85,0),IF($NP$85="Bell_Curve",$NN$85*(5-$NR$85+1)*($NS$85-5+1)/$NU$85,$NN$85/$NT$85)),0)</f>
        <v/>
      </c>
      <c r="J85" s="402">
        <f>IF(AND(6&gt;=$NR$85,6&lt;=$NS$85),IF($NP$85="Single_Point",IF(6=$NR$85,$NN$85,0),IF($NP$85="Bell_Curve",$NN$85*(6-$NR$85+1)*($NS$85-6+1)/$NU$85,$NN$85/$NT$85)),0)</f>
        <v/>
      </c>
      <c r="K85" s="402">
        <f>IF(AND(7&gt;=$NR$85,7&lt;=$NS$85),IF($NP$85="Single_Point",IF(7=$NR$85,$NN$85,0),IF($NP$85="Bell_Curve",$NN$85*(7-$NR$85+1)*($NS$85-7+1)/$NU$85,$NN$85/$NT$85)),0)</f>
        <v/>
      </c>
      <c r="L85" s="402">
        <f>IF(AND(8&gt;=$NR$85,8&lt;=$NS$85),IF($NP$85="Single_Point",IF(8=$NR$85,$NN$85,0),IF($NP$85="Bell_Curve",$NN$85*(8-$NR$85+1)*($NS$85-8+1)/$NU$85,$NN$85/$NT$85)),0)</f>
        <v/>
      </c>
      <c r="M85" s="402">
        <f>IF(AND(9&gt;=$NR$85,9&lt;=$NS$85),IF($NP$85="Single_Point",IF(9=$NR$85,$NN$85,0),IF($NP$85="Bell_Curve",$NN$85*(9-$NR$85+1)*($NS$85-9+1)/$NU$85,$NN$85/$NT$85)),0)</f>
        <v/>
      </c>
      <c r="N85" s="402">
        <f>IF(AND(10&gt;=$NR$85,10&lt;=$NS$85),IF($NP$85="Single_Point",IF(10=$NR$85,$NN$85,0),IF($NP$85="Bell_Curve",$NN$85*(10-$NR$85+1)*($NS$85-10+1)/$NU$85,$NN$85/$NT$85)),0)</f>
        <v/>
      </c>
      <c r="O85" s="402">
        <f>IF(AND(11&gt;=$NR$85,11&lt;=$NS$85),IF($NP$85="Single_Point",IF(11=$NR$85,$NN$85,0),IF($NP$85="Bell_Curve",$NN$85*(11-$NR$85+1)*($NS$85-11+1)/$NU$85,$NN$85/$NT$85)),0)</f>
        <v/>
      </c>
      <c r="P85" s="402">
        <f>IF(AND(12&gt;=$NR$85,12&lt;=$NS$85),IF($NP$85="Single_Point",IF(12=$NR$85,$NN$85,0),IF($NP$85="Bell_Curve",$NN$85*(12-$NR$85+1)*($NS$85-12+1)/$NU$85,$NN$85/$NT$85)),0)</f>
        <v/>
      </c>
      <c r="Q85" s="402">
        <f>IF(AND(13&gt;=$NR$85,13&lt;=$NS$85),IF($NP$85="Single_Point",IF(13=$NR$85,$NN$85,0),IF($NP$85="Bell_Curve",$NN$85*(13-$NR$85+1)*($NS$85-13+1)/$NU$85,$NN$85/$NT$85)),0)</f>
        <v/>
      </c>
      <c r="R85" s="402">
        <f>IF(AND(14&gt;=$NR$85,14&lt;=$NS$85),IF($NP$85="Single_Point",IF(14=$NR$85,$NN$85,0),IF($NP$85="Bell_Curve",$NN$85*(14-$NR$85+1)*($NS$85-14+1)/$NU$85,$NN$85/$NT$85)),0)</f>
        <v/>
      </c>
      <c r="S85" s="402">
        <f>IF(AND(15&gt;=$NR$85,15&lt;=$NS$85),IF($NP$85="Single_Point",IF(15=$NR$85,$NN$85,0),IF($NP$85="Bell_Curve",$NN$85*(15-$NR$85+1)*($NS$85-15+1)/$NU$85,$NN$85/$NT$85)),0)</f>
        <v/>
      </c>
      <c r="T85" s="402">
        <f>IF(AND(16&gt;=$NR$85,16&lt;=$NS$85),IF($NP$85="Single_Point",IF(16=$NR$85,$NN$85,0),IF($NP$85="Bell_Curve",$NN$85*(16-$NR$85+1)*($NS$85-16+1)/$NU$85,$NN$85/$NT$85)),0)</f>
        <v/>
      </c>
      <c r="U85" s="402">
        <f>IF(AND(17&gt;=$NR$85,17&lt;=$NS$85),IF($NP$85="Single_Point",IF(17=$NR$85,$NN$85,0),IF($NP$85="Bell_Curve",$NN$85*(17-$NR$85+1)*($NS$85-17+1)/$NU$85,$NN$85/$NT$85)),0)</f>
        <v/>
      </c>
      <c r="V85" s="402">
        <f>IF(AND(18&gt;=$NR$85,18&lt;=$NS$85),IF($NP$85="Single_Point",IF(18=$NR$85,$NN$85,0),IF($NP$85="Bell_Curve",$NN$85*(18-$NR$85+1)*($NS$85-18+1)/$NU$85,$NN$85/$NT$85)),0)</f>
        <v/>
      </c>
      <c r="W85" s="402">
        <f>IF(AND(19&gt;=$NR$85,19&lt;=$NS$85),IF($NP$85="Single_Point",IF(19=$NR$85,$NN$85,0),IF($NP$85="Bell_Curve",$NN$85*(19-$NR$85+1)*($NS$85-19+1)/$NU$85,$NN$85/$NT$85)),0)</f>
        <v/>
      </c>
      <c r="X85" s="402">
        <f>IF(AND(20&gt;=$NR$85,20&lt;=$NS$85),IF($NP$85="Single_Point",IF(20=$NR$85,$NN$85,0),IF($NP$85="Bell_Curve",$NN$85*(20-$NR$85+1)*($NS$85-20+1)/$NU$85,$NN$85/$NT$85)),0)</f>
        <v/>
      </c>
      <c r="Y85" s="402">
        <f>IF(AND(21&gt;=$NR$85,21&lt;=$NS$85),IF($NP$85="Single_Point",IF(21=$NR$85,$NN$85,0),IF($NP$85="Bell_Curve",$NN$85*(21-$NR$85+1)*($NS$85-21+1)/$NU$85,$NN$85/$NT$85)),0)</f>
        <v/>
      </c>
      <c r="Z85" s="402">
        <f>IF(AND(22&gt;=$NR$85,22&lt;=$NS$85),IF($NP$85="Single_Point",IF(22=$NR$85,$NN$85,0),IF($NP$85="Bell_Curve",$NN$85*(22-$NR$85+1)*($NS$85-22+1)/$NU$85,$NN$85/$NT$85)),0)</f>
        <v/>
      </c>
      <c r="AA85" s="402">
        <f>IF(AND(23&gt;=$NR$85,23&lt;=$NS$85),IF($NP$85="Single_Point",IF(23=$NR$85,$NN$85,0),IF($NP$85="Bell_Curve",$NN$85*(23-$NR$85+1)*($NS$85-23+1)/$NU$85,$NN$85/$NT$85)),0)</f>
        <v/>
      </c>
      <c r="AB85" s="402">
        <f>IF(AND(24&gt;=$NR$85,24&lt;=$NS$85),IF($NP$85="Single_Point",IF(24=$NR$85,$NN$85,0),IF($NP$85="Bell_Curve",$NN$85*(24-$NR$85+1)*($NS$85-24+1)/$NU$85,$NN$85/$NT$85)),0)</f>
        <v/>
      </c>
      <c r="AC85" s="402">
        <f>IF(AND(25&gt;=$NR$85,25&lt;=$NS$85),IF($NP$85="Single_Point",IF(25=$NR$85,$NN$85,0),IF($NP$85="Bell_Curve",$NN$85*(25-$NR$85+1)*($NS$85-25+1)/$NU$85,$NN$85/$NT$85)),0)</f>
        <v/>
      </c>
      <c r="AD85" s="402">
        <f>IF(AND(26&gt;=$NR$85,26&lt;=$NS$85),IF($NP$85="Single_Point",IF(26=$NR$85,$NN$85,0),IF($NP$85="Bell_Curve",$NN$85*(26-$NR$85+1)*($NS$85-26+1)/$NU$85,$NN$85/$NT$85)),0)</f>
        <v/>
      </c>
      <c r="AE85" s="402">
        <f>IF(AND(27&gt;=$NR$85,27&lt;=$NS$85),IF($NP$85="Single_Point",IF(27=$NR$85,$NN$85,0),IF($NP$85="Bell_Curve",$NN$85*(27-$NR$85+1)*($NS$85-27+1)/$NU$85,$NN$85/$NT$85)),0)</f>
        <v/>
      </c>
      <c r="AF85" s="402">
        <f>IF(AND(28&gt;=$NR$85,28&lt;=$NS$85),IF($NP$85="Single_Point",IF(28=$NR$85,$NN$85,0),IF($NP$85="Bell_Curve",$NN$85*(28-$NR$85+1)*($NS$85-28+1)/$NU$85,$NN$85/$NT$85)),0)</f>
        <v/>
      </c>
      <c r="AG85" s="402">
        <f>IF(AND(29&gt;=$NR$85,29&lt;=$NS$85),IF($NP$85="Single_Point",IF(29=$NR$85,$NN$85,0),IF($NP$85="Bell_Curve",$NN$85*(29-$NR$85+1)*($NS$85-29+1)/$NU$85,$NN$85/$NT$85)),0)</f>
        <v/>
      </c>
      <c r="AH85" s="402">
        <f>IF(AND(30&gt;=$NR$85,30&lt;=$NS$85),IF($NP$85="Single_Point",IF(30=$NR$85,$NN$85,0),IF($NP$85="Bell_Curve",$NN$85*(30-$NR$85+1)*($NS$85-30+1)/$NU$85,$NN$85/$NT$85)),0)</f>
        <v/>
      </c>
      <c r="AI85" s="402">
        <f>IF(AND(31&gt;=$NR$85,31&lt;=$NS$85),IF($NP$85="Single_Point",IF(31=$NR$85,$NN$85,0),IF($NP$85="Bell_Curve",$NN$85*(31-$NR$85+1)*($NS$85-31+1)/$NU$85,$NN$85/$NT$85)),0)</f>
        <v/>
      </c>
      <c r="AJ85" s="402">
        <f>IF(AND(32&gt;=$NR$85,32&lt;=$NS$85),IF($NP$85="Single_Point",IF(32=$NR$85,$NN$85,0),IF($NP$85="Bell_Curve",$NN$85*(32-$NR$85+1)*($NS$85-32+1)/$NU$85,$NN$85/$NT$85)),0)</f>
        <v/>
      </c>
      <c r="AK85" s="402">
        <f>IF(AND(33&gt;=$NR$85,33&lt;=$NS$85),IF($NP$85="Single_Point",IF(33=$NR$85,$NN$85,0),IF($NP$85="Bell_Curve",$NN$85*(33-$NR$85+1)*($NS$85-33+1)/$NU$85,$NN$85/$NT$85)),0)</f>
        <v/>
      </c>
      <c r="AL85" s="402">
        <f>IF(AND(34&gt;=$NR$85,34&lt;=$NS$85),IF($NP$85="Single_Point",IF(34=$NR$85,$NN$85,0),IF($NP$85="Bell_Curve",$NN$85*(34-$NR$85+1)*($NS$85-34+1)/$NU$85,$NN$85/$NT$85)),0)</f>
        <v/>
      </c>
      <c r="AM85" s="402">
        <f>IF(AND(35&gt;=$NR$85,35&lt;=$NS$85),IF($NP$85="Single_Point",IF(35=$NR$85,$NN$85,0),IF($NP$85="Bell_Curve",$NN$85*(35-$NR$85+1)*($NS$85-35+1)/$NU$85,$NN$85/$NT$85)),0)</f>
        <v/>
      </c>
      <c r="AN85" s="402">
        <f>IF(AND(36&gt;=$NR$85,36&lt;=$NS$85),IF($NP$85="Single_Point",IF(36=$NR$85,$NN$85,0),IF($NP$85="Bell_Curve",$NN$85*(36-$NR$85+1)*($NS$85-36+1)/$NU$85,$NN$85/$NT$85)),0)</f>
        <v/>
      </c>
      <c r="AO85" s="402">
        <f>IF(AND(37&gt;=$NR$85,37&lt;=$NS$85),IF($NP$85="Single_Point",IF(37=$NR$85,$NN$85,0),IF($NP$85="Bell_Curve",$NN$85*(37-$NR$85+1)*($NS$85-37+1)/$NU$85,$NN$85/$NT$85)),0)</f>
        <v/>
      </c>
      <c r="AP85" s="402">
        <f>IF(AND(38&gt;=$NR$85,38&lt;=$NS$85),IF($NP$85="Single_Point",IF(38=$NR$85,$NN$85,0),IF($NP$85="Bell_Curve",$NN$85*(38-$NR$85+1)*($NS$85-38+1)/$NU$85,$NN$85/$NT$85)),0)</f>
        <v/>
      </c>
      <c r="AQ85" s="402">
        <f>IF(AND(39&gt;=$NR$85,39&lt;=$NS$85),IF($NP$85="Single_Point",IF(39=$NR$85,$NN$85,0),IF($NP$85="Bell_Curve",$NN$85*(39-$NR$85+1)*($NS$85-39+1)/$NU$85,$NN$85/$NT$85)),0)</f>
        <v/>
      </c>
      <c r="AR85" s="402">
        <f>IF(AND(40&gt;=$NR$85,40&lt;=$NS$85),IF($NP$85="Single_Point",IF(40=$NR$85,$NN$85,0),IF($NP$85="Bell_Curve",$NN$85*(40-$NR$85+1)*($NS$85-40+1)/$NU$85,$NN$85/$NT$85)),0)</f>
        <v/>
      </c>
      <c r="AS85" s="402">
        <f>IF(AND(41&gt;=$NR$85,41&lt;=$NS$85),IF($NP$85="Single_Point",IF(41=$NR$85,$NN$85,0),IF($NP$85="Bell_Curve",$NN$85*(41-$NR$85+1)*($NS$85-41+1)/$NU$85,$NN$85/$NT$85)),0)</f>
        <v/>
      </c>
      <c r="AT85" s="402">
        <f>IF(AND(42&gt;=$NR$85,42&lt;=$NS$85),IF($NP$85="Single_Point",IF(42=$NR$85,$NN$85,0),IF($NP$85="Bell_Curve",$NN$85*(42-$NR$85+1)*($NS$85-42+1)/$NU$85,$NN$85/$NT$85)),0)</f>
        <v/>
      </c>
      <c r="AU85" s="402">
        <f>IF(AND(43&gt;=$NR$85,43&lt;=$NS$85),IF($NP$85="Single_Point",IF(43=$NR$85,$NN$85,0),IF($NP$85="Bell_Curve",$NN$85*(43-$NR$85+1)*($NS$85-43+1)/$NU$85,$NN$85/$NT$85)),0)</f>
        <v/>
      </c>
      <c r="AV85" s="402">
        <f>IF(AND(44&gt;=$NR$85,44&lt;=$NS$85),IF($NP$85="Single_Point",IF(44=$NR$85,$NN$85,0),IF($NP$85="Bell_Curve",$NN$85*(44-$NR$85+1)*($NS$85-44+1)/$NU$85,$NN$85/$NT$85)),0)</f>
        <v/>
      </c>
      <c r="AW85" s="402">
        <f>IF(AND(45&gt;=$NR$85,45&lt;=$NS$85),IF($NP$85="Single_Point",IF(45=$NR$85,$NN$85,0),IF($NP$85="Bell_Curve",$NN$85*(45-$NR$85+1)*($NS$85-45+1)/$NU$85,$NN$85/$NT$85)),0)</f>
        <v/>
      </c>
      <c r="AX85" s="402">
        <f>IF(AND(46&gt;=$NR$85,46&lt;=$NS$85),IF($NP$85="Single_Point",IF(46=$NR$85,$NN$85,0),IF($NP$85="Bell_Curve",$NN$85*(46-$NR$85+1)*($NS$85-46+1)/$NU$85,$NN$85/$NT$85)),0)</f>
        <v/>
      </c>
      <c r="AY85" s="402">
        <f>IF(AND(47&gt;=$NR$85,47&lt;=$NS$85),IF($NP$85="Single_Point",IF(47=$NR$85,$NN$85,0),IF($NP$85="Bell_Curve",$NN$85*(47-$NR$85+1)*($NS$85-47+1)/$NU$85,$NN$85/$NT$85)),0)</f>
        <v/>
      </c>
      <c r="AZ85" s="402">
        <f>IF(AND(48&gt;=$NR$85,48&lt;=$NS$85),IF($NP$85="Single_Point",IF(48=$NR$85,$NN$85,0),IF($NP$85="Bell_Curve",$NN$85*(48-$NR$85+1)*($NS$85-48+1)/$NU$85,$NN$85/$NT$85)),0)</f>
        <v/>
      </c>
      <c r="BA85" s="402">
        <f>IF(AND(49&gt;=$NR$85,49&lt;=$NS$85),IF($NP$85="Single_Point",IF(49=$NR$85,$NN$85,0),IF($NP$85="Bell_Curve",$NN$85*(49-$NR$85+1)*($NS$85-49+1)/$NU$85,$NN$85/$NT$85)),0)</f>
        <v/>
      </c>
      <c r="BB85" s="402">
        <f>IF(AND(50&gt;=$NR$85,50&lt;=$NS$85),IF($NP$85="Single_Point",IF(50=$NR$85,$NN$85,0),IF($NP$85="Bell_Curve",$NN$85*(50-$NR$85+1)*($NS$85-50+1)/$NU$85,$NN$85/$NT$85)),0)</f>
        <v/>
      </c>
      <c r="BC85" s="402">
        <f>IF(AND(51&gt;=$NR$85,51&lt;=$NS$85),IF($NP$85="Single_Point",IF(51=$NR$85,$NN$85,0),IF($NP$85="Bell_Curve",$NN$85*(51-$NR$85+1)*($NS$85-51+1)/$NU$85,$NN$85/$NT$85)),0)</f>
        <v/>
      </c>
      <c r="BD85" s="402">
        <f>IF(AND(52&gt;=$NR$85,52&lt;=$NS$85),IF($NP$85="Single_Point",IF(52=$NR$85,$NN$85,0),IF($NP$85="Bell_Curve",$NN$85*(52-$NR$85+1)*($NS$85-52+1)/$NU$85,$NN$85/$NT$85)),0)</f>
        <v/>
      </c>
      <c r="BE85" s="402">
        <f>IF(AND(53&gt;=$NR$85,53&lt;=$NS$85),IF($NP$85="Single_Point",IF(53=$NR$85,$NN$85,0),IF($NP$85="Bell_Curve",$NN$85*(53-$NR$85+1)*($NS$85-53+1)/$NU$85,$NN$85/$NT$85)),0)</f>
        <v/>
      </c>
      <c r="BF85" s="402">
        <f>IF(AND(54&gt;=$NR$85,54&lt;=$NS$85),IF($NP$85="Single_Point",IF(54=$NR$85,$NN$85,0),IF($NP$85="Bell_Curve",$NN$85*(54-$NR$85+1)*($NS$85-54+1)/$NU$85,$NN$85/$NT$85)),0)</f>
        <v/>
      </c>
      <c r="BG85" s="402">
        <f>IF(AND(55&gt;=$NR$85,55&lt;=$NS$85),IF($NP$85="Single_Point",IF(55=$NR$85,$NN$85,0),IF($NP$85="Bell_Curve",$NN$85*(55-$NR$85+1)*($NS$85-55+1)/$NU$85,$NN$85/$NT$85)),0)</f>
        <v/>
      </c>
      <c r="BH85" s="402">
        <f>IF(AND(56&gt;=$NR$85,56&lt;=$NS$85),IF($NP$85="Single_Point",IF(56=$NR$85,$NN$85,0),IF($NP$85="Bell_Curve",$NN$85*(56-$NR$85+1)*($NS$85-56+1)/$NU$85,$NN$85/$NT$85)),0)</f>
        <v/>
      </c>
      <c r="BI85" s="402">
        <f>IF(AND(57&gt;=$NR$85,57&lt;=$NS$85),IF($NP$85="Single_Point",IF(57=$NR$85,$NN$85,0),IF($NP$85="Bell_Curve",$NN$85*(57-$NR$85+1)*($NS$85-57+1)/$NU$85,$NN$85/$NT$85)),0)</f>
        <v/>
      </c>
      <c r="BJ85" s="402">
        <f>IF(AND(58&gt;=$NR$85,58&lt;=$NS$85),IF($NP$85="Single_Point",IF(58=$NR$85,$NN$85,0),IF($NP$85="Bell_Curve",$NN$85*(58-$NR$85+1)*($NS$85-58+1)/$NU$85,$NN$85/$NT$85)),0)</f>
        <v/>
      </c>
      <c r="BK85" s="402">
        <f>IF(AND(59&gt;=$NR$85,59&lt;=$NS$85),IF($NP$85="Single_Point",IF(59=$NR$85,$NN$85,0),IF($NP$85="Bell_Curve",$NN$85*(59-$NR$85+1)*($NS$85-59+1)/$NU$85,$NN$85/$NT$85)),0)</f>
        <v/>
      </c>
      <c r="BL85" s="402">
        <f>IF(AND(60&gt;=$NR$85,60&lt;=$NS$85),IF($NP$85="Single_Point",IF(60=$NR$85,$NN$85,0),IF($NP$85="Bell_Curve",$NN$85*(60-$NR$85+1)*($NS$85-60+1)/$NU$85,$NN$85/$NT$85)),0)</f>
        <v/>
      </c>
      <c r="BM85" s="402">
        <f>IF(AND(61&gt;=$NR$85,61&lt;=$NS$85),IF($NP$85="Single_Point",IF(61=$NR$85,$NN$85,0),IF($NP$85="Bell_Curve",$NN$85*(61-$NR$85+1)*($NS$85-61+1)/$NU$85,$NN$85/$NT$85)),0)</f>
        <v/>
      </c>
      <c r="BN85" s="402">
        <f>IF(AND(62&gt;=$NR$85,62&lt;=$NS$85),IF($NP$85="Single_Point",IF(62=$NR$85,$NN$85,0),IF($NP$85="Bell_Curve",$NN$85*(62-$NR$85+1)*($NS$85-62+1)/$NU$85,$NN$85/$NT$85)),0)</f>
        <v/>
      </c>
      <c r="BO85" s="402">
        <f>IF(AND(63&gt;=$NR$85,63&lt;=$NS$85),IF($NP$85="Single_Point",IF(63=$NR$85,$NN$85,0),IF($NP$85="Bell_Curve",$NN$85*(63-$NR$85+1)*($NS$85-63+1)/$NU$85,$NN$85/$NT$85)),0)</f>
        <v/>
      </c>
      <c r="BP85" s="402">
        <f>IF(AND(64&gt;=$NR$85,64&lt;=$NS$85),IF($NP$85="Single_Point",IF(64=$NR$85,$NN$85,0),IF($NP$85="Bell_Curve",$NN$85*(64-$NR$85+1)*($NS$85-64+1)/$NU$85,$NN$85/$NT$85)),0)</f>
        <v/>
      </c>
      <c r="BQ85" s="402">
        <f>IF(AND(65&gt;=$NR$85,65&lt;=$NS$85),IF($NP$85="Single_Point",IF(65=$NR$85,$NN$85,0),IF($NP$85="Bell_Curve",$NN$85*(65-$NR$85+1)*($NS$85-65+1)/$NU$85,$NN$85/$NT$85)),0)</f>
        <v/>
      </c>
      <c r="BR85" s="402">
        <f>IF(AND(66&gt;=$NR$85,66&lt;=$NS$85),IF($NP$85="Single_Point",IF(66=$NR$85,$NN$85,0),IF($NP$85="Bell_Curve",$NN$85*(66-$NR$85+1)*($NS$85-66+1)/$NU$85,$NN$85/$NT$85)),0)</f>
        <v/>
      </c>
      <c r="BS85" s="402">
        <f>IF(AND(67&gt;=$NR$85,67&lt;=$NS$85),IF($NP$85="Single_Point",IF(67=$NR$85,$NN$85,0),IF($NP$85="Bell_Curve",$NN$85*(67-$NR$85+1)*($NS$85-67+1)/$NU$85,$NN$85/$NT$85)),0)</f>
        <v/>
      </c>
      <c r="BT85" s="402">
        <f>IF(AND(68&gt;=$NR$85,68&lt;=$NS$85),IF($NP$85="Single_Point",IF(68=$NR$85,$NN$85,0),IF($NP$85="Bell_Curve",$NN$85*(68-$NR$85+1)*($NS$85-68+1)/$NU$85,$NN$85/$NT$85)),0)</f>
        <v/>
      </c>
      <c r="BU85" s="402">
        <f>IF(AND(69&gt;=$NR$85,69&lt;=$NS$85),IF($NP$85="Single_Point",IF(69=$NR$85,$NN$85,0),IF($NP$85="Bell_Curve",$NN$85*(69-$NR$85+1)*($NS$85-69+1)/$NU$85,$NN$85/$NT$85)),0)</f>
        <v/>
      </c>
      <c r="BV85" s="402">
        <f>IF(AND(70&gt;=$NR$85,70&lt;=$NS$85),IF($NP$85="Single_Point",IF(70=$NR$85,$NN$85,0),IF($NP$85="Bell_Curve",$NN$85*(70-$NR$85+1)*($NS$85-70+1)/$NU$85,$NN$85/$NT$85)),0)</f>
        <v/>
      </c>
      <c r="BW85" s="402">
        <f>IF(AND(71&gt;=$NR$85,71&lt;=$NS$85),IF($NP$85="Single_Point",IF(71=$NR$85,$NN$85,0),IF($NP$85="Bell_Curve",$NN$85*(71-$NR$85+1)*($NS$85-71+1)/$NU$85,$NN$85/$NT$85)),0)</f>
        <v/>
      </c>
      <c r="BX85" s="402">
        <f>IF(AND(72&gt;=$NR$85,72&lt;=$NS$85),IF($NP$85="Single_Point",IF(72=$NR$85,$NN$85,0),IF($NP$85="Bell_Curve",$NN$85*(72-$NR$85+1)*($NS$85-72+1)/$NU$85,$NN$85/$NT$85)),0)</f>
        <v/>
      </c>
      <c r="BY85" s="402">
        <f>IF(AND(73&gt;=$NR$85,73&lt;=$NS$85),IF($NP$85="Single_Point",IF(73=$NR$85,$NN$85,0),IF($NP$85="Bell_Curve",$NN$85*(73-$NR$85+1)*($NS$85-73+1)/$NU$85,$NN$85/$NT$85)),0)</f>
        <v/>
      </c>
      <c r="BZ85" s="402">
        <f>IF(AND(74&gt;=$NR$85,74&lt;=$NS$85),IF($NP$85="Single_Point",IF(74=$NR$85,$NN$85,0),IF($NP$85="Bell_Curve",$NN$85*(74-$NR$85+1)*($NS$85-74+1)/$NU$85,$NN$85/$NT$85)),0)</f>
        <v/>
      </c>
      <c r="CA85" s="402">
        <f>IF(AND(75&gt;=$NR$85,75&lt;=$NS$85),IF($NP$85="Single_Point",IF(75=$NR$85,$NN$85,0),IF($NP$85="Bell_Curve",$NN$85*(75-$NR$85+1)*($NS$85-75+1)/$NU$85,$NN$85/$NT$85)),0)</f>
        <v/>
      </c>
      <c r="CB85" s="402">
        <f>IF(AND(76&gt;=$NR$85,76&lt;=$NS$85),IF($NP$85="Single_Point",IF(76=$NR$85,$NN$85,0),IF($NP$85="Bell_Curve",$NN$85*(76-$NR$85+1)*($NS$85-76+1)/$NU$85,$NN$85/$NT$85)),0)</f>
        <v/>
      </c>
      <c r="CC85" s="402">
        <f>IF(AND(77&gt;=$NR$85,77&lt;=$NS$85),IF($NP$85="Single_Point",IF(77=$NR$85,$NN$85,0),IF($NP$85="Bell_Curve",$NN$85*(77-$NR$85+1)*($NS$85-77+1)/$NU$85,$NN$85/$NT$85)),0)</f>
        <v/>
      </c>
      <c r="CD85" s="402">
        <f>IF(AND(78&gt;=$NR$85,78&lt;=$NS$85),IF($NP$85="Single_Point",IF(78=$NR$85,$NN$85,0),IF($NP$85="Bell_Curve",$NN$85*(78-$NR$85+1)*($NS$85-78+1)/$NU$85,$NN$85/$NT$85)),0)</f>
        <v/>
      </c>
      <c r="CE85" s="402">
        <f>IF(AND(79&gt;=$NR$85,79&lt;=$NS$85),IF($NP$85="Single_Point",IF(79=$NR$85,$NN$85,0),IF($NP$85="Bell_Curve",$NN$85*(79-$NR$85+1)*($NS$85-79+1)/$NU$85,$NN$85/$NT$85)),0)</f>
        <v/>
      </c>
      <c r="CF85" s="402">
        <f>IF(AND(80&gt;=$NR$85,80&lt;=$NS$85),IF($NP$85="Single_Point",IF(80=$NR$85,$NN$85,0),IF($NP$85="Bell_Curve",$NN$85*(80-$NR$85+1)*($NS$85-80+1)/$NU$85,$NN$85/$NT$85)),0)</f>
        <v/>
      </c>
      <c r="CG85" s="402">
        <f>IF(AND(81&gt;=$NR$85,81&lt;=$NS$85),IF($NP$85="Single_Point",IF(81=$NR$85,$NN$85,0),IF($NP$85="Bell_Curve",$NN$85*(81-$NR$85+1)*($NS$85-81+1)/$NU$85,$NN$85/$NT$85)),0)</f>
        <v/>
      </c>
      <c r="CH85" s="402">
        <f>IF(AND(82&gt;=$NR$85,82&lt;=$NS$85),IF($NP$85="Single_Point",IF(82=$NR$85,$NN$85,0),IF($NP$85="Bell_Curve",$NN$85*(82-$NR$85+1)*($NS$85-82+1)/$NU$85,$NN$85/$NT$85)),0)</f>
        <v/>
      </c>
      <c r="CI85" s="402">
        <f>IF(AND(83&gt;=$NR$85,83&lt;=$NS$85),IF($NP$85="Single_Point",IF(83=$NR$85,$NN$85,0),IF($NP$85="Bell_Curve",$NN$85*(83-$NR$85+1)*($NS$85-83+1)/$NU$85,$NN$85/$NT$85)),0)</f>
        <v/>
      </c>
      <c r="CJ85" s="402">
        <f>IF(AND(84&gt;=$NR$85,84&lt;=$NS$85),IF($NP$85="Single_Point",IF(84=$NR$85,$NN$85,0),IF($NP$85="Bell_Curve",$NN$85*(84-$NR$85+1)*($NS$85-84+1)/$NU$85,$NN$85/$NT$85)),0)</f>
        <v/>
      </c>
      <c r="CK85" s="402">
        <f>IF(AND(85&gt;=$NR$85,85&lt;=$NS$85),IF($NP$85="Single_Point",IF(85=$NR$85,$NN$85,0),IF($NP$85="Bell_Curve",$NN$85*(85-$NR$85+1)*($NS$85-85+1)/$NU$85,$NN$85/$NT$85)),0)</f>
        <v/>
      </c>
      <c r="CL85" s="402">
        <f>IF(AND(86&gt;=$NR$85,86&lt;=$NS$85),IF($NP$85="Single_Point",IF(86=$NR$85,$NN$85,0),IF($NP$85="Bell_Curve",$NN$85*(86-$NR$85+1)*($NS$85-86+1)/$NU$85,$NN$85/$NT$85)),0)</f>
        <v/>
      </c>
      <c r="CM85" s="402">
        <f>IF(AND(87&gt;=$NR$85,87&lt;=$NS$85),IF($NP$85="Single_Point",IF(87=$NR$85,$NN$85,0),IF($NP$85="Bell_Curve",$NN$85*(87-$NR$85+1)*($NS$85-87+1)/$NU$85,$NN$85/$NT$85)),0)</f>
        <v/>
      </c>
      <c r="CN85" s="402">
        <f>IF(AND(88&gt;=$NR$85,88&lt;=$NS$85),IF($NP$85="Single_Point",IF(88=$NR$85,$NN$85,0),IF($NP$85="Bell_Curve",$NN$85*(88-$NR$85+1)*($NS$85-88+1)/$NU$85,$NN$85/$NT$85)),0)</f>
        <v/>
      </c>
      <c r="CO85" s="402">
        <f>IF(AND(89&gt;=$NR$85,89&lt;=$NS$85),IF($NP$85="Single_Point",IF(89=$NR$85,$NN$85,0),IF($NP$85="Bell_Curve",$NN$85*(89-$NR$85+1)*($NS$85-89+1)/$NU$85,$NN$85/$NT$85)),0)</f>
        <v/>
      </c>
      <c r="CP85" s="402">
        <f>IF(AND(90&gt;=$NR$85,90&lt;=$NS$85),IF($NP$85="Single_Point",IF(90=$NR$85,$NN$85,0),IF($NP$85="Bell_Curve",$NN$85*(90-$NR$85+1)*($NS$85-90+1)/$NU$85,$NN$85/$NT$85)),0)</f>
        <v/>
      </c>
      <c r="CQ85" s="402">
        <f>IF(AND(91&gt;=$NR$85,91&lt;=$NS$85),IF($NP$85="Single_Point",IF(91=$NR$85,$NN$85,0),IF($NP$85="Bell_Curve",$NN$85*(91-$NR$85+1)*($NS$85-91+1)/$NU$85,$NN$85/$NT$85)),0)</f>
        <v/>
      </c>
      <c r="CR85" s="402">
        <f>IF(AND(92&gt;=$NR$85,92&lt;=$NS$85),IF($NP$85="Single_Point",IF(92=$NR$85,$NN$85,0),IF($NP$85="Bell_Curve",$NN$85*(92-$NR$85+1)*($NS$85-92+1)/$NU$85,$NN$85/$NT$85)),0)</f>
        <v/>
      </c>
      <c r="CS85" s="402">
        <f>IF(AND(93&gt;=$NR$85,93&lt;=$NS$85),IF($NP$85="Single_Point",IF(93=$NR$85,$NN$85,0),IF($NP$85="Bell_Curve",$NN$85*(93-$NR$85+1)*($NS$85-93+1)/$NU$85,$NN$85/$NT$85)),0)</f>
        <v/>
      </c>
      <c r="CT85" s="402">
        <f>IF(AND(94&gt;=$NR$85,94&lt;=$NS$85),IF($NP$85="Single_Point",IF(94=$NR$85,$NN$85,0),IF($NP$85="Bell_Curve",$NN$85*(94-$NR$85+1)*($NS$85-94+1)/$NU$85,$NN$85/$NT$85)),0)</f>
        <v/>
      </c>
      <c r="CU85" s="402">
        <f>IF(AND(95&gt;=$NR$85,95&lt;=$NS$85),IF($NP$85="Single_Point",IF(95=$NR$85,$NN$85,0),IF($NP$85="Bell_Curve",$NN$85*(95-$NR$85+1)*($NS$85-95+1)/$NU$85,$NN$85/$NT$85)),0)</f>
        <v/>
      </c>
      <c r="CV85" s="402">
        <f>IF(AND(96&gt;=$NR$85,96&lt;=$NS$85),IF($NP$85="Single_Point",IF(96=$NR$85,$NN$85,0),IF($NP$85="Bell_Curve",$NN$85*(96-$NR$85+1)*($NS$85-96+1)/$NU$85,$NN$85/$NT$85)),0)</f>
        <v/>
      </c>
      <c r="CW85" s="402">
        <f>IF(AND(97&gt;=$NR$85,97&lt;=$NS$85),IF($NP$85="Single_Point",IF(97=$NR$85,$NN$85,0),IF($NP$85="Bell_Curve",$NN$85*(97-$NR$85+1)*($NS$85-97+1)/$NU$85,$NN$85/$NT$85)),0)</f>
        <v/>
      </c>
      <c r="CX85" s="402">
        <f>IF(AND(98&gt;=$NR$85,98&lt;=$NS$85),IF($NP$85="Single_Point",IF(98=$NR$85,$NN$85,0),IF($NP$85="Bell_Curve",$NN$85*(98-$NR$85+1)*($NS$85-98+1)/$NU$85,$NN$85/$NT$85)),0)</f>
        <v/>
      </c>
      <c r="CY85" s="402">
        <f>IF(AND(99&gt;=$NR$85,99&lt;=$NS$85),IF($NP$85="Single_Point",IF(99=$NR$85,$NN$85,0),IF($NP$85="Bell_Curve",$NN$85*(99-$NR$85+1)*($NS$85-99+1)/$NU$85,$NN$85/$NT$85)),0)</f>
        <v/>
      </c>
      <c r="CZ85" s="402">
        <f>IF(AND(100&gt;=$NR$85,100&lt;=$NS$85),IF($NP$85="Single_Point",IF(100=$NR$85,$NN$85,0),IF($NP$85="Bell_Curve",$NN$85*(100-$NR$85+1)*($NS$85-100+1)/$NU$85,$NN$85/$NT$85)),0)</f>
        <v/>
      </c>
      <c r="DA85" s="402">
        <f>IF(AND(101&gt;=$NR$85,101&lt;=$NS$85),IF($NP$85="Single_Point",IF(101=$NR$85,$NN$85,0),IF($NP$85="Bell_Curve",$NN$85*(101-$NR$85+1)*($NS$85-101+1)/$NU$85,$NN$85/$NT$85)),0)</f>
        <v/>
      </c>
      <c r="DB85" s="402">
        <f>IF(AND(102&gt;=$NR$85,102&lt;=$NS$85),IF($NP$85="Single_Point",IF(102=$NR$85,$NN$85,0),IF($NP$85="Bell_Curve",$NN$85*(102-$NR$85+1)*($NS$85-102+1)/$NU$85,$NN$85/$NT$85)),0)</f>
        <v/>
      </c>
      <c r="DC85" s="402">
        <f>IF(AND(103&gt;=$NR$85,103&lt;=$NS$85),IF($NP$85="Single_Point",IF(103=$NR$85,$NN$85,0),IF($NP$85="Bell_Curve",$NN$85*(103-$NR$85+1)*($NS$85-103+1)/$NU$85,$NN$85/$NT$85)),0)</f>
        <v/>
      </c>
      <c r="DD85" s="402">
        <f>IF(AND(104&gt;=$NR$85,104&lt;=$NS$85),IF($NP$85="Single_Point",IF(104=$NR$85,$NN$85,0),IF($NP$85="Bell_Curve",$NN$85*(104-$NR$85+1)*($NS$85-104+1)/$NU$85,$NN$85/$NT$85)),0)</f>
        <v/>
      </c>
      <c r="DE85" s="402">
        <f>IF(AND(105&gt;=$NR$85,105&lt;=$NS$85),IF($NP$85="Single_Point",IF(105=$NR$85,$NN$85,0),IF($NP$85="Bell_Curve",$NN$85*(105-$NR$85+1)*($NS$85-105+1)/$NU$85,$NN$85/$NT$85)),0)</f>
        <v/>
      </c>
      <c r="DF85" s="402">
        <f>IF(AND(106&gt;=$NR$85,106&lt;=$NS$85),IF($NP$85="Single_Point",IF(106=$NR$85,$NN$85,0),IF($NP$85="Bell_Curve",$NN$85*(106-$NR$85+1)*($NS$85-106+1)/$NU$85,$NN$85/$NT$85)),0)</f>
        <v/>
      </c>
      <c r="DG85" s="402">
        <f>IF(AND(107&gt;=$NR$85,107&lt;=$NS$85),IF($NP$85="Single_Point",IF(107=$NR$85,$NN$85,0),IF($NP$85="Bell_Curve",$NN$85*(107-$NR$85+1)*($NS$85-107+1)/$NU$85,$NN$85/$NT$85)),0)</f>
        <v/>
      </c>
      <c r="DH85" s="402">
        <f>IF(AND(108&gt;=$NR$85,108&lt;=$NS$85),IF($NP$85="Single_Point",IF(108=$NR$85,$NN$85,0),IF($NP$85="Bell_Curve",$NN$85*(108-$NR$85+1)*($NS$85-108+1)/$NU$85,$NN$85/$NT$85)),0)</f>
        <v/>
      </c>
      <c r="DI85" s="402">
        <f>IF(AND(109&gt;=$NR$85,109&lt;=$NS$85),IF($NP$85="Single_Point",IF(109=$NR$85,$NN$85,0),IF($NP$85="Bell_Curve",$NN$85*(109-$NR$85+1)*($NS$85-109+1)/$NU$85,$NN$85/$NT$85)),0)</f>
        <v/>
      </c>
      <c r="DJ85" s="402">
        <f>IF(AND(110&gt;=$NR$85,110&lt;=$NS$85),IF($NP$85="Single_Point",IF(110=$NR$85,$NN$85,0),IF($NP$85="Bell_Curve",$NN$85*(110-$NR$85+1)*($NS$85-110+1)/$NU$85,$NN$85/$NT$85)),0)</f>
        <v/>
      </c>
      <c r="DK85" s="402">
        <f>IF(AND(111&gt;=$NR$85,111&lt;=$NS$85),IF($NP$85="Single_Point",IF(111=$NR$85,$NN$85,0),IF($NP$85="Bell_Curve",$NN$85*(111-$NR$85+1)*($NS$85-111+1)/$NU$85,$NN$85/$NT$85)),0)</f>
        <v/>
      </c>
      <c r="DL85" s="402">
        <f>IF(AND(112&gt;=$NR$85,112&lt;=$NS$85),IF($NP$85="Single_Point",IF(112=$NR$85,$NN$85,0),IF($NP$85="Bell_Curve",$NN$85*(112-$NR$85+1)*($NS$85-112+1)/$NU$85,$NN$85/$NT$85)),0)</f>
        <v/>
      </c>
      <c r="DM85" s="402">
        <f>IF(AND(113&gt;=$NR$85,113&lt;=$NS$85),IF($NP$85="Single_Point",IF(113=$NR$85,$NN$85,0),IF($NP$85="Bell_Curve",$NN$85*(113-$NR$85+1)*($NS$85-113+1)/$NU$85,$NN$85/$NT$85)),0)</f>
        <v/>
      </c>
      <c r="DN85" s="402">
        <f>IF(AND(114&gt;=$NR$85,114&lt;=$NS$85),IF($NP$85="Single_Point",IF(114=$NR$85,$NN$85,0),IF($NP$85="Bell_Curve",$NN$85*(114-$NR$85+1)*($NS$85-114+1)/$NU$85,$NN$85/$NT$85)),0)</f>
        <v/>
      </c>
      <c r="DO85" s="402">
        <f>IF(AND(115&gt;=$NR$85,115&lt;=$NS$85),IF($NP$85="Single_Point",IF(115=$NR$85,$NN$85,0),IF($NP$85="Bell_Curve",$NN$85*(115-$NR$85+1)*($NS$85-115+1)/$NU$85,$NN$85/$NT$85)),0)</f>
        <v/>
      </c>
      <c r="DP85" s="402">
        <f>IF(AND(116&gt;=$NR$85,116&lt;=$NS$85),IF($NP$85="Single_Point",IF(116=$NR$85,$NN$85,0),IF($NP$85="Bell_Curve",$NN$85*(116-$NR$85+1)*($NS$85-116+1)/$NU$85,$NN$85/$NT$85)),0)</f>
        <v/>
      </c>
      <c r="DQ85" s="402">
        <f>IF(AND(117&gt;=$NR$85,117&lt;=$NS$85),IF($NP$85="Single_Point",IF(117=$NR$85,$NN$85,0),IF($NP$85="Bell_Curve",$NN$85*(117-$NR$85+1)*($NS$85-117+1)/$NU$85,$NN$85/$NT$85)),0)</f>
        <v/>
      </c>
      <c r="DR85" s="402">
        <f>IF(AND(118&gt;=$NR$85,118&lt;=$NS$85),IF($NP$85="Single_Point",IF(118=$NR$85,$NN$85,0),IF($NP$85="Bell_Curve",$NN$85*(118-$NR$85+1)*($NS$85-118+1)/$NU$85,$NN$85/$NT$85)),0)</f>
        <v/>
      </c>
      <c r="DS85" s="402">
        <f>IF(AND(119&gt;=$NR$85,119&lt;=$NS$85),IF($NP$85="Single_Point",IF(119=$NR$85,$NN$85,0),IF($NP$85="Bell_Curve",$NN$85*(119-$NR$85+1)*($NS$85-119+1)/$NU$85,$NN$85/$NT$85)),0)</f>
        <v/>
      </c>
      <c r="DT85" s="402">
        <f>IF(AND(120&gt;=$NR$85,120&lt;=$NS$85),IF($NP$85="Single_Point",IF(120=$NR$85,$NN$85,0),IF($NP$85="Bell_Curve",$NN$85*(120-$NR$85+1)*($NS$85-120+1)/$NU$85,$NN$85/$NT$85)),0)</f>
        <v/>
      </c>
      <c r="DU85" s="402">
        <f>IF(AND(121&gt;=$NR$85,121&lt;=$NS$85),IF($NP$85="Single_Point",IF(121=$NR$85,$NN$85,0),IF($NP$85="Bell_Curve",$NN$85*(121-$NR$85+1)*($NS$85-121+1)/$NU$85,$NN$85/$NT$85)),0)</f>
        <v/>
      </c>
      <c r="DV85" s="402">
        <f>IF(AND(122&gt;=$NR$85,122&lt;=$NS$85),IF($NP$85="Single_Point",IF(122=$NR$85,$NN$85,0),IF($NP$85="Bell_Curve",$NN$85*(122-$NR$85+1)*($NS$85-122+1)/$NU$85,$NN$85/$NT$85)),0)</f>
        <v/>
      </c>
      <c r="DW85" s="402">
        <f>IF(AND(123&gt;=$NR$85,123&lt;=$NS$85),IF($NP$85="Single_Point",IF(123=$NR$85,$NN$85,0),IF($NP$85="Bell_Curve",$NN$85*(123-$NR$85+1)*($NS$85-123+1)/$NU$85,$NN$85/$NT$85)),0)</f>
        <v/>
      </c>
      <c r="DX85" s="402">
        <f>IF(AND(124&gt;=$NR$85,124&lt;=$NS$85),IF($NP$85="Single_Point",IF(124=$NR$85,$NN$85,0),IF($NP$85="Bell_Curve",$NN$85*(124-$NR$85+1)*($NS$85-124+1)/$NU$85,$NN$85/$NT$85)),0)</f>
        <v/>
      </c>
      <c r="DY85" s="402">
        <f>IF(AND(125&gt;=$NR$85,125&lt;=$NS$85),IF($NP$85="Single_Point",IF(125=$NR$85,$NN$85,0),IF($NP$85="Bell_Curve",$NN$85*(125-$NR$85+1)*($NS$85-125+1)/$NU$85,$NN$85/$NT$85)),0)</f>
        <v/>
      </c>
      <c r="DZ85" s="402">
        <f>IF(AND(126&gt;=$NR$85,126&lt;=$NS$85),IF($NP$85="Single_Point",IF(126=$NR$85,$NN$85,0),IF($NP$85="Bell_Curve",$NN$85*(126-$NR$85+1)*($NS$85-126+1)/$NU$85,$NN$85/$NT$85)),0)</f>
        <v/>
      </c>
      <c r="EA85" s="402">
        <f>IF(AND(127&gt;=$NR$85,127&lt;=$NS$85),IF($NP$85="Single_Point",IF(127=$NR$85,$NN$85,0),IF($NP$85="Bell_Curve",$NN$85*(127-$NR$85+1)*($NS$85-127+1)/$NU$85,$NN$85/$NT$85)),0)</f>
        <v/>
      </c>
      <c r="EB85" s="402">
        <f>IF(AND(128&gt;=$NR$85,128&lt;=$NS$85),IF($NP$85="Single_Point",IF(128=$NR$85,$NN$85,0),IF($NP$85="Bell_Curve",$NN$85*(128-$NR$85+1)*($NS$85-128+1)/$NU$85,$NN$85/$NT$85)),0)</f>
        <v/>
      </c>
      <c r="EC85" s="402">
        <f>IF(AND(129&gt;=$NR$85,129&lt;=$NS$85),IF($NP$85="Single_Point",IF(129=$NR$85,$NN$85,0),IF($NP$85="Bell_Curve",$NN$85*(129-$NR$85+1)*($NS$85-129+1)/$NU$85,$NN$85/$NT$85)),0)</f>
        <v/>
      </c>
      <c r="ED85" s="402">
        <f>IF(AND(130&gt;=$NR$85,130&lt;=$NS$85),IF($NP$85="Single_Point",IF(130=$NR$85,$NN$85,0),IF($NP$85="Bell_Curve",$NN$85*(130-$NR$85+1)*($NS$85-130+1)/$NU$85,$NN$85/$NT$85)),0)</f>
        <v/>
      </c>
      <c r="EE85" s="402">
        <f>IF(AND(131&gt;=$NR$85,131&lt;=$NS$85),IF($NP$85="Single_Point",IF(131=$NR$85,$NN$85,0),IF($NP$85="Bell_Curve",$NN$85*(131-$NR$85+1)*($NS$85-131+1)/$NU$85,$NN$85/$NT$85)),0)</f>
        <v/>
      </c>
      <c r="EF85" s="402">
        <f>IF(AND(132&gt;=$NR$85,132&lt;=$NS$85),IF($NP$85="Single_Point",IF(132=$NR$85,$NN$85,0),IF($NP$85="Bell_Curve",$NN$85*(132-$NR$85+1)*($NS$85-132+1)/$NU$85,$NN$85/$NT$85)),0)</f>
        <v/>
      </c>
      <c r="EG85" s="402">
        <f>IF(AND(133&gt;=$NR$85,133&lt;=$NS$85),IF($NP$85="Single_Point",IF(133=$NR$85,$NN$85,0),IF($NP$85="Bell_Curve",$NN$85*(133-$NR$85+1)*($NS$85-133+1)/$NU$85,$NN$85/$NT$85)),0)</f>
        <v/>
      </c>
      <c r="EH85" s="402">
        <f>IF(AND(134&gt;=$NR$85,134&lt;=$NS$85),IF($NP$85="Single_Point",IF(134=$NR$85,$NN$85,0),IF($NP$85="Bell_Curve",$NN$85*(134-$NR$85+1)*($NS$85-134+1)/$NU$85,$NN$85/$NT$85)),0)</f>
        <v/>
      </c>
      <c r="EI85" s="402">
        <f>IF(AND(135&gt;=$NR$85,135&lt;=$NS$85),IF($NP$85="Single_Point",IF(135=$NR$85,$NN$85,0),IF($NP$85="Bell_Curve",$NN$85*(135-$NR$85+1)*($NS$85-135+1)/$NU$85,$NN$85/$NT$85)),0)</f>
        <v/>
      </c>
      <c r="EJ85" s="402">
        <f>IF(AND(136&gt;=$NR$85,136&lt;=$NS$85),IF($NP$85="Single_Point",IF(136=$NR$85,$NN$85,0),IF($NP$85="Bell_Curve",$NN$85*(136-$NR$85+1)*($NS$85-136+1)/$NU$85,$NN$85/$NT$85)),0)</f>
        <v/>
      </c>
      <c r="EK85" s="402">
        <f>IF(AND(137&gt;=$NR$85,137&lt;=$NS$85),IF($NP$85="Single_Point",IF(137=$NR$85,$NN$85,0),IF($NP$85="Bell_Curve",$NN$85*(137-$NR$85+1)*($NS$85-137+1)/$NU$85,$NN$85/$NT$85)),0)</f>
        <v/>
      </c>
      <c r="EL85" s="402">
        <f>IF(AND(138&gt;=$NR$85,138&lt;=$NS$85),IF($NP$85="Single_Point",IF(138=$NR$85,$NN$85,0),IF($NP$85="Bell_Curve",$NN$85*(138-$NR$85+1)*($NS$85-138+1)/$NU$85,$NN$85/$NT$85)),0)</f>
        <v/>
      </c>
      <c r="EM85" s="402">
        <f>IF(AND(139&gt;=$NR$85,139&lt;=$NS$85),IF($NP$85="Single_Point",IF(139=$NR$85,$NN$85,0),IF($NP$85="Bell_Curve",$NN$85*(139-$NR$85+1)*($NS$85-139+1)/$NU$85,$NN$85/$NT$85)),0)</f>
        <v/>
      </c>
      <c r="EN85" s="402">
        <f>IF(AND(140&gt;=$NR$85,140&lt;=$NS$85),IF($NP$85="Single_Point",IF(140=$NR$85,$NN$85,0),IF($NP$85="Bell_Curve",$NN$85*(140-$NR$85+1)*($NS$85-140+1)/$NU$85,$NN$85/$NT$85)),0)</f>
        <v/>
      </c>
      <c r="EO85" s="402">
        <f>IF(AND(141&gt;=$NR$85,141&lt;=$NS$85),IF($NP$85="Single_Point",IF(141=$NR$85,$NN$85,0),IF($NP$85="Bell_Curve",$NN$85*(141-$NR$85+1)*($NS$85-141+1)/$NU$85,$NN$85/$NT$85)),0)</f>
        <v/>
      </c>
      <c r="EP85" s="402">
        <f>IF(AND(142&gt;=$NR$85,142&lt;=$NS$85),IF($NP$85="Single_Point",IF(142=$NR$85,$NN$85,0),IF($NP$85="Bell_Curve",$NN$85*(142-$NR$85+1)*($NS$85-142+1)/$NU$85,$NN$85/$NT$85)),0)</f>
        <v/>
      </c>
      <c r="EQ85" s="402">
        <f>IF(AND(143&gt;=$NR$85,143&lt;=$NS$85),IF($NP$85="Single_Point",IF(143=$NR$85,$NN$85,0),IF($NP$85="Bell_Curve",$NN$85*(143-$NR$85+1)*($NS$85-143+1)/$NU$85,$NN$85/$NT$85)),0)</f>
        <v/>
      </c>
      <c r="ER85" s="402">
        <f>IF(AND(144&gt;=$NR$85,144&lt;=$NS$85),IF($NP$85="Single_Point",IF(144=$NR$85,$NN$85,0),IF($NP$85="Bell_Curve",$NN$85*(144-$NR$85+1)*($NS$85-144+1)/$NU$85,$NN$85/$NT$85)),0)</f>
        <v/>
      </c>
      <c r="ES85" s="402">
        <f>IF(AND(145&gt;=$NR$85,145&lt;=$NS$85),IF($NP$85="Single_Point",IF(145=$NR$85,$NN$85,0),IF($NP$85="Bell_Curve",$NN$85*(145-$NR$85+1)*($NS$85-145+1)/$NU$85,$NN$85/$NT$85)),0)</f>
        <v/>
      </c>
      <c r="ET85" s="402">
        <f>IF(AND(146&gt;=$NR$85,146&lt;=$NS$85),IF($NP$85="Single_Point",IF(146=$NR$85,$NN$85,0),IF($NP$85="Bell_Curve",$NN$85*(146-$NR$85+1)*($NS$85-146+1)/$NU$85,$NN$85/$NT$85)),0)</f>
        <v/>
      </c>
      <c r="EU85" s="402">
        <f>IF(AND(147&gt;=$NR$85,147&lt;=$NS$85),IF($NP$85="Single_Point",IF(147=$NR$85,$NN$85,0),IF($NP$85="Bell_Curve",$NN$85*(147-$NR$85+1)*($NS$85-147+1)/$NU$85,$NN$85/$NT$85)),0)</f>
        <v/>
      </c>
      <c r="EV85" s="402">
        <f>IF(AND(148&gt;=$NR$85,148&lt;=$NS$85),IF($NP$85="Single_Point",IF(148=$NR$85,$NN$85,0),IF($NP$85="Bell_Curve",$NN$85*(148-$NR$85+1)*($NS$85-148+1)/$NU$85,$NN$85/$NT$85)),0)</f>
        <v/>
      </c>
      <c r="EW85" s="402">
        <f>IF(AND(149&gt;=$NR$85,149&lt;=$NS$85),IF($NP$85="Single_Point",IF(149=$NR$85,$NN$85,0),IF($NP$85="Bell_Curve",$NN$85*(149-$NR$85+1)*($NS$85-149+1)/$NU$85,$NN$85/$NT$85)),0)</f>
        <v/>
      </c>
      <c r="EX85" s="402">
        <f>IF(AND(150&gt;=$NR$85,150&lt;=$NS$85),IF($NP$85="Single_Point",IF(150=$NR$85,$NN$85,0),IF($NP$85="Bell_Curve",$NN$85*(150-$NR$85+1)*($NS$85-150+1)/$NU$85,$NN$85/$NT$85)),0)</f>
        <v/>
      </c>
      <c r="EY85" s="402">
        <f>IF(AND(151&gt;=$NR$85,151&lt;=$NS$85),IF($NP$85="Single_Point",IF(151=$NR$85,$NN$85,0),IF($NP$85="Bell_Curve",$NN$85*(151-$NR$85+1)*($NS$85-151+1)/$NU$85,$NN$85/$NT$85)),0)</f>
        <v/>
      </c>
      <c r="EZ85" s="402">
        <f>IF(AND(152&gt;=$NR$85,152&lt;=$NS$85),IF($NP$85="Single_Point",IF(152=$NR$85,$NN$85,0),IF($NP$85="Bell_Curve",$NN$85*(152-$NR$85+1)*($NS$85-152+1)/$NU$85,$NN$85/$NT$85)),0)</f>
        <v/>
      </c>
      <c r="FA85" s="402">
        <f>IF(AND(153&gt;=$NR$85,153&lt;=$NS$85),IF($NP$85="Single_Point",IF(153=$NR$85,$NN$85,0),IF($NP$85="Bell_Curve",$NN$85*(153-$NR$85+1)*($NS$85-153+1)/$NU$85,$NN$85/$NT$85)),0)</f>
        <v/>
      </c>
      <c r="FB85" s="402">
        <f>IF(AND(154&gt;=$NR$85,154&lt;=$NS$85),IF($NP$85="Single_Point",IF(154=$NR$85,$NN$85,0),IF($NP$85="Bell_Curve",$NN$85*(154-$NR$85+1)*($NS$85-154+1)/$NU$85,$NN$85/$NT$85)),0)</f>
        <v/>
      </c>
      <c r="FC85" s="402">
        <f>IF(AND(155&gt;=$NR$85,155&lt;=$NS$85),IF($NP$85="Single_Point",IF(155=$NR$85,$NN$85,0),IF($NP$85="Bell_Curve",$NN$85*(155-$NR$85+1)*($NS$85-155+1)/$NU$85,$NN$85/$NT$85)),0)</f>
        <v/>
      </c>
      <c r="FD85" s="402">
        <f>IF(AND(156&gt;=$NR$85,156&lt;=$NS$85),IF($NP$85="Single_Point",IF(156=$NR$85,$NN$85,0),IF($NP$85="Bell_Curve",$NN$85*(156-$NR$85+1)*($NS$85-156+1)/$NU$85,$NN$85/$NT$85)),0)</f>
        <v/>
      </c>
      <c r="FE85" s="402">
        <f>IF(AND(157&gt;=$NR$85,157&lt;=$NS$85),IF($NP$85="Single_Point",IF(157=$NR$85,$NN$85,0),IF($NP$85="Bell_Curve",$NN$85*(157-$NR$85+1)*($NS$85-157+1)/$NU$85,$NN$85/$NT$85)),0)</f>
        <v/>
      </c>
      <c r="FF85" s="402">
        <f>IF(AND(158&gt;=$NR$85,158&lt;=$NS$85),IF($NP$85="Single_Point",IF(158=$NR$85,$NN$85,0),IF($NP$85="Bell_Curve",$NN$85*(158-$NR$85+1)*($NS$85-158+1)/$NU$85,$NN$85/$NT$85)),0)</f>
        <v/>
      </c>
      <c r="FG85" s="402">
        <f>IF(AND(159&gt;=$NR$85,159&lt;=$NS$85),IF($NP$85="Single_Point",IF(159=$NR$85,$NN$85,0),IF($NP$85="Bell_Curve",$NN$85*(159-$NR$85+1)*($NS$85-159+1)/$NU$85,$NN$85/$NT$85)),0)</f>
        <v/>
      </c>
      <c r="FH85" s="402">
        <f>IF(AND(160&gt;=$NR$85,160&lt;=$NS$85),IF($NP$85="Single_Point",IF(160=$NR$85,$NN$85,0),IF($NP$85="Bell_Curve",$NN$85*(160-$NR$85+1)*($NS$85-160+1)/$NU$85,$NN$85/$NT$85)),0)</f>
        <v/>
      </c>
      <c r="FI85" s="402">
        <f>IF(AND(161&gt;=$NR$85,161&lt;=$NS$85),IF($NP$85="Single_Point",IF(161=$NR$85,$NN$85,0),IF($NP$85="Bell_Curve",$NN$85*(161-$NR$85+1)*($NS$85-161+1)/$NU$85,$NN$85/$NT$85)),0)</f>
        <v/>
      </c>
      <c r="FJ85" s="402">
        <f>IF(AND(162&gt;=$NR$85,162&lt;=$NS$85),IF($NP$85="Single_Point",IF(162=$NR$85,$NN$85,0),IF($NP$85="Bell_Curve",$NN$85*(162-$NR$85+1)*($NS$85-162+1)/$NU$85,$NN$85/$NT$85)),0)</f>
        <v/>
      </c>
      <c r="FK85" s="402">
        <f>IF(AND(163&gt;=$NR$85,163&lt;=$NS$85),IF($NP$85="Single_Point",IF(163=$NR$85,$NN$85,0),IF($NP$85="Bell_Curve",$NN$85*(163-$NR$85+1)*($NS$85-163+1)/$NU$85,$NN$85/$NT$85)),0)</f>
        <v/>
      </c>
      <c r="FL85" s="402">
        <f>IF(AND(164&gt;=$NR$85,164&lt;=$NS$85),IF($NP$85="Single_Point",IF(164=$NR$85,$NN$85,0),IF($NP$85="Bell_Curve",$NN$85*(164-$NR$85+1)*($NS$85-164+1)/$NU$85,$NN$85/$NT$85)),0)</f>
        <v/>
      </c>
      <c r="FM85" s="402">
        <f>IF(AND(165&gt;=$NR$85,165&lt;=$NS$85),IF($NP$85="Single_Point",IF(165=$NR$85,$NN$85,0),IF($NP$85="Bell_Curve",$NN$85*(165-$NR$85+1)*($NS$85-165+1)/$NU$85,$NN$85/$NT$85)),0)</f>
        <v/>
      </c>
      <c r="FN85" s="402">
        <f>IF(AND(166&gt;=$NR$85,166&lt;=$NS$85),IF($NP$85="Single_Point",IF(166=$NR$85,$NN$85,0),IF($NP$85="Bell_Curve",$NN$85*(166-$NR$85+1)*($NS$85-166+1)/$NU$85,$NN$85/$NT$85)),0)</f>
        <v/>
      </c>
      <c r="FO85" s="402">
        <f>IF(AND(167&gt;=$NR$85,167&lt;=$NS$85),IF($NP$85="Single_Point",IF(167=$NR$85,$NN$85,0),IF($NP$85="Bell_Curve",$NN$85*(167-$NR$85+1)*($NS$85-167+1)/$NU$85,$NN$85/$NT$85)),0)</f>
        <v/>
      </c>
      <c r="FP85" s="402">
        <f>IF(AND(168&gt;=$NR$85,168&lt;=$NS$85),IF($NP$85="Single_Point",IF(168=$NR$85,$NN$85,0),IF($NP$85="Bell_Curve",$NN$85*(168-$NR$85+1)*($NS$85-168+1)/$NU$85,$NN$85/$NT$85)),0)</f>
        <v/>
      </c>
      <c r="FQ85" s="402">
        <f>IF(AND(169&gt;=$NR$85,169&lt;=$NS$85),IF($NP$85="Single_Point",IF(169=$NR$85,$NN$85,0),IF($NP$85="Bell_Curve",$NN$85*(169-$NR$85+1)*($NS$85-169+1)/$NU$85,$NN$85/$NT$85)),0)</f>
        <v/>
      </c>
      <c r="FR85" s="402">
        <f>IF(AND(170&gt;=$NR$85,170&lt;=$NS$85),IF($NP$85="Single_Point",IF(170=$NR$85,$NN$85,0),IF($NP$85="Bell_Curve",$NN$85*(170-$NR$85+1)*($NS$85-170+1)/$NU$85,$NN$85/$NT$85)),0)</f>
        <v/>
      </c>
      <c r="FS85" s="402">
        <f>IF(AND(171&gt;=$NR$85,171&lt;=$NS$85),IF($NP$85="Single_Point",IF(171=$NR$85,$NN$85,0),IF($NP$85="Bell_Curve",$NN$85*(171-$NR$85+1)*($NS$85-171+1)/$NU$85,$NN$85/$NT$85)),0)</f>
        <v/>
      </c>
      <c r="FT85" s="402">
        <f>IF(AND(172&gt;=$NR$85,172&lt;=$NS$85),IF($NP$85="Single_Point",IF(172=$NR$85,$NN$85,0),IF($NP$85="Bell_Curve",$NN$85*(172-$NR$85+1)*($NS$85-172+1)/$NU$85,$NN$85/$NT$85)),0)</f>
        <v/>
      </c>
      <c r="FU85" s="402">
        <f>IF(AND(173&gt;=$NR$85,173&lt;=$NS$85),IF($NP$85="Single_Point",IF(173=$NR$85,$NN$85,0),IF($NP$85="Bell_Curve",$NN$85*(173-$NR$85+1)*($NS$85-173+1)/$NU$85,$NN$85/$NT$85)),0)</f>
        <v/>
      </c>
      <c r="FV85" s="402">
        <f>IF(AND(174&gt;=$NR$85,174&lt;=$NS$85),IF($NP$85="Single_Point",IF(174=$NR$85,$NN$85,0),IF($NP$85="Bell_Curve",$NN$85*(174-$NR$85+1)*($NS$85-174+1)/$NU$85,$NN$85/$NT$85)),0)</f>
        <v/>
      </c>
      <c r="FW85" s="402">
        <f>IF(AND(175&gt;=$NR$85,175&lt;=$NS$85),IF($NP$85="Single_Point",IF(175=$NR$85,$NN$85,0),IF($NP$85="Bell_Curve",$NN$85*(175-$NR$85+1)*($NS$85-175+1)/$NU$85,$NN$85/$NT$85)),0)</f>
        <v/>
      </c>
      <c r="FX85" s="402">
        <f>IF(AND(176&gt;=$NR$85,176&lt;=$NS$85),IF($NP$85="Single_Point",IF(176=$NR$85,$NN$85,0),IF($NP$85="Bell_Curve",$NN$85*(176-$NR$85+1)*($NS$85-176+1)/$NU$85,$NN$85/$NT$85)),0)</f>
        <v/>
      </c>
      <c r="FY85" s="402">
        <f>IF(AND(177&gt;=$NR$85,177&lt;=$NS$85),IF($NP$85="Single_Point",IF(177=$NR$85,$NN$85,0),IF($NP$85="Bell_Curve",$NN$85*(177-$NR$85+1)*($NS$85-177+1)/$NU$85,$NN$85/$NT$85)),0)</f>
        <v/>
      </c>
      <c r="FZ85" s="402">
        <f>IF(AND(178&gt;=$NR$85,178&lt;=$NS$85),IF($NP$85="Single_Point",IF(178=$NR$85,$NN$85,0),IF($NP$85="Bell_Curve",$NN$85*(178-$NR$85+1)*($NS$85-178+1)/$NU$85,$NN$85/$NT$85)),0)</f>
        <v/>
      </c>
      <c r="GA85" s="402">
        <f>IF(AND(179&gt;=$NR$85,179&lt;=$NS$85),IF($NP$85="Single_Point",IF(179=$NR$85,$NN$85,0),IF($NP$85="Bell_Curve",$NN$85*(179-$NR$85+1)*($NS$85-179+1)/$NU$85,$NN$85/$NT$85)),0)</f>
        <v/>
      </c>
      <c r="GB85" s="402">
        <f>IF(AND(180&gt;=$NR$85,180&lt;=$NS$85),IF($NP$85="Single_Point",IF(180=$NR$85,$NN$85,0),IF($NP$85="Bell_Curve",$NN$85*(180-$NR$85+1)*($NS$85-180+1)/$NU$85,$NN$85/$NT$85)),0)</f>
        <v/>
      </c>
      <c r="GC85" s="402">
        <f>IF(AND(181&gt;=$NR$85,181&lt;=$NS$85),IF($NP$85="Single_Point",IF(181=$NR$85,$NN$85,0),IF($NP$85="Bell_Curve",$NN$85*(181-$NR$85+1)*($NS$85-181+1)/$NU$85,$NN$85/$NT$85)),0)</f>
        <v/>
      </c>
      <c r="GD85" s="402">
        <f>IF(AND(182&gt;=$NR$85,182&lt;=$NS$85),IF($NP$85="Single_Point",IF(182=$NR$85,$NN$85,0),IF($NP$85="Bell_Curve",$NN$85*(182-$NR$85+1)*($NS$85-182+1)/$NU$85,$NN$85/$NT$85)),0)</f>
        <v/>
      </c>
      <c r="GE85" s="402">
        <f>IF(AND(183&gt;=$NR$85,183&lt;=$NS$85),IF($NP$85="Single_Point",IF(183=$NR$85,$NN$85,0),IF($NP$85="Bell_Curve",$NN$85*(183-$NR$85+1)*($NS$85-183+1)/$NU$85,$NN$85/$NT$85)),0)</f>
        <v/>
      </c>
      <c r="GF85" s="402">
        <f>IF(AND(184&gt;=$NR$85,184&lt;=$NS$85),IF($NP$85="Single_Point",IF(184=$NR$85,$NN$85,0),IF($NP$85="Bell_Curve",$NN$85*(184-$NR$85+1)*($NS$85-184+1)/$NU$85,$NN$85/$NT$85)),0)</f>
        <v/>
      </c>
      <c r="GG85" s="402">
        <f>IF(AND(185&gt;=$NR$85,185&lt;=$NS$85),IF($NP$85="Single_Point",IF(185=$NR$85,$NN$85,0),IF($NP$85="Bell_Curve",$NN$85*(185-$NR$85+1)*($NS$85-185+1)/$NU$85,$NN$85/$NT$85)),0)</f>
        <v/>
      </c>
      <c r="GH85" s="402">
        <f>IF(AND(186&gt;=$NR$85,186&lt;=$NS$85),IF($NP$85="Single_Point",IF(186=$NR$85,$NN$85,0),IF($NP$85="Bell_Curve",$NN$85*(186-$NR$85+1)*($NS$85-186+1)/$NU$85,$NN$85/$NT$85)),0)</f>
        <v/>
      </c>
      <c r="GI85" s="402">
        <f>IF(AND(187&gt;=$NR$85,187&lt;=$NS$85),IF($NP$85="Single_Point",IF(187=$NR$85,$NN$85,0),IF($NP$85="Bell_Curve",$NN$85*(187-$NR$85+1)*($NS$85-187+1)/$NU$85,$NN$85/$NT$85)),0)</f>
        <v/>
      </c>
      <c r="GJ85" s="402">
        <f>IF(AND(188&gt;=$NR$85,188&lt;=$NS$85),IF($NP$85="Single_Point",IF(188=$NR$85,$NN$85,0),IF($NP$85="Bell_Curve",$NN$85*(188-$NR$85+1)*($NS$85-188+1)/$NU$85,$NN$85/$NT$85)),0)</f>
        <v/>
      </c>
      <c r="GK85" s="402">
        <f>IF(AND(189&gt;=$NR$85,189&lt;=$NS$85),IF($NP$85="Single_Point",IF(189=$NR$85,$NN$85,0),IF($NP$85="Bell_Curve",$NN$85*(189-$NR$85+1)*($NS$85-189+1)/$NU$85,$NN$85/$NT$85)),0)</f>
        <v/>
      </c>
      <c r="GL85" s="402">
        <f>IF(AND(190&gt;=$NR$85,190&lt;=$NS$85),IF($NP$85="Single_Point",IF(190=$NR$85,$NN$85,0),IF($NP$85="Bell_Curve",$NN$85*(190-$NR$85+1)*($NS$85-190+1)/$NU$85,$NN$85/$NT$85)),0)</f>
        <v/>
      </c>
      <c r="GM85" s="402">
        <f>IF(AND(191&gt;=$NR$85,191&lt;=$NS$85),IF($NP$85="Single_Point",IF(191=$NR$85,$NN$85,0),IF($NP$85="Bell_Curve",$NN$85*(191-$NR$85+1)*($NS$85-191+1)/$NU$85,$NN$85/$NT$85)),0)</f>
        <v/>
      </c>
      <c r="GN85" s="402">
        <f>IF(AND(192&gt;=$NR$85,192&lt;=$NS$85),IF($NP$85="Single_Point",IF(192=$NR$85,$NN$85,0),IF($NP$85="Bell_Curve",$NN$85*(192-$NR$85+1)*($NS$85-192+1)/$NU$85,$NN$85/$NT$85)),0)</f>
        <v/>
      </c>
      <c r="GO85" s="402">
        <f>IF(AND(193&gt;=$NR$85,193&lt;=$NS$85),IF($NP$85="Single_Point",IF(193=$NR$85,$NN$85,0),IF($NP$85="Bell_Curve",$NN$85*(193-$NR$85+1)*($NS$85-193+1)/$NU$85,$NN$85/$NT$85)),0)</f>
        <v/>
      </c>
      <c r="GP85" s="402">
        <f>IF(AND(194&gt;=$NR$85,194&lt;=$NS$85),IF($NP$85="Single_Point",IF(194=$NR$85,$NN$85,0),IF($NP$85="Bell_Curve",$NN$85*(194-$NR$85+1)*($NS$85-194+1)/$NU$85,$NN$85/$NT$85)),0)</f>
        <v/>
      </c>
      <c r="GQ85" s="402">
        <f>IF(AND(195&gt;=$NR$85,195&lt;=$NS$85),IF($NP$85="Single_Point",IF(195=$NR$85,$NN$85,0),IF($NP$85="Bell_Curve",$NN$85*(195-$NR$85+1)*($NS$85-195+1)/$NU$85,$NN$85/$NT$85)),0)</f>
        <v/>
      </c>
      <c r="GR85" s="402">
        <f>IF(AND(196&gt;=$NR$85,196&lt;=$NS$85),IF($NP$85="Single_Point",IF(196=$NR$85,$NN$85,0),IF($NP$85="Bell_Curve",$NN$85*(196-$NR$85+1)*($NS$85-196+1)/$NU$85,$NN$85/$NT$85)),0)</f>
        <v/>
      </c>
      <c r="GS85" s="402">
        <f>IF(AND(197&gt;=$NR$85,197&lt;=$NS$85),IF($NP$85="Single_Point",IF(197=$NR$85,$NN$85,0),IF($NP$85="Bell_Curve",$NN$85*(197-$NR$85+1)*($NS$85-197+1)/$NU$85,$NN$85/$NT$85)),0)</f>
        <v/>
      </c>
      <c r="GT85" s="402">
        <f>IF(AND(198&gt;=$NR$85,198&lt;=$NS$85),IF($NP$85="Single_Point",IF(198=$NR$85,$NN$85,0),IF($NP$85="Bell_Curve",$NN$85*(198-$NR$85+1)*($NS$85-198+1)/$NU$85,$NN$85/$NT$85)),0)</f>
        <v/>
      </c>
      <c r="GU85" s="402">
        <f>IF(AND(199&gt;=$NR$85,199&lt;=$NS$85),IF($NP$85="Single_Point",IF(199=$NR$85,$NN$85,0),IF($NP$85="Bell_Curve",$NN$85*(199-$NR$85+1)*($NS$85-199+1)/$NU$85,$NN$85/$NT$85)),0)</f>
        <v/>
      </c>
      <c r="GV85" s="402">
        <f>IF(AND(200&gt;=$NR$85,200&lt;=$NS$85),IF($NP$85="Single_Point",IF(200=$NR$85,$NN$85,0),IF($NP$85="Bell_Curve",$NN$85*(200-$NR$85+1)*($NS$85-200+1)/$NU$85,$NN$85/$NT$85)),0)</f>
        <v/>
      </c>
      <c r="GW85" s="402">
        <f>IF(AND(201&gt;=$NR$85,201&lt;=$NS$85),IF($NP$85="Single_Point",IF(201=$NR$85,$NN$85,0),IF($NP$85="Bell_Curve",$NN$85*(201-$NR$85+1)*($NS$85-201+1)/$NU$85,$NN$85/$NT$85)),0)</f>
        <v/>
      </c>
      <c r="GX85" s="402">
        <f>IF(AND(202&gt;=$NR$85,202&lt;=$NS$85),IF($NP$85="Single_Point",IF(202=$NR$85,$NN$85,0),IF($NP$85="Bell_Curve",$NN$85*(202-$NR$85+1)*($NS$85-202+1)/$NU$85,$NN$85/$NT$85)),0)</f>
        <v/>
      </c>
      <c r="GY85" s="402">
        <f>IF(AND(203&gt;=$NR$85,203&lt;=$NS$85),IF($NP$85="Single_Point",IF(203=$NR$85,$NN$85,0),IF($NP$85="Bell_Curve",$NN$85*(203-$NR$85+1)*($NS$85-203+1)/$NU$85,$NN$85/$NT$85)),0)</f>
        <v/>
      </c>
      <c r="GZ85" s="402">
        <f>IF(AND(204&gt;=$NR$85,204&lt;=$NS$85),IF($NP$85="Single_Point",IF(204=$NR$85,$NN$85,0),IF($NP$85="Bell_Curve",$NN$85*(204-$NR$85+1)*($NS$85-204+1)/$NU$85,$NN$85/$NT$85)),0)</f>
        <v/>
      </c>
      <c r="HA85" s="402">
        <f>IF(AND(205&gt;=$NR$85,205&lt;=$NS$85),IF($NP$85="Single_Point",IF(205=$NR$85,$NN$85,0),IF($NP$85="Bell_Curve",$NN$85*(205-$NR$85+1)*($NS$85-205+1)/$NU$85,$NN$85/$NT$85)),0)</f>
        <v/>
      </c>
      <c r="HB85" s="402">
        <f>IF(AND(206&gt;=$NR$85,206&lt;=$NS$85),IF($NP$85="Single_Point",IF(206=$NR$85,$NN$85,0),IF($NP$85="Bell_Curve",$NN$85*(206-$NR$85+1)*($NS$85-206+1)/$NU$85,$NN$85/$NT$85)),0)</f>
        <v/>
      </c>
      <c r="HC85" s="402">
        <f>IF(AND(207&gt;=$NR$85,207&lt;=$NS$85),IF($NP$85="Single_Point",IF(207=$NR$85,$NN$85,0),IF($NP$85="Bell_Curve",$NN$85*(207-$NR$85+1)*($NS$85-207+1)/$NU$85,$NN$85/$NT$85)),0)</f>
        <v/>
      </c>
      <c r="HD85" s="402">
        <f>IF(AND(208&gt;=$NR$85,208&lt;=$NS$85),IF($NP$85="Single_Point",IF(208=$NR$85,$NN$85,0),IF($NP$85="Bell_Curve",$NN$85*(208-$NR$85+1)*($NS$85-208+1)/$NU$85,$NN$85/$NT$85)),0)</f>
        <v/>
      </c>
      <c r="HE85" s="402">
        <f>IF(AND(209&gt;=$NR$85,209&lt;=$NS$85),IF($NP$85="Single_Point",IF(209=$NR$85,$NN$85,0),IF($NP$85="Bell_Curve",$NN$85*(209-$NR$85+1)*($NS$85-209+1)/$NU$85,$NN$85/$NT$85)),0)</f>
        <v/>
      </c>
      <c r="HF85" s="402">
        <f>IF(AND(210&gt;=$NR$85,210&lt;=$NS$85),IF($NP$85="Single_Point",IF(210=$NR$85,$NN$85,0),IF($NP$85="Bell_Curve",$NN$85*(210-$NR$85+1)*($NS$85-210+1)/$NU$85,$NN$85/$NT$85)),0)</f>
        <v/>
      </c>
      <c r="HG85" s="402">
        <f>IF(AND(211&gt;=$NR$85,211&lt;=$NS$85),IF($NP$85="Single_Point",IF(211=$NR$85,$NN$85,0),IF($NP$85="Bell_Curve",$NN$85*(211-$NR$85+1)*($NS$85-211+1)/$NU$85,$NN$85/$NT$85)),0)</f>
        <v/>
      </c>
      <c r="HH85" s="402">
        <f>IF(AND(212&gt;=$NR$85,212&lt;=$NS$85),IF($NP$85="Single_Point",IF(212=$NR$85,$NN$85,0),IF($NP$85="Bell_Curve",$NN$85*(212-$NR$85+1)*($NS$85-212+1)/$NU$85,$NN$85/$NT$85)),0)</f>
        <v/>
      </c>
      <c r="HI85" s="402">
        <f>IF(AND(213&gt;=$NR$85,213&lt;=$NS$85),IF($NP$85="Single_Point",IF(213=$NR$85,$NN$85,0),IF($NP$85="Bell_Curve",$NN$85*(213-$NR$85+1)*($NS$85-213+1)/$NU$85,$NN$85/$NT$85)),0)</f>
        <v/>
      </c>
      <c r="HJ85" s="402">
        <f>IF(AND(214&gt;=$NR$85,214&lt;=$NS$85),IF($NP$85="Single_Point",IF(214=$NR$85,$NN$85,0),IF($NP$85="Bell_Curve",$NN$85*(214-$NR$85+1)*($NS$85-214+1)/$NU$85,$NN$85/$NT$85)),0)</f>
        <v/>
      </c>
      <c r="HK85" s="402">
        <f>IF(AND(215&gt;=$NR$85,215&lt;=$NS$85),IF($NP$85="Single_Point",IF(215=$NR$85,$NN$85,0),IF($NP$85="Bell_Curve",$NN$85*(215-$NR$85+1)*($NS$85-215+1)/$NU$85,$NN$85/$NT$85)),0)</f>
        <v/>
      </c>
      <c r="HL85" s="402">
        <f>IF(AND(216&gt;=$NR$85,216&lt;=$NS$85),IF($NP$85="Single_Point",IF(216=$NR$85,$NN$85,0),IF($NP$85="Bell_Curve",$NN$85*(216-$NR$85+1)*($NS$85-216+1)/$NU$85,$NN$85/$NT$85)),0)</f>
        <v/>
      </c>
      <c r="HM85" s="402">
        <f>IF(AND(217&gt;=$NR$85,217&lt;=$NS$85),IF($NP$85="Single_Point",IF(217=$NR$85,$NN$85,0),IF($NP$85="Bell_Curve",$NN$85*(217-$NR$85+1)*($NS$85-217+1)/$NU$85,$NN$85/$NT$85)),0)</f>
        <v/>
      </c>
      <c r="HN85" s="402">
        <f>IF(AND(218&gt;=$NR$85,218&lt;=$NS$85),IF($NP$85="Single_Point",IF(218=$NR$85,$NN$85,0),IF($NP$85="Bell_Curve",$NN$85*(218-$NR$85+1)*($NS$85-218+1)/$NU$85,$NN$85/$NT$85)),0)</f>
        <v/>
      </c>
      <c r="HO85" s="402">
        <f>IF(AND(219&gt;=$NR$85,219&lt;=$NS$85),IF($NP$85="Single_Point",IF(219=$NR$85,$NN$85,0),IF($NP$85="Bell_Curve",$NN$85*(219-$NR$85+1)*($NS$85-219+1)/$NU$85,$NN$85/$NT$85)),0)</f>
        <v/>
      </c>
      <c r="HP85" s="402">
        <f>IF(AND(220&gt;=$NR$85,220&lt;=$NS$85),IF($NP$85="Single_Point",IF(220=$NR$85,$NN$85,0),IF($NP$85="Bell_Curve",$NN$85*(220-$NR$85+1)*($NS$85-220+1)/$NU$85,$NN$85/$NT$85)),0)</f>
        <v/>
      </c>
      <c r="HQ85" s="402">
        <f>IF(AND(221&gt;=$NR$85,221&lt;=$NS$85),IF($NP$85="Single_Point",IF(221=$NR$85,$NN$85,0),IF($NP$85="Bell_Curve",$NN$85*(221-$NR$85+1)*($NS$85-221+1)/$NU$85,$NN$85/$NT$85)),0)</f>
        <v/>
      </c>
      <c r="HR85" s="402">
        <f>IF(AND(222&gt;=$NR$85,222&lt;=$NS$85),IF($NP$85="Single_Point",IF(222=$NR$85,$NN$85,0),IF($NP$85="Bell_Curve",$NN$85*(222-$NR$85+1)*($NS$85-222+1)/$NU$85,$NN$85/$NT$85)),0)</f>
        <v/>
      </c>
      <c r="HS85" s="402">
        <f>IF(AND(223&gt;=$NR$85,223&lt;=$NS$85),IF($NP$85="Single_Point",IF(223=$NR$85,$NN$85,0),IF($NP$85="Bell_Curve",$NN$85*(223-$NR$85+1)*($NS$85-223+1)/$NU$85,$NN$85/$NT$85)),0)</f>
        <v/>
      </c>
      <c r="HT85" s="402">
        <f>IF(AND(224&gt;=$NR$85,224&lt;=$NS$85),IF($NP$85="Single_Point",IF(224=$NR$85,$NN$85,0),IF($NP$85="Bell_Curve",$NN$85*(224-$NR$85+1)*($NS$85-224+1)/$NU$85,$NN$85/$NT$85)),0)</f>
        <v/>
      </c>
      <c r="HU85" s="402">
        <f>IF(AND(225&gt;=$NR$85,225&lt;=$NS$85),IF($NP$85="Single_Point",IF(225=$NR$85,$NN$85,0),IF($NP$85="Bell_Curve",$NN$85*(225-$NR$85+1)*($NS$85-225+1)/$NU$85,$NN$85/$NT$85)),0)</f>
        <v/>
      </c>
      <c r="HV85" s="402">
        <f>IF(AND(226&gt;=$NR$85,226&lt;=$NS$85),IF($NP$85="Single_Point",IF(226=$NR$85,$NN$85,0),IF($NP$85="Bell_Curve",$NN$85*(226-$NR$85+1)*($NS$85-226+1)/$NU$85,$NN$85/$NT$85)),0)</f>
        <v/>
      </c>
      <c r="HW85" s="402">
        <f>IF(AND(227&gt;=$NR$85,227&lt;=$NS$85),IF($NP$85="Single_Point",IF(227=$NR$85,$NN$85,0),IF($NP$85="Bell_Curve",$NN$85*(227-$NR$85+1)*($NS$85-227+1)/$NU$85,$NN$85/$NT$85)),0)</f>
        <v/>
      </c>
      <c r="HX85" s="402">
        <f>IF(AND(228&gt;=$NR$85,228&lt;=$NS$85),IF($NP$85="Single_Point",IF(228=$NR$85,$NN$85,0),IF($NP$85="Bell_Curve",$NN$85*(228-$NR$85+1)*($NS$85-228+1)/$NU$85,$NN$85/$NT$85)),0)</f>
        <v/>
      </c>
      <c r="HY85" s="402">
        <f>IF(AND(229&gt;=$NR$85,229&lt;=$NS$85),IF($NP$85="Single_Point",IF(229=$NR$85,$NN$85,0),IF($NP$85="Bell_Curve",$NN$85*(229-$NR$85+1)*($NS$85-229+1)/$NU$85,$NN$85/$NT$85)),0)</f>
        <v/>
      </c>
      <c r="HZ85" s="402">
        <f>IF(AND(230&gt;=$NR$85,230&lt;=$NS$85),IF($NP$85="Single_Point",IF(230=$NR$85,$NN$85,0),IF($NP$85="Bell_Curve",$NN$85*(230-$NR$85+1)*($NS$85-230+1)/$NU$85,$NN$85/$NT$85)),0)</f>
        <v/>
      </c>
      <c r="IA85" s="402">
        <f>IF(AND(231&gt;=$NR$85,231&lt;=$NS$85),IF($NP$85="Single_Point",IF(231=$NR$85,$NN$85,0),IF($NP$85="Bell_Curve",$NN$85*(231-$NR$85+1)*($NS$85-231+1)/$NU$85,$NN$85/$NT$85)),0)</f>
        <v/>
      </c>
      <c r="IB85" s="402">
        <f>IF(AND(232&gt;=$NR$85,232&lt;=$NS$85),IF($NP$85="Single_Point",IF(232=$NR$85,$NN$85,0),IF($NP$85="Bell_Curve",$NN$85*(232-$NR$85+1)*($NS$85-232+1)/$NU$85,$NN$85/$NT$85)),0)</f>
        <v/>
      </c>
      <c r="IC85" s="402">
        <f>IF(AND(233&gt;=$NR$85,233&lt;=$NS$85),IF($NP$85="Single_Point",IF(233=$NR$85,$NN$85,0),IF($NP$85="Bell_Curve",$NN$85*(233-$NR$85+1)*($NS$85-233+1)/$NU$85,$NN$85/$NT$85)),0)</f>
        <v/>
      </c>
      <c r="ID85" s="402">
        <f>IF(AND(234&gt;=$NR$85,234&lt;=$NS$85),IF($NP$85="Single_Point",IF(234=$NR$85,$NN$85,0),IF($NP$85="Bell_Curve",$NN$85*(234-$NR$85+1)*($NS$85-234+1)/$NU$85,$NN$85/$NT$85)),0)</f>
        <v/>
      </c>
      <c r="IE85" s="402">
        <f>IF(AND(235&gt;=$NR$85,235&lt;=$NS$85),IF($NP$85="Single_Point",IF(235=$NR$85,$NN$85,0),IF($NP$85="Bell_Curve",$NN$85*(235-$NR$85+1)*($NS$85-235+1)/$NU$85,$NN$85/$NT$85)),0)</f>
        <v/>
      </c>
      <c r="IF85" s="402">
        <f>IF(AND(236&gt;=$NR$85,236&lt;=$NS$85),IF($NP$85="Single_Point",IF(236=$NR$85,$NN$85,0),IF($NP$85="Bell_Curve",$NN$85*(236-$NR$85+1)*($NS$85-236+1)/$NU$85,$NN$85/$NT$85)),0)</f>
        <v/>
      </c>
      <c r="IG85" s="402">
        <f>IF(AND(237&gt;=$NR$85,237&lt;=$NS$85),IF($NP$85="Single_Point",IF(237=$NR$85,$NN$85,0),IF($NP$85="Bell_Curve",$NN$85*(237-$NR$85+1)*($NS$85-237+1)/$NU$85,$NN$85/$NT$85)),0)</f>
        <v/>
      </c>
      <c r="IH85" s="402">
        <f>IF(AND(238&gt;=$NR$85,238&lt;=$NS$85),IF($NP$85="Single_Point",IF(238=$NR$85,$NN$85,0),IF($NP$85="Bell_Curve",$NN$85*(238-$NR$85+1)*($NS$85-238+1)/$NU$85,$NN$85/$NT$85)),0)</f>
        <v/>
      </c>
      <c r="II85" s="402">
        <f>IF(AND(239&gt;=$NR$85,239&lt;=$NS$85),IF($NP$85="Single_Point",IF(239=$NR$85,$NN$85,0),IF($NP$85="Bell_Curve",$NN$85*(239-$NR$85+1)*($NS$85-239+1)/$NU$85,$NN$85/$NT$85)),0)</f>
        <v/>
      </c>
      <c r="IJ85" s="402">
        <f>IF(AND(240&gt;=$NR$85,240&lt;=$NS$85),IF($NP$85="Single_Point",IF(240=$NR$85,$NN$85,0),IF($NP$85="Bell_Curve",$NN$85*(240-$NR$85+1)*($NS$85-240+1)/$NU$85,$NN$85/$NT$85)),0)</f>
        <v/>
      </c>
      <c r="IK85" s="402">
        <f>IF(AND(241&gt;=$NR$85,241&lt;=$NS$85),IF($NP$85="Single_Point",IF(241=$NR$85,$NN$85,0),IF($NP$85="Bell_Curve",$NN$85*(241-$NR$85+1)*($NS$85-241+1)/$NU$85,$NN$85/$NT$85)),0)</f>
        <v/>
      </c>
      <c r="IL85" s="402">
        <f>IF(AND(242&gt;=$NR$85,242&lt;=$NS$85),IF($NP$85="Single_Point",IF(242=$NR$85,$NN$85,0),IF($NP$85="Bell_Curve",$NN$85*(242-$NR$85+1)*($NS$85-242+1)/$NU$85,$NN$85/$NT$85)),0)</f>
        <v/>
      </c>
      <c r="IM85" s="402">
        <f>IF(AND(243&gt;=$NR$85,243&lt;=$NS$85),IF($NP$85="Single_Point",IF(243=$NR$85,$NN$85,0),IF($NP$85="Bell_Curve",$NN$85*(243-$NR$85+1)*($NS$85-243+1)/$NU$85,$NN$85/$NT$85)),0)</f>
        <v/>
      </c>
      <c r="IN85" s="402">
        <f>IF(AND(244&gt;=$NR$85,244&lt;=$NS$85),IF($NP$85="Single_Point",IF(244=$NR$85,$NN$85,0),IF($NP$85="Bell_Curve",$NN$85*(244-$NR$85+1)*($NS$85-244+1)/$NU$85,$NN$85/$NT$85)),0)</f>
        <v/>
      </c>
      <c r="IO85" s="402">
        <f>IF(AND(245&gt;=$NR$85,245&lt;=$NS$85),IF($NP$85="Single_Point",IF(245=$NR$85,$NN$85,0),IF($NP$85="Bell_Curve",$NN$85*(245-$NR$85+1)*($NS$85-245+1)/$NU$85,$NN$85/$NT$85)),0)</f>
        <v/>
      </c>
      <c r="IP85" s="402">
        <f>IF(AND(246&gt;=$NR$85,246&lt;=$NS$85),IF($NP$85="Single_Point",IF(246=$NR$85,$NN$85,0),IF($NP$85="Bell_Curve",$NN$85*(246-$NR$85+1)*($NS$85-246+1)/$NU$85,$NN$85/$NT$85)),0)</f>
        <v/>
      </c>
      <c r="IQ85" s="402">
        <f>IF(AND(247&gt;=$NR$85,247&lt;=$NS$85),IF($NP$85="Single_Point",IF(247=$NR$85,$NN$85,0),IF($NP$85="Bell_Curve",$NN$85*(247-$NR$85+1)*($NS$85-247+1)/$NU$85,$NN$85/$NT$85)),0)</f>
        <v/>
      </c>
      <c r="IR85" s="402">
        <f>IF(AND(248&gt;=$NR$85,248&lt;=$NS$85),IF($NP$85="Single_Point",IF(248=$NR$85,$NN$85,0),IF($NP$85="Bell_Curve",$NN$85*(248-$NR$85+1)*($NS$85-248+1)/$NU$85,$NN$85/$NT$85)),0)</f>
        <v/>
      </c>
      <c r="IS85" s="402">
        <f>IF(AND(249&gt;=$NR$85,249&lt;=$NS$85),IF($NP$85="Single_Point",IF(249=$NR$85,$NN$85,0),IF($NP$85="Bell_Curve",$NN$85*(249-$NR$85+1)*($NS$85-249+1)/$NU$85,$NN$85/$NT$85)),0)</f>
        <v/>
      </c>
      <c r="IT85" s="402">
        <f>IF(AND(250&gt;=$NR$85,250&lt;=$NS$85),IF($NP$85="Single_Point",IF(250=$NR$85,$NN$85,0),IF($NP$85="Bell_Curve",$NN$85*(250-$NR$85+1)*($NS$85-250+1)/$NU$85,$NN$85/$NT$85)),0)</f>
        <v/>
      </c>
      <c r="IU85" s="402">
        <f>IF(AND(251&gt;=$NR$85,251&lt;=$NS$85),IF($NP$85="Single_Point",IF(251=$NR$85,$NN$85,0),IF($NP$85="Bell_Curve",$NN$85*(251-$NR$85+1)*($NS$85-251+1)/$NU$85,$NN$85/$NT$85)),0)</f>
        <v/>
      </c>
      <c r="IV85" s="402">
        <f>IF(AND(252&gt;=$NR$85,252&lt;=$NS$85),IF($NP$85="Single_Point",IF(252=$NR$85,$NN$85,0),IF($NP$85="Bell_Curve",$NN$85*(252-$NR$85+1)*($NS$85-252+1)/$NU$85,$NN$85/$NT$85)),0)</f>
        <v/>
      </c>
      <c r="IW85" s="402">
        <f>IF(AND(253&gt;=$NR$85,253&lt;=$NS$85),IF($NP$85="Single_Point",IF(253=$NR$85,$NN$85,0),IF($NP$85="Bell_Curve",$NN$85*(253-$NR$85+1)*($NS$85-253+1)/$NU$85,$NN$85/$NT$85)),0)</f>
        <v/>
      </c>
      <c r="IX85" s="402">
        <f>IF(AND(254&gt;=$NR$85,254&lt;=$NS$85),IF($NP$85="Single_Point",IF(254=$NR$85,$NN$85,0),IF($NP$85="Bell_Curve",$NN$85*(254-$NR$85+1)*($NS$85-254+1)/$NU$85,$NN$85/$NT$85)),0)</f>
        <v/>
      </c>
      <c r="IY85" s="402">
        <f>IF(AND(255&gt;=$NR$85,255&lt;=$NS$85),IF($NP$85="Single_Point",IF(255=$NR$85,$NN$85,0),IF($NP$85="Bell_Curve",$NN$85*(255-$NR$85+1)*($NS$85-255+1)/$NU$85,$NN$85/$NT$85)),0)</f>
        <v/>
      </c>
      <c r="IZ85" s="402">
        <f>IF(AND(256&gt;=$NR$85,256&lt;=$NS$85),IF($NP$85="Single_Point",IF(256=$NR$85,$NN$85,0),IF($NP$85="Bell_Curve",$NN$85*(256-$NR$85+1)*($NS$85-256+1)/$NU$85,$NN$85/$NT$85)),0)</f>
        <v/>
      </c>
      <c r="JA85" s="402">
        <f>IF(AND(257&gt;=$NR$85,257&lt;=$NS$85),IF($NP$85="Single_Point",IF(257=$NR$85,$NN$85,0),IF($NP$85="Bell_Curve",$NN$85*(257-$NR$85+1)*($NS$85-257+1)/$NU$85,$NN$85/$NT$85)),0)</f>
        <v/>
      </c>
      <c r="JB85" s="402">
        <f>IF(AND(258&gt;=$NR$85,258&lt;=$NS$85),IF($NP$85="Single_Point",IF(258=$NR$85,$NN$85,0),IF($NP$85="Bell_Curve",$NN$85*(258-$NR$85+1)*($NS$85-258+1)/$NU$85,$NN$85/$NT$85)),0)</f>
        <v/>
      </c>
      <c r="JC85" s="402">
        <f>IF(AND(259&gt;=$NR$85,259&lt;=$NS$85),IF($NP$85="Single_Point",IF(259=$NR$85,$NN$85,0),IF($NP$85="Bell_Curve",$NN$85*(259-$NR$85+1)*($NS$85-259+1)/$NU$85,$NN$85/$NT$85)),0)</f>
        <v/>
      </c>
      <c r="JD85" s="402">
        <f>IF(AND(260&gt;=$NR$85,260&lt;=$NS$85),IF($NP$85="Single_Point",IF(260=$NR$85,$NN$85,0),IF($NP$85="Bell_Curve",$NN$85*(260-$NR$85+1)*($NS$85-260+1)/$NU$85,$NN$85/$NT$85)),0)</f>
        <v/>
      </c>
      <c r="JE85" s="402">
        <f>IF(AND(261&gt;=$NR$85,261&lt;=$NS$85),IF($NP$85="Single_Point",IF(261=$NR$85,$NN$85,0),IF($NP$85="Bell_Curve",$NN$85*(261-$NR$85+1)*($NS$85-261+1)/$NU$85,$NN$85/$NT$85)),0)</f>
        <v/>
      </c>
      <c r="JF85" s="402">
        <f>IF(AND(262&gt;=$NR$85,262&lt;=$NS$85),IF($NP$85="Single_Point",IF(262=$NR$85,$NN$85,0),IF($NP$85="Bell_Curve",$NN$85*(262-$NR$85+1)*($NS$85-262+1)/$NU$85,$NN$85/$NT$85)),0)</f>
        <v/>
      </c>
      <c r="JG85" s="402">
        <f>IF(AND(263&gt;=$NR$85,263&lt;=$NS$85),IF($NP$85="Single_Point",IF(263=$NR$85,$NN$85,0),IF($NP$85="Bell_Curve",$NN$85*(263-$NR$85+1)*($NS$85-263+1)/$NU$85,$NN$85/$NT$85)),0)</f>
        <v/>
      </c>
      <c r="JH85" s="402">
        <f>IF(AND(264&gt;=$NR$85,264&lt;=$NS$85),IF($NP$85="Single_Point",IF(264=$NR$85,$NN$85,0),IF($NP$85="Bell_Curve",$NN$85*(264-$NR$85+1)*($NS$85-264+1)/$NU$85,$NN$85/$NT$85)),0)</f>
        <v/>
      </c>
      <c r="JI85" s="402">
        <f>IF(AND(265&gt;=$NR$85,265&lt;=$NS$85),IF($NP$85="Single_Point",IF(265=$NR$85,$NN$85,0),IF($NP$85="Bell_Curve",$NN$85*(265-$NR$85+1)*($NS$85-265+1)/$NU$85,$NN$85/$NT$85)),0)</f>
        <v/>
      </c>
      <c r="JJ85" s="402">
        <f>IF(AND(266&gt;=$NR$85,266&lt;=$NS$85),IF($NP$85="Single_Point",IF(266=$NR$85,$NN$85,0),IF($NP$85="Bell_Curve",$NN$85*(266-$NR$85+1)*($NS$85-266+1)/$NU$85,$NN$85/$NT$85)),0)</f>
        <v/>
      </c>
      <c r="JK85" s="402">
        <f>IF(AND(267&gt;=$NR$85,267&lt;=$NS$85),IF($NP$85="Single_Point",IF(267=$NR$85,$NN$85,0),IF($NP$85="Bell_Curve",$NN$85*(267-$NR$85+1)*($NS$85-267+1)/$NU$85,$NN$85/$NT$85)),0)</f>
        <v/>
      </c>
      <c r="JL85" s="402">
        <f>IF(AND(268&gt;=$NR$85,268&lt;=$NS$85),IF($NP$85="Single_Point",IF(268=$NR$85,$NN$85,0),IF($NP$85="Bell_Curve",$NN$85*(268-$NR$85+1)*($NS$85-268+1)/$NU$85,$NN$85/$NT$85)),0)</f>
        <v/>
      </c>
      <c r="JM85" s="402">
        <f>IF(AND(269&gt;=$NR$85,269&lt;=$NS$85),IF($NP$85="Single_Point",IF(269=$NR$85,$NN$85,0),IF($NP$85="Bell_Curve",$NN$85*(269-$NR$85+1)*($NS$85-269+1)/$NU$85,$NN$85/$NT$85)),0)</f>
        <v/>
      </c>
      <c r="JN85" s="402">
        <f>IF(AND(270&gt;=$NR$85,270&lt;=$NS$85),IF($NP$85="Single_Point",IF(270=$NR$85,$NN$85,0),IF($NP$85="Bell_Curve",$NN$85*(270-$NR$85+1)*($NS$85-270+1)/$NU$85,$NN$85/$NT$85)),0)</f>
        <v/>
      </c>
      <c r="JO85" s="402">
        <f>IF(AND(271&gt;=$NR$85,271&lt;=$NS$85),IF($NP$85="Single_Point",IF(271=$NR$85,$NN$85,0),IF($NP$85="Bell_Curve",$NN$85*(271-$NR$85+1)*($NS$85-271+1)/$NU$85,$NN$85/$NT$85)),0)</f>
        <v/>
      </c>
      <c r="JP85" s="402">
        <f>IF(AND(272&gt;=$NR$85,272&lt;=$NS$85),IF($NP$85="Single_Point",IF(272=$NR$85,$NN$85,0),IF($NP$85="Bell_Curve",$NN$85*(272-$NR$85+1)*($NS$85-272+1)/$NU$85,$NN$85/$NT$85)),0)</f>
        <v/>
      </c>
      <c r="JQ85" s="402">
        <f>IF(AND(273&gt;=$NR$85,273&lt;=$NS$85),IF($NP$85="Single_Point",IF(273=$NR$85,$NN$85,0),IF($NP$85="Bell_Curve",$NN$85*(273-$NR$85+1)*($NS$85-273+1)/$NU$85,$NN$85/$NT$85)),0)</f>
        <v/>
      </c>
      <c r="JR85" s="402">
        <f>IF(AND(274&gt;=$NR$85,274&lt;=$NS$85),IF($NP$85="Single_Point",IF(274=$NR$85,$NN$85,0),IF($NP$85="Bell_Curve",$NN$85*(274-$NR$85+1)*($NS$85-274+1)/$NU$85,$NN$85/$NT$85)),0)</f>
        <v/>
      </c>
      <c r="JS85" s="402">
        <f>IF(AND(275&gt;=$NR$85,275&lt;=$NS$85),IF($NP$85="Single_Point",IF(275=$NR$85,$NN$85,0),IF($NP$85="Bell_Curve",$NN$85*(275-$NR$85+1)*($NS$85-275+1)/$NU$85,$NN$85/$NT$85)),0)</f>
        <v/>
      </c>
      <c r="JT85" s="402">
        <f>IF(AND(276&gt;=$NR$85,276&lt;=$NS$85),IF($NP$85="Single_Point",IF(276=$NR$85,$NN$85,0),IF($NP$85="Bell_Curve",$NN$85*(276-$NR$85+1)*($NS$85-276+1)/$NU$85,$NN$85/$NT$85)),0)</f>
        <v/>
      </c>
      <c r="JU85" s="402">
        <f>IF(AND(277&gt;=$NR$85,277&lt;=$NS$85),IF($NP$85="Single_Point",IF(277=$NR$85,$NN$85,0),IF($NP$85="Bell_Curve",$NN$85*(277-$NR$85+1)*($NS$85-277+1)/$NU$85,$NN$85/$NT$85)),0)</f>
        <v/>
      </c>
      <c r="JV85" s="402">
        <f>IF(AND(278&gt;=$NR$85,278&lt;=$NS$85),IF($NP$85="Single_Point",IF(278=$NR$85,$NN$85,0),IF($NP$85="Bell_Curve",$NN$85*(278-$NR$85+1)*($NS$85-278+1)/$NU$85,$NN$85/$NT$85)),0)</f>
        <v/>
      </c>
      <c r="JW85" s="402">
        <f>IF(AND(279&gt;=$NR$85,279&lt;=$NS$85),IF($NP$85="Single_Point",IF(279=$NR$85,$NN$85,0),IF($NP$85="Bell_Curve",$NN$85*(279-$NR$85+1)*($NS$85-279+1)/$NU$85,$NN$85/$NT$85)),0)</f>
        <v/>
      </c>
      <c r="JX85" s="402">
        <f>IF(AND(280&gt;=$NR$85,280&lt;=$NS$85),IF($NP$85="Single_Point",IF(280=$NR$85,$NN$85,0),IF($NP$85="Bell_Curve",$NN$85*(280-$NR$85+1)*($NS$85-280+1)/$NU$85,$NN$85/$NT$85)),0)</f>
        <v/>
      </c>
      <c r="JY85" s="402">
        <f>IF(AND(281&gt;=$NR$85,281&lt;=$NS$85),IF($NP$85="Single_Point",IF(281=$NR$85,$NN$85,0),IF($NP$85="Bell_Curve",$NN$85*(281-$NR$85+1)*($NS$85-281+1)/$NU$85,$NN$85/$NT$85)),0)</f>
        <v/>
      </c>
      <c r="JZ85" s="402">
        <f>IF(AND(282&gt;=$NR$85,282&lt;=$NS$85),IF($NP$85="Single_Point",IF(282=$NR$85,$NN$85,0),IF($NP$85="Bell_Curve",$NN$85*(282-$NR$85+1)*($NS$85-282+1)/$NU$85,$NN$85/$NT$85)),0)</f>
        <v/>
      </c>
      <c r="KA85" s="402">
        <f>IF(AND(283&gt;=$NR$85,283&lt;=$NS$85),IF($NP$85="Single_Point",IF(283=$NR$85,$NN$85,0),IF($NP$85="Bell_Curve",$NN$85*(283-$NR$85+1)*($NS$85-283+1)/$NU$85,$NN$85/$NT$85)),0)</f>
        <v/>
      </c>
      <c r="KB85" s="402">
        <f>IF(AND(284&gt;=$NR$85,284&lt;=$NS$85),IF($NP$85="Single_Point",IF(284=$NR$85,$NN$85,0),IF($NP$85="Bell_Curve",$NN$85*(284-$NR$85+1)*($NS$85-284+1)/$NU$85,$NN$85/$NT$85)),0)</f>
        <v/>
      </c>
      <c r="KC85" s="402">
        <f>IF(AND(285&gt;=$NR$85,285&lt;=$NS$85),IF($NP$85="Single_Point",IF(285=$NR$85,$NN$85,0),IF($NP$85="Bell_Curve",$NN$85*(285-$NR$85+1)*($NS$85-285+1)/$NU$85,$NN$85/$NT$85)),0)</f>
        <v/>
      </c>
      <c r="KD85" s="402">
        <f>IF(AND(286&gt;=$NR$85,286&lt;=$NS$85),IF($NP$85="Single_Point",IF(286=$NR$85,$NN$85,0),IF($NP$85="Bell_Curve",$NN$85*(286-$NR$85+1)*($NS$85-286+1)/$NU$85,$NN$85/$NT$85)),0)</f>
        <v/>
      </c>
      <c r="KE85" s="402">
        <f>IF(AND(287&gt;=$NR$85,287&lt;=$NS$85),IF($NP$85="Single_Point",IF(287=$NR$85,$NN$85,0),IF($NP$85="Bell_Curve",$NN$85*(287-$NR$85+1)*($NS$85-287+1)/$NU$85,$NN$85/$NT$85)),0)</f>
        <v/>
      </c>
      <c r="KF85" s="402">
        <f>IF(AND(288&gt;=$NR$85,288&lt;=$NS$85),IF($NP$85="Single_Point",IF(288=$NR$85,$NN$85,0),IF($NP$85="Bell_Curve",$NN$85*(288-$NR$85+1)*($NS$85-288+1)/$NU$85,$NN$85/$NT$85)),0)</f>
        <v/>
      </c>
      <c r="KG85" s="402">
        <f>IF(AND(289&gt;=$NR$85,289&lt;=$NS$85),IF($NP$85="Single_Point",IF(289=$NR$85,$NN$85,0),IF($NP$85="Bell_Curve",$NN$85*(289-$NR$85+1)*($NS$85-289+1)/$NU$85,$NN$85/$NT$85)),0)</f>
        <v/>
      </c>
      <c r="KH85" s="402">
        <f>IF(AND(290&gt;=$NR$85,290&lt;=$NS$85),IF($NP$85="Single_Point",IF(290=$NR$85,$NN$85,0),IF($NP$85="Bell_Curve",$NN$85*(290-$NR$85+1)*($NS$85-290+1)/$NU$85,$NN$85/$NT$85)),0)</f>
        <v/>
      </c>
      <c r="KI85" s="402">
        <f>IF(AND(291&gt;=$NR$85,291&lt;=$NS$85),IF($NP$85="Single_Point",IF(291=$NR$85,$NN$85,0),IF($NP$85="Bell_Curve",$NN$85*(291-$NR$85+1)*($NS$85-291+1)/$NU$85,$NN$85/$NT$85)),0)</f>
        <v/>
      </c>
      <c r="KJ85" s="402">
        <f>IF(AND(292&gt;=$NR$85,292&lt;=$NS$85),IF($NP$85="Single_Point",IF(292=$NR$85,$NN$85,0),IF($NP$85="Bell_Curve",$NN$85*(292-$NR$85+1)*($NS$85-292+1)/$NU$85,$NN$85/$NT$85)),0)</f>
        <v/>
      </c>
      <c r="KK85" s="402">
        <f>IF(AND(293&gt;=$NR$85,293&lt;=$NS$85),IF($NP$85="Single_Point",IF(293=$NR$85,$NN$85,0),IF($NP$85="Bell_Curve",$NN$85*(293-$NR$85+1)*($NS$85-293+1)/$NU$85,$NN$85/$NT$85)),0)</f>
        <v/>
      </c>
      <c r="KL85" s="402">
        <f>IF(AND(294&gt;=$NR$85,294&lt;=$NS$85),IF($NP$85="Single_Point",IF(294=$NR$85,$NN$85,0),IF($NP$85="Bell_Curve",$NN$85*(294-$NR$85+1)*($NS$85-294+1)/$NU$85,$NN$85/$NT$85)),0)</f>
        <v/>
      </c>
      <c r="KM85" s="402">
        <f>IF(AND(295&gt;=$NR$85,295&lt;=$NS$85),IF($NP$85="Single_Point",IF(295=$NR$85,$NN$85,0),IF($NP$85="Bell_Curve",$NN$85*(295-$NR$85+1)*($NS$85-295+1)/$NU$85,$NN$85/$NT$85)),0)</f>
        <v/>
      </c>
      <c r="KN85" s="402">
        <f>IF(AND(296&gt;=$NR$85,296&lt;=$NS$85),IF($NP$85="Single_Point",IF(296=$NR$85,$NN$85,0),IF($NP$85="Bell_Curve",$NN$85*(296-$NR$85+1)*($NS$85-296+1)/$NU$85,$NN$85/$NT$85)),0)</f>
        <v/>
      </c>
      <c r="KO85" s="402">
        <f>IF(AND(297&gt;=$NR$85,297&lt;=$NS$85),IF($NP$85="Single_Point",IF(297=$NR$85,$NN$85,0),IF($NP$85="Bell_Curve",$NN$85*(297-$NR$85+1)*($NS$85-297+1)/$NU$85,$NN$85/$NT$85)),0)</f>
        <v/>
      </c>
      <c r="KP85" s="402">
        <f>IF(AND(298&gt;=$NR$85,298&lt;=$NS$85),IF($NP$85="Single_Point",IF(298=$NR$85,$NN$85,0),IF($NP$85="Bell_Curve",$NN$85*(298-$NR$85+1)*($NS$85-298+1)/$NU$85,$NN$85/$NT$85)),0)</f>
        <v/>
      </c>
      <c r="KQ85" s="402">
        <f>IF(AND(299&gt;=$NR$85,299&lt;=$NS$85),IF($NP$85="Single_Point",IF(299=$NR$85,$NN$85,0),IF($NP$85="Bell_Curve",$NN$85*(299-$NR$85+1)*($NS$85-299+1)/$NU$85,$NN$85/$NT$85)),0)</f>
        <v/>
      </c>
      <c r="KR85" s="402">
        <f>IF(AND(300&gt;=$NR$85,300&lt;=$NS$85),IF($NP$85="Single_Point",IF(300=$NR$85,$NN$85,0),IF($NP$85="Bell_Curve",$NN$85*(300-$NR$85+1)*($NS$85-300+1)/$NU$85,$NN$85/$NT$85)),0)</f>
        <v/>
      </c>
      <c r="KS85" s="402">
        <f>IF(AND(301&gt;=$NR$85,301&lt;=$NS$85),IF($NP$85="Single_Point",IF(301=$NR$85,$NN$85,0),IF($NP$85="Bell_Curve",$NN$85*(301-$NR$85+1)*($NS$85-301+1)/$NU$85,$NN$85/$NT$85)),0)</f>
        <v/>
      </c>
      <c r="KT85" s="402">
        <f>IF(AND(302&gt;=$NR$85,302&lt;=$NS$85),IF($NP$85="Single_Point",IF(302=$NR$85,$NN$85,0),IF($NP$85="Bell_Curve",$NN$85*(302-$NR$85+1)*($NS$85-302+1)/$NU$85,$NN$85/$NT$85)),0)</f>
        <v/>
      </c>
      <c r="KU85" s="402">
        <f>IF(AND(303&gt;=$NR$85,303&lt;=$NS$85),IF($NP$85="Single_Point",IF(303=$NR$85,$NN$85,0),IF($NP$85="Bell_Curve",$NN$85*(303-$NR$85+1)*($NS$85-303+1)/$NU$85,$NN$85/$NT$85)),0)</f>
        <v/>
      </c>
      <c r="KV85" s="402">
        <f>IF(AND(304&gt;=$NR$85,304&lt;=$NS$85),IF($NP$85="Single_Point",IF(304=$NR$85,$NN$85,0),IF($NP$85="Bell_Curve",$NN$85*(304-$NR$85+1)*($NS$85-304+1)/$NU$85,$NN$85/$NT$85)),0)</f>
        <v/>
      </c>
      <c r="KW85" s="402">
        <f>IF(AND(305&gt;=$NR$85,305&lt;=$NS$85),IF($NP$85="Single_Point",IF(305=$NR$85,$NN$85,0),IF($NP$85="Bell_Curve",$NN$85*(305-$NR$85+1)*($NS$85-305+1)/$NU$85,$NN$85/$NT$85)),0)</f>
        <v/>
      </c>
      <c r="KX85" s="402">
        <f>IF(AND(306&gt;=$NR$85,306&lt;=$NS$85),IF($NP$85="Single_Point",IF(306=$NR$85,$NN$85,0),IF($NP$85="Bell_Curve",$NN$85*(306-$NR$85+1)*($NS$85-306+1)/$NU$85,$NN$85/$NT$85)),0)</f>
        <v/>
      </c>
      <c r="KY85" s="402">
        <f>IF(AND(307&gt;=$NR$85,307&lt;=$NS$85),IF($NP$85="Single_Point",IF(307=$NR$85,$NN$85,0),IF($NP$85="Bell_Curve",$NN$85*(307-$NR$85+1)*($NS$85-307+1)/$NU$85,$NN$85/$NT$85)),0)</f>
        <v/>
      </c>
      <c r="KZ85" s="402">
        <f>IF(AND(308&gt;=$NR$85,308&lt;=$NS$85),IF($NP$85="Single_Point",IF(308=$NR$85,$NN$85,0),IF($NP$85="Bell_Curve",$NN$85*(308-$NR$85+1)*($NS$85-308+1)/$NU$85,$NN$85/$NT$85)),0)</f>
        <v/>
      </c>
      <c r="LA85" s="402">
        <f>IF(AND(309&gt;=$NR$85,309&lt;=$NS$85),IF($NP$85="Single_Point",IF(309=$NR$85,$NN$85,0),IF($NP$85="Bell_Curve",$NN$85*(309-$NR$85+1)*($NS$85-309+1)/$NU$85,$NN$85/$NT$85)),0)</f>
        <v/>
      </c>
      <c r="LB85" s="402">
        <f>IF(AND(310&gt;=$NR$85,310&lt;=$NS$85),IF($NP$85="Single_Point",IF(310=$NR$85,$NN$85,0),IF($NP$85="Bell_Curve",$NN$85*(310-$NR$85+1)*($NS$85-310+1)/$NU$85,$NN$85/$NT$85)),0)</f>
        <v/>
      </c>
      <c r="LC85" s="402">
        <f>IF(AND(311&gt;=$NR$85,311&lt;=$NS$85),IF($NP$85="Single_Point",IF(311=$NR$85,$NN$85,0),IF($NP$85="Bell_Curve",$NN$85*(311-$NR$85+1)*($NS$85-311+1)/$NU$85,$NN$85/$NT$85)),0)</f>
        <v/>
      </c>
      <c r="LD85" s="402">
        <f>IF(AND(312&gt;=$NR$85,312&lt;=$NS$85),IF($NP$85="Single_Point",IF(312=$NR$85,$NN$85,0),IF($NP$85="Bell_Curve",$NN$85*(312-$NR$85+1)*($NS$85-312+1)/$NU$85,$NN$85/$NT$85)),0)</f>
        <v/>
      </c>
      <c r="LE85" s="402">
        <f>IF(AND(313&gt;=$NR$85,313&lt;=$NS$85),IF($NP$85="Single_Point",IF(313=$NR$85,$NN$85,0),IF($NP$85="Bell_Curve",$NN$85*(313-$NR$85+1)*($NS$85-313+1)/$NU$85,$NN$85/$NT$85)),0)</f>
        <v/>
      </c>
      <c r="LF85" s="402">
        <f>IF(AND(314&gt;=$NR$85,314&lt;=$NS$85),IF($NP$85="Single_Point",IF(314=$NR$85,$NN$85,0),IF($NP$85="Bell_Curve",$NN$85*(314-$NR$85+1)*($NS$85-314+1)/$NU$85,$NN$85/$NT$85)),0)</f>
        <v/>
      </c>
      <c r="LG85" s="402">
        <f>IF(AND(315&gt;=$NR$85,315&lt;=$NS$85),IF($NP$85="Single_Point",IF(315=$NR$85,$NN$85,0),IF($NP$85="Bell_Curve",$NN$85*(315-$NR$85+1)*($NS$85-315+1)/$NU$85,$NN$85/$NT$85)),0)</f>
        <v/>
      </c>
      <c r="LH85" s="402">
        <f>IF(AND(316&gt;=$NR$85,316&lt;=$NS$85),IF($NP$85="Single_Point",IF(316=$NR$85,$NN$85,0),IF($NP$85="Bell_Curve",$NN$85*(316-$NR$85+1)*($NS$85-316+1)/$NU$85,$NN$85/$NT$85)),0)</f>
        <v/>
      </c>
      <c r="LI85" s="402">
        <f>IF(AND(317&gt;=$NR$85,317&lt;=$NS$85),IF($NP$85="Single_Point",IF(317=$NR$85,$NN$85,0),IF($NP$85="Bell_Curve",$NN$85*(317-$NR$85+1)*($NS$85-317+1)/$NU$85,$NN$85/$NT$85)),0)</f>
        <v/>
      </c>
      <c r="LJ85" s="402">
        <f>IF(AND(318&gt;=$NR$85,318&lt;=$NS$85),IF($NP$85="Single_Point",IF(318=$NR$85,$NN$85,0),IF($NP$85="Bell_Curve",$NN$85*(318-$NR$85+1)*($NS$85-318+1)/$NU$85,$NN$85/$NT$85)),0)</f>
        <v/>
      </c>
      <c r="LK85" s="402">
        <f>IF(AND(319&gt;=$NR$85,319&lt;=$NS$85),IF($NP$85="Single_Point",IF(319=$NR$85,$NN$85,0),IF($NP$85="Bell_Curve",$NN$85*(319-$NR$85+1)*($NS$85-319+1)/$NU$85,$NN$85/$NT$85)),0)</f>
        <v/>
      </c>
      <c r="LL85" s="402">
        <f>IF(AND(320&gt;=$NR$85,320&lt;=$NS$85),IF($NP$85="Single_Point",IF(320=$NR$85,$NN$85,0),IF($NP$85="Bell_Curve",$NN$85*(320-$NR$85+1)*($NS$85-320+1)/$NU$85,$NN$85/$NT$85)),0)</f>
        <v/>
      </c>
      <c r="LM85" s="402">
        <f>IF(AND(321&gt;=$NR$85,321&lt;=$NS$85),IF($NP$85="Single_Point",IF(321=$NR$85,$NN$85,0),IF($NP$85="Bell_Curve",$NN$85*(321-$NR$85+1)*($NS$85-321+1)/$NU$85,$NN$85/$NT$85)),0)</f>
        <v/>
      </c>
      <c r="LN85" s="402">
        <f>IF(AND(322&gt;=$NR$85,322&lt;=$NS$85),IF($NP$85="Single_Point",IF(322=$NR$85,$NN$85,0),IF($NP$85="Bell_Curve",$NN$85*(322-$NR$85+1)*($NS$85-322+1)/$NU$85,$NN$85/$NT$85)),0)</f>
        <v/>
      </c>
      <c r="LO85" s="402">
        <f>IF(AND(323&gt;=$NR$85,323&lt;=$NS$85),IF($NP$85="Single_Point",IF(323=$NR$85,$NN$85,0),IF($NP$85="Bell_Curve",$NN$85*(323-$NR$85+1)*($NS$85-323+1)/$NU$85,$NN$85/$NT$85)),0)</f>
        <v/>
      </c>
      <c r="LP85" s="402">
        <f>IF(AND(324&gt;=$NR$85,324&lt;=$NS$85),IF($NP$85="Single_Point",IF(324=$NR$85,$NN$85,0),IF($NP$85="Bell_Curve",$NN$85*(324-$NR$85+1)*($NS$85-324+1)/$NU$85,$NN$85/$NT$85)),0)</f>
        <v/>
      </c>
      <c r="LQ85" s="402">
        <f>IF(AND(325&gt;=$NR$85,325&lt;=$NS$85),IF($NP$85="Single_Point",IF(325=$NR$85,$NN$85,0),IF($NP$85="Bell_Curve",$NN$85*(325-$NR$85+1)*($NS$85-325+1)/$NU$85,$NN$85/$NT$85)),0)</f>
        <v/>
      </c>
      <c r="LR85" s="402">
        <f>IF(AND(326&gt;=$NR$85,326&lt;=$NS$85),IF($NP$85="Single_Point",IF(326=$NR$85,$NN$85,0),IF($NP$85="Bell_Curve",$NN$85*(326-$NR$85+1)*($NS$85-326+1)/$NU$85,$NN$85/$NT$85)),0)</f>
        <v/>
      </c>
      <c r="LS85" s="402">
        <f>IF(AND(327&gt;=$NR$85,327&lt;=$NS$85),IF($NP$85="Single_Point",IF(327=$NR$85,$NN$85,0),IF($NP$85="Bell_Curve",$NN$85*(327-$NR$85+1)*($NS$85-327+1)/$NU$85,$NN$85/$NT$85)),0)</f>
        <v/>
      </c>
      <c r="LT85" s="402">
        <f>IF(AND(328&gt;=$NR$85,328&lt;=$NS$85),IF($NP$85="Single_Point",IF(328=$NR$85,$NN$85,0),IF($NP$85="Bell_Curve",$NN$85*(328-$NR$85+1)*($NS$85-328+1)/$NU$85,$NN$85/$NT$85)),0)</f>
        <v/>
      </c>
      <c r="LU85" s="402">
        <f>IF(AND(329&gt;=$NR$85,329&lt;=$NS$85),IF($NP$85="Single_Point",IF(329=$NR$85,$NN$85,0),IF($NP$85="Bell_Curve",$NN$85*(329-$NR$85+1)*($NS$85-329+1)/$NU$85,$NN$85/$NT$85)),0)</f>
        <v/>
      </c>
      <c r="LV85" s="402">
        <f>IF(AND(330&gt;=$NR$85,330&lt;=$NS$85),IF($NP$85="Single_Point",IF(330=$NR$85,$NN$85,0),IF($NP$85="Bell_Curve",$NN$85*(330-$NR$85+1)*($NS$85-330+1)/$NU$85,$NN$85/$NT$85)),0)</f>
        <v/>
      </c>
      <c r="LW85" s="402">
        <f>IF(AND(331&gt;=$NR$85,331&lt;=$NS$85),IF($NP$85="Single_Point",IF(331=$NR$85,$NN$85,0),IF($NP$85="Bell_Curve",$NN$85*(331-$NR$85+1)*($NS$85-331+1)/$NU$85,$NN$85/$NT$85)),0)</f>
        <v/>
      </c>
      <c r="LX85" s="402">
        <f>IF(AND(332&gt;=$NR$85,332&lt;=$NS$85),IF($NP$85="Single_Point",IF(332=$NR$85,$NN$85,0),IF($NP$85="Bell_Curve",$NN$85*(332-$NR$85+1)*($NS$85-332+1)/$NU$85,$NN$85/$NT$85)),0)</f>
        <v/>
      </c>
      <c r="LY85" s="402">
        <f>IF(AND(333&gt;=$NR$85,333&lt;=$NS$85),IF($NP$85="Single_Point",IF(333=$NR$85,$NN$85,0),IF($NP$85="Bell_Curve",$NN$85*(333-$NR$85+1)*($NS$85-333+1)/$NU$85,$NN$85/$NT$85)),0)</f>
        <v/>
      </c>
      <c r="LZ85" s="402">
        <f>IF(AND(334&gt;=$NR$85,334&lt;=$NS$85),IF($NP$85="Single_Point",IF(334=$NR$85,$NN$85,0),IF($NP$85="Bell_Curve",$NN$85*(334-$NR$85+1)*($NS$85-334+1)/$NU$85,$NN$85/$NT$85)),0)</f>
        <v/>
      </c>
      <c r="MA85" s="402">
        <f>IF(AND(335&gt;=$NR$85,335&lt;=$NS$85),IF($NP$85="Single_Point",IF(335=$NR$85,$NN$85,0),IF($NP$85="Bell_Curve",$NN$85*(335-$NR$85+1)*($NS$85-335+1)/$NU$85,$NN$85/$NT$85)),0)</f>
        <v/>
      </c>
      <c r="MB85" s="402">
        <f>IF(AND(336&gt;=$NR$85,336&lt;=$NS$85),IF($NP$85="Single_Point",IF(336=$NR$85,$NN$85,0),IF($NP$85="Bell_Curve",$NN$85*(336-$NR$85+1)*($NS$85-336+1)/$NU$85,$NN$85/$NT$85)),0)</f>
        <v/>
      </c>
      <c r="MC85" s="402">
        <f>IF(AND(337&gt;=$NR$85,337&lt;=$NS$85),IF($NP$85="Single_Point",IF(337=$NR$85,$NN$85,0),IF($NP$85="Bell_Curve",$NN$85*(337-$NR$85+1)*($NS$85-337+1)/$NU$85,$NN$85/$NT$85)),0)</f>
        <v/>
      </c>
      <c r="MD85" s="402">
        <f>IF(AND(338&gt;=$NR$85,338&lt;=$NS$85),IF($NP$85="Single_Point",IF(338=$NR$85,$NN$85,0),IF($NP$85="Bell_Curve",$NN$85*(338-$NR$85+1)*($NS$85-338+1)/$NU$85,$NN$85/$NT$85)),0)</f>
        <v/>
      </c>
      <c r="ME85" s="402">
        <f>IF(AND(339&gt;=$NR$85,339&lt;=$NS$85),IF($NP$85="Single_Point",IF(339=$NR$85,$NN$85,0),IF($NP$85="Bell_Curve",$NN$85*(339-$NR$85+1)*($NS$85-339+1)/$NU$85,$NN$85/$NT$85)),0)</f>
        <v/>
      </c>
      <c r="MF85" s="402">
        <f>IF(AND(340&gt;=$NR$85,340&lt;=$NS$85),IF($NP$85="Single_Point",IF(340=$NR$85,$NN$85,0),IF($NP$85="Bell_Curve",$NN$85*(340-$NR$85+1)*($NS$85-340+1)/$NU$85,$NN$85/$NT$85)),0)</f>
        <v/>
      </c>
      <c r="MG85" s="402">
        <f>IF(AND(341&gt;=$NR$85,341&lt;=$NS$85),IF($NP$85="Single_Point",IF(341=$NR$85,$NN$85,0),IF($NP$85="Bell_Curve",$NN$85*(341-$NR$85+1)*($NS$85-341+1)/$NU$85,$NN$85/$NT$85)),0)</f>
        <v/>
      </c>
      <c r="MH85" s="402">
        <f>IF(AND(342&gt;=$NR$85,342&lt;=$NS$85),IF($NP$85="Single_Point",IF(342=$NR$85,$NN$85,0),IF($NP$85="Bell_Curve",$NN$85*(342-$NR$85+1)*($NS$85-342+1)/$NU$85,$NN$85/$NT$85)),0)</f>
        <v/>
      </c>
      <c r="MI85" s="402">
        <f>IF(AND(343&gt;=$NR$85,343&lt;=$NS$85),IF($NP$85="Single_Point",IF(343=$NR$85,$NN$85,0),IF($NP$85="Bell_Curve",$NN$85*(343-$NR$85+1)*($NS$85-343+1)/$NU$85,$NN$85/$NT$85)),0)</f>
        <v/>
      </c>
      <c r="MJ85" s="402">
        <f>IF(AND(344&gt;=$NR$85,344&lt;=$NS$85),IF($NP$85="Single_Point",IF(344=$NR$85,$NN$85,0),IF($NP$85="Bell_Curve",$NN$85*(344-$NR$85+1)*($NS$85-344+1)/$NU$85,$NN$85/$NT$85)),0)</f>
        <v/>
      </c>
      <c r="MK85" s="402">
        <f>IF(AND(345&gt;=$NR$85,345&lt;=$NS$85),IF($NP$85="Single_Point",IF(345=$NR$85,$NN$85,0),IF($NP$85="Bell_Curve",$NN$85*(345-$NR$85+1)*($NS$85-345+1)/$NU$85,$NN$85/$NT$85)),0)</f>
        <v/>
      </c>
      <c r="ML85" s="402">
        <f>IF(AND(346&gt;=$NR$85,346&lt;=$NS$85),IF($NP$85="Single_Point",IF(346=$NR$85,$NN$85,0),IF($NP$85="Bell_Curve",$NN$85*(346-$NR$85+1)*($NS$85-346+1)/$NU$85,$NN$85/$NT$85)),0)</f>
        <v/>
      </c>
      <c r="MM85" s="402">
        <f>IF(AND(347&gt;=$NR$85,347&lt;=$NS$85),IF($NP$85="Single_Point",IF(347=$NR$85,$NN$85,0),IF($NP$85="Bell_Curve",$NN$85*(347-$NR$85+1)*($NS$85-347+1)/$NU$85,$NN$85/$NT$85)),0)</f>
        <v/>
      </c>
      <c r="MN85" s="402">
        <f>IF(AND(348&gt;=$NR$85,348&lt;=$NS$85),IF($NP$85="Single_Point",IF(348=$NR$85,$NN$85,0),IF($NP$85="Bell_Curve",$NN$85*(348-$NR$85+1)*($NS$85-348+1)/$NU$85,$NN$85/$NT$85)),0)</f>
        <v/>
      </c>
      <c r="MO85" s="402">
        <f>IF(AND(349&gt;=$NR$85,349&lt;=$NS$85),IF($NP$85="Single_Point",IF(349=$NR$85,$NN$85,0),IF($NP$85="Bell_Curve",$NN$85*(349-$NR$85+1)*($NS$85-349+1)/$NU$85,$NN$85/$NT$85)),0)</f>
        <v/>
      </c>
      <c r="MP85" s="402">
        <f>IF(AND(350&gt;=$NR$85,350&lt;=$NS$85),IF($NP$85="Single_Point",IF(350=$NR$85,$NN$85,0),IF($NP$85="Bell_Curve",$NN$85*(350-$NR$85+1)*($NS$85-350+1)/$NU$85,$NN$85/$NT$85)),0)</f>
        <v/>
      </c>
      <c r="MQ85" s="402">
        <f>IF(AND(351&gt;=$NR$85,351&lt;=$NS$85),IF($NP$85="Single_Point",IF(351=$NR$85,$NN$85,0),IF($NP$85="Bell_Curve",$NN$85*(351-$NR$85+1)*($NS$85-351+1)/$NU$85,$NN$85/$NT$85)),0)</f>
        <v/>
      </c>
      <c r="MR85" s="402">
        <f>IF(AND(352&gt;=$NR$85,352&lt;=$NS$85),IF($NP$85="Single_Point",IF(352=$NR$85,$NN$85,0),IF($NP$85="Bell_Curve",$NN$85*(352-$NR$85+1)*($NS$85-352+1)/$NU$85,$NN$85/$NT$85)),0)</f>
        <v/>
      </c>
      <c r="MS85" s="402">
        <f>IF(AND(353&gt;=$NR$85,353&lt;=$NS$85),IF($NP$85="Single_Point",IF(353=$NR$85,$NN$85,0),IF($NP$85="Bell_Curve",$NN$85*(353-$NR$85+1)*($NS$85-353+1)/$NU$85,$NN$85/$NT$85)),0)</f>
        <v/>
      </c>
      <c r="MT85" s="402">
        <f>IF(AND(354&gt;=$NR$85,354&lt;=$NS$85),IF($NP$85="Single_Point",IF(354=$NR$85,$NN$85,0),IF($NP$85="Bell_Curve",$NN$85*(354-$NR$85+1)*($NS$85-354+1)/$NU$85,$NN$85/$NT$85)),0)</f>
        <v/>
      </c>
      <c r="MU85" s="402">
        <f>IF(AND(355&gt;=$NR$85,355&lt;=$NS$85),IF($NP$85="Single_Point",IF(355=$NR$85,$NN$85,0),IF($NP$85="Bell_Curve",$NN$85*(355-$NR$85+1)*($NS$85-355+1)/$NU$85,$NN$85/$NT$85)),0)</f>
        <v/>
      </c>
      <c r="MV85" s="402">
        <f>IF(AND(356&gt;=$NR$85,356&lt;=$NS$85),IF($NP$85="Single_Point",IF(356=$NR$85,$NN$85,0),IF($NP$85="Bell_Curve",$NN$85*(356-$NR$85+1)*($NS$85-356+1)/$NU$85,$NN$85/$NT$85)),0)</f>
        <v/>
      </c>
      <c r="MW85" s="402">
        <f>IF(AND(357&gt;=$NR$85,357&lt;=$NS$85),IF($NP$85="Single_Point",IF(357=$NR$85,$NN$85,0),IF($NP$85="Bell_Curve",$NN$85*(357-$NR$85+1)*($NS$85-357+1)/$NU$85,$NN$85/$NT$85)),0)</f>
        <v/>
      </c>
      <c r="MX85" s="402">
        <f>IF(AND(358&gt;=$NR$85,358&lt;=$NS$85),IF($NP$85="Single_Point",IF(358=$NR$85,$NN$85,0),IF($NP$85="Bell_Curve",$NN$85*(358-$NR$85+1)*($NS$85-358+1)/$NU$85,$NN$85/$NT$85)),0)</f>
        <v/>
      </c>
      <c r="MY85" s="402">
        <f>IF(AND(359&gt;=$NR$85,359&lt;=$NS$85),IF($NP$85="Single_Point",IF(359=$NR$85,$NN$85,0),IF($NP$85="Bell_Curve",$NN$85*(359-$NR$85+1)*($NS$85-359+1)/$NU$85,$NN$85/$NT$85)),0)</f>
        <v/>
      </c>
      <c r="MZ85" s="402">
        <f>IF(AND(360&gt;=$NR$85,360&lt;=$NS$85),IF($NP$85="Single_Point",IF(360=$NR$85,$NN$85,0),IF($NP$85="Bell_Curve",$NN$85*(360-$NR$85+1)*($NS$85-360+1)/$NU$85,$NN$85/$NT$85)),0)</f>
        <v/>
      </c>
      <c r="NA85" s="402">
        <f>IF(AND(361&gt;=$NR$85,361&lt;=$NS$85),IF($NP$85="Single_Point",IF(361=$NR$85,$NN$85,0),IF($NP$85="Bell_Curve",$NN$85*(361-$NR$85+1)*($NS$85-361+1)/$NU$85,$NN$85/$NT$85)),0)</f>
        <v/>
      </c>
      <c r="NB85" s="402">
        <f>IF(AND(362&gt;=$NR$85,362&lt;=$NS$85),IF($NP$85="Single_Point",IF(362=$NR$85,$NN$85,0),IF($NP$85="Bell_Curve",$NN$85*(362-$NR$85+1)*($NS$85-362+1)/$NU$85,$NN$85/$NT$85)),0)</f>
        <v/>
      </c>
      <c r="NC85" s="402">
        <f>IF(AND(363&gt;=$NR$85,363&lt;=$NS$85),IF($NP$85="Single_Point",IF(363=$NR$85,$NN$85,0),IF($NP$85="Bell_Curve",$NN$85*(363-$NR$85+1)*($NS$85-363+1)/$NU$85,$NN$85/$NT$85)),0)</f>
        <v/>
      </c>
      <c r="ND85" s="402">
        <f>IF(AND(364&gt;=$NR$85,364&lt;=$NS$85),IF($NP$85="Single_Point",IF(364=$NR$85,$NN$85,0),IF($NP$85="Bell_Curve",$NN$85*(364-$NR$85+1)*($NS$85-364+1)/$NU$85,$NN$85/$NT$85)),0)</f>
        <v/>
      </c>
      <c r="NE85" s="402">
        <f>IF(AND(365&gt;=$NR$85,365&lt;=$NS$85),IF($NP$85="Single_Point",IF(365=$NR$85,$NN$85,0),IF($NP$85="Bell_Curve",$NN$85*(365-$NR$85+1)*($NS$85-365+1)/$NU$85,$NN$85/$NT$85)),0)</f>
        <v/>
      </c>
      <c r="NF85" s="402">
        <f>IF(AND(366&gt;=$NR$85,366&lt;=$NS$85),IF($NP$85="Single_Point",IF(366=$NR$85,$NN$85,0),IF($NP$85="Bell_Curve",$NN$85*(366-$NR$85+1)*($NS$85-366+1)/$NU$85,$NN$85/$NT$85)),0)</f>
        <v/>
      </c>
      <c r="NG85" s="402">
        <f>IF(AND(367&gt;=$NR$85,367&lt;=$NS$85),IF($NP$85="Single_Point",IF(367=$NR$85,$NN$85,0),IF($NP$85="Bell_Curve",$NN$85*(367-$NR$85+1)*($NS$85-367+1)/$NU$85,$NN$85/$NT$85)),0)</f>
        <v/>
      </c>
      <c r="NH85" s="402">
        <f>IF(AND(368&gt;=$NR$85,368&lt;=$NS$85),IF($NP$85="Single_Point",IF(368=$NR$85,$NN$85,0),IF($NP$85="Bell_Curve",$NN$85*(368-$NR$85+1)*($NS$85-368+1)/$NU$85,$NN$85/$NT$85)),0)</f>
        <v/>
      </c>
      <c r="NI85" s="402">
        <f>IF(AND(369&gt;=$NR$85,369&lt;=$NS$85),IF($NP$85="Single_Point",IF(369=$NR$85,$NN$85,0),IF($NP$85="Bell_Curve",$NN$85*(369-$NR$85+1)*($NS$85-369+1)/$NU$85,$NN$85/$NT$85)),0)</f>
        <v/>
      </c>
      <c r="NJ85" s="402">
        <f>IF(AND(370&gt;=$NR$85,370&lt;=$NS$85),IF($NP$85="Single_Point",IF(370=$NR$85,$NN$85,0),IF($NP$85="Bell_Curve",$NN$85*(370-$NR$85+1)*($NS$85-370+1)/$NU$85,$NN$85/$NT$85)),0)</f>
        <v/>
      </c>
      <c r="NK85" s="402">
        <f>IF(AND(371&gt;=$NR$85,371&lt;=$NS$85),IF($NP$85="Single_Point",IF(371=$NR$85,$NN$85,0),IF($NP$85="Bell_Curve",$NN$85*(371-$NR$85+1)*($NS$85-371+1)/$NU$85,$NN$85/$NT$85)),0)</f>
        <v/>
      </c>
      <c r="NL85" s="402">
        <f>IF(AND(372&gt;=$NR$85,372&lt;=$NS$85),IF($NP$85="Single_Point",IF(372=$NR$85,$NN$85,0),IF($NP$85="Bell_Curve",$NN$85*(372-$NR$85+1)*($NS$85-372+1)/$NU$85,$NN$85/$NT$85)),0)</f>
        <v/>
      </c>
      <c r="NM85">
        <f>Budget!C84</f>
        <v/>
      </c>
      <c r="NN85">
        <f>Budget!J84</f>
        <v/>
      </c>
      <c r="NO85">
        <f>Budget!G84</f>
        <v/>
      </c>
      <c r="NP85">
        <f>Budget!H84</f>
        <v/>
      </c>
      <c r="NQ85">
        <f>Budget!I84</f>
        <v/>
      </c>
      <c r="NR85">
        <f>MAX(1,MIN(372,INDEX(MilestoneStart,MATCH(NO85,MilestoneNames,0))+NQ85))</f>
        <v/>
      </c>
      <c r="NS85">
        <f>MAX(NR85,MIN(372,INDEX(MilestoneEnd,MATCH(NO85,MilestoneNames,0))+NQ85))</f>
        <v/>
      </c>
      <c r="NT85">
        <f>NS85-NR85+1</f>
        <v/>
      </c>
      <c r="NU85">
        <f>NT85*(NT85+1)*(NT85+2)/6</f>
        <v/>
      </c>
    </row>
    <row r="86">
      <c r="B86" s="316">
        <f>Budget!B85</f>
        <v/>
      </c>
      <c r="D86" s="402">
        <f>SUM(E86:NL86)</f>
        <v/>
      </c>
      <c r="E86" s="402">
        <f>IF(AND(1&gt;=$NR$86,1&lt;=$NS$86),IF($NP$86="Single_Point",IF(1=$NR$86,$NN$86,0),IF($NP$86="Bell_Curve",$NN$86*(1-$NR$86+1)*($NS$86-1+1)/$NU$86,$NN$86/$NT$86)),0)</f>
        <v/>
      </c>
      <c r="F86" s="402">
        <f>IF(AND(2&gt;=$NR$86,2&lt;=$NS$86),IF($NP$86="Single_Point",IF(2=$NR$86,$NN$86,0),IF($NP$86="Bell_Curve",$NN$86*(2-$NR$86+1)*($NS$86-2+1)/$NU$86,$NN$86/$NT$86)),0)</f>
        <v/>
      </c>
      <c r="G86" s="402">
        <f>IF(AND(3&gt;=$NR$86,3&lt;=$NS$86),IF($NP$86="Single_Point",IF(3=$NR$86,$NN$86,0),IF($NP$86="Bell_Curve",$NN$86*(3-$NR$86+1)*($NS$86-3+1)/$NU$86,$NN$86/$NT$86)),0)</f>
        <v/>
      </c>
      <c r="H86" s="402">
        <f>IF(AND(4&gt;=$NR$86,4&lt;=$NS$86),IF($NP$86="Single_Point",IF(4=$NR$86,$NN$86,0),IF($NP$86="Bell_Curve",$NN$86*(4-$NR$86+1)*($NS$86-4+1)/$NU$86,$NN$86/$NT$86)),0)</f>
        <v/>
      </c>
      <c r="I86" s="402">
        <f>IF(AND(5&gt;=$NR$86,5&lt;=$NS$86),IF($NP$86="Single_Point",IF(5=$NR$86,$NN$86,0),IF($NP$86="Bell_Curve",$NN$86*(5-$NR$86+1)*($NS$86-5+1)/$NU$86,$NN$86/$NT$86)),0)</f>
        <v/>
      </c>
      <c r="J86" s="402">
        <f>IF(AND(6&gt;=$NR$86,6&lt;=$NS$86),IF($NP$86="Single_Point",IF(6=$NR$86,$NN$86,0),IF($NP$86="Bell_Curve",$NN$86*(6-$NR$86+1)*($NS$86-6+1)/$NU$86,$NN$86/$NT$86)),0)</f>
        <v/>
      </c>
      <c r="K86" s="402">
        <f>IF(AND(7&gt;=$NR$86,7&lt;=$NS$86),IF($NP$86="Single_Point",IF(7=$NR$86,$NN$86,0),IF($NP$86="Bell_Curve",$NN$86*(7-$NR$86+1)*($NS$86-7+1)/$NU$86,$NN$86/$NT$86)),0)</f>
        <v/>
      </c>
      <c r="L86" s="402">
        <f>IF(AND(8&gt;=$NR$86,8&lt;=$NS$86),IF($NP$86="Single_Point",IF(8=$NR$86,$NN$86,0),IF($NP$86="Bell_Curve",$NN$86*(8-$NR$86+1)*($NS$86-8+1)/$NU$86,$NN$86/$NT$86)),0)</f>
        <v/>
      </c>
      <c r="M86" s="402">
        <f>IF(AND(9&gt;=$NR$86,9&lt;=$NS$86),IF($NP$86="Single_Point",IF(9=$NR$86,$NN$86,0),IF($NP$86="Bell_Curve",$NN$86*(9-$NR$86+1)*($NS$86-9+1)/$NU$86,$NN$86/$NT$86)),0)</f>
        <v/>
      </c>
      <c r="N86" s="402">
        <f>IF(AND(10&gt;=$NR$86,10&lt;=$NS$86),IF($NP$86="Single_Point",IF(10=$NR$86,$NN$86,0),IF($NP$86="Bell_Curve",$NN$86*(10-$NR$86+1)*($NS$86-10+1)/$NU$86,$NN$86/$NT$86)),0)</f>
        <v/>
      </c>
      <c r="O86" s="402">
        <f>IF(AND(11&gt;=$NR$86,11&lt;=$NS$86),IF($NP$86="Single_Point",IF(11=$NR$86,$NN$86,0),IF($NP$86="Bell_Curve",$NN$86*(11-$NR$86+1)*($NS$86-11+1)/$NU$86,$NN$86/$NT$86)),0)</f>
        <v/>
      </c>
      <c r="P86" s="402">
        <f>IF(AND(12&gt;=$NR$86,12&lt;=$NS$86),IF($NP$86="Single_Point",IF(12=$NR$86,$NN$86,0),IF($NP$86="Bell_Curve",$NN$86*(12-$NR$86+1)*($NS$86-12+1)/$NU$86,$NN$86/$NT$86)),0)</f>
        <v/>
      </c>
      <c r="Q86" s="402">
        <f>IF(AND(13&gt;=$NR$86,13&lt;=$NS$86),IF($NP$86="Single_Point",IF(13=$NR$86,$NN$86,0),IF($NP$86="Bell_Curve",$NN$86*(13-$NR$86+1)*($NS$86-13+1)/$NU$86,$NN$86/$NT$86)),0)</f>
        <v/>
      </c>
      <c r="R86" s="402">
        <f>IF(AND(14&gt;=$NR$86,14&lt;=$NS$86),IF($NP$86="Single_Point",IF(14=$NR$86,$NN$86,0),IF($NP$86="Bell_Curve",$NN$86*(14-$NR$86+1)*($NS$86-14+1)/$NU$86,$NN$86/$NT$86)),0)</f>
        <v/>
      </c>
      <c r="S86" s="402">
        <f>IF(AND(15&gt;=$NR$86,15&lt;=$NS$86),IF($NP$86="Single_Point",IF(15=$NR$86,$NN$86,0),IF($NP$86="Bell_Curve",$NN$86*(15-$NR$86+1)*($NS$86-15+1)/$NU$86,$NN$86/$NT$86)),0)</f>
        <v/>
      </c>
      <c r="T86" s="402">
        <f>IF(AND(16&gt;=$NR$86,16&lt;=$NS$86),IF($NP$86="Single_Point",IF(16=$NR$86,$NN$86,0),IF($NP$86="Bell_Curve",$NN$86*(16-$NR$86+1)*($NS$86-16+1)/$NU$86,$NN$86/$NT$86)),0)</f>
        <v/>
      </c>
      <c r="U86" s="402">
        <f>IF(AND(17&gt;=$NR$86,17&lt;=$NS$86),IF($NP$86="Single_Point",IF(17=$NR$86,$NN$86,0),IF($NP$86="Bell_Curve",$NN$86*(17-$NR$86+1)*($NS$86-17+1)/$NU$86,$NN$86/$NT$86)),0)</f>
        <v/>
      </c>
      <c r="V86" s="402">
        <f>IF(AND(18&gt;=$NR$86,18&lt;=$NS$86),IF($NP$86="Single_Point",IF(18=$NR$86,$NN$86,0),IF($NP$86="Bell_Curve",$NN$86*(18-$NR$86+1)*($NS$86-18+1)/$NU$86,$NN$86/$NT$86)),0)</f>
        <v/>
      </c>
      <c r="W86" s="402">
        <f>IF(AND(19&gt;=$NR$86,19&lt;=$NS$86),IF($NP$86="Single_Point",IF(19=$NR$86,$NN$86,0),IF($NP$86="Bell_Curve",$NN$86*(19-$NR$86+1)*($NS$86-19+1)/$NU$86,$NN$86/$NT$86)),0)</f>
        <v/>
      </c>
      <c r="X86" s="402">
        <f>IF(AND(20&gt;=$NR$86,20&lt;=$NS$86),IF($NP$86="Single_Point",IF(20=$NR$86,$NN$86,0),IF($NP$86="Bell_Curve",$NN$86*(20-$NR$86+1)*($NS$86-20+1)/$NU$86,$NN$86/$NT$86)),0)</f>
        <v/>
      </c>
      <c r="Y86" s="402">
        <f>IF(AND(21&gt;=$NR$86,21&lt;=$NS$86),IF($NP$86="Single_Point",IF(21=$NR$86,$NN$86,0),IF($NP$86="Bell_Curve",$NN$86*(21-$NR$86+1)*($NS$86-21+1)/$NU$86,$NN$86/$NT$86)),0)</f>
        <v/>
      </c>
      <c r="Z86" s="402">
        <f>IF(AND(22&gt;=$NR$86,22&lt;=$NS$86),IF($NP$86="Single_Point",IF(22=$NR$86,$NN$86,0),IF($NP$86="Bell_Curve",$NN$86*(22-$NR$86+1)*($NS$86-22+1)/$NU$86,$NN$86/$NT$86)),0)</f>
        <v/>
      </c>
      <c r="AA86" s="402">
        <f>IF(AND(23&gt;=$NR$86,23&lt;=$NS$86),IF($NP$86="Single_Point",IF(23=$NR$86,$NN$86,0),IF($NP$86="Bell_Curve",$NN$86*(23-$NR$86+1)*($NS$86-23+1)/$NU$86,$NN$86/$NT$86)),0)</f>
        <v/>
      </c>
      <c r="AB86" s="402">
        <f>IF(AND(24&gt;=$NR$86,24&lt;=$NS$86),IF($NP$86="Single_Point",IF(24=$NR$86,$NN$86,0),IF($NP$86="Bell_Curve",$NN$86*(24-$NR$86+1)*($NS$86-24+1)/$NU$86,$NN$86/$NT$86)),0)</f>
        <v/>
      </c>
      <c r="AC86" s="402">
        <f>IF(AND(25&gt;=$NR$86,25&lt;=$NS$86),IF($NP$86="Single_Point",IF(25=$NR$86,$NN$86,0),IF($NP$86="Bell_Curve",$NN$86*(25-$NR$86+1)*($NS$86-25+1)/$NU$86,$NN$86/$NT$86)),0)</f>
        <v/>
      </c>
      <c r="AD86" s="402">
        <f>IF(AND(26&gt;=$NR$86,26&lt;=$NS$86),IF($NP$86="Single_Point",IF(26=$NR$86,$NN$86,0),IF($NP$86="Bell_Curve",$NN$86*(26-$NR$86+1)*($NS$86-26+1)/$NU$86,$NN$86/$NT$86)),0)</f>
        <v/>
      </c>
      <c r="AE86" s="402">
        <f>IF(AND(27&gt;=$NR$86,27&lt;=$NS$86),IF($NP$86="Single_Point",IF(27=$NR$86,$NN$86,0),IF($NP$86="Bell_Curve",$NN$86*(27-$NR$86+1)*($NS$86-27+1)/$NU$86,$NN$86/$NT$86)),0)</f>
        <v/>
      </c>
      <c r="AF86" s="402">
        <f>IF(AND(28&gt;=$NR$86,28&lt;=$NS$86),IF($NP$86="Single_Point",IF(28=$NR$86,$NN$86,0),IF($NP$86="Bell_Curve",$NN$86*(28-$NR$86+1)*($NS$86-28+1)/$NU$86,$NN$86/$NT$86)),0)</f>
        <v/>
      </c>
      <c r="AG86" s="402">
        <f>IF(AND(29&gt;=$NR$86,29&lt;=$NS$86),IF($NP$86="Single_Point",IF(29=$NR$86,$NN$86,0),IF($NP$86="Bell_Curve",$NN$86*(29-$NR$86+1)*($NS$86-29+1)/$NU$86,$NN$86/$NT$86)),0)</f>
        <v/>
      </c>
      <c r="AH86" s="402">
        <f>IF(AND(30&gt;=$NR$86,30&lt;=$NS$86),IF($NP$86="Single_Point",IF(30=$NR$86,$NN$86,0),IF($NP$86="Bell_Curve",$NN$86*(30-$NR$86+1)*($NS$86-30+1)/$NU$86,$NN$86/$NT$86)),0)</f>
        <v/>
      </c>
      <c r="AI86" s="402">
        <f>IF(AND(31&gt;=$NR$86,31&lt;=$NS$86),IF($NP$86="Single_Point",IF(31=$NR$86,$NN$86,0),IF($NP$86="Bell_Curve",$NN$86*(31-$NR$86+1)*($NS$86-31+1)/$NU$86,$NN$86/$NT$86)),0)</f>
        <v/>
      </c>
      <c r="AJ86" s="402">
        <f>IF(AND(32&gt;=$NR$86,32&lt;=$NS$86),IF($NP$86="Single_Point",IF(32=$NR$86,$NN$86,0),IF($NP$86="Bell_Curve",$NN$86*(32-$NR$86+1)*($NS$86-32+1)/$NU$86,$NN$86/$NT$86)),0)</f>
        <v/>
      </c>
      <c r="AK86" s="402">
        <f>IF(AND(33&gt;=$NR$86,33&lt;=$NS$86),IF($NP$86="Single_Point",IF(33=$NR$86,$NN$86,0),IF($NP$86="Bell_Curve",$NN$86*(33-$NR$86+1)*($NS$86-33+1)/$NU$86,$NN$86/$NT$86)),0)</f>
        <v/>
      </c>
      <c r="AL86" s="402">
        <f>IF(AND(34&gt;=$NR$86,34&lt;=$NS$86),IF($NP$86="Single_Point",IF(34=$NR$86,$NN$86,0),IF($NP$86="Bell_Curve",$NN$86*(34-$NR$86+1)*($NS$86-34+1)/$NU$86,$NN$86/$NT$86)),0)</f>
        <v/>
      </c>
      <c r="AM86" s="402">
        <f>IF(AND(35&gt;=$NR$86,35&lt;=$NS$86),IF($NP$86="Single_Point",IF(35=$NR$86,$NN$86,0),IF($NP$86="Bell_Curve",$NN$86*(35-$NR$86+1)*($NS$86-35+1)/$NU$86,$NN$86/$NT$86)),0)</f>
        <v/>
      </c>
      <c r="AN86" s="402">
        <f>IF(AND(36&gt;=$NR$86,36&lt;=$NS$86),IF($NP$86="Single_Point",IF(36=$NR$86,$NN$86,0),IF($NP$86="Bell_Curve",$NN$86*(36-$NR$86+1)*($NS$86-36+1)/$NU$86,$NN$86/$NT$86)),0)</f>
        <v/>
      </c>
      <c r="AO86" s="402">
        <f>IF(AND(37&gt;=$NR$86,37&lt;=$NS$86),IF($NP$86="Single_Point",IF(37=$NR$86,$NN$86,0),IF($NP$86="Bell_Curve",$NN$86*(37-$NR$86+1)*($NS$86-37+1)/$NU$86,$NN$86/$NT$86)),0)</f>
        <v/>
      </c>
      <c r="AP86" s="402">
        <f>IF(AND(38&gt;=$NR$86,38&lt;=$NS$86),IF($NP$86="Single_Point",IF(38=$NR$86,$NN$86,0),IF($NP$86="Bell_Curve",$NN$86*(38-$NR$86+1)*($NS$86-38+1)/$NU$86,$NN$86/$NT$86)),0)</f>
        <v/>
      </c>
      <c r="AQ86" s="402">
        <f>IF(AND(39&gt;=$NR$86,39&lt;=$NS$86),IF($NP$86="Single_Point",IF(39=$NR$86,$NN$86,0),IF($NP$86="Bell_Curve",$NN$86*(39-$NR$86+1)*($NS$86-39+1)/$NU$86,$NN$86/$NT$86)),0)</f>
        <v/>
      </c>
      <c r="AR86" s="402">
        <f>IF(AND(40&gt;=$NR$86,40&lt;=$NS$86),IF($NP$86="Single_Point",IF(40=$NR$86,$NN$86,0),IF($NP$86="Bell_Curve",$NN$86*(40-$NR$86+1)*($NS$86-40+1)/$NU$86,$NN$86/$NT$86)),0)</f>
        <v/>
      </c>
      <c r="AS86" s="402">
        <f>IF(AND(41&gt;=$NR$86,41&lt;=$NS$86),IF($NP$86="Single_Point",IF(41=$NR$86,$NN$86,0),IF($NP$86="Bell_Curve",$NN$86*(41-$NR$86+1)*($NS$86-41+1)/$NU$86,$NN$86/$NT$86)),0)</f>
        <v/>
      </c>
      <c r="AT86" s="402">
        <f>IF(AND(42&gt;=$NR$86,42&lt;=$NS$86),IF($NP$86="Single_Point",IF(42=$NR$86,$NN$86,0),IF($NP$86="Bell_Curve",$NN$86*(42-$NR$86+1)*($NS$86-42+1)/$NU$86,$NN$86/$NT$86)),0)</f>
        <v/>
      </c>
      <c r="AU86" s="402">
        <f>IF(AND(43&gt;=$NR$86,43&lt;=$NS$86),IF($NP$86="Single_Point",IF(43=$NR$86,$NN$86,0),IF($NP$86="Bell_Curve",$NN$86*(43-$NR$86+1)*($NS$86-43+1)/$NU$86,$NN$86/$NT$86)),0)</f>
        <v/>
      </c>
      <c r="AV86" s="402">
        <f>IF(AND(44&gt;=$NR$86,44&lt;=$NS$86),IF($NP$86="Single_Point",IF(44=$NR$86,$NN$86,0),IF($NP$86="Bell_Curve",$NN$86*(44-$NR$86+1)*($NS$86-44+1)/$NU$86,$NN$86/$NT$86)),0)</f>
        <v/>
      </c>
      <c r="AW86" s="402">
        <f>IF(AND(45&gt;=$NR$86,45&lt;=$NS$86),IF($NP$86="Single_Point",IF(45=$NR$86,$NN$86,0),IF($NP$86="Bell_Curve",$NN$86*(45-$NR$86+1)*($NS$86-45+1)/$NU$86,$NN$86/$NT$86)),0)</f>
        <v/>
      </c>
      <c r="AX86" s="402">
        <f>IF(AND(46&gt;=$NR$86,46&lt;=$NS$86),IF($NP$86="Single_Point",IF(46=$NR$86,$NN$86,0),IF($NP$86="Bell_Curve",$NN$86*(46-$NR$86+1)*($NS$86-46+1)/$NU$86,$NN$86/$NT$86)),0)</f>
        <v/>
      </c>
      <c r="AY86" s="402">
        <f>IF(AND(47&gt;=$NR$86,47&lt;=$NS$86),IF($NP$86="Single_Point",IF(47=$NR$86,$NN$86,0),IF($NP$86="Bell_Curve",$NN$86*(47-$NR$86+1)*($NS$86-47+1)/$NU$86,$NN$86/$NT$86)),0)</f>
        <v/>
      </c>
      <c r="AZ86" s="402">
        <f>IF(AND(48&gt;=$NR$86,48&lt;=$NS$86),IF($NP$86="Single_Point",IF(48=$NR$86,$NN$86,0),IF($NP$86="Bell_Curve",$NN$86*(48-$NR$86+1)*($NS$86-48+1)/$NU$86,$NN$86/$NT$86)),0)</f>
        <v/>
      </c>
      <c r="BA86" s="402">
        <f>IF(AND(49&gt;=$NR$86,49&lt;=$NS$86),IF($NP$86="Single_Point",IF(49=$NR$86,$NN$86,0),IF($NP$86="Bell_Curve",$NN$86*(49-$NR$86+1)*($NS$86-49+1)/$NU$86,$NN$86/$NT$86)),0)</f>
        <v/>
      </c>
      <c r="BB86" s="402">
        <f>IF(AND(50&gt;=$NR$86,50&lt;=$NS$86),IF($NP$86="Single_Point",IF(50=$NR$86,$NN$86,0),IF($NP$86="Bell_Curve",$NN$86*(50-$NR$86+1)*($NS$86-50+1)/$NU$86,$NN$86/$NT$86)),0)</f>
        <v/>
      </c>
      <c r="BC86" s="402">
        <f>IF(AND(51&gt;=$NR$86,51&lt;=$NS$86),IF($NP$86="Single_Point",IF(51=$NR$86,$NN$86,0),IF($NP$86="Bell_Curve",$NN$86*(51-$NR$86+1)*($NS$86-51+1)/$NU$86,$NN$86/$NT$86)),0)</f>
        <v/>
      </c>
      <c r="BD86" s="402">
        <f>IF(AND(52&gt;=$NR$86,52&lt;=$NS$86),IF($NP$86="Single_Point",IF(52=$NR$86,$NN$86,0),IF($NP$86="Bell_Curve",$NN$86*(52-$NR$86+1)*($NS$86-52+1)/$NU$86,$NN$86/$NT$86)),0)</f>
        <v/>
      </c>
      <c r="BE86" s="402">
        <f>IF(AND(53&gt;=$NR$86,53&lt;=$NS$86),IF($NP$86="Single_Point",IF(53=$NR$86,$NN$86,0),IF($NP$86="Bell_Curve",$NN$86*(53-$NR$86+1)*($NS$86-53+1)/$NU$86,$NN$86/$NT$86)),0)</f>
        <v/>
      </c>
      <c r="BF86" s="402">
        <f>IF(AND(54&gt;=$NR$86,54&lt;=$NS$86),IF($NP$86="Single_Point",IF(54=$NR$86,$NN$86,0),IF($NP$86="Bell_Curve",$NN$86*(54-$NR$86+1)*($NS$86-54+1)/$NU$86,$NN$86/$NT$86)),0)</f>
        <v/>
      </c>
      <c r="BG86" s="402">
        <f>IF(AND(55&gt;=$NR$86,55&lt;=$NS$86),IF($NP$86="Single_Point",IF(55=$NR$86,$NN$86,0),IF($NP$86="Bell_Curve",$NN$86*(55-$NR$86+1)*($NS$86-55+1)/$NU$86,$NN$86/$NT$86)),0)</f>
        <v/>
      </c>
      <c r="BH86" s="402">
        <f>IF(AND(56&gt;=$NR$86,56&lt;=$NS$86),IF($NP$86="Single_Point",IF(56=$NR$86,$NN$86,0),IF($NP$86="Bell_Curve",$NN$86*(56-$NR$86+1)*($NS$86-56+1)/$NU$86,$NN$86/$NT$86)),0)</f>
        <v/>
      </c>
      <c r="BI86" s="402">
        <f>IF(AND(57&gt;=$NR$86,57&lt;=$NS$86),IF($NP$86="Single_Point",IF(57=$NR$86,$NN$86,0),IF($NP$86="Bell_Curve",$NN$86*(57-$NR$86+1)*($NS$86-57+1)/$NU$86,$NN$86/$NT$86)),0)</f>
        <v/>
      </c>
      <c r="BJ86" s="402">
        <f>IF(AND(58&gt;=$NR$86,58&lt;=$NS$86),IF($NP$86="Single_Point",IF(58=$NR$86,$NN$86,0),IF($NP$86="Bell_Curve",$NN$86*(58-$NR$86+1)*($NS$86-58+1)/$NU$86,$NN$86/$NT$86)),0)</f>
        <v/>
      </c>
      <c r="BK86" s="402">
        <f>IF(AND(59&gt;=$NR$86,59&lt;=$NS$86),IF($NP$86="Single_Point",IF(59=$NR$86,$NN$86,0),IF($NP$86="Bell_Curve",$NN$86*(59-$NR$86+1)*($NS$86-59+1)/$NU$86,$NN$86/$NT$86)),0)</f>
        <v/>
      </c>
      <c r="BL86" s="402">
        <f>IF(AND(60&gt;=$NR$86,60&lt;=$NS$86),IF($NP$86="Single_Point",IF(60=$NR$86,$NN$86,0),IF($NP$86="Bell_Curve",$NN$86*(60-$NR$86+1)*($NS$86-60+1)/$NU$86,$NN$86/$NT$86)),0)</f>
        <v/>
      </c>
      <c r="BM86" s="402">
        <f>IF(AND(61&gt;=$NR$86,61&lt;=$NS$86),IF($NP$86="Single_Point",IF(61=$NR$86,$NN$86,0),IF($NP$86="Bell_Curve",$NN$86*(61-$NR$86+1)*($NS$86-61+1)/$NU$86,$NN$86/$NT$86)),0)</f>
        <v/>
      </c>
      <c r="BN86" s="402">
        <f>IF(AND(62&gt;=$NR$86,62&lt;=$NS$86),IF($NP$86="Single_Point",IF(62=$NR$86,$NN$86,0),IF($NP$86="Bell_Curve",$NN$86*(62-$NR$86+1)*($NS$86-62+1)/$NU$86,$NN$86/$NT$86)),0)</f>
        <v/>
      </c>
      <c r="BO86" s="402">
        <f>IF(AND(63&gt;=$NR$86,63&lt;=$NS$86),IF($NP$86="Single_Point",IF(63=$NR$86,$NN$86,0),IF($NP$86="Bell_Curve",$NN$86*(63-$NR$86+1)*($NS$86-63+1)/$NU$86,$NN$86/$NT$86)),0)</f>
        <v/>
      </c>
      <c r="BP86" s="402">
        <f>IF(AND(64&gt;=$NR$86,64&lt;=$NS$86),IF($NP$86="Single_Point",IF(64=$NR$86,$NN$86,0),IF($NP$86="Bell_Curve",$NN$86*(64-$NR$86+1)*($NS$86-64+1)/$NU$86,$NN$86/$NT$86)),0)</f>
        <v/>
      </c>
      <c r="BQ86" s="402">
        <f>IF(AND(65&gt;=$NR$86,65&lt;=$NS$86),IF($NP$86="Single_Point",IF(65=$NR$86,$NN$86,0),IF($NP$86="Bell_Curve",$NN$86*(65-$NR$86+1)*($NS$86-65+1)/$NU$86,$NN$86/$NT$86)),0)</f>
        <v/>
      </c>
      <c r="BR86" s="402">
        <f>IF(AND(66&gt;=$NR$86,66&lt;=$NS$86),IF($NP$86="Single_Point",IF(66=$NR$86,$NN$86,0),IF($NP$86="Bell_Curve",$NN$86*(66-$NR$86+1)*($NS$86-66+1)/$NU$86,$NN$86/$NT$86)),0)</f>
        <v/>
      </c>
      <c r="BS86" s="402">
        <f>IF(AND(67&gt;=$NR$86,67&lt;=$NS$86),IF($NP$86="Single_Point",IF(67=$NR$86,$NN$86,0),IF($NP$86="Bell_Curve",$NN$86*(67-$NR$86+1)*($NS$86-67+1)/$NU$86,$NN$86/$NT$86)),0)</f>
        <v/>
      </c>
      <c r="BT86" s="402">
        <f>IF(AND(68&gt;=$NR$86,68&lt;=$NS$86),IF($NP$86="Single_Point",IF(68=$NR$86,$NN$86,0),IF($NP$86="Bell_Curve",$NN$86*(68-$NR$86+1)*($NS$86-68+1)/$NU$86,$NN$86/$NT$86)),0)</f>
        <v/>
      </c>
      <c r="BU86" s="402">
        <f>IF(AND(69&gt;=$NR$86,69&lt;=$NS$86),IF($NP$86="Single_Point",IF(69=$NR$86,$NN$86,0),IF($NP$86="Bell_Curve",$NN$86*(69-$NR$86+1)*($NS$86-69+1)/$NU$86,$NN$86/$NT$86)),0)</f>
        <v/>
      </c>
      <c r="BV86" s="402">
        <f>IF(AND(70&gt;=$NR$86,70&lt;=$NS$86),IF($NP$86="Single_Point",IF(70=$NR$86,$NN$86,0),IF($NP$86="Bell_Curve",$NN$86*(70-$NR$86+1)*($NS$86-70+1)/$NU$86,$NN$86/$NT$86)),0)</f>
        <v/>
      </c>
      <c r="BW86" s="402">
        <f>IF(AND(71&gt;=$NR$86,71&lt;=$NS$86),IF($NP$86="Single_Point",IF(71=$NR$86,$NN$86,0),IF($NP$86="Bell_Curve",$NN$86*(71-$NR$86+1)*($NS$86-71+1)/$NU$86,$NN$86/$NT$86)),0)</f>
        <v/>
      </c>
      <c r="BX86" s="402">
        <f>IF(AND(72&gt;=$NR$86,72&lt;=$NS$86),IF($NP$86="Single_Point",IF(72=$NR$86,$NN$86,0),IF($NP$86="Bell_Curve",$NN$86*(72-$NR$86+1)*($NS$86-72+1)/$NU$86,$NN$86/$NT$86)),0)</f>
        <v/>
      </c>
      <c r="BY86" s="402">
        <f>IF(AND(73&gt;=$NR$86,73&lt;=$NS$86),IF($NP$86="Single_Point",IF(73=$NR$86,$NN$86,0),IF($NP$86="Bell_Curve",$NN$86*(73-$NR$86+1)*($NS$86-73+1)/$NU$86,$NN$86/$NT$86)),0)</f>
        <v/>
      </c>
      <c r="BZ86" s="402">
        <f>IF(AND(74&gt;=$NR$86,74&lt;=$NS$86),IF($NP$86="Single_Point",IF(74=$NR$86,$NN$86,0),IF($NP$86="Bell_Curve",$NN$86*(74-$NR$86+1)*($NS$86-74+1)/$NU$86,$NN$86/$NT$86)),0)</f>
        <v/>
      </c>
      <c r="CA86" s="402">
        <f>IF(AND(75&gt;=$NR$86,75&lt;=$NS$86),IF($NP$86="Single_Point",IF(75=$NR$86,$NN$86,0),IF($NP$86="Bell_Curve",$NN$86*(75-$NR$86+1)*($NS$86-75+1)/$NU$86,$NN$86/$NT$86)),0)</f>
        <v/>
      </c>
      <c r="CB86" s="402">
        <f>IF(AND(76&gt;=$NR$86,76&lt;=$NS$86),IF($NP$86="Single_Point",IF(76=$NR$86,$NN$86,0),IF($NP$86="Bell_Curve",$NN$86*(76-$NR$86+1)*($NS$86-76+1)/$NU$86,$NN$86/$NT$86)),0)</f>
        <v/>
      </c>
      <c r="CC86" s="402">
        <f>IF(AND(77&gt;=$NR$86,77&lt;=$NS$86),IF($NP$86="Single_Point",IF(77=$NR$86,$NN$86,0),IF($NP$86="Bell_Curve",$NN$86*(77-$NR$86+1)*($NS$86-77+1)/$NU$86,$NN$86/$NT$86)),0)</f>
        <v/>
      </c>
      <c r="CD86" s="402">
        <f>IF(AND(78&gt;=$NR$86,78&lt;=$NS$86),IF($NP$86="Single_Point",IF(78=$NR$86,$NN$86,0),IF($NP$86="Bell_Curve",$NN$86*(78-$NR$86+1)*($NS$86-78+1)/$NU$86,$NN$86/$NT$86)),0)</f>
        <v/>
      </c>
      <c r="CE86" s="402">
        <f>IF(AND(79&gt;=$NR$86,79&lt;=$NS$86),IF($NP$86="Single_Point",IF(79=$NR$86,$NN$86,0),IF($NP$86="Bell_Curve",$NN$86*(79-$NR$86+1)*($NS$86-79+1)/$NU$86,$NN$86/$NT$86)),0)</f>
        <v/>
      </c>
      <c r="CF86" s="402">
        <f>IF(AND(80&gt;=$NR$86,80&lt;=$NS$86),IF($NP$86="Single_Point",IF(80=$NR$86,$NN$86,0),IF($NP$86="Bell_Curve",$NN$86*(80-$NR$86+1)*($NS$86-80+1)/$NU$86,$NN$86/$NT$86)),0)</f>
        <v/>
      </c>
      <c r="CG86" s="402">
        <f>IF(AND(81&gt;=$NR$86,81&lt;=$NS$86),IF($NP$86="Single_Point",IF(81=$NR$86,$NN$86,0),IF($NP$86="Bell_Curve",$NN$86*(81-$NR$86+1)*($NS$86-81+1)/$NU$86,$NN$86/$NT$86)),0)</f>
        <v/>
      </c>
      <c r="CH86" s="402">
        <f>IF(AND(82&gt;=$NR$86,82&lt;=$NS$86),IF($NP$86="Single_Point",IF(82=$NR$86,$NN$86,0),IF($NP$86="Bell_Curve",$NN$86*(82-$NR$86+1)*($NS$86-82+1)/$NU$86,$NN$86/$NT$86)),0)</f>
        <v/>
      </c>
      <c r="CI86" s="402">
        <f>IF(AND(83&gt;=$NR$86,83&lt;=$NS$86),IF($NP$86="Single_Point",IF(83=$NR$86,$NN$86,0),IF($NP$86="Bell_Curve",$NN$86*(83-$NR$86+1)*($NS$86-83+1)/$NU$86,$NN$86/$NT$86)),0)</f>
        <v/>
      </c>
      <c r="CJ86" s="402">
        <f>IF(AND(84&gt;=$NR$86,84&lt;=$NS$86),IF($NP$86="Single_Point",IF(84=$NR$86,$NN$86,0),IF($NP$86="Bell_Curve",$NN$86*(84-$NR$86+1)*($NS$86-84+1)/$NU$86,$NN$86/$NT$86)),0)</f>
        <v/>
      </c>
      <c r="CK86" s="402">
        <f>IF(AND(85&gt;=$NR$86,85&lt;=$NS$86),IF($NP$86="Single_Point",IF(85=$NR$86,$NN$86,0),IF($NP$86="Bell_Curve",$NN$86*(85-$NR$86+1)*($NS$86-85+1)/$NU$86,$NN$86/$NT$86)),0)</f>
        <v/>
      </c>
      <c r="CL86" s="402">
        <f>IF(AND(86&gt;=$NR$86,86&lt;=$NS$86),IF($NP$86="Single_Point",IF(86=$NR$86,$NN$86,0),IF($NP$86="Bell_Curve",$NN$86*(86-$NR$86+1)*($NS$86-86+1)/$NU$86,$NN$86/$NT$86)),0)</f>
        <v/>
      </c>
      <c r="CM86" s="402">
        <f>IF(AND(87&gt;=$NR$86,87&lt;=$NS$86),IF($NP$86="Single_Point",IF(87=$NR$86,$NN$86,0),IF($NP$86="Bell_Curve",$NN$86*(87-$NR$86+1)*($NS$86-87+1)/$NU$86,$NN$86/$NT$86)),0)</f>
        <v/>
      </c>
      <c r="CN86" s="402">
        <f>IF(AND(88&gt;=$NR$86,88&lt;=$NS$86),IF($NP$86="Single_Point",IF(88=$NR$86,$NN$86,0),IF($NP$86="Bell_Curve",$NN$86*(88-$NR$86+1)*($NS$86-88+1)/$NU$86,$NN$86/$NT$86)),0)</f>
        <v/>
      </c>
      <c r="CO86" s="402">
        <f>IF(AND(89&gt;=$NR$86,89&lt;=$NS$86),IF($NP$86="Single_Point",IF(89=$NR$86,$NN$86,0),IF($NP$86="Bell_Curve",$NN$86*(89-$NR$86+1)*($NS$86-89+1)/$NU$86,$NN$86/$NT$86)),0)</f>
        <v/>
      </c>
      <c r="CP86" s="402">
        <f>IF(AND(90&gt;=$NR$86,90&lt;=$NS$86),IF($NP$86="Single_Point",IF(90=$NR$86,$NN$86,0),IF($NP$86="Bell_Curve",$NN$86*(90-$NR$86+1)*($NS$86-90+1)/$NU$86,$NN$86/$NT$86)),0)</f>
        <v/>
      </c>
      <c r="CQ86" s="402">
        <f>IF(AND(91&gt;=$NR$86,91&lt;=$NS$86),IF($NP$86="Single_Point",IF(91=$NR$86,$NN$86,0),IF($NP$86="Bell_Curve",$NN$86*(91-$NR$86+1)*($NS$86-91+1)/$NU$86,$NN$86/$NT$86)),0)</f>
        <v/>
      </c>
      <c r="CR86" s="402">
        <f>IF(AND(92&gt;=$NR$86,92&lt;=$NS$86),IF($NP$86="Single_Point",IF(92=$NR$86,$NN$86,0),IF($NP$86="Bell_Curve",$NN$86*(92-$NR$86+1)*($NS$86-92+1)/$NU$86,$NN$86/$NT$86)),0)</f>
        <v/>
      </c>
      <c r="CS86" s="402">
        <f>IF(AND(93&gt;=$NR$86,93&lt;=$NS$86),IF($NP$86="Single_Point",IF(93=$NR$86,$NN$86,0),IF($NP$86="Bell_Curve",$NN$86*(93-$NR$86+1)*($NS$86-93+1)/$NU$86,$NN$86/$NT$86)),0)</f>
        <v/>
      </c>
      <c r="CT86" s="402">
        <f>IF(AND(94&gt;=$NR$86,94&lt;=$NS$86),IF($NP$86="Single_Point",IF(94=$NR$86,$NN$86,0),IF($NP$86="Bell_Curve",$NN$86*(94-$NR$86+1)*($NS$86-94+1)/$NU$86,$NN$86/$NT$86)),0)</f>
        <v/>
      </c>
      <c r="CU86" s="402">
        <f>IF(AND(95&gt;=$NR$86,95&lt;=$NS$86),IF($NP$86="Single_Point",IF(95=$NR$86,$NN$86,0),IF($NP$86="Bell_Curve",$NN$86*(95-$NR$86+1)*($NS$86-95+1)/$NU$86,$NN$86/$NT$86)),0)</f>
        <v/>
      </c>
      <c r="CV86" s="402">
        <f>IF(AND(96&gt;=$NR$86,96&lt;=$NS$86),IF($NP$86="Single_Point",IF(96=$NR$86,$NN$86,0),IF($NP$86="Bell_Curve",$NN$86*(96-$NR$86+1)*($NS$86-96+1)/$NU$86,$NN$86/$NT$86)),0)</f>
        <v/>
      </c>
      <c r="CW86" s="402">
        <f>IF(AND(97&gt;=$NR$86,97&lt;=$NS$86),IF($NP$86="Single_Point",IF(97=$NR$86,$NN$86,0),IF($NP$86="Bell_Curve",$NN$86*(97-$NR$86+1)*($NS$86-97+1)/$NU$86,$NN$86/$NT$86)),0)</f>
        <v/>
      </c>
      <c r="CX86" s="402">
        <f>IF(AND(98&gt;=$NR$86,98&lt;=$NS$86),IF($NP$86="Single_Point",IF(98=$NR$86,$NN$86,0),IF($NP$86="Bell_Curve",$NN$86*(98-$NR$86+1)*($NS$86-98+1)/$NU$86,$NN$86/$NT$86)),0)</f>
        <v/>
      </c>
      <c r="CY86" s="402">
        <f>IF(AND(99&gt;=$NR$86,99&lt;=$NS$86),IF($NP$86="Single_Point",IF(99=$NR$86,$NN$86,0),IF($NP$86="Bell_Curve",$NN$86*(99-$NR$86+1)*($NS$86-99+1)/$NU$86,$NN$86/$NT$86)),0)</f>
        <v/>
      </c>
      <c r="CZ86" s="402">
        <f>IF(AND(100&gt;=$NR$86,100&lt;=$NS$86),IF($NP$86="Single_Point",IF(100=$NR$86,$NN$86,0),IF($NP$86="Bell_Curve",$NN$86*(100-$NR$86+1)*($NS$86-100+1)/$NU$86,$NN$86/$NT$86)),0)</f>
        <v/>
      </c>
      <c r="DA86" s="402">
        <f>IF(AND(101&gt;=$NR$86,101&lt;=$NS$86),IF($NP$86="Single_Point",IF(101=$NR$86,$NN$86,0),IF($NP$86="Bell_Curve",$NN$86*(101-$NR$86+1)*($NS$86-101+1)/$NU$86,$NN$86/$NT$86)),0)</f>
        <v/>
      </c>
      <c r="DB86" s="402">
        <f>IF(AND(102&gt;=$NR$86,102&lt;=$NS$86),IF($NP$86="Single_Point",IF(102=$NR$86,$NN$86,0),IF($NP$86="Bell_Curve",$NN$86*(102-$NR$86+1)*($NS$86-102+1)/$NU$86,$NN$86/$NT$86)),0)</f>
        <v/>
      </c>
      <c r="DC86" s="402">
        <f>IF(AND(103&gt;=$NR$86,103&lt;=$NS$86),IF($NP$86="Single_Point",IF(103=$NR$86,$NN$86,0),IF($NP$86="Bell_Curve",$NN$86*(103-$NR$86+1)*($NS$86-103+1)/$NU$86,$NN$86/$NT$86)),0)</f>
        <v/>
      </c>
      <c r="DD86" s="402">
        <f>IF(AND(104&gt;=$NR$86,104&lt;=$NS$86),IF($NP$86="Single_Point",IF(104=$NR$86,$NN$86,0),IF($NP$86="Bell_Curve",$NN$86*(104-$NR$86+1)*($NS$86-104+1)/$NU$86,$NN$86/$NT$86)),0)</f>
        <v/>
      </c>
      <c r="DE86" s="402">
        <f>IF(AND(105&gt;=$NR$86,105&lt;=$NS$86),IF($NP$86="Single_Point",IF(105=$NR$86,$NN$86,0),IF($NP$86="Bell_Curve",$NN$86*(105-$NR$86+1)*($NS$86-105+1)/$NU$86,$NN$86/$NT$86)),0)</f>
        <v/>
      </c>
      <c r="DF86" s="402">
        <f>IF(AND(106&gt;=$NR$86,106&lt;=$NS$86),IF($NP$86="Single_Point",IF(106=$NR$86,$NN$86,0),IF($NP$86="Bell_Curve",$NN$86*(106-$NR$86+1)*($NS$86-106+1)/$NU$86,$NN$86/$NT$86)),0)</f>
        <v/>
      </c>
      <c r="DG86" s="402">
        <f>IF(AND(107&gt;=$NR$86,107&lt;=$NS$86),IF($NP$86="Single_Point",IF(107=$NR$86,$NN$86,0),IF($NP$86="Bell_Curve",$NN$86*(107-$NR$86+1)*($NS$86-107+1)/$NU$86,$NN$86/$NT$86)),0)</f>
        <v/>
      </c>
      <c r="DH86" s="402">
        <f>IF(AND(108&gt;=$NR$86,108&lt;=$NS$86),IF($NP$86="Single_Point",IF(108=$NR$86,$NN$86,0),IF($NP$86="Bell_Curve",$NN$86*(108-$NR$86+1)*($NS$86-108+1)/$NU$86,$NN$86/$NT$86)),0)</f>
        <v/>
      </c>
      <c r="DI86" s="402">
        <f>IF(AND(109&gt;=$NR$86,109&lt;=$NS$86),IF($NP$86="Single_Point",IF(109=$NR$86,$NN$86,0),IF($NP$86="Bell_Curve",$NN$86*(109-$NR$86+1)*($NS$86-109+1)/$NU$86,$NN$86/$NT$86)),0)</f>
        <v/>
      </c>
      <c r="DJ86" s="402">
        <f>IF(AND(110&gt;=$NR$86,110&lt;=$NS$86),IF($NP$86="Single_Point",IF(110=$NR$86,$NN$86,0),IF($NP$86="Bell_Curve",$NN$86*(110-$NR$86+1)*($NS$86-110+1)/$NU$86,$NN$86/$NT$86)),0)</f>
        <v/>
      </c>
      <c r="DK86" s="402">
        <f>IF(AND(111&gt;=$NR$86,111&lt;=$NS$86),IF($NP$86="Single_Point",IF(111=$NR$86,$NN$86,0),IF($NP$86="Bell_Curve",$NN$86*(111-$NR$86+1)*($NS$86-111+1)/$NU$86,$NN$86/$NT$86)),0)</f>
        <v/>
      </c>
      <c r="DL86" s="402">
        <f>IF(AND(112&gt;=$NR$86,112&lt;=$NS$86),IF($NP$86="Single_Point",IF(112=$NR$86,$NN$86,0),IF($NP$86="Bell_Curve",$NN$86*(112-$NR$86+1)*($NS$86-112+1)/$NU$86,$NN$86/$NT$86)),0)</f>
        <v/>
      </c>
      <c r="DM86" s="402">
        <f>IF(AND(113&gt;=$NR$86,113&lt;=$NS$86),IF($NP$86="Single_Point",IF(113=$NR$86,$NN$86,0),IF($NP$86="Bell_Curve",$NN$86*(113-$NR$86+1)*($NS$86-113+1)/$NU$86,$NN$86/$NT$86)),0)</f>
        <v/>
      </c>
      <c r="DN86" s="402">
        <f>IF(AND(114&gt;=$NR$86,114&lt;=$NS$86),IF($NP$86="Single_Point",IF(114=$NR$86,$NN$86,0),IF($NP$86="Bell_Curve",$NN$86*(114-$NR$86+1)*($NS$86-114+1)/$NU$86,$NN$86/$NT$86)),0)</f>
        <v/>
      </c>
      <c r="DO86" s="402">
        <f>IF(AND(115&gt;=$NR$86,115&lt;=$NS$86),IF($NP$86="Single_Point",IF(115=$NR$86,$NN$86,0),IF($NP$86="Bell_Curve",$NN$86*(115-$NR$86+1)*($NS$86-115+1)/$NU$86,$NN$86/$NT$86)),0)</f>
        <v/>
      </c>
      <c r="DP86" s="402">
        <f>IF(AND(116&gt;=$NR$86,116&lt;=$NS$86),IF($NP$86="Single_Point",IF(116=$NR$86,$NN$86,0),IF($NP$86="Bell_Curve",$NN$86*(116-$NR$86+1)*($NS$86-116+1)/$NU$86,$NN$86/$NT$86)),0)</f>
        <v/>
      </c>
      <c r="DQ86" s="402">
        <f>IF(AND(117&gt;=$NR$86,117&lt;=$NS$86),IF($NP$86="Single_Point",IF(117=$NR$86,$NN$86,0),IF($NP$86="Bell_Curve",$NN$86*(117-$NR$86+1)*($NS$86-117+1)/$NU$86,$NN$86/$NT$86)),0)</f>
        <v/>
      </c>
      <c r="DR86" s="402">
        <f>IF(AND(118&gt;=$NR$86,118&lt;=$NS$86),IF($NP$86="Single_Point",IF(118=$NR$86,$NN$86,0),IF($NP$86="Bell_Curve",$NN$86*(118-$NR$86+1)*($NS$86-118+1)/$NU$86,$NN$86/$NT$86)),0)</f>
        <v/>
      </c>
      <c r="DS86" s="402">
        <f>IF(AND(119&gt;=$NR$86,119&lt;=$NS$86),IF($NP$86="Single_Point",IF(119=$NR$86,$NN$86,0),IF($NP$86="Bell_Curve",$NN$86*(119-$NR$86+1)*($NS$86-119+1)/$NU$86,$NN$86/$NT$86)),0)</f>
        <v/>
      </c>
      <c r="DT86" s="402">
        <f>IF(AND(120&gt;=$NR$86,120&lt;=$NS$86),IF($NP$86="Single_Point",IF(120=$NR$86,$NN$86,0),IF($NP$86="Bell_Curve",$NN$86*(120-$NR$86+1)*($NS$86-120+1)/$NU$86,$NN$86/$NT$86)),0)</f>
        <v/>
      </c>
      <c r="DU86" s="402">
        <f>IF(AND(121&gt;=$NR$86,121&lt;=$NS$86),IF($NP$86="Single_Point",IF(121=$NR$86,$NN$86,0),IF($NP$86="Bell_Curve",$NN$86*(121-$NR$86+1)*($NS$86-121+1)/$NU$86,$NN$86/$NT$86)),0)</f>
        <v/>
      </c>
      <c r="DV86" s="402">
        <f>IF(AND(122&gt;=$NR$86,122&lt;=$NS$86),IF($NP$86="Single_Point",IF(122=$NR$86,$NN$86,0),IF($NP$86="Bell_Curve",$NN$86*(122-$NR$86+1)*($NS$86-122+1)/$NU$86,$NN$86/$NT$86)),0)</f>
        <v/>
      </c>
      <c r="DW86" s="402">
        <f>IF(AND(123&gt;=$NR$86,123&lt;=$NS$86),IF($NP$86="Single_Point",IF(123=$NR$86,$NN$86,0),IF($NP$86="Bell_Curve",$NN$86*(123-$NR$86+1)*($NS$86-123+1)/$NU$86,$NN$86/$NT$86)),0)</f>
        <v/>
      </c>
      <c r="DX86" s="402">
        <f>IF(AND(124&gt;=$NR$86,124&lt;=$NS$86),IF($NP$86="Single_Point",IF(124=$NR$86,$NN$86,0),IF($NP$86="Bell_Curve",$NN$86*(124-$NR$86+1)*($NS$86-124+1)/$NU$86,$NN$86/$NT$86)),0)</f>
        <v/>
      </c>
      <c r="DY86" s="402">
        <f>IF(AND(125&gt;=$NR$86,125&lt;=$NS$86),IF($NP$86="Single_Point",IF(125=$NR$86,$NN$86,0),IF($NP$86="Bell_Curve",$NN$86*(125-$NR$86+1)*($NS$86-125+1)/$NU$86,$NN$86/$NT$86)),0)</f>
        <v/>
      </c>
      <c r="DZ86" s="402">
        <f>IF(AND(126&gt;=$NR$86,126&lt;=$NS$86),IF($NP$86="Single_Point",IF(126=$NR$86,$NN$86,0),IF($NP$86="Bell_Curve",$NN$86*(126-$NR$86+1)*($NS$86-126+1)/$NU$86,$NN$86/$NT$86)),0)</f>
        <v/>
      </c>
      <c r="EA86" s="402">
        <f>IF(AND(127&gt;=$NR$86,127&lt;=$NS$86),IF($NP$86="Single_Point",IF(127=$NR$86,$NN$86,0),IF($NP$86="Bell_Curve",$NN$86*(127-$NR$86+1)*($NS$86-127+1)/$NU$86,$NN$86/$NT$86)),0)</f>
        <v/>
      </c>
      <c r="EB86" s="402">
        <f>IF(AND(128&gt;=$NR$86,128&lt;=$NS$86),IF($NP$86="Single_Point",IF(128=$NR$86,$NN$86,0),IF($NP$86="Bell_Curve",$NN$86*(128-$NR$86+1)*($NS$86-128+1)/$NU$86,$NN$86/$NT$86)),0)</f>
        <v/>
      </c>
      <c r="EC86" s="402">
        <f>IF(AND(129&gt;=$NR$86,129&lt;=$NS$86),IF($NP$86="Single_Point",IF(129=$NR$86,$NN$86,0),IF($NP$86="Bell_Curve",$NN$86*(129-$NR$86+1)*($NS$86-129+1)/$NU$86,$NN$86/$NT$86)),0)</f>
        <v/>
      </c>
      <c r="ED86" s="402">
        <f>IF(AND(130&gt;=$NR$86,130&lt;=$NS$86),IF($NP$86="Single_Point",IF(130=$NR$86,$NN$86,0),IF($NP$86="Bell_Curve",$NN$86*(130-$NR$86+1)*($NS$86-130+1)/$NU$86,$NN$86/$NT$86)),0)</f>
        <v/>
      </c>
      <c r="EE86" s="402">
        <f>IF(AND(131&gt;=$NR$86,131&lt;=$NS$86),IF($NP$86="Single_Point",IF(131=$NR$86,$NN$86,0),IF($NP$86="Bell_Curve",$NN$86*(131-$NR$86+1)*($NS$86-131+1)/$NU$86,$NN$86/$NT$86)),0)</f>
        <v/>
      </c>
      <c r="EF86" s="402">
        <f>IF(AND(132&gt;=$NR$86,132&lt;=$NS$86),IF($NP$86="Single_Point",IF(132=$NR$86,$NN$86,0),IF($NP$86="Bell_Curve",$NN$86*(132-$NR$86+1)*($NS$86-132+1)/$NU$86,$NN$86/$NT$86)),0)</f>
        <v/>
      </c>
      <c r="EG86" s="402">
        <f>IF(AND(133&gt;=$NR$86,133&lt;=$NS$86),IF($NP$86="Single_Point",IF(133=$NR$86,$NN$86,0),IF($NP$86="Bell_Curve",$NN$86*(133-$NR$86+1)*($NS$86-133+1)/$NU$86,$NN$86/$NT$86)),0)</f>
        <v/>
      </c>
      <c r="EH86" s="402">
        <f>IF(AND(134&gt;=$NR$86,134&lt;=$NS$86),IF($NP$86="Single_Point",IF(134=$NR$86,$NN$86,0),IF($NP$86="Bell_Curve",$NN$86*(134-$NR$86+1)*($NS$86-134+1)/$NU$86,$NN$86/$NT$86)),0)</f>
        <v/>
      </c>
      <c r="EI86" s="402">
        <f>IF(AND(135&gt;=$NR$86,135&lt;=$NS$86),IF($NP$86="Single_Point",IF(135=$NR$86,$NN$86,0),IF($NP$86="Bell_Curve",$NN$86*(135-$NR$86+1)*($NS$86-135+1)/$NU$86,$NN$86/$NT$86)),0)</f>
        <v/>
      </c>
      <c r="EJ86" s="402">
        <f>IF(AND(136&gt;=$NR$86,136&lt;=$NS$86),IF($NP$86="Single_Point",IF(136=$NR$86,$NN$86,0),IF($NP$86="Bell_Curve",$NN$86*(136-$NR$86+1)*($NS$86-136+1)/$NU$86,$NN$86/$NT$86)),0)</f>
        <v/>
      </c>
      <c r="EK86" s="402">
        <f>IF(AND(137&gt;=$NR$86,137&lt;=$NS$86),IF($NP$86="Single_Point",IF(137=$NR$86,$NN$86,0),IF($NP$86="Bell_Curve",$NN$86*(137-$NR$86+1)*($NS$86-137+1)/$NU$86,$NN$86/$NT$86)),0)</f>
        <v/>
      </c>
      <c r="EL86" s="402">
        <f>IF(AND(138&gt;=$NR$86,138&lt;=$NS$86),IF($NP$86="Single_Point",IF(138=$NR$86,$NN$86,0),IF($NP$86="Bell_Curve",$NN$86*(138-$NR$86+1)*($NS$86-138+1)/$NU$86,$NN$86/$NT$86)),0)</f>
        <v/>
      </c>
      <c r="EM86" s="402">
        <f>IF(AND(139&gt;=$NR$86,139&lt;=$NS$86),IF($NP$86="Single_Point",IF(139=$NR$86,$NN$86,0),IF($NP$86="Bell_Curve",$NN$86*(139-$NR$86+1)*($NS$86-139+1)/$NU$86,$NN$86/$NT$86)),0)</f>
        <v/>
      </c>
      <c r="EN86" s="402">
        <f>IF(AND(140&gt;=$NR$86,140&lt;=$NS$86),IF($NP$86="Single_Point",IF(140=$NR$86,$NN$86,0),IF($NP$86="Bell_Curve",$NN$86*(140-$NR$86+1)*($NS$86-140+1)/$NU$86,$NN$86/$NT$86)),0)</f>
        <v/>
      </c>
      <c r="EO86" s="402">
        <f>IF(AND(141&gt;=$NR$86,141&lt;=$NS$86),IF($NP$86="Single_Point",IF(141=$NR$86,$NN$86,0),IF($NP$86="Bell_Curve",$NN$86*(141-$NR$86+1)*($NS$86-141+1)/$NU$86,$NN$86/$NT$86)),0)</f>
        <v/>
      </c>
      <c r="EP86" s="402">
        <f>IF(AND(142&gt;=$NR$86,142&lt;=$NS$86),IF($NP$86="Single_Point",IF(142=$NR$86,$NN$86,0),IF($NP$86="Bell_Curve",$NN$86*(142-$NR$86+1)*($NS$86-142+1)/$NU$86,$NN$86/$NT$86)),0)</f>
        <v/>
      </c>
      <c r="EQ86" s="402">
        <f>IF(AND(143&gt;=$NR$86,143&lt;=$NS$86),IF($NP$86="Single_Point",IF(143=$NR$86,$NN$86,0),IF($NP$86="Bell_Curve",$NN$86*(143-$NR$86+1)*($NS$86-143+1)/$NU$86,$NN$86/$NT$86)),0)</f>
        <v/>
      </c>
      <c r="ER86" s="402">
        <f>IF(AND(144&gt;=$NR$86,144&lt;=$NS$86),IF($NP$86="Single_Point",IF(144=$NR$86,$NN$86,0),IF($NP$86="Bell_Curve",$NN$86*(144-$NR$86+1)*($NS$86-144+1)/$NU$86,$NN$86/$NT$86)),0)</f>
        <v/>
      </c>
      <c r="ES86" s="402">
        <f>IF(AND(145&gt;=$NR$86,145&lt;=$NS$86),IF($NP$86="Single_Point",IF(145=$NR$86,$NN$86,0),IF($NP$86="Bell_Curve",$NN$86*(145-$NR$86+1)*($NS$86-145+1)/$NU$86,$NN$86/$NT$86)),0)</f>
        <v/>
      </c>
      <c r="ET86" s="402">
        <f>IF(AND(146&gt;=$NR$86,146&lt;=$NS$86),IF($NP$86="Single_Point",IF(146=$NR$86,$NN$86,0),IF($NP$86="Bell_Curve",$NN$86*(146-$NR$86+1)*($NS$86-146+1)/$NU$86,$NN$86/$NT$86)),0)</f>
        <v/>
      </c>
      <c r="EU86" s="402">
        <f>IF(AND(147&gt;=$NR$86,147&lt;=$NS$86),IF($NP$86="Single_Point",IF(147=$NR$86,$NN$86,0),IF($NP$86="Bell_Curve",$NN$86*(147-$NR$86+1)*($NS$86-147+1)/$NU$86,$NN$86/$NT$86)),0)</f>
        <v/>
      </c>
      <c r="EV86" s="402">
        <f>IF(AND(148&gt;=$NR$86,148&lt;=$NS$86),IF($NP$86="Single_Point",IF(148=$NR$86,$NN$86,0),IF($NP$86="Bell_Curve",$NN$86*(148-$NR$86+1)*($NS$86-148+1)/$NU$86,$NN$86/$NT$86)),0)</f>
        <v/>
      </c>
      <c r="EW86" s="402">
        <f>IF(AND(149&gt;=$NR$86,149&lt;=$NS$86),IF($NP$86="Single_Point",IF(149=$NR$86,$NN$86,0),IF($NP$86="Bell_Curve",$NN$86*(149-$NR$86+1)*($NS$86-149+1)/$NU$86,$NN$86/$NT$86)),0)</f>
        <v/>
      </c>
      <c r="EX86" s="402">
        <f>IF(AND(150&gt;=$NR$86,150&lt;=$NS$86),IF($NP$86="Single_Point",IF(150=$NR$86,$NN$86,0),IF($NP$86="Bell_Curve",$NN$86*(150-$NR$86+1)*($NS$86-150+1)/$NU$86,$NN$86/$NT$86)),0)</f>
        <v/>
      </c>
      <c r="EY86" s="402">
        <f>IF(AND(151&gt;=$NR$86,151&lt;=$NS$86),IF($NP$86="Single_Point",IF(151=$NR$86,$NN$86,0),IF($NP$86="Bell_Curve",$NN$86*(151-$NR$86+1)*($NS$86-151+1)/$NU$86,$NN$86/$NT$86)),0)</f>
        <v/>
      </c>
      <c r="EZ86" s="402">
        <f>IF(AND(152&gt;=$NR$86,152&lt;=$NS$86),IF($NP$86="Single_Point",IF(152=$NR$86,$NN$86,0),IF($NP$86="Bell_Curve",$NN$86*(152-$NR$86+1)*($NS$86-152+1)/$NU$86,$NN$86/$NT$86)),0)</f>
        <v/>
      </c>
      <c r="FA86" s="402">
        <f>IF(AND(153&gt;=$NR$86,153&lt;=$NS$86),IF($NP$86="Single_Point",IF(153=$NR$86,$NN$86,0),IF($NP$86="Bell_Curve",$NN$86*(153-$NR$86+1)*($NS$86-153+1)/$NU$86,$NN$86/$NT$86)),0)</f>
        <v/>
      </c>
      <c r="FB86" s="402">
        <f>IF(AND(154&gt;=$NR$86,154&lt;=$NS$86),IF($NP$86="Single_Point",IF(154=$NR$86,$NN$86,0),IF($NP$86="Bell_Curve",$NN$86*(154-$NR$86+1)*($NS$86-154+1)/$NU$86,$NN$86/$NT$86)),0)</f>
        <v/>
      </c>
      <c r="FC86" s="402">
        <f>IF(AND(155&gt;=$NR$86,155&lt;=$NS$86),IF($NP$86="Single_Point",IF(155=$NR$86,$NN$86,0),IF($NP$86="Bell_Curve",$NN$86*(155-$NR$86+1)*($NS$86-155+1)/$NU$86,$NN$86/$NT$86)),0)</f>
        <v/>
      </c>
      <c r="FD86" s="402">
        <f>IF(AND(156&gt;=$NR$86,156&lt;=$NS$86),IF($NP$86="Single_Point",IF(156=$NR$86,$NN$86,0),IF($NP$86="Bell_Curve",$NN$86*(156-$NR$86+1)*($NS$86-156+1)/$NU$86,$NN$86/$NT$86)),0)</f>
        <v/>
      </c>
      <c r="FE86" s="402">
        <f>IF(AND(157&gt;=$NR$86,157&lt;=$NS$86),IF($NP$86="Single_Point",IF(157=$NR$86,$NN$86,0),IF($NP$86="Bell_Curve",$NN$86*(157-$NR$86+1)*($NS$86-157+1)/$NU$86,$NN$86/$NT$86)),0)</f>
        <v/>
      </c>
      <c r="FF86" s="402">
        <f>IF(AND(158&gt;=$NR$86,158&lt;=$NS$86),IF($NP$86="Single_Point",IF(158=$NR$86,$NN$86,0),IF($NP$86="Bell_Curve",$NN$86*(158-$NR$86+1)*($NS$86-158+1)/$NU$86,$NN$86/$NT$86)),0)</f>
        <v/>
      </c>
      <c r="FG86" s="402">
        <f>IF(AND(159&gt;=$NR$86,159&lt;=$NS$86),IF($NP$86="Single_Point",IF(159=$NR$86,$NN$86,0),IF($NP$86="Bell_Curve",$NN$86*(159-$NR$86+1)*($NS$86-159+1)/$NU$86,$NN$86/$NT$86)),0)</f>
        <v/>
      </c>
      <c r="FH86" s="402">
        <f>IF(AND(160&gt;=$NR$86,160&lt;=$NS$86),IF($NP$86="Single_Point",IF(160=$NR$86,$NN$86,0),IF($NP$86="Bell_Curve",$NN$86*(160-$NR$86+1)*($NS$86-160+1)/$NU$86,$NN$86/$NT$86)),0)</f>
        <v/>
      </c>
      <c r="FI86" s="402">
        <f>IF(AND(161&gt;=$NR$86,161&lt;=$NS$86),IF($NP$86="Single_Point",IF(161=$NR$86,$NN$86,0),IF($NP$86="Bell_Curve",$NN$86*(161-$NR$86+1)*($NS$86-161+1)/$NU$86,$NN$86/$NT$86)),0)</f>
        <v/>
      </c>
      <c r="FJ86" s="402">
        <f>IF(AND(162&gt;=$NR$86,162&lt;=$NS$86),IF($NP$86="Single_Point",IF(162=$NR$86,$NN$86,0),IF($NP$86="Bell_Curve",$NN$86*(162-$NR$86+1)*($NS$86-162+1)/$NU$86,$NN$86/$NT$86)),0)</f>
        <v/>
      </c>
      <c r="FK86" s="402">
        <f>IF(AND(163&gt;=$NR$86,163&lt;=$NS$86),IF($NP$86="Single_Point",IF(163=$NR$86,$NN$86,0),IF($NP$86="Bell_Curve",$NN$86*(163-$NR$86+1)*($NS$86-163+1)/$NU$86,$NN$86/$NT$86)),0)</f>
        <v/>
      </c>
      <c r="FL86" s="402">
        <f>IF(AND(164&gt;=$NR$86,164&lt;=$NS$86),IF($NP$86="Single_Point",IF(164=$NR$86,$NN$86,0),IF($NP$86="Bell_Curve",$NN$86*(164-$NR$86+1)*($NS$86-164+1)/$NU$86,$NN$86/$NT$86)),0)</f>
        <v/>
      </c>
      <c r="FM86" s="402">
        <f>IF(AND(165&gt;=$NR$86,165&lt;=$NS$86),IF($NP$86="Single_Point",IF(165=$NR$86,$NN$86,0),IF($NP$86="Bell_Curve",$NN$86*(165-$NR$86+1)*($NS$86-165+1)/$NU$86,$NN$86/$NT$86)),0)</f>
        <v/>
      </c>
      <c r="FN86" s="402">
        <f>IF(AND(166&gt;=$NR$86,166&lt;=$NS$86),IF($NP$86="Single_Point",IF(166=$NR$86,$NN$86,0),IF($NP$86="Bell_Curve",$NN$86*(166-$NR$86+1)*($NS$86-166+1)/$NU$86,$NN$86/$NT$86)),0)</f>
        <v/>
      </c>
      <c r="FO86" s="402">
        <f>IF(AND(167&gt;=$NR$86,167&lt;=$NS$86),IF($NP$86="Single_Point",IF(167=$NR$86,$NN$86,0),IF($NP$86="Bell_Curve",$NN$86*(167-$NR$86+1)*($NS$86-167+1)/$NU$86,$NN$86/$NT$86)),0)</f>
        <v/>
      </c>
      <c r="FP86" s="402">
        <f>IF(AND(168&gt;=$NR$86,168&lt;=$NS$86),IF($NP$86="Single_Point",IF(168=$NR$86,$NN$86,0),IF($NP$86="Bell_Curve",$NN$86*(168-$NR$86+1)*($NS$86-168+1)/$NU$86,$NN$86/$NT$86)),0)</f>
        <v/>
      </c>
      <c r="FQ86" s="402">
        <f>IF(AND(169&gt;=$NR$86,169&lt;=$NS$86),IF($NP$86="Single_Point",IF(169=$NR$86,$NN$86,0),IF($NP$86="Bell_Curve",$NN$86*(169-$NR$86+1)*($NS$86-169+1)/$NU$86,$NN$86/$NT$86)),0)</f>
        <v/>
      </c>
      <c r="FR86" s="402">
        <f>IF(AND(170&gt;=$NR$86,170&lt;=$NS$86),IF($NP$86="Single_Point",IF(170=$NR$86,$NN$86,0),IF($NP$86="Bell_Curve",$NN$86*(170-$NR$86+1)*($NS$86-170+1)/$NU$86,$NN$86/$NT$86)),0)</f>
        <v/>
      </c>
      <c r="FS86" s="402">
        <f>IF(AND(171&gt;=$NR$86,171&lt;=$NS$86),IF($NP$86="Single_Point",IF(171=$NR$86,$NN$86,0),IF($NP$86="Bell_Curve",$NN$86*(171-$NR$86+1)*($NS$86-171+1)/$NU$86,$NN$86/$NT$86)),0)</f>
        <v/>
      </c>
      <c r="FT86" s="402">
        <f>IF(AND(172&gt;=$NR$86,172&lt;=$NS$86),IF($NP$86="Single_Point",IF(172=$NR$86,$NN$86,0),IF($NP$86="Bell_Curve",$NN$86*(172-$NR$86+1)*($NS$86-172+1)/$NU$86,$NN$86/$NT$86)),0)</f>
        <v/>
      </c>
      <c r="FU86" s="402">
        <f>IF(AND(173&gt;=$NR$86,173&lt;=$NS$86),IF($NP$86="Single_Point",IF(173=$NR$86,$NN$86,0),IF($NP$86="Bell_Curve",$NN$86*(173-$NR$86+1)*($NS$86-173+1)/$NU$86,$NN$86/$NT$86)),0)</f>
        <v/>
      </c>
      <c r="FV86" s="402">
        <f>IF(AND(174&gt;=$NR$86,174&lt;=$NS$86),IF($NP$86="Single_Point",IF(174=$NR$86,$NN$86,0),IF($NP$86="Bell_Curve",$NN$86*(174-$NR$86+1)*($NS$86-174+1)/$NU$86,$NN$86/$NT$86)),0)</f>
        <v/>
      </c>
      <c r="FW86" s="402">
        <f>IF(AND(175&gt;=$NR$86,175&lt;=$NS$86),IF($NP$86="Single_Point",IF(175=$NR$86,$NN$86,0),IF($NP$86="Bell_Curve",$NN$86*(175-$NR$86+1)*($NS$86-175+1)/$NU$86,$NN$86/$NT$86)),0)</f>
        <v/>
      </c>
      <c r="FX86" s="402">
        <f>IF(AND(176&gt;=$NR$86,176&lt;=$NS$86),IF($NP$86="Single_Point",IF(176=$NR$86,$NN$86,0),IF($NP$86="Bell_Curve",$NN$86*(176-$NR$86+1)*($NS$86-176+1)/$NU$86,$NN$86/$NT$86)),0)</f>
        <v/>
      </c>
      <c r="FY86" s="402">
        <f>IF(AND(177&gt;=$NR$86,177&lt;=$NS$86),IF($NP$86="Single_Point",IF(177=$NR$86,$NN$86,0),IF($NP$86="Bell_Curve",$NN$86*(177-$NR$86+1)*($NS$86-177+1)/$NU$86,$NN$86/$NT$86)),0)</f>
        <v/>
      </c>
      <c r="FZ86" s="402">
        <f>IF(AND(178&gt;=$NR$86,178&lt;=$NS$86),IF($NP$86="Single_Point",IF(178=$NR$86,$NN$86,0),IF($NP$86="Bell_Curve",$NN$86*(178-$NR$86+1)*($NS$86-178+1)/$NU$86,$NN$86/$NT$86)),0)</f>
        <v/>
      </c>
      <c r="GA86" s="402">
        <f>IF(AND(179&gt;=$NR$86,179&lt;=$NS$86),IF($NP$86="Single_Point",IF(179=$NR$86,$NN$86,0),IF($NP$86="Bell_Curve",$NN$86*(179-$NR$86+1)*($NS$86-179+1)/$NU$86,$NN$86/$NT$86)),0)</f>
        <v/>
      </c>
      <c r="GB86" s="402">
        <f>IF(AND(180&gt;=$NR$86,180&lt;=$NS$86),IF($NP$86="Single_Point",IF(180=$NR$86,$NN$86,0),IF($NP$86="Bell_Curve",$NN$86*(180-$NR$86+1)*($NS$86-180+1)/$NU$86,$NN$86/$NT$86)),0)</f>
        <v/>
      </c>
      <c r="GC86" s="402">
        <f>IF(AND(181&gt;=$NR$86,181&lt;=$NS$86),IF($NP$86="Single_Point",IF(181=$NR$86,$NN$86,0),IF($NP$86="Bell_Curve",$NN$86*(181-$NR$86+1)*($NS$86-181+1)/$NU$86,$NN$86/$NT$86)),0)</f>
        <v/>
      </c>
      <c r="GD86" s="402">
        <f>IF(AND(182&gt;=$NR$86,182&lt;=$NS$86),IF($NP$86="Single_Point",IF(182=$NR$86,$NN$86,0),IF($NP$86="Bell_Curve",$NN$86*(182-$NR$86+1)*($NS$86-182+1)/$NU$86,$NN$86/$NT$86)),0)</f>
        <v/>
      </c>
      <c r="GE86" s="402">
        <f>IF(AND(183&gt;=$NR$86,183&lt;=$NS$86),IF($NP$86="Single_Point",IF(183=$NR$86,$NN$86,0),IF($NP$86="Bell_Curve",$NN$86*(183-$NR$86+1)*($NS$86-183+1)/$NU$86,$NN$86/$NT$86)),0)</f>
        <v/>
      </c>
      <c r="GF86" s="402">
        <f>IF(AND(184&gt;=$NR$86,184&lt;=$NS$86),IF($NP$86="Single_Point",IF(184=$NR$86,$NN$86,0),IF($NP$86="Bell_Curve",$NN$86*(184-$NR$86+1)*($NS$86-184+1)/$NU$86,$NN$86/$NT$86)),0)</f>
        <v/>
      </c>
      <c r="GG86" s="402">
        <f>IF(AND(185&gt;=$NR$86,185&lt;=$NS$86),IF($NP$86="Single_Point",IF(185=$NR$86,$NN$86,0),IF($NP$86="Bell_Curve",$NN$86*(185-$NR$86+1)*($NS$86-185+1)/$NU$86,$NN$86/$NT$86)),0)</f>
        <v/>
      </c>
      <c r="GH86" s="402">
        <f>IF(AND(186&gt;=$NR$86,186&lt;=$NS$86),IF($NP$86="Single_Point",IF(186=$NR$86,$NN$86,0),IF($NP$86="Bell_Curve",$NN$86*(186-$NR$86+1)*($NS$86-186+1)/$NU$86,$NN$86/$NT$86)),0)</f>
        <v/>
      </c>
      <c r="GI86" s="402">
        <f>IF(AND(187&gt;=$NR$86,187&lt;=$NS$86),IF($NP$86="Single_Point",IF(187=$NR$86,$NN$86,0),IF($NP$86="Bell_Curve",$NN$86*(187-$NR$86+1)*($NS$86-187+1)/$NU$86,$NN$86/$NT$86)),0)</f>
        <v/>
      </c>
      <c r="GJ86" s="402">
        <f>IF(AND(188&gt;=$NR$86,188&lt;=$NS$86),IF($NP$86="Single_Point",IF(188=$NR$86,$NN$86,0),IF($NP$86="Bell_Curve",$NN$86*(188-$NR$86+1)*($NS$86-188+1)/$NU$86,$NN$86/$NT$86)),0)</f>
        <v/>
      </c>
      <c r="GK86" s="402">
        <f>IF(AND(189&gt;=$NR$86,189&lt;=$NS$86),IF($NP$86="Single_Point",IF(189=$NR$86,$NN$86,0),IF($NP$86="Bell_Curve",$NN$86*(189-$NR$86+1)*($NS$86-189+1)/$NU$86,$NN$86/$NT$86)),0)</f>
        <v/>
      </c>
      <c r="GL86" s="402">
        <f>IF(AND(190&gt;=$NR$86,190&lt;=$NS$86),IF($NP$86="Single_Point",IF(190=$NR$86,$NN$86,0),IF($NP$86="Bell_Curve",$NN$86*(190-$NR$86+1)*($NS$86-190+1)/$NU$86,$NN$86/$NT$86)),0)</f>
        <v/>
      </c>
      <c r="GM86" s="402">
        <f>IF(AND(191&gt;=$NR$86,191&lt;=$NS$86),IF($NP$86="Single_Point",IF(191=$NR$86,$NN$86,0),IF($NP$86="Bell_Curve",$NN$86*(191-$NR$86+1)*($NS$86-191+1)/$NU$86,$NN$86/$NT$86)),0)</f>
        <v/>
      </c>
      <c r="GN86" s="402">
        <f>IF(AND(192&gt;=$NR$86,192&lt;=$NS$86),IF($NP$86="Single_Point",IF(192=$NR$86,$NN$86,0),IF($NP$86="Bell_Curve",$NN$86*(192-$NR$86+1)*($NS$86-192+1)/$NU$86,$NN$86/$NT$86)),0)</f>
        <v/>
      </c>
      <c r="GO86" s="402">
        <f>IF(AND(193&gt;=$NR$86,193&lt;=$NS$86),IF($NP$86="Single_Point",IF(193=$NR$86,$NN$86,0),IF($NP$86="Bell_Curve",$NN$86*(193-$NR$86+1)*($NS$86-193+1)/$NU$86,$NN$86/$NT$86)),0)</f>
        <v/>
      </c>
      <c r="GP86" s="402">
        <f>IF(AND(194&gt;=$NR$86,194&lt;=$NS$86),IF($NP$86="Single_Point",IF(194=$NR$86,$NN$86,0),IF($NP$86="Bell_Curve",$NN$86*(194-$NR$86+1)*($NS$86-194+1)/$NU$86,$NN$86/$NT$86)),0)</f>
        <v/>
      </c>
      <c r="GQ86" s="402">
        <f>IF(AND(195&gt;=$NR$86,195&lt;=$NS$86),IF($NP$86="Single_Point",IF(195=$NR$86,$NN$86,0),IF($NP$86="Bell_Curve",$NN$86*(195-$NR$86+1)*($NS$86-195+1)/$NU$86,$NN$86/$NT$86)),0)</f>
        <v/>
      </c>
      <c r="GR86" s="402">
        <f>IF(AND(196&gt;=$NR$86,196&lt;=$NS$86),IF($NP$86="Single_Point",IF(196=$NR$86,$NN$86,0),IF($NP$86="Bell_Curve",$NN$86*(196-$NR$86+1)*($NS$86-196+1)/$NU$86,$NN$86/$NT$86)),0)</f>
        <v/>
      </c>
      <c r="GS86" s="402">
        <f>IF(AND(197&gt;=$NR$86,197&lt;=$NS$86),IF($NP$86="Single_Point",IF(197=$NR$86,$NN$86,0),IF($NP$86="Bell_Curve",$NN$86*(197-$NR$86+1)*($NS$86-197+1)/$NU$86,$NN$86/$NT$86)),0)</f>
        <v/>
      </c>
      <c r="GT86" s="402">
        <f>IF(AND(198&gt;=$NR$86,198&lt;=$NS$86),IF($NP$86="Single_Point",IF(198=$NR$86,$NN$86,0),IF($NP$86="Bell_Curve",$NN$86*(198-$NR$86+1)*($NS$86-198+1)/$NU$86,$NN$86/$NT$86)),0)</f>
        <v/>
      </c>
      <c r="GU86" s="402">
        <f>IF(AND(199&gt;=$NR$86,199&lt;=$NS$86),IF($NP$86="Single_Point",IF(199=$NR$86,$NN$86,0),IF($NP$86="Bell_Curve",$NN$86*(199-$NR$86+1)*($NS$86-199+1)/$NU$86,$NN$86/$NT$86)),0)</f>
        <v/>
      </c>
      <c r="GV86" s="402">
        <f>IF(AND(200&gt;=$NR$86,200&lt;=$NS$86),IF($NP$86="Single_Point",IF(200=$NR$86,$NN$86,0),IF($NP$86="Bell_Curve",$NN$86*(200-$NR$86+1)*($NS$86-200+1)/$NU$86,$NN$86/$NT$86)),0)</f>
        <v/>
      </c>
      <c r="GW86" s="402">
        <f>IF(AND(201&gt;=$NR$86,201&lt;=$NS$86),IF($NP$86="Single_Point",IF(201=$NR$86,$NN$86,0),IF($NP$86="Bell_Curve",$NN$86*(201-$NR$86+1)*($NS$86-201+1)/$NU$86,$NN$86/$NT$86)),0)</f>
        <v/>
      </c>
      <c r="GX86" s="402">
        <f>IF(AND(202&gt;=$NR$86,202&lt;=$NS$86),IF($NP$86="Single_Point",IF(202=$NR$86,$NN$86,0),IF($NP$86="Bell_Curve",$NN$86*(202-$NR$86+1)*($NS$86-202+1)/$NU$86,$NN$86/$NT$86)),0)</f>
        <v/>
      </c>
      <c r="GY86" s="402">
        <f>IF(AND(203&gt;=$NR$86,203&lt;=$NS$86),IF($NP$86="Single_Point",IF(203=$NR$86,$NN$86,0),IF($NP$86="Bell_Curve",$NN$86*(203-$NR$86+1)*($NS$86-203+1)/$NU$86,$NN$86/$NT$86)),0)</f>
        <v/>
      </c>
      <c r="GZ86" s="402">
        <f>IF(AND(204&gt;=$NR$86,204&lt;=$NS$86),IF($NP$86="Single_Point",IF(204=$NR$86,$NN$86,0),IF($NP$86="Bell_Curve",$NN$86*(204-$NR$86+1)*($NS$86-204+1)/$NU$86,$NN$86/$NT$86)),0)</f>
        <v/>
      </c>
      <c r="HA86" s="402">
        <f>IF(AND(205&gt;=$NR$86,205&lt;=$NS$86),IF($NP$86="Single_Point",IF(205=$NR$86,$NN$86,0),IF($NP$86="Bell_Curve",$NN$86*(205-$NR$86+1)*($NS$86-205+1)/$NU$86,$NN$86/$NT$86)),0)</f>
        <v/>
      </c>
      <c r="HB86" s="402">
        <f>IF(AND(206&gt;=$NR$86,206&lt;=$NS$86),IF($NP$86="Single_Point",IF(206=$NR$86,$NN$86,0),IF($NP$86="Bell_Curve",$NN$86*(206-$NR$86+1)*($NS$86-206+1)/$NU$86,$NN$86/$NT$86)),0)</f>
        <v/>
      </c>
      <c r="HC86" s="402">
        <f>IF(AND(207&gt;=$NR$86,207&lt;=$NS$86),IF($NP$86="Single_Point",IF(207=$NR$86,$NN$86,0),IF($NP$86="Bell_Curve",$NN$86*(207-$NR$86+1)*($NS$86-207+1)/$NU$86,$NN$86/$NT$86)),0)</f>
        <v/>
      </c>
      <c r="HD86" s="402">
        <f>IF(AND(208&gt;=$NR$86,208&lt;=$NS$86),IF($NP$86="Single_Point",IF(208=$NR$86,$NN$86,0),IF($NP$86="Bell_Curve",$NN$86*(208-$NR$86+1)*($NS$86-208+1)/$NU$86,$NN$86/$NT$86)),0)</f>
        <v/>
      </c>
      <c r="HE86" s="402">
        <f>IF(AND(209&gt;=$NR$86,209&lt;=$NS$86),IF($NP$86="Single_Point",IF(209=$NR$86,$NN$86,0),IF($NP$86="Bell_Curve",$NN$86*(209-$NR$86+1)*($NS$86-209+1)/$NU$86,$NN$86/$NT$86)),0)</f>
        <v/>
      </c>
      <c r="HF86" s="402">
        <f>IF(AND(210&gt;=$NR$86,210&lt;=$NS$86),IF($NP$86="Single_Point",IF(210=$NR$86,$NN$86,0),IF($NP$86="Bell_Curve",$NN$86*(210-$NR$86+1)*($NS$86-210+1)/$NU$86,$NN$86/$NT$86)),0)</f>
        <v/>
      </c>
      <c r="HG86" s="402">
        <f>IF(AND(211&gt;=$NR$86,211&lt;=$NS$86),IF($NP$86="Single_Point",IF(211=$NR$86,$NN$86,0),IF($NP$86="Bell_Curve",$NN$86*(211-$NR$86+1)*($NS$86-211+1)/$NU$86,$NN$86/$NT$86)),0)</f>
        <v/>
      </c>
      <c r="HH86" s="402">
        <f>IF(AND(212&gt;=$NR$86,212&lt;=$NS$86),IF($NP$86="Single_Point",IF(212=$NR$86,$NN$86,0),IF($NP$86="Bell_Curve",$NN$86*(212-$NR$86+1)*($NS$86-212+1)/$NU$86,$NN$86/$NT$86)),0)</f>
        <v/>
      </c>
      <c r="HI86" s="402">
        <f>IF(AND(213&gt;=$NR$86,213&lt;=$NS$86),IF($NP$86="Single_Point",IF(213=$NR$86,$NN$86,0),IF($NP$86="Bell_Curve",$NN$86*(213-$NR$86+1)*($NS$86-213+1)/$NU$86,$NN$86/$NT$86)),0)</f>
        <v/>
      </c>
      <c r="HJ86" s="402">
        <f>IF(AND(214&gt;=$NR$86,214&lt;=$NS$86),IF($NP$86="Single_Point",IF(214=$NR$86,$NN$86,0),IF($NP$86="Bell_Curve",$NN$86*(214-$NR$86+1)*($NS$86-214+1)/$NU$86,$NN$86/$NT$86)),0)</f>
        <v/>
      </c>
      <c r="HK86" s="402">
        <f>IF(AND(215&gt;=$NR$86,215&lt;=$NS$86),IF($NP$86="Single_Point",IF(215=$NR$86,$NN$86,0),IF($NP$86="Bell_Curve",$NN$86*(215-$NR$86+1)*($NS$86-215+1)/$NU$86,$NN$86/$NT$86)),0)</f>
        <v/>
      </c>
      <c r="HL86" s="402">
        <f>IF(AND(216&gt;=$NR$86,216&lt;=$NS$86),IF($NP$86="Single_Point",IF(216=$NR$86,$NN$86,0),IF($NP$86="Bell_Curve",$NN$86*(216-$NR$86+1)*($NS$86-216+1)/$NU$86,$NN$86/$NT$86)),0)</f>
        <v/>
      </c>
      <c r="HM86" s="402">
        <f>IF(AND(217&gt;=$NR$86,217&lt;=$NS$86),IF($NP$86="Single_Point",IF(217=$NR$86,$NN$86,0),IF($NP$86="Bell_Curve",$NN$86*(217-$NR$86+1)*($NS$86-217+1)/$NU$86,$NN$86/$NT$86)),0)</f>
        <v/>
      </c>
      <c r="HN86" s="402">
        <f>IF(AND(218&gt;=$NR$86,218&lt;=$NS$86),IF($NP$86="Single_Point",IF(218=$NR$86,$NN$86,0),IF($NP$86="Bell_Curve",$NN$86*(218-$NR$86+1)*($NS$86-218+1)/$NU$86,$NN$86/$NT$86)),0)</f>
        <v/>
      </c>
      <c r="HO86" s="402">
        <f>IF(AND(219&gt;=$NR$86,219&lt;=$NS$86),IF($NP$86="Single_Point",IF(219=$NR$86,$NN$86,0),IF($NP$86="Bell_Curve",$NN$86*(219-$NR$86+1)*($NS$86-219+1)/$NU$86,$NN$86/$NT$86)),0)</f>
        <v/>
      </c>
      <c r="HP86" s="402">
        <f>IF(AND(220&gt;=$NR$86,220&lt;=$NS$86),IF($NP$86="Single_Point",IF(220=$NR$86,$NN$86,0),IF($NP$86="Bell_Curve",$NN$86*(220-$NR$86+1)*($NS$86-220+1)/$NU$86,$NN$86/$NT$86)),0)</f>
        <v/>
      </c>
      <c r="HQ86" s="402">
        <f>IF(AND(221&gt;=$NR$86,221&lt;=$NS$86),IF($NP$86="Single_Point",IF(221=$NR$86,$NN$86,0),IF($NP$86="Bell_Curve",$NN$86*(221-$NR$86+1)*($NS$86-221+1)/$NU$86,$NN$86/$NT$86)),0)</f>
        <v/>
      </c>
      <c r="HR86" s="402">
        <f>IF(AND(222&gt;=$NR$86,222&lt;=$NS$86),IF($NP$86="Single_Point",IF(222=$NR$86,$NN$86,0),IF($NP$86="Bell_Curve",$NN$86*(222-$NR$86+1)*($NS$86-222+1)/$NU$86,$NN$86/$NT$86)),0)</f>
        <v/>
      </c>
      <c r="HS86" s="402">
        <f>IF(AND(223&gt;=$NR$86,223&lt;=$NS$86),IF($NP$86="Single_Point",IF(223=$NR$86,$NN$86,0),IF($NP$86="Bell_Curve",$NN$86*(223-$NR$86+1)*($NS$86-223+1)/$NU$86,$NN$86/$NT$86)),0)</f>
        <v/>
      </c>
      <c r="HT86" s="402">
        <f>IF(AND(224&gt;=$NR$86,224&lt;=$NS$86),IF($NP$86="Single_Point",IF(224=$NR$86,$NN$86,0),IF($NP$86="Bell_Curve",$NN$86*(224-$NR$86+1)*($NS$86-224+1)/$NU$86,$NN$86/$NT$86)),0)</f>
        <v/>
      </c>
      <c r="HU86" s="402">
        <f>IF(AND(225&gt;=$NR$86,225&lt;=$NS$86),IF($NP$86="Single_Point",IF(225=$NR$86,$NN$86,0),IF($NP$86="Bell_Curve",$NN$86*(225-$NR$86+1)*($NS$86-225+1)/$NU$86,$NN$86/$NT$86)),0)</f>
        <v/>
      </c>
      <c r="HV86" s="402">
        <f>IF(AND(226&gt;=$NR$86,226&lt;=$NS$86),IF($NP$86="Single_Point",IF(226=$NR$86,$NN$86,0),IF($NP$86="Bell_Curve",$NN$86*(226-$NR$86+1)*($NS$86-226+1)/$NU$86,$NN$86/$NT$86)),0)</f>
        <v/>
      </c>
      <c r="HW86" s="402">
        <f>IF(AND(227&gt;=$NR$86,227&lt;=$NS$86),IF($NP$86="Single_Point",IF(227=$NR$86,$NN$86,0),IF($NP$86="Bell_Curve",$NN$86*(227-$NR$86+1)*($NS$86-227+1)/$NU$86,$NN$86/$NT$86)),0)</f>
        <v/>
      </c>
      <c r="HX86" s="402">
        <f>IF(AND(228&gt;=$NR$86,228&lt;=$NS$86),IF($NP$86="Single_Point",IF(228=$NR$86,$NN$86,0),IF($NP$86="Bell_Curve",$NN$86*(228-$NR$86+1)*($NS$86-228+1)/$NU$86,$NN$86/$NT$86)),0)</f>
        <v/>
      </c>
      <c r="HY86" s="402">
        <f>IF(AND(229&gt;=$NR$86,229&lt;=$NS$86),IF($NP$86="Single_Point",IF(229=$NR$86,$NN$86,0),IF($NP$86="Bell_Curve",$NN$86*(229-$NR$86+1)*($NS$86-229+1)/$NU$86,$NN$86/$NT$86)),0)</f>
        <v/>
      </c>
      <c r="HZ86" s="402">
        <f>IF(AND(230&gt;=$NR$86,230&lt;=$NS$86),IF($NP$86="Single_Point",IF(230=$NR$86,$NN$86,0),IF($NP$86="Bell_Curve",$NN$86*(230-$NR$86+1)*($NS$86-230+1)/$NU$86,$NN$86/$NT$86)),0)</f>
        <v/>
      </c>
      <c r="IA86" s="402">
        <f>IF(AND(231&gt;=$NR$86,231&lt;=$NS$86),IF($NP$86="Single_Point",IF(231=$NR$86,$NN$86,0),IF($NP$86="Bell_Curve",$NN$86*(231-$NR$86+1)*($NS$86-231+1)/$NU$86,$NN$86/$NT$86)),0)</f>
        <v/>
      </c>
      <c r="IB86" s="402">
        <f>IF(AND(232&gt;=$NR$86,232&lt;=$NS$86),IF($NP$86="Single_Point",IF(232=$NR$86,$NN$86,0),IF($NP$86="Bell_Curve",$NN$86*(232-$NR$86+1)*($NS$86-232+1)/$NU$86,$NN$86/$NT$86)),0)</f>
        <v/>
      </c>
      <c r="IC86" s="402">
        <f>IF(AND(233&gt;=$NR$86,233&lt;=$NS$86),IF($NP$86="Single_Point",IF(233=$NR$86,$NN$86,0),IF($NP$86="Bell_Curve",$NN$86*(233-$NR$86+1)*($NS$86-233+1)/$NU$86,$NN$86/$NT$86)),0)</f>
        <v/>
      </c>
      <c r="ID86" s="402">
        <f>IF(AND(234&gt;=$NR$86,234&lt;=$NS$86),IF($NP$86="Single_Point",IF(234=$NR$86,$NN$86,0),IF($NP$86="Bell_Curve",$NN$86*(234-$NR$86+1)*($NS$86-234+1)/$NU$86,$NN$86/$NT$86)),0)</f>
        <v/>
      </c>
      <c r="IE86" s="402">
        <f>IF(AND(235&gt;=$NR$86,235&lt;=$NS$86),IF($NP$86="Single_Point",IF(235=$NR$86,$NN$86,0),IF($NP$86="Bell_Curve",$NN$86*(235-$NR$86+1)*($NS$86-235+1)/$NU$86,$NN$86/$NT$86)),0)</f>
        <v/>
      </c>
      <c r="IF86" s="402">
        <f>IF(AND(236&gt;=$NR$86,236&lt;=$NS$86),IF($NP$86="Single_Point",IF(236=$NR$86,$NN$86,0),IF($NP$86="Bell_Curve",$NN$86*(236-$NR$86+1)*($NS$86-236+1)/$NU$86,$NN$86/$NT$86)),0)</f>
        <v/>
      </c>
      <c r="IG86" s="402">
        <f>IF(AND(237&gt;=$NR$86,237&lt;=$NS$86),IF($NP$86="Single_Point",IF(237=$NR$86,$NN$86,0),IF($NP$86="Bell_Curve",$NN$86*(237-$NR$86+1)*($NS$86-237+1)/$NU$86,$NN$86/$NT$86)),0)</f>
        <v/>
      </c>
      <c r="IH86" s="402">
        <f>IF(AND(238&gt;=$NR$86,238&lt;=$NS$86),IF($NP$86="Single_Point",IF(238=$NR$86,$NN$86,0),IF($NP$86="Bell_Curve",$NN$86*(238-$NR$86+1)*($NS$86-238+1)/$NU$86,$NN$86/$NT$86)),0)</f>
        <v/>
      </c>
      <c r="II86" s="402">
        <f>IF(AND(239&gt;=$NR$86,239&lt;=$NS$86),IF($NP$86="Single_Point",IF(239=$NR$86,$NN$86,0),IF($NP$86="Bell_Curve",$NN$86*(239-$NR$86+1)*($NS$86-239+1)/$NU$86,$NN$86/$NT$86)),0)</f>
        <v/>
      </c>
      <c r="IJ86" s="402">
        <f>IF(AND(240&gt;=$NR$86,240&lt;=$NS$86),IF($NP$86="Single_Point",IF(240=$NR$86,$NN$86,0),IF($NP$86="Bell_Curve",$NN$86*(240-$NR$86+1)*($NS$86-240+1)/$NU$86,$NN$86/$NT$86)),0)</f>
        <v/>
      </c>
      <c r="IK86" s="402">
        <f>IF(AND(241&gt;=$NR$86,241&lt;=$NS$86),IF($NP$86="Single_Point",IF(241=$NR$86,$NN$86,0),IF($NP$86="Bell_Curve",$NN$86*(241-$NR$86+1)*($NS$86-241+1)/$NU$86,$NN$86/$NT$86)),0)</f>
        <v/>
      </c>
      <c r="IL86" s="402">
        <f>IF(AND(242&gt;=$NR$86,242&lt;=$NS$86),IF($NP$86="Single_Point",IF(242=$NR$86,$NN$86,0),IF($NP$86="Bell_Curve",$NN$86*(242-$NR$86+1)*($NS$86-242+1)/$NU$86,$NN$86/$NT$86)),0)</f>
        <v/>
      </c>
      <c r="IM86" s="402">
        <f>IF(AND(243&gt;=$NR$86,243&lt;=$NS$86),IF($NP$86="Single_Point",IF(243=$NR$86,$NN$86,0),IF($NP$86="Bell_Curve",$NN$86*(243-$NR$86+1)*($NS$86-243+1)/$NU$86,$NN$86/$NT$86)),0)</f>
        <v/>
      </c>
      <c r="IN86" s="402">
        <f>IF(AND(244&gt;=$NR$86,244&lt;=$NS$86),IF($NP$86="Single_Point",IF(244=$NR$86,$NN$86,0),IF($NP$86="Bell_Curve",$NN$86*(244-$NR$86+1)*($NS$86-244+1)/$NU$86,$NN$86/$NT$86)),0)</f>
        <v/>
      </c>
      <c r="IO86" s="402">
        <f>IF(AND(245&gt;=$NR$86,245&lt;=$NS$86),IF($NP$86="Single_Point",IF(245=$NR$86,$NN$86,0),IF($NP$86="Bell_Curve",$NN$86*(245-$NR$86+1)*($NS$86-245+1)/$NU$86,$NN$86/$NT$86)),0)</f>
        <v/>
      </c>
      <c r="IP86" s="402">
        <f>IF(AND(246&gt;=$NR$86,246&lt;=$NS$86),IF($NP$86="Single_Point",IF(246=$NR$86,$NN$86,0),IF($NP$86="Bell_Curve",$NN$86*(246-$NR$86+1)*($NS$86-246+1)/$NU$86,$NN$86/$NT$86)),0)</f>
        <v/>
      </c>
      <c r="IQ86" s="402">
        <f>IF(AND(247&gt;=$NR$86,247&lt;=$NS$86),IF($NP$86="Single_Point",IF(247=$NR$86,$NN$86,0),IF($NP$86="Bell_Curve",$NN$86*(247-$NR$86+1)*($NS$86-247+1)/$NU$86,$NN$86/$NT$86)),0)</f>
        <v/>
      </c>
      <c r="IR86" s="402">
        <f>IF(AND(248&gt;=$NR$86,248&lt;=$NS$86),IF($NP$86="Single_Point",IF(248=$NR$86,$NN$86,0),IF($NP$86="Bell_Curve",$NN$86*(248-$NR$86+1)*($NS$86-248+1)/$NU$86,$NN$86/$NT$86)),0)</f>
        <v/>
      </c>
      <c r="IS86" s="402">
        <f>IF(AND(249&gt;=$NR$86,249&lt;=$NS$86),IF($NP$86="Single_Point",IF(249=$NR$86,$NN$86,0),IF($NP$86="Bell_Curve",$NN$86*(249-$NR$86+1)*($NS$86-249+1)/$NU$86,$NN$86/$NT$86)),0)</f>
        <v/>
      </c>
      <c r="IT86" s="402">
        <f>IF(AND(250&gt;=$NR$86,250&lt;=$NS$86),IF($NP$86="Single_Point",IF(250=$NR$86,$NN$86,0),IF($NP$86="Bell_Curve",$NN$86*(250-$NR$86+1)*($NS$86-250+1)/$NU$86,$NN$86/$NT$86)),0)</f>
        <v/>
      </c>
      <c r="IU86" s="402">
        <f>IF(AND(251&gt;=$NR$86,251&lt;=$NS$86),IF($NP$86="Single_Point",IF(251=$NR$86,$NN$86,0),IF($NP$86="Bell_Curve",$NN$86*(251-$NR$86+1)*($NS$86-251+1)/$NU$86,$NN$86/$NT$86)),0)</f>
        <v/>
      </c>
      <c r="IV86" s="402">
        <f>IF(AND(252&gt;=$NR$86,252&lt;=$NS$86),IF($NP$86="Single_Point",IF(252=$NR$86,$NN$86,0),IF($NP$86="Bell_Curve",$NN$86*(252-$NR$86+1)*($NS$86-252+1)/$NU$86,$NN$86/$NT$86)),0)</f>
        <v/>
      </c>
      <c r="IW86" s="402">
        <f>IF(AND(253&gt;=$NR$86,253&lt;=$NS$86),IF($NP$86="Single_Point",IF(253=$NR$86,$NN$86,0),IF($NP$86="Bell_Curve",$NN$86*(253-$NR$86+1)*($NS$86-253+1)/$NU$86,$NN$86/$NT$86)),0)</f>
        <v/>
      </c>
      <c r="IX86" s="402">
        <f>IF(AND(254&gt;=$NR$86,254&lt;=$NS$86),IF($NP$86="Single_Point",IF(254=$NR$86,$NN$86,0),IF($NP$86="Bell_Curve",$NN$86*(254-$NR$86+1)*($NS$86-254+1)/$NU$86,$NN$86/$NT$86)),0)</f>
        <v/>
      </c>
      <c r="IY86" s="402">
        <f>IF(AND(255&gt;=$NR$86,255&lt;=$NS$86),IF($NP$86="Single_Point",IF(255=$NR$86,$NN$86,0),IF($NP$86="Bell_Curve",$NN$86*(255-$NR$86+1)*($NS$86-255+1)/$NU$86,$NN$86/$NT$86)),0)</f>
        <v/>
      </c>
      <c r="IZ86" s="402">
        <f>IF(AND(256&gt;=$NR$86,256&lt;=$NS$86),IF($NP$86="Single_Point",IF(256=$NR$86,$NN$86,0),IF($NP$86="Bell_Curve",$NN$86*(256-$NR$86+1)*($NS$86-256+1)/$NU$86,$NN$86/$NT$86)),0)</f>
        <v/>
      </c>
      <c r="JA86" s="402">
        <f>IF(AND(257&gt;=$NR$86,257&lt;=$NS$86),IF($NP$86="Single_Point",IF(257=$NR$86,$NN$86,0),IF($NP$86="Bell_Curve",$NN$86*(257-$NR$86+1)*($NS$86-257+1)/$NU$86,$NN$86/$NT$86)),0)</f>
        <v/>
      </c>
      <c r="JB86" s="402">
        <f>IF(AND(258&gt;=$NR$86,258&lt;=$NS$86),IF($NP$86="Single_Point",IF(258=$NR$86,$NN$86,0),IF($NP$86="Bell_Curve",$NN$86*(258-$NR$86+1)*($NS$86-258+1)/$NU$86,$NN$86/$NT$86)),0)</f>
        <v/>
      </c>
      <c r="JC86" s="402">
        <f>IF(AND(259&gt;=$NR$86,259&lt;=$NS$86),IF($NP$86="Single_Point",IF(259=$NR$86,$NN$86,0),IF($NP$86="Bell_Curve",$NN$86*(259-$NR$86+1)*($NS$86-259+1)/$NU$86,$NN$86/$NT$86)),0)</f>
        <v/>
      </c>
      <c r="JD86" s="402">
        <f>IF(AND(260&gt;=$NR$86,260&lt;=$NS$86),IF($NP$86="Single_Point",IF(260=$NR$86,$NN$86,0),IF($NP$86="Bell_Curve",$NN$86*(260-$NR$86+1)*($NS$86-260+1)/$NU$86,$NN$86/$NT$86)),0)</f>
        <v/>
      </c>
      <c r="JE86" s="402">
        <f>IF(AND(261&gt;=$NR$86,261&lt;=$NS$86),IF($NP$86="Single_Point",IF(261=$NR$86,$NN$86,0),IF($NP$86="Bell_Curve",$NN$86*(261-$NR$86+1)*($NS$86-261+1)/$NU$86,$NN$86/$NT$86)),0)</f>
        <v/>
      </c>
      <c r="JF86" s="402">
        <f>IF(AND(262&gt;=$NR$86,262&lt;=$NS$86),IF($NP$86="Single_Point",IF(262=$NR$86,$NN$86,0),IF($NP$86="Bell_Curve",$NN$86*(262-$NR$86+1)*($NS$86-262+1)/$NU$86,$NN$86/$NT$86)),0)</f>
        <v/>
      </c>
      <c r="JG86" s="402">
        <f>IF(AND(263&gt;=$NR$86,263&lt;=$NS$86),IF($NP$86="Single_Point",IF(263=$NR$86,$NN$86,0),IF($NP$86="Bell_Curve",$NN$86*(263-$NR$86+1)*($NS$86-263+1)/$NU$86,$NN$86/$NT$86)),0)</f>
        <v/>
      </c>
      <c r="JH86" s="402">
        <f>IF(AND(264&gt;=$NR$86,264&lt;=$NS$86),IF($NP$86="Single_Point",IF(264=$NR$86,$NN$86,0),IF($NP$86="Bell_Curve",$NN$86*(264-$NR$86+1)*($NS$86-264+1)/$NU$86,$NN$86/$NT$86)),0)</f>
        <v/>
      </c>
      <c r="JI86" s="402">
        <f>IF(AND(265&gt;=$NR$86,265&lt;=$NS$86),IF($NP$86="Single_Point",IF(265=$NR$86,$NN$86,0),IF($NP$86="Bell_Curve",$NN$86*(265-$NR$86+1)*($NS$86-265+1)/$NU$86,$NN$86/$NT$86)),0)</f>
        <v/>
      </c>
      <c r="JJ86" s="402">
        <f>IF(AND(266&gt;=$NR$86,266&lt;=$NS$86),IF($NP$86="Single_Point",IF(266=$NR$86,$NN$86,0),IF($NP$86="Bell_Curve",$NN$86*(266-$NR$86+1)*($NS$86-266+1)/$NU$86,$NN$86/$NT$86)),0)</f>
        <v/>
      </c>
      <c r="JK86" s="402">
        <f>IF(AND(267&gt;=$NR$86,267&lt;=$NS$86),IF($NP$86="Single_Point",IF(267=$NR$86,$NN$86,0),IF($NP$86="Bell_Curve",$NN$86*(267-$NR$86+1)*($NS$86-267+1)/$NU$86,$NN$86/$NT$86)),0)</f>
        <v/>
      </c>
      <c r="JL86" s="402">
        <f>IF(AND(268&gt;=$NR$86,268&lt;=$NS$86),IF($NP$86="Single_Point",IF(268=$NR$86,$NN$86,0),IF($NP$86="Bell_Curve",$NN$86*(268-$NR$86+1)*($NS$86-268+1)/$NU$86,$NN$86/$NT$86)),0)</f>
        <v/>
      </c>
      <c r="JM86" s="402">
        <f>IF(AND(269&gt;=$NR$86,269&lt;=$NS$86),IF($NP$86="Single_Point",IF(269=$NR$86,$NN$86,0),IF($NP$86="Bell_Curve",$NN$86*(269-$NR$86+1)*($NS$86-269+1)/$NU$86,$NN$86/$NT$86)),0)</f>
        <v/>
      </c>
      <c r="JN86" s="402">
        <f>IF(AND(270&gt;=$NR$86,270&lt;=$NS$86),IF($NP$86="Single_Point",IF(270=$NR$86,$NN$86,0),IF($NP$86="Bell_Curve",$NN$86*(270-$NR$86+1)*($NS$86-270+1)/$NU$86,$NN$86/$NT$86)),0)</f>
        <v/>
      </c>
      <c r="JO86" s="402">
        <f>IF(AND(271&gt;=$NR$86,271&lt;=$NS$86),IF($NP$86="Single_Point",IF(271=$NR$86,$NN$86,0),IF($NP$86="Bell_Curve",$NN$86*(271-$NR$86+1)*($NS$86-271+1)/$NU$86,$NN$86/$NT$86)),0)</f>
        <v/>
      </c>
      <c r="JP86" s="402">
        <f>IF(AND(272&gt;=$NR$86,272&lt;=$NS$86),IF($NP$86="Single_Point",IF(272=$NR$86,$NN$86,0),IF($NP$86="Bell_Curve",$NN$86*(272-$NR$86+1)*($NS$86-272+1)/$NU$86,$NN$86/$NT$86)),0)</f>
        <v/>
      </c>
      <c r="JQ86" s="402">
        <f>IF(AND(273&gt;=$NR$86,273&lt;=$NS$86),IF($NP$86="Single_Point",IF(273=$NR$86,$NN$86,0),IF($NP$86="Bell_Curve",$NN$86*(273-$NR$86+1)*($NS$86-273+1)/$NU$86,$NN$86/$NT$86)),0)</f>
        <v/>
      </c>
      <c r="JR86" s="402">
        <f>IF(AND(274&gt;=$NR$86,274&lt;=$NS$86),IF($NP$86="Single_Point",IF(274=$NR$86,$NN$86,0),IF($NP$86="Bell_Curve",$NN$86*(274-$NR$86+1)*($NS$86-274+1)/$NU$86,$NN$86/$NT$86)),0)</f>
        <v/>
      </c>
      <c r="JS86" s="402">
        <f>IF(AND(275&gt;=$NR$86,275&lt;=$NS$86),IF($NP$86="Single_Point",IF(275=$NR$86,$NN$86,0),IF($NP$86="Bell_Curve",$NN$86*(275-$NR$86+1)*($NS$86-275+1)/$NU$86,$NN$86/$NT$86)),0)</f>
        <v/>
      </c>
      <c r="JT86" s="402">
        <f>IF(AND(276&gt;=$NR$86,276&lt;=$NS$86),IF($NP$86="Single_Point",IF(276=$NR$86,$NN$86,0),IF($NP$86="Bell_Curve",$NN$86*(276-$NR$86+1)*($NS$86-276+1)/$NU$86,$NN$86/$NT$86)),0)</f>
        <v/>
      </c>
      <c r="JU86" s="402">
        <f>IF(AND(277&gt;=$NR$86,277&lt;=$NS$86),IF($NP$86="Single_Point",IF(277=$NR$86,$NN$86,0),IF($NP$86="Bell_Curve",$NN$86*(277-$NR$86+1)*($NS$86-277+1)/$NU$86,$NN$86/$NT$86)),0)</f>
        <v/>
      </c>
      <c r="JV86" s="402">
        <f>IF(AND(278&gt;=$NR$86,278&lt;=$NS$86),IF($NP$86="Single_Point",IF(278=$NR$86,$NN$86,0),IF($NP$86="Bell_Curve",$NN$86*(278-$NR$86+1)*($NS$86-278+1)/$NU$86,$NN$86/$NT$86)),0)</f>
        <v/>
      </c>
      <c r="JW86" s="402">
        <f>IF(AND(279&gt;=$NR$86,279&lt;=$NS$86),IF($NP$86="Single_Point",IF(279=$NR$86,$NN$86,0),IF($NP$86="Bell_Curve",$NN$86*(279-$NR$86+1)*($NS$86-279+1)/$NU$86,$NN$86/$NT$86)),0)</f>
        <v/>
      </c>
      <c r="JX86" s="402">
        <f>IF(AND(280&gt;=$NR$86,280&lt;=$NS$86),IF($NP$86="Single_Point",IF(280=$NR$86,$NN$86,0),IF($NP$86="Bell_Curve",$NN$86*(280-$NR$86+1)*($NS$86-280+1)/$NU$86,$NN$86/$NT$86)),0)</f>
        <v/>
      </c>
      <c r="JY86" s="402">
        <f>IF(AND(281&gt;=$NR$86,281&lt;=$NS$86),IF($NP$86="Single_Point",IF(281=$NR$86,$NN$86,0),IF($NP$86="Bell_Curve",$NN$86*(281-$NR$86+1)*($NS$86-281+1)/$NU$86,$NN$86/$NT$86)),0)</f>
        <v/>
      </c>
      <c r="JZ86" s="402">
        <f>IF(AND(282&gt;=$NR$86,282&lt;=$NS$86),IF($NP$86="Single_Point",IF(282=$NR$86,$NN$86,0),IF($NP$86="Bell_Curve",$NN$86*(282-$NR$86+1)*($NS$86-282+1)/$NU$86,$NN$86/$NT$86)),0)</f>
        <v/>
      </c>
      <c r="KA86" s="402">
        <f>IF(AND(283&gt;=$NR$86,283&lt;=$NS$86),IF($NP$86="Single_Point",IF(283=$NR$86,$NN$86,0),IF($NP$86="Bell_Curve",$NN$86*(283-$NR$86+1)*($NS$86-283+1)/$NU$86,$NN$86/$NT$86)),0)</f>
        <v/>
      </c>
      <c r="KB86" s="402">
        <f>IF(AND(284&gt;=$NR$86,284&lt;=$NS$86),IF($NP$86="Single_Point",IF(284=$NR$86,$NN$86,0),IF($NP$86="Bell_Curve",$NN$86*(284-$NR$86+1)*($NS$86-284+1)/$NU$86,$NN$86/$NT$86)),0)</f>
        <v/>
      </c>
      <c r="KC86" s="402">
        <f>IF(AND(285&gt;=$NR$86,285&lt;=$NS$86),IF($NP$86="Single_Point",IF(285=$NR$86,$NN$86,0),IF($NP$86="Bell_Curve",$NN$86*(285-$NR$86+1)*($NS$86-285+1)/$NU$86,$NN$86/$NT$86)),0)</f>
        <v/>
      </c>
      <c r="KD86" s="402">
        <f>IF(AND(286&gt;=$NR$86,286&lt;=$NS$86),IF($NP$86="Single_Point",IF(286=$NR$86,$NN$86,0),IF($NP$86="Bell_Curve",$NN$86*(286-$NR$86+1)*($NS$86-286+1)/$NU$86,$NN$86/$NT$86)),0)</f>
        <v/>
      </c>
      <c r="KE86" s="402">
        <f>IF(AND(287&gt;=$NR$86,287&lt;=$NS$86),IF($NP$86="Single_Point",IF(287=$NR$86,$NN$86,0),IF($NP$86="Bell_Curve",$NN$86*(287-$NR$86+1)*($NS$86-287+1)/$NU$86,$NN$86/$NT$86)),0)</f>
        <v/>
      </c>
      <c r="KF86" s="402">
        <f>IF(AND(288&gt;=$NR$86,288&lt;=$NS$86),IF($NP$86="Single_Point",IF(288=$NR$86,$NN$86,0),IF($NP$86="Bell_Curve",$NN$86*(288-$NR$86+1)*($NS$86-288+1)/$NU$86,$NN$86/$NT$86)),0)</f>
        <v/>
      </c>
      <c r="KG86" s="402">
        <f>IF(AND(289&gt;=$NR$86,289&lt;=$NS$86),IF($NP$86="Single_Point",IF(289=$NR$86,$NN$86,0),IF($NP$86="Bell_Curve",$NN$86*(289-$NR$86+1)*($NS$86-289+1)/$NU$86,$NN$86/$NT$86)),0)</f>
        <v/>
      </c>
      <c r="KH86" s="402">
        <f>IF(AND(290&gt;=$NR$86,290&lt;=$NS$86),IF($NP$86="Single_Point",IF(290=$NR$86,$NN$86,0),IF($NP$86="Bell_Curve",$NN$86*(290-$NR$86+1)*($NS$86-290+1)/$NU$86,$NN$86/$NT$86)),0)</f>
        <v/>
      </c>
      <c r="KI86" s="402">
        <f>IF(AND(291&gt;=$NR$86,291&lt;=$NS$86),IF($NP$86="Single_Point",IF(291=$NR$86,$NN$86,0),IF($NP$86="Bell_Curve",$NN$86*(291-$NR$86+1)*($NS$86-291+1)/$NU$86,$NN$86/$NT$86)),0)</f>
        <v/>
      </c>
      <c r="KJ86" s="402">
        <f>IF(AND(292&gt;=$NR$86,292&lt;=$NS$86),IF($NP$86="Single_Point",IF(292=$NR$86,$NN$86,0),IF($NP$86="Bell_Curve",$NN$86*(292-$NR$86+1)*($NS$86-292+1)/$NU$86,$NN$86/$NT$86)),0)</f>
        <v/>
      </c>
      <c r="KK86" s="402">
        <f>IF(AND(293&gt;=$NR$86,293&lt;=$NS$86),IF($NP$86="Single_Point",IF(293=$NR$86,$NN$86,0),IF($NP$86="Bell_Curve",$NN$86*(293-$NR$86+1)*($NS$86-293+1)/$NU$86,$NN$86/$NT$86)),0)</f>
        <v/>
      </c>
      <c r="KL86" s="402">
        <f>IF(AND(294&gt;=$NR$86,294&lt;=$NS$86),IF($NP$86="Single_Point",IF(294=$NR$86,$NN$86,0),IF($NP$86="Bell_Curve",$NN$86*(294-$NR$86+1)*($NS$86-294+1)/$NU$86,$NN$86/$NT$86)),0)</f>
        <v/>
      </c>
      <c r="KM86" s="402">
        <f>IF(AND(295&gt;=$NR$86,295&lt;=$NS$86),IF($NP$86="Single_Point",IF(295=$NR$86,$NN$86,0),IF($NP$86="Bell_Curve",$NN$86*(295-$NR$86+1)*($NS$86-295+1)/$NU$86,$NN$86/$NT$86)),0)</f>
        <v/>
      </c>
      <c r="KN86" s="402">
        <f>IF(AND(296&gt;=$NR$86,296&lt;=$NS$86),IF($NP$86="Single_Point",IF(296=$NR$86,$NN$86,0),IF($NP$86="Bell_Curve",$NN$86*(296-$NR$86+1)*($NS$86-296+1)/$NU$86,$NN$86/$NT$86)),0)</f>
        <v/>
      </c>
      <c r="KO86" s="402">
        <f>IF(AND(297&gt;=$NR$86,297&lt;=$NS$86),IF($NP$86="Single_Point",IF(297=$NR$86,$NN$86,0),IF($NP$86="Bell_Curve",$NN$86*(297-$NR$86+1)*($NS$86-297+1)/$NU$86,$NN$86/$NT$86)),0)</f>
        <v/>
      </c>
      <c r="KP86" s="402">
        <f>IF(AND(298&gt;=$NR$86,298&lt;=$NS$86),IF($NP$86="Single_Point",IF(298=$NR$86,$NN$86,0),IF($NP$86="Bell_Curve",$NN$86*(298-$NR$86+1)*($NS$86-298+1)/$NU$86,$NN$86/$NT$86)),0)</f>
        <v/>
      </c>
      <c r="KQ86" s="402">
        <f>IF(AND(299&gt;=$NR$86,299&lt;=$NS$86),IF($NP$86="Single_Point",IF(299=$NR$86,$NN$86,0),IF($NP$86="Bell_Curve",$NN$86*(299-$NR$86+1)*($NS$86-299+1)/$NU$86,$NN$86/$NT$86)),0)</f>
        <v/>
      </c>
      <c r="KR86" s="402">
        <f>IF(AND(300&gt;=$NR$86,300&lt;=$NS$86),IF($NP$86="Single_Point",IF(300=$NR$86,$NN$86,0),IF($NP$86="Bell_Curve",$NN$86*(300-$NR$86+1)*($NS$86-300+1)/$NU$86,$NN$86/$NT$86)),0)</f>
        <v/>
      </c>
      <c r="KS86" s="402">
        <f>IF(AND(301&gt;=$NR$86,301&lt;=$NS$86),IF($NP$86="Single_Point",IF(301=$NR$86,$NN$86,0),IF($NP$86="Bell_Curve",$NN$86*(301-$NR$86+1)*($NS$86-301+1)/$NU$86,$NN$86/$NT$86)),0)</f>
        <v/>
      </c>
      <c r="KT86" s="402">
        <f>IF(AND(302&gt;=$NR$86,302&lt;=$NS$86),IF($NP$86="Single_Point",IF(302=$NR$86,$NN$86,0),IF($NP$86="Bell_Curve",$NN$86*(302-$NR$86+1)*($NS$86-302+1)/$NU$86,$NN$86/$NT$86)),0)</f>
        <v/>
      </c>
      <c r="KU86" s="402">
        <f>IF(AND(303&gt;=$NR$86,303&lt;=$NS$86),IF($NP$86="Single_Point",IF(303=$NR$86,$NN$86,0),IF($NP$86="Bell_Curve",$NN$86*(303-$NR$86+1)*($NS$86-303+1)/$NU$86,$NN$86/$NT$86)),0)</f>
        <v/>
      </c>
      <c r="KV86" s="402">
        <f>IF(AND(304&gt;=$NR$86,304&lt;=$NS$86),IF($NP$86="Single_Point",IF(304=$NR$86,$NN$86,0),IF($NP$86="Bell_Curve",$NN$86*(304-$NR$86+1)*($NS$86-304+1)/$NU$86,$NN$86/$NT$86)),0)</f>
        <v/>
      </c>
      <c r="KW86" s="402">
        <f>IF(AND(305&gt;=$NR$86,305&lt;=$NS$86),IF($NP$86="Single_Point",IF(305=$NR$86,$NN$86,0),IF($NP$86="Bell_Curve",$NN$86*(305-$NR$86+1)*($NS$86-305+1)/$NU$86,$NN$86/$NT$86)),0)</f>
        <v/>
      </c>
      <c r="KX86" s="402">
        <f>IF(AND(306&gt;=$NR$86,306&lt;=$NS$86),IF($NP$86="Single_Point",IF(306=$NR$86,$NN$86,0),IF($NP$86="Bell_Curve",$NN$86*(306-$NR$86+1)*($NS$86-306+1)/$NU$86,$NN$86/$NT$86)),0)</f>
        <v/>
      </c>
      <c r="KY86" s="402">
        <f>IF(AND(307&gt;=$NR$86,307&lt;=$NS$86),IF($NP$86="Single_Point",IF(307=$NR$86,$NN$86,0),IF($NP$86="Bell_Curve",$NN$86*(307-$NR$86+1)*($NS$86-307+1)/$NU$86,$NN$86/$NT$86)),0)</f>
        <v/>
      </c>
      <c r="KZ86" s="402">
        <f>IF(AND(308&gt;=$NR$86,308&lt;=$NS$86),IF($NP$86="Single_Point",IF(308=$NR$86,$NN$86,0),IF($NP$86="Bell_Curve",$NN$86*(308-$NR$86+1)*($NS$86-308+1)/$NU$86,$NN$86/$NT$86)),0)</f>
        <v/>
      </c>
      <c r="LA86" s="402">
        <f>IF(AND(309&gt;=$NR$86,309&lt;=$NS$86),IF($NP$86="Single_Point",IF(309=$NR$86,$NN$86,0),IF($NP$86="Bell_Curve",$NN$86*(309-$NR$86+1)*($NS$86-309+1)/$NU$86,$NN$86/$NT$86)),0)</f>
        <v/>
      </c>
      <c r="LB86" s="402">
        <f>IF(AND(310&gt;=$NR$86,310&lt;=$NS$86),IF($NP$86="Single_Point",IF(310=$NR$86,$NN$86,0),IF($NP$86="Bell_Curve",$NN$86*(310-$NR$86+1)*($NS$86-310+1)/$NU$86,$NN$86/$NT$86)),0)</f>
        <v/>
      </c>
      <c r="LC86" s="402">
        <f>IF(AND(311&gt;=$NR$86,311&lt;=$NS$86),IF($NP$86="Single_Point",IF(311=$NR$86,$NN$86,0),IF($NP$86="Bell_Curve",$NN$86*(311-$NR$86+1)*($NS$86-311+1)/$NU$86,$NN$86/$NT$86)),0)</f>
        <v/>
      </c>
      <c r="LD86" s="402">
        <f>IF(AND(312&gt;=$NR$86,312&lt;=$NS$86),IF($NP$86="Single_Point",IF(312=$NR$86,$NN$86,0),IF($NP$86="Bell_Curve",$NN$86*(312-$NR$86+1)*($NS$86-312+1)/$NU$86,$NN$86/$NT$86)),0)</f>
        <v/>
      </c>
      <c r="LE86" s="402">
        <f>IF(AND(313&gt;=$NR$86,313&lt;=$NS$86),IF($NP$86="Single_Point",IF(313=$NR$86,$NN$86,0),IF($NP$86="Bell_Curve",$NN$86*(313-$NR$86+1)*($NS$86-313+1)/$NU$86,$NN$86/$NT$86)),0)</f>
        <v/>
      </c>
      <c r="LF86" s="402">
        <f>IF(AND(314&gt;=$NR$86,314&lt;=$NS$86),IF($NP$86="Single_Point",IF(314=$NR$86,$NN$86,0),IF($NP$86="Bell_Curve",$NN$86*(314-$NR$86+1)*($NS$86-314+1)/$NU$86,$NN$86/$NT$86)),0)</f>
        <v/>
      </c>
      <c r="LG86" s="402">
        <f>IF(AND(315&gt;=$NR$86,315&lt;=$NS$86),IF($NP$86="Single_Point",IF(315=$NR$86,$NN$86,0),IF($NP$86="Bell_Curve",$NN$86*(315-$NR$86+1)*($NS$86-315+1)/$NU$86,$NN$86/$NT$86)),0)</f>
        <v/>
      </c>
      <c r="LH86" s="402">
        <f>IF(AND(316&gt;=$NR$86,316&lt;=$NS$86),IF($NP$86="Single_Point",IF(316=$NR$86,$NN$86,0),IF($NP$86="Bell_Curve",$NN$86*(316-$NR$86+1)*($NS$86-316+1)/$NU$86,$NN$86/$NT$86)),0)</f>
        <v/>
      </c>
      <c r="LI86" s="402">
        <f>IF(AND(317&gt;=$NR$86,317&lt;=$NS$86),IF($NP$86="Single_Point",IF(317=$NR$86,$NN$86,0),IF($NP$86="Bell_Curve",$NN$86*(317-$NR$86+1)*($NS$86-317+1)/$NU$86,$NN$86/$NT$86)),0)</f>
        <v/>
      </c>
      <c r="LJ86" s="402">
        <f>IF(AND(318&gt;=$NR$86,318&lt;=$NS$86),IF($NP$86="Single_Point",IF(318=$NR$86,$NN$86,0),IF($NP$86="Bell_Curve",$NN$86*(318-$NR$86+1)*($NS$86-318+1)/$NU$86,$NN$86/$NT$86)),0)</f>
        <v/>
      </c>
      <c r="LK86" s="402">
        <f>IF(AND(319&gt;=$NR$86,319&lt;=$NS$86),IF($NP$86="Single_Point",IF(319=$NR$86,$NN$86,0),IF($NP$86="Bell_Curve",$NN$86*(319-$NR$86+1)*($NS$86-319+1)/$NU$86,$NN$86/$NT$86)),0)</f>
        <v/>
      </c>
      <c r="LL86" s="402">
        <f>IF(AND(320&gt;=$NR$86,320&lt;=$NS$86),IF($NP$86="Single_Point",IF(320=$NR$86,$NN$86,0),IF($NP$86="Bell_Curve",$NN$86*(320-$NR$86+1)*($NS$86-320+1)/$NU$86,$NN$86/$NT$86)),0)</f>
        <v/>
      </c>
      <c r="LM86" s="402">
        <f>IF(AND(321&gt;=$NR$86,321&lt;=$NS$86),IF($NP$86="Single_Point",IF(321=$NR$86,$NN$86,0),IF($NP$86="Bell_Curve",$NN$86*(321-$NR$86+1)*($NS$86-321+1)/$NU$86,$NN$86/$NT$86)),0)</f>
        <v/>
      </c>
      <c r="LN86" s="402">
        <f>IF(AND(322&gt;=$NR$86,322&lt;=$NS$86),IF($NP$86="Single_Point",IF(322=$NR$86,$NN$86,0),IF($NP$86="Bell_Curve",$NN$86*(322-$NR$86+1)*($NS$86-322+1)/$NU$86,$NN$86/$NT$86)),0)</f>
        <v/>
      </c>
      <c r="LO86" s="402">
        <f>IF(AND(323&gt;=$NR$86,323&lt;=$NS$86),IF($NP$86="Single_Point",IF(323=$NR$86,$NN$86,0),IF($NP$86="Bell_Curve",$NN$86*(323-$NR$86+1)*($NS$86-323+1)/$NU$86,$NN$86/$NT$86)),0)</f>
        <v/>
      </c>
      <c r="LP86" s="402">
        <f>IF(AND(324&gt;=$NR$86,324&lt;=$NS$86),IF($NP$86="Single_Point",IF(324=$NR$86,$NN$86,0),IF($NP$86="Bell_Curve",$NN$86*(324-$NR$86+1)*($NS$86-324+1)/$NU$86,$NN$86/$NT$86)),0)</f>
        <v/>
      </c>
      <c r="LQ86" s="402">
        <f>IF(AND(325&gt;=$NR$86,325&lt;=$NS$86),IF($NP$86="Single_Point",IF(325=$NR$86,$NN$86,0),IF($NP$86="Bell_Curve",$NN$86*(325-$NR$86+1)*($NS$86-325+1)/$NU$86,$NN$86/$NT$86)),0)</f>
        <v/>
      </c>
      <c r="LR86" s="402">
        <f>IF(AND(326&gt;=$NR$86,326&lt;=$NS$86),IF($NP$86="Single_Point",IF(326=$NR$86,$NN$86,0),IF($NP$86="Bell_Curve",$NN$86*(326-$NR$86+1)*($NS$86-326+1)/$NU$86,$NN$86/$NT$86)),0)</f>
        <v/>
      </c>
      <c r="LS86" s="402">
        <f>IF(AND(327&gt;=$NR$86,327&lt;=$NS$86),IF($NP$86="Single_Point",IF(327=$NR$86,$NN$86,0),IF($NP$86="Bell_Curve",$NN$86*(327-$NR$86+1)*($NS$86-327+1)/$NU$86,$NN$86/$NT$86)),0)</f>
        <v/>
      </c>
      <c r="LT86" s="402">
        <f>IF(AND(328&gt;=$NR$86,328&lt;=$NS$86),IF($NP$86="Single_Point",IF(328=$NR$86,$NN$86,0),IF($NP$86="Bell_Curve",$NN$86*(328-$NR$86+1)*($NS$86-328+1)/$NU$86,$NN$86/$NT$86)),0)</f>
        <v/>
      </c>
      <c r="LU86" s="402">
        <f>IF(AND(329&gt;=$NR$86,329&lt;=$NS$86),IF($NP$86="Single_Point",IF(329=$NR$86,$NN$86,0),IF($NP$86="Bell_Curve",$NN$86*(329-$NR$86+1)*($NS$86-329+1)/$NU$86,$NN$86/$NT$86)),0)</f>
        <v/>
      </c>
      <c r="LV86" s="402">
        <f>IF(AND(330&gt;=$NR$86,330&lt;=$NS$86),IF($NP$86="Single_Point",IF(330=$NR$86,$NN$86,0),IF($NP$86="Bell_Curve",$NN$86*(330-$NR$86+1)*($NS$86-330+1)/$NU$86,$NN$86/$NT$86)),0)</f>
        <v/>
      </c>
      <c r="LW86" s="402">
        <f>IF(AND(331&gt;=$NR$86,331&lt;=$NS$86),IF($NP$86="Single_Point",IF(331=$NR$86,$NN$86,0),IF($NP$86="Bell_Curve",$NN$86*(331-$NR$86+1)*($NS$86-331+1)/$NU$86,$NN$86/$NT$86)),0)</f>
        <v/>
      </c>
      <c r="LX86" s="402">
        <f>IF(AND(332&gt;=$NR$86,332&lt;=$NS$86),IF($NP$86="Single_Point",IF(332=$NR$86,$NN$86,0),IF($NP$86="Bell_Curve",$NN$86*(332-$NR$86+1)*($NS$86-332+1)/$NU$86,$NN$86/$NT$86)),0)</f>
        <v/>
      </c>
      <c r="LY86" s="402">
        <f>IF(AND(333&gt;=$NR$86,333&lt;=$NS$86),IF($NP$86="Single_Point",IF(333=$NR$86,$NN$86,0),IF($NP$86="Bell_Curve",$NN$86*(333-$NR$86+1)*($NS$86-333+1)/$NU$86,$NN$86/$NT$86)),0)</f>
        <v/>
      </c>
      <c r="LZ86" s="402">
        <f>IF(AND(334&gt;=$NR$86,334&lt;=$NS$86),IF($NP$86="Single_Point",IF(334=$NR$86,$NN$86,0),IF($NP$86="Bell_Curve",$NN$86*(334-$NR$86+1)*($NS$86-334+1)/$NU$86,$NN$86/$NT$86)),0)</f>
        <v/>
      </c>
      <c r="MA86" s="402">
        <f>IF(AND(335&gt;=$NR$86,335&lt;=$NS$86),IF($NP$86="Single_Point",IF(335=$NR$86,$NN$86,0),IF($NP$86="Bell_Curve",$NN$86*(335-$NR$86+1)*($NS$86-335+1)/$NU$86,$NN$86/$NT$86)),0)</f>
        <v/>
      </c>
      <c r="MB86" s="402">
        <f>IF(AND(336&gt;=$NR$86,336&lt;=$NS$86),IF($NP$86="Single_Point",IF(336=$NR$86,$NN$86,0),IF($NP$86="Bell_Curve",$NN$86*(336-$NR$86+1)*($NS$86-336+1)/$NU$86,$NN$86/$NT$86)),0)</f>
        <v/>
      </c>
      <c r="MC86" s="402">
        <f>IF(AND(337&gt;=$NR$86,337&lt;=$NS$86),IF($NP$86="Single_Point",IF(337=$NR$86,$NN$86,0),IF($NP$86="Bell_Curve",$NN$86*(337-$NR$86+1)*($NS$86-337+1)/$NU$86,$NN$86/$NT$86)),0)</f>
        <v/>
      </c>
      <c r="MD86" s="402">
        <f>IF(AND(338&gt;=$NR$86,338&lt;=$NS$86),IF($NP$86="Single_Point",IF(338=$NR$86,$NN$86,0),IF($NP$86="Bell_Curve",$NN$86*(338-$NR$86+1)*($NS$86-338+1)/$NU$86,$NN$86/$NT$86)),0)</f>
        <v/>
      </c>
      <c r="ME86" s="402">
        <f>IF(AND(339&gt;=$NR$86,339&lt;=$NS$86),IF($NP$86="Single_Point",IF(339=$NR$86,$NN$86,0),IF($NP$86="Bell_Curve",$NN$86*(339-$NR$86+1)*($NS$86-339+1)/$NU$86,$NN$86/$NT$86)),0)</f>
        <v/>
      </c>
      <c r="MF86" s="402">
        <f>IF(AND(340&gt;=$NR$86,340&lt;=$NS$86),IF($NP$86="Single_Point",IF(340=$NR$86,$NN$86,0),IF($NP$86="Bell_Curve",$NN$86*(340-$NR$86+1)*($NS$86-340+1)/$NU$86,$NN$86/$NT$86)),0)</f>
        <v/>
      </c>
      <c r="MG86" s="402">
        <f>IF(AND(341&gt;=$NR$86,341&lt;=$NS$86),IF($NP$86="Single_Point",IF(341=$NR$86,$NN$86,0),IF($NP$86="Bell_Curve",$NN$86*(341-$NR$86+1)*($NS$86-341+1)/$NU$86,$NN$86/$NT$86)),0)</f>
        <v/>
      </c>
      <c r="MH86" s="402">
        <f>IF(AND(342&gt;=$NR$86,342&lt;=$NS$86),IF($NP$86="Single_Point",IF(342=$NR$86,$NN$86,0),IF($NP$86="Bell_Curve",$NN$86*(342-$NR$86+1)*($NS$86-342+1)/$NU$86,$NN$86/$NT$86)),0)</f>
        <v/>
      </c>
      <c r="MI86" s="402">
        <f>IF(AND(343&gt;=$NR$86,343&lt;=$NS$86),IF($NP$86="Single_Point",IF(343=$NR$86,$NN$86,0),IF($NP$86="Bell_Curve",$NN$86*(343-$NR$86+1)*($NS$86-343+1)/$NU$86,$NN$86/$NT$86)),0)</f>
        <v/>
      </c>
      <c r="MJ86" s="402">
        <f>IF(AND(344&gt;=$NR$86,344&lt;=$NS$86),IF($NP$86="Single_Point",IF(344=$NR$86,$NN$86,0),IF($NP$86="Bell_Curve",$NN$86*(344-$NR$86+1)*($NS$86-344+1)/$NU$86,$NN$86/$NT$86)),0)</f>
        <v/>
      </c>
      <c r="MK86" s="402">
        <f>IF(AND(345&gt;=$NR$86,345&lt;=$NS$86),IF($NP$86="Single_Point",IF(345=$NR$86,$NN$86,0),IF($NP$86="Bell_Curve",$NN$86*(345-$NR$86+1)*($NS$86-345+1)/$NU$86,$NN$86/$NT$86)),0)</f>
        <v/>
      </c>
      <c r="ML86" s="402">
        <f>IF(AND(346&gt;=$NR$86,346&lt;=$NS$86),IF($NP$86="Single_Point",IF(346=$NR$86,$NN$86,0),IF($NP$86="Bell_Curve",$NN$86*(346-$NR$86+1)*($NS$86-346+1)/$NU$86,$NN$86/$NT$86)),0)</f>
        <v/>
      </c>
      <c r="MM86" s="402">
        <f>IF(AND(347&gt;=$NR$86,347&lt;=$NS$86),IF($NP$86="Single_Point",IF(347=$NR$86,$NN$86,0),IF($NP$86="Bell_Curve",$NN$86*(347-$NR$86+1)*($NS$86-347+1)/$NU$86,$NN$86/$NT$86)),0)</f>
        <v/>
      </c>
      <c r="MN86" s="402">
        <f>IF(AND(348&gt;=$NR$86,348&lt;=$NS$86),IF($NP$86="Single_Point",IF(348=$NR$86,$NN$86,0),IF($NP$86="Bell_Curve",$NN$86*(348-$NR$86+1)*($NS$86-348+1)/$NU$86,$NN$86/$NT$86)),0)</f>
        <v/>
      </c>
      <c r="MO86" s="402">
        <f>IF(AND(349&gt;=$NR$86,349&lt;=$NS$86),IF($NP$86="Single_Point",IF(349=$NR$86,$NN$86,0),IF($NP$86="Bell_Curve",$NN$86*(349-$NR$86+1)*($NS$86-349+1)/$NU$86,$NN$86/$NT$86)),0)</f>
        <v/>
      </c>
      <c r="MP86" s="402">
        <f>IF(AND(350&gt;=$NR$86,350&lt;=$NS$86),IF($NP$86="Single_Point",IF(350=$NR$86,$NN$86,0),IF($NP$86="Bell_Curve",$NN$86*(350-$NR$86+1)*($NS$86-350+1)/$NU$86,$NN$86/$NT$86)),0)</f>
        <v/>
      </c>
      <c r="MQ86" s="402">
        <f>IF(AND(351&gt;=$NR$86,351&lt;=$NS$86),IF($NP$86="Single_Point",IF(351=$NR$86,$NN$86,0),IF($NP$86="Bell_Curve",$NN$86*(351-$NR$86+1)*($NS$86-351+1)/$NU$86,$NN$86/$NT$86)),0)</f>
        <v/>
      </c>
      <c r="MR86" s="402">
        <f>IF(AND(352&gt;=$NR$86,352&lt;=$NS$86),IF($NP$86="Single_Point",IF(352=$NR$86,$NN$86,0),IF($NP$86="Bell_Curve",$NN$86*(352-$NR$86+1)*($NS$86-352+1)/$NU$86,$NN$86/$NT$86)),0)</f>
        <v/>
      </c>
      <c r="MS86" s="402">
        <f>IF(AND(353&gt;=$NR$86,353&lt;=$NS$86),IF($NP$86="Single_Point",IF(353=$NR$86,$NN$86,0),IF($NP$86="Bell_Curve",$NN$86*(353-$NR$86+1)*($NS$86-353+1)/$NU$86,$NN$86/$NT$86)),0)</f>
        <v/>
      </c>
      <c r="MT86" s="402">
        <f>IF(AND(354&gt;=$NR$86,354&lt;=$NS$86),IF($NP$86="Single_Point",IF(354=$NR$86,$NN$86,0),IF($NP$86="Bell_Curve",$NN$86*(354-$NR$86+1)*($NS$86-354+1)/$NU$86,$NN$86/$NT$86)),0)</f>
        <v/>
      </c>
      <c r="MU86" s="402">
        <f>IF(AND(355&gt;=$NR$86,355&lt;=$NS$86),IF($NP$86="Single_Point",IF(355=$NR$86,$NN$86,0),IF($NP$86="Bell_Curve",$NN$86*(355-$NR$86+1)*($NS$86-355+1)/$NU$86,$NN$86/$NT$86)),0)</f>
        <v/>
      </c>
      <c r="MV86" s="402">
        <f>IF(AND(356&gt;=$NR$86,356&lt;=$NS$86),IF($NP$86="Single_Point",IF(356=$NR$86,$NN$86,0),IF($NP$86="Bell_Curve",$NN$86*(356-$NR$86+1)*($NS$86-356+1)/$NU$86,$NN$86/$NT$86)),0)</f>
        <v/>
      </c>
      <c r="MW86" s="402">
        <f>IF(AND(357&gt;=$NR$86,357&lt;=$NS$86),IF($NP$86="Single_Point",IF(357=$NR$86,$NN$86,0),IF($NP$86="Bell_Curve",$NN$86*(357-$NR$86+1)*($NS$86-357+1)/$NU$86,$NN$86/$NT$86)),0)</f>
        <v/>
      </c>
      <c r="MX86" s="402">
        <f>IF(AND(358&gt;=$NR$86,358&lt;=$NS$86),IF($NP$86="Single_Point",IF(358=$NR$86,$NN$86,0),IF($NP$86="Bell_Curve",$NN$86*(358-$NR$86+1)*($NS$86-358+1)/$NU$86,$NN$86/$NT$86)),0)</f>
        <v/>
      </c>
      <c r="MY86" s="402">
        <f>IF(AND(359&gt;=$NR$86,359&lt;=$NS$86),IF($NP$86="Single_Point",IF(359=$NR$86,$NN$86,0),IF($NP$86="Bell_Curve",$NN$86*(359-$NR$86+1)*($NS$86-359+1)/$NU$86,$NN$86/$NT$86)),0)</f>
        <v/>
      </c>
      <c r="MZ86" s="402">
        <f>IF(AND(360&gt;=$NR$86,360&lt;=$NS$86),IF($NP$86="Single_Point",IF(360=$NR$86,$NN$86,0),IF($NP$86="Bell_Curve",$NN$86*(360-$NR$86+1)*($NS$86-360+1)/$NU$86,$NN$86/$NT$86)),0)</f>
        <v/>
      </c>
      <c r="NA86" s="402">
        <f>IF(AND(361&gt;=$NR$86,361&lt;=$NS$86),IF($NP$86="Single_Point",IF(361=$NR$86,$NN$86,0),IF($NP$86="Bell_Curve",$NN$86*(361-$NR$86+1)*($NS$86-361+1)/$NU$86,$NN$86/$NT$86)),0)</f>
        <v/>
      </c>
      <c r="NB86" s="402">
        <f>IF(AND(362&gt;=$NR$86,362&lt;=$NS$86),IF($NP$86="Single_Point",IF(362=$NR$86,$NN$86,0),IF($NP$86="Bell_Curve",$NN$86*(362-$NR$86+1)*($NS$86-362+1)/$NU$86,$NN$86/$NT$86)),0)</f>
        <v/>
      </c>
      <c r="NC86" s="402">
        <f>IF(AND(363&gt;=$NR$86,363&lt;=$NS$86),IF($NP$86="Single_Point",IF(363=$NR$86,$NN$86,0),IF($NP$86="Bell_Curve",$NN$86*(363-$NR$86+1)*($NS$86-363+1)/$NU$86,$NN$86/$NT$86)),0)</f>
        <v/>
      </c>
      <c r="ND86" s="402">
        <f>IF(AND(364&gt;=$NR$86,364&lt;=$NS$86),IF($NP$86="Single_Point",IF(364=$NR$86,$NN$86,0),IF($NP$86="Bell_Curve",$NN$86*(364-$NR$86+1)*($NS$86-364+1)/$NU$86,$NN$86/$NT$86)),0)</f>
        <v/>
      </c>
      <c r="NE86" s="402">
        <f>IF(AND(365&gt;=$NR$86,365&lt;=$NS$86),IF($NP$86="Single_Point",IF(365=$NR$86,$NN$86,0),IF($NP$86="Bell_Curve",$NN$86*(365-$NR$86+1)*($NS$86-365+1)/$NU$86,$NN$86/$NT$86)),0)</f>
        <v/>
      </c>
      <c r="NF86" s="402">
        <f>IF(AND(366&gt;=$NR$86,366&lt;=$NS$86),IF($NP$86="Single_Point",IF(366=$NR$86,$NN$86,0),IF($NP$86="Bell_Curve",$NN$86*(366-$NR$86+1)*($NS$86-366+1)/$NU$86,$NN$86/$NT$86)),0)</f>
        <v/>
      </c>
      <c r="NG86" s="402">
        <f>IF(AND(367&gt;=$NR$86,367&lt;=$NS$86),IF($NP$86="Single_Point",IF(367=$NR$86,$NN$86,0),IF($NP$86="Bell_Curve",$NN$86*(367-$NR$86+1)*($NS$86-367+1)/$NU$86,$NN$86/$NT$86)),0)</f>
        <v/>
      </c>
      <c r="NH86" s="402">
        <f>IF(AND(368&gt;=$NR$86,368&lt;=$NS$86),IF($NP$86="Single_Point",IF(368=$NR$86,$NN$86,0),IF($NP$86="Bell_Curve",$NN$86*(368-$NR$86+1)*($NS$86-368+1)/$NU$86,$NN$86/$NT$86)),0)</f>
        <v/>
      </c>
      <c r="NI86" s="402">
        <f>IF(AND(369&gt;=$NR$86,369&lt;=$NS$86),IF($NP$86="Single_Point",IF(369=$NR$86,$NN$86,0),IF($NP$86="Bell_Curve",$NN$86*(369-$NR$86+1)*($NS$86-369+1)/$NU$86,$NN$86/$NT$86)),0)</f>
        <v/>
      </c>
      <c r="NJ86" s="402">
        <f>IF(AND(370&gt;=$NR$86,370&lt;=$NS$86),IF($NP$86="Single_Point",IF(370=$NR$86,$NN$86,0),IF($NP$86="Bell_Curve",$NN$86*(370-$NR$86+1)*($NS$86-370+1)/$NU$86,$NN$86/$NT$86)),0)</f>
        <v/>
      </c>
      <c r="NK86" s="402">
        <f>IF(AND(371&gt;=$NR$86,371&lt;=$NS$86),IF($NP$86="Single_Point",IF(371=$NR$86,$NN$86,0),IF($NP$86="Bell_Curve",$NN$86*(371-$NR$86+1)*($NS$86-371+1)/$NU$86,$NN$86/$NT$86)),0)</f>
        <v/>
      </c>
      <c r="NL86" s="402">
        <f>IF(AND(372&gt;=$NR$86,372&lt;=$NS$86),IF($NP$86="Single_Point",IF(372=$NR$86,$NN$86,0),IF($NP$86="Bell_Curve",$NN$86*(372-$NR$86+1)*($NS$86-372+1)/$NU$86,$NN$86/$NT$86)),0)</f>
        <v/>
      </c>
      <c r="NM86">
        <f>Budget!C85</f>
        <v/>
      </c>
      <c r="NN86">
        <f>Budget!J85</f>
        <v/>
      </c>
      <c r="NO86">
        <f>Budget!G85</f>
        <v/>
      </c>
      <c r="NP86">
        <f>Budget!H85</f>
        <v/>
      </c>
      <c r="NQ86">
        <f>Budget!I85</f>
        <v/>
      </c>
      <c r="NR86">
        <f>MAX(1,MIN(372,INDEX(MilestoneStart,MATCH(NO86,MilestoneNames,0))+NQ86))</f>
        <v/>
      </c>
      <c r="NS86">
        <f>MAX(NR86,MIN(372,INDEX(MilestoneEnd,MATCH(NO86,MilestoneNames,0))+NQ86))</f>
        <v/>
      </c>
      <c r="NT86">
        <f>NS86-NR86+1</f>
        <v/>
      </c>
      <c r="NU86">
        <f>NT86*(NT86+1)*(NT86+2)/6</f>
        <v/>
      </c>
    </row>
    <row r="87">
      <c r="B87" s="316">
        <f>Budget!B86</f>
        <v/>
      </c>
      <c r="D87" s="402">
        <f>SUM(E87:NL87)</f>
        <v/>
      </c>
      <c r="E87" s="402">
        <f>IF(AND(1&gt;=$NR$87,1&lt;=$NS$87),IF($NP$87="Single_Point",IF(1=$NR$87,$NN$87,0),IF($NP$87="Bell_Curve",$NN$87*(1-$NR$87+1)*($NS$87-1+1)/$NU$87,$NN$87/$NT$87)),0)</f>
        <v/>
      </c>
      <c r="F87" s="402">
        <f>IF(AND(2&gt;=$NR$87,2&lt;=$NS$87),IF($NP$87="Single_Point",IF(2=$NR$87,$NN$87,0),IF($NP$87="Bell_Curve",$NN$87*(2-$NR$87+1)*($NS$87-2+1)/$NU$87,$NN$87/$NT$87)),0)</f>
        <v/>
      </c>
      <c r="G87" s="402">
        <f>IF(AND(3&gt;=$NR$87,3&lt;=$NS$87),IF($NP$87="Single_Point",IF(3=$NR$87,$NN$87,0),IF($NP$87="Bell_Curve",$NN$87*(3-$NR$87+1)*($NS$87-3+1)/$NU$87,$NN$87/$NT$87)),0)</f>
        <v/>
      </c>
      <c r="H87" s="402">
        <f>IF(AND(4&gt;=$NR$87,4&lt;=$NS$87),IF($NP$87="Single_Point",IF(4=$NR$87,$NN$87,0),IF($NP$87="Bell_Curve",$NN$87*(4-$NR$87+1)*($NS$87-4+1)/$NU$87,$NN$87/$NT$87)),0)</f>
        <v/>
      </c>
      <c r="I87" s="402">
        <f>IF(AND(5&gt;=$NR$87,5&lt;=$NS$87),IF($NP$87="Single_Point",IF(5=$NR$87,$NN$87,0),IF($NP$87="Bell_Curve",$NN$87*(5-$NR$87+1)*($NS$87-5+1)/$NU$87,$NN$87/$NT$87)),0)</f>
        <v/>
      </c>
      <c r="J87" s="402">
        <f>IF(AND(6&gt;=$NR$87,6&lt;=$NS$87),IF($NP$87="Single_Point",IF(6=$NR$87,$NN$87,0),IF($NP$87="Bell_Curve",$NN$87*(6-$NR$87+1)*($NS$87-6+1)/$NU$87,$NN$87/$NT$87)),0)</f>
        <v/>
      </c>
      <c r="K87" s="402">
        <f>IF(AND(7&gt;=$NR$87,7&lt;=$NS$87),IF($NP$87="Single_Point",IF(7=$NR$87,$NN$87,0),IF($NP$87="Bell_Curve",$NN$87*(7-$NR$87+1)*($NS$87-7+1)/$NU$87,$NN$87/$NT$87)),0)</f>
        <v/>
      </c>
      <c r="L87" s="402">
        <f>IF(AND(8&gt;=$NR$87,8&lt;=$NS$87),IF($NP$87="Single_Point",IF(8=$NR$87,$NN$87,0),IF($NP$87="Bell_Curve",$NN$87*(8-$NR$87+1)*($NS$87-8+1)/$NU$87,$NN$87/$NT$87)),0)</f>
        <v/>
      </c>
      <c r="M87" s="402">
        <f>IF(AND(9&gt;=$NR$87,9&lt;=$NS$87),IF($NP$87="Single_Point",IF(9=$NR$87,$NN$87,0),IF($NP$87="Bell_Curve",$NN$87*(9-$NR$87+1)*($NS$87-9+1)/$NU$87,$NN$87/$NT$87)),0)</f>
        <v/>
      </c>
      <c r="N87" s="402">
        <f>IF(AND(10&gt;=$NR$87,10&lt;=$NS$87),IF($NP$87="Single_Point",IF(10=$NR$87,$NN$87,0),IF($NP$87="Bell_Curve",$NN$87*(10-$NR$87+1)*($NS$87-10+1)/$NU$87,$NN$87/$NT$87)),0)</f>
        <v/>
      </c>
      <c r="O87" s="402">
        <f>IF(AND(11&gt;=$NR$87,11&lt;=$NS$87),IF($NP$87="Single_Point",IF(11=$NR$87,$NN$87,0),IF($NP$87="Bell_Curve",$NN$87*(11-$NR$87+1)*($NS$87-11+1)/$NU$87,$NN$87/$NT$87)),0)</f>
        <v/>
      </c>
      <c r="P87" s="402">
        <f>IF(AND(12&gt;=$NR$87,12&lt;=$NS$87),IF($NP$87="Single_Point",IF(12=$NR$87,$NN$87,0),IF($NP$87="Bell_Curve",$NN$87*(12-$NR$87+1)*($NS$87-12+1)/$NU$87,$NN$87/$NT$87)),0)</f>
        <v/>
      </c>
      <c r="Q87" s="402">
        <f>IF(AND(13&gt;=$NR$87,13&lt;=$NS$87),IF($NP$87="Single_Point",IF(13=$NR$87,$NN$87,0),IF($NP$87="Bell_Curve",$NN$87*(13-$NR$87+1)*($NS$87-13+1)/$NU$87,$NN$87/$NT$87)),0)</f>
        <v/>
      </c>
      <c r="R87" s="402">
        <f>IF(AND(14&gt;=$NR$87,14&lt;=$NS$87),IF($NP$87="Single_Point",IF(14=$NR$87,$NN$87,0),IF($NP$87="Bell_Curve",$NN$87*(14-$NR$87+1)*($NS$87-14+1)/$NU$87,$NN$87/$NT$87)),0)</f>
        <v/>
      </c>
      <c r="S87" s="402">
        <f>IF(AND(15&gt;=$NR$87,15&lt;=$NS$87),IF($NP$87="Single_Point",IF(15=$NR$87,$NN$87,0),IF($NP$87="Bell_Curve",$NN$87*(15-$NR$87+1)*($NS$87-15+1)/$NU$87,$NN$87/$NT$87)),0)</f>
        <v/>
      </c>
      <c r="T87" s="402">
        <f>IF(AND(16&gt;=$NR$87,16&lt;=$NS$87),IF($NP$87="Single_Point",IF(16=$NR$87,$NN$87,0),IF($NP$87="Bell_Curve",$NN$87*(16-$NR$87+1)*($NS$87-16+1)/$NU$87,$NN$87/$NT$87)),0)</f>
        <v/>
      </c>
      <c r="U87" s="402">
        <f>IF(AND(17&gt;=$NR$87,17&lt;=$NS$87),IF($NP$87="Single_Point",IF(17=$NR$87,$NN$87,0),IF($NP$87="Bell_Curve",$NN$87*(17-$NR$87+1)*($NS$87-17+1)/$NU$87,$NN$87/$NT$87)),0)</f>
        <v/>
      </c>
      <c r="V87" s="402">
        <f>IF(AND(18&gt;=$NR$87,18&lt;=$NS$87),IF($NP$87="Single_Point",IF(18=$NR$87,$NN$87,0),IF($NP$87="Bell_Curve",$NN$87*(18-$NR$87+1)*($NS$87-18+1)/$NU$87,$NN$87/$NT$87)),0)</f>
        <v/>
      </c>
      <c r="W87" s="402">
        <f>IF(AND(19&gt;=$NR$87,19&lt;=$NS$87),IF($NP$87="Single_Point",IF(19=$NR$87,$NN$87,0),IF($NP$87="Bell_Curve",$NN$87*(19-$NR$87+1)*($NS$87-19+1)/$NU$87,$NN$87/$NT$87)),0)</f>
        <v/>
      </c>
      <c r="X87" s="402">
        <f>IF(AND(20&gt;=$NR$87,20&lt;=$NS$87),IF($NP$87="Single_Point",IF(20=$NR$87,$NN$87,0),IF($NP$87="Bell_Curve",$NN$87*(20-$NR$87+1)*($NS$87-20+1)/$NU$87,$NN$87/$NT$87)),0)</f>
        <v/>
      </c>
      <c r="Y87" s="402">
        <f>IF(AND(21&gt;=$NR$87,21&lt;=$NS$87),IF($NP$87="Single_Point",IF(21=$NR$87,$NN$87,0),IF($NP$87="Bell_Curve",$NN$87*(21-$NR$87+1)*($NS$87-21+1)/$NU$87,$NN$87/$NT$87)),0)</f>
        <v/>
      </c>
      <c r="Z87" s="402">
        <f>IF(AND(22&gt;=$NR$87,22&lt;=$NS$87),IF($NP$87="Single_Point",IF(22=$NR$87,$NN$87,0),IF($NP$87="Bell_Curve",$NN$87*(22-$NR$87+1)*($NS$87-22+1)/$NU$87,$NN$87/$NT$87)),0)</f>
        <v/>
      </c>
      <c r="AA87" s="402">
        <f>IF(AND(23&gt;=$NR$87,23&lt;=$NS$87),IF($NP$87="Single_Point",IF(23=$NR$87,$NN$87,0),IF($NP$87="Bell_Curve",$NN$87*(23-$NR$87+1)*($NS$87-23+1)/$NU$87,$NN$87/$NT$87)),0)</f>
        <v/>
      </c>
      <c r="AB87" s="402">
        <f>IF(AND(24&gt;=$NR$87,24&lt;=$NS$87),IF($NP$87="Single_Point",IF(24=$NR$87,$NN$87,0),IF($NP$87="Bell_Curve",$NN$87*(24-$NR$87+1)*($NS$87-24+1)/$NU$87,$NN$87/$NT$87)),0)</f>
        <v/>
      </c>
      <c r="AC87" s="402">
        <f>IF(AND(25&gt;=$NR$87,25&lt;=$NS$87),IF($NP$87="Single_Point",IF(25=$NR$87,$NN$87,0),IF($NP$87="Bell_Curve",$NN$87*(25-$NR$87+1)*($NS$87-25+1)/$NU$87,$NN$87/$NT$87)),0)</f>
        <v/>
      </c>
      <c r="AD87" s="402">
        <f>IF(AND(26&gt;=$NR$87,26&lt;=$NS$87),IF($NP$87="Single_Point",IF(26=$NR$87,$NN$87,0),IF($NP$87="Bell_Curve",$NN$87*(26-$NR$87+1)*($NS$87-26+1)/$NU$87,$NN$87/$NT$87)),0)</f>
        <v/>
      </c>
      <c r="AE87" s="402">
        <f>IF(AND(27&gt;=$NR$87,27&lt;=$NS$87),IF($NP$87="Single_Point",IF(27=$NR$87,$NN$87,0),IF($NP$87="Bell_Curve",$NN$87*(27-$NR$87+1)*($NS$87-27+1)/$NU$87,$NN$87/$NT$87)),0)</f>
        <v/>
      </c>
      <c r="AF87" s="402">
        <f>IF(AND(28&gt;=$NR$87,28&lt;=$NS$87),IF($NP$87="Single_Point",IF(28=$NR$87,$NN$87,0),IF($NP$87="Bell_Curve",$NN$87*(28-$NR$87+1)*($NS$87-28+1)/$NU$87,$NN$87/$NT$87)),0)</f>
        <v/>
      </c>
      <c r="AG87" s="402">
        <f>IF(AND(29&gt;=$NR$87,29&lt;=$NS$87),IF($NP$87="Single_Point",IF(29=$NR$87,$NN$87,0),IF($NP$87="Bell_Curve",$NN$87*(29-$NR$87+1)*($NS$87-29+1)/$NU$87,$NN$87/$NT$87)),0)</f>
        <v/>
      </c>
      <c r="AH87" s="402">
        <f>IF(AND(30&gt;=$NR$87,30&lt;=$NS$87),IF($NP$87="Single_Point",IF(30=$NR$87,$NN$87,0),IF($NP$87="Bell_Curve",$NN$87*(30-$NR$87+1)*($NS$87-30+1)/$NU$87,$NN$87/$NT$87)),0)</f>
        <v/>
      </c>
      <c r="AI87" s="402">
        <f>IF(AND(31&gt;=$NR$87,31&lt;=$NS$87),IF($NP$87="Single_Point",IF(31=$NR$87,$NN$87,0),IF($NP$87="Bell_Curve",$NN$87*(31-$NR$87+1)*($NS$87-31+1)/$NU$87,$NN$87/$NT$87)),0)</f>
        <v/>
      </c>
      <c r="AJ87" s="402">
        <f>IF(AND(32&gt;=$NR$87,32&lt;=$NS$87),IF($NP$87="Single_Point",IF(32=$NR$87,$NN$87,0),IF($NP$87="Bell_Curve",$NN$87*(32-$NR$87+1)*($NS$87-32+1)/$NU$87,$NN$87/$NT$87)),0)</f>
        <v/>
      </c>
      <c r="AK87" s="402">
        <f>IF(AND(33&gt;=$NR$87,33&lt;=$NS$87),IF($NP$87="Single_Point",IF(33=$NR$87,$NN$87,0),IF($NP$87="Bell_Curve",$NN$87*(33-$NR$87+1)*($NS$87-33+1)/$NU$87,$NN$87/$NT$87)),0)</f>
        <v/>
      </c>
      <c r="AL87" s="402">
        <f>IF(AND(34&gt;=$NR$87,34&lt;=$NS$87),IF($NP$87="Single_Point",IF(34=$NR$87,$NN$87,0),IF($NP$87="Bell_Curve",$NN$87*(34-$NR$87+1)*($NS$87-34+1)/$NU$87,$NN$87/$NT$87)),0)</f>
        <v/>
      </c>
      <c r="AM87" s="402">
        <f>IF(AND(35&gt;=$NR$87,35&lt;=$NS$87),IF($NP$87="Single_Point",IF(35=$NR$87,$NN$87,0),IF($NP$87="Bell_Curve",$NN$87*(35-$NR$87+1)*($NS$87-35+1)/$NU$87,$NN$87/$NT$87)),0)</f>
        <v/>
      </c>
      <c r="AN87" s="402">
        <f>IF(AND(36&gt;=$NR$87,36&lt;=$NS$87),IF($NP$87="Single_Point",IF(36=$NR$87,$NN$87,0),IF($NP$87="Bell_Curve",$NN$87*(36-$NR$87+1)*($NS$87-36+1)/$NU$87,$NN$87/$NT$87)),0)</f>
        <v/>
      </c>
      <c r="AO87" s="402">
        <f>IF(AND(37&gt;=$NR$87,37&lt;=$NS$87),IF($NP$87="Single_Point",IF(37=$NR$87,$NN$87,0),IF($NP$87="Bell_Curve",$NN$87*(37-$NR$87+1)*($NS$87-37+1)/$NU$87,$NN$87/$NT$87)),0)</f>
        <v/>
      </c>
      <c r="AP87" s="402">
        <f>IF(AND(38&gt;=$NR$87,38&lt;=$NS$87),IF($NP$87="Single_Point",IF(38=$NR$87,$NN$87,0),IF($NP$87="Bell_Curve",$NN$87*(38-$NR$87+1)*($NS$87-38+1)/$NU$87,$NN$87/$NT$87)),0)</f>
        <v/>
      </c>
      <c r="AQ87" s="402">
        <f>IF(AND(39&gt;=$NR$87,39&lt;=$NS$87),IF($NP$87="Single_Point",IF(39=$NR$87,$NN$87,0),IF($NP$87="Bell_Curve",$NN$87*(39-$NR$87+1)*($NS$87-39+1)/$NU$87,$NN$87/$NT$87)),0)</f>
        <v/>
      </c>
      <c r="AR87" s="402">
        <f>IF(AND(40&gt;=$NR$87,40&lt;=$NS$87),IF($NP$87="Single_Point",IF(40=$NR$87,$NN$87,0),IF($NP$87="Bell_Curve",$NN$87*(40-$NR$87+1)*($NS$87-40+1)/$NU$87,$NN$87/$NT$87)),0)</f>
        <v/>
      </c>
      <c r="AS87" s="402">
        <f>IF(AND(41&gt;=$NR$87,41&lt;=$NS$87),IF($NP$87="Single_Point",IF(41=$NR$87,$NN$87,0),IF($NP$87="Bell_Curve",$NN$87*(41-$NR$87+1)*($NS$87-41+1)/$NU$87,$NN$87/$NT$87)),0)</f>
        <v/>
      </c>
      <c r="AT87" s="402">
        <f>IF(AND(42&gt;=$NR$87,42&lt;=$NS$87),IF($NP$87="Single_Point",IF(42=$NR$87,$NN$87,0),IF($NP$87="Bell_Curve",$NN$87*(42-$NR$87+1)*($NS$87-42+1)/$NU$87,$NN$87/$NT$87)),0)</f>
        <v/>
      </c>
      <c r="AU87" s="402">
        <f>IF(AND(43&gt;=$NR$87,43&lt;=$NS$87),IF($NP$87="Single_Point",IF(43=$NR$87,$NN$87,0),IF($NP$87="Bell_Curve",$NN$87*(43-$NR$87+1)*($NS$87-43+1)/$NU$87,$NN$87/$NT$87)),0)</f>
        <v/>
      </c>
      <c r="AV87" s="402">
        <f>IF(AND(44&gt;=$NR$87,44&lt;=$NS$87),IF($NP$87="Single_Point",IF(44=$NR$87,$NN$87,0),IF($NP$87="Bell_Curve",$NN$87*(44-$NR$87+1)*($NS$87-44+1)/$NU$87,$NN$87/$NT$87)),0)</f>
        <v/>
      </c>
      <c r="AW87" s="402">
        <f>IF(AND(45&gt;=$NR$87,45&lt;=$NS$87),IF($NP$87="Single_Point",IF(45=$NR$87,$NN$87,0),IF($NP$87="Bell_Curve",$NN$87*(45-$NR$87+1)*($NS$87-45+1)/$NU$87,$NN$87/$NT$87)),0)</f>
        <v/>
      </c>
      <c r="AX87" s="402">
        <f>IF(AND(46&gt;=$NR$87,46&lt;=$NS$87),IF($NP$87="Single_Point",IF(46=$NR$87,$NN$87,0),IF($NP$87="Bell_Curve",$NN$87*(46-$NR$87+1)*($NS$87-46+1)/$NU$87,$NN$87/$NT$87)),0)</f>
        <v/>
      </c>
      <c r="AY87" s="402">
        <f>IF(AND(47&gt;=$NR$87,47&lt;=$NS$87),IF($NP$87="Single_Point",IF(47=$NR$87,$NN$87,0),IF($NP$87="Bell_Curve",$NN$87*(47-$NR$87+1)*($NS$87-47+1)/$NU$87,$NN$87/$NT$87)),0)</f>
        <v/>
      </c>
      <c r="AZ87" s="402">
        <f>IF(AND(48&gt;=$NR$87,48&lt;=$NS$87),IF($NP$87="Single_Point",IF(48=$NR$87,$NN$87,0),IF($NP$87="Bell_Curve",$NN$87*(48-$NR$87+1)*($NS$87-48+1)/$NU$87,$NN$87/$NT$87)),0)</f>
        <v/>
      </c>
      <c r="BA87" s="402">
        <f>IF(AND(49&gt;=$NR$87,49&lt;=$NS$87),IF($NP$87="Single_Point",IF(49=$NR$87,$NN$87,0),IF($NP$87="Bell_Curve",$NN$87*(49-$NR$87+1)*($NS$87-49+1)/$NU$87,$NN$87/$NT$87)),0)</f>
        <v/>
      </c>
      <c r="BB87" s="402">
        <f>IF(AND(50&gt;=$NR$87,50&lt;=$NS$87),IF($NP$87="Single_Point",IF(50=$NR$87,$NN$87,0),IF($NP$87="Bell_Curve",$NN$87*(50-$NR$87+1)*($NS$87-50+1)/$NU$87,$NN$87/$NT$87)),0)</f>
        <v/>
      </c>
      <c r="BC87" s="402">
        <f>IF(AND(51&gt;=$NR$87,51&lt;=$NS$87),IF($NP$87="Single_Point",IF(51=$NR$87,$NN$87,0),IF($NP$87="Bell_Curve",$NN$87*(51-$NR$87+1)*($NS$87-51+1)/$NU$87,$NN$87/$NT$87)),0)</f>
        <v/>
      </c>
      <c r="BD87" s="402">
        <f>IF(AND(52&gt;=$NR$87,52&lt;=$NS$87),IF($NP$87="Single_Point",IF(52=$NR$87,$NN$87,0),IF($NP$87="Bell_Curve",$NN$87*(52-$NR$87+1)*($NS$87-52+1)/$NU$87,$NN$87/$NT$87)),0)</f>
        <v/>
      </c>
      <c r="BE87" s="402">
        <f>IF(AND(53&gt;=$NR$87,53&lt;=$NS$87),IF($NP$87="Single_Point",IF(53=$NR$87,$NN$87,0),IF($NP$87="Bell_Curve",$NN$87*(53-$NR$87+1)*($NS$87-53+1)/$NU$87,$NN$87/$NT$87)),0)</f>
        <v/>
      </c>
      <c r="BF87" s="402">
        <f>IF(AND(54&gt;=$NR$87,54&lt;=$NS$87),IF($NP$87="Single_Point",IF(54=$NR$87,$NN$87,0),IF($NP$87="Bell_Curve",$NN$87*(54-$NR$87+1)*($NS$87-54+1)/$NU$87,$NN$87/$NT$87)),0)</f>
        <v/>
      </c>
      <c r="BG87" s="402">
        <f>IF(AND(55&gt;=$NR$87,55&lt;=$NS$87),IF($NP$87="Single_Point",IF(55=$NR$87,$NN$87,0),IF($NP$87="Bell_Curve",$NN$87*(55-$NR$87+1)*($NS$87-55+1)/$NU$87,$NN$87/$NT$87)),0)</f>
        <v/>
      </c>
      <c r="BH87" s="402">
        <f>IF(AND(56&gt;=$NR$87,56&lt;=$NS$87),IF($NP$87="Single_Point",IF(56=$NR$87,$NN$87,0),IF($NP$87="Bell_Curve",$NN$87*(56-$NR$87+1)*($NS$87-56+1)/$NU$87,$NN$87/$NT$87)),0)</f>
        <v/>
      </c>
      <c r="BI87" s="402">
        <f>IF(AND(57&gt;=$NR$87,57&lt;=$NS$87),IF($NP$87="Single_Point",IF(57=$NR$87,$NN$87,0),IF($NP$87="Bell_Curve",$NN$87*(57-$NR$87+1)*($NS$87-57+1)/$NU$87,$NN$87/$NT$87)),0)</f>
        <v/>
      </c>
      <c r="BJ87" s="402">
        <f>IF(AND(58&gt;=$NR$87,58&lt;=$NS$87),IF($NP$87="Single_Point",IF(58=$NR$87,$NN$87,0),IF($NP$87="Bell_Curve",$NN$87*(58-$NR$87+1)*($NS$87-58+1)/$NU$87,$NN$87/$NT$87)),0)</f>
        <v/>
      </c>
      <c r="BK87" s="402">
        <f>IF(AND(59&gt;=$NR$87,59&lt;=$NS$87),IF($NP$87="Single_Point",IF(59=$NR$87,$NN$87,0),IF($NP$87="Bell_Curve",$NN$87*(59-$NR$87+1)*($NS$87-59+1)/$NU$87,$NN$87/$NT$87)),0)</f>
        <v/>
      </c>
      <c r="BL87" s="402">
        <f>IF(AND(60&gt;=$NR$87,60&lt;=$NS$87),IF($NP$87="Single_Point",IF(60=$NR$87,$NN$87,0),IF($NP$87="Bell_Curve",$NN$87*(60-$NR$87+1)*($NS$87-60+1)/$NU$87,$NN$87/$NT$87)),0)</f>
        <v/>
      </c>
      <c r="BM87" s="402">
        <f>IF(AND(61&gt;=$NR$87,61&lt;=$NS$87),IF($NP$87="Single_Point",IF(61=$NR$87,$NN$87,0),IF($NP$87="Bell_Curve",$NN$87*(61-$NR$87+1)*($NS$87-61+1)/$NU$87,$NN$87/$NT$87)),0)</f>
        <v/>
      </c>
      <c r="BN87" s="402">
        <f>IF(AND(62&gt;=$NR$87,62&lt;=$NS$87),IF($NP$87="Single_Point",IF(62=$NR$87,$NN$87,0),IF($NP$87="Bell_Curve",$NN$87*(62-$NR$87+1)*($NS$87-62+1)/$NU$87,$NN$87/$NT$87)),0)</f>
        <v/>
      </c>
      <c r="BO87" s="402">
        <f>IF(AND(63&gt;=$NR$87,63&lt;=$NS$87),IF($NP$87="Single_Point",IF(63=$NR$87,$NN$87,0),IF($NP$87="Bell_Curve",$NN$87*(63-$NR$87+1)*($NS$87-63+1)/$NU$87,$NN$87/$NT$87)),0)</f>
        <v/>
      </c>
      <c r="BP87" s="402">
        <f>IF(AND(64&gt;=$NR$87,64&lt;=$NS$87),IF($NP$87="Single_Point",IF(64=$NR$87,$NN$87,0),IF($NP$87="Bell_Curve",$NN$87*(64-$NR$87+1)*($NS$87-64+1)/$NU$87,$NN$87/$NT$87)),0)</f>
        <v/>
      </c>
      <c r="BQ87" s="402">
        <f>IF(AND(65&gt;=$NR$87,65&lt;=$NS$87),IF($NP$87="Single_Point",IF(65=$NR$87,$NN$87,0),IF($NP$87="Bell_Curve",$NN$87*(65-$NR$87+1)*($NS$87-65+1)/$NU$87,$NN$87/$NT$87)),0)</f>
        <v/>
      </c>
      <c r="BR87" s="402">
        <f>IF(AND(66&gt;=$NR$87,66&lt;=$NS$87),IF($NP$87="Single_Point",IF(66=$NR$87,$NN$87,0),IF($NP$87="Bell_Curve",$NN$87*(66-$NR$87+1)*($NS$87-66+1)/$NU$87,$NN$87/$NT$87)),0)</f>
        <v/>
      </c>
      <c r="BS87" s="402">
        <f>IF(AND(67&gt;=$NR$87,67&lt;=$NS$87),IF($NP$87="Single_Point",IF(67=$NR$87,$NN$87,0),IF($NP$87="Bell_Curve",$NN$87*(67-$NR$87+1)*($NS$87-67+1)/$NU$87,$NN$87/$NT$87)),0)</f>
        <v/>
      </c>
      <c r="BT87" s="402">
        <f>IF(AND(68&gt;=$NR$87,68&lt;=$NS$87),IF($NP$87="Single_Point",IF(68=$NR$87,$NN$87,0),IF($NP$87="Bell_Curve",$NN$87*(68-$NR$87+1)*($NS$87-68+1)/$NU$87,$NN$87/$NT$87)),0)</f>
        <v/>
      </c>
      <c r="BU87" s="402">
        <f>IF(AND(69&gt;=$NR$87,69&lt;=$NS$87),IF($NP$87="Single_Point",IF(69=$NR$87,$NN$87,0),IF($NP$87="Bell_Curve",$NN$87*(69-$NR$87+1)*($NS$87-69+1)/$NU$87,$NN$87/$NT$87)),0)</f>
        <v/>
      </c>
      <c r="BV87" s="402">
        <f>IF(AND(70&gt;=$NR$87,70&lt;=$NS$87),IF($NP$87="Single_Point",IF(70=$NR$87,$NN$87,0),IF($NP$87="Bell_Curve",$NN$87*(70-$NR$87+1)*($NS$87-70+1)/$NU$87,$NN$87/$NT$87)),0)</f>
        <v/>
      </c>
      <c r="BW87" s="402">
        <f>IF(AND(71&gt;=$NR$87,71&lt;=$NS$87),IF($NP$87="Single_Point",IF(71=$NR$87,$NN$87,0),IF($NP$87="Bell_Curve",$NN$87*(71-$NR$87+1)*($NS$87-71+1)/$NU$87,$NN$87/$NT$87)),0)</f>
        <v/>
      </c>
      <c r="BX87" s="402">
        <f>IF(AND(72&gt;=$NR$87,72&lt;=$NS$87),IF($NP$87="Single_Point",IF(72=$NR$87,$NN$87,0),IF($NP$87="Bell_Curve",$NN$87*(72-$NR$87+1)*($NS$87-72+1)/$NU$87,$NN$87/$NT$87)),0)</f>
        <v/>
      </c>
      <c r="BY87" s="402">
        <f>IF(AND(73&gt;=$NR$87,73&lt;=$NS$87),IF($NP$87="Single_Point",IF(73=$NR$87,$NN$87,0),IF($NP$87="Bell_Curve",$NN$87*(73-$NR$87+1)*($NS$87-73+1)/$NU$87,$NN$87/$NT$87)),0)</f>
        <v/>
      </c>
      <c r="BZ87" s="402">
        <f>IF(AND(74&gt;=$NR$87,74&lt;=$NS$87),IF($NP$87="Single_Point",IF(74=$NR$87,$NN$87,0),IF($NP$87="Bell_Curve",$NN$87*(74-$NR$87+1)*($NS$87-74+1)/$NU$87,$NN$87/$NT$87)),0)</f>
        <v/>
      </c>
      <c r="CA87" s="402">
        <f>IF(AND(75&gt;=$NR$87,75&lt;=$NS$87),IF($NP$87="Single_Point",IF(75=$NR$87,$NN$87,0),IF($NP$87="Bell_Curve",$NN$87*(75-$NR$87+1)*($NS$87-75+1)/$NU$87,$NN$87/$NT$87)),0)</f>
        <v/>
      </c>
      <c r="CB87" s="402">
        <f>IF(AND(76&gt;=$NR$87,76&lt;=$NS$87),IF($NP$87="Single_Point",IF(76=$NR$87,$NN$87,0),IF($NP$87="Bell_Curve",$NN$87*(76-$NR$87+1)*($NS$87-76+1)/$NU$87,$NN$87/$NT$87)),0)</f>
        <v/>
      </c>
      <c r="CC87" s="402">
        <f>IF(AND(77&gt;=$NR$87,77&lt;=$NS$87),IF($NP$87="Single_Point",IF(77=$NR$87,$NN$87,0),IF($NP$87="Bell_Curve",$NN$87*(77-$NR$87+1)*($NS$87-77+1)/$NU$87,$NN$87/$NT$87)),0)</f>
        <v/>
      </c>
      <c r="CD87" s="402">
        <f>IF(AND(78&gt;=$NR$87,78&lt;=$NS$87),IF($NP$87="Single_Point",IF(78=$NR$87,$NN$87,0),IF($NP$87="Bell_Curve",$NN$87*(78-$NR$87+1)*($NS$87-78+1)/$NU$87,$NN$87/$NT$87)),0)</f>
        <v/>
      </c>
      <c r="CE87" s="402">
        <f>IF(AND(79&gt;=$NR$87,79&lt;=$NS$87),IF($NP$87="Single_Point",IF(79=$NR$87,$NN$87,0),IF($NP$87="Bell_Curve",$NN$87*(79-$NR$87+1)*($NS$87-79+1)/$NU$87,$NN$87/$NT$87)),0)</f>
        <v/>
      </c>
      <c r="CF87" s="402">
        <f>IF(AND(80&gt;=$NR$87,80&lt;=$NS$87),IF($NP$87="Single_Point",IF(80=$NR$87,$NN$87,0),IF($NP$87="Bell_Curve",$NN$87*(80-$NR$87+1)*($NS$87-80+1)/$NU$87,$NN$87/$NT$87)),0)</f>
        <v/>
      </c>
      <c r="CG87" s="402">
        <f>IF(AND(81&gt;=$NR$87,81&lt;=$NS$87),IF($NP$87="Single_Point",IF(81=$NR$87,$NN$87,0),IF($NP$87="Bell_Curve",$NN$87*(81-$NR$87+1)*($NS$87-81+1)/$NU$87,$NN$87/$NT$87)),0)</f>
        <v/>
      </c>
      <c r="CH87" s="402">
        <f>IF(AND(82&gt;=$NR$87,82&lt;=$NS$87),IF($NP$87="Single_Point",IF(82=$NR$87,$NN$87,0),IF($NP$87="Bell_Curve",$NN$87*(82-$NR$87+1)*($NS$87-82+1)/$NU$87,$NN$87/$NT$87)),0)</f>
        <v/>
      </c>
      <c r="CI87" s="402">
        <f>IF(AND(83&gt;=$NR$87,83&lt;=$NS$87),IF($NP$87="Single_Point",IF(83=$NR$87,$NN$87,0),IF($NP$87="Bell_Curve",$NN$87*(83-$NR$87+1)*($NS$87-83+1)/$NU$87,$NN$87/$NT$87)),0)</f>
        <v/>
      </c>
      <c r="CJ87" s="402">
        <f>IF(AND(84&gt;=$NR$87,84&lt;=$NS$87),IF($NP$87="Single_Point",IF(84=$NR$87,$NN$87,0),IF($NP$87="Bell_Curve",$NN$87*(84-$NR$87+1)*($NS$87-84+1)/$NU$87,$NN$87/$NT$87)),0)</f>
        <v/>
      </c>
      <c r="CK87" s="402">
        <f>IF(AND(85&gt;=$NR$87,85&lt;=$NS$87),IF($NP$87="Single_Point",IF(85=$NR$87,$NN$87,0),IF($NP$87="Bell_Curve",$NN$87*(85-$NR$87+1)*($NS$87-85+1)/$NU$87,$NN$87/$NT$87)),0)</f>
        <v/>
      </c>
      <c r="CL87" s="402">
        <f>IF(AND(86&gt;=$NR$87,86&lt;=$NS$87),IF($NP$87="Single_Point",IF(86=$NR$87,$NN$87,0),IF($NP$87="Bell_Curve",$NN$87*(86-$NR$87+1)*($NS$87-86+1)/$NU$87,$NN$87/$NT$87)),0)</f>
        <v/>
      </c>
      <c r="CM87" s="402">
        <f>IF(AND(87&gt;=$NR$87,87&lt;=$NS$87),IF($NP$87="Single_Point",IF(87=$NR$87,$NN$87,0),IF($NP$87="Bell_Curve",$NN$87*(87-$NR$87+1)*($NS$87-87+1)/$NU$87,$NN$87/$NT$87)),0)</f>
        <v/>
      </c>
      <c r="CN87" s="402">
        <f>IF(AND(88&gt;=$NR$87,88&lt;=$NS$87),IF($NP$87="Single_Point",IF(88=$NR$87,$NN$87,0),IF($NP$87="Bell_Curve",$NN$87*(88-$NR$87+1)*($NS$87-88+1)/$NU$87,$NN$87/$NT$87)),0)</f>
        <v/>
      </c>
      <c r="CO87" s="402">
        <f>IF(AND(89&gt;=$NR$87,89&lt;=$NS$87),IF($NP$87="Single_Point",IF(89=$NR$87,$NN$87,0),IF($NP$87="Bell_Curve",$NN$87*(89-$NR$87+1)*($NS$87-89+1)/$NU$87,$NN$87/$NT$87)),0)</f>
        <v/>
      </c>
      <c r="CP87" s="402">
        <f>IF(AND(90&gt;=$NR$87,90&lt;=$NS$87),IF($NP$87="Single_Point",IF(90=$NR$87,$NN$87,0),IF($NP$87="Bell_Curve",$NN$87*(90-$NR$87+1)*($NS$87-90+1)/$NU$87,$NN$87/$NT$87)),0)</f>
        <v/>
      </c>
      <c r="CQ87" s="402">
        <f>IF(AND(91&gt;=$NR$87,91&lt;=$NS$87),IF($NP$87="Single_Point",IF(91=$NR$87,$NN$87,0),IF($NP$87="Bell_Curve",$NN$87*(91-$NR$87+1)*($NS$87-91+1)/$NU$87,$NN$87/$NT$87)),0)</f>
        <v/>
      </c>
      <c r="CR87" s="402">
        <f>IF(AND(92&gt;=$NR$87,92&lt;=$NS$87),IF($NP$87="Single_Point",IF(92=$NR$87,$NN$87,0),IF($NP$87="Bell_Curve",$NN$87*(92-$NR$87+1)*($NS$87-92+1)/$NU$87,$NN$87/$NT$87)),0)</f>
        <v/>
      </c>
      <c r="CS87" s="402">
        <f>IF(AND(93&gt;=$NR$87,93&lt;=$NS$87),IF($NP$87="Single_Point",IF(93=$NR$87,$NN$87,0),IF($NP$87="Bell_Curve",$NN$87*(93-$NR$87+1)*($NS$87-93+1)/$NU$87,$NN$87/$NT$87)),0)</f>
        <v/>
      </c>
      <c r="CT87" s="402">
        <f>IF(AND(94&gt;=$NR$87,94&lt;=$NS$87),IF($NP$87="Single_Point",IF(94=$NR$87,$NN$87,0),IF($NP$87="Bell_Curve",$NN$87*(94-$NR$87+1)*($NS$87-94+1)/$NU$87,$NN$87/$NT$87)),0)</f>
        <v/>
      </c>
      <c r="CU87" s="402">
        <f>IF(AND(95&gt;=$NR$87,95&lt;=$NS$87),IF($NP$87="Single_Point",IF(95=$NR$87,$NN$87,0),IF($NP$87="Bell_Curve",$NN$87*(95-$NR$87+1)*($NS$87-95+1)/$NU$87,$NN$87/$NT$87)),0)</f>
        <v/>
      </c>
      <c r="CV87" s="402">
        <f>IF(AND(96&gt;=$NR$87,96&lt;=$NS$87),IF($NP$87="Single_Point",IF(96=$NR$87,$NN$87,0),IF($NP$87="Bell_Curve",$NN$87*(96-$NR$87+1)*($NS$87-96+1)/$NU$87,$NN$87/$NT$87)),0)</f>
        <v/>
      </c>
      <c r="CW87" s="402">
        <f>IF(AND(97&gt;=$NR$87,97&lt;=$NS$87),IF($NP$87="Single_Point",IF(97=$NR$87,$NN$87,0),IF($NP$87="Bell_Curve",$NN$87*(97-$NR$87+1)*($NS$87-97+1)/$NU$87,$NN$87/$NT$87)),0)</f>
        <v/>
      </c>
      <c r="CX87" s="402">
        <f>IF(AND(98&gt;=$NR$87,98&lt;=$NS$87),IF($NP$87="Single_Point",IF(98=$NR$87,$NN$87,0),IF($NP$87="Bell_Curve",$NN$87*(98-$NR$87+1)*($NS$87-98+1)/$NU$87,$NN$87/$NT$87)),0)</f>
        <v/>
      </c>
      <c r="CY87" s="402">
        <f>IF(AND(99&gt;=$NR$87,99&lt;=$NS$87),IF($NP$87="Single_Point",IF(99=$NR$87,$NN$87,0),IF($NP$87="Bell_Curve",$NN$87*(99-$NR$87+1)*($NS$87-99+1)/$NU$87,$NN$87/$NT$87)),0)</f>
        <v/>
      </c>
      <c r="CZ87" s="402">
        <f>IF(AND(100&gt;=$NR$87,100&lt;=$NS$87),IF($NP$87="Single_Point",IF(100=$NR$87,$NN$87,0),IF($NP$87="Bell_Curve",$NN$87*(100-$NR$87+1)*($NS$87-100+1)/$NU$87,$NN$87/$NT$87)),0)</f>
        <v/>
      </c>
      <c r="DA87" s="402">
        <f>IF(AND(101&gt;=$NR$87,101&lt;=$NS$87),IF($NP$87="Single_Point",IF(101=$NR$87,$NN$87,0),IF($NP$87="Bell_Curve",$NN$87*(101-$NR$87+1)*($NS$87-101+1)/$NU$87,$NN$87/$NT$87)),0)</f>
        <v/>
      </c>
      <c r="DB87" s="402">
        <f>IF(AND(102&gt;=$NR$87,102&lt;=$NS$87),IF($NP$87="Single_Point",IF(102=$NR$87,$NN$87,0),IF($NP$87="Bell_Curve",$NN$87*(102-$NR$87+1)*($NS$87-102+1)/$NU$87,$NN$87/$NT$87)),0)</f>
        <v/>
      </c>
      <c r="DC87" s="402">
        <f>IF(AND(103&gt;=$NR$87,103&lt;=$NS$87),IF($NP$87="Single_Point",IF(103=$NR$87,$NN$87,0),IF($NP$87="Bell_Curve",$NN$87*(103-$NR$87+1)*($NS$87-103+1)/$NU$87,$NN$87/$NT$87)),0)</f>
        <v/>
      </c>
      <c r="DD87" s="402">
        <f>IF(AND(104&gt;=$NR$87,104&lt;=$NS$87),IF($NP$87="Single_Point",IF(104=$NR$87,$NN$87,0),IF($NP$87="Bell_Curve",$NN$87*(104-$NR$87+1)*($NS$87-104+1)/$NU$87,$NN$87/$NT$87)),0)</f>
        <v/>
      </c>
      <c r="DE87" s="402">
        <f>IF(AND(105&gt;=$NR$87,105&lt;=$NS$87),IF($NP$87="Single_Point",IF(105=$NR$87,$NN$87,0),IF($NP$87="Bell_Curve",$NN$87*(105-$NR$87+1)*($NS$87-105+1)/$NU$87,$NN$87/$NT$87)),0)</f>
        <v/>
      </c>
      <c r="DF87" s="402">
        <f>IF(AND(106&gt;=$NR$87,106&lt;=$NS$87),IF($NP$87="Single_Point",IF(106=$NR$87,$NN$87,0),IF($NP$87="Bell_Curve",$NN$87*(106-$NR$87+1)*($NS$87-106+1)/$NU$87,$NN$87/$NT$87)),0)</f>
        <v/>
      </c>
      <c r="DG87" s="402">
        <f>IF(AND(107&gt;=$NR$87,107&lt;=$NS$87),IF($NP$87="Single_Point",IF(107=$NR$87,$NN$87,0),IF($NP$87="Bell_Curve",$NN$87*(107-$NR$87+1)*($NS$87-107+1)/$NU$87,$NN$87/$NT$87)),0)</f>
        <v/>
      </c>
      <c r="DH87" s="402">
        <f>IF(AND(108&gt;=$NR$87,108&lt;=$NS$87),IF($NP$87="Single_Point",IF(108=$NR$87,$NN$87,0),IF($NP$87="Bell_Curve",$NN$87*(108-$NR$87+1)*($NS$87-108+1)/$NU$87,$NN$87/$NT$87)),0)</f>
        <v/>
      </c>
      <c r="DI87" s="402">
        <f>IF(AND(109&gt;=$NR$87,109&lt;=$NS$87),IF($NP$87="Single_Point",IF(109=$NR$87,$NN$87,0),IF($NP$87="Bell_Curve",$NN$87*(109-$NR$87+1)*($NS$87-109+1)/$NU$87,$NN$87/$NT$87)),0)</f>
        <v/>
      </c>
      <c r="DJ87" s="402">
        <f>IF(AND(110&gt;=$NR$87,110&lt;=$NS$87),IF($NP$87="Single_Point",IF(110=$NR$87,$NN$87,0),IF($NP$87="Bell_Curve",$NN$87*(110-$NR$87+1)*($NS$87-110+1)/$NU$87,$NN$87/$NT$87)),0)</f>
        <v/>
      </c>
      <c r="DK87" s="402">
        <f>IF(AND(111&gt;=$NR$87,111&lt;=$NS$87),IF($NP$87="Single_Point",IF(111=$NR$87,$NN$87,0),IF($NP$87="Bell_Curve",$NN$87*(111-$NR$87+1)*($NS$87-111+1)/$NU$87,$NN$87/$NT$87)),0)</f>
        <v/>
      </c>
      <c r="DL87" s="402">
        <f>IF(AND(112&gt;=$NR$87,112&lt;=$NS$87),IF($NP$87="Single_Point",IF(112=$NR$87,$NN$87,0),IF($NP$87="Bell_Curve",$NN$87*(112-$NR$87+1)*($NS$87-112+1)/$NU$87,$NN$87/$NT$87)),0)</f>
        <v/>
      </c>
      <c r="DM87" s="402">
        <f>IF(AND(113&gt;=$NR$87,113&lt;=$NS$87),IF($NP$87="Single_Point",IF(113=$NR$87,$NN$87,0),IF($NP$87="Bell_Curve",$NN$87*(113-$NR$87+1)*($NS$87-113+1)/$NU$87,$NN$87/$NT$87)),0)</f>
        <v/>
      </c>
      <c r="DN87" s="402">
        <f>IF(AND(114&gt;=$NR$87,114&lt;=$NS$87),IF($NP$87="Single_Point",IF(114=$NR$87,$NN$87,0),IF($NP$87="Bell_Curve",$NN$87*(114-$NR$87+1)*($NS$87-114+1)/$NU$87,$NN$87/$NT$87)),0)</f>
        <v/>
      </c>
      <c r="DO87" s="402">
        <f>IF(AND(115&gt;=$NR$87,115&lt;=$NS$87),IF($NP$87="Single_Point",IF(115=$NR$87,$NN$87,0),IF($NP$87="Bell_Curve",$NN$87*(115-$NR$87+1)*($NS$87-115+1)/$NU$87,$NN$87/$NT$87)),0)</f>
        <v/>
      </c>
      <c r="DP87" s="402">
        <f>IF(AND(116&gt;=$NR$87,116&lt;=$NS$87),IF($NP$87="Single_Point",IF(116=$NR$87,$NN$87,0),IF($NP$87="Bell_Curve",$NN$87*(116-$NR$87+1)*($NS$87-116+1)/$NU$87,$NN$87/$NT$87)),0)</f>
        <v/>
      </c>
      <c r="DQ87" s="402">
        <f>IF(AND(117&gt;=$NR$87,117&lt;=$NS$87),IF($NP$87="Single_Point",IF(117=$NR$87,$NN$87,0),IF($NP$87="Bell_Curve",$NN$87*(117-$NR$87+1)*($NS$87-117+1)/$NU$87,$NN$87/$NT$87)),0)</f>
        <v/>
      </c>
      <c r="DR87" s="402">
        <f>IF(AND(118&gt;=$NR$87,118&lt;=$NS$87),IF($NP$87="Single_Point",IF(118=$NR$87,$NN$87,0),IF($NP$87="Bell_Curve",$NN$87*(118-$NR$87+1)*($NS$87-118+1)/$NU$87,$NN$87/$NT$87)),0)</f>
        <v/>
      </c>
      <c r="DS87" s="402">
        <f>IF(AND(119&gt;=$NR$87,119&lt;=$NS$87),IF($NP$87="Single_Point",IF(119=$NR$87,$NN$87,0),IF($NP$87="Bell_Curve",$NN$87*(119-$NR$87+1)*($NS$87-119+1)/$NU$87,$NN$87/$NT$87)),0)</f>
        <v/>
      </c>
      <c r="DT87" s="402">
        <f>IF(AND(120&gt;=$NR$87,120&lt;=$NS$87),IF($NP$87="Single_Point",IF(120=$NR$87,$NN$87,0),IF($NP$87="Bell_Curve",$NN$87*(120-$NR$87+1)*($NS$87-120+1)/$NU$87,$NN$87/$NT$87)),0)</f>
        <v/>
      </c>
      <c r="DU87" s="402">
        <f>IF(AND(121&gt;=$NR$87,121&lt;=$NS$87),IF($NP$87="Single_Point",IF(121=$NR$87,$NN$87,0),IF($NP$87="Bell_Curve",$NN$87*(121-$NR$87+1)*($NS$87-121+1)/$NU$87,$NN$87/$NT$87)),0)</f>
        <v/>
      </c>
      <c r="DV87" s="402">
        <f>IF(AND(122&gt;=$NR$87,122&lt;=$NS$87),IF($NP$87="Single_Point",IF(122=$NR$87,$NN$87,0),IF($NP$87="Bell_Curve",$NN$87*(122-$NR$87+1)*($NS$87-122+1)/$NU$87,$NN$87/$NT$87)),0)</f>
        <v/>
      </c>
      <c r="DW87" s="402">
        <f>IF(AND(123&gt;=$NR$87,123&lt;=$NS$87),IF($NP$87="Single_Point",IF(123=$NR$87,$NN$87,0),IF($NP$87="Bell_Curve",$NN$87*(123-$NR$87+1)*($NS$87-123+1)/$NU$87,$NN$87/$NT$87)),0)</f>
        <v/>
      </c>
      <c r="DX87" s="402">
        <f>IF(AND(124&gt;=$NR$87,124&lt;=$NS$87),IF($NP$87="Single_Point",IF(124=$NR$87,$NN$87,0),IF($NP$87="Bell_Curve",$NN$87*(124-$NR$87+1)*($NS$87-124+1)/$NU$87,$NN$87/$NT$87)),0)</f>
        <v/>
      </c>
      <c r="DY87" s="402">
        <f>IF(AND(125&gt;=$NR$87,125&lt;=$NS$87),IF($NP$87="Single_Point",IF(125=$NR$87,$NN$87,0),IF($NP$87="Bell_Curve",$NN$87*(125-$NR$87+1)*($NS$87-125+1)/$NU$87,$NN$87/$NT$87)),0)</f>
        <v/>
      </c>
      <c r="DZ87" s="402">
        <f>IF(AND(126&gt;=$NR$87,126&lt;=$NS$87),IF($NP$87="Single_Point",IF(126=$NR$87,$NN$87,0),IF($NP$87="Bell_Curve",$NN$87*(126-$NR$87+1)*($NS$87-126+1)/$NU$87,$NN$87/$NT$87)),0)</f>
        <v/>
      </c>
      <c r="EA87" s="402">
        <f>IF(AND(127&gt;=$NR$87,127&lt;=$NS$87),IF($NP$87="Single_Point",IF(127=$NR$87,$NN$87,0),IF($NP$87="Bell_Curve",$NN$87*(127-$NR$87+1)*($NS$87-127+1)/$NU$87,$NN$87/$NT$87)),0)</f>
        <v/>
      </c>
      <c r="EB87" s="402">
        <f>IF(AND(128&gt;=$NR$87,128&lt;=$NS$87),IF($NP$87="Single_Point",IF(128=$NR$87,$NN$87,0),IF($NP$87="Bell_Curve",$NN$87*(128-$NR$87+1)*($NS$87-128+1)/$NU$87,$NN$87/$NT$87)),0)</f>
        <v/>
      </c>
      <c r="EC87" s="402">
        <f>IF(AND(129&gt;=$NR$87,129&lt;=$NS$87),IF($NP$87="Single_Point",IF(129=$NR$87,$NN$87,0),IF($NP$87="Bell_Curve",$NN$87*(129-$NR$87+1)*($NS$87-129+1)/$NU$87,$NN$87/$NT$87)),0)</f>
        <v/>
      </c>
      <c r="ED87" s="402">
        <f>IF(AND(130&gt;=$NR$87,130&lt;=$NS$87),IF($NP$87="Single_Point",IF(130=$NR$87,$NN$87,0),IF($NP$87="Bell_Curve",$NN$87*(130-$NR$87+1)*($NS$87-130+1)/$NU$87,$NN$87/$NT$87)),0)</f>
        <v/>
      </c>
      <c r="EE87" s="402">
        <f>IF(AND(131&gt;=$NR$87,131&lt;=$NS$87),IF($NP$87="Single_Point",IF(131=$NR$87,$NN$87,0),IF($NP$87="Bell_Curve",$NN$87*(131-$NR$87+1)*($NS$87-131+1)/$NU$87,$NN$87/$NT$87)),0)</f>
        <v/>
      </c>
      <c r="EF87" s="402">
        <f>IF(AND(132&gt;=$NR$87,132&lt;=$NS$87),IF($NP$87="Single_Point",IF(132=$NR$87,$NN$87,0),IF($NP$87="Bell_Curve",$NN$87*(132-$NR$87+1)*($NS$87-132+1)/$NU$87,$NN$87/$NT$87)),0)</f>
        <v/>
      </c>
      <c r="EG87" s="402">
        <f>IF(AND(133&gt;=$NR$87,133&lt;=$NS$87),IF($NP$87="Single_Point",IF(133=$NR$87,$NN$87,0),IF($NP$87="Bell_Curve",$NN$87*(133-$NR$87+1)*($NS$87-133+1)/$NU$87,$NN$87/$NT$87)),0)</f>
        <v/>
      </c>
      <c r="EH87" s="402">
        <f>IF(AND(134&gt;=$NR$87,134&lt;=$NS$87),IF($NP$87="Single_Point",IF(134=$NR$87,$NN$87,0),IF($NP$87="Bell_Curve",$NN$87*(134-$NR$87+1)*($NS$87-134+1)/$NU$87,$NN$87/$NT$87)),0)</f>
        <v/>
      </c>
      <c r="EI87" s="402">
        <f>IF(AND(135&gt;=$NR$87,135&lt;=$NS$87),IF($NP$87="Single_Point",IF(135=$NR$87,$NN$87,0),IF($NP$87="Bell_Curve",$NN$87*(135-$NR$87+1)*($NS$87-135+1)/$NU$87,$NN$87/$NT$87)),0)</f>
        <v/>
      </c>
      <c r="EJ87" s="402">
        <f>IF(AND(136&gt;=$NR$87,136&lt;=$NS$87),IF($NP$87="Single_Point",IF(136=$NR$87,$NN$87,0),IF($NP$87="Bell_Curve",$NN$87*(136-$NR$87+1)*($NS$87-136+1)/$NU$87,$NN$87/$NT$87)),0)</f>
        <v/>
      </c>
      <c r="EK87" s="402">
        <f>IF(AND(137&gt;=$NR$87,137&lt;=$NS$87),IF($NP$87="Single_Point",IF(137=$NR$87,$NN$87,0),IF($NP$87="Bell_Curve",$NN$87*(137-$NR$87+1)*($NS$87-137+1)/$NU$87,$NN$87/$NT$87)),0)</f>
        <v/>
      </c>
      <c r="EL87" s="402">
        <f>IF(AND(138&gt;=$NR$87,138&lt;=$NS$87),IF($NP$87="Single_Point",IF(138=$NR$87,$NN$87,0),IF($NP$87="Bell_Curve",$NN$87*(138-$NR$87+1)*($NS$87-138+1)/$NU$87,$NN$87/$NT$87)),0)</f>
        <v/>
      </c>
      <c r="EM87" s="402">
        <f>IF(AND(139&gt;=$NR$87,139&lt;=$NS$87),IF($NP$87="Single_Point",IF(139=$NR$87,$NN$87,0),IF($NP$87="Bell_Curve",$NN$87*(139-$NR$87+1)*($NS$87-139+1)/$NU$87,$NN$87/$NT$87)),0)</f>
        <v/>
      </c>
      <c r="EN87" s="402">
        <f>IF(AND(140&gt;=$NR$87,140&lt;=$NS$87),IF($NP$87="Single_Point",IF(140=$NR$87,$NN$87,0),IF($NP$87="Bell_Curve",$NN$87*(140-$NR$87+1)*($NS$87-140+1)/$NU$87,$NN$87/$NT$87)),0)</f>
        <v/>
      </c>
      <c r="EO87" s="402">
        <f>IF(AND(141&gt;=$NR$87,141&lt;=$NS$87),IF($NP$87="Single_Point",IF(141=$NR$87,$NN$87,0),IF($NP$87="Bell_Curve",$NN$87*(141-$NR$87+1)*($NS$87-141+1)/$NU$87,$NN$87/$NT$87)),0)</f>
        <v/>
      </c>
      <c r="EP87" s="402">
        <f>IF(AND(142&gt;=$NR$87,142&lt;=$NS$87),IF($NP$87="Single_Point",IF(142=$NR$87,$NN$87,0),IF($NP$87="Bell_Curve",$NN$87*(142-$NR$87+1)*($NS$87-142+1)/$NU$87,$NN$87/$NT$87)),0)</f>
        <v/>
      </c>
      <c r="EQ87" s="402">
        <f>IF(AND(143&gt;=$NR$87,143&lt;=$NS$87),IF($NP$87="Single_Point",IF(143=$NR$87,$NN$87,0),IF($NP$87="Bell_Curve",$NN$87*(143-$NR$87+1)*($NS$87-143+1)/$NU$87,$NN$87/$NT$87)),0)</f>
        <v/>
      </c>
      <c r="ER87" s="402">
        <f>IF(AND(144&gt;=$NR$87,144&lt;=$NS$87),IF($NP$87="Single_Point",IF(144=$NR$87,$NN$87,0),IF($NP$87="Bell_Curve",$NN$87*(144-$NR$87+1)*($NS$87-144+1)/$NU$87,$NN$87/$NT$87)),0)</f>
        <v/>
      </c>
      <c r="ES87" s="402">
        <f>IF(AND(145&gt;=$NR$87,145&lt;=$NS$87),IF($NP$87="Single_Point",IF(145=$NR$87,$NN$87,0),IF($NP$87="Bell_Curve",$NN$87*(145-$NR$87+1)*($NS$87-145+1)/$NU$87,$NN$87/$NT$87)),0)</f>
        <v/>
      </c>
      <c r="ET87" s="402">
        <f>IF(AND(146&gt;=$NR$87,146&lt;=$NS$87),IF($NP$87="Single_Point",IF(146=$NR$87,$NN$87,0),IF($NP$87="Bell_Curve",$NN$87*(146-$NR$87+1)*($NS$87-146+1)/$NU$87,$NN$87/$NT$87)),0)</f>
        <v/>
      </c>
      <c r="EU87" s="402">
        <f>IF(AND(147&gt;=$NR$87,147&lt;=$NS$87),IF($NP$87="Single_Point",IF(147=$NR$87,$NN$87,0),IF($NP$87="Bell_Curve",$NN$87*(147-$NR$87+1)*($NS$87-147+1)/$NU$87,$NN$87/$NT$87)),0)</f>
        <v/>
      </c>
      <c r="EV87" s="402">
        <f>IF(AND(148&gt;=$NR$87,148&lt;=$NS$87),IF($NP$87="Single_Point",IF(148=$NR$87,$NN$87,0),IF($NP$87="Bell_Curve",$NN$87*(148-$NR$87+1)*($NS$87-148+1)/$NU$87,$NN$87/$NT$87)),0)</f>
        <v/>
      </c>
      <c r="EW87" s="402">
        <f>IF(AND(149&gt;=$NR$87,149&lt;=$NS$87),IF($NP$87="Single_Point",IF(149=$NR$87,$NN$87,0),IF($NP$87="Bell_Curve",$NN$87*(149-$NR$87+1)*($NS$87-149+1)/$NU$87,$NN$87/$NT$87)),0)</f>
        <v/>
      </c>
      <c r="EX87" s="402">
        <f>IF(AND(150&gt;=$NR$87,150&lt;=$NS$87),IF($NP$87="Single_Point",IF(150=$NR$87,$NN$87,0),IF($NP$87="Bell_Curve",$NN$87*(150-$NR$87+1)*($NS$87-150+1)/$NU$87,$NN$87/$NT$87)),0)</f>
        <v/>
      </c>
      <c r="EY87" s="402">
        <f>IF(AND(151&gt;=$NR$87,151&lt;=$NS$87),IF($NP$87="Single_Point",IF(151=$NR$87,$NN$87,0),IF($NP$87="Bell_Curve",$NN$87*(151-$NR$87+1)*($NS$87-151+1)/$NU$87,$NN$87/$NT$87)),0)</f>
        <v/>
      </c>
      <c r="EZ87" s="402">
        <f>IF(AND(152&gt;=$NR$87,152&lt;=$NS$87),IF($NP$87="Single_Point",IF(152=$NR$87,$NN$87,0),IF($NP$87="Bell_Curve",$NN$87*(152-$NR$87+1)*($NS$87-152+1)/$NU$87,$NN$87/$NT$87)),0)</f>
        <v/>
      </c>
      <c r="FA87" s="402">
        <f>IF(AND(153&gt;=$NR$87,153&lt;=$NS$87),IF($NP$87="Single_Point",IF(153=$NR$87,$NN$87,0),IF($NP$87="Bell_Curve",$NN$87*(153-$NR$87+1)*($NS$87-153+1)/$NU$87,$NN$87/$NT$87)),0)</f>
        <v/>
      </c>
      <c r="FB87" s="402">
        <f>IF(AND(154&gt;=$NR$87,154&lt;=$NS$87),IF($NP$87="Single_Point",IF(154=$NR$87,$NN$87,0),IF($NP$87="Bell_Curve",$NN$87*(154-$NR$87+1)*($NS$87-154+1)/$NU$87,$NN$87/$NT$87)),0)</f>
        <v/>
      </c>
      <c r="FC87" s="402">
        <f>IF(AND(155&gt;=$NR$87,155&lt;=$NS$87),IF($NP$87="Single_Point",IF(155=$NR$87,$NN$87,0),IF($NP$87="Bell_Curve",$NN$87*(155-$NR$87+1)*($NS$87-155+1)/$NU$87,$NN$87/$NT$87)),0)</f>
        <v/>
      </c>
      <c r="FD87" s="402">
        <f>IF(AND(156&gt;=$NR$87,156&lt;=$NS$87),IF($NP$87="Single_Point",IF(156=$NR$87,$NN$87,0),IF($NP$87="Bell_Curve",$NN$87*(156-$NR$87+1)*($NS$87-156+1)/$NU$87,$NN$87/$NT$87)),0)</f>
        <v/>
      </c>
      <c r="FE87" s="402">
        <f>IF(AND(157&gt;=$NR$87,157&lt;=$NS$87),IF($NP$87="Single_Point",IF(157=$NR$87,$NN$87,0),IF($NP$87="Bell_Curve",$NN$87*(157-$NR$87+1)*($NS$87-157+1)/$NU$87,$NN$87/$NT$87)),0)</f>
        <v/>
      </c>
      <c r="FF87" s="402">
        <f>IF(AND(158&gt;=$NR$87,158&lt;=$NS$87),IF($NP$87="Single_Point",IF(158=$NR$87,$NN$87,0),IF($NP$87="Bell_Curve",$NN$87*(158-$NR$87+1)*($NS$87-158+1)/$NU$87,$NN$87/$NT$87)),0)</f>
        <v/>
      </c>
      <c r="FG87" s="402">
        <f>IF(AND(159&gt;=$NR$87,159&lt;=$NS$87),IF($NP$87="Single_Point",IF(159=$NR$87,$NN$87,0),IF($NP$87="Bell_Curve",$NN$87*(159-$NR$87+1)*($NS$87-159+1)/$NU$87,$NN$87/$NT$87)),0)</f>
        <v/>
      </c>
      <c r="FH87" s="402">
        <f>IF(AND(160&gt;=$NR$87,160&lt;=$NS$87),IF($NP$87="Single_Point",IF(160=$NR$87,$NN$87,0),IF($NP$87="Bell_Curve",$NN$87*(160-$NR$87+1)*($NS$87-160+1)/$NU$87,$NN$87/$NT$87)),0)</f>
        <v/>
      </c>
      <c r="FI87" s="402">
        <f>IF(AND(161&gt;=$NR$87,161&lt;=$NS$87),IF($NP$87="Single_Point",IF(161=$NR$87,$NN$87,0),IF($NP$87="Bell_Curve",$NN$87*(161-$NR$87+1)*($NS$87-161+1)/$NU$87,$NN$87/$NT$87)),0)</f>
        <v/>
      </c>
      <c r="FJ87" s="402">
        <f>IF(AND(162&gt;=$NR$87,162&lt;=$NS$87),IF($NP$87="Single_Point",IF(162=$NR$87,$NN$87,0),IF($NP$87="Bell_Curve",$NN$87*(162-$NR$87+1)*($NS$87-162+1)/$NU$87,$NN$87/$NT$87)),0)</f>
        <v/>
      </c>
      <c r="FK87" s="402">
        <f>IF(AND(163&gt;=$NR$87,163&lt;=$NS$87),IF($NP$87="Single_Point",IF(163=$NR$87,$NN$87,0),IF($NP$87="Bell_Curve",$NN$87*(163-$NR$87+1)*($NS$87-163+1)/$NU$87,$NN$87/$NT$87)),0)</f>
        <v/>
      </c>
      <c r="FL87" s="402">
        <f>IF(AND(164&gt;=$NR$87,164&lt;=$NS$87),IF($NP$87="Single_Point",IF(164=$NR$87,$NN$87,0),IF($NP$87="Bell_Curve",$NN$87*(164-$NR$87+1)*($NS$87-164+1)/$NU$87,$NN$87/$NT$87)),0)</f>
        <v/>
      </c>
      <c r="FM87" s="402">
        <f>IF(AND(165&gt;=$NR$87,165&lt;=$NS$87),IF($NP$87="Single_Point",IF(165=$NR$87,$NN$87,0),IF($NP$87="Bell_Curve",$NN$87*(165-$NR$87+1)*($NS$87-165+1)/$NU$87,$NN$87/$NT$87)),0)</f>
        <v/>
      </c>
      <c r="FN87" s="402">
        <f>IF(AND(166&gt;=$NR$87,166&lt;=$NS$87),IF($NP$87="Single_Point",IF(166=$NR$87,$NN$87,0),IF($NP$87="Bell_Curve",$NN$87*(166-$NR$87+1)*($NS$87-166+1)/$NU$87,$NN$87/$NT$87)),0)</f>
        <v/>
      </c>
      <c r="FO87" s="402">
        <f>IF(AND(167&gt;=$NR$87,167&lt;=$NS$87),IF($NP$87="Single_Point",IF(167=$NR$87,$NN$87,0),IF($NP$87="Bell_Curve",$NN$87*(167-$NR$87+1)*($NS$87-167+1)/$NU$87,$NN$87/$NT$87)),0)</f>
        <v/>
      </c>
      <c r="FP87" s="402">
        <f>IF(AND(168&gt;=$NR$87,168&lt;=$NS$87),IF($NP$87="Single_Point",IF(168=$NR$87,$NN$87,0),IF($NP$87="Bell_Curve",$NN$87*(168-$NR$87+1)*($NS$87-168+1)/$NU$87,$NN$87/$NT$87)),0)</f>
        <v/>
      </c>
      <c r="FQ87" s="402">
        <f>IF(AND(169&gt;=$NR$87,169&lt;=$NS$87),IF($NP$87="Single_Point",IF(169=$NR$87,$NN$87,0),IF($NP$87="Bell_Curve",$NN$87*(169-$NR$87+1)*($NS$87-169+1)/$NU$87,$NN$87/$NT$87)),0)</f>
        <v/>
      </c>
      <c r="FR87" s="402">
        <f>IF(AND(170&gt;=$NR$87,170&lt;=$NS$87),IF($NP$87="Single_Point",IF(170=$NR$87,$NN$87,0),IF($NP$87="Bell_Curve",$NN$87*(170-$NR$87+1)*($NS$87-170+1)/$NU$87,$NN$87/$NT$87)),0)</f>
        <v/>
      </c>
      <c r="FS87" s="402">
        <f>IF(AND(171&gt;=$NR$87,171&lt;=$NS$87),IF($NP$87="Single_Point",IF(171=$NR$87,$NN$87,0),IF($NP$87="Bell_Curve",$NN$87*(171-$NR$87+1)*($NS$87-171+1)/$NU$87,$NN$87/$NT$87)),0)</f>
        <v/>
      </c>
      <c r="FT87" s="402">
        <f>IF(AND(172&gt;=$NR$87,172&lt;=$NS$87),IF($NP$87="Single_Point",IF(172=$NR$87,$NN$87,0),IF($NP$87="Bell_Curve",$NN$87*(172-$NR$87+1)*($NS$87-172+1)/$NU$87,$NN$87/$NT$87)),0)</f>
        <v/>
      </c>
      <c r="FU87" s="402">
        <f>IF(AND(173&gt;=$NR$87,173&lt;=$NS$87),IF($NP$87="Single_Point",IF(173=$NR$87,$NN$87,0),IF($NP$87="Bell_Curve",$NN$87*(173-$NR$87+1)*($NS$87-173+1)/$NU$87,$NN$87/$NT$87)),0)</f>
        <v/>
      </c>
      <c r="FV87" s="402">
        <f>IF(AND(174&gt;=$NR$87,174&lt;=$NS$87),IF($NP$87="Single_Point",IF(174=$NR$87,$NN$87,0),IF($NP$87="Bell_Curve",$NN$87*(174-$NR$87+1)*($NS$87-174+1)/$NU$87,$NN$87/$NT$87)),0)</f>
        <v/>
      </c>
      <c r="FW87" s="402">
        <f>IF(AND(175&gt;=$NR$87,175&lt;=$NS$87),IF($NP$87="Single_Point",IF(175=$NR$87,$NN$87,0),IF($NP$87="Bell_Curve",$NN$87*(175-$NR$87+1)*($NS$87-175+1)/$NU$87,$NN$87/$NT$87)),0)</f>
        <v/>
      </c>
      <c r="FX87" s="402">
        <f>IF(AND(176&gt;=$NR$87,176&lt;=$NS$87),IF($NP$87="Single_Point",IF(176=$NR$87,$NN$87,0),IF($NP$87="Bell_Curve",$NN$87*(176-$NR$87+1)*($NS$87-176+1)/$NU$87,$NN$87/$NT$87)),0)</f>
        <v/>
      </c>
      <c r="FY87" s="402">
        <f>IF(AND(177&gt;=$NR$87,177&lt;=$NS$87),IF($NP$87="Single_Point",IF(177=$NR$87,$NN$87,0),IF($NP$87="Bell_Curve",$NN$87*(177-$NR$87+1)*($NS$87-177+1)/$NU$87,$NN$87/$NT$87)),0)</f>
        <v/>
      </c>
      <c r="FZ87" s="402">
        <f>IF(AND(178&gt;=$NR$87,178&lt;=$NS$87),IF($NP$87="Single_Point",IF(178=$NR$87,$NN$87,0),IF($NP$87="Bell_Curve",$NN$87*(178-$NR$87+1)*($NS$87-178+1)/$NU$87,$NN$87/$NT$87)),0)</f>
        <v/>
      </c>
      <c r="GA87" s="402">
        <f>IF(AND(179&gt;=$NR$87,179&lt;=$NS$87),IF($NP$87="Single_Point",IF(179=$NR$87,$NN$87,0),IF($NP$87="Bell_Curve",$NN$87*(179-$NR$87+1)*($NS$87-179+1)/$NU$87,$NN$87/$NT$87)),0)</f>
        <v/>
      </c>
      <c r="GB87" s="402">
        <f>IF(AND(180&gt;=$NR$87,180&lt;=$NS$87),IF($NP$87="Single_Point",IF(180=$NR$87,$NN$87,0),IF($NP$87="Bell_Curve",$NN$87*(180-$NR$87+1)*($NS$87-180+1)/$NU$87,$NN$87/$NT$87)),0)</f>
        <v/>
      </c>
      <c r="GC87" s="402">
        <f>IF(AND(181&gt;=$NR$87,181&lt;=$NS$87),IF($NP$87="Single_Point",IF(181=$NR$87,$NN$87,0),IF($NP$87="Bell_Curve",$NN$87*(181-$NR$87+1)*($NS$87-181+1)/$NU$87,$NN$87/$NT$87)),0)</f>
        <v/>
      </c>
      <c r="GD87" s="402">
        <f>IF(AND(182&gt;=$NR$87,182&lt;=$NS$87),IF($NP$87="Single_Point",IF(182=$NR$87,$NN$87,0),IF($NP$87="Bell_Curve",$NN$87*(182-$NR$87+1)*($NS$87-182+1)/$NU$87,$NN$87/$NT$87)),0)</f>
        <v/>
      </c>
      <c r="GE87" s="402">
        <f>IF(AND(183&gt;=$NR$87,183&lt;=$NS$87),IF($NP$87="Single_Point",IF(183=$NR$87,$NN$87,0),IF($NP$87="Bell_Curve",$NN$87*(183-$NR$87+1)*($NS$87-183+1)/$NU$87,$NN$87/$NT$87)),0)</f>
        <v/>
      </c>
      <c r="GF87" s="402">
        <f>IF(AND(184&gt;=$NR$87,184&lt;=$NS$87),IF($NP$87="Single_Point",IF(184=$NR$87,$NN$87,0),IF($NP$87="Bell_Curve",$NN$87*(184-$NR$87+1)*($NS$87-184+1)/$NU$87,$NN$87/$NT$87)),0)</f>
        <v/>
      </c>
      <c r="GG87" s="402">
        <f>IF(AND(185&gt;=$NR$87,185&lt;=$NS$87),IF($NP$87="Single_Point",IF(185=$NR$87,$NN$87,0),IF($NP$87="Bell_Curve",$NN$87*(185-$NR$87+1)*($NS$87-185+1)/$NU$87,$NN$87/$NT$87)),0)</f>
        <v/>
      </c>
      <c r="GH87" s="402">
        <f>IF(AND(186&gt;=$NR$87,186&lt;=$NS$87),IF($NP$87="Single_Point",IF(186=$NR$87,$NN$87,0),IF($NP$87="Bell_Curve",$NN$87*(186-$NR$87+1)*($NS$87-186+1)/$NU$87,$NN$87/$NT$87)),0)</f>
        <v/>
      </c>
      <c r="GI87" s="402">
        <f>IF(AND(187&gt;=$NR$87,187&lt;=$NS$87),IF($NP$87="Single_Point",IF(187=$NR$87,$NN$87,0),IF($NP$87="Bell_Curve",$NN$87*(187-$NR$87+1)*($NS$87-187+1)/$NU$87,$NN$87/$NT$87)),0)</f>
        <v/>
      </c>
      <c r="GJ87" s="402">
        <f>IF(AND(188&gt;=$NR$87,188&lt;=$NS$87),IF($NP$87="Single_Point",IF(188=$NR$87,$NN$87,0),IF($NP$87="Bell_Curve",$NN$87*(188-$NR$87+1)*($NS$87-188+1)/$NU$87,$NN$87/$NT$87)),0)</f>
        <v/>
      </c>
      <c r="GK87" s="402">
        <f>IF(AND(189&gt;=$NR$87,189&lt;=$NS$87),IF($NP$87="Single_Point",IF(189=$NR$87,$NN$87,0),IF($NP$87="Bell_Curve",$NN$87*(189-$NR$87+1)*($NS$87-189+1)/$NU$87,$NN$87/$NT$87)),0)</f>
        <v/>
      </c>
      <c r="GL87" s="402">
        <f>IF(AND(190&gt;=$NR$87,190&lt;=$NS$87),IF($NP$87="Single_Point",IF(190=$NR$87,$NN$87,0),IF($NP$87="Bell_Curve",$NN$87*(190-$NR$87+1)*($NS$87-190+1)/$NU$87,$NN$87/$NT$87)),0)</f>
        <v/>
      </c>
      <c r="GM87" s="402">
        <f>IF(AND(191&gt;=$NR$87,191&lt;=$NS$87),IF($NP$87="Single_Point",IF(191=$NR$87,$NN$87,0),IF($NP$87="Bell_Curve",$NN$87*(191-$NR$87+1)*($NS$87-191+1)/$NU$87,$NN$87/$NT$87)),0)</f>
        <v/>
      </c>
      <c r="GN87" s="402">
        <f>IF(AND(192&gt;=$NR$87,192&lt;=$NS$87),IF($NP$87="Single_Point",IF(192=$NR$87,$NN$87,0),IF($NP$87="Bell_Curve",$NN$87*(192-$NR$87+1)*($NS$87-192+1)/$NU$87,$NN$87/$NT$87)),0)</f>
        <v/>
      </c>
      <c r="GO87" s="402">
        <f>IF(AND(193&gt;=$NR$87,193&lt;=$NS$87),IF($NP$87="Single_Point",IF(193=$NR$87,$NN$87,0),IF($NP$87="Bell_Curve",$NN$87*(193-$NR$87+1)*($NS$87-193+1)/$NU$87,$NN$87/$NT$87)),0)</f>
        <v/>
      </c>
      <c r="GP87" s="402">
        <f>IF(AND(194&gt;=$NR$87,194&lt;=$NS$87),IF($NP$87="Single_Point",IF(194=$NR$87,$NN$87,0),IF($NP$87="Bell_Curve",$NN$87*(194-$NR$87+1)*($NS$87-194+1)/$NU$87,$NN$87/$NT$87)),0)</f>
        <v/>
      </c>
      <c r="GQ87" s="402">
        <f>IF(AND(195&gt;=$NR$87,195&lt;=$NS$87),IF($NP$87="Single_Point",IF(195=$NR$87,$NN$87,0),IF($NP$87="Bell_Curve",$NN$87*(195-$NR$87+1)*($NS$87-195+1)/$NU$87,$NN$87/$NT$87)),0)</f>
        <v/>
      </c>
      <c r="GR87" s="402">
        <f>IF(AND(196&gt;=$NR$87,196&lt;=$NS$87),IF($NP$87="Single_Point",IF(196=$NR$87,$NN$87,0),IF($NP$87="Bell_Curve",$NN$87*(196-$NR$87+1)*($NS$87-196+1)/$NU$87,$NN$87/$NT$87)),0)</f>
        <v/>
      </c>
      <c r="GS87" s="402">
        <f>IF(AND(197&gt;=$NR$87,197&lt;=$NS$87),IF($NP$87="Single_Point",IF(197=$NR$87,$NN$87,0),IF($NP$87="Bell_Curve",$NN$87*(197-$NR$87+1)*($NS$87-197+1)/$NU$87,$NN$87/$NT$87)),0)</f>
        <v/>
      </c>
      <c r="GT87" s="402">
        <f>IF(AND(198&gt;=$NR$87,198&lt;=$NS$87),IF($NP$87="Single_Point",IF(198=$NR$87,$NN$87,0),IF($NP$87="Bell_Curve",$NN$87*(198-$NR$87+1)*($NS$87-198+1)/$NU$87,$NN$87/$NT$87)),0)</f>
        <v/>
      </c>
      <c r="GU87" s="402">
        <f>IF(AND(199&gt;=$NR$87,199&lt;=$NS$87),IF($NP$87="Single_Point",IF(199=$NR$87,$NN$87,0),IF($NP$87="Bell_Curve",$NN$87*(199-$NR$87+1)*($NS$87-199+1)/$NU$87,$NN$87/$NT$87)),0)</f>
        <v/>
      </c>
      <c r="GV87" s="402">
        <f>IF(AND(200&gt;=$NR$87,200&lt;=$NS$87),IF($NP$87="Single_Point",IF(200=$NR$87,$NN$87,0),IF($NP$87="Bell_Curve",$NN$87*(200-$NR$87+1)*($NS$87-200+1)/$NU$87,$NN$87/$NT$87)),0)</f>
        <v/>
      </c>
      <c r="GW87" s="402">
        <f>IF(AND(201&gt;=$NR$87,201&lt;=$NS$87),IF($NP$87="Single_Point",IF(201=$NR$87,$NN$87,0),IF($NP$87="Bell_Curve",$NN$87*(201-$NR$87+1)*($NS$87-201+1)/$NU$87,$NN$87/$NT$87)),0)</f>
        <v/>
      </c>
      <c r="GX87" s="402">
        <f>IF(AND(202&gt;=$NR$87,202&lt;=$NS$87),IF($NP$87="Single_Point",IF(202=$NR$87,$NN$87,0),IF($NP$87="Bell_Curve",$NN$87*(202-$NR$87+1)*($NS$87-202+1)/$NU$87,$NN$87/$NT$87)),0)</f>
        <v/>
      </c>
      <c r="GY87" s="402">
        <f>IF(AND(203&gt;=$NR$87,203&lt;=$NS$87),IF($NP$87="Single_Point",IF(203=$NR$87,$NN$87,0),IF($NP$87="Bell_Curve",$NN$87*(203-$NR$87+1)*($NS$87-203+1)/$NU$87,$NN$87/$NT$87)),0)</f>
        <v/>
      </c>
      <c r="GZ87" s="402">
        <f>IF(AND(204&gt;=$NR$87,204&lt;=$NS$87),IF($NP$87="Single_Point",IF(204=$NR$87,$NN$87,0),IF($NP$87="Bell_Curve",$NN$87*(204-$NR$87+1)*($NS$87-204+1)/$NU$87,$NN$87/$NT$87)),0)</f>
        <v/>
      </c>
      <c r="HA87" s="402">
        <f>IF(AND(205&gt;=$NR$87,205&lt;=$NS$87),IF($NP$87="Single_Point",IF(205=$NR$87,$NN$87,0),IF($NP$87="Bell_Curve",$NN$87*(205-$NR$87+1)*($NS$87-205+1)/$NU$87,$NN$87/$NT$87)),0)</f>
        <v/>
      </c>
      <c r="HB87" s="402">
        <f>IF(AND(206&gt;=$NR$87,206&lt;=$NS$87),IF($NP$87="Single_Point",IF(206=$NR$87,$NN$87,0),IF($NP$87="Bell_Curve",$NN$87*(206-$NR$87+1)*($NS$87-206+1)/$NU$87,$NN$87/$NT$87)),0)</f>
        <v/>
      </c>
      <c r="HC87" s="402">
        <f>IF(AND(207&gt;=$NR$87,207&lt;=$NS$87),IF($NP$87="Single_Point",IF(207=$NR$87,$NN$87,0),IF($NP$87="Bell_Curve",$NN$87*(207-$NR$87+1)*($NS$87-207+1)/$NU$87,$NN$87/$NT$87)),0)</f>
        <v/>
      </c>
      <c r="HD87" s="402">
        <f>IF(AND(208&gt;=$NR$87,208&lt;=$NS$87),IF($NP$87="Single_Point",IF(208=$NR$87,$NN$87,0),IF($NP$87="Bell_Curve",$NN$87*(208-$NR$87+1)*($NS$87-208+1)/$NU$87,$NN$87/$NT$87)),0)</f>
        <v/>
      </c>
      <c r="HE87" s="402">
        <f>IF(AND(209&gt;=$NR$87,209&lt;=$NS$87),IF($NP$87="Single_Point",IF(209=$NR$87,$NN$87,0),IF($NP$87="Bell_Curve",$NN$87*(209-$NR$87+1)*($NS$87-209+1)/$NU$87,$NN$87/$NT$87)),0)</f>
        <v/>
      </c>
      <c r="HF87" s="402">
        <f>IF(AND(210&gt;=$NR$87,210&lt;=$NS$87),IF($NP$87="Single_Point",IF(210=$NR$87,$NN$87,0),IF($NP$87="Bell_Curve",$NN$87*(210-$NR$87+1)*($NS$87-210+1)/$NU$87,$NN$87/$NT$87)),0)</f>
        <v/>
      </c>
      <c r="HG87" s="402">
        <f>IF(AND(211&gt;=$NR$87,211&lt;=$NS$87),IF($NP$87="Single_Point",IF(211=$NR$87,$NN$87,0),IF($NP$87="Bell_Curve",$NN$87*(211-$NR$87+1)*($NS$87-211+1)/$NU$87,$NN$87/$NT$87)),0)</f>
        <v/>
      </c>
      <c r="HH87" s="402">
        <f>IF(AND(212&gt;=$NR$87,212&lt;=$NS$87),IF($NP$87="Single_Point",IF(212=$NR$87,$NN$87,0),IF($NP$87="Bell_Curve",$NN$87*(212-$NR$87+1)*($NS$87-212+1)/$NU$87,$NN$87/$NT$87)),0)</f>
        <v/>
      </c>
      <c r="HI87" s="402">
        <f>IF(AND(213&gt;=$NR$87,213&lt;=$NS$87),IF($NP$87="Single_Point",IF(213=$NR$87,$NN$87,0),IF($NP$87="Bell_Curve",$NN$87*(213-$NR$87+1)*($NS$87-213+1)/$NU$87,$NN$87/$NT$87)),0)</f>
        <v/>
      </c>
      <c r="HJ87" s="402">
        <f>IF(AND(214&gt;=$NR$87,214&lt;=$NS$87),IF($NP$87="Single_Point",IF(214=$NR$87,$NN$87,0),IF($NP$87="Bell_Curve",$NN$87*(214-$NR$87+1)*($NS$87-214+1)/$NU$87,$NN$87/$NT$87)),0)</f>
        <v/>
      </c>
      <c r="HK87" s="402">
        <f>IF(AND(215&gt;=$NR$87,215&lt;=$NS$87),IF($NP$87="Single_Point",IF(215=$NR$87,$NN$87,0),IF($NP$87="Bell_Curve",$NN$87*(215-$NR$87+1)*($NS$87-215+1)/$NU$87,$NN$87/$NT$87)),0)</f>
        <v/>
      </c>
      <c r="HL87" s="402">
        <f>IF(AND(216&gt;=$NR$87,216&lt;=$NS$87),IF($NP$87="Single_Point",IF(216=$NR$87,$NN$87,0),IF($NP$87="Bell_Curve",$NN$87*(216-$NR$87+1)*($NS$87-216+1)/$NU$87,$NN$87/$NT$87)),0)</f>
        <v/>
      </c>
      <c r="HM87" s="402">
        <f>IF(AND(217&gt;=$NR$87,217&lt;=$NS$87),IF($NP$87="Single_Point",IF(217=$NR$87,$NN$87,0),IF($NP$87="Bell_Curve",$NN$87*(217-$NR$87+1)*($NS$87-217+1)/$NU$87,$NN$87/$NT$87)),0)</f>
        <v/>
      </c>
      <c r="HN87" s="402">
        <f>IF(AND(218&gt;=$NR$87,218&lt;=$NS$87),IF($NP$87="Single_Point",IF(218=$NR$87,$NN$87,0),IF($NP$87="Bell_Curve",$NN$87*(218-$NR$87+1)*($NS$87-218+1)/$NU$87,$NN$87/$NT$87)),0)</f>
        <v/>
      </c>
      <c r="HO87" s="402">
        <f>IF(AND(219&gt;=$NR$87,219&lt;=$NS$87),IF($NP$87="Single_Point",IF(219=$NR$87,$NN$87,0),IF($NP$87="Bell_Curve",$NN$87*(219-$NR$87+1)*($NS$87-219+1)/$NU$87,$NN$87/$NT$87)),0)</f>
        <v/>
      </c>
      <c r="HP87" s="402">
        <f>IF(AND(220&gt;=$NR$87,220&lt;=$NS$87),IF($NP$87="Single_Point",IF(220=$NR$87,$NN$87,0),IF($NP$87="Bell_Curve",$NN$87*(220-$NR$87+1)*($NS$87-220+1)/$NU$87,$NN$87/$NT$87)),0)</f>
        <v/>
      </c>
      <c r="HQ87" s="402">
        <f>IF(AND(221&gt;=$NR$87,221&lt;=$NS$87),IF($NP$87="Single_Point",IF(221=$NR$87,$NN$87,0),IF($NP$87="Bell_Curve",$NN$87*(221-$NR$87+1)*($NS$87-221+1)/$NU$87,$NN$87/$NT$87)),0)</f>
        <v/>
      </c>
      <c r="HR87" s="402">
        <f>IF(AND(222&gt;=$NR$87,222&lt;=$NS$87),IF($NP$87="Single_Point",IF(222=$NR$87,$NN$87,0),IF($NP$87="Bell_Curve",$NN$87*(222-$NR$87+1)*($NS$87-222+1)/$NU$87,$NN$87/$NT$87)),0)</f>
        <v/>
      </c>
      <c r="HS87" s="402">
        <f>IF(AND(223&gt;=$NR$87,223&lt;=$NS$87),IF($NP$87="Single_Point",IF(223=$NR$87,$NN$87,0),IF($NP$87="Bell_Curve",$NN$87*(223-$NR$87+1)*($NS$87-223+1)/$NU$87,$NN$87/$NT$87)),0)</f>
        <v/>
      </c>
      <c r="HT87" s="402">
        <f>IF(AND(224&gt;=$NR$87,224&lt;=$NS$87),IF($NP$87="Single_Point",IF(224=$NR$87,$NN$87,0),IF($NP$87="Bell_Curve",$NN$87*(224-$NR$87+1)*($NS$87-224+1)/$NU$87,$NN$87/$NT$87)),0)</f>
        <v/>
      </c>
      <c r="HU87" s="402">
        <f>IF(AND(225&gt;=$NR$87,225&lt;=$NS$87),IF($NP$87="Single_Point",IF(225=$NR$87,$NN$87,0),IF($NP$87="Bell_Curve",$NN$87*(225-$NR$87+1)*($NS$87-225+1)/$NU$87,$NN$87/$NT$87)),0)</f>
        <v/>
      </c>
      <c r="HV87" s="402">
        <f>IF(AND(226&gt;=$NR$87,226&lt;=$NS$87),IF($NP$87="Single_Point",IF(226=$NR$87,$NN$87,0),IF($NP$87="Bell_Curve",$NN$87*(226-$NR$87+1)*($NS$87-226+1)/$NU$87,$NN$87/$NT$87)),0)</f>
        <v/>
      </c>
      <c r="HW87" s="402">
        <f>IF(AND(227&gt;=$NR$87,227&lt;=$NS$87),IF($NP$87="Single_Point",IF(227=$NR$87,$NN$87,0),IF($NP$87="Bell_Curve",$NN$87*(227-$NR$87+1)*($NS$87-227+1)/$NU$87,$NN$87/$NT$87)),0)</f>
        <v/>
      </c>
      <c r="HX87" s="402">
        <f>IF(AND(228&gt;=$NR$87,228&lt;=$NS$87),IF($NP$87="Single_Point",IF(228=$NR$87,$NN$87,0),IF($NP$87="Bell_Curve",$NN$87*(228-$NR$87+1)*($NS$87-228+1)/$NU$87,$NN$87/$NT$87)),0)</f>
        <v/>
      </c>
      <c r="HY87" s="402">
        <f>IF(AND(229&gt;=$NR$87,229&lt;=$NS$87),IF($NP$87="Single_Point",IF(229=$NR$87,$NN$87,0),IF($NP$87="Bell_Curve",$NN$87*(229-$NR$87+1)*($NS$87-229+1)/$NU$87,$NN$87/$NT$87)),0)</f>
        <v/>
      </c>
      <c r="HZ87" s="402">
        <f>IF(AND(230&gt;=$NR$87,230&lt;=$NS$87),IF($NP$87="Single_Point",IF(230=$NR$87,$NN$87,0),IF($NP$87="Bell_Curve",$NN$87*(230-$NR$87+1)*($NS$87-230+1)/$NU$87,$NN$87/$NT$87)),0)</f>
        <v/>
      </c>
      <c r="IA87" s="402">
        <f>IF(AND(231&gt;=$NR$87,231&lt;=$NS$87),IF($NP$87="Single_Point",IF(231=$NR$87,$NN$87,0),IF($NP$87="Bell_Curve",$NN$87*(231-$NR$87+1)*($NS$87-231+1)/$NU$87,$NN$87/$NT$87)),0)</f>
        <v/>
      </c>
      <c r="IB87" s="402">
        <f>IF(AND(232&gt;=$NR$87,232&lt;=$NS$87),IF($NP$87="Single_Point",IF(232=$NR$87,$NN$87,0),IF($NP$87="Bell_Curve",$NN$87*(232-$NR$87+1)*($NS$87-232+1)/$NU$87,$NN$87/$NT$87)),0)</f>
        <v/>
      </c>
      <c r="IC87" s="402">
        <f>IF(AND(233&gt;=$NR$87,233&lt;=$NS$87),IF($NP$87="Single_Point",IF(233=$NR$87,$NN$87,0),IF($NP$87="Bell_Curve",$NN$87*(233-$NR$87+1)*($NS$87-233+1)/$NU$87,$NN$87/$NT$87)),0)</f>
        <v/>
      </c>
      <c r="ID87" s="402">
        <f>IF(AND(234&gt;=$NR$87,234&lt;=$NS$87),IF($NP$87="Single_Point",IF(234=$NR$87,$NN$87,0),IF($NP$87="Bell_Curve",$NN$87*(234-$NR$87+1)*($NS$87-234+1)/$NU$87,$NN$87/$NT$87)),0)</f>
        <v/>
      </c>
      <c r="IE87" s="402">
        <f>IF(AND(235&gt;=$NR$87,235&lt;=$NS$87),IF($NP$87="Single_Point",IF(235=$NR$87,$NN$87,0),IF($NP$87="Bell_Curve",$NN$87*(235-$NR$87+1)*($NS$87-235+1)/$NU$87,$NN$87/$NT$87)),0)</f>
        <v/>
      </c>
      <c r="IF87" s="402">
        <f>IF(AND(236&gt;=$NR$87,236&lt;=$NS$87),IF($NP$87="Single_Point",IF(236=$NR$87,$NN$87,0),IF($NP$87="Bell_Curve",$NN$87*(236-$NR$87+1)*($NS$87-236+1)/$NU$87,$NN$87/$NT$87)),0)</f>
        <v/>
      </c>
      <c r="IG87" s="402">
        <f>IF(AND(237&gt;=$NR$87,237&lt;=$NS$87),IF($NP$87="Single_Point",IF(237=$NR$87,$NN$87,0),IF($NP$87="Bell_Curve",$NN$87*(237-$NR$87+1)*($NS$87-237+1)/$NU$87,$NN$87/$NT$87)),0)</f>
        <v/>
      </c>
      <c r="IH87" s="402">
        <f>IF(AND(238&gt;=$NR$87,238&lt;=$NS$87),IF($NP$87="Single_Point",IF(238=$NR$87,$NN$87,0),IF($NP$87="Bell_Curve",$NN$87*(238-$NR$87+1)*($NS$87-238+1)/$NU$87,$NN$87/$NT$87)),0)</f>
        <v/>
      </c>
      <c r="II87" s="402">
        <f>IF(AND(239&gt;=$NR$87,239&lt;=$NS$87),IF($NP$87="Single_Point",IF(239=$NR$87,$NN$87,0),IF($NP$87="Bell_Curve",$NN$87*(239-$NR$87+1)*($NS$87-239+1)/$NU$87,$NN$87/$NT$87)),0)</f>
        <v/>
      </c>
      <c r="IJ87" s="402">
        <f>IF(AND(240&gt;=$NR$87,240&lt;=$NS$87),IF($NP$87="Single_Point",IF(240=$NR$87,$NN$87,0),IF($NP$87="Bell_Curve",$NN$87*(240-$NR$87+1)*($NS$87-240+1)/$NU$87,$NN$87/$NT$87)),0)</f>
        <v/>
      </c>
      <c r="IK87" s="402">
        <f>IF(AND(241&gt;=$NR$87,241&lt;=$NS$87),IF($NP$87="Single_Point",IF(241=$NR$87,$NN$87,0),IF($NP$87="Bell_Curve",$NN$87*(241-$NR$87+1)*($NS$87-241+1)/$NU$87,$NN$87/$NT$87)),0)</f>
        <v/>
      </c>
      <c r="IL87" s="402">
        <f>IF(AND(242&gt;=$NR$87,242&lt;=$NS$87),IF($NP$87="Single_Point",IF(242=$NR$87,$NN$87,0),IF($NP$87="Bell_Curve",$NN$87*(242-$NR$87+1)*($NS$87-242+1)/$NU$87,$NN$87/$NT$87)),0)</f>
        <v/>
      </c>
      <c r="IM87" s="402">
        <f>IF(AND(243&gt;=$NR$87,243&lt;=$NS$87),IF($NP$87="Single_Point",IF(243=$NR$87,$NN$87,0),IF($NP$87="Bell_Curve",$NN$87*(243-$NR$87+1)*($NS$87-243+1)/$NU$87,$NN$87/$NT$87)),0)</f>
        <v/>
      </c>
      <c r="IN87" s="402">
        <f>IF(AND(244&gt;=$NR$87,244&lt;=$NS$87),IF($NP$87="Single_Point",IF(244=$NR$87,$NN$87,0),IF($NP$87="Bell_Curve",$NN$87*(244-$NR$87+1)*($NS$87-244+1)/$NU$87,$NN$87/$NT$87)),0)</f>
        <v/>
      </c>
      <c r="IO87" s="402">
        <f>IF(AND(245&gt;=$NR$87,245&lt;=$NS$87),IF($NP$87="Single_Point",IF(245=$NR$87,$NN$87,0),IF($NP$87="Bell_Curve",$NN$87*(245-$NR$87+1)*($NS$87-245+1)/$NU$87,$NN$87/$NT$87)),0)</f>
        <v/>
      </c>
      <c r="IP87" s="402">
        <f>IF(AND(246&gt;=$NR$87,246&lt;=$NS$87),IF($NP$87="Single_Point",IF(246=$NR$87,$NN$87,0),IF($NP$87="Bell_Curve",$NN$87*(246-$NR$87+1)*($NS$87-246+1)/$NU$87,$NN$87/$NT$87)),0)</f>
        <v/>
      </c>
      <c r="IQ87" s="402">
        <f>IF(AND(247&gt;=$NR$87,247&lt;=$NS$87),IF($NP$87="Single_Point",IF(247=$NR$87,$NN$87,0),IF($NP$87="Bell_Curve",$NN$87*(247-$NR$87+1)*($NS$87-247+1)/$NU$87,$NN$87/$NT$87)),0)</f>
        <v/>
      </c>
      <c r="IR87" s="402">
        <f>IF(AND(248&gt;=$NR$87,248&lt;=$NS$87),IF($NP$87="Single_Point",IF(248=$NR$87,$NN$87,0),IF($NP$87="Bell_Curve",$NN$87*(248-$NR$87+1)*($NS$87-248+1)/$NU$87,$NN$87/$NT$87)),0)</f>
        <v/>
      </c>
      <c r="IS87" s="402">
        <f>IF(AND(249&gt;=$NR$87,249&lt;=$NS$87),IF($NP$87="Single_Point",IF(249=$NR$87,$NN$87,0),IF($NP$87="Bell_Curve",$NN$87*(249-$NR$87+1)*($NS$87-249+1)/$NU$87,$NN$87/$NT$87)),0)</f>
        <v/>
      </c>
      <c r="IT87" s="402">
        <f>IF(AND(250&gt;=$NR$87,250&lt;=$NS$87),IF($NP$87="Single_Point",IF(250=$NR$87,$NN$87,0),IF($NP$87="Bell_Curve",$NN$87*(250-$NR$87+1)*($NS$87-250+1)/$NU$87,$NN$87/$NT$87)),0)</f>
        <v/>
      </c>
      <c r="IU87" s="402">
        <f>IF(AND(251&gt;=$NR$87,251&lt;=$NS$87),IF($NP$87="Single_Point",IF(251=$NR$87,$NN$87,0),IF($NP$87="Bell_Curve",$NN$87*(251-$NR$87+1)*($NS$87-251+1)/$NU$87,$NN$87/$NT$87)),0)</f>
        <v/>
      </c>
      <c r="IV87" s="402">
        <f>IF(AND(252&gt;=$NR$87,252&lt;=$NS$87),IF($NP$87="Single_Point",IF(252=$NR$87,$NN$87,0),IF($NP$87="Bell_Curve",$NN$87*(252-$NR$87+1)*($NS$87-252+1)/$NU$87,$NN$87/$NT$87)),0)</f>
        <v/>
      </c>
      <c r="IW87" s="402">
        <f>IF(AND(253&gt;=$NR$87,253&lt;=$NS$87),IF($NP$87="Single_Point",IF(253=$NR$87,$NN$87,0),IF($NP$87="Bell_Curve",$NN$87*(253-$NR$87+1)*($NS$87-253+1)/$NU$87,$NN$87/$NT$87)),0)</f>
        <v/>
      </c>
      <c r="IX87" s="402">
        <f>IF(AND(254&gt;=$NR$87,254&lt;=$NS$87),IF($NP$87="Single_Point",IF(254=$NR$87,$NN$87,0),IF($NP$87="Bell_Curve",$NN$87*(254-$NR$87+1)*($NS$87-254+1)/$NU$87,$NN$87/$NT$87)),0)</f>
        <v/>
      </c>
      <c r="IY87" s="402">
        <f>IF(AND(255&gt;=$NR$87,255&lt;=$NS$87),IF($NP$87="Single_Point",IF(255=$NR$87,$NN$87,0),IF($NP$87="Bell_Curve",$NN$87*(255-$NR$87+1)*($NS$87-255+1)/$NU$87,$NN$87/$NT$87)),0)</f>
        <v/>
      </c>
      <c r="IZ87" s="402">
        <f>IF(AND(256&gt;=$NR$87,256&lt;=$NS$87),IF($NP$87="Single_Point",IF(256=$NR$87,$NN$87,0),IF($NP$87="Bell_Curve",$NN$87*(256-$NR$87+1)*($NS$87-256+1)/$NU$87,$NN$87/$NT$87)),0)</f>
        <v/>
      </c>
      <c r="JA87" s="402">
        <f>IF(AND(257&gt;=$NR$87,257&lt;=$NS$87),IF($NP$87="Single_Point",IF(257=$NR$87,$NN$87,0),IF($NP$87="Bell_Curve",$NN$87*(257-$NR$87+1)*($NS$87-257+1)/$NU$87,$NN$87/$NT$87)),0)</f>
        <v/>
      </c>
      <c r="JB87" s="402">
        <f>IF(AND(258&gt;=$NR$87,258&lt;=$NS$87),IF($NP$87="Single_Point",IF(258=$NR$87,$NN$87,0),IF($NP$87="Bell_Curve",$NN$87*(258-$NR$87+1)*($NS$87-258+1)/$NU$87,$NN$87/$NT$87)),0)</f>
        <v/>
      </c>
      <c r="JC87" s="402">
        <f>IF(AND(259&gt;=$NR$87,259&lt;=$NS$87),IF($NP$87="Single_Point",IF(259=$NR$87,$NN$87,0),IF($NP$87="Bell_Curve",$NN$87*(259-$NR$87+1)*($NS$87-259+1)/$NU$87,$NN$87/$NT$87)),0)</f>
        <v/>
      </c>
      <c r="JD87" s="402">
        <f>IF(AND(260&gt;=$NR$87,260&lt;=$NS$87),IF($NP$87="Single_Point",IF(260=$NR$87,$NN$87,0),IF($NP$87="Bell_Curve",$NN$87*(260-$NR$87+1)*($NS$87-260+1)/$NU$87,$NN$87/$NT$87)),0)</f>
        <v/>
      </c>
      <c r="JE87" s="402">
        <f>IF(AND(261&gt;=$NR$87,261&lt;=$NS$87),IF($NP$87="Single_Point",IF(261=$NR$87,$NN$87,0),IF($NP$87="Bell_Curve",$NN$87*(261-$NR$87+1)*($NS$87-261+1)/$NU$87,$NN$87/$NT$87)),0)</f>
        <v/>
      </c>
      <c r="JF87" s="402">
        <f>IF(AND(262&gt;=$NR$87,262&lt;=$NS$87),IF($NP$87="Single_Point",IF(262=$NR$87,$NN$87,0),IF($NP$87="Bell_Curve",$NN$87*(262-$NR$87+1)*($NS$87-262+1)/$NU$87,$NN$87/$NT$87)),0)</f>
        <v/>
      </c>
      <c r="JG87" s="402">
        <f>IF(AND(263&gt;=$NR$87,263&lt;=$NS$87),IF($NP$87="Single_Point",IF(263=$NR$87,$NN$87,0),IF($NP$87="Bell_Curve",$NN$87*(263-$NR$87+1)*($NS$87-263+1)/$NU$87,$NN$87/$NT$87)),0)</f>
        <v/>
      </c>
      <c r="JH87" s="402">
        <f>IF(AND(264&gt;=$NR$87,264&lt;=$NS$87),IF($NP$87="Single_Point",IF(264=$NR$87,$NN$87,0),IF($NP$87="Bell_Curve",$NN$87*(264-$NR$87+1)*($NS$87-264+1)/$NU$87,$NN$87/$NT$87)),0)</f>
        <v/>
      </c>
      <c r="JI87" s="402">
        <f>IF(AND(265&gt;=$NR$87,265&lt;=$NS$87),IF($NP$87="Single_Point",IF(265=$NR$87,$NN$87,0),IF($NP$87="Bell_Curve",$NN$87*(265-$NR$87+1)*($NS$87-265+1)/$NU$87,$NN$87/$NT$87)),0)</f>
        <v/>
      </c>
      <c r="JJ87" s="402">
        <f>IF(AND(266&gt;=$NR$87,266&lt;=$NS$87),IF($NP$87="Single_Point",IF(266=$NR$87,$NN$87,0),IF($NP$87="Bell_Curve",$NN$87*(266-$NR$87+1)*($NS$87-266+1)/$NU$87,$NN$87/$NT$87)),0)</f>
        <v/>
      </c>
      <c r="JK87" s="402">
        <f>IF(AND(267&gt;=$NR$87,267&lt;=$NS$87),IF($NP$87="Single_Point",IF(267=$NR$87,$NN$87,0),IF($NP$87="Bell_Curve",$NN$87*(267-$NR$87+1)*($NS$87-267+1)/$NU$87,$NN$87/$NT$87)),0)</f>
        <v/>
      </c>
      <c r="JL87" s="402">
        <f>IF(AND(268&gt;=$NR$87,268&lt;=$NS$87),IF($NP$87="Single_Point",IF(268=$NR$87,$NN$87,0),IF($NP$87="Bell_Curve",$NN$87*(268-$NR$87+1)*($NS$87-268+1)/$NU$87,$NN$87/$NT$87)),0)</f>
        <v/>
      </c>
      <c r="JM87" s="402">
        <f>IF(AND(269&gt;=$NR$87,269&lt;=$NS$87),IF($NP$87="Single_Point",IF(269=$NR$87,$NN$87,0),IF($NP$87="Bell_Curve",$NN$87*(269-$NR$87+1)*($NS$87-269+1)/$NU$87,$NN$87/$NT$87)),0)</f>
        <v/>
      </c>
      <c r="JN87" s="402">
        <f>IF(AND(270&gt;=$NR$87,270&lt;=$NS$87),IF($NP$87="Single_Point",IF(270=$NR$87,$NN$87,0),IF($NP$87="Bell_Curve",$NN$87*(270-$NR$87+1)*($NS$87-270+1)/$NU$87,$NN$87/$NT$87)),0)</f>
        <v/>
      </c>
      <c r="JO87" s="402">
        <f>IF(AND(271&gt;=$NR$87,271&lt;=$NS$87),IF($NP$87="Single_Point",IF(271=$NR$87,$NN$87,0),IF($NP$87="Bell_Curve",$NN$87*(271-$NR$87+1)*($NS$87-271+1)/$NU$87,$NN$87/$NT$87)),0)</f>
        <v/>
      </c>
      <c r="JP87" s="402">
        <f>IF(AND(272&gt;=$NR$87,272&lt;=$NS$87),IF($NP$87="Single_Point",IF(272=$NR$87,$NN$87,0),IF($NP$87="Bell_Curve",$NN$87*(272-$NR$87+1)*($NS$87-272+1)/$NU$87,$NN$87/$NT$87)),0)</f>
        <v/>
      </c>
      <c r="JQ87" s="402">
        <f>IF(AND(273&gt;=$NR$87,273&lt;=$NS$87),IF($NP$87="Single_Point",IF(273=$NR$87,$NN$87,0),IF($NP$87="Bell_Curve",$NN$87*(273-$NR$87+1)*($NS$87-273+1)/$NU$87,$NN$87/$NT$87)),0)</f>
        <v/>
      </c>
      <c r="JR87" s="402">
        <f>IF(AND(274&gt;=$NR$87,274&lt;=$NS$87),IF($NP$87="Single_Point",IF(274=$NR$87,$NN$87,0),IF($NP$87="Bell_Curve",$NN$87*(274-$NR$87+1)*($NS$87-274+1)/$NU$87,$NN$87/$NT$87)),0)</f>
        <v/>
      </c>
      <c r="JS87" s="402">
        <f>IF(AND(275&gt;=$NR$87,275&lt;=$NS$87),IF($NP$87="Single_Point",IF(275=$NR$87,$NN$87,0),IF($NP$87="Bell_Curve",$NN$87*(275-$NR$87+1)*($NS$87-275+1)/$NU$87,$NN$87/$NT$87)),0)</f>
        <v/>
      </c>
      <c r="JT87" s="402">
        <f>IF(AND(276&gt;=$NR$87,276&lt;=$NS$87),IF($NP$87="Single_Point",IF(276=$NR$87,$NN$87,0),IF($NP$87="Bell_Curve",$NN$87*(276-$NR$87+1)*($NS$87-276+1)/$NU$87,$NN$87/$NT$87)),0)</f>
        <v/>
      </c>
      <c r="JU87" s="402">
        <f>IF(AND(277&gt;=$NR$87,277&lt;=$NS$87),IF($NP$87="Single_Point",IF(277=$NR$87,$NN$87,0),IF($NP$87="Bell_Curve",$NN$87*(277-$NR$87+1)*($NS$87-277+1)/$NU$87,$NN$87/$NT$87)),0)</f>
        <v/>
      </c>
      <c r="JV87" s="402">
        <f>IF(AND(278&gt;=$NR$87,278&lt;=$NS$87),IF($NP$87="Single_Point",IF(278=$NR$87,$NN$87,0),IF($NP$87="Bell_Curve",$NN$87*(278-$NR$87+1)*($NS$87-278+1)/$NU$87,$NN$87/$NT$87)),0)</f>
        <v/>
      </c>
      <c r="JW87" s="402">
        <f>IF(AND(279&gt;=$NR$87,279&lt;=$NS$87),IF($NP$87="Single_Point",IF(279=$NR$87,$NN$87,0),IF($NP$87="Bell_Curve",$NN$87*(279-$NR$87+1)*($NS$87-279+1)/$NU$87,$NN$87/$NT$87)),0)</f>
        <v/>
      </c>
      <c r="JX87" s="402">
        <f>IF(AND(280&gt;=$NR$87,280&lt;=$NS$87),IF($NP$87="Single_Point",IF(280=$NR$87,$NN$87,0),IF($NP$87="Bell_Curve",$NN$87*(280-$NR$87+1)*($NS$87-280+1)/$NU$87,$NN$87/$NT$87)),0)</f>
        <v/>
      </c>
      <c r="JY87" s="402">
        <f>IF(AND(281&gt;=$NR$87,281&lt;=$NS$87),IF($NP$87="Single_Point",IF(281=$NR$87,$NN$87,0),IF($NP$87="Bell_Curve",$NN$87*(281-$NR$87+1)*($NS$87-281+1)/$NU$87,$NN$87/$NT$87)),0)</f>
        <v/>
      </c>
      <c r="JZ87" s="402">
        <f>IF(AND(282&gt;=$NR$87,282&lt;=$NS$87),IF($NP$87="Single_Point",IF(282=$NR$87,$NN$87,0),IF($NP$87="Bell_Curve",$NN$87*(282-$NR$87+1)*($NS$87-282+1)/$NU$87,$NN$87/$NT$87)),0)</f>
        <v/>
      </c>
      <c r="KA87" s="402">
        <f>IF(AND(283&gt;=$NR$87,283&lt;=$NS$87),IF($NP$87="Single_Point",IF(283=$NR$87,$NN$87,0),IF($NP$87="Bell_Curve",$NN$87*(283-$NR$87+1)*($NS$87-283+1)/$NU$87,$NN$87/$NT$87)),0)</f>
        <v/>
      </c>
      <c r="KB87" s="402">
        <f>IF(AND(284&gt;=$NR$87,284&lt;=$NS$87),IF($NP$87="Single_Point",IF(284=$NR$87,$NN$87,0),IF($NP$87="Bell_Curve",$NN$87*(284-$NR$87+1)*($NS$87-284+1)/$NU$87,$NN$87/$NT$87)),0)</f>
        <v/>
      </c>
      <c r="KC87" s="402">
        <f>IF(AND(285&gt;=$NR$87,285&lt;=$NS$87),IF($NP$87="Single_Point",IF(285=$NR$87,$NN$87,0),IF($NP$87="Bell_Curve",$NN$87*(285-$NR$87+1)*($NS$87-285+1)/$NU$87,$NN$87/$NT$87)),0)</f>
        <v/>
      </c>
      <c r="KD87" s="402">
        <f>IF(AND(286&gt;=$NR$87,286&lt;=$NS$87),IF($NP$87="Single_Point",IF(286=$NR$87,$NN$87,0),IF($NP$87="Bell_Curve",$NN$87*(286-$NR$87+1)*($NS$87-286+1)/$NU$87,$NN$87/$NT$87)),0)</f>
        <v/>
      </c>
      <c r="KE87" s="402">
        <f>IF(AND(287&gt;=$NR$87,287&lt;=$NS$87),IF($NP$87="Single_Point",IF(287=$NR$87,$NN$87,0),IF($NP$87="Bell_Curve",$NN$87*(287-$NR$87+1)*($NS$87-287+1)/$NU$87,$NN$87/$NT$87)),0)</f>
        <v/>
      </c>
      <c r="KF87" s="402">
        <f>IF(AND(288&gt;=$NR$87,288&lt;=$NS$87),IF($NP$87="Single_Point",IF(288=$NR$87,$NN$87,0),IF($NP$87="Bell_Curve",$NN$87*(288-$NR$87+1)*($NS$87-288+1)/$NU$87,$NN$87/$NT$87)),0)</f>
        <v/>
      </c>
      <c r="KG87" s="402">
        <f>IF(AND(289&gt;=$NR$87,289&lt;=$NS$87),IF($NP$87="Single_Point",IF(289=$NR$87,$NN$87,0),IF($NP$87="Bell_Curve",$NN$87*(289-$NR$87+1)*($NS$87-289+1)/$NU$87,$NN$87/$NT$87)),0)</f>
        <v/>
      </c>
      <c r="KH87" s="402">
        <f>IF(AND(290&gt;=$NR$87,290&lt;=$NS$87),IF($NP$87="Single_Point",IF(290=$NR$87,$NN$87,0),IF($NP$87="Bell_Curve",$NN$87*(290-$NR$87+1)*($NS$87-290+1)/$NU$87,$NN$87/$NT$87)),0)</f>
        <v/>
      </c>
      <c r="KI87" s="402">
        <f>IF(AND(291&gt;=$NR$87,291&lt;=$NS$87),IF($NP$87="Single_Point",IF(291=$NR$87,$NN$87,0),IF($NP$87="Bell_Curve",$NN$87*(291-$NR$87+1)*($NS$87-291+1)/$NU$87,$NN$87/$NT$87)),0)</f>
        <v/>
      </c>
      <c r="KJ87" s="402">
        <f>IF(AND(292&gt;=$NR$87,292&lt;=$NS$87),IF($NP$87="Single_Point",IF(292=$NR$87,$NN$87,0),IF($NP$87="Bell_Curve",$NN$87*(292-$NR$87+1)*($NS$87-292+1)/$NU$87,$NN$87/$NT$87)),0)</f>
        <v/>
      </c>
      <c r="KK87" s="402">
        <f>IF(AND(293&gt;=$NR$87,293&lt;=$NS$87),IF($NP$87="Single_Point",IF(293=$NR$87,$NN$87,0),IF($NP$87="Bell_Curve",$NN$87*(293-$NR$87+1)*($NS$87-293+1)/$NU$87,$NN$87/$NT$87)),0)</f>
        <v/>
      </c>
      <c r="KL87" s="402">
        <f>IF(AND(294&gt;=$NR$87,294&lt;=$NS$87),IF($NP$87="Single_Point",IF(294=$NR$87,$NN$87,0),IF($NP$87="Bell_Curve",$NN$87*(294-$NR$87+1)*($NS$87-294+1)/$NU$87,$NN$87/$NT$87)),0)</f>
        <v/>
      </c>
      <c r="KM87" s="402">
        <f>IF(AND(295&gt;=$NR$87,295&lt;=$NS$87),IF($NP$87="Single_Point",IF(295=$NR$87,$NN$87,0),IF($NP$87="Bell_Curve",$NN$87*(295-$NR$87+1)*($NS$87-295+1)/$NU$87,$NN$87/$NT$87)),0)</f>
        <v/>
      </c>
      <c r="KN87" s="402">
        <f>IF(AND(296&gt;=$NR$87,296&lt;=$NS$87),IF($NP$87="Single_Point",IF(296=$NR$87,$NN$87,0),IF($NP$87="Bell_Curve",$NN$87*(296-$NR$87+1)*($NS$87-296+1)/$NU$87,$NN$87/$NT$87)),0)</f>
        <v/>
      </c>
      <c r="KO87" s="402">
        <f>IF(AND(297&gt;=$NR$87,297&lt;=$NS$87),IF($NP$87="Single_Point",IF(297=$NR$87,$NN$87,0),IF($NP$87="Bell_Curve",$NN$87*(297-$NR$87+1)*($NS$87-297+1)/$NU$87,$NN$87/$NT$87)),0)</f>
        <v/>
      </c>
      <c r="KP87" s="402">
        <f>IF(AND(298&gt;=$NR$87,298&lt;=$NS$87),IF($NP$87="Single_Point",IF(298=$NR$87,$NN$87,0),IF($NP$87="Bell_Curve",$NN$87*(298-$NR$87+1)*($NS$87-298+1)/$NU$87,$NN$87/$NT$87)),0)</f>
        <v/>
      </c>
      <c r="KQ87" s="402">
        <f>IF(AND(299&gt;=$NR$87,299&lt;=$NS$87),IF($NP$87="Single_Point",IF(299=$NR$87,$NN$87,0),IF($NP$87="Bell_Curve",$NN$87*(299-$NR$87+1)*($NS$87-299+1)/$NU$87,$NN$87/$NT$87)),0)</f>
        <v/>
      </c>
      <c r="KR87" s="402">
        <f>IF(AND(300&gt;=$NR$87,300&lt;=$NS$87),IF($NP$87="Single_Point",IF(300=$NR$87,$NN$87,0),IF($NP$87="Bell_Curve",$NN$87*(300-$NR$87+1)*($NS$87-300+1)/$NU$87,$NN$87/$NT$87)),0)</f>
        <v/>
      </c>
      <c r="KS87" s="402">
        <f>IF(AND(301&gt;=$NR$87,301&lt;=$NS$87),IF($NP$87="Single_Point",IF(301=$NR$87,$NN$87,0),IF($NP$87="Bell_Curve",$NN$87*(301-$NR$87+1)*($NS$87-301+1)/$NU$87,$NN$87/$NT$87)),0)</f>
        <v/>
      </c>
      <c r="KT87" s="402">
        <f>IF(AND(302&gt;=$NR$87,302&lt;=$NS$87),IF($NP$87="Single_Point",IF(302=$NR$87,$NN$87,0),IF($NP$87="Bell_Curve",$NN$87*(302-$NR$87+1)*($NS$87-302+1)/$NU$87,$NN$87/$NT$87)),0)</f>
        <v/>
      </c>
      <c r="KU87" s="402">
        <f>IF(AND(303&gt;=$NR$87,303&lt;=$NS$87),IF($NP$87="Single_Point",IF(303=$NR$87,$NN$87,0),IF($NP$87="Bell_Curve",$NN$87*(303-$NR$87+1)*($NS$87-303+1)/$NU$87,$NN$87/$NT$87)),0)</f>
        <v/>
      </c>
      <c r="KV87" s="402">
        <f>IF(AND(304&gt;=$NR$87,304&lt;=$NS$87),IF($NP$87="Single_Point",IF(304=$NR$87,$NN$87,0),IF($NP$87="Bell_Curve",$NN$87*(304-$NR$87+1)*($NS$87-304+1)/$NU$87,$NN$87/$NT$87)),0)</f>
        <v/>
      </c>
      <c r="KW87" s="402">
        <f>IF(AND(305&gt;=$NR$87,305&lt;=$NS$87),IF($NP$87="Single_Point",IF(305=$NR$87,$NN$87,0),IF($NP$87="Bell_Curve",$NN$87*(305-$NR$87+1)*($NS$87-305+1)/$NU$87,$NN$87/$NT$87)),0)</f>
        <v/>
      </c>
      <c r="KX87" s="402">
        <f>IF(AND(306&gt;=$NR$87,306&lt;=$NS$87),IF($NP$87="Single_Point",IF(306=$NR$87,$NN$87,0),IF($NP$87="Bell_Curve",$NN$87*(306-$NR$87+1)*($NS$87-306+1)/$NU$87,$NN$87/$NT$87)),0)</f>
        <v/>
      </c>
      <c r="KY87" s="402">
        <f>IF(AND(307&gt;=$NR$87,307&lt;=$NS$87),IF($NP$87="Single_Point",IF(307=$NR$87,$NN$87,0),IF($NP$87="Bell_Curve",$NN$87*(307-$NR$87+1)*($NS$87-307+1)/$NU$87,$NN$87/$NT$87)),0)</f>
        <v/>
      </c>
      <c r="KZ87" s="402">
        <f>IF(AND(308&gt;=$NR$87,308&lt;=$NS$87),IF($NP$87="Single_Point",IF(308=$NR$87,$NN$87,0),IF($NP$87="Bell_Curve",$NN$87*(308-$NR$87+1)*($NS$87-308+1)/$NU$87,$NN$87/$NT$87)),0)</f>
        <v/>
      </c>
      <c r="LA87" s="402">
        <f>IF(AND(309&gt;=$NR$87,309&lt;=$NS$87),IF($NP$87="Single_Point",IF(309=$NR$87,$NN$87,0),IF($NP$87="Bell_Curve",$NN$87*(309-$NR$87+1)*($NS$87-309+1)/$NU$87,$NN$87/$NT$87)),0)</f>
        <v/>
      </c>
      <c r="LB87" s="402">
        <f>IF(AND(310&gt;=$NR$87,310&lt;=$NS$87),IF($NP$87="Single_Point",IF(310=$NR$87,$NN$87,0),IF($NP$87="Bell_Curve",$NN$87*(310-$NR$87+1)*($NS$87-310+1)/$NU$87,$NN$87/$NT$87)),0)</f>
        <v/>
      </c>
      <c r="LC87" s="402">
        <f>IF(AND(311&gt;=$NR$87,311&lt;=$NS$87),IF($NP$87="Single_Point",IF(311=$NR$87,$NN$87,0),IF($NP$87="Bell_Curve",$NN$87*(311-$NR$87+1)*($NS$87-311+1)/$NU$87,$NN$87/$NT$87)),0)</f>
        <v/>
      </c>
      <c r="LD87" s="402">
        <f>IF(AND(312&gt;=$NR$87,312&lt;=$NS$87),IF($NP$87="Single_Point",IF(312=$NR$87,$NN$87,0),IF($NP$87="Bell_Curve",$NN$87*(312-$NR$87+1)*($NS$87-312+1)/$NU$87,$NN$87/$NT$87)),0)</f>
        <v/>
      </c>
      <c r="LE87" s="402">
        <f>IF(AND(313&gt;=$NR$87,313&lt;=$NS$87),IF($NP$87="Single_Point",IF(313=$NR$87,$NN$87,0),IF($NP$87="Bell_Curve",$NN$87*(313-$NR$87+1)*($NS$87-313+1)/$NU$87,$NN$87/$NT$87)),0)</f>
        <v/>
      </c>
      <c r="LF87" s="402">
        <f>IF(AND(314&gt;=$NR$87,314&lt;=$NS$87),IF($NP$87="Single_Point",IF(314=$NR$87,$NN$87,0),IF($NP$87="Bell_Curve",$NN$87*(314-$NR$87+1)*($NS$87-314+1)/$NU$87,$NN$87/$NT$87)),0)</f>
        <v/>
      </c>
      <c r="LG87" s="402">
        <f>IF(AND(315&gt;=$NR$87,315&lt;=$NS$87),IF($NP$87="Single_Point",IF(315=$NR$87,$NN$87,0),IF($NP$87="Bell_Curve",$NN$87*(315-$NR$87+1)*($NS$87-315+1)/$NU$87,$NN$87/$NT$87)),0)</f>
        <v/>
      </c>
      <c r="LH87" s="402">
        <f>IF(AND(316&gt;=$NR$87,316&lt;=$NS$87),IF($NP$87="Single_Point",IF(316=$NR$87,$NN$87,0),IF($NP$87="Bell_Curve",$NN$87*(316-$NR$87+1)*($NS$87-316+1)/$NU$87,$NN$87/$NT$87)),0)</f>
        <v/>
      </c>
      <c r="LI87" s="402">
        <f>IF(AND(317&gt;=$NR$87,317&lt;=$NS$87),IF($NP$87="Single_Point",IF(317=$NR$87,$NN$87,0),IF($NP$87="Bell_Curve",$NN$87*(317-$NR$87+1)*($NS$87-317+1)/$NU$87,$NN$87/$NT$87)),0)</f>
        <v/>
      </c>
      <c r="LJ87" s="402">
        <f>IF(AND(318&gt;=$NR$87,318&lt;=$NS$87),IF($NP$87="Single_Point",IF(318=$NR$87,$NN$87,0),IF($NP$87="Bell_Curve",$NN$87*(318-$NR$87+1)*($NS$87-318+1)/$NU$87,$NN$87/$NT$87)),0)</f>
        <v/>
      </c>
      <c r="LK87" s="402">
        <f>IF(AND(319&gt;=$NR$87,319&lt;=$NS$87),IF($NP$87="Single_Point",IF(319=$NR$87,$NN$87,0),IF($NP$87="Bell_Curve",$NN$87*(319-$NR$87+1)*($NS$87-319+1)/$NU$87,$NN$87/$NT$87)),0)</f>
        <v/>
      </c>
      <c r="LL87" s="402">
        <f>IF(AND(320&gt;=$NR$87,320&lt;=$NS$87),IF($NP$87="Single_Point",IF(320=$NR$87,$NN$87,0),IF($NP$87="Bell_Curve",$NN$87*(320-$NR$87+1)*($NS$87-320+1)/$NU$87,$NN$87/$NT$87)),0)</f>
        <v/>
      </c>
      <c r="LM87" s="402">
        <f>IF(AND(321&gt;=$NR$87,321&lt;=$NS$87),IF($NP$87="Single_Point",IF(321=$NR$87,$NN$87,0),IF($NP$87="Bell_Curve",$NN$87*(321-$NR$87+1)*($NS$87-321+1)/$NU$87,$NN$87/$NT$87)),0)</f>
        <v/>
      </c>
      <c r="LN87" s="402">
        <f>IF(AND(322&gt;=$NR$87,322&lt;=$NS$87),IF($NP$87="Single_Point",IF(322=$NR$87,$NN$87,0),IF($NP$87="Bell_Curve",$NN$87*(322-$NR$87+1)*($NS$87-322+1)/$NU$87,$NN$87/$NT$87)),0)</f>
        <v/>
      </c>
      <c r="LO87" s="402">
        <f>IF(AND(323&gt;=$NR$87,323&lt;=$NS$87),IF($NP$87="Single_Point",IF(323=$NR$87,$NN$87,0),IF($NP$87="Bell_Curve",$NN$87*(323-$NR$87+1)*($NS$87-323+1)/$NU$87,$NN$87/$NT$87)),0)</f>
        <v/>
      </c>
      <c r="LP87" s="402">
        <f>IF(AND(324&gt;=$NR$87,324&lt;=$NS$87),IF($NP$87="Single_Point",IF(324=$NR$87,$NN$87,0),IF($NP$87="Bell_Curve",$NN$87*(324-$NR$87+1)*($NS$87-324+1)/$NU$87,$NN$87/$NT$87)),0)</f>
        <v/>
      </c>
      <c r="LQ87" s="402">
        <f>IF(AND(325&gt;=$NR$87,325&lt;=$NS$87),IF($NP$87="Single_Point",IF(325=$NR$87,$NN$87,0),IF($NP$87="Bell_Curve",$NN$87*(325-$NR$87+1)*($NS$87-325+1)/$NU$87,$NN$87/$NT$87)),0)</f>
        <v/>
      </c>
      <c r="LR87" s="402">
        <f>IF(AND(326&gt;=$NR$87,326&lt;=$NS$87),IF($NP$87="Single_Point",IF(326=$NR$87,$NN$87,0),IF($NP$87="Bell_Curve",$NN$87*(326-$NR$87+1)*($NS$87-326+1)/$NU$87,$NN$87/$NT$87)),0)</f>
        <v/>
      </c>
      <c r="LS87" s="402">
        <f>IF(AND(327&gt;=$NR$87,327&lt;=$NS$87),IF($NP$87="Single_Point",IF(327=$NR$87,$NN$87,0),IF($NP$87="Bell_Curve",$NN$87*(327-$NR$87+1)*($NS$87-327+1)/$NU$87,$NN$87/$NT$87)),0)</f>
        <v/>
      </c>
      <c r="LT87" s="402">
        <f>IF(AND(328&gt;=$NR$87,328&lt;=$NS$87),IF($NP$87="Single_Point",IF(328=$NR$87,$NN$87,0),IF($NP$87="Bell_Curve",$NN$87*(328-$NR$87+1)*($NS$87-328+1)/$NU$87,$NN$87/$NT$87)),0)</f>
        <v/>
      </c>
      <c r="LU87" s="402">
        <f>IF(AND(329&gt;=$NR$87,329&lt;=$NS$87),IF($NP$87="Single_Point",IF(329=$NR$87,$NN$87,0),IF($NP$87="Bell_Curve",$NN$87*(329-$NR$87+1)*($NS$87-329+1)/$NU$87,$NN$87/$NT$87)),0)</f>
        <v/>
      </c>
      <c r="LV87" s="402">
        <f>IF(AND(330&gt;=$NR$87,330&lt;=$NS$87),IF($NP$87="Single_Point",IF(330=$NR$87,$NN$87,0),IF($NP$87="Bell_Curve",$NN$87*(330-$NR$87+1)*($NS$87-330+1)/$NU$87,$NN$87/$NT$87)),0)</f>
        <v/>
      </c>
      <c r="LW87" s="402">
        <f>IF(AND(331&gt;=$NR$87,331&lt;=$NS$87),IF($NP$87="Single_Point",IF(331=$NR$87,$NN$87,0),IF($NP$87="Bell_Curve",$NN$87*(331-$NR$87+1)*($NS$87-331+1)/$NU$87,$NN$87/$NT$87)),0)</f>
        <v/>
      </c>
      <c r="LX87" s="402">
        <f>IF(AND(332&gt;=$NR$87,332&lt;=$NS$87),IF($NP$87="Single_Point",IF(332=$NR$87,$NN$87,0),IF($NP$87="Bell_Curve",$NN$87*(332-$NR$87+1)*($NS$87-332+1)/$NU$87,$NN$87/$NT$87)),0)</f>
        <v/>
      </c>
      <c r="LY87" s="402">
        <f>IF(AND(333&gt;=$NR$87,333&lt;=$NS$87),IF($NP$87="Single_Point",IF(333=$NR$87,$NN$87,0),IF($NP$87="Bell_Curve",$NN$87*(333-$NR$87+1)*($NS$87-333+1)/$NU$87,$NN$87/$NT$87)),0)</f>
        <v/>
      </c>
      <c r="LZ87" s="402">
        <f>IF(AND(334&gt;=$NR$87,334&lt;=$NS$87),IF($NP$87="Single_Point",IF(334=$NR$87,$NN$87,0),IF($NP$87="Bell_Curve",$NN$87*(334-$NR$87+1)*($NS$87-334+1)/$NU$87,$NN$87/$NT$87)),0)</f>
        <v/>
      </c>
      <c r="MA87" s="402">
        <f>IF(AND(335&gt;=$NR$87,335&lt;=$NS$87),IF($NP$87="Single_Point",IF(335=$NR$87,$NN$87,0),IF($NP$87="Bell_Curve",$NN$87*(335-$NR$87+1)*($NS$87-335+1)/$NU$87,$NN$87/$NT$87)),0)</f>
        <v/>
      </c>
      <c r="MB87" s="402">
        <f>IF(AND(336&gt;=$NR$87,336&lt;=$NS$87),IF($NP$87="Single_Point",IF(336=$NR$87,$NN$87,0),IF($NP$87="Bell_Curve",$NN$87*(336-$NR$87+1)*($NS$87-336+1)/$NU$87,$NN$87/$NT$87)),0)</f>
        <v/>
      </c>
      <c r="MC87" s="402">
        <f>IF(AND(337&gt;=$NR$87,337&lt;=$NS$87),IF($NP$87="Single_Point",IF(337=$NR$87,$NN$87,0),IF($NP$87="Bell_Curve",$NN$87*(337-$NR$87+1)*($NS$87-337+1)/$NU$87,$NN$87/$NT$87)),0)</f>
        <v/>
      </c>
      <c r="MD87" s="402">
        <f>IF(AND(338&gt;=$NR$87,338&lt;=$NS$87),IF($NP$87="Single_Point",IF(338=$NR$87,$NN$87,0),IF($NP$87="Bell_Curve",$NN$87*(338-$NR$87+1)*($NS$87-338+1)/$NU$87,$NN$87/$NT$87)),0)</f>
        <v/>
      </c>
      <c r="ME87" s="402">
        <f>IF(AND(339&gt;=$NR$87,339&lt;=$NS$87),IF($NP$87="Single_Point",IF(339=$NR$87,$NN$87,0),IF($NP$87="Bell_Curve",$NN$87*(339-$NR$87+1)*($NS$87-339+1)/$NU$87,$NN$87/$NT$87)),0)</f>
        <v/>
      </c>
      <c r="MF87" s="402">
        <f>IF(AND(340&gt;=$NR$87,340&lt;=$NS$87),IF($NP$87="Single_Point",IF(340=$NR$87,$NN$87,0),IF($NP$87="Bell_Curve",$NN$87*(340-$NR$87+1)*($NS$87-340+1)/$NU$87,$NN$87/$NT$87)),0)</f>
        <v/>
      </c>
      <c r="MG87" s="402">
        <f>IF(AND(341&gt;=$NR$87,341&lt;=$NS$87),IF($NP$87="Single_Point",IF(341=$NR$87,$NN$87,0),IF($NP$87="Bell_Curve",$NN$87*(341-$NR$87+1)*($NS$87-341+1)/$NU$87,$NN$87/$NT$87)),0)</f>
        <v/>
      </c>
      <c r="MH87" s="402">
        <f>IF(AND(342&gt;=$NR$87,342&lt;=$NS$87),IF($NP$87="Single_Point",IF(342=$NR$87,$NN$87,0),IF($NP$87="Bell_Curve",$NN$87*(342-$NR$87+1)*($NS$87-342+1)/$NU$87,$NN$87/$NT$87)),0)</f>
        <v/>
      </c>
      <c r="MI87" s="402">
        <f>IF(AND(343&gt;=$NR$87,343&lt;=$NS$87),IF($NP$87="Single_Point",IF(343=$NR$87,$NN$87,0),IF($NP$87="Bell_Curve",$NN$87*(343-$NR$87+1)*($NS$87-343+1)/$NU$87,$NN$87/$NT$87)),0)</f>
        <v/>
      </c>
      <c r="MJ87" s="402">
        <f>IF(AND(344&gt;=$NR$87,344&lt;=$NS$87),IF($NP$87="Single_Point",IF(344=$NR$87,$NN$87,0),IF($NP$87="Bell_Curve",$NN$87*(344-$NR$87+1)*($NS$87-344+1)/$NU$87,$NN$87/$NT$87)),0)</f>
        <v/>
      </c>
      <c r="MK87" s="402">
        <f>IF(AND(345&gt;=$NR$87,345&lt;=$NS$87),IF($NP$87="Single_Point",IF(345=$NR$87,$NN$87,0),IF($NP$87="Bell_Curve",$NN$87*(345-$NR$87+1)*($NS$87-345+1)/$NU$87,$NN$87/$NT$87)),0)</f>
        <v/>
      </c>
      <c r="ML87" s="402">
        <f>IF(AND(346&gt;=$NR$87,346&lt;=$NS$87),IF($NP$87="Single_Point",IF(346=$NR$87,$NN$87,0),IF($NP$87="Bell_Curve",$NN$87*(346-$NR$87+1)*($NS$87-346+1)/$NU$87,$NN$87/$NT$87)),0)</f>
        <v/>
      </c>
      <c r="MM87" s="402">
        <f>IF(AND(347&gt;=$NR$87,347&lt;=$NS$87),IF($NP$87="Single_Point",IF(347=$NR$87,$NN$87,0),IF($NP$87="Bell_Curve",$NN$87*(347-$NR$87+1)*($NS$87-347+1)/$NU$87,$NN$87/$NT$87)),0)</f>
        <v/>
      </c>
      <c r="MN87" s="402">
        <f>IF(AND(348&gt;=$NR$87,348&lt;=$NS$87),IF($NP$87="Single_Point",IF(348=$NR$87,$NN$87,0),IF($NP$87="Bell_Curve",$NN$87*(348-$NR$87+1)*($NS$87-348+1)/$NU$87,$NN$87/$NT$87)),0)</f>
        <v/>
      </c>
      <c r="MO87" s="402">
        <f>IF(AND(349&gt;=$NR$87,349&lt;=$NS$87),IF($NP$87="Single_Point",IF(349=$NR$87,$NN$87,0),IF($NP$87="Bell_Curve",$NN$87*(349-$NR$87+1)*($NS$87-349+1)/$NU$87,$NN$87/$NT$87)),0)</f>
        <v/>
      </c>
      <c r="MP87" s="402">
        <f>IF(AND(350&gt;=$NR$87,350&lt;=$NS$87),IF($NP$87="Single_Point",IF(350=$NR$87,$NN$87,0),IF($NP$87="Bell_Curve",$NN$87*(350-$NR$87+1)*($NS$87-350+1)/$NU$87,$NN$87/$NT$87)),0)</f>
        <v/>
      </c>
      <c r="MQ87" s="402">
        <f>IF(AND(351&gt;=$NR$87,351&lt;=$NS$87),IF($NP$87="Single_Point",IF(351=$NR$87,$NN$87,0),IF($NP$87="Bell_Curve",$NN$87*(351-$NR$87+1)*($NS$87-351+1)/$NU$87,$NN$87/$NT$87)),0)</f>
        <v/>
      </c>
      <c r="MR87" s="402">
        <f>IF(AND(352&gt;=$NR$87,352&lt;=$NS$87),IF($NP$87="Single_Point",IF(352=$NR$87,$NN$87,0),IF($NP$87="Bell_Curve",$NN$87*(352-$NR$87+1)*($NS$87-352+1)/$NU$87,$NN$87/$NT$87)),0)</f>
        <v/>
      </c>
      <c r="MS87" s="402">
        <f>IF(AND(353&gt;=$NR$87,353&lt;=$NS$87),IF($NP$87="Single_Point",IF(353=$NR$87,$NN$87,0),IF($NP$87="Bell_Curve",$NN$87*(353-$NR$87+1)*($NS$87-353+1)/$NU$87,$NN$87/$NT$87)),0)</f>
        <v/>
      </c>
      <c r="MT87" s="402">
        <f>IF(AND(354&gt;=$NR$87,354&lt;=$NS$87),IF($NP$87="Single_Point",IF(354=$NR$87,$NN$87,0),IF($NP$87="Bell_Curve",$NN$87*(354-$NR$87+1)*($NS$87-354+1)/$NU$87,$NN$87/$NT$87)),0)</f>
        <v/>
      </c>
      <c r="MU87" s="402">
        <f>IF(AND(355&gt;=$NR$87,355&lt;=$NS$87),IF($NP$87="Single_Point",IF(355=$NR$87,$NN$87,0),IF($NP$87="Bell_Curve",$NN$87*(355-$NR$87+1)*($NS$87-355+1)/$NU$87,$NN$87/$NT$87)),0)</f>
        <v/>
      </c>
      <c r="MV87" s="402">
        <f>IF(AND(356&gt;=$NR$87,356&lt;=$NS$87),IF($NP$87="Single_Point",IF(356=$NR$87,$NN$87,0),IF($NP$87="Bell_Curve",$NN$87*(356-$NR$87+1)*($NS$87-356+1)/$NU$87,$NN$87/$NT$87)),0)</f>
        <v/>
      </c>
      <c r="MW87" s="402">
        <f>IF(AND(357&gt;=$NR$87,357&lt;=$NS$87),IF($NP$87="Single_Point",IF(357=$NR$87,$NN$87,0),IF($NP$87="Bell_Curve",$NN$87*(357-$NR$87+1)*($NS$87-357+1)/$NU$87,$NN$87/$NT$87)),0)</f>
        <v/>
      </c>
      <c r="MX87" s="402">
        <f>IF(AND(358&gt;=$NR$87,358&lt;=$NS$87),IF($NP$87="Single_Point",IF(358=$NR$87,$NN$87,0),IF($NP$87="Bell_Curve",$NN$87*(358-$NR$87+1)*($NS$87-358+1)/$NU$87,$NN$87/$NT$87)),0)</f>
        <v/>
      </c>
      <c r="MY87" s="402">
        <f>IF(AND(359&gt;=$NR$87,359&lt;=$NS$87),IF($NP$87="Single_Point",IF(359=$NR$87,$NN$87,0),IF($NP$87="Bell_Curve",$NN$87*(359-$NR$87+1)*($NS$87-359+1)/$NU$87,$NN$87/$NT$87)),0)</f>
        <v/>
      </c>
      <c r="MZ87" s="402">
        <f>IF(AND(360&gt;=$NR$87,360&lt;=$NS$87),IF($NP$87="Single_Point",IF(360=$NR$87,$NN$87,0),IF($NP$87="Bell_Curve",$NN$87*(360-$NR$87+1)*($NS$87-360+1)/$NU$87,$NN$87/$NT$87)),0)</f>
        <v/>
      </c>
      <c r="NA87" s="402">
        <f>IF(AND(361&gt;=$NR$87,361&lt;=$NS$87),IF($NP$87="Single_Point",IF(361=$NR$87,$NN$87,0),IF($NP$87="Bell_Curve",$NN$87*(361-$NR$87+1)*($NS$87-361+1)/$NU$87,$NN$87/$NT$87)),0)</f>
        <v/>
      </c>
      <c r="NB87" s="402">
        <f>IF(AND(362&gt;=$NR$87,362&lt;=$NS$87),IF($NP$87="Single_Point",IF(362=$NR$87,$NN$87,0),IF($NP$87="Bell_Curve",$NN$87*(362-$NR$87+1)*($NS$87-362+1)/$NU$87,$NN$87/$NT$87)),0)</f>
        <v/>
      </c>
      <c r="NC87" s="402">
        <f>IF(AND(363&gt;=$NR$87,363&lt;=$NS$87),IF($NP$87="Single_Point",IF(363=$NR$87,$NN$87,0),IF($NP$87="Bell_Curve",$NN$87*(363-$NR$87+1)*($NS$87-363+1)/$NU$87,$NN$87/$NT$87)),0)</f>
        <v/>
      </c>
      <c r="ND87" s="402">
        <f>IF(AND(364&gt;=$NR$87,364&lt;=$NS$87),IF($NP$87="Single_Point",IF(364=$NR$87,$NN$87,0),IF($NP$87="Bell_Curve",$NN$87*(364-$NR$87+1)*($NS$87-364+1)/$NU$87,$NN$87/$NT$87)),0)</f>
        <v/>
      </c>
      <c r="NE87" s="402">
        <f>IF(AND(365&gt;=$NR$87,365&lt;=$NS$87),IF($NP$87="Single_Point",IF(365=$NR$87,$NN$87,0),IF($NP$87="Bell_Curve",$NN$87*(365-$NR$87+1)*($NS$87-365+1)/$NU$87,$NN$87/$NT$87)),0)</f>
        <v/>
      </c>
      <c r="NF87" s="402">
        <f>IF(AND(366&gt;=$NR$87,366&lt;=$NS$87),IF($NP$87="Single_Point",IF(366=$NR$87,$NN$87,0),IF($NP$87="Bell_Curve",$NN$87*(366-$NR$87+1)*($NS$87-366+1)/$NU$87,$NN$87/$NT$87)),0)</f>
        <v/>
      </c>
      <c r="NG87" s="402">
        <f>IF(AND(367&gt;=$NR$87,367&lt;=$NS$87),IF($NP$87="Single_Point",IF(367=$NR$87,$NN$87,0),IF($NP$87="Bell_Curve",$NN$87*(367-$NR$87+1)*($NS$87-367+1)/$NU$87,$NN$87/$NT$87)),0)</f>
        <v/>
      </c>
      <c r="NH87" s="402">
        <f>IF(AND(368&gt;=$NR$87,368&lt;=$NS$87),IF($NP$87="Single_Point",IF(368=$NR$87,$NN$87,0),IF($NP$87="Bell_Curve",$NN$87*(368-$NR$87+1)*($NS$87-368+1)/$NU$87,$NN$87/$NT$87)),0)</f>
        <v/>
      </c>
      <c r="NI87" s="402">
        <f>IF(AND(369&gt;=$NR$87,369&lt;=$NS$87),IF($NP$87="Single_Point",IF(369=$NR$87,$NN$87,0),IF($NP$87="Bell_Curve",$NN$87*(369-$NR$87+1)*($NS$87-369+1)/$NU$87,$NN$87/$NT$87)),0)</f>
        <v/>
      </c>
      <c r="NJ87" s="402">
        <f>IF(AND(370&gt;=$NR$87,370&lt;=$NS$87),IF($NP$87="Single_Point",IF(370=$NR$87,$NN$87,0),IF($NP$87="Bell_Curve",$NN$87*(370-$NR$87+1)*($NS$87-370+1)/$NU$87,$NN$87/$NT$87)),0)</f>
        <v/>
      </c>
      <c r="NK87" s="402">
        <f>IF(AND(371&gt;=$NR$87,371&lt;=$NS$87),IF($NP$87="Single_Point",IF(371=$NR$87,$NN$87,0),IF($NP$87="Bell_Curve",$NN$87*(371-$NR$87+1)*($NS$87-371+1)/$NU$87,$NN$87/$NT$87)),0)</f>
        <v/>
      </c>
      <c r="NL87" s="402">
        <f>IF(AND(372&gt;=$NR$87,372&lt;=$NS$87),IF($NP$87="Single_Point",IF(372=$NR$87,$NN$87,0),IF($NP$87="Bell_Curve",$NN$87*(372-$NR$87+1)*($NS$87-372+1)/$NU$87,$NN$87/$NT$87)),0)</f>
        <v/>
      </c>
      <c r="NM87">
        <f>Budget!C86</f>
        <v/>
      </c>
      <c r="NN87">
        <f>Budget!J86</f>
        <v/>
      </c>
      <c r="NO87">
        <f>Budget!G86</f>
        <v/>
      </c>
      <c r="NP87">
        <f>Budget!H86</f>
        <v/>
      </c>
      <c r="NQ87">
        <f>Budget!I86</f>
        <v/>
      </c>
      <c r="NR87">
        <f>MAX(1,MIN(372,INDEX(MilestoneStart,MATCH(NO87,MilestoneNames,0))+NQ87))</f>
        <v/>
      </c>
      <c r="NS87">
        <f>MAX(NR87,MIN(372,INDEX(MilestoneEnd,MATCH(NO87,MilestoneNames,0))+NQ87))</f>
        <v/>
      </c>
      <c r="NT87">
        <f>NS87-NR87+1</f>
        <v/>
      </c>
      <c r="NU87">
        <f>NT87*(NT87+1)*(NT87+2)/6</f>
        <v/>
      </c>
    </row>
    <row r="88">
      <c r="B88" s="316">
        <f>Budget!B87</f>
        <v/>
      </c>
      <c r="D88" s="402">
        <f>SUM(E88:NL88)</f>
        <v/>
      </c>
      <c r="E88" s="402">
        <f>IF(AND(1&gt;=$NR$88,1&lt;=$NS$88),IF($NP$88="Single_Point",IF(1=$NR$88,$NN$88,0),IF($NP$88="Bell_Curve",$NN$88*(1-$NR$88+1)*($NS$88-1+1)/$NU$88,$NN$88/$NT$88)),0)</f>
        <v/>
      </c>
      <c r="F88" s="402">
        <f>IF(AND(2&gt;=$NR$88,2&lt;=$NS$88),IF($NP$88="Single_Point",IF(2=$NR$88,$NN$88,0),IF($NP$88="Bell_Curve",$NN$88*(2-$NR$88+1)*($NS$88-2+1)/$NU$88,$NN$88/$NT$88)),0)</f>
        <v/>
      </c>
      <c r="G88" s="402">
        <f>IF(AND(3&gt;=$NR$88,3&lt;=$NS$88),IF($NP$88="Single_Point",IF(3=$NR$88,$NN$88,0),IF($NP$88="Bell_Curve",$NN$88*(3-$NR$88+1)*($NS$88-3+1)/$NU$88,$NN$88/$NT$88)),0)</f>
        <v/>
      </c>
      <c r="H88" s="402">
        <f>IF(AND(4&gt;=$NR$88,4&lt;=$NS$88),IF($NP$88="Single_Point",IF(4=$NR$88,$NN$88,0),IF($NP$88="Bell_Curve",$NN$88*(4-$NR$88+1)*($NS$88-4+1)/$NU$88,$NN$88/$NT$88)),0)</f>
        <v/>
      </c>
      <c r="I88" s="402">
        <f>IF(AND(5&gt;=$NR$88,5&lt;=$NS$88),IF($NP$88="Single_Point",IF(5=$NR$88,$NN$88,0),IF($NP$88="Bell_Curve",$NN$88*(5-$NR$88+1)*($NS$88-5+1)/$NU$88,$NN$88/$NT$88)),0)</f>
        <v/>
      </c>
      <c r="J88" s="402">
        <f>IF(AND(6&gt;=$NR$88,6&lt;=$NS$88),IF($NP$88="Single_Point",IF(6=$NR$88,$NN$88,0),IF($NP$88="Bell_Curve",$NN$88*(6-$NR$88+1)*($NS$88-6+1)/$NU$88,$NN$88/$NT$88)),0)</f>
        <v/>
      </c>
      <c r="K88" s="402">
        <f>IF(AND(7&gt;=$NR$88,7&lt;=$NS$88),IF($NP$88="Single_Point",IF(7=$NR$88,$NN$88,0),IF($NP$88="Bell_Curve",$NN$88*(7-$NR$88+1)*($NS$88-7+1)/$NU$88,$NN$88/$NT$88)),0)</f>
        <v/>
      </c>
      <c r="L88" s="402">
        <f>IF(AND(8&gt;=$NR$88,8&lt;=$NS$88),IF($NP$88="Single_Point",IF(8=$NR$88,$NN$88,0),IF($NP$88="Bell_Curve",$NN$88*(8-$NR$88+1)*($NS$88-8+1)/$NU$88,$NN$88/$NT$88)),0)</f>
        <v/>
      </c>
      <c r="M88" s="402">
        <f>IF(AND(9&gt;=$NR$88,9&lt;=$NS$88),IF($NP$88="Single_Point",IF(9=$NR$88,$NN$88,0),IF($NP$88="Bell_Curve",$NN$88*(9-$NR$88+1)*($NS$88-9+1)/$NU$88,$NN$88/$NT$88)),0)</f>
        <v/>
      </c>
      <c r="N88" s="402">
        <f>IF(AND(10&gt;=$NR$88,10&lt;=$NS$88),IF($NP$88="Single_Point",IF(10=$NR$88,$NN$88,0),IF($NP$88="Bell_Curve",$NN$88*(10-$NR$88+1)*($NS$88-10+1)/$NU$88,$NN$88/$NT$88)),0)</f>
        <v/>
      </c>
      <c r="O88" s="402">
        <f>IF(AND(11&gt;=$NR$88,11&lt;=$NS$88),IF($NP$88="Single_Point",IF(11=$NR$88,$NN$88,0),IF($NP$88="Bell_Curve",$NN$88*(11-$NR$88+1)*($NS$88-11+1)/$NU$88,$NN$88/$NT$88)),0)</f>
        <v/>
      </c>
      <c r="P88" s="402">
        <f>IF(AND(12&gt;=$NR$88,12&lt;=$NS$88),IF($NP$88="Single_Point",IF(12=$NR$88,$NN$88,0),IF($NP$88="Bell_Curve",$NN$88*(12-$NR$88+1)*($NS$88-12+1)/$NU$88,$NN$88/$NT$88)),0)</f>
        <v/>
      </c>
      <c r="Q88" s="402">
        <f>IF(AND(13&gt;=$NR$88,13&lt;=$NS$88),IF($NP$88="Single_Point",IF(13=$NR$88,$NN$88,0),IF($NP$88="Bell_Curve",$NN$88*(13-$NR$88+1)*($NS$88-13+1)/$NU$88,$NN$88/$NT$88)),0)</f>
        <v/>
      </c>
      <c r="R88" s="402">
        <f>IF(AND(14&gt;=$NR$88,14&lt;=$NS$88),IF($NP$88="Single_Point",IF(14=$NR$88,$NN$88,0),IF($NP$88="Bell_Curve",$NN$88*(14-$NR$88+1)*($NS$88-14+1)/$NU$88,$NN$88/$NT$88)),0)</f>
        <v/>
      </c>
      <c r="S88" s="402">
        <f>IF(AND(15&gt;=$NR$88,15&lt;=$NS$88),IF($NP$88="Single_Point",IF(15=$NR$88,$NN$88,0),IF($NP$88="Bell_Curve",$NN$88*(15-$NR$88+1)*($NS$88-15+1)/$NU$88,$NN$88/$NT$88)),0)</f>
        <v/>
      </c>
      <c r="T88" s="402">
        <f>IF(AND(16&gt;=$NR$88,16&lt;=$NS$88),IF($NP$88="Single_Point",IF(16=$NR$88,$NN$88,0),IF($NP$88="Bell_Curve",$NN$88*(16-$NR$88+1)*($NS$88-16+1)/$NU$88,$NN$88/$NT$88)),0)</f>
        <v/>
      </c>
      <c r="U88" s="402">
        <f>IF(AND(17&gt;=$NR$88,17&lt;=$NS$88),IF($NP$88="Single_Point",IF(17=$NR$88,$NN$88,0),IF($NP$88="Bell_Curve",$NN$88*(17-$NR$88+1)*($NS$88-17+1)/$NU$88,$NN$88/$NT$88)),0)</f>
        <v/>
      </c>
      <c r="V88" s="402">
        <f>IF(AND(18&gt;=$NR$88,18&lt;=$NS$88),IF($NP$88="Single_Point",IF(18=$NR$88,$NN$88,0),IF($NP$88="Bell_Curve",$NN$88*(18-$NR$88+1)*($NS$88-18+1)/$NU$88,$NN$88/$NT$88)),0)</f>
        <v/>
      </c>
      <c r="W88" s="402">
        <f>IF(AND(19&gt;=$NR$88,19&lt;=$NS$88),IF($NP$88="Single_Point",IF(19=$NR$88,$NN$88,0),IF($NP$88="Bell_Curve",$NN$88*(19-$NR$88+1)*($NS$88-19+1)/$NU$88,$NN$88/$NT$88)),0)</f>
        <v/>
      </c>
      <c r="X88" s="402">
        <f>IF(AND(20&gt;=$NR$88,20&lt;=$NS$88),IF($NP$88="Single_Point",IF(20=$NR$88,$NN$88,0),IF($NP$88="Bell_Curve",$NN$88*(20-$NR$88+1)*($NS$88-20+1)/$NU$88,$NN$88/$NT$88)),0)</f>
        <v/>
      </c>
      <c r="Y88" s="402">
        <f>IF(AND(21&gt;=$NR$88,21&lt;=$NS$88),IF($NP$88="Single_Point",IF(21=$NR$88,$NN$88,0),IF($NP$88="Bell_Curve",$NN$88*(21-$NR$88+1)*($NS$88-21+1)/$NU$88,$NN$88/$NT$88)),0)</f>
        <v/>
      </c>
      <c r="Z88" s="402">
        <f>IF(AND(22&gt;=$NR$88,22&lt;=$NS$88),IF($NP$88="Single_Point",IF(22=$NR$88,$NN$88,0),IF($NP$88="Bell_Curve",$NN$88*(22-$NR$88+1)*($NS$88-22+1)/$NU$88,$NN$88/$NT$88)),0)</f>
        <v/>
      </c>
      <c r="AA88" s="402">
        <f>IF(AND(23&gt;=$NR$88,23&lt;=$NS$88),IF($NP$88="Single_Point",IF(23=$NR$88,$NN$88,0),IF($NP$88="Bell_Curve",$NN$88*(23-$NR$88+1)*($NS$88-23+1)/$NU$88,$NN$88/$NT$88)),0)</f>
        <v/>
      </c>
      <c r="AB88" s="402">
        <f>IF(AND(24&gt;=$NR$88,24&lt;=$NS$88),IF($NP$88="Single_Point",IF(24=$NR$88,$NN$88,0),IF($NP$88="Bell_Curve",$NN$88*(24-$NR$88+1)*($NS$88-24+1)/$NU$88,$NN$88/$NT$88)),0)</f>
        <v/>
      </c>
      <c r="AC88" s="402">
        <f>IF(AND(25&gt;=$NR$88,25&lt;=$NS$88),IF($NP$88="Single_Point",IF(25=$NR$88,$NN$88,0),IF($NP$88="Bell_Curve",$NN$88*(25-$NR$88+1)*($NS$88-25+1)/$NU$88,$NN$88/$NT$88)),0)</f>
        <v/>
      </c>
      <c r="AD88" s="402">
        <f>IF(AND(26&gt;=$NR$88,26&lt;=$NS$88),IF($NP$88="Single_Point",IF(26=$NR$88,$NN$88,0),IF($NP$88="Bell_Curve",$NN$88*(26-$NR$88+1)*($NS$88-26+1)/$NU$88,$NN$88/$NT$88)),0)</f>
        <v/>
      </c>
      <c r="AE88" s="402">
        <f>IF(AND(27&gt;=$NR$88,27&lt;=$NS$88),IF($NP$88="Single_Point",IF(27=$NR$88,$NN$88,0),IF($NP$88="Bell_Curve",$NN$88*(27-$NR$88+1)*($NS$88-27+1)/$NU$88,$NN$88/$NT$88)),0)</f>
        <v/>
      </c>
      <c r="AF88" s="402">
        <f>IF(AND(28&gt;=$NR$88,28&lt;=$NS$88),IF($NP$88="Single_Point",IF(28=$NR$88,$NN$88,0),IF($NP$88="Bell_Curve",$NN$88*(28-$NR$88+1)*($NS$88-28+1)/$NU$88,$NN$88/$NT$88)),0)</f>
        <v/>
      </c>
      <c r="AG88" s="402">
        <f>IF(AND(29&gt;=$NR$88,29&lt;=$NS$88),IF($NP$88="Single_Point",IF(29=$NR$88,$NN$88,0),IF($NP$88="Bell_Curve",$NN$88*(29-$NR$88+1)*($NS$88-29+1)/$NU$88,$NN$88/$NT$88)),0)</f>
        <v/>
      </c>
      <c r="AH88" s="402">
        <f>IF(AND(30&gt;=$NR$88,30&lt;=$NS$88),IF($NP$88="Single_Point",IF(30=$NR$88,$NN$88,0),IF($NP$88="Bell_Curve",$NN$88*(30-$NR$88+1)*($NS$88-30+1)/$NU$88,$NN$88/$NT$88)),0)</f>
        <v/>
      </c>
      <c r="AI88" s="402">
        <f>IF(AND(31&gt;=$NR$88,31&lt;=$NS$88),IF($NP$88="Single_Point",IF(31=$NR$88,$NN$88,0),IF($NP$88="Bell_Curve",$NN$88*(31-$NR$88+1)*($NS$88-31+1)/$NU$88,$NN$88/$NT$88)),0)</f>
        <v/>
      </c>
      <c r="AJ88" s="402">
        <f>IF(AND(32&gt;=$NR$88,32&lt;=$NS$88),IF($NP$88="Single_Point",IF(32=$NR$88,$NN$88,0),IF($NP$88="Bell_Curve",$NN$88*(32-$NR$88+1)*($NS$88-32+1)/$NU$88,$NN$88/$NT$88)),0)</f>
        <v/>
      </c>
      <c r="AK88" s="402">
        <f>IF(AND(33&gt;=$NR$88,33&lt;=$NS$88),IF($NP$88="Single_Point",IF(33=$NR$88,$NN$88,0),IF($NP$88="Bell_Curve",$NN$88*(33-$NR$88+1)*($NS$88-33+1)/$NU$88,$NN$88/$NT$88)),0)</f>
        <v/>
      </c>
      <c r="AL88" s="402">
        <f>IF(AND(34&gt;=$NR$88,34&lt;=$NS$88),IF($NP$88="Single_Point",IF(34=$NR$88,$NN$88,0),IF($NP$88="Bell_Curve",$NN$88*(34-$NR$88+1)*($NS$88-34+1)/$NU$88,$NN$88/$NT$88)),0)</f>
        <v/>
      </c>
      <c r="AM88" s="402">
        <f>IF(AND(35&gt;=$NR$88,35&lt;=$NS$88),IF($NP$88="Single_Point",IF(35=$NR$88,$NN$88,0),IF($NP$88="Bell_Curve",$NN$88*(35-$NR$88+1)*($NS$88-35+1)/$NU$88,$NN$88/$NT$88)),0)</f>
        <v/>
      </c>
      <c r="AN88" s="402">
        <f>IF(AND(36&gt;=$NR$88,36&lt;=$NS$88),IF($NP$88="Single_Point",IF(36=$NR$88,$NN$88,0),IF($NP$88="Bell_Curve",$NN$88*(36-$NR$88+1)*($NS$88-36+1)/$NU$88,$NN$88/$NT$88)),0)</f>
        <v/>
      </c>
      <c r="AO88" s="402">
        <f>IF(AND(37&gt;=$NR$88,37&lt;=$NS$88),IF($NP$88="Single_Point",IF(37=$NR$88,$NN$88,0),IF($NP$88="Bell_Curve",$NN$88*(37-$NR$88+1)*($NS$88-37+1)/$NU$88,$NN$88/$NT$88)),0)</f>
        <v/>
      </c>
      <c r="AP88" s="402">
        <f>IF(AND(38&gt;=$NR$88,38&lt;=$NS$88),IF($NP$88="Single_Point",IF(38=$NR$88,$NN$88,0),IF($NP$88="Bell_Curve",$NN$88*(38-$NR$88+1)*($NS$88-38+1)/$NU$88,$NN$88/$NT$88)),0)</f>
        <v/>
      </c>
      <c r="AQ88" s="402">
        <f>IF(AND(39&gt;=$NR$88,39&lt;=$NS$88),IF($NP$88="Single_Point",IF(39=$NR$88,$NN$88,0),IF($NP$88="Bell_Curve",$NN$88*(39-$NR$88+1)*($NS$88-39+1)/$NU$88,$NN$88/$NT$88)),0)</f>
        <v/>
      </c>
      <c r="AR88" s="402">
        <f>IF(AND(40&gt;=$NR$88,40&lt;=$NS$88),IF($NP$88="Single_Point",IF(40=$NR$88,$NN$88,0),IF($NP$88="Bell_Curve",$NN$88*(40-$NR$88+1)*($NS$88-40+1)/$NU$88,$NN$88/$NT$88)),0)</f>
        <v/>
      </c>
      <c r="AS88" s="402">
        <f>IF(AND(41&gt;=$NR$88,41&lt;=$NS$88),IF($NP$88="Single_Point",IF(41=$NR$88,$NN$88,0),IF($NP$88="Bell_Curve",$NN$88*(41-$NR$88+1)*($NS$88-41+1)/$NU$88,$NN$88/$NT$88)),0)</f>
        <v/>
      </c>
      <c r="AT88" s="402">
        <f>IF(AND(42&gt;=$NR$88,42&lt;=$NS$88),IF($NP$88="Single_Point",IF(42=$NR$88,$NN$88,0),IF($NP$88="Bell_Curve",$NN$88*(42-$NR$88+1)*($NS$88-42+1)/$NU$88,$NN$88/$NT$88)),0)</f>
        <v/>
      </c>
      <c r="AU88" s="402">
        <f>IF(AND(43&gt;=$NR$88,43&lt;=$NS$88),IF($NP$88="Single_Point",IF(43=$NR$88,$NN$88,0),IF($NP$88="Bell_Curve",$NN$88*(43-$NR$88+1)*($NS$88-43+1)/$NU$88,$NN$88/$NT$88)),0)</f>
        <v/>
      </c>
      <c r="AV88" s="402">
        <f>IF(AND(44&gt;=$NR$88,44&lt;=$NS$88),IF($NP$88="Single_Point",IF(44=$NR$88,$NN$88,0),IF($NP$88="Bell_Curve",$NN$88*(44-$NR$88+1)*($NS$88-44+1)/$NU$88,$NN$88/$NT$88)),0)</f>
        <v/>
      </c>
      <c r="AW88" s="402">
        <f>IF(AND(45&gt;=$NR$88,45&lt;=$NS$88),IF($NP$88="Single_Point",IF(45=$NR$88,$NN$88,0),IF($NP$88="Bell_Curve",$NN$88*(45-$NR$88+1)*($NS$88-45+1)/$NU$88,$NN$88/$NT$88)),0)</f>
        <v/>
      </c>
      <c r="AX88" s="402">
        <f>IF(AND(46&gt;=$NR$88,46&lt;=$NS$88),IF($NP$88="Single_Point",IF(46=$NR$88,$NN$88,0),IF($NP$88="Bell_Curve",$NN$88*(46-$NR$88+1)*($NS$88-46+1)/$NU$88,$NN$88/$NT$88)),0)</f>
        <v/>
      </c>
      <c r="AY88" s="402">
        <f>IF(AND(47&gt;=$NR$88,47&lt;=$NS$88),IF($NP$88="Single_Point",IF(47=$NR$88,$NN$88,0),IF($NP$88="Bell_Curve",$NN$88*(47-$NR$88+1)*($NS$88-47+1)/$NU$88,$NN$88/$NT$88)),0)</f>
        <v/>
      </c>
      <c r="AZ88" s="402">
        <f>IF(AND(48&gt;=$NR$88,48&lt;=$NS$88),IF($NP$88="Single_Point",IF(48=$NR$88,$NN$88,0),IF($NP$88="Bell_Curve",$NN$88*(48-$NR$88+1)*($NS$88-48+1)/$NU$88,$NN$88/$NT$88)),0)</f>
        <v/>
      </c>
      <c r="BA88" s="402">
        <f>IF(AND(49&gt;=$NR$88,49&lt;=$NS$88),IF($NP$88="Single_Point",IF(49=$NR$88,$NN$88,0),IF($NP$88="Bell_Curve",$NN$88*(49-$NR$88+1)*($NS$88-49+1)/$NU$88,$NN$88/$NT$88)),0)</f>
        <v/>
      </c>
      <c r="BB88" s="402">
        <f>IF(AND(50&gt;=$NR$88,50&lt;=$NS$88),IF($NP$88="Single_Point",IF(50=$NR$88,$NN$88,0),IF($NP$88="Bell_Curve",$NN$88*(50-$NR$88+1)*($NS$88-50+1)/$NU$88,$NN$88/$NT$88)),0)</f>
        <v/>
      </c>
      <c r="BC88" s="402">
        <f>IF(AND(51&gt;=$NR$88,51&lt;=$NS$88),IF($NP$88="Single_Point",IF(51=$NR$88,$NN$88,0),IF($NP$88="Bell_Curve",$NN$88*(51-$NR$88+1)*($NS$88-51+1)/$NU$88,$NN$88/$NT$88)),0)</f>
        <v/>
      </c>
      <c r="BD88" s="402">
        <f>IF(AND(52&gt;=$NR$88,52&lt;=$NS$88),IF($NP$88="Single_Point",IF(52=$NR$88,$NN$88,0),IF($NP$88="Bell_Curve",$NN$88*(52-$NR$88+1)*($NS$88-52+1)/$NU$88,$NN$88/$NT$88)),0)</f>
        <v/>
      </c>
      <c r="BE88" s="402">
        <f>IF(AND(53&gt;=$NR$88,53&lt;=$NS$88),IF($NP$88="Single_Point",IF(53=$NR$88,$NN$88,0),IF($NP$88="Bell_Curve",$NN$88*(53-$NR$88+1)*($NS$88-53+1)/$NU$88,$NN$88/$NT$88)),0)</f>
        <v/>
      </c>
      <c r="BF88" s="402">
        <f>IF(AND(54&gt;=$NR$88,54&lt;=$NS$88),IF($NP$88="Single_Point",IF(54=$NR$88,$NN$88,0),IF($NP$88="Bell_Curve",$NN$88*(54-$NR$88+1)*($NS$88-54+1)/$NU$88,$NN$88/$NT$88)),0)</f>
        <v/>
      </c>
      <c r="BG88" s="402">
        <f>IF(AND(55&gt;=$NR$88,55&lt;=$NS$88),IF($NP$88="Single_Point",IF(55=$NR$88,$NN$88,0),IF($NP$88="Bell_Curve",$NN$88*(55-$NR$88+1)*($NS$88-55+1)/$NU$88,$NN$88/$NT$88)),0)</f>
        <v/>
      </c>
      <c r="BH88" s="402">
        <f>IF(AND(56&gt;=$NR$88,56&lt;=$NS$88),IF($NP$88="Single_Point",IF(56=$NR$88,$NN$88,0),IF($NP$88="Bell_Curve",$NN$88*(56-$NR$88+1)*($NS$88-56+1)/$NU$88,$NN$88/$NT$88)),0)</f>
        <v/>
      </c>
      <c r="BI88" s="402">
        <f>IF(AND(57&gt;=$NR$88,57&lt;=$NS$88),IF($NP$88="Single_Point",IF(57=$NR$88,$NN$88,0),IF($NP$88="Bell_Curve",$NN$88*(57-$NR$88+1)*($NS$88-57+1)/$NU$88,$NN$88/$NT$88)),0)</f>
        <v/>
      </c>
      <c r="BJ88" s="402">
        <f>IF(AND(58&gt;=$NR$88,58&lt;=$NS$88),IF($NP$88="Single_Point",IF(58=$NR$88,$NN$88,0),IF($NP$88="Bell_Curve",$NN$88*(58-$NR$88+1)*($NS$88-58+1)/$NU$88,$NN$88/$NT$88)),0)</f>
        <v/>
      </c>
      <c r="BK88" s="402">
        <f>IF(AND(59&gt;=$NR$88,59&lt;=$NS$88),IF($NP$88="Single_Point",IF(59=$NR$88,$NN$88,0),IF($NP$88="Bell_Curve",$NN$88*(59-$NR$88+1)*($NS$88-59+1)/$NU$88,$NN$88/$NT$88)),0)</f>
        <v/>
      </c>
      <c r="BL88" s="402">
        <f>IF(AND(60&gt;=$NR$88,60&lt;=$NS$88),IF($NP$88="Single_Point",IF(60=$NR$88,$NN$88,0),IF($NP$88="Bell_Curve",$NN$88*(60-$NR$88+1)*($NS$88-60+1)/$NU$88,$NN$88/$NT$88)),0)</f>
        <v/>
      </c>
      <c r="BM88" s="402">
        <f>IF(AND(61&gt;=$NR$88,61&lt;=$NS$88),IF($NP$88="Single_Point",IF(61=$NR$88,$NN$88,0),IF($NP$88="Bell_Curve",$NN$88*(61-$NR$88+1)*($NS$88-61+1)/$NU$88,$NN$88/$NT$88)),0)</f>
        <v/>
      </c>
      <c r="BN88" s="402">
        <f>IF(AND(62&gt;=$NR$88,62&lt;=$NS$88),IF($NP$88="Single_Point",IF(62=$NR$88,$NN$88,0),IF($NP$88="Bell_Curve",$NN$88*(62-$NR$88+1)*($NS$88-62+1)/$NU$88,$NN$88/$NT$88)),0)</f>
        <v/>
      </c>
      <c r="BO88" s="402">
        <f>IF(AND(63&gt;=$NR$88,63&lt;=$NS$88),IF($NP$88="Single_Point",IF(63=$NR$88,$NN$88,0),IF($NP$88="Bell_Curve",$NN$88*(63-$NR$88+1)*($NS$88-63+1)/$NU$88,$NN$88/$NT$88)),0)</f>
        <v/>
      </c>
      <c r="BP88" s="402">
        <f>IF(AND(64&gt;=$NR$88,64&lt;=$NS$88),IF($NP$88="Single_Point",IF(64=$NR$88,$NN$88,0),IF($NP$88="Bell_Curve",$NN$88*(64-$NR$88+1)*($NS$88-64+1)/$NU$88,$NN$88/$NT$88)),0)</f>
        <v/>
      </c>
      <c r="BQ88" s="402">
        <f>IF(AND(65&gt;=$NR$88,65&lt;=$NS$88),IF($NP$88="Single_Point",IF(65=$NR$88,$NN$88,0),IF($NP$88="Bell_Curve",$NN$88*(65-$NR$88+1)*($NS$88-65+1)/$NU$88,$NN$88/$NT$88)),0)</f>
        <v/>
      </c>
      <c r="BR88" s="402">
        <f>IF(AND(66&gt;=$NR$88,66&lt;=$NS$88),IF($NP$88="Single_Point",IF(66=$NR$88,$NN$88,0),IF($NP$88="Bell_Curve",$NN$88*(66-$NR$88+1)*($NS$88-66+1)/$NU$88,$NN$88/$NT$88)),0)</f>
        <v/>
      </c>
      <c r="BS88" s="402">
        <f>IF(AND(67&gt;=$NR$88,67&lt;=$NS$88),IF($NP$88="Single_Point",IF(67=$NR$88,$NN$88,0),IF($NP$88="Bell_Curve",$NN$88*(67-$NR$88+1)*($NS$88-67+1)/$NU$88,$NN$88/$NT$88)),0)</f>
        <v/>
      </c>
      <c r="BT88" s="402">
        <f>IF(AND(68&gt;=$NR$88,68&lt;=$NS$88),IF($NP$88="Single_Point",IF(68=$NR$88,$NN$88,0),IF($NP$88="Bell_Curve",$NN$88*(68-$NR$88+1)*($NS$88-68+1)/$NU$88,$NN$88/$NT$88)),0)</f>
        <v/>
      </c>
      <c r="BU88" s="402">
        <f>IF(AND(69&gt;=$NR$88,69&lt;=$NS$88),IF($NP$88="Single_Point",IF(69=$NR$88,$NN$88,0),IF($NP$88="Bell_Curve",$NN$88*(69-$NR$88+1)*($NS$88-69+1)/$NU$88,$NN$88/$NT$88)),0)</f>
        <v/>
      </c>
      <c r="BV88" s="402">
        <f>IF(AND(70&gt;=$NR$88,70&lt;=$NS$88),IF($NP$88="Single_Point",IF(70=$NR$88,$NN$88,0),IF($NP$88="Bell_Curve",$NN$88*(70-$NR$88+1)*($NS$88-70+1)/$NU$88,$NN$88/$NT$88)),0)</f>
        <v/>
      </c>
      <c r="BW88" s="402">
        <f>IF(AND(71&gt;=$NR$88,71&lt;=$NS$88),IF($NP$88="Single_Point",IF(71=$NR$88,$NN$88,0),IF($NP$88="Bell_Curve",$NN$88*(71-$NR$88+1)*($NS$88-71+1)/$NU$88,$NN$88/$NT$88)),0)</f>
        <v/>
      </c>
      <c r="BX88" s="402">
        <f>IF(AND(72&gt;=$NR$88,72&lt;=$NS$88),IF($NP$88="Single_Point",IF(72=$NR$88,$NN$88,0),IF($NP$88="Bell_Curve",$NN$88*(72-$NR$88+1)*($NS$88-72+1)/$NU$88,$NN$88/$NT$88)),0)</f>
        <v/>
      </c>
      <c r="BY88" s="402">
        <f>IF(AND(73&gt;=$NR$88,73&lt;=$NS$88),IF($NP$88="Single_Point",IF(73=$NR$88,$NN$88,0),IF($NP$88="Bell_Curve",$NN$88*(73-$NR$88+1)*($NS$88-73+1)/$NU$88,$NN$88/$NT$88)),0)</f>
        <v/>
      </c>
      <c r="BZ88" s="402">
        <f>IF(AND(74&gt;=$NR$88,74&lt;=$NS$88),IF($NP$88="Single_Point",IF(74=$NR$88,$NN$88,0),IF($NP$88="Bell_Curve",$NN$88*(74-$NR$88+1)*($NS$88-74+1)/$NU$88,$NN$88/$NT$88)),0)</f>
        <v/>
      </c>
      <c r="CA88" s="402">
        <f>IF(AND(75&gt;=$NR$88,75&lt;=$NS$88),IF($NP$88="Single_Point",IF(75=$NR$88,$NN$88,0),IF($NP$88="Bell_Curve",$NN$88*(75-$NR$88+1)*($NS$88-75+1)/$NU$88,$NN$88/$NT$88)),0)</f>
        <v/>
      </c>
      <c r="CB88" s="402">
        <f>IF(AND(76&gt;=$NR$88,76&lt;=$NS$88),IF($NP$88="Single_Point",IF(76=$NR$88,$NN$88,0),IF($NP$88="Bell_Curve",$NN$88*(76-$NR$88+1)*($NS$88-76+1)/$NU$88,$NN$88/$NT$88)),0)</f>
        <v/>
      </c>
      <c r="CC88" s="402">
        <f>IF(AND(77&gt;=$NR$88,77&lt;=$NS$88),IF($NP$88="Single_Point",IF(77=$NR$88,$NN$88,0),IF($NP$88="Bell_Curve",$NN$88*(77-$NR$88+1)*($NS$88-77+1)/$NU$88,$NN$88/$NT$88)),0)</f>
        <v/>
      </c>
      <c r="CD88" s="402">
        <f>IF(AND(78&gt;=$NR$88,78&lt;=$NS$88),IF($NP$88="Single_Point",IF(78=$NR$88,$NN$88,0),IF($NP$88="Bell_Curve",$NN$88*(78-$NR$88+1)*($NS$88-78+1)/$NU$88,$NN$88/$NT$88)),0)</f>
        <v/>
      </c>
      <c r="CE88" s="402">
        <f>IF(AND(79&gt;=$NR$88,79&lt;=$NS$88),IF($NP$88="Single_Point",IF(79=$NR$88,$NN$88,0),IF($NP$88="Bell_Curve",$NN$88*(79-$NR$88+1)*($NS$88-79+1)/$NU$88,$NN$88/$NT$88)),0)</f>
        <v/>
      </c>
      <c r="CF88" s="402">
        <f>IF(AND(80&gt;=$NR$88,80&lt;=$NS$88),IF($NP$88="Single_Point",IF(80=$NR$88,$NN$88,0),IF($NP$88="Bell_Curve",$NN$88*(80-$NR$88+1)*($NS$88-80+1)/$NU$88,$NN$88/$NT$88)),0)</f>
        <v/>
      </c>
      <c r="CG88" s="402">
        <f>IF(AND(81&gt;=$NR$88,81&lt;=$NS$88),IF($NP$88="Single_Point",IF(81=$NR$88,$NN$88,0),IF($NP$88="Bell_Curve",$NN$88*(81-$NR$88+1)*($NS$88-81+1)/$NU$88,$NN$88/$NT$88)),0)</f>
        <v/>
      </c>
      <c r="CH88" s="402">
        <f>IF(AND(82&gt;=$NR$88,82&lt;=$NS$88),IF($NP$88="Single_Point",IF(82=$NR$88,$NN$88,0),IF($NP$88="Bell_Curve",$NN$88*(82-$NR$88+1)*($NS$88-82+1)/$NU$88,$NN$88/$NT$88)),0)</f>
        <v/>
      </c>
      <c r="CI88" s="402">
        <f>IF(AND(83&gt;=$NR$88,83&lt;=$NS$88),IF($NP$88="Single_Point",IF(83=$NR$88,$NN$88,0),IF($NP$88="Bell_Curve",$NN$88*(83-$NR$88+1)*($NS$88-83+1)/$NU$88,$NN$88/$NT$88)),0)</f>
        <v/>
      </c>
      <c r="CJ88" s="402">
        <f>IF(AND(84&gt;=$NR$88,84&lt;=$NS$88),IF($NP$88="Single_Point",IF(84=$NR$88,$NN$88,0),IF($NP$88="Bell_Curve",$NN$88*(84-$NR$88+1)*($NS$88-84+1)/$NU$88,$NN$88/$NT$88)),0)</f>
        <v/>
      </c>
      <c r="CK88" s="402">
        <f>IF(AND(85&gt;=$NR$88,85&lt;=$NS$88),IF($NP$88="Single_Point",IF(85=$NR$88,$NN$88,0),IF($NP$88="Bell_Curve",$NN$88*(85-$NR$88+1)*($NS$88-85+1)/$NU$88,$NN$88/$NT$88)),0)</f>
        <v/>
      </c>
      <c r="CL88" s="402">
        <f>IF(AND(86&gt;=$NR$88,86&lt;=$NS$88),IF($NP$88="Single_Point",IF(86=$NR$88,$NN$88,0),IF($NP$88="Bell_Curve",$NN$88*(86-$NR$88+1)*($NS$88-86+1)/$NU$88,$NN$88/$NT$88)),0)</f>
        <v/>
      </c>
      <c r="CM88" s="402">
        <f>IF(AND(87&gt;=$NR$88,87&lt;=$NS$88),IF($NP$88="Single_Point",IF(87=$NR$88,$NN$88,0),IF($NP$88="Bell_Curve",$NN$88*(87-$NR$88+1)*($NS$88-87+1)/$NU$88,$NN$88/$NT$88)),0)</f>
        <v/>
      </c>
      <c r="CN88" s="402">
        <f>IF(AND(88&gt;=$NR$88,88&lt;=$NS$88),IF($NP$88="Single_Point",IF(88=$NR$88,$NN$88,0),IF($NP$88="Bell_Curve",$NN$88*(88-$NR$88+1)*($NS$88-88+1)/$NU$88,$NN$88/$NT$88)),0)</f>
        <v/>
      </c>
      <c r="CO88" s="402">
        <f>IF(AND(89&gt;=$NR$88,89&lt;=$NS$88),IF($NP$88="Single_Point",IF(89=$NR$88,$NN$88,0),IF($NP$88="Bell_Curve",$NN$88*(89-$NR$88+1)*($NS$88-89+1)/$NU$88,$NN$88/$NT$88)),0)</f>
        <v/>
      </c>
      <c r="CP88" s="402">
        <f>IF(AND(90&gt;=$NR$88,90&lt;=$NS$88),IF($NP$88="Single_Point",IF(90=$NR$88,$NN$88,0),IF($NP$88="Bell_Curve",$NN$88*(90-$NR$88+1)*($NS$88-90+1)/$NU$88,$NN$88/$NT$88)),0)</f>
        <v/>
      </c>
      <c r="CQ88" s="402">
        <f>IF(AND(91&gt;=$NR$88,91&lt;=$NS$88),IF($NP$88="Single_Point",IF(91=$NR$88,$NN$88,0),IF($NP$88="Bell_Curve",$NN$88*(91-$NR$88+1)*($NS$88-91+1)/$NU$88,$NN$88/$NT$88)),0)</f>
        <v/>
      </c>
      <c r="CR88" s="402">
        <f>IF(AND(92&gt;=$NR$88,92&lt;=$NS$88),IF($NP$88="Single_Point",IF(92=$NR$88,$NN$88,0),IF($NP$88="Bell_Curve",$NN$88*(92-$NR$88+1)*($NS$88-92+1)/$NU$88,$NN$88/$NT$88)),0)</f>
        <v/>
      </c>
      <c r="CS88" s="402">
        <f>IF(AND(93&gt;=$NR$88,93&lt;=$NS$88),IF($NP$88="Single_Point",IF(93=$NR$88,$NN$88,0),IF($NP$88="Bell_Curve",$NN$88*(93-$NR$88+1)*($NS$88-93+1)/$NU$88,$NN$88/$NT$88)),0)</f>
        <v/>
      </c>
      <c r="CT88" s="402">
        <f>IF(AND(94&gt;=$NR$88,94&lt;=$NS$88),IF($NP$88="Single_Point",IF(94=$NR$88,$NN$88,0),IF($NP$88="Bell_Curve",$NN$88*(94-$NR$88+1)*($NS$88-94+1)/$NU$88,$NN$88/$NT$88)),0)</f>
        <v/>
      </c>
      <c r="CU88" s="402">
        <f>IF(AND(95&gt;=$NR$88,95&lt;=$NS$88),IF($NP$88="Single_Point",IF(95=$NR$88,$NN$88,0),IF($NP$88="Bell_Curve",$NN$88*(95-$NR$88+1)*($NS$88-95+1)/$NU$88,$NN$88/$NT$88)),0)</f>
        <v/>
      </c>
      <c r="CV88" s="402">
        <f>IF(AND(96&gt;=$NR$88,96&lt;=$NS$88),IF($NP$88="Single_Point",IF(96=$NR$88,$NN$88,0),IF($NP$88="Bell_Curve",$NN$88*(96-$NR$88+1)*($NS$88-96+1)/$NU$88,$NN$88/$NT$88)),0)</f>
        <v/>
      </c>
      <c r="CW88" s="402">
        <f>IF(AND(97&gt;=$NR$88,97&lt;=$NS$88),IF($NP$88="Single_Point",IF(97=$NR$88,$NN$88,0),IF($NP$88="Bell_Curve",$NN$88*(97-$NR$88+1)*($NS$88-97+1)/$NU$88,$NN$88/$NT$88)),0)</f>
        <v/>
      </c>
      <c r="CX88" s="402">
        <f>IF(AND(98&gt;=$NR$88,98&lt;=$NS$88),IF($NP$88="Single_Point",IF(98=$NR$88,$NN$88,0),IF($NP$88="Bell_Curve",$NN$88*(98-$NR$88+1)*($NS$88-98+1)/$NU$88,$NN$88/$NT$88)),0)</f>
        <v/>
      </c>
      <c r="CY88" s="402">
        <f>IF(AND(99&gt;=$NR$88,99&lt;=$NS$88),IF($NP$88="Single_Point",IF(99=$NR$88,$NN$88,0),IF($NP$88="Bell_Curve",$NN$88*(99-$NR$88+1)*($NS$88-99+1)/$NU$88,$NN$88/$NT$88)),0)</f>
        <v/>
      </c>
      <c r="CZ88" s="402">
        <f>IF(AND(100&gt;=$NR$88,100&lt;=$NS$88),IF($NP$88="Single_Point",IF(100=$NR$88,$NN$88,0),IF($NP$88="Bell_Curve",$NN$88*(100-$NR$88+1)*($NS$88-100+1)/$NU$88,$NN$88/$NT$88)),0)</f>
        <v/>
      </c>
      <c r="DA88" s="402">
        <f>IF(AND(101&gt;=$NR$88,101&lt;=$NS$88),IF($NP$88="Single_Point",IF(101=$NR$88,$NN$88,0),IF($NP$88="Bell_Curve",$NN$88*(101-$NR$88+1)*($NS$88-101+1)/$NU$88,$NN$88/$NT$88)),0)</f>
        <v/>
      </c>
      <c r="DB88" s="402">
        <f>IF(AND(102&gt;=$NR$88,102&lt;=$NS$88),IF($NP$88="Single_Point",IF(102=$NR$88,$NN$88,0),IF($NP$88="Bell_Curve",$NN$88*(102-$NR$88+1)*($NS$88-102+1)/$NU$88,$NN$88/$NT$88)),0)</f>
        <v/>
      </c>
      <c r="DC88" s="402">
        <f>IF(AND(103&gt;=$NR$88,103&lt;=$NS$88),IF($NP$88="Single_Point",IF(103=$NR$88,$NN$88,0),IF($NP$88="Bell_Curve",$NN$88*(103-$NR$88+1)*($NS$88-103+1)/$NU$88,$NN$88/$NT$88)),0)</f>
        <v/>
      </c>
      <c r="DD88" s="402">
        <f>IF(AND(104&gt;=$NR$88,104&lt;=$NS$88),IF($NP$88="Single_Point",IF(104=$NR$88,$NN$88,0),IF($NP$88="Bell_Curve",$NN$88*(104-$NR$88+1)*($NS$88-104+1)/$NU$88,$NN$88/$NT$88)),0)</f>
        <v/>
      </c>
      <c r="DE88" s="402">
        <f>IF(AND(105&gt;=$NR$88,105&lt;=$NS$88),IF($NP$88="Single_Point",IF(105=$NR$88,$NN$88,0),IF($NP$88="Bell_Curve",$NN$88*(105-$NR$88+1)*($NS$88-105+1)/$NU$88,$NN$88/$NT$88)),0)</f>
        <v/>
      </c>
      <c r="DF88" s="402">
        <f>IF(AND(106&gt;=$NR$88,106&lt;=$NS$88),IF($NP$88="Single_Point",IF(106=$NR$88,$NN$88,0),IF($NP$88="Bell_Curve",$NN$88*(106-$NR$88+1)*($NS$88-106+1)/$NU$88,$NN$88/$NT$88)),0)</f>
        <v/>
      </c>
      <c r="DG88" s="402">
        <f>IF(AND(107&gt;=$NR$88,107&lt;=$NS$88),IF($NP$88="Single_Point",IF(107=$NR$88,$NN$88,0),IF($NP$88="Bell_Curve",$NN$88*(107-$NR$88+1)*($NS$88-107+1)/$NU$88,$NN$88/$NT$88)),0)</f>
        <v/>
      </c>
      <c r="DH88" s="402">
        <f>IF(AND(108&gt;=$NR$88,108&lt;=$NS$88),IF($NP$88="Single_Point",IF(108=$NR$88,$NN$88,0),IF($NP$88="Bell_Curve",$NN$88*(108-$NR$88+1)*($NS$88-108+1)/$NU$88,$NN$88/$NT$88)),0)</f>
        <v/>
      </c>
      <c r="DI88" s="402">
        <f>IF(AND(109&gt;=$NR$88,109&lt;=$NS$88),IF($NP$88="Single_Point",IF(109=$NR$88,$NN$88,0),IF($NP$88="Bell_Curve",$NN$88*(109-$NR$88+1)*($NS$88-109+1)/$NU$88,$NN$88/$NT$88)),0)</f>
        <v/>
      </c>
      <c r="DJ88" s="402">
        <f>IF(AND(110&gt;=$NR$88,110&lt;=$NS$88),IF($NP$88="Single_Point",IF(110=$NR$88,$NN$88,0),IF($NP$88="Bell_Curve",$NN$88*(110-$NR$88+1)*($NS$88-110+1)/$NU$88,$NN$88/$NT$88)),0)</f>
        <v/>
      </c>
      <c r="DK88" s="402">
        <f>IF(AND(111&gt;=$NR$88,111&lt;=$NS$88),IF($NP$88="Single_Point",IF(111=$NR$88,$NN$88,0),IF($NP$88="Bell_Curve",$NN$88*(111-$NR$88+1)*($NS$88-111+1)/$NU$88,$NN$88/$NT$88)),0)</f>
        <v/>
      </c>
      <c r="DL88" s="402">
        <f>IF(AND(112&gt;=$NR$88,112&lt;=$NS$88),IF($NP$88="Single_Point",IF(112=$NR$88,$NN$88,0),IF($NP$88="Bell_Curve",$NN$88*(112-$NR$88+1)*($NS$88-112+1)/$NU$88,$NN$88/$NT$88)),0)</f>
        <v/>
      </c>
      <c r="DM88" s="402">
        <f>IF(AND(113&gt;=$NR$88,113&lt;=$NS$88),IF($NP$88="Single_Point",IF(113=$NR$88,$NN$88,0),IF($NP$88="Bell_Curve",$NN$88*(113-$NR$88+1)*($NS$88-113+1)/$NU$88,$NN$88/$NT$88)),0)</f>
        <v/>
      </c>
      <c r="DN88" s="402">
        <f>IF(AND(114&gt;=$NR$88,114&lt;=$NS$88),IF($NP$88="Single_Point",IF(114=$NR$88,$NN$88,0),IF($NP$88="Bell_Curve",$NN$88*(114-$NR$88+1)*($NS$88-114+1)/$NU$88,$NN$88/$NT$88)),0)</f>
        <v/>
      </c>
      <c r="DO88" s="402">
        <f>IF(AND(115&gt;=$NR$88,115&lt;=$NS$88),IF($NP$88="Single_Point",IF(115=$NR$88,$NN$88,0),IF($NP$88="Bell_Curve",$NN$88*(115-$NR$88+1)*($NS$88-115+1)/$NU$88,$NN$88/$NT$88)),0)</f>
        <v/>
      </c>
      <c r="DP88" s="402">
        <f>IF(AND(116&gt;=$NR$88,116&lt;=$NS$88),IF($NP$88="Single_Point",IF(116=$NR$88,$NN$88,0),IF($NP$88="Bell_Curve",$NN$88*(116-$NR$88+1)*($NS$88-116+1)/$NU$88,$NN$88/$NT$88)),0)</f>
        <v/>
      </c>
      <c r="DQ88" s="402">
        <f>IF(AND(117&gt;=$NR$88,117&lt;=$NS$88),IF($NP$88="Single_Point",IF(117=$NR$88,$NN$88,0),IF($NP$88="Bell_Curve",$NN$88*(117-$NR$88+1)*($NS$88-117+1)/$NU$88,$NN$88/$NT$88)),0)</f>
        <v/>
      </c>
      <c r="DR88" s="402">
        <f>IF(AND(118&gt;=$NR$88,118&lt;=$NS$88),IF($NP$88="Single_Point",IF(118=$NR$88,$NN$88,0),IF($NP$88="Bell_Curve",$NN$88*(118-$NR$88+1)*($NS$88-118+1)/$NU$88,$NN$88/$NT$88)),0)</f>
        <v/>
      </c>
      <c r="DS88" s="402">
        <f>IF(AND(119&gt;=$NR$88,119&lt;=$NS$88),IF($NP$88="Single_Point",IF(119=$NR$88,$NN$88,0),IF($NP$88="Bell_Curve",$NN$88*(119-$NR$88+1)*($NS$88-119+1)/$NU$88,$NN$88/$NT$88)),0)</f>
        <v/>
      </c>
      <c r="DT88" s="402">
        <f>IF(AND(120&gt;=$NR$88,120&lt;=$NS$88),IF($NP$88="Single_Point",IF(120=$NR$88,$NN$88,0),IF($NP$88="Bell_Curve",$NN$88*(120-$NR$88+1)*($NS$88-120+1)/$NU$88,$NN$88/$NT$88)),0)</f>
        <v/>
      </c>
      <c r="DU88" s="402">
        <f>IF(AND(121&gt;=$NR$88,121&lt;=$NS$88),IF($NP$88="Single_Point",IF(121=$NR$88,$NN$88,0),IF($NP$88="Bell_Curve",$NN$88*(121-$NR$88+1)*($NS$88-121+1)/$NU$88,$NN$88/$NT$88)),0)</f>
        <v/>
      </c>
      <c r="DV88" s="402">
        <f>IF(AND(122&gt;=$NR$88,122&lt;=$NS$88),IF($NP$88="Single_Point",IF(122=$NR$88,$NN$88,0),IF($NP$88="Bell_Curve",$NN$88*(122-$NR$88+1)*($NS$88-122+1)/$NU$88,$NN$88/$NT$88)),0)</f>
        <v/>
      </c>
      <c r="DW88" s="402">
        <f>IF(AND(123&gt;=$NR$88,123&lt;=$NS$88),IF($NP$88="Single_Point",IF(123=$NR$88,$NN$88,0),IF($NP$88="Bell_Curve",$NN$88*(123-$NR$88+1)*($NS$88-123+1)/$NU$88,$NN$88/$NT$88)),0)</f>
        <v/>
      </c>
      <c r="DX88" s="402">
        <f>IF(AND(124&gt;=$NR$88,124&lt;=$NS$88),IF($NP$88="Single_Point",IF(124=$NR$88,$NN$88,0),IF($NP$88="Bell_Curve",$NN$88*(124-$NR$88+1)*($NS$88-124+1)/$NU$88,$NN$88/$NT$88)),0)</f>
        <v/>
      </c>
      <c r="DY88" s="402">
        <f>IF(AND(125&gt;=$NR$88,125&lt;=$NS$88),IF($NP$88="Single_Point",IF(125=$NR$88,$NN$88,0),IF($NP$88="Bell_Curve",$NN$88*(125-$NR$88+1)*($NS$88-125+1)/$NU$88,$NN$88/$NT$88)),0)</f>
        <v/>
      </c>
      <c r="DZ88" s="402">
        <f>IF(AND(126&gt;=$NR$88,126&lt;=$NS$88),IF($NP$88="Single_Point",IF(126=$NR$88,$NN$88,0),IF($NP$88="Bell_Curve",$NN$88*(126-$NR$88+1)*($NS$88-126+1)/$NU$88,$NN$88/$NT$88)),0)</f>
        <v/>
      </c>
      <c r="EA88" s="402">
        <f>IF(AND(127&gt;=$NR$88,127&lt;=$NS$88),IF($NP$88="Single_Point",IF(127=$NR$88,$NN$88,0),IF($NP$88="Bell_Curve",$NN$88*(127-$NR$88+1)*($NS$88-127+1)/$NU$88,$NN$88/$NT$88)),0)</f>
        <v/>
      </c>
      <c r="EB88" s="402">
        <f>IF(AND(128&gt;=$NR$88,128&lt;=$NS$88),IF($NP$88="Single_Point",IF(128=$NR$88,$NN$88,0),IF($NP$88="Bell_Curve",$NN$88*(128-$NR$88+1)*($NS$88-128+1)/$NU$88,$NN$88/$NT$88)),0)</f>
        <v/>
      </c>
      <c r="EC88" s="402">
        <f>IF(AND(129&gt;=$NR$88,129&lt;=$NS$88),IF($NP$88="Single_Point",IF(129=$NR$88,$NN$88,0),IF($NP$88="Bell_Curve",$NN$88*(129-$NR$88+1)*($NS$88-129+1)/$NU$88,$NN$88/$NT$88)),0)</f>
        <v/>
      </c>
      <c r="ED88" s="402">
        <f>IF(AND(130&gt;=$NR$88,130&lt;=$NS$88),IF($NP$88="Single_Point",IF(130=$NR$88,$NN$88,0),IF($NP$88="Bell_Curve",$NN$88*(130-$NR$88+1)*($NS$88-130+1)/$NU$88,$NN$88/$NT$88)),0)</f>
        <v/>
      </c>
      <c r="EE88" s="402">
        <f>IF(AND(131&gt;=$NR$88,131&lt;=$NS$88),IF($NP$88="Single_Point",IF(131=$NR$88,$NN$88,0),IF($NP$88="Bell_Curve",$NN$88*(131-$NR$88+1)*($NS$88-131+1)/$NU$88,$NN$88/$NT$88)),0)</f>
        <v/>
      </c>
      <c r="EF88" s="402">
        <f>IF(AND(132&gt;=$NR$88,132&lt;=$NS$88),IF($NP$88="Single_Point",IF(132=$NR$88,$NN$88,0),IF($NP$88="Bell_Curve",$NN$88*(132-$NR$88+1)*($NS$88-132+1)/$NU$88,$NN$88/$NT$88)),0)</f>
        <v/>
      </c>
      <c r="EG88" s="402">
        <f>IF(AND(133&gt;=$NR$88,133&lt;=$NS$88),IF($NP$88="Single_Point",IF(133=$NR$88,$NN$88,0),IF($NP$88="Bell_Curve",$NN$88*(133-$NR$88+1)*($NS$88-133+1)/$NU$88,$NN$88/$NT$88)),0)</f>
        <v/>
      </c>
      <c r="EH88" s="402">
        <f>IF(AND(134&gt;=$NR$88,134&lt;=$NS$88),IF($NP$88="Single_Point",IF(134=$NR$88,$NN$88,0),IF($NP$88="Bell_Curve",$NN$88*(134-$NR$88+1)*($NS$88-134+1)/$NU$88,$NN$88/$NT$88)),0)</f>
        <v/>
      </c>
      <c r="EI88" s="402">
        <f>IF(AND(135&gt;=$NR$88,135&lt;=$NS$88),IF($NP$88="Single_Point",IF(135=$NR$88,$NN$88,0),IF($NP$88="Bell_Curve",$NN$88*(135-$NR$88+1)*($NS$88-135+1)/$NU$88,$NN$88/$NT$88)),0)</f>
        <v/>
      </c>
      <c r="EJ88" s="402">
        <f>IF(AND(136&gt;=$NR$88,136&lt;=$NS$88),IF($NP$88="Single_Point",IF(136=$NR$88,$NN$88,0),IF($NP$88="Bell_Curve",$NN$88*(136-$NR$88+1)*($NS$88-136+1)/$NU$88,$NN$88/$NT$88)),0)</f>
        <v/>
      </c>
      <c r="EK88" s="402">
        <f>IF(AND(137&gt;=$NR$88,137&lt;=$NS$88),IF($NP$88="Single_Point",IF(137=$NR$88,$NN$88,0),IF($NP$88="Bell_Curve",$NN$88*(137-$NR$88+1)*($NS$88-137+1)/$NU$88,$NN$88/$NT$88)),0)</f>
        <v/>
      </c>
      <c r="EL88" s="402">
        <f>IF(AND(138&gt;=$NR$88,138&lt;=$NS$88),IF($NP$88="Single_Point",IF(138=$NR$88,$NN$88,0),IF($NP$88="Bell_Curve",$NN$88*(138-$NR$88+1)*($NS$88-138+1)/$NU$88,$NN$88/$NT$88)),0)</f>
        <v/>
      </c>
      <c r="EM88" s="402">
        <f>IF(AND(139&gt;=$NR$88,139&lt;=$NS$88),IF($NP$88="Single_Point",IF(139=$NR$88,$NN$88,0),IF($NP$88="Bell_Curve",$NN$88*(139-$NR$88+1)*($NS$88-139+1)/$NU$88,$NN$88/$NT$88)),0)</f>
        <v/>
      </c>
      <c r="EN88" s="402">
        <f>IF(AND(140&gt;=$NR$88,140&lt;=$NS$88),IF($NP$88="Single_Point",IF(140=$NR$88,$NN$88,0),IF($NP$88="Bell_Curve",$NN$88*(140-$NR$88+1)*($NS$88-140+1)/$NU$88,$NN$88/$NT$88)),0)</f>
        <v/>
      </c>
      <c r="EO88" s="402">
        <f>IF(AND(141&gt;=$NR$88,141&lt;=$NS$88),IF($NP$88="Single_Point",IF(141=$NR$88,$NN$88,0),IF($NP$88="Bell_Curve",$NN$88*(141-$NR$88+1)*($NS$88-141+1)/$NU$88,$NN$88/$NT$88)),0)</f>
        <v/>
      </c>
      <c r="EP88" s="402">
        <f>IF(AND(142&gt;=$NR$88,142&lt;=$NS$88),IF($NP$88="Single_Point",IF(142=$NR$88,$NN$88,0),IF($NP$88="Bell_Curve",$NN$88*(142-$NR$88+1)*($NS$88-142+1)/$NU$88,$NN$88/$NT$88)),0)</f>
        <v/>
      </c>
      <c r="EQ88" s="402">
        <f>IF(AND(143&gt;=$NR$88,143&lt;=$NS$88),IF($NP$88="Single_Point",IF(143=$NR$88,$NN$88,0),IF($NP$88="Bell_Curve",$NN$88*(143-$NR$88+1)*($NS$88-143+1)/$NU$88,$NN$88/$NT$88)),0)</f>
        <v/>
      </c>
      <c r="ER88" s="402">
        <f>IF(AND(144&gt;=$NR$88,144&lt;=$NS$88),IF($NP$88="Single_Point",IF(144=$NR$88,$NN$88,0),IF($NP$88="Bell_Curve",$NN$88*(144-$NR$88+1)*($NS$88-144+1)/$NU$88,$NN$88/$NT$88)),0)</f>
        <v/>
      </c>
      <c r="ES88" s="402">
        <f>IF(AND(145&gt;=$NR$88,145&lt;=$NS$88),IF($NP$88="Single_Point",IF(145=$NR$88,$NN$88,0),IF($NP$88="Bell_Curve",$NN$88*(145-$NR$88+1)*($NS$88-145+1)/$NU$88,$NN$88/$NT$88)),0)</f>
        <v/>
      </c>
      <c r="ET88" s="402">
        <f>IF(AND(146&gt;=$NR$88,146&lt;=$NS$88),IF($NP$88="Single_Point",IF(146=$NR$88,$NN$88,0),IF($NP$88="Bell_Curve",$NN$88*(146-$NR$88+1)*($NS$88-146+1)/$NU$88,$NN$88/$NT$88)),0)</f>
        <v/>
      </c>
      <c r="EU88" s="402">
        <f>IF(AND(147&gt;=$NR$88,147&lt;=$NS$88),IF($NP$88="Single_Point",IF(147=$NR$88,$NN$88,0),IF($NP$88="Bell_Curve",$NN$88*(147-$NR$88+1)*($NS$88-147+1)/$NU$88,$NN$88/$NT$88)),0)</f>
        <v/>
      </c>
      <c r="EV88" s="402">
        <f>IF(AND(148&gt;=$NR$88,148&lt;=$NS$88),IF($NP$88="Single_Point",IF(148=$NR$88,$NN$88,0),IF($NP$88="Bell_Curve",$NN$88*(148-$NR$88+1)*($NS$88-148+1)/$NU$88,$NN$88/$NT$88)),0)</f>
        <v/>
      </c>
      <c r="EW88" s="402">
        <f>IF(AND(149&gt;=$NR$88,149&lt;=$NS$88),IF($NP$88="Single_Point",IF(149=$NR$88,$NN$88,0),IF($NP$88="Bell_Curve",$NN$88*(149-$NR$88+1)*($NS$88-149+1)/$NU$88,$NN$88/$NT$88)),0)</f>
        <v/>
      </c>
      <c r="EX88" s="402">
        <f>IF(AND(150&gt;=$NR$88,150&lt;=$NS$88),IF($NP$88="Single_Point",IF(150=$NR$88,$NN$88,0),IF($NP$88="Bell_Curve",$NN$88*(150-$NR$88+1)*($NS$88-150+1)/$NU$88,$NN$88/$NT$88)),0)</f>
        <v/>
      </c>
      <c r="EY88" s="402">
        <f>IF(AND(151&gt;=$NR$88,151&lt;=$NS$88),IF($NP$88="Single_Point",IF(151=$NR$88,$NN$88,0),IF($NP$88="Bell_Curve",$NN$88*(151-$NR$88+1)*($NS$88-151+1)/$NU$88,$NN$88/$NT$88)),0)</f>
        <v/>
      </c>
      <c r="EZ88" s="402">
        <f>IF(AND(152&gt;=$NR$88,152&lt;=$NS$88),IF($NP$88="Single_Point",IF(152=$NR$88,$NN$88,0),IF($NP$88="Bell_Curve",$NN$88*(152-$NR$88+1)*($NS$88-152+1)/$NU$88,$NN$88/$NT$88)),0)</f>
        <v/>
      </c>
      <c r="FA88" s="402">
        <f>IF(AND(153&gt;=$NR$88,153&lt;=$NS$88),IF($NP$88="Single_Point",IF(153=$NR$88,$NN$88,0),IF($NP$88="Bell_Curve",$NN$88*(153-$NR$88+1)*($NS$88-153+1)/$NU$88,$NN$88/$NT$88)),0)</f>
        <v/>
      </c>
      <c r="FB88" s="402">
        <f>IF(AND(154&gt;=$NR$88,154&lt;=$NS$88),IF($NP$88="Single_Point",IF(154=$NR$88,$NN$88,0),IF($NP$88="Bell_Curve",$NN$88*(154-$NR$88+1)*($NS$88-154+1)/$NU$88,$NN$88/$NT$88)),0)</f>
        <v/>
      </c>
      <c r="FC88" s="402">
        <f>IF(AND(155&gt;=$NR$88,155&lt;=$NS$88),IF($NP$88="Single_Point",IF(155=$NR$88,$NN$88,0),IF($NP$88="Bell_Curve",$NN$88*(155-$NR$88+1)*($NS$88-155+1)/$NU$88,$NN$88/$NT$88)),0)</f>
        <v/>
      </c>
      <c r="FD88" s="402">
        <f>IF(AND(156&gt;=$NR$88,156&lt;=$NS$88),IF($NP$88="Single_Point",IF(156=$NR$88,$NN$88,0),IF($NP$88="Bell_Curve",$NN$88*(156-$NR$88+1)*($NS$88-156+1)/$NU$88,$NN$88/$NT$88)),0)</f>
        <v/>
      </c>
      <c r="FE88" s="402">
        <f>IF(AND(157&gt;=$NR$88,157&lt;=$NS$88),IF($NP$88="Single_Point",IF(157=$NR$88,$NN$88,0),IF($NP$88="Bell_Curve",$NN$88*(157-$NR$88+1)*($NS$88-157+1)/$NU$88,$NN$88/$NT$88)),0)</f>
        <v/>
      </c>
      <c r="FF88" s="402">
        <f>IF(AND(158&gt;=$NR$88,158&lt;=$NS$88),IF($NP$88="Single_Point",IF(158=$NR$88,$NN$88,0),IF($NP$88="Bell_Curve",$NN$88*(158-$NR$88+1)*($NS$88-158+1)/$NU$88,$NN$88/$NT$88)),0)</f>
        <v/>
      </c>
      <c r="FG88" s="402">
        <f>IF(AND(159&gt;=$NR$88,159&lt;=$NS$88),IF($NP$88="Single_Point",IF(159=$NR$88,$NN$88,0),IF($NP$88="Bell_Curve",$NN$88*(159-$NR$88+1)*($NS$88-159+1)/$NU$88,$NN$88/$NT$88)),0)</f>
        <v/>
      </c>
      <c r="FH88" s="402">
        <f>IF(AND(160&gt;=$NR$88,160&lt;=$NS$88),IF($NP$88="Single_Point",IF(160=$NR$88,$NN$88,0),IF($NP$88="Bell_Curve",$NN$88*(160-$NR$88+1)*($NS$88-160+1)/$NU$88,$NN$88/$NT$88)),0)</f>
        <v/>
      </c>
      <c r="FI88" s="402">
        <f>IF(AND(161&gt;=$NR$88,161&lt;=$NS$88),IF($NP$88="Single_Point",IF(161=$NR$88,$NN$88,0),IF($NP$88="Bell_Curve",$NN$88*(161-$NR$88+1)*($NS$88-161+1)/$NU$88,$NN$88/$NT$88)),0)</f>
        <v/>
      </c>
      <c r="FJ88" s="402">
        <f>IF(AND(162&gt;=$NR$88,162&lt;=$NS$88),IF($NP$88="Single_Point",IF(162=$NR$88,$NN$88,0),IF($NP$88="Bell_Curve",$NN$88*(162-$NR$88+1)*($NS$88-162+1)/$NU$88,$NN$88/$NT$88)),0)</f>
        <v/>
      </c>
      <c r="FK88" s="402">
        <f>IF(AND(163&gt;=$NR$88,163&lt;=$NS$88),IF($NP$88="Single_Point",IF(163=$NR$88,$NN$88,0),IF($NP$88="Bell_Curve",$NN$88*(163-$NR$88+1)*($NS$88-163+1)/$NU$88,$NN$88/$NT$88)),0)</f>
        <v/>
      </c>
      <c r="FL88" s="402">
        <f>IF(AND(164&gt;=$NR$88,164&lt;=$NS$88),IF($NP$88="Single_Point",IF(164=$NR$88,$NN$88,0),IF($NP$88="Bell_Curve",$NN$88*(164-$NR$88+1)*($NS$88-164+1)/$NU$88,$NN$88/$NT$88)),0)</f>
        <v/>
      </c>
      <c r="FM88" s="402">
        <f>IF(AND(165&gt;=$NR$88,165&lt;=$NS$88),IF($NP$88="Single_Point",IF(165=$NR$88,$NN$88,0),IF($NP$88="Bell_Curve",$NN$88*(165-$NR$88+1)*($NS$88-165+1)/$NU$88,$NN$88/$NT$88)),0)</f>
        <v/>
      </c>
      <c r="FN88" s="402">
        <f>IF(AND(166&gt;=$NR$88,166&lt;=$NS$88),IF($NP$88="Single_Point",IF(166=$NR$88,$NN$88,0),IF($NP$88="Bell_Curve",$NN$88*(166-$NR$88+1)*($NS$88-166+1)/$NU$88,$NN$88/$NT$88)),0)</f>
        <v/>
      </c>
      <c r="FO88" s="402">
        <f>IF(AND(167&gt;=$NR$88,167&lt;=$NS$88),IF($NP$88="Single_Point",IF(167=$NR$88,$NN$88,0),IF($NP$88="Bell_Curve",$NN$88*(167-$NR$88+1)*($NS$88-167+1)/$NU$88,$NN$88/$NT$88)),0)</f>
        <v/>
      </c>
      <c r="FP88" s="402">
        <f>IF(AND(168&gt;=$NR$88,168&lt;=$NS$88),IF($NP$88="Single_Point",IF(168=$NR$88,$NN$88,0),IF($NP$88="Bell_Curve",$NN$88*(168-$NR$88+1)*($NS$88-168+1)/$NU$88,$NN$88/$NT$88)),0)</f>
        <v/>
      </c>
      <c r="FQ88" s="402">
        <f>IF(AND(169&gt;=$NR$88,169&lt;=$NS$88),IF($NP$88="Single_Point",IF(169=$NR$88,$NN$88,0),IF($NP$88="Bell_Curve",$NN$88*(169-$NR$88+1)*($NS$88-169+1)/$NU$88,$NN$88/$NT$88)),0)</f>
        <v/>
      </c>
      <c r="FR88" s="402">
        <f>IF(AND(170&gt;=$NR$88,170&lt;=$NS$88),IF($NP$88="Single_Point",IF(170=$NR$88,$NN$88,0),IF($NP$88="Bell_Curve",$NN$88*(170-$NR$88+1)*($NS$88-170+1)/$NU$88,$NN$88/$NT$88)),0)</f>
        <v/>
      </c>
      <c r="FS88" s="402">
        <f>IF(AND(171&gt;=$NR$88,171&lt;=$NS$88),IF($NP$88="Single_Point",IF(171=$NR$88,$NN$88,0),IF($NP$88="Bell_Curve",$NN$88*(171-$NR$88+1)*($NS$88-171+1)/$NU$88,$NN$88/$NT$88)),0)</f>
        <v/>
      </c>
      <c r="FT88" s="402">
        <f>IF(AND(172&gt;=$NR$88,172&lt;=$NS$88),IF($NP$88="Single_Point",IF(172=$NR$88,$NN$88,0),IF($NP$88="Bell_Curve",$NN$88*(172-$NR$88+1)*($NS$88-172+1)/$NU$88,$NN$88/$NT$88)),0)</f>
        <v/>
      </c>
      <c r="FU88" s="402">
        <f>IF(AND(173&gt;=$NR$88,173&lt;=$NS$88),IF($NP$88="Single_Point",IF(173=$NR$88,$NN$88,0),IF($NP$88="Bell_Curve",$NN$88*(173-$NR$88+1)*($NS$88-173+1)/$NU$88,$NN$88/$NT$88)),0)</f>
        <v/>
      </c>
      <c r="FV88" s="402">
        <f>IF(AND(174&gt;=$NR$88,174&lt;=$NS$88),IF($NP$88="Single_Point",IF(174=$NR$88,$NN$88,0),IF($NP$88="Bell_Curve",$NN$88*(174-$NR$88+1)*($NS$88-174+1)/$NU$88,$NN$88/$NT$88)),0)</f>
        <v/>
      </c>
      <c r="FW88" s="402">
        <f>IF(AND(175&gt;=$NR$88,175&lt;=$NS$88),IF($NP$88="Single_Point",IF(175=$NR$88,$NN$88,0),IF($NP$88="Bell_Curve",$NN$88*(175-$NR$88+1)*($NS$88-175+1)/$NU$88,$NN$88/$NT$88)),0)</f>
        <v/>
      </c>
      <c r="FX88" s="402">
        <f>IF(AND(176&gt;=$NR$88,176&lt;=$NS$88),IF($NP$88="Single_Point",IF(176=$NR$88,$NN$88,0),IF($NP$88="Bell_Curve",$NN$88*(176-$NR$88+1)*($NS$88-176+1)/$NU$88,$NN$88/$NT$88)),0)</f>
        <v/>
      </c>
      <c r="FY88" s="402">
        <f>IF(AND(177&gt;=$NR$88,177&lt;=$NS$88),IF($NP$88="Single_Point",IF(177=$NR$88,$NN$88,0),IF($NP$88="Bell_Curve",$NN$88*(177-$NR$88+1)*($NS$88-177+1)/$NU$88,$NN$88/$NT$88)),0)</f>
        <v/>
      </c>
      <c r="FZ88" s="402">
        <f>IF(AND(178&gt;=$NR$88,178&lt;=$NS$88),IF($NP$88="Single_Point",IF(178=$NR$88,$NN$88,0),IF($NP$88="Bell_Curve",$NN$88*(178-$NR$88+1)*($NS$88-178+1)/$NU$88,$NN$88/$NT$88)),0)</f>
        <v/>
      </c>
      <c r="GA88" s="402">
        <f>IF(AND(179&gt;=$NR$88,179&lt;=$NS$88),IF($NP$88="Single_Point",IF(179=$NR$88,$NN$88,0),IF($NP$88="Bell_Curve",$NN$88*(179-$NR$88+1)*($NS$88-179+1)/$NU$88,$NN$88/$NT$88)),0)</f>
        <v/>
      </c>
      <c r="GB88" s="402">
        <f>IF(AND(180&gt;=$NR$88,180&lt;=$NS$88),IF($NP$88="Single_Point",IF(180=$NR$88,$NN$88,0),IF($NP$88="Bell_Curve",$NN$88*(180-$NR$88+1)*($NS$88-180+1)/$NU$88,$NN$88/$NT$88)),0)</f>
        <v/>
      </c>
      <c r="GC88" s="402">
        <f>IF(AND(181&gt;=$NR$88,181&lt;=$NS$88),IF($NP$88="Single_Point",IF(181=$NR$88,$NN$88,0),IF($NP$88="Bell_Curve",$NN$88*(181-$NR$88+1)*($NS$88-181+1)/$NU$88,$NN$88/$NT$88)),0)</f>
        <v/>
      </c>
      <c r="GD88" s="402">
        <f>IF(AND(182&gt;=$NR$88,182&lt;=$NS$88),IF($NP$88="Single_Point",IF(182=$NR$88,$NN$88,0),IF($NP$88="Bell_Curve",$NN$88*(182-$NR$88+1)*($NS$88-182+1)/$NU$88,$NN$88/$NT$88)),0)</f>
        <v/>
      </c>
      <c r="GE88" s="402">
        <f>IF(AND(183&gt;=$NR$88,183&lt;=$NS$88),IF($NP$88="Single_Point",IF(183=$NR$88,$NN$88,0),IF($NP$88="Bell_Curve",$NN$88*(183-$NR$88+1)*($NS$88-183+1)/$NU$88,$NN$88/$NT$88)),0)</f>
        <v/>
      </c>
      <c r="GF88" s="402">
        <f>IF(AND(184&gt;=$NR$88,184&lt;=$NS$88),IF($NP$88="Single_Point",IF(184=$NR$88,$NN$88,0),IF($NP$88="Bell_Curve",$NN$88*(184-$NR$88+1)*($NS$88-184+1)/$NU$88,$NN$88/$NT$88)),0)</f>
        <v/>
      </c>
      <c r="GG88" s="402">
        <f>IF(AND(185&gt;=$NR$88,185&lt;=$NS$88),IF($NP$88="Single_Point",IF(185=$NR$88,$NN$88,0),IF($NP$88="Bell_Curve",$NN$88*(185-$NR$88+1)*($NS$88-185+1)/$NU$88,$NN$88/$NT$88)),0)</f>
        <v/>
      </c>
      <c r="GH88" s="402">
        <f>IF(AND(186&gt;=$NR$88,186&lt;=$NS$88),IF($NP$88="Single_Point",IF(186=$NR$88,$NN$88,0),IF($NP$88="Bell_Curve",$NN$88*(186-$NR$88+1)*($NS$88-186+1)/$NU$88,$NN$88/$NT$88)),0)</f>
        <v/>
      </c>
      <c r="GI88" s="402">
        <f>IF(AND(187&gt;=$NR$88,187&lt;=$NS$88),IF($NP$88="Single_Point",IF(187=$NR$88,$NN$88,0),IF($NP$88="Bell_Curve",$NN$88*(187-$NR$88+1)*($NS$88-187+1)/$NU$88,$NN$88/$NT$88)),0)</f>
        <v/>
      </c>
      <c r="GJ88" s="402">
        <f>IF(AND(188&gt;=$NR$88,188&lt;=$NS$88),IF($NP$88="Single_Point",IF(188=$NR$88,$NN$88,0),IF($NP$88="Bell_Curve",$NN$88*(188-$NR$88+1)*($NS$88-188+1)/$NU$88,$NN$88/$NT$88)),0)</f>
        <v/>
      </c>
      <c r="GK88" s="402">
        <f>IF(AND(189&gt;=$NR$88,189&lt;=$NS$88),IF($NP$88="Single_Point",IF(189=$NR$88,$NN$88,0),IF($NP$88="Bell_Curve",$NN$88*(189-$NR$88+1)*($NS$88-189+1)/$NU$88,$NN$88/$NT$88)),0)</f>
        <v/>
      </c>
      <c r="GL88" s="402">
        <f>IF(AND(190&gt;=$NR$88,190&lt;=$NS$88),IF($NP$88="Single_Point",IF(190=$NR$88,$NN$88,0),IF($NP$88="Bell_Curve",$NN$88*(190-$NR$88+1)*($NS$88-190+1)/$NU$88,$NN$88/$NT$88)),0)</f>
        <v/>
      </c>
      <c r="GM88" s="402">
        <f>IF(AND(191&gt;=$NR$88,191&lt;=$NS$88),IF($NP$88="Single_Point",IF(191=$NR$88,$NN$88,0),IF($NP$88="Bell_Curve",$NN$88*(191-$NR$88+1)*($NS$88-191+1)/$NU$88,$NN$88/$NT$88)),0)</f>
        <v/>
      </c>
      <c r="GN88" s="402">
        <f>IF(AND(192&gt;=$NR$88,192&lt;=$NS$88),IF($NP$88="Single_Point",IF(192=$NR$88,$NN$88,0),IF($NP$88="Bell_Curve",$NN$88*(192-$NR$88+1)*($NS$88-192+1)/$NU$88,$NN$88/$NT$88)),0)</f>
        <v/>
      </c>
      <c r="GO88" s="402">
        <f>IF(AND(193&gt;=$NR$88,193&lt;=$NS$88),IF($NP$88="Single_Point",IF(193=$NR$88,$NN$88,0),IF($NP$88="Bell_Curve",$NN$88*(193-$NR$88+1)*($NS$88-193+1)/$NU$88,$NN$88/$NT$88)),0)</f>
        <v/>
      </c>
      <c r="GP88" s="402">
        <f>IF(AND(194&gt;=$NR$88,194&lt;=$NS$88),IF($NP$88="Single_Point",IF(194=$NR$88,$NN$88,0),IF($NP$88="Bell_Curve",$NN$88*(194-$NR$88+1)*($NS$88-194+1)/$NU$88,$NN$88/$NT$88)),0)</f>
        <v/>
      </c>
      <c r="GQ88" s="402">
        <f>IF(AND(195&gt;=$NR$88,195&lt;=$NS$88),IF($NP$88="Single_Point",IF(195=$NR$88,$NN$88,0),IF($NP$88="Bell_Curve",$NN$88*(195-$NR$88+1)*($NS$88-195+1)/$NU$88,$NN$88/$NT$88)),0)</f>
        <v/>
      </c>
      <c r="GR88" s="402">
        <f>IF(AND(196&gt;=$NR$88,196&lt;=$NS$88),IF($NP$88="Single_Point",IF(196=$NR$88,$NN$88,0),IF($NP$88="Bell_Curve",$NN$88*(196-$NR$88+1)*($NS$88-196+1)/$NU$88,$NN$88/$NT$88)),0)</f>
        <v/>
      </c>
      <c r="GS88" s="402">
        <f>IF(AND(197&gt;=$NR$88,197&lt;=$NS$88),IF($NP$88="Single_Point",IF(197=$NR$88,$NN$88,0),IF($NP$88="Bell_Curve",$NN$88*(197-$NR$88+1)*($NS$88-197+1)/$NU$88,$NN$88/$NT$88)),0)</f>
        <v/>
      </c>
      <c r="GT88" s="402">
        <f>IF(AND(198&gt;=$NR$88,198&lt;=$NS$88),IF($NP$88="Single_Point",IF(198=$NR$88,$NN$88,0),IF($NP$88="Bell_Curve",$NN$88*(198-$NR$88+1)*($NS$88-198+1)/$NU$88,$NN$88/$NT$88)),0)</f>
        <v/>
      </c>
      <c r="GU88" s="402">
        <f>IF(AND(199&gt;=$NR$88,199&lt;=$NS$88),IF($NP$88="Single_Point",IF(199=$NR$88,$NN$88,0),IF($NP$88="Bell_Curve",$NN$88*(199-$NR$88+1)*($NS$88-199+1)/$NU$88,$NN$88/$NT$88)),0)</f>
        <v/>
      </c>
      <c r="GV88" s="402">
        <f>IF(AND(200&gt;=$NR$88,200&lt;=$NS$88),IF($NP$88="Single_Point",IF(200=$NR$88,$NN$88,0),IF($NP$88="Bell_Curve",$NN$88*(200-$NR$88+1)*($NS$88-200+1)/$NU$88,$NN$88/$NT$88)),0)</f>
        <v/>
      </c>
      <c r="GW88" s="402">
        <f>IF(AND(201&gt;=$NR$88,201&lt;=$NS$88),IF($NP$88="Single_Point",IF(201=$NR$88,$NN$88,0),IF($NP$88="Bell_Curve",$NN$88*(201-$NR$88+1)*($NS$88-201+1)/$NU$88,$NN$88/$NT$88)),0)</f>
        <v/>
      </c>
      <c r="GX88" s="402">
        <f>IF(AND(202&gt;=$NR$88,202&lt;=$NS$88),IF($NP$88="Single_Point",IF(202=$NR$88,$NN$88,0),IF($NP$88="Bell_Curve",$NN$88*(202-$NR$88+1)*($NS$88-202+1)/$NU$88,$NN$88/$NT$88)),0)</f>
        <v/>
      </c>
      <c r="GY88" s="402">
        <f>IF(AND(203&gt;=$NR$88,203&lt;=$NS$88),IF($NP$88="Single_Point",IF(203=$NR$88,$NN$88,0),IF($NP$88="Bell_Curve",$NN$88*(203-$NR$88+1)*($NS$88-203+1)/$NU$88,$NN$88/$NT$88)),0)</f>
        <v/>
      </c>
      <c r="GZ88" s="402">
        <f>IF(AND(204&gt;=$NR$88,204&lt;=$NS$88),IF($NP$88="Single_Point",IF(204=$NR$88,$NN$88,0),IF($NP$88="Bell_Curve",$NN$88*(204-$NR$88+1)*($NS$88-204+1)/$NU$88,$NN$88/$NT$88)),0)</f>
        <v/>
      </c>
      <c r="HA88" s="402">
        <f>IF(AND(205&gt;=$NR$88,205&lt;=$NS$88),IF($NP$88="Single_Point",IF(205=$NR$88,$NN$88,0),IF($NP$88="Bell_Curve",$NN$88*(205-$NR$88+1)*($NS$88-205+1)/$NU$88,$NN$88/$NT$88)),0)</f>
        <v/>
      </c>
      <c r="HB88" s="402">
        <f>IF(AND(206&gt;=$NR$88,206&lt;=$NS$88),IF($NP$88="Single_Point",IF(206=$NR$88,$NN$88,0),IF($NP$88="Bell_Curve",$NN$88*(206-$NR$88+1)*($NS$88-206+1)/$NU$88,$NN$88/$NT$88)),0)</f>
        <v/>
      </c>
      <c r="HC88" s="402">
        <f>IF(AND(207&gt;=$NR$88,207&lt;=$NS$88),IF($NP$88="Single_Point",IF(207=$NR$88,$NN$88,0),IF($NP$88="Bell_Curve",$NN$88*(207-$NR$88+1)*($NS$88-207+1)/$NU$88,$NN$88/$NT$88)),0)</f>
        <v/>
      </c>
      <c r="HD88" s="402">
        <f>IF(AND(208&gt;=$NR$88,208&lt;=$NS$88),IF($NP$88="Single_Point",IF(208=$NR$88,$NN$88,0),IF($NP$88="Bell_Curve",$NN$88*(208-$NR$88+1)*($NS$88-208+1)/$NU$88,$NN$88/$NT$88)),0)</f>
        <v/>
      </c>
      <c r="HE88" s="402">
        <f>IF(AND(209&gt;=$NR$88,209&lt;=$NS$88),IF($NP$88="Single_Point",IF(209=$NR$88,$NN$88,0),IF($NP$88="Bell_Curve",$NN$88*(209-$NR$88+1)*($NS$88-209+1)/$NU$88,$NN$88/$NT$88)),0)</f>
        <v/>
      </c>
      <c r="HF88" s="402">
        <f>IF(AND(210&gt;=$NR$88,210&lt;=$NS$88),IF($NP$88="Single_Point",IF(210=$NR$88,$NN$88,0),IF($NP$88="Bell_Curve",$NN$88*(210-$NR$88+1)*($NS$88-210+1)/$NU$88,$NN$88/$NT$88)),0)</f>
        <v/>
      </c>
      <c r="HG88" s="402">
        <f>IF(AND(211&gt;=$NR$88,211&lt;=$NS$88),IF($NP$88="Single_Point",IF(211=$NR$88,$NN$88,0),IF($NP$88="Bell_Curve",$NN$88*(211-$NR$88+1)*($NS$88-211+1)/$NU$88,$NN$88/$NT$88)),0)</f>
        <v/>
      </c>
      <c r="HH88" s="402">
        <f>IF(AND(212&gt;=$NR$88,212&lt;=$NS$88),IF($NP$88="Single_Point",IF(212=$NR$88,$NN$88,0),IF($NP$88="Bell_Curve",$NN$88*(212-$NR$88+1)*($NS$88-212+1)/$NU$88,$NN$88/$NT$88)),0)</f>
        <v/>
      </c>
      <c r="HI88" s="402">
        <f>IF(AND(213&gt;=$NR$88,213&lt;=$NS$88),IF($NP$88="Single_Point",IF(213=$NR$88,$NN$88,0),IF($NP$88="Bell_Curve",$NN$88*(213-$NR$88+1)*($NS$88-213+1)/$NU$88,$NN$88/$NT$88)),0)</f>
        <v/>
      </c>
      <c r="HJ88" s="402">
        <f>IF(AND(214&gt;=$NR$88,214&lt;=$NS$88),IF($NP$88="Single_Point",IF(214=$NR$88,$NN$88,0),IF($NP$88="Bell_Curve",$NN$88*(214-$NR$88+1)*($NS$88-214+1)/$NU$88,$NN$88/$NT$88)),0)</f>
        <v/>
      </c>
      <c r="HK88" s="402">
        <f>IF(AND(215&gt;=$NR$88,215&lt;=$NS$88),IF($NP$88="Single_Point",IF(215=$NR$88,$NN$88,0),IF($NP$88="Bell_Curve",$NN$88*(215-$NR$88+1)*($NS$88-215+1)/$NU$88,$NN$88/$NT$88)),0)</f>
        <v/>
      </c>
      <c r="HL88" s="402">
        <f>IF(AND(216&gt;=$NR$88,216&lt;=$NS$88),IF($NP$88="Single_Point",IF(216=$NR$88,$NN$88,0),IF($NP$88="Bell_Curve",$NN$88*(216-$NR$88+1)*($NS$88-216+1)/$NU$88,$NN$88/$NT$88)),0)</f>
        <v/>
      </c>
      <c r="HM88" s="402">
        <f>IF(AND(217&gt;=$NR$88,217&lt;=$NS$88),IF($NP$88="Single_Point",IF(217=$NR$88,$NN$88,0),IF($NP$88="Bell_Curve",$NN$88*(217-$NR$88+1)*($NS$88-217+1)/$NU$88,$NN$88/$NT$88)),0)</f>
        <v/>
      </c>
      <c r="HN88" s="402">
        <f>IF(AND(218&gt;=$NR$88,218&lt;=$NS$88),IF($NP$88="Single_Point",IF(218=$NR$88,$NN$88,0),IF($NP$88="Bell_Curve",$NN$88*(218-$NR$88+1)*($NS$88-218+1)/$NU$88,$NN$88/$NT$88)),0)</f>
        <v/>
      </c>
      <c r="HO88" s="402">
        <f>IF(AND(219&gt;=$NR$88,219&lt;=$NS$88),IF($NP$88="Single_Point",IF(219=$NR$88,$NN$88,0),IF($NP$88="Bell_Curve",$NN$88*(219-$NR$88+1)*($NS$88-219+1)/$NU$88,$NN$88/$NT$88)),0)</f>
        <v/>
      </c>
      <c r="HP88" s="402">
        <f>IF(AND(220&gt;=$NR$88,220&lt;=$NS$88),IF($NP$88="Single_Point",IF(220=$NR$88,$NN$88,0),IF($NP$88="Bell_Curve",$NN$88*(220-$NR$88+1)*($NS$88-220+1)/$NU$88,$NN$88/$NT$88)),0)</f>
        <v/>
      </c>
      <c r="HQ88" s="402">
        <f>IF(AND(221&gt;=$NR$88,221&lt;=$NS$88),IF($NP$88="Single_Point",IF(221=$NR$88,$NN$88,0),IF($NP$88="Bell_Curve",$NN$88*(221-$NR$88+1)*($NS$88-221+1)/$NU$88,$NN$88/$NT$88)),0)</f>
        <v/>
      </c>
      <c r="HR88" s="402">
        <f>IF(AND(222&gt;=$NR$88,222&lt;=$NS$88),IF($NP$88="Single_Point",IF(222=$NR$88,$NN$88,0),IF($NP$88="Bell_Curve",$NN$88*(222-$NR$88+1)*($NS$88-222+1)/$NU$88,$NN$88/$NT$88)),0)</f>
        <v/>
      </c>
      <c r="HS88" s="402">
        <f>IF(AND(223&gt;=$NR$88,223&lt;=$NS$88),IF($NP$88="Single_Point",IF(223=$NR$88,$NN$88,0),IF($NP$88="Bell_Curve",$NN$88*(223-$NR$88+1)*($NS$88-223+1)/$NU$88,$NN$88/$NT$88)),0)</f>
        <v/>
      </c>
      <c r="HT88" s="402">
        <f>IF(AND(224&gt;=$NR$88,224&lt;=$NS$88),IF($NP$88="Single_Point",IF(224=$NR$88,$NN$88,0),IF($NP$88="Bell_Curve",$NN$88*(224-$NR$88+1)*($NS$88-224+1)/$NU$88,$NN$88/$NT$88)),0)</f>
        <v/>
      </c>
      <c r="HU88" s="402">
        <f>IF(AND(225&gt;=$NR$88,225&lt;=$NS$88),IF($NP$88="Single_Point",IF(225=$NR$88,$NN$88,0),IF($NP$88="Bell_Curve",$NN$88*(225-$NR$88+1)*($NS$88-225+1)/$NU$88,$NN$88/$NT$88)),0)</f>
        <v/>
      </c>
      <c r="HV88" s="402">
        <f>IF(AND(226&gt;=$NR$88,226&lt;=$NS$88),IF($NP$88="Single_Point",IF(226=$NR$88,$NN$88,0),IF($NP$88="Bell_Curve",$NN$88*(226-$NR$88+1)*($NS$88-226+1)/$NU$88,$NN$88/$NT$88)),0)</f>
        <v/>
      </c>
      <c r="HW88" s="402">
        <f>IF(AND(227&gt;=$NR$88,227&lt;=$NS$88),IF($NP$88="Single_Point",IF(227=$NR$88,$NN$88,0),IF($NP$88="Bell_Curve",$NN$88*(227-$NR$88+1)*($NS$88-227+1)/$NU$88,$NN$88/$NT$88)),0)</f>
        <v/>
      </c>
      <c r="HX88" s="402">
        <f>IF(AND(228&gt;=$NR$88,228&lt;=$NS$88),IF($NP$88="Single_Point",IF(228=$NR$88,$NN$88,0),IF($NP$88="Bell_Curve",$NN$88*(228-$NR$88+1)*($NS$88-228+1)/$NU$88,$NN$88/$NT$88)),0)</f>
        <v/>
      </c>
      <c r="HY88" s="402">
        <f>IF(AND(229&gt;=$NR$88,229&lt;=$NS$88),IF($NP$88="Single_Point",IF(229=$NR$88,$NN$88,0),IF($NP$88="Bell_Curve",$NN$88*(229-$NR$88+1)*($NS$88-229+1)/$NU$88,$NN$88/$NT$88)),0)</f>
        <v/>
      </c>
      <c r="HZ88" s="402">
        <f>IF(AND(230&gt;=$NR$88,230&lt;=$NS$88),IF($NP$88="Single_Point",IF(230=$NR$88,$NN$88,0),IF($NP$88="Bell_Curve",$NN$88*(230-$NR$88+1)*($NS$88-230+1)/$NU$88,$NN$88/$NT$88)),0)</f>
        <v/>
      </c>
      <c r="IA88" s="402">
        <f>IF(AND(231&gt;=$NR$88,231&lt;=$NS$88),IF($NP$88="Single_Point",IF(231=$NR$88,$NN$88,0),IF($NP$88="Bell_Curve",$NN$88*(231-$NR$88+1)*($NS$88-231+1)/$NU$88,$NN$88/$NT$88)),0)</f>
        <v/>
      </c>
      <c r="IB88" s="402">
        <f>IF(AND(232&gt;=$NR$88,232&lt;=$NS$88),IF($NP$88="Single_Point",IF(232=$NR$88,$NN$88,0),IF($NP$88="Bell_Curve",$NN$88*(232-$NR$88+1)*($NS$88-232+1)/$NU$88,$NN$88/$NT$88)),0)</f>
        <v/>
      </c>
      <c r="IC88" s="402">
        <f>IF(AND(233&gt;=$NR$88,233&lt;=$NS$88),IF($NP$88="Single_Point",IF(233=$NR$88,$NN$88,0),IF($NP$88="Bell_Curve",$NN$88*(233-$NR$88+1)*($NS$88-233+1)/$NU$88,$NN$88/$NT$88)),0)</f>
        <v/>
      </c>
      <c r="ID88" s="402">
        <f>IF(AND(234&gt;=$NR$88,234&lt;=$NS$88),IF($NP$88="Single_Point",IF(234=$NR$88,$NN$88,0),IF($NP$88="Bell_Curve",$NN$88*(234-$NR$88+1)*($NS$88-234+1)/$NU$88,$NN$88/$NT$88)),0)</f>
        <v/>
      </c>
      <c r="IE88" s="402">
        <f>IF(AND(235&gt;=$NR$88,235&lt;=$NS$88),IF($NP$88="Single_Point",IF(235=$NR$88,$NN$88,0),IF($NP$88="Bell_Curve",$NN$88*(235-$NR$88+1)*($NS$88-235+1)/$NU$88,$NN$88/$NT$88)),0)</f>
        <v/>
      </c>
      <c r="IF88" s="402">
        <f>IF(AND(236&gt;=$NR$88,236&lt;=$NS$88),IF($NP$88="Single_Point",IF(236=$NR$88,$NN$88,0),IF($NP$88="Bell_Curve",$NN$88*(236-$NR$88+1)*($NS$88-236+1)/$NU$88,$NN$88/$NT$88)),0)</f>
        <v/>
      </c>
      <c r="IG88" s="402">
        <f>IF(AND(237&gt;=$NR$88,237&lt;=$NS$88),IF($NP$88="Single_Point",IF(237=$NR$88,$NN$88,0),IF($NP$88="Bell_Curve",$NN$88*(237-$NR$88+1)*($NS$88-237+1)/$NU$88,$NN$88/$NT$88)),0)</f>
        <v/>
      </c>
      <c r="IH88" s="402">
        <f>IF(AND(238&gt;=$NR$88,238&lt;=$NS$88),IF($NP$88="Single_Point",IF(238=$NR$88,$NN$88,0),IF($NP$88="Bell_Curve",$NN$88*(238-$NR$88+1)*($NS$88-238+1)/$NU$88,$NN$88/$NT$88)),0)</f>
        <v/>
      </c>
      <c r="II88" s="402">
        <f>IF(AND(239&gt;=$NR$88,239&lt;=$NS$88),IF($NP$88="Single_Point",IF(239=$NR$88,$NN$88,0),IF($NP$88="Bell_Curve",$NN$88*(239-$NR$88+1)*($NS$88-239+1)/$NU$88,$NN$88/$NT$88)),0)</f>
        <v/>
      </c>
      <c r="IJ88" s="402">
        <f>IF(AND(240&gt;=$NR$88,240&lt;=$NS$88),IF($NP$88="Single_Point",IF(240=$NR$88,$NN$88,0),IF($NP$88="Bell_Curve",$NN$88*(240-$NR$88+1)*($NS$88-240+1)/$NU$88,$NN$88/$NT$88)),0)</f>
        <v/>
      </c>
      <c r="IK88" s="402">
        <f>IF(AND(241&gt;=$NR$88,241&lt;=$NS$88),IF($NP$88="Single_Point",IF(241=$NR$88,$NN$88,0),IF($NP$88="Bell_Curve",$NN$88*(241-$NR$88+1)*($NS$88-241+1)/$NU$88,$NN$88/$NT$88)),0)</f>
        <v/>
      </c>
      <c r="IL88" s="402">
        <f>IF(AND(242&gt;=$NR$88,242&lt;=$NS$88),IF($NP$88="Single_Point",IF(242=$NR$88,$NN$88,0),IF($NP$88="Bell_Curve",$NN$88*(242-$NR$88+1)*($NS$88-242+1)/$NU$88,$NN$88/$NT$88)),0)</f>
        <v/>
      </c>
      <c r="IM88" s="402">
        <f>IF(AND(243&gt;=$NR$88,243&lt;=$NS$88),IF($NP$88="Single_Point",IF(243=$NR$88,$NN$88,0),IF($NP$88="Bell_Curve",$NN$88*(243-$NR$88+1)*($NS$88-243+1)/$NU$88,$NN$88/$NT$88)),0)</f>
        <v/>
      </c>
      <c r="IN88" s="402">
        <f>IF(AND(244&gt;=$NR$88,244&lt;=$NS$88),IF($NP$88="Single_Point",IF(244=$NR$88,$NN$88,0),IF($NP$88="Bell_Curve",$NN$88*(244-$NR$88+1)*($NS$88-244+1)/$NU$88,$NN$88/$NT$88)),0)</f>
        <v/>
      </c>
      <c r="IO88" s="402">
        <f>IF(AND(245&gt;=$NR$88,245&lt;=$NS$88),IF($NP$88="Single_Point",IF(245=$NR$88,$NN$88,0),IF($NP$88="Bell_Curve",$NN$88*(245-$NR$88+1)*($NS$88-245+1)/$NU$88,$NN$88/$NT$88)),0)</f>
        <v/>
      </c>
      <c r="IP88" s="402">
        <f>IF(AND(246&gt;=$NR$88,246&lt;=$NS$88),IF($NP$88="Single_Point",IF(246=$NR$88,$NN$88,0),IF($NP$88="Bell_Curve",$NN$88*(246-$NR$88+1)*($NS$88-246+1)/$NU$88,$NN$88/$NT$88)),0)</f>
        <v/>
      </c>
      <c r="IQ88" s="402">
        <f>IF(AND(247&gt;=$NR$88,247&lt;=$NS$88),IF($NP$88="Single_Point",IF(247=$NR$88,$NN$88,0),IF($NP$88="Bell_Curve",$NN$88*(247-$NR$88+1)*($NS$88-247+1)/$NU$88,$NN$88/$NT$88)),0)</f>
        <v/>
      </c>
      <c r="IR88" s="402">
        <f>IF(AND(248&gt;=$NR$88,248&lt;=$NS$88),IF($NP$88="Single_Point",IF(248=$NR$88,$NN$88,0),IF($NP$88="Bell_Curve",$NN$88*(248-$NR$88+1)*($NS$88-248+1)/$NU$88,$NN$88/$NT$88)),0)</f>
        <v/>
      </c>
      <c r="IS88" s="402">
        <f>IF(AND(249&gt;=$NR$88,249&lt;=$NS$88),IF($NP$88="Single_Point",IF(249=$NR$88,$NN$88,0),IF($NP$88="Bell_Curve",$NN$88*(249-$NR$88+1)*($NS$88-249+1)/$NU$88,$NN$88/$NT$88)),0)</f>
        <v/>
      </c>
      <c r="IT88" s="402">
        <f>IF(AND(250&gt;=$NR$88,250&lt;=$NS$88),IF($NP$88="Single_Point",IF(250=$NR$88,$NN$88,0),IF($NP$88="Bell_Curve",$NN$88*(250-$NR$88+1)*($NS$88-250+1)/$NU$88,$NN$88/$NT$88)),0)</f>
        <v/>
      </c>
      <c r="IU88" s="402">
        <f>IF(AND(251&gt;=$NR$88,251&lt;=$NS$88),IF($NP$88="Single_Point",IF(251=$NR$88,$NN$88,0),IF($NP$88="Bell_Curve",$NN$88*(251-$NR$88+1)*($NS$88-251+1)/$NU$88,$NN$88/$NT$88)),0)</f>
        <v/>
      </c>
      <c r="IV88" s="402">
        <f>IF(AND(252&gt;=$NR$88,252&lt;=$NS$88),IF($NP$88="Single_Point",IF(252=$NR$88,$NN$88,0),IF($NP$88="Bell_Curve",$NN$88*(252-$NR$88+1)*($NS$88-252+1)/$NU$88,$NN$88/$NT$88)),0)</f>
        <v/>
      </c>
      <c r="IW88" s="402">
        <f>IF(AND(253&gt;=$NR$88,253&lt;=$NS$88),IF($NP$88="Single_Point",IF(253=$NR$88,$NN$88,0),IF($NP$88="Bell_Curve",$NN$88*(253-$NR$88+1)*($NS$88-253+1)/$NU$88,$NN$88/$NT$88)),0)</f>
        <v/>
      </c>
      <c r="IX88" s="402">
        <f>IF(AND(254&gt;=$NR$88,254&lt;=$NS$88),IF($NP$88="Single_Point",IF(254=$NR$88,$NN$88,0),IF($NP$88="Bell_Curve",$NN$88*(254-$NR$88+1)*($NS$88-254+1)/$NU$88,$NN$88/$NT$88)),0)</f>
        <v/>
      </c>
      <c r="IY88" s="402">
        <f>IF(AND(255&gt;=$NR$88,255&lt;=$NS$88),IF($NP$88="Single_Point",IF(255=$NR$88,$NN$88,0),IF($NP$88="Bell_Curve",$NN$88*(255-$NR$88+1)*($NS$88-255+1)/$NU$88,$NN$88/$NT$88)),0)</f>
        <v/>
      </c>
      <c r="IZ88" s="402">
        <f>IF(AND(256&gt;=$NR$88,256&lt;=$NS$88),IF($NP$88="Single_Point",IF(256=$NR$88,$NN$88,0),IF($NP$88="Bell_Curve",$NN$88*(256-$NR$88+1)*($NS$88-256+1)/$NU$88,$NN$88/$NT$88)),0)</f>
        <v/>
      </c>
      <c r="JA88" s="402">
        <f>IF(AND(257&gt;=$NR$88,257&lt;=$NS$88),IF($NP$88="Single_Point",IF(257=$NR$88,$NN$88,0),IF($NP$88="Bell_Curve",$NN$88*(257-$NR$88+1)*($NS$88-257+1)/$NU$88,$NN$88/$NT$88)),0)</f>
        <v/>
      </c>
      <c r="JB88" s="402">
        <f>IF(AND(258&gt;=$NR$88,258&lt;=$NS$88),IF($NP$88="Single_Point",IF(258=$NR$88,$NN$88,0),IF($NP$88="Bell_Curve",$NN$88*(258-$NR$88+1)*($NS$88-258+1)/$NU$88,$NN$88/$NT$88)),0)</f>
        <v/>
      </c>
      <c r="JC88" s="402">
        <f>IF(AND(259&gt;=$NR$88,259&lt;=$NS$88),IF($NP$88="Single_Point",IF(259=$NR$88,$NN$88,0),IF($NP$88="Bell_Curve",$NN$88*(259-$NR$88+1)*($NS$88-259+1)/$NU$88,$NN$88/$NT$88)),0)</f>
        <v/>
      </c>
      <c r="JD88" s="402">
        <f>IF(AND(260&gt;=$NR$88,260&lt;=$NS$88),IF($NP$88="Single_Point",IF(260=$NR$88,$NN$88,0),IF($NP$88="Bell_Curve",$NN$88*(260-$NR$88+1)*($NS$88-260+1)/$NU$88,$NN$88/$NT$88)),0)</f>
        <v/>
      </c>
      <c r="JE88" s="402">
        <f>IF(AND(261&gt;=$NR$88,261&lt;=$NS$88),IF($NP$88="Single_Point",IF(261=$NR$88,$NN$88,0),IF($NP$88="Bell_Curve",$NN$88*(261-$NR$88+1)*($NS$88-261+1)/$NU$88,$NN$88/$NT$88)),0)</f>
        <v/>
      </c>
      <c r="JF88" s="402">
        <f>IF(AND(262&gt;=$NR$88,262&lt;=$NS$88),IF($NP$88="Single_Point",IF(262=$NR$88,$NN$88,0),IF($NP$88="Bell_Curve",$NN$88*(262-$NR$88+1)*($NS$88-262+1)/$NU$88,$NN$88/$NT$88)),0)</f>
        <v/>
      </c>
      <c r="JG88" s="402">
        <f>IF(AND(263&gt;=$NR$88,263&lt;=$NS$88),IF($NP$88="Single_Point",IF(263=$NR$88,$NN$88,0),IF($NP$88="Bell_Curve",$NN$88*(263-$NR$88+1)*($NS$88-263+1)/$NU$88,$NN$88/$NT$88)),0)</f>
        <v/>
      </c>
      <c r="JH88" s="402">
        <f>IF(AND(264&gt;=$NR$88,264&lt;=$NS$88),IF($NP$88="Single_Point",IF(264=$NR$88,$NN$88,0),IF($NP$88="Bell_Curve",$NN$88*(264-$NR$88+1)*($NS$88-264+1)/$NU$88,$NN$88/$NT$88)),0)</f>
        <v/>
      </c>
      <c r="JI88" s="402">
        <f>IF(AND(265&gt;=$NR$88,265&lt;=$NS$88),IF($NP$88="Single_Point",IF(265=$NR$88,$NN$88,0),IF($NP$88="Bell_Curve",$NN$88*(265-$NR$88+1)*($NS$88-265+1)/$NU$88,$NN$88/$NT$88)),0)</f>
        <v/>
      </c>
      <c r="JJ88" s="402">
        <f>IF(AND(266&gt;=$NR$88,266&lt;=$NS$88),IF($NP$88="Single_Point",IF(266=$NR$88,$NN$88,0),IF($NP$88="Bell_Curve",$NN$88*(266-$NR$88+1)*($NS$88-266+1)/$NU$88,$NN$88/$NT$88)),0)</f>
        <v/>
      </c>
      <c r="JK88" s="402">
        <f>IF(AND(267&gt;=$NR$88,267&lt;=$NS$88),IF($NP$88="Single_Point",IF(267=$NR$88,$NN$88,0),IF($NP$88="Bell_Curve",$NN$88*(267-$NR$88+1)*($NS$88-267+1)/$NU$88,$NN$88/$NT$88)),0)</f>
        <v/>
      </c>
      <c r="JL88" s="402">
        <f>IF(AND(268&gt;=$NR$88,268&lt;=$NS$88),IF($NP$88="Single_Point",IF(268=$NR$88,$NN$88,0),IF($NP$88="Bell_Curve",$NN$88*(268-$NR$88+1)*($NS$88-268+1)/$NU$88,$NN$88/$NT$88)),0)</f>
        <v/>
      </c>
      <c r="JM88" s="402">
        <f>IF(AND(269&gt;=$NR$88,269&lt;=$NS$88),IF($NP$88="Single_Point",IF(269=$NR$88,$NN$88,0),IF($NP$88="Bell_Curve",$NN$88*(269-$NR$88+1)*($NS$88-269+1)/$NU$88,$NN$88/$NT$88)),0)</f>
        <v/>
      </c>
      <c r="JN88" s="402">
        <f>IF(AND(270&gt;=$NR$88,270&lt;=$NS$88),IF($NP$88="Single_Point",IF(270=$NR$88,$NN$88,0),IF($NP$88="Bell_Curve",$NN$88*(270-$NR$88+1)*($NS$88-270+1)/$NU$88,$NN$88/$NT$88)),0)</f>
        <v/>
      </c>
      <c r="JO88" s="402">
        <f>IF(AND(271&gt;=$NR$88,271&lt;=$NS$88),IF($NP$88="Single_Point",IF(271=$NR$88,$NN$88,0),IF($NP$88="Bell_Curve",$NN$88*(271-$NR$88+1)*($NS$88-271+1)/$NU$88,$NN$88/$NT$88)),0)</f>
        <v/>
      </c>
      <c r="JP88" s="402">
        <f>IF(AND(272&gt;=$NR$88,272&lt;=$NS$88),IF($NP$88="Single_Point",IF(272=$NR$88,$NN$88,0),IF($NP$88="Bell_Curve",$NN$88*(272-$NR$88+1)*($NS$88-272+1)/$NU$88,$NN$88/$NT$88)),0)</f>
        <v/>
      </c>
      <c r="JQ88" s="402">
        <f>IF(AND(273&gt;=$NR$88,273&lt;=$NS$88),IF($NP$88="Single_Point",IF(273=$NR$88,$NN$88,0),IF($NP$88="Bell_Curve",$NN$88*(273-$NR$88+1)*($NS$88-273+1)/$NU$88,$NN$88/$NT$88)),0)</f>
        <v/>
      </c>
      <c r="JR88" s="402">
        <f>IF(AND(274&gt;=$NR$88,274&lt;=$NS$88),IF($NP$88="Single_Point",IF(274=$NR$88,$NN$88,0),IF($NP$88="Bell_Curve",$NN$88*(274-$NR$88+1)*($NS$88-274+1)/$NU$88,$NN$88/$NT$88)),0)</f>
        <v/>
      </c>
      <c r="JS88" s="402">
        <f>IF(AND(275&gt;=$NR$88,275&lt;=$NS$88),IF($NP$88="Single_Point",IF(275=$NR$88,$NN$88,0),IF($NP$88="Bell_Curve",$NN$88*(275-$NR$88+1)*($NS$88-275+1)/$NU$88,$NN$88/$NT$88)),0)</f>
        <v/>
      </c>
      <c r="JT88" s="402">
        <f>IF(AND(276&gt;=$NR$88,276&lt;=$NS$88),IF($NP$88="Single_Point",IF(276=$NR$88,$NN$88,0),IF($NP$88="Bell_Curve",$NN$88*(276-$NR$88+1)*($NS$88-276+1)/$NU$88,$NN$88/$NT$88)),0)</f>
        <v/>
      </c>
      <c r="JU88" s="402">
        <f>IF(AND(277&gt;=$NR$88,277&lt;=$NS$88),IF($NP$88="Single_Point",IF(277=$NR$88,$NN$88,0),IF($NP$88="Bell_Curve",$NN$88*(277-$NR$88+1)*($NS$88-277+1)/$NU$88,$NN$88/$NT$88)),0)</f>
        <v/>
      </c>
      <c r="JV88" s="402">
        <f>IF(AND(278&gt;=$NR$88,278&lt;=$NS$88),IF($NP$88="Single_Point",IF(278=$NR$88,$NN$88,0),IF($NP$88="Bell_Curve",$NN$88*(278-$NR$88+1)*($NS$88-278+1)/$NU$88,$NN$88/$NT$88)),0)</f>
        <v/>
      </c>
      <c r="JW88" s="402">
        <f>IF(AND(279&gt;=$NR$88,279&lt;=$NS$88),IF($NP$88="Single_Point",IF(279=$NR$88,$NN$88,0),IF($NP$88="Bell_Curve",$NN$88*(279-$NR$88+1)*($NS$88-279+1)/$NU$88,$NN$88/$NT$88)),0)</f>
        <v/>
      </c>
      <c r="JX88" s="402">
        <f>IF(AND(280&gt;=$NR$88,280&lt;=$NS$88),IF($NP$88="Single_Point",IF(280=$NR$88,$NN$88,0),IF($NP$88="Bell_Curve",$NN$88*(280-$NR$88+1)*($NS$88-280+1)/$NU$88,$NN$88/$NT$88)),0)</f>
        <v/>
      </c>
      <c r="JY88" s="402">
        <f>IF(AND(281&gt;=$NR$88,281&lt;=$NS$88),IF($NP$88="Single_Point",IF(281=$NR$88,$NN$88,0),IF($NP$88="Bell_Curve",$NN$88*(281-$NR$88+1)*($NS$88-281+1)/$NU$88,$NN$88/$NT$88)),0)</f>
        <v/>
      </c>
      <c r="JZ88" s="402">
        <f>IF(AND(282&gt;=$NR$88,282&lt;=$NS$88),IF($NP$88="Single_Point",IF(282=$NR$88,$NN$88,0),IF($NP$88="Bell_Curve",$NN$88*(282-$NR$88+1)*($NS$88-282+1)/$NU$88,$NN$88/$NT$88)),0)</f>
        <v/>
      </c>
      <c r="KA88" s="402">
        <f>IF(AND(283&gt;=$NR$88,283&lt;=$NS$88),IF($NP$88="Single_Point",IF(283=$NR$88,$NN$88,0),IF($NP$88="Bell_Curve",$NN$88*(283-$NR$88+1)*($NS$88-283+1)/$NU$88,$NN$88/$NT$88)),0)</f>
        <v/>
      </c>
      <c r="KB88" s="402">
        <f>IF(AND(284&gt;=$NR$88,284&lt;=$NS$88),IF($NP$88="Single_Point",IF(284=$NR$88,$NN$88,0),IF($NP$88="Bell_Curve",$NN$88*(284-$NR$88+1)*($NS$88-284+1)/$NU$88,$NN$88/$NT$88)),0)</f>
        <v/>
      </c>
      <c r="KC88" s="402">
        <f>IF(AND(285&gt;=$NR$88,285&lt;=$NS$88),IF($NP$88="Single_Point",IF(285=$NR$88,$NN$88,0),IF($NP$88="Bell_Curve",$NN$88*(285-$NR$88+1)*($NS$88-285+1)/$NU$88,$NN$88/$NT$88)),0)</f>
        <v/>
      </c>
      <c r="KD88" s="402">
        <f>IF(AND(286&gt;=$NR$88,286&lt;=$NS$88),IF($NP$88="Single_Point",IF(286=$NR$88,$NN$88,0),IF($NP$88="Bell_Curve",$NN$88*(286-$NR$88+1)*($NS$88-286+1)/$NU$88,$NN$88/$NT$88)),0)</f>
        <v/>
      </c>
      <c r="KE88" s="402">
        <f>IF(AND(287&gt;=$NR$88,287&lt;=$NS$88),IF($NP$88="Single_Point",IF(287=$NR$88,$NN$88,0),IF($NP$88="Bell_Curve",$NN$88*(287-$NR$88+1)*($NS$88-287+1)/$NU$88,$NN$88/$NT$88)),0)</f>
        <v/>
      </c>
      <c r="KF88" s="402">
        <f>IF(AND(288&gt;=$NR$88,288&lt;=$NS$88),IF($NP$88="Single_Point",IF(288=$NR$88,$NN$88,0),IF($NP$88="Bell_Curve",$NN$88*(288-$NR$88+1)*($NS$88-288+1)/$NU$88,$NN$88/$NT$88)),0)</f>
        <v/>
      </c>
      <c r="KG88" s="402">
        <f>IF(AND(289&gt;=$NR$88,289&lt;=$NS$88),IF($NP$88="Single_Point",IF(289=$NR$88,$NN$88,0),IF($NP$88="Bell_Curve",$NN$88*(289-$NR$88+1)*($NS$88-289+1)/$NU$88,$NN$88/$NT$88)),0)</f>
        <v/>
      </c>
      <c r="KH88" s="402">
        <f>IF(AND(290&gt;=$NR$88,290&lt;=$NS$88),IF($NP$88="Single_Point",IF(290=$NR$88,$NN$88,0),IF($NP$88="Bell_Curve",$NN$88*(290-$NR$88+1)*($NS$88-290+1)/$NU$88,$NN$88/$NT$88)),0)</f>
        <v/>
      </c>
      <c r="KI88" s="402">
        <f>IF(AND(291&gt;=$NR$88,291&lt;=$NS$88),IF($NP$88="Single_Point",IF(291=$NR$88,$NN$88,0),IF($NP$88="Bell_Curve",$NN$88*(291-$NR$88+1)*($NS$88-291+1)/$NU$88,$NN$88/$NT$88)),0)</f>
        <v/>
      </c>
      <c r="KJ88" s="402">
        <f>IF(AND(292&gt;=$NR$88,292&lt;=$NS$88),IF($NP$88="Single_Point",IF(292=$NR$88,$NN$88,0),IF($NP$88="Bell_Curve",$NN$88*(292-$NR$88+1)*($NS$88-292+1)/$NU$88,$NN$88/$NT$88)),0)</f>
        <v/>
      </c>
      <c r="KK88" s="402">
        <f>IF(AND(293&gt;=$NR$88,293&lt;=$NS$88),IF($NP$88="Single_Point",IF(293=$NR$88,$NN$88,0),IF($NP$88="Bell_Curve",$NN$88*(293-$NR$88+1)*($NS$88-293+1)/$NU$88,$NN$88/$NT$88)),0)</f>
        <v/>
      </c>
      <c r="KL88" s="402">
        <f>IF(AND(294&gt;=$NR$88,294&lt;=$NS$88),IF($NP$88="Single_Point",IF(294=$NR$88,$NN$88,0),IF($NP$88="Bell_Curve",$NN$88*(294-$NR$88+1)*($NS$88-294+1)/$NU$88,$NN$88/$NT$88)),0)</f>
        <v/>
      </c>
      <c r="KM88" s="402">
        <f>IF(AND(295&gt;=$NR$88,295&lt;=$NS$88),IF($NP$88="Single_Point",IF(295=$NR$88,$NN$88,0),IF($NP$88="Bell_Curve",$NN$88*(295-$NR$88+1)*($NS$88-295+1)/$NU$88,$NN$88/$NT$88)),0)</f>
        <v/>
      </c>
      <c r="KN88" s="402">
        <f>IF(AND(296&gt;=$NR$88,296&lt;=$NS$88),IF($NP$88="Single_Point",IF(296=$NR$88,$NN$88,0),IF($NP$88="Bell_Curve",$NN$88*(296-$NR$88+1)*($NS$88-296+1)/$NU$88,$NN$88/$NT$88)),0)</f>
        <v/>
      </c>
      <c r="KO88" s="402">
        <f>IF(AND(297&gt;=$NR$88,297&lt;=$NS$88),IF($NP$88="Single_Point",IF(297=$NR$88,$NN$88,0),IF($NP$88="Bell_Curve",$NN$88*(297-$NR$88+1)*($NS$88-297+1)/$NU$88,$NN$88/$NT$88)),0)</f>
        <v/>
      </c>
      <c r="KP88" s="402">
        <f>IF(AND(298&gt;=$NR$88,298&lt;=$NS$88),IF($NP$88="Single_Point",IF(298=$NR$88,$NN$88,0),IF($NP$88="Bell_Curve",$NN$88*(298-$NR$88+1)*($NS$88-298+1)/$NU$88,$NN$88/$NT$88)),0)</f>
        <v/>
      </c>
      <c r="KQ88" s="402">
        <f>IF(AND(299&gt;=$NR$88,299&lt;=$NS$88),IF($NP$88="Single_Point",IF(299=$NR$88,$NN$88,0),IF($NP$88="Bell_Curve",$NN$88*(299-$NR$88+1)*($NS$88-299+1)/$NU$88,$NN$88/$NT$88)),0)</f>
        <v/>
      </c>
      <c r="KR88" s="402">
        <f>IF(AND(300&gt;=$NR$88,300&lt;=$NS$88),IF($NP$88="Single_Point",IF(300=$NR$88,$NN$88,0),IF($NP$88="Bell_Curve",$NN$88*(300-$NR$88+1)*($NS$88-300+1)/$NU$88,$NN$88/$NT$88)),0)</f>
        <v/>
      </c>
      <c r="KS88" s="402">
        <f>IF(AND(301&gt;=$NR$88,301&lt;=$NS$88),IF($NP$88="Single_Point",IF(301=$NR$88,$NN$88,0),IF($NP$88="Bell_Curve",$NN$88*(301-$NR$88+1)*($NS$88-301+1)/$NU$88,$NN$88/$NT$88)),0)</f>
        <v/>
      </c>
      <c r="KT88" s="402">
        <f>IF(AND(302&gt;=$NR$88,302&lt;=$NS$88),IF($NP$88="Single_Point",IF(302=$NR$88,$NN$88,0),IF($NP$88="Bell_Curve",$NN$88*(302-$NR$88+1)*($NS$88-302+1)/$NU$88,$NN$88/$NT$88)),0)</f>
        <v/>
      </c>
      <c r="KU88" s="402">
        <f>IF(AND(303&gt;=$NR$88,303&lt;=$NS$88),IF($NP$88="Single_Point",IF(303=$NR$88,$NN$88,0),IF($NP$88="Bell_Curve",$NN$88*(303-$NR$88+1)*($NS$88-303+1)/$NU$88,$NN$88/$NT$88)),0)</f>
        <v/>
      </c>
      <c r="KV88" s="402">
        <f>IF(AND(304&gt;=$NR$88,304&lt;=$NS$88),IF($NP$88="Single_Point",IF(304=$NR$88,$NN$88,0),IF($NP$88="Bell_Curve",$NN$88*(304-$NR$88+1)*($NS$88-304+1)/$NU$88,$NN$88/$NT$88)),0)</f>
        <v/>
      </c>
      <c r="KW88" s="402">
        <f>IF(AND(305&gt;=$NR$88,305&lt;=$NS$88),IF($NP$88="Single_Point",IF(305=$NR$88,$NN$88,0),IF($NP$88="Bell_Curve",$NN$88*(305-$NR$88+1)*($NS$88-305+1)/$NU$88,$NN$88/$NT$88)),0)</f>
        <v/>
      </c>
      <c r="KX88" s="402">
        <f>IF(AND(306&gt;=$NR$88,306&lt;=$NS$88),IF($NP$88="Single_Point",IF(306=$NR$88,$NN$88,0),IF($NP$88="Bell_Curve",$NN$88*(306-$NR$88+1)*($NS$88-306+1)/$NU$88,$NN$88/$NT$88)),0)</f>
        <v/>
      </c>
      <c r="KY88" s="402">
        <f>IF(AND(307&gt;=$NR$88,307&lt;=$NS$88),IF($NP$88="Single_Point",IF(307=$NR$88,$NN$88,0),IF($NP$88="Bell_Curve",$NN$88*(307-$NR$88+1)*($NS$88-307+1)/$NU$88,$NN$88/$NT$88)),0)</f>
        <v/>
      </c>
      <c r="KZ88" s="402">
        <f>IF(AND(308&gt;=$NR$88,308&lt;=$NS$88),IF($NP$88="Single_Point",IF(308=$NR$88,$NN$88,0),IF($NP$88="Bell_Curve",$NN$88*(308-$NR$88+1)*($NS$88-308+1)/$NU$88,$NN$88/$NT$88)),0)</f>
        <v/>
      </c>
      <c r="LA88" s="402">
        <f>IF(AND(309&gt;=$NR$88,309&lt;=$NS$88),IF($NP$88="Single_Point",IF(309=$NR$88,$NN$88,0),IF($NP$88="Bell_Curve",$NN$88*(309-$NR$88+1)*($NS$88-309+1)/$NU$88,$NN$88/$NT$88)),0)</f>
        <v/>
      </c>
      <c r="LB88" s="402">
        <f>IF(AND(310&gt;=$NR$88,310&lt;=$NS$88),IF($NP$88="Single_Point",IF(310=$NR$88,$NN$88,0),IF($NP$88="Bell_Curve",$NN$88*(310-$NR$88+1)*($NS$88-310+1)/$NU$88,$NN$88/$NT$88)),0)</f>
        <v/>
      </c>
      <c r="LC88" s="402">
        <f>IF(AND(311&gt;=$NR$88,311&lt;=$NS$88),IF($NP$88="Single_Point",IF(311=$NR$88,$NN$88,0),IF($NP$88="Bell_Curve",$NN$88*(311-$NR$88+1)*($NS$88-311+1)/$NU$88,$NN$88/$NT$88)),0)</f>
        <v/>
      </c>
      <c r="LD88" s="402">
        <f>IF(AND(312&gt;=$NR$88,312&lt;=$NS$88),IF($NP$88="Single_Point",IF(312=$NR$88,$NN$88,0),IF($NP$88="Bell_Curve",$NN$88*(312-$NR$88+1)*($NS$88-312+1)/$NU$88,$NN$88/$NT$88)),0)</f>
        <v/>
      </c>
      <c r="LE88" s="402">
        <f>IF(AND(313&gt;=$NR$88,313&lt;=$NS$88),IF($NP$88="Single_Point",IF(313=$NR$88,$NN$88,0),IF($NP$88="Bell_Curve",$NN$88*(313-$NR$88+1)*($NS$88-313+1)/$NU$88,$NN$88/$NT$88)),0)</f>
        <v/>
      </c>
      <c r="LF88" s="402">
        <f>IF(AND(314&gt;=$NR$88,314&lt;=$NS$88),IF($NP$88="Single_Point",IF(314=$NR$88,$NN$88,0),IF($NP$88="Bell_Curve",$NN$88*(314-$NR$88+1)*($NS$88-314+1)/$NU$88,$NN$88/$NT$88)),0)</f>
        <v/>
      </c>
      <c r="LG88" s="402">
        <f>IF(AND(315&gt;=$NR$88,315&lt;=$NS$88),IF($NP$88="Single_Point",IF(315=$NR$88,$NN$88,0),IF($NP$88="Bell_Curve",$NN$88*(315-$NR$88+1)*($NS$88-315+1)/$NU$88,$NN$88/$NT$88)),0)</f>
        <v/>
      </c>
      <c r="LH88" s="402">
        <f>IF(AND(316&gt;=$NR$88,316&lt;=$NS$88),IF($NP$88="Single_Point",IF(316=$NR$88,$NN$88,0),IF($NP$88="Bell_Curve",$NN$88*(316-$NR$88+1)*($NS$88-316+1)/$NU$88,$NN$88/$NT$88)),0)</f>
        <v/>
      </c>
      <c r="LI88" s="402">
        <f>IF(AND(317&gt;=$NR$88,317&lt;=$NS$88),IF($NP$88="Single_Point",IF(317=$NR$88,$NN$88,0),IF($NP$88="Bell_Curve",$NN$88*(317-$NR$88+1)*($NS$88-317+1)/$NU$88,$NN$88/$NT$88)),0)</f>
        <v/>
      </c>
      <c r="LJ88" s="402">
        <f>IF(AND(318&gt;=$NR$88,318&lt;=$NS$88),IF($NP$88="Single_Point",IF(318=$NR$88,$NN$88,0),IF($NP$88="Bell_Curve",$NN$88*(318-$NR$88+1)*($NS$88-318+1)/$NU$88,$NN$88/$NT$88)),0)</f>
        <v/>
      </c>
      <c r="LK88" s="402">
        <f>IF(AND(319&gt;=$NR$88,319&lt;=$NS$88),IF($NP$88="Single_Point",IF(319=$NR$88,$NN$88,0),IF($NP$88="Bell_Curve",$NN$88*(319-$NR$88+1)*($NS$88-319+1)/$NU$88,$NN$88/$NT$88)),0)</f>
        <v/>
      </c>
      <c r="LL88" s="402">
        <f>IF(AND(320&gt;=$NR$88,320&lt;=$NS$88),IF($NP$88="Single_Point",IF(320=$NR$88,$NN$88,0),IF($NP$88="Bell_Curve",$NN$88*(320-$NR$88+1)*($NS$88-320+1)/$NU$88,$NN$88/$NT$88)),0)</f>
        <v/>
      </c>
      <c r="LM88" s="402">
        <f>IF(AND(321&gt;=$NR$88,321&lt;=$NS$88),IF($NP$88="Single_Point",IF(321=$NR$88,$NN$88,0),IF($NP$88="Bell_Curve",$NN$88*(321-$NR$88+1)*($NS$88-321+1)/$NU$88,$NN$88/$NT$88)),0)</f>
        <v/>
      </c>
      <c r="LN88" s="402">
        <f>IF(AND(322&gt;=$NR$88,322&lt;=$NS$88),IF($NP$88="Single_Point",IF(322=$NR$88,$NN$88,0),IF($NP$88="Bell_Curve",$NN$88*(322-$NR$88+1)*($NS$88-322+1)/$NU$88,$NN$88/$NT$88)),0)</f>
        <v/>
      </c>
      <c r="LO88" s="402">
        <f>IF(AND(323&gt;=$NR$88,323&lt;=$NS$88),IF($NP$88="Single_Point",IF(323=$NR$88,$NN$88,0),IF($NP$88="Bell_Curve",$NN$88*(323-$NR$88+1)*($NS$88-323+1)/$NU$88,$NN$88/$NT$88)),0)</f>
        <v/>
      </c>
      <c r="LP88" s="402">
        <f>IF(AND(324&gt;=$NR$88,324&lt;=$NS$88),IF($NP$88="Single_Point",IF(324=$NR$88,$NN$88,0),IF($NP$88="Bell_Curve",$NN$88*(324-$NR$88+1)*($NS$88-324+1)/$NU$88,$NN$88/$NT$88)),0)</f>
        <v/>
      </c>
      <c r="LQ88" s="402">
        <f>IF(AND(325&gt;=$NR$88,325&lt;=$NS$88),IF($NP$88="Single_Point",IF(325=$NR$88,$NN$88,0),IF($NP$88="Bell_Curve",$NN$88*(325-$NR$88+1)*($NS$88-325+1)/$NU$88,$NN$88/$NT$88)),0)</f>
        <v/>
      </c>
      <c r="LR88" s="402">
        <f>IF(AND(326&gt;=$NR$88,326&lt;=$NS$88),IF($NP$88="Single_Point",IF(326=$NR$88,$NN$88,0),IF($NP$88="Bell_Curve",$NN$88*(326-$NR$88+1)*($NS$88-326+1)/$NU$88,$NN$88/$NT$88)),0)</f>
        <v/>
      </c>
      <c r="LS88" s="402">
        <f>IF(AND(327&gt;=$NR$88,327&lt;=$NS$88),IF($NP$88="Single_Point",IF(327=$NR$88,$NN$88,0),IF($NP$88="Bell_Curve",$NN$88*(327-$NR$88+1)*($NS$88-327+1)/$NU$88,$NN$88/$NT$88)),0)</f>
        <v/>
      </c>
      <c r="LT88" s="402">
        <f>IF(AND(328&gt;=$NR$88,328&lt;=$NS$88),IF($NP$88="Single_Point",IF(328=$NR$88,$NN$88,0),IF($NP$88="Bell_Curve",$NN$88*(328-$NR$88+1)*($NS$88-328+1)/$NU$88,$NN$88/$NT$88)),0)</f>
        <v/>
      </c>
      <c r="LU88" s="402">
        <f>IF(AND(329&gt;=$NR$88,329&lt;=$NS$88),IF($NP$88="Single_Point",IF(329=$NR$88,$NN$88,0),IF($NP$88="Bell_Curve",$NN$88*(329-$NR$88+1)*($NS$88-329+1)/$NU$88,$NN$88/$NT$88)),0)</f>
        <v/>
      </c>
      <c r="LV88" s="402">
        <f>IF(AND(330&gt;=$NR$88,330&lt;=$NS$88),IF($NP$88="Single_Point",IF(330=$NR$88,$NN$88,0),IF($NP$88="Bell_Curve",$NN$88*(330-$NR$88+1)*($NS$88-330+1)/$NU$88,$NN$88/$NT$88)),0)</f>
        <v/>
      </c>
      <c r="LW88" s="402">
        <f>IF(AND(331&gt;=$NR$88,331&lt;=$NS$88),IF($NP$88="Single_Point",IF(331=$NR$88,$NN$88,0),IF($NP$88="Bell_Curve",$NN$88*(331-$NR$88+1)*($NS$88-331+1)/$NU$88,$NN$88/$NT$88)),0)</f>
        <v/>
      </c>
      <c r="LX88" s="402">
        <f>IF(AND(332&gt;=$NR$88,332&lt;=$NS$88),IF($NP$88="Single_Point",IF(332=$NR$88,$NN$88,0),IF($NP$88="Bell_Curve",$NN$88*(332-$NR$88+1)*($NS$88-332+1)/$NU$88,$NN$88/$NT$88)),0)</f>
        <v/>
      </c>
      <c r="LY88" s="402">
        <f>IF(AND(333&gt;=$NR$88,333&lt;=$NS$88),IF($NP$88="Single_Point",IF(333=$NR$88,$NN$88,0),IF($NP$88="Bell_Curve",$NN$88*(333-$NR$88+1)*($NS$88-333+1)/$NU$88,$NN$88/$NT$88)),0)</f>
        <v/>
      </c>
      <c r="LZ88" s="402">
        <f>IF(AND(334&gt;=$NR$88,334&lt;=$NS$88),IF($NP$88="Single_Point",IF(334=$NR$88,$NN$88,0),IF($NP$88="Bell_Curve",$NN$88*(334-$NR$88+1)*($NS$88-334+1)/$NU$88,$NN$88/$NT$88)),0)</f>
        <v/>
      </c>
      <c r="MA88" s="402">
        <f>IF(AND(335&gt;=$NR$88,335&lt;=$NS$88),IF($NP$88="Single_Point",IF(335=$NR$88,$NN$88,0),IF($NP$88="Bell_Curve",$NN$88*(335-$NR$88+1)*($NS$88-335+1)/$NU$88,$NN$88/$NT$88)),0)</f>
        <v/>
      </c>
      <c r="MB88" s="402">
        <f>IF(AND(336&gt;=$NR$88,336&lt;=$NS$88),IF($NP$88="Single_Point",IF(336=$NR$88,$NN$88,0),IF($NP$88="Bell_Curve",$NN$88*(336-$NR$88+1)*($NS$88-336+1)/$NU$88,$NN$88/$NT$88)),0)</f>
        <v/>
      </c>
      <c r="MC88" s="402">
        <f>IF(AND(337&gt;=$NR$88,337&lt;=$NS$88),IF($NP$88="Single_Point",IF(337=$NR$88,$NN$88,0),IF($NP$88="Bell_Curve",$NN$88*(337-$NR$88+1)*($NS$88-337+1)/$NU$88,$NN$88/$NT$88)),0)</f>
        <v/>
      </c>
      <c r="MD88" s="402">
        <f>IF(AND(338&gt;=$NR$88,338&lt;=$NS$88),IF($NP$88="Single_Point",IF(338=$NR$88,$NN$88,0),IF($NP$88="Bell_Curve",$NN$88*(338-$NR$88+1)*($NS$88-338+1)/$NU$88,$NN$88/$NT$88)),0)</f>
        <v/>
      </c>
      <c r="ME88" s="402">
        <f>IF(AND(339&gt;=$NR$88,339&lt;=$NS$88),IF($NP$88="Single_Point",IF(339=$NR$88,$NN$88,0),IF($NP$88="Bell_Curve",$NN$88*(339-$NR$88+1)*($NS$88-339+1)/$NU$88,$NN$88/$NT$88)),0)</f>
        <v/>
      </c>
      <c r="MF88" s="402">
        <f>IF(AND(340&gt;=$NR$88,340&lt;=$NS$88),IF($NP$88="Single_Point",IF(340=$NR$88,$NN$88,0),IF($NP$88="Bell_Curve",$NN$88*(340-$NR$88+1)*($NS$88-340+1)/$NU$88,$NN$88/$NT$88)),0)</f>
        <v/>
      </c>
      <c r="MG88" s="402">
        <f>IF(AND(341&gt;=$NR$88,341&lt;=$NS$88),IF($NP$88="Single_Point",IF(341=$NR$88,$NN$88,0),IF($NP$88="Bell_Curve",$NN$88*(341-$NR$88+1)*($NS$88-341+1)/$NU$88,$NN$88/$NT$88)),0)</f>
        <v/>
      </c>
      <c r="MH88" s="402">
        <f>IF(AND(342&gt;=$NR$88,342&lt;=$NS$88),IF($NP$88="Single_Point",IF(342=$NR$88,$NN$88,0),IF($NP$88="Bell_Curve",$NN$88*(342-$NR$88+1)*($NS$88-342+1)/$NU$88,$NN$88/$NT$88)),0)</f>
        <v/>
      </c>
      <c r="MI88" s="402">
        <f>IF(AND(343&gt;=$NR$88,343&lt;=$NS$88),IF($NP$88="Single_Point",IF(343=$NR$88,$NN$88,0),IF($NP$88="Bell_Curve",$NN$88*(343-$NR$88+1)*($NS$88-343+1)/$NU$88,$NN$88/$NT$88)),0)</f>
        <v/>
      </c>
      <c r="MJ88" s="402">
        <f>IF(AND(344&gt;=$NR$88,344&lt;=$NS$88),IF($NP$88="Single_Point",IF(344=$NR$88,$NN$88,0),IF($NP$88="Bell_Curve",$NN$88*(344-$NR$88+1)*($NS$88-344+1)/$NU$88,$NN$88/$NT$88)),0)</f>
        <v/>
      </c>
      <c r="MK88" s="402">
        <f>IF(AND(345&gt;=$NR$88,345&lt;=$NS$88),IF($NP$88="Single_Point",IF(345=$NR$88,$NN$88,0),IF($NP$88="Bell_Curve",$NN$88*(345-$NR$88+1)*($NS$88-345+1)/$NU$88,$NN$88/$NT$88)),0)</f>
        <v/>
      </c>
      <c r="ML88" s="402">
        <f>IF(AND(346&gt;=$NR$88,346&lt;=$NS$88),IF($NP$88="Single_Point",IF(346=$NR$88,$NN$88,0),IF($NP$88="Bell_Curve",$NN$88*(346-$NR$88+1)*($NS$88-346+1)/$NU$88,$NN$88/$NT$88)),0)</f>
        <v/>
      </c>
      <c r="MM88" s="402">
        <f>IF(AND(347&gt;=$NR$88,347&lt;=$NS$88),IF($NP$88="Single_Point",IF(347=$NR$88,$NN$88,0),IF($NP$88="Bell_Curve",$NN$88*(347-$NR$88+1)*($NS$88-347+1)/$NU$88,$NN$88/$NT$88)),0)</f>
        <v/>
      </c>
      <c r="MN88" s="402">
        <f>IF(AND(348&gt;=$NR$88,348&lt;=$NS$88),IF($NP$88="Single_Point",IF(348=$NR$88,$NN$88,0),IF($NP$88="Bell_Curve",$NN$88*(348-$NR$88+1)*($NS$88-348+1)/$NU$88,$NN$88/$NT$88)),0)</f>
        <v/>
      </c>
      <c r="MO88" s="402">
        <f>IF(AND(349&gt;=$NR$88,349&lt;=$NS$88),IF($NP$88="Single_Point",IF(349=$NR$88,$NN$88,0),IF($NP$88="Bell_Curve",$NN$88*(349-$NR$88+1)*($NS$88-349+1)/$NU$88,$NN$88/$NT$88)),0)</f>
        <v/>
      </c>
      <c r="MP88" s="402">
        <f>IF(AND(350&gt;=$NR$88,350&lt;=$NS$88),IF($NP$88="Single_Point",IF(350=$NR$88,$NN$88,0),IF($NP$88="Bell_Curve",$NN$88*(350-$NR$88+1)*($NS$88-350+1)/$NU$88,$NN$88/$NT$88)),0)</f>
        <v/>
      </c>
      <c r="MQ88" s="402">
        <f>IF(AND(351&gt;=$NR$88,351&lt;=$NS$88),IF($NP$88="Single_Point",IF(351=$NR$88,$NN$88,0),IF($NP$88="Bell_Curve",$NN$88*(351-$NR$88+1)*($NS$88-351+1)/$NU$88,$NN$88/$NT$88)),0)</f>
        <v/>
      </c>
      <c r="MR88" s="402">
        <f>IF(AND(352&gt;=$NR$88,352&lt;=$NS$88),IF($NP$88="Single_Point",IF(352=$NR$88,$NN$88,0),IF($NP$88="Bell_Curve",$NN$88*(352-$NR$88+1)*($NS$88-352+1)/$NU$88,$NN$88/$NT$88)),0)</f>
        <v/>
      </c>
      <c r="MS88" s="402">
        <f>IF(AND(353&gt;=$NR$88,353&lt;=$NS$88),IF($NP$88="Single_Point",IF(353=$NR$88,$NN$88,0),IF($NP$88="Bell_Curve",$NN$88*(353-$NR$88+1)*($NS$88-353+1)/$NU$88,$NN$88/$NT$88)),0)</f>
        <v/>
      </c>
      <c r="MT88" s="402">
        <f>IF(AND(354&gt;=$NR$88,354&lt;=$NS$88),IF($NP$88="Single_Point",IF(354=$NR$88,$NN$88,0),IF($NP$88="Bell_Curve",$NN$88*(354-$NR$88+1)*($NS$88-354+1)/$NU$88,$NN$88/$NT$88)),0)</f>
        <v/>
      </c>
      <c r="MU88" s="402">
        <f>IF(AND(355&gt;=$NR$88,355&lt;=$NS$88),IF($NP$88="Single_Point",IF(355=$NR$88,$NN$88,0),IF($NP$88="Bell_Curve",$NN$88*(355-$NR$88+1)*($NS$88-355+1)/$NU$88,$NN$88/$NT$88)),0)</f>
        <v/>
      </c>
      <c r="MV88" s="402">
        <f>IF(AND(356&gt;=$NR$88,356&lt;=$NS$88),IF($NP$88="Single_Point",IF(356=$NR$88,$NN$88,0),IF($NP$88="Bell_Curve",$NN$88*(356-$NR$88+1)*($NS$88-356+1)/$NU$88,$NN$88/$NT$88)),0)</f>
        <v/>
      </c>
      <c r="MW88" s="402">
        <f>IF(AND(357&gt;=$NR$88,357&lt;=$NS$88),IF($NP$88="Single_Point",IF(357=$NR$88,$NN$88,0),IF($NP$88="Bell_Curve",$NN$88*(357-$NR$88+1)*($NS$88-357+1)/$NU$88,$NN$88/$NT$88)),0)</f>
        <v/>
      </c>
      <c r="MX88" s="402">
        <f>IF(AND(358&gt;=$NR$88,358&lt;=$NS$88),IF($NP$88="Single_Point",IF(358=$NR$88,$NN$88,0),IF($NP$88="Bell_Curve",$NN$88*(358-$NR$88+1)*($NS$88-358+1)/$NU$88,$NN$88/$NT$88)),0)</f>
        <v/>
      </c>
      <c r="MY88" s="402">
        <f>IF(AND(359&gt;=$NR$88,359&lt;=$NS$88),IF($NP$88="Single_Point",IF(359=$NR$88,$NN$88,0),IF($NP$88="Bell_Curve",$NN$88*(359-$NR$88+1)*($NS$88-359+1)/$NU$88,$NN$88/$NT$88)),0)</f>
        <v/>
      </c>
      <c r="MZ88" s="402">
        <f>IF(AND(360&gt;=$NR$88,360&lt;=$NS$88),IF($NP$88="Single_Point",IF(360=$NR$88,$NN$88,0),IF($NP$88="Bell_Curve",$NN$88*(360-$NR$88+1)*($NS$88-360+1)/$NU$88,$NN$88/$NT$88)),0)</f>
        <v/>
      </c>
      <c r="NA88" s="402">
        <f>IF(AND(361&gt;=$NR$88,361&lt;=$NS$88),IF($NP$88="Single_Point",IF(361=$NR$88,$NN$88,0),IF($NP$88="Bell_Curve",$NN$88*(361-$NR$88+1)*($NS$88-361+1)/$NU$88,$NN$88/$NT$88)),0)</f>
        <v/>
      </c>
      <c r="NB88" s="402">
        <f>IF(AND(362&gt;=$NR$88,362&lt;=$NS$88),IF($NP$88="Single_Point",IF(362=$NR$88,$NN$88,0),IF($NP$88="Bell_Curve",$NN$88*(362-$NR$88+1)*($NS$88-362+1)/$NU$88,$NN$88/$NT$88)),0)</f>
        <v/>
      </c>
      <c r="NC88" s="402">
        <f>IF(AND(363&gt;=$NR$88,363&lt;=$NS$88),IF($NP$88="Single_Point",IF(363=$NR$88,$NN$88,0),IF($NP$88="Bell_Curve",$NN$88*(363-$NR$88+1)*($NS$88-363+1)/$NU$88,$NN$88/$NT$88)),0)</f>
        <v/>
      </c>
      <c r="ND88" s="402">
        <f>IF(AND(364&gt;=$NR$88,364&lt;=$NS$88),IF($NP$88="Single_Point",IF(364=$NR$88,$NN$88,0),IF($NP$88="Bell_Curve",$NN$88*(364-$NR$88+1)*($NS$88-364+1)/$NU$88,$NN$88/$NT$88)),0)</f>
        <v/>
      </c>
      <c r="NE88" s="402">
        <f>IF(AND(365&gt;=$NR$88,365&lt;=$NS$88),IF($NP$88="Single_Point",IF(365=$NR$88,$NN$88,0),IF($NP$88="Bell_Curve",$NN$88*(365-$NR$88+1)*($NS$88-365+1)/$NU$88,$NN$88/$NT$88)),0)</f>
        <v/>
      </c>
      <c r="NF88" s="402">
        <f>IF(AND(366&gt;=$NR$88,366&lt;=$NS$88),IF($NP$88="Single_Point",IF(366=$NR$88,$NN$88,0),IF($NP$88="Bell_Curve",$NN$88*(366-$NR$88+1)*($NS$88-366+1)/$NU$88,$NN$88/$NT$88)),0)</f>
        <v/>
      </c>
      <c r="NG88" s="402">
        <f>IF(AND(367&gt;=$NR$88,367&lt;=$NS$88),IF($NP$88="Single_Point",IF(367=$NR$88,$NN$88,0),IF($NP$88="Bell_Curve",$NN$88*(367-$NR$88+1)*($NS$88-367+1)/$NU$88,$NN$88/$NT$88)),0)</f>
        <v/>
      </c>
      <c r="NH88" s="402">
        <f>IF(AND(368&gt;=$NR$88,368&lt;=$NS$88),IF($NP$88="Single_Point",IF(368=$NR$88,$NN$88,0),IF($NP$88="Bell_Curve",$NN$88*(368-$NR$88+1)*($NS$88-368+1)/$NU$88,$NN$88/$NT$88)),0)</f>
        <v/>
      </c>
      <c r="NI88" s="402">
        <f>IF(AND(369&gt;=$NR$88,369&lt;=$NS$88),IF($NP$88="Single_Point",IF(369=$NR$88,$NN$88,0),IF($NP$88="Bell_Curve",$NN$88*(369-$NR$88+1)*($NS$88-369+1)/$NU$88,$NN$88/$NT$88)),0)</f>
        <v/>
      </c>
      <c r="NJ88" s="402">
        <f>IF(AND(370&gt;=$NR$88,370&lt;=$NS$88),IF($NP$88="Single_Point",IF(370=$NR$88,$NN$88,0),IF($NP$88="Bell_Curve",$NN$88*(370-$NR$88+1)*($NS$88-370+1)/$NU$88,$NN$88/$NT$88)),0)</f>
        <v/>
      </c>
      <c r="NK88" s="402">
        <f>IF(AND(371&gt;=$NR$88,371&lt;=$NS$88),IF($NP$88="Single_Point",IF(371=$NR$88,$NN$88,0),IF($NP$88="Bell_Curve",$NN$88*(371-$NR$88+1)*($NS$88-371+1)/$NU$88,$NN$88/$NT$88)),0)</f>
        <v/>
      </c>
      <c r="NL88" s="402">
        <f>IF(AND(372&gt;=$NR$88,372&lt;=$NS$88),IF($NP$88="Single_Point",IF(372=$NR$88,$NN$88,0),IF($NP$88="Bell_Curve",$NN$88*(372-$NR$88+1)*($NS$88-372+1)/$NU$88,$NN$88/$NT$88)),0)</f>
        <v/>
      </c>
      <c r="NM88">
        <f>Budget!C87</f>
        <v/>
      </c>
      <c r="NN88">
        <f>Budget!J87</f>
        <v/>
      </c>
      <c r="NO88">
        <f>Budget!G87</f>
        <v/>
      </c>
      <c r="NP88">
        <f>Budget!H87</f>
        <v/>
      </c>
      <c r="NQ88">
        <f>Budget!I87</f>
        <v/>
      </c>
      <c r="NR88">
        <f>MAX(1,MIN(372,INDEX(MilestoneStart,MATCH(NO88,MilestoneNames,0))+NQ88))</f>
        <v/>
      </c>
      <c r="NS88">
        <f>MAX(NR88,MIN(372,INDEX(MilestoneEnd,MATCH(NO88,MilestoneNames,0))+NQ88))</f>
        <v/>
      </c>
      <c r="NT88">
        <f>NS88-NR88+1</f>
        <v/>
      </c>
      <c r="NU88">
        <f>NT88*(NT88+1)*(NT88+2)/6</f>
        <v/>
      </c>
    </row>
    <row r="89">
      <c r="B89" s="316">
        <f>Budget!B88</f>
        <v/>
      </c>
      <c r="D89" s="402">
        <f>SUM(E89:NL89)</f>
        <v/>
      </c>
      <c r="E89" s="402">
        <f>IF(AND(1&gt;=$NR$89,1&lt;=$NS$89),IF($NP$89="Single_Point",IF(1=$NR$89,$NN$89,0),IF($NP$89="Bell_Curve",$NN$89*(1-$NR$89+1)*($NS$89-1+1)/$NU$89,$NN$89/$NT$89)),0)</f>
        <v/>
      </c>
      <c r="F89" s="402">
        <f>IF(AND(2&gt;=$NR$89,2&lt;=$NS$89),IF($NP$89="Single_Point",IF(2=$NR$89,$NN$89,0),IF($NP$89="Bell_Curve",$NN$89*(2-$NR$89+1)*($NS$89-2+1)/$NU$89,$NN$89/$NT$89)),0)</f>
        <v/>
      </c>
      <c r="G89" s="402">
        <f>IF(AND(3&gt;=$NR$89,3&lt;=$NS$89),IF($NP$89="Single_Point",IF(3=$NR$89,$NN$89,0),IF($NP$89="Bell_Curve",$NN$89*(3-$NR$89+1)*($NS$89-3+1)/$NU$89,$NN$89/$NT$89)),0)</f>
        <v/>
      </c>
      <c r="H89" s="402">
        <f>IF(AND(4&gt;=$NR$89,4&lt;=$NS$89),IF($NP$89="Single_Point",IF(4=$NR$89,$NN$89,0),IF($NP$89="Bell_Curve",$NN$89*(4-$NR$89+1)*($NS$89-4+1)/$NU$89,$NN$89/$NT$89)),0)</f>
        <v/>
      </c>
      <c r="I89" s="402">
        <f>IF(AND(5&gt;=$NR$89,5&lt;=$NS$89),IF($NP$89="Single_Point",IF(5=$NR$89,$NN$89,0),IF($NP$89="Bell_Curve",$NN$89*(5-$NR$89+1)*($NS$89-5+1)/$NU$89,$NN$89/$NT$89)),0)</f>
        <v/>
      </c>
      <c r="J89" s="402">
        <f>IF(AND(6&gt;=$NR$89,6&lt;=$NS$89),IF($NP$89="Single_Point",IF(6=$NR$89,$NN$89,0),IF($NP$89="Bell_Curve",$NN$89*(6-$NR$89+1)*($NS$89-6+1)/$NU$89,$NN$89/$NT$89)),0)</f>
        <v/>
      </c>
      <c r="K89" s="402">
        <f>IF(AND(7&gt;=$NR$89,7&lt;=$NS$89),IF($NP$89="Single_Point",IF(7=$NR$89,$NN$89,0),IF($NP$89="Bell_Curve",$NN$89*(7-$NR$89+1)*($NS$89-7+1)/$NU$89,$NN$89/$NT$89)),0)</f>
        <v/>
      </c>
      <c r="L89" s="402">
        <f>IF(AND(8&gt;=$NR$89,8&lt;=$NS$89),IF($NP$89="Single_Point",IF(8=$NR$89,$NN$89,0),IF($NP$89="Bell_Curve",$NN$89*(8-$NR$89+1)*($NS$89-8+1)/$NU$89,$NN$89/$NT$89)),0)</f>
        <v/>
      </c>
      <c r="M89" s="402">
        <f>IF(AND(9&gt;=$NR$89,9&lt;=$NS$89),IF($NP$89="Single_Point",IF(9=$NR$89,$NN$89,0),IF($NP$89="Bell_Curve",$NN$89*(9-$NR$89+1)*($NS$89-9+1)/$NU$89,$NN$89/$NT$89)),0)</f>
        <v/>
      </c>
      <c r="N89" s="402">
        <f>IF(AND(10&gt;=$NR$89,10&lt;=$NS$89),IF($NP$89="Single_Point",IF(10=$NR$89,$NN$89,0),IF($NP$89="Bell_Curve",$NN$89*(10-$NR$89+1)*($NS$89-10+1)/$NU$89,$NN$89/$NT$89)),0)</f>
        <v/>
      </c>
      <c r="O89" s="402">
        <f>IF(AND(11&gt;=$NR$89,11&lt;=$NS$89),IF($NP$89="Single_Point",IF(11=$NR$89,$NN$89,0),IF($NP$89="Bell_Curve",$NN$89*(11-$NR$89+1)*($NS$89-11+1)/$NU$89,$NN$89/$NT$89)),0)</f>
        <v/>
      </c>
      <c r="P89" s="402">
        <f>IF(AND(12&gt;=$NR$89,12&lt;=$NS$89),IF($NP$89="Single_Point",IF(12=$NR$89,$NN$89,0),IF($NP$89="Bell_Curve",$NN$89*(12-$NR$89+1)*($NS$89-12+1)/$NU$89,$NN$89/$NT$89)),0)</f>
        <v/>
      </c>
      <c r="Q89" s="402">
        <f>IF(AND(13&gt;=$NR$89,13&lt;=$NS$89),IF($NP$89="Single_Point",IF(13=$NR$89,$NN$89,0),IF($NP$89="Bell_Curve",$NN$89*(13-$NR$89+1)*($NS$89-13+1)/$NU$89,$NN$89/$NT$89)),0)</f>
        <v/>
      </c>
      <c r="R89" s="402">
        <f>IF(AND(14&gt;=$NR$89,14&lt;=$NS$89),IF($NP$89="Single_Point",IF(14=$NR$89,$NN$89,0),IF($NP$89="Bell_Curve",$NN$89*(14-$NR$89+1)*($NS$89-14+1)/$NU$89,$NN$89/$NT$89)),0)</f>
        <v/>
      </c>
      <c r="S89" s="402">
        <f>IF(AND(15&gt;=$NR$89,15&lt;=$NS$89),IF($NP$89="Single_Point",IF(15=$NR$89,$NN$89,0),IF($NP$89="Bell_Curve",$NN$89*(15-$NR$89+1)*($NS$89-15+1)/$NU$89,$NN$89/$NT$89)),0)</f>
        <v/>
      </c>
      <c r="T89" s="402">
        <f>IF(AND(16&gt;=$NR$89,16&lt;=$NS$89),IF($NP$89="Single_Point",IF(16=$NR$89,$NN$89,0),IF($NP$89="Bell_Curve",$NN$89*(16-$NR$89+1)*($NS$89-16+1)/$NU$89,$NN$89/$NT$89)),0)</f>
        <v/>
      </c>
      <c r="U89" s="402">
        <f>IF(AND(17&gt;=$NR$89,17&lt;=$NS$89),IF($NP$89="Single_Point",IF(17=$NR$89,$NN$89,0),IF($NP$89="Bell_Curve",$NN$89*(17-$NR$89+1)*($NS$89-17+1)/$NU$89,$NN$89/$NT$89)),0)</f>
        <v/>
      </c>
      <c r="V89" s="402">
        <f>IF(AND(18&gt;=$NR$89,18&lt;=$NS$89),IF($NP$89="Single_Point",IF(18=$NR$89,$NN$89,0),IF($NP$89="Bell_Curve",$NN$89*(18-$NR$89+1)*($NS$89-18+1)/$NU$89,$NN$89/$NT$89)),0)</f>
        <v/>
      </c>
      <c r="W89" s="402">
        <f>IF(AND(19&gt;=$NR$89,19&lt;=$NS$89),IF($NP$89="Single_Point",IF(19=$NR$89,$NN$89,0),IF($NP$89="Bell_Curve",$NN$89*(19-$NR$89+1)*($NS$89-19+1)/$NU$89,$NN$89/$NT$89)),0)</f>
        <v/>
      </c>
      <c r="X89" s="402">
        <f>IF(AND(20&gt;=$NR$89,20&lt;=$NS$89),IF($NP$89="Single_Point",IF(20=$NR$89,$NN$89,0),IF($NP$89="Bell_Curve",$NN$89*(20-$NR$89+1)*($NS$89-20+1)/$NU$89,$NN$89/$NT$89)),0)</f>
        <v/>
      </c>
      <c r="Y89" s="402">
        <f>IF(AND(21&gt;=$NR$89,21&lt;=$NS$89),IF($NP$89="Single_Point",IF(21=$NR$89,$NN$89,0),IF($NP$89="Bell_Curve",$NN$89*(21-$NR$89+1)*($NS$89-21+1)/$NU$89,$NN$89/$NT$89)),0)</f>
        <v/>
      </c>
      <c r="Z89" s="402">
        <f>IF(AND(22&gt;=$NR$89,22&lt;=$NS$89),IF($NP$89="Single_Point",IF(22=$NR$89,$NN$89,0),IF($NP$89="Bell_Curve",$NN$89*(22-$NR$89+1)*($NS$89-22+1)/$NU$89,$NN$89/$NT$89)),0)</f>
        <v/>
      </c>
      <c r="AA89" s="402">
        <f>IF(AND(23&gt;=$NR$89,23&lt;=$NS$89),IF($NP$89="Single_Point",IF(23=$NR$89,$NN$89,0),IF($NP$89="Bell_Curve",$NN$89*(23-$NR$89+1)*($NS$89-23+1)/$NU$89,$NN$89/$NT$89)),0)</f>
        <v/>
      </c>
      <c r="AB89" s="402">
        <f>IF(AND(24&gt;=$NR$89,24&lt;=$NS$89),IF($NP$89="Single_Point",IF(24=$NR$89,$NN$89,0),IF($NP$89="Bell_Curve",$NN$89*(24-$NR$89+1)*($NS$89-24+1)/$NU$89,$NN$89/$NT$89)),0)</f>
        <v/>
      </c>
      <c r="AC89" s="402">
        <f>IF(AND(25&gt;=$NR$89,25&lt;=$NS$89),IF($NP$89="Single_Point",IF(25=$NR$89,$NN$89,0),IF($NP$89="Bell_Curve",$NN$89*(25-$NR$89+1)*($NS$89-25+1)/$NU$89,$NN$89/$NT$89)),0)</f>
        <v/>
      </c>
      <c r="AD89" s="402">
        <f>IF(AND(26&gt;=$NR$89,26&lt;=$NS$89),IF($NP$89="Single_Point",IF(26=$NR$89,$NN$89,0),IF($NP$89="Bell_Curve",$NN$89*(26-$NR$89+1)*($NS$89-26+1)/$NU$89,$NN$89/$NT$89)),0)</f>
        <v/>
      </c>
      <c r="AE89" s="402">
        <f>IF(AND(27&gt;=$NR$89,27&lt;=$NS$89),IF($NP$89="Single_Point",IF(27=$NR$89,$NN$89,0),IF($NP$89="Bell_Curve",$NN$89*(27-$NR$89+1)*($NS$89-27+1)/$NU$89,$NN$89/$NT$89)),0)</f>
        <v/>
      </c>
      <c r="AF89" s="402">
        <f>IF(AND(28&gt;=$NR$89,28&lt;=$NS$89),IF($NP$89="Single_Point",IF(28=$NR$89,$NN$89,0),IF($NP$89="Bell_Curve",$NN$89*(28-$NR$89+1)*($NS$89-28+1)/$NU$89,$NN$89/$NT$89)),0)</f>
        <v/>
      </c>
      <c r="AG89" s="402">
        <f>IF(AND(29&gt;=$NR$89,29&lt;=$NS$89),IF($NP$89="Single_Point",IF(29=$NR$89,$NN$89,0),IF($NP$89="Bell_Curve",$NN$89*(29-$NR$89+1)*($NS$89-29+1)/$NU$89,$NN$89/$NT$89)),0)</f>
        <v/>
      </c>
      <c r="AH89" s="402">
        <f>IF(AND(30&gt;=$NR$89,30&lt;=$NS$89),IF($NP$89="Single_Point",IF(30=$NR$89,$NN$89,0),IF($NP$89="Bell_Curve",$NN$89*(30-$NR$89+1)*($NS$89-30+1)/$NU$89,$NN$89/$NT$89)),0)</f>
        <v/>
      </c>
      <c r="AI89" s="402">
        <f>IF(AND(31&gt;=$NR$89,31&lt;=$NS$89),IF($NP$89="Single_Point",IF(31=$NR$89,$NN$89,0),IF($NP$89="Bell_Curve",$NN$89*(31-$NR$89+1)*($NS$89-31+1)/$NU$89,$NN$89/$NT$89)),0)</f>
        <v/>
      </c>
      <c r="AJ89" s="402">
        <f>IF(AND(32&gt;=$NR$89,32&lt;=$NS$89),IF($NP$89="Single_Point",IF(32=$NR$89,$NN$89,0),IF($NP$89="Bell_Curve",$NN$89*(32-$NR$89+1)*($NS$89-32+1)/$NU$89,$NN$89/$NT$89)),0)</f>
        <v/>
      </c>
      <c r="AK89" s="402">
        <f>IF(AND(33&gt;=$NR$89,33&lt;=$NS$89),IF($NP$89="Single_Point",IF(33=$NR$89,$NN$89,0),IF($NP$89="Bell_Curve",$NN$89*(33-$NR$89+1)*($NS$89-33+1)/$NU$89,$NN$89/$NT$89)),0)</f>
        <v/>
      </c>
      <c r="AL89" s="402">
        <f>IF(AND(34&gt;=$NR$89,34&lt;=$NS$89),IF($NP$89="Single_Point",IF(34=$NR$89,$NN$89,0),IF($NP$89="Bell_Curve",$NN$89*(34-$NR$89+1)*($NS$89-34+1)/$NU$89,$NN$89/$NT$89)),0)</f>
        <v/>
      </c>
      <c r="AM89" s="402">
        <f>IF(AND(35&gt;=$NR$89,35&lt;=$NS$89),IF($NP$89="Single_Point",IF(35=$NR$89,$NN$89,0),IF($NP$89="Bell_Curve",$NN$89*(35-$NR$89+1)*($NS$89-35+1)/$NU$89,$NN$89/$NT$89)),0)</f>
        <v/>
      </c>
      <c r="AN89" s="402">
        <f>IF(AND(36&gt;=$NR$89,36&lt;=$NS$89),IF($NP$89="Single_Point",IF(36=$NR$89,$NN$89,0),IF($NP$89="Bell_Curve",$NN$89*(36-$NR$89+1)*($NS$89-36+1)/$NU$89,$NN$89/$NT$89)),0)</f>
        <v/>
      </c>
      <c r="AO89" s="402">
        <f>IF(AND(37&gt;=$NR$89,37&lt;=$NS$89),IF($NP$89="Single_Point",IF(37=$NR$89,$NN$89,0),IF($NP$89="Bell_Curve",$NN$89*(37-$NR$89+1)*($NS$89-37+1)/$NU$89,$NN$89/$NT$89)),0)</f>
        <v/>
      </c>
      <c r="AP89" s="402">
        <f>IF(AND(38&gt;=$NR$89,38&lt;=$NS$89),IF($NP$89="Single_Point",IF(38=$NR$89,$NN$89,0),IF($NP$89="Bell_Curve",$NN$89*(38-$NR$89+1)*($NS$89-38+1)/$NU$89,$NN$89/$NT$89)),0)</f>
        <v/>
      </c>
      <c r="AQ89" s="402">
        <f>IF(AND(39&gt;=$NR$89,39&lt;=$NS$89),IF($NP$89="Single_Point",IF(39=$NR$89,$NN$89,0),IF($NP$89="Bell_Curve",$NN$89*(39-$NR$89+1)*($NS$89-39+1)/$NU$89,$NN$89/$NT$89)),0)</f>
        <v/>
      </c>
      <c r="AR89" s="402">
        <f>IF(AND(40&gt;=$NR$89,40&lt;=$NS$89),IF($NP$89="Single_Point",IF(40=$NR$89,$NN$89,0),IF($NP$89="Bell_Curve",$NN$89*(40-$NR$89+1)*($NS$89-40+1)/$NU$89,$NN$89/$NT$89)),0)</f>
        <v/>
      </c>
      <c r="AS89" s="402">
        <f>IF(AND(41&gt;=$NR$89,41&lt;=$NS$89),IF($NP$89="Single_Point",IF(41=$NR$89,$NN$89,0),IF($NP$89="Bell_Curve",$NN$89*(41-$NR$89+1)*($NS$89-41+1)/$NU$89,$NN$89/$NT$89)),0)</f>
        <v/>
      </c>
      <c r="AT89" s="402">
        <f>IF(AND(42&gt;=$NR$89,42&lt;=$NS$89),IF($NP$89="Single_Point",IF(42=$NR$89,$NN$89,0),IF($NP$89="Bell_Curve",$NN$89*(42-$NR$89+1)*($NS$89-42+1)/$NU$89,$NN$89/$NT$89)),0)</f>
        <v/>
      </c>
      <c r="AU89" s="402">
        <f>IF(AND(43&gt;=$NR$89,43&lt;=$NS$89),IF($NP$89="Single_Point",IF(43=$NR$89,$NN$89,0),IF($NP$89="Bell_Curve",$NN$89*(43-$NR$89+1)*($NS$89-43+1)/$NU$89,$NN$89/$NT$89)),0)</f>
        <v/>
      </c>
      <c r="AV89" s="402">
        <f>IF(AND(44&gt;=$NR$89,44&lt;=$NS$89),IF($NP$89="Single_Point",IF(44=$NR$89,$NN$89,0),IF($NP$89="Bell_Curve",$NN$89*(44-$NR$89+1)*($NS$89-44+1)/$NU$89,$NN$89/$NT$89)),0)</f>
        <v/>
      </c>
      <c r="AW89" s="402">
        <f>IF(AND(45&gt;=$NR$89,45&lt;=$NS$89),IF($NP$89="Single_Point",IF(45=$NR$89,$NN$89,0),IF($NP$89="Bell_Curve",$NN$89*(45-$NR$89+1)*($NS$89-45+1)/$NU$89,$NN$89/$NT$89)),0)</f>
        <v/>
      </c>
      <c r="AX89" s="402">
        <f>IF(AND(46&gt;=$NR$89,46&lt;=$NS$89),IF($NP$89="Single_Point",IF(46=$NR$89,$NN$89,0),IF($NP$89="Bell_Curve",$NN$89*(46-$NR$89+1)*($NS$89-46+1)/$NU$89,$NN$89/$NT$89)),0)</f>
        <v/>
      </c>
      <c r="AY89" s="402">
        <f>IF(AND(47&gt;=$NR$89,47&lt;=$NS$89),IF($NP$89="Single_Point",IF(47=$NR$89,$NN$89,0),IF($NP$89="Bell_Curve",$NN$89*(47-$NR$89+1)*($NS$89-47+1)/$NU$89,$NN$89/$NT$89)),0)</f>
        <v/>
      </c>
      <c r="AZ89" s="402">
        <f>IF(AND(48&gt;=$NR$89,48&lt;=$NS$89),IF($NP$89="Single_Point",IF(48=$NR$89,$NN$89,0),IF($NP$89="Bell_Curve",$NN$89*(48-$NR$89+1)*($NS$89-48+1)/$NU$89,$NN$89/$NT$89)),0)</f>
        <v/>
      </c>
      <c r="BA89" s="402">
        <f>IF(AND(49&gt;=$NR$89,49&lt;=$NS$89),IF($NP$89="Single_Point",IF(49=$NR$89,$NN$89,0),IF($NP$89="Bell_Curve",$NN$89*(49-$NR$89+1)*($NS$89-49+1)/$NU$89,$NN$89/$NT$89)),0)</f>
        <v/>
      </c>
      <c r="BB89" s="402">
        <f>IF(AND(50&gt;=$NR$89,50&lt;=$NS$89),IF($NP$89="Single_Point",IF(50=$NR$89,$NN$89,0),IF($NP$89="Bell_Curve",$NN$89*(50-$NR$89+1)*($NS$89-50+1)/$NU$89,$NN$89/$NT$89)),0)</f>
        <v/>
      </c>
      <c r="BC89" s="402">
        <f>IF(AND(51&gt;=$NR$89,51&lt;=$NS$89),IF($NP$89="Single_Point",IF(51=$NR$89,$NN$89,0),IF($NP$89="Bell_Curve",$NN$89*(51-$NR$89+1)*($NS$89-51+1)/$NU$89,$NN$89/$NT$89)),0)</f>
        <v/>
      </c>
      <c r="BD89" s="402">
        <f>IF(AND(52&gt;=$NR$89,52&lt;=$NS$89),IF($NP$89="Single_Point",IF(52=$NR$89,$NN$89,0),IF($NP$89="Bell_Curve",$NN$89*(52-$NR$89+1)*($NS$89-52+1)/$NU$89,$NN$89/$NT$89)),0)</f>
        <v/>
      </c>
      <c r="BE89" s="402">
        <f>IF(AND(53&gt;=$NR$89,53&lt;=$NS$89),IF($NP$89="Single_Point",IF(53=$NR$89,$NN$89,0),IF($NP$89="Bell_Curve",$NN$89*(53-$NR$89+1)*($NS$89-53+1)/$NU$89,$NN$89/$NT$89)),0)</f>
        <v/>
      </c>
      <c r="BF89" s="402">
        <f>IF(AND(54&gt;=$NR$89,54&lt;=$NS$89),IF($NP$89="Single_Point",IF(54=$NR$89,$NN$89,0),IF($NP$89="Bell_Curve",$NN$89*(54-$NR$89+1)*($NS$89-54+1)/$NU$89,$NN$89/$NT$89)),0)</f>
        <v/>
      </c>
      <c r="BG89" s="402">
        <f>IF(AND(55&gt;=$NR$89,55&lt;=$NS$89),IF($NP$89="Single_Point",IF(55=$NR$89,$NN$89,0),IF($NP$89="Bell_Curve",$NN$89*(55-$NR$89+1)*($NS$89-55+1)/$NU$89,$NN$89/$NT$89)),0)</f>
        <v/>
      </c>
      <c r="BH89" s="402">
        <f>IF(AND(56&gt;=$NR$89,56&lt;=$NS$89),IF($NP$89="Single_Point",IF(56=$NR$89,$NN$89,0),IF($NP$89="Bell_Curve",$NN$89*(56-$NR$89+1)*($NS$89-56+1)/$NU$89,$NN$89/$NT$89)),0)</f>
        <v/>
      </c>
      <c r="BI89" s="402">
        <f>IF(AND(57&gt;=$NR$89,57&lt;=$NS$89),IF($NP$89="Single_Point",IF(57=$NR$89,$NN$89,0),IF($NP$89="Bell_Curve",$NN$89*(57-$NR$89+1)*($NS$89-57+1)/$NU$89,$NN$89/$NT$89)),0)</f>
        <v/>
      </c>
      <c r="BJ89" s="402">
        <f>IF(AND(58&gt;=$NR$89,58&lt;=$NS$89),IF($NP$89="Single_Point",IF(58=$NR$89,$NN$89,0),IF($NP$89="Bell_Curve",$NN$89*(58-$NR$89+1)*($NS$89-58+1)/$NU$89,$NN$89/$NT$89)),0)</f>
        <v/>
      </c>
      <c r="BK89" s="402">
        <f>IF(AND(59&gt;=$NR$89,59&lt;=$NS$89),IF($NP$89="Single_Point",IF(59=$NR$89,$NN$89,0),IF($NP$89="Bell_Curve",$NN$89*(59-$NR$89+1)*($NS$89-59+1)/$NU$89,$NN$89/$NT$89)),0)</f>
        <v/>
      </c>
      <c r="BL89" s="402">
        <f>IF(AND(60&gt;=$NR$89,60&lt;=$NS$89),IF($NP$89="Single_Point",IF(60=$NR$89,$NN$89,0),IF($NP$89="Bell_Curve",$NN$89*(60-$NR$89+1)*($NS$89-60+1)/$NU$89,$NN$89/$NT$89)),0)</f>
        <v/>
      </c>
      <c r="BM89" s="402">
        <f>IF(AND(61&gt;=$NR$89,61&lt;=$NS$89),IF($NP$89="Single_Point",IF(61=$NR$89,$NN$89,0),IF($NP$89="Bell_Curve",$NN$89*(61-$NR$89+1)*($NS$89-61+1)/$NU$89,$NN$89/$NT$89)),0)</f>
        <v/>
      </c>
      <c r="BN89" s="402">
        <f>IF(AND(62&gt;=$NR$89,62&lt;=$NS$89),IF($NP$89="Single_Point",IF(62=$NR$89,$NN$89,0),IF($NP$89="Bell_Curve",$NN$89*(62-$NR$89+1)*($NS$89-62+1)/$NU$89,$NN$89/$NT$89)),0)</f>
        <v/>
      </c>
      <c r="BO89" s="402">
        <f>IF(AND(63&gt;=$NR$89,63&lt;=$NS$89),IF($NP$89="Single_Point",IF(63=$NR$89,$NN$89,0),IF($NP$89="Bell_Curve",$NN$89*(63-$NR$89+1)*($NS$89-63+1)/$NU$89,$NN$89/$NT$89)),0)</f>
        <v/>
      </c>
      <c r="BP89" s="402">
        <f>IF(AND(64&gt;=$NR$89,64&lt;=$NS$89),IF($NP$89="Single_Point",IF(64=$NR$89,$NN$89,0),IF($NP$89="Bell_Curve",$NN$89*(64-$NR$89+1)*($NS$89-64+1)/$NU$89,$NN$89/$NT$89)),0)</f>
        <v/>
      </c>
      <c r="BQ89" s="402">
        <f>IF(AND(65&gt;=$NR$89,65&lt;=$NS$89),IF($NP$89="Single_Point",IF(65=$NR$89,$NN$89,0),IF($NP$89="Bell_Curve",$NN$89*(65-$NR$89+1)*($NS$89-65+1)/$NU$89,$NN$89/$NT$89)),0)</f>
        <v/>
      </c>
      <c r="BR89" s="402">
        <f>IF(AND(66&gt;=$NR$89,66&lt;=$NS$89),IF($NP$89="Single_Point",IF(66=$NR$89,$NN$89,0),IF($NP$89="Bell_Curve",$NN$89*(66-$NR$89+1)*($NS$89-66+1)/$NU$89,$NN$89/$NT$89)),0)</f>
        <v/>
      </c>
      <c r="BS89" s="402">
        <f>IF(AND(67&gt;=$NR$89,67&lt;=$NS$89),IF($NP$89="Single_Point",IF(67=$NR$89,$NN$89,0),IF($NP$89="Bell_Curve",$NN$89*(67-$NR$89+1)*($NS$89-67+1)/$NU$89,$NN$89/$NT$89)),0)</f>
        <v/>
      </c>
      <c r="BT89" s="402">
        <f>IF(AND(68&gt;=$NR$89,68&lt;=$NS$89),IF($NP$89="Single_Point",IF(68=$NR$89,$NN$89,0),IF($NP$89="Bell_Curve",$NN$89*(68-$NR$89+1)*($NS$89-68+1)/$NU$89,$NN$89/$NT$89)),0)</f>
        <v/>
      </c>
      <c r="BU89" s="402">
        <f>IF(AND(69&gt;=$NR$89,69&lt;=$NS$89),IF($NP$89="Single_Point",IF(69=$NR$89,$NN$89,0),IF($NP$89="Bell_Curve",$NN$89*(69-$NR$89+1)*($NS$89-69+1)/$NU$89,$NN$89/$NT$89)),0)</f>
        <v/>
      </c>
      <c r="BV89" s="402">
        <f>IF(AND(70&gt;=$NR$89,70&lt;=$NS$89),IF($NP$89="Single_Point",IF(70=$NR$89,$NN$89,0),IF($NP$89="Bell_Curve",$NN$89*(70-$NR$89+1)*($NS$89-70+1)/$NU$89,$NN$89/$NT$89)),0)</f>
        <v/>
      </c>
      <c r="BW89" s="402">
        <f>IF(AND(71&gt;=$NR$89,71&lt;=$NS$89),IF($NP$89="Single_Point",IF(71=$NR$89,$NN$89,0),IF($NP$89="Bell_Curve",$NN$89*(71-$NR$89+1)*($NS$89-71+1)/$NU$89,$NN$89/$NT$89)),0)</f>
        <v/>
      </c>
      <c r="BX89" s="402">
        <f>IF(AND(72&gt;=$NR$89,72&lt;=$NS$89),IF($NP$89="Single_Point",IF(72=$NR$89,$NN$89,0),IF($NP$89="Bell_Curve",$NN$89*(72-$NR$89+1)*($NS$89-72+1)/$NU$89,$NN$89/$NT$89)),0)</f>
        <v/>
      </c>
      <c r="BY89" s="402">
        <f>IF(AND(73&gt;=$NR$89,73&lt;=$NS$89),IF($NP$89="Single_Point",IF(73=$NR$89,$NN$89,0),IF($NP$89="Bell_Curve",$NN$89*(73-$NR$89+1)*($NS$89-73+1)/$NU$89,$NN$89/$NT$89)),0)</f>
        <v/>
      </c>
      <c r="BZ89" s="402">
        <f>IF(AND(74&gt;=$NR$89,74&lt;=$NS$89),IF($NP$89="Single_Point",IF(74=$NR$89,$NN$89,0),IF($NP$89="Bell_Curve",$NN$89*(74-$NR$89+1)*($NS$89-74+1)/$NU$89,$NN$89/$NT$89)),0)</f>
        <v/>
      </c>
      <c r="CA89" s="402">
        <f>IF(AND(75&gt;=$NR$89,75&lt;=$NS$89),IF($NP$89="Single_Point",IF(75=$NR$89,$NN$89,0),IF($NP$89="Bell_Curve",$NN$89*(75-$NR$89+1)*($NS$89-75+1)/$NU$89,$NN$89/$NT$89)),0)</f>
        <v/>
      </c>
      <c r="CB89" s="402">
        <f>IF(AND(76&gt;=$NR$89,76&lt;=$NS$89),IF($NP$89="Single_Point",IF(76=$NR$89,$NN$89,0),IF($NP$89="Bell_Curve",$NN$89*(76-$NR$89+1)*($NS$89-76+1)/$NU$89,$NN$89/$NT$89)),0)</f>
        <v/>
      </c>
      <c r="CC89" s="402">
        <f>IF(AND(77&gt;=$NR$89,77&lt;=$NS$89),IF($NP$89="Single_Point",IF(77=$NR$89,$NN$89,0),IF($NP$89="Bell_Curve",$NN$89*(77-$NR$89+1)*($NS$89-77+1)/$NU$89,$NN$89/$NT$89)),0)</f>
        <v/>
      </c>
      <c r="CD89" s="402">
        <f>IF(AND(78&gt;=$NR$89,78&lt;=$NS$89),IF($NP$89="Single_Point",IF(78=$NR$89,$NN$89,0),IF($NP$89="Bell_Curve",$NN$89*(78-$NR$89+1)*($NS$89-78+1)/$NU$89,$NN$89/$NT$89)),0)</f>
        <v/>
      </c>
      <c r="CE89" s="402">
        <f>IF(AND(79&gt;=$NR$89,79&lt;=$NS$89),IF($NP$89="Single_Point",IF(79=$NR$89,$NN$89,0),IF($NP$89="Bell_Curve",$NN$89*(79-$NR$89+1)*($NS$89-79+1)/$NU$89,$NN$89/$NT$89)),0)</f>
        <v/>
      </c>
      <c r="CF89" s="402">
        <f>IF(AND(80&gt;=$NR$89,80&lt;=$NS$89),IF($NP$89="Single_Point",IF(80=$NR$89,$NN$89,0),IF($NP$89="Bell_Curve",$NN$89*(80-$NR$89+1)*($NS$89-80+1)/$NU$89,$NN$89/$NT$89)),0)</f>
        <v/>
      </c>
      <c r="CG89" s="402">
        <f>IF(AND(81&gt;=$NR$89,81&lt;=$NS$89),IF($NP$89="Single_Point",IF(81=$NR$89,$NN$89,0),IF($NP$89="Bell_Curve",$NN$89*(81-$NR$89+1)*($NS$89-81+1)/$NU$89,$NN$89/$NT$89)),0)</f>
        <v/>
      </c>
      <c r="CH89" s="402">
        <f>IF(AND(82&gt;=$NR$89,82&lt;=$NS$89),IF($NP$89="Single_Point",IF(82=$NR$89,$NN$89,0),IF($NP$89="Bell_Curve",$NN$89*(82-$NR$89+1)*($NS$89-82+1)/$NU$89,$NN$89/$NT$89)),0)</f>
        <v/>
      </c>
      <c r="CI89" s="402">
        <f>IF(AND(83&gt;=$NR$89,83&lt;=$NS$89),IF($NP$89="Single_Point",IF(83=$NR$89,$NN$89,0),IF($NP$89="Bell_Curve",$NN$89*(83-$NR$89+1)*($NS$89-83+1)/$NU$89,$NN$89/$NT$89)),0)</f>
        <v/>
      </c>
      <c r="CJ89" s="402">
        <f>IF(AND(84&gt;=$NR$89,84&lt;=$NS$89),IF($NP$89="Single_Point",IF(84=$NR$89,$NN$89,0),IF($NP$89="Bell_Curve",$NN$89*(84-$NR$89+1)*($NS$89-84+1)/$NU$89,$NN$89/$NT$89)),0)</f>
        <v/>
      </c>
      <c r="CK89" s="402">
        <f>IF(AND(85&gt;=$NR$89,85&lt;=$NS$89),IF($NP$89="Single_Point",IF(85=$NR$89,$NN$89,0),IF($NP$89="Bell_Curve",$NN$89*(85-$NR$89+1)*($NS$89-85+1)/$NU$89,$NN$89/$NT$89)),0)</f>
        <v/>
      </c>
      <c r="CL89" s="402">
        <f>IF(AND(86&gt;=$NR$89,86&lt;=$NS$89),IF($NP$89="Single_Point",IF(86=$NR$89,$NN$89,0),IF($NP$89="Bell_Curve",$NN$89*(86-$NR$89+1)*($NS$89-86+1)/$NU$89,$NN$89/$NT$89)),0)</f>
        <v/>
      </c>
      <c r="CM89" s="402">
        <f>IF(AND(87&gt;=$NR$89,87&lt;=$NS$89),IF($NP$89="Single_Point",IF(87=$NR$89,$NN$89,0),IF($NP$89="Bell_Curve",$NN$89*(87-$NR$89+1)*($NS$89-87+1)/$NU$89,$NN$89/$NT$89)),0)</f>
        <v/>
      </c>
      <c r="CN89" s="402">
        <f>IF(AND(88&gt;=$NR$89,88&lt;=$NS$89),IF($NP$89="Single_Point",IF(88=$NR$89,$NN$89,0),IF($NP$89="Bell_Curve",$NN$89*(88-$NR$89+1)*($NS$89-88+1)/$NU$89,$NN$89/$NT$89)),0)</f>
        <v/>
      </c>
      <c r="CO89" s="402">
        <f>IF(AND(89&gt;=$NR$89,89&lt;=$NS$89),IF($NP$89="Single_Point",IF(89=$NR$89,$NN$89,0),IF($NP$89="Bell_Curve",$NN$89*(89-$NR$89+1)*($NS$89-89+1)/$NU$89,$NN$89/$NT$89)),0)</f>
        <v/>
      </c>
      <c r="CP89" s="402">
        <f>IF(AND(90&gt;=$NR$89,90&lt;=$NS$89),IF($NP$89="Single_Point",IF(90=$NR$89,$NN$89,0),IF($NP$89="Bell_Curve",$NN$89*(90-$NR$89+1)*($NS$89-90+1)/$NU$89,$NN$89/$NT$89)),0)</f>
        <v/>
      </c>
      <c r="CQ89" s="402">
        <f>IF(AND(91&gt;=$NR$89,91&lt;=$NS$89),IF($NP$89="Single_Point",IF(91=$NR$89,$NN$89,0),IF($NP$89="Bell_Curve",$NN$89*(91-$NR$89+1)*($NS$89-91+1)/$NU$89,$NN$89/$NT$89)),0)</f>
        <v/>
      </c>
      <c r="CR89" s="402">
        <f>IF(AND(92&gt;=$NR$89,92&lt;=$NS$89),IF($NP$89="Single_Point",IF(92=$NR$89,$NN$89,0),IF($NP$89="Bell_Curve",$NN$89*(92-$NR$89+1)*($NS$89-92+1)/$NU$89,$NN$89/$NT$89)),0)</f>
        <v/>
      </c>
      <c r="CS89" s="402">
        <f>IF(AND(93&gt;=$NR$89,93&lt;=$NS$89),IF($NP$89="Single_Point",IF(93=$NR$89,$NN$89,0),IF($NP$89="Bell_Curve",$NN$89*(93-$NR$89+1)*($NS$89-93+1)/$NU$89,$NN$89/$NT$89)),0)</f>
        <v/>
      </c>
      <c r="CT89" s="402">
        <f>IF(AND(94&gt;=$NR$89,94&lt;=$NS$89),IF($NP$89="Single_Point",IF(94=$NR$89,$NN$89,0),IF($NP$89="Bell_Curve",$NN$89*(94-$NR$89+1)*($NS$89-94+1)/$NU$89,$NN$89/$NT$89)),0)</f>
        <v/>
      </c>
      <c r="CU89" s="402">
        <f>IF(AND(95&gt;=$NR$89,95&lt;=$NS$89),IF($NP$89="Single_Point",IF(95=$NR$89,$NN$89,0),IF($NP$89="Bell_Curve",$NN$89*(95-$NR$89+1)*($NS$89-95+1)/$NU$89,$NN$89/$NT$89)),0)</f>
        <v/>
      </c>
      <c r="CV89" s="402">
        <f>IF(AND(96&gt;=$NR$89,96&lt;=$NS$89),IF($NP$89="Single_Point",IF(96=$NR$89,$NN$89,0),IF($NP$89="Bell_Curve",$NN$89*(96-$NR$89+1)*($NS$89-96+1)/$NU$89,$NN$89/$NT$89)),0)</f>
        <v/>
      </c>
      <c r="CW89" s="402">
        <f>IF(AND(97&gt;=$NR$89,97&lt;=$NS$89),IF($NP$89="Single_Point",IF(97=$NR$89,$NN$89,0),IF($NP$89="Bell_Curve",$NN$89*(97-$NR$89+1)*($NS$89-97+1)/$NU$89,$NN$89/$NT$89)),0)</f>
        <v/>
      </c>
      <c r="CX89" s="402">
        <f>IF(AND(98&gt;=$NR$89,98&lt;=$NS$89),IF($NP$89="Single_Point",IF(98=$NR$89,$NN$89,0),IF($NP$89="Bell_Curve",$NN$89*(98-$NR$89+1)*($NS$89-98+1)/$NU$89,$NN$89/$NT$89)),0)</f>
        <v/>
      </c>
      <c r="CY89" s="402">
        <f>IF(AND(99&gt;=$NR$89,99&lt;=$NS$89),IF($NP$89="Single_Point",IF(99=$NR$89,$NN$89,0),IF($NP$89="Bell_Curve",$NN$89*(99-$NR$89+1)*($NS$89-99+1)/$NU$89,$NN$89/$NT$89)),0)</f>
        <v/>
      </c>
      <c r="CZ89" s="402">
        <f>IF(AND(100&gt;=$NR$89,100&lt;=$NS$89),IF($NP$89="Single_Point",IF(100=$NR$89,$NN$89,0),IF($NP$89="Bell_Curve",$NN$89*(100-$NR$89+1)*($NS$89-100+1)/$NU$89,$NN$89/$NT$89)),0)</f>
        <v/>
      </c>
      <c r="DA89" s="402">
        <f>IF(AND(101&gt;=$NR$89,101&lt;=$NS$89),IF($NP$89="Single_Point",IF(101=$NR$89,$NN$89,0),IF($NP$89="Bell_Curve",$NN$89*(101-$NR$89+1)*($NS$89-101+1)/$NU$89,$NN$89/$NT$89)),0)</f>
        <v/>
      </c>
      <c r="DB89" s="402">
        <f>IF(AND(102&gt;=$NR$89,102&lt;=$NS$89),IF($NP$89="Single_Point",IF(102=$NR$89,$NN$89,0),IF($NP$89="Bell_Curve",$NN$89*(102-$NR$89+1)*($NS$89-102+1)/$NU$89,$NN$89/$NT$89)),0)</f>
        <v/>
      </c>
      <c r="DC89" s="402">
        <f>IF(AND(103&gt;=$NR$89,103&lt;=$NS$89),IF($NP$89="Single_Point",IF(103=$NR$89,$NN$89,0),IF($NP$89="Bell_Curve",$NN$89*(103-$NR$89+1)*($NS$89-103+1)/$NU$89,$NN$89/$NT$89)),0)</f>
        <v/>
      </c>
      <c r="DD89" s="402">
        <f>IF(AND(104&gt;=$NR$89,104&lt;=$NS$89),IF($NP$89="Single_Point",IF(104=$NR$89,$NN$89,0),IF($NP$89="Bell_Curve",$NN$89*(104-$NR$89+1)*($NS$89-104+1)/$NU$89,$NN$89/$NT$89)),0)</f>
        <v/>
      </c>
      <c r="DE89" s="402">
        <f>IF(AND(105&gt;=$NR$89,105&lt;=$NS$89),IF($NP$89="Single_Point",IF(105=$NR$89,$NN$89,0),IF($NP$89="Bell_Curve",$NN$89*(105-$NR$89+1)*($NS$89-105+1)/$NU$89,$NN$89/$NT$89)),0)</f>
        <v/>
      </c>
      <c r="DF89" s="402">
        <f>IF(AND(106&gt;=$NR$89,106&lt;=$NS$89),IF($NP$89="Single_Point",IF(106=$NR$89,$NN$89,0),IF($NP$89="Bell_Curve",$NN$89*(106-$NR$89+1)*($NS$89-106+1)/$NU$89,$NN$89/$NT$89)),0)</f>
        <v/>
      </c>
      <c r="DG89" s="402">
        <f>IF(AND(107&gt;=$NR$89,107&lt;=$NS$89),IF($NP$89="Single_Point",IF(107=$NR$89,$NN$89,0),IF($NP$89="Bell_Curve",$NN$89*(107-$NR$89+1)*($NS$89-107+1)/$NU$89,$NN$89/$NT$89)),0)</f>
        <v/>
      </c>
      <c r="DH89" s="402">
        <f>IF(AND(108&gt;=$NR$89,108&lt;=$NS$89),IF($NP$89="Single_Point",IF(108=$NR$89,$NN$89,0),IF($NP$89="Bell_Curve",$NN$89*(108-$NR$89+1)*($NS$89-108+1)/$NU$89,$NN$89/$NT$89)),0)</f>
        <v/>
      </c>
      <c r="DI89" s="402">
        <f>IF(AND(109&gt;=$NR$89,109&lt;=$NS$89),IF($NP$89="Single_Point",IF(109=$NR$89,$NN$89,0),IF($NP$89="Bell_Curve",$NN$89*(109-$NR$89+1)*($NS$89-109+1)/$NU$89,$NN$89/$NT$89)),0)</f>
        <v/>
      </c>
      <c r="DJ89" s="402">
        <f>IF(AND(110&gt;=$NR$89,110&lt;=$NS$89),IF($NP$89="Single_Point",IF(110=$NR$89,$NN$89,0),IF($NP$89="Bell_Curve",$NN$89*(110-$NR$89+1)*($NS$89-110+1)/$NU$89,$NN$89/$NT$89)),0)</f>
        <v/>
      </c>
      <c r="DK89" s="402">
        <f>IF(AND(111&gt;=$NR$89,111&lt;=$NS$89),IF($NP$89="Single_Point",IF(111=$NR$89,$NN$89,0),IF($NP$89="Bell_Curve",$NN$89*(111-$NR$89+1)*($NS$89-111+1)/$NU$89,$NN$89/$NT$89)),0)</f>
        <v/>
      </c>
      <c r="DL89" s="402">
        <f>IF(AND(112&gt;=$NR$89,112&lt;=$NS$89),IF($NP$89="Single_Point",IF(112=$NR$89,$NN$89,0),IF($NP$89="Bell_Curve",$NN$89*(112-$NR$89+1)*($NS$89-112+1)/$NU$89,$NN$89/$NT$89)),0)</f>
        <v/>
      </c>
      <c r="DM89" s="402">
        <f>IF(AND(113&gt;=$NR$89,113&lt;=$NS$89),IF($NP$89="Single_Point",IF(113=$NR$89,$NN$89,0),IF($NP$89="Bell_Curve",$NN$89*(113-$NR$89+1)*($NS$89-113+1)/$NU$89,$NN$89/$NT$89)),0)</f>
        <v/>
      </c>
      <c r="DN89" s="402">
        <f>IF(AND(114&gt;=$NR$89,114&lt;=$NS$89),IF($NP$89="Single_Point",IF(114=$NR$89,$NN$89,0),IF($NP$89="Bell_Curve",$NN$89*(114-$NR$89+1)*($NS$89-114+1)/$NU$89,$NN$89/$NT$89)),0)</f>
        <v/>
      </c>
      <c r="DO89" s="402">
        <f>IF(AND(115&gt;=$NR$89,115&lt;=$NS$89),IF($NP$89="Single_Point",IF(115=$NR$89,$NN$89,0),IF($NP$89="Bell_Curve",$NN$89*(115-$NR$89+1)*($NS$89-115+1)/$NU$89,$NN$89/$NT$89)),0)</f>
        <v/>
      </c>
      <c r="DP89" s="402">
        <f>IF(AND(116&gt;=$NR$89,116&lt;=$NS$89),IF($NP$89="Single_Point",IF(116=$NR$89,$NN$89,0),IF($NP$89="Bell_Curve",$NN$89*(116-$NR$89+1)*($NS$89-116+1)/$NU$89,$NN$89/$NT$89)),0)</f>
        <v/>
      </c>
      <c r="DQ89" s="402">
        <f>IF(AND(117&gt;=$NR$89,117&lt;=$NS$89),IF($NP$89="Single_Point",IF(117=$NR$89,$NN$89,0),IF($NP$89="Bell_Curve",$NN$89*(117-$NR$89+1)*($NS$89-117+1)/$NU$89,$NN$89/$NT$89)),0)</f>
        <v/>
      </c>
      <c r="DR89" s="402">
        <f>IF(AND(118&gt;=$NR$89,118&lt;=$NS$89),IF($NP$89="Single_Point",IF(118=$NR$89,$NN$89,0),IF($NP$89="Bell_Curve",$NN$89*(118-$NR$89+1)*($NS$89-118+1)/$NU$89,$NN$89/$NT$89)),0)</f>
        <v/>
      </c>
      <c r="DS89" s="402">
        <f>IF(AND(119&gt;=$NR$89,119&lt;=$NS$89),IF($NP$89="Single_Point",IF(119=$NR$89,$NN$89,0),IF($NP$89="Bell_Curve",$NN$89*(119-$NR$89+1)*($NS$89-119+1)/$NU$89,$NN$89/$NT$89)),0)</f>
        <v/>
      </c>
      <c r="DT89" s="402">
        <f>IF(AND(120&gt;=$NR$89,120&lt;=$NS$89),IF($NP$89="Single_Point",IF(120=$NR$89,$NN$89,0),IF($NP$89="Bell_Curve",$NN$89*(120-$NR$89+1)*($NS$89-120+1)/$NU$89,$NN$89/$NT$89)),0)</f>
        <v/>
      </c>
      <c r="DU89" s="402">
        <f>IF(AND(121&gt;=$NR$89,121&lt;=$NS$89),IF($NP$89="Single_Point",IF(121=$NR$89,$NN$89,0),IF($NP$89="Bell_Curve",$NN$89*(121-$NR$89+1)*($NS$89-121+1)/$NU$89,$NN$89/$NT$89)),0)</f>
        <v/>
      </c>
      <c r="DV89" s="402">
        <f>IF(AND(122&gt;=$NR$89,122&lt;=$NS$89),IF($NP$89="Single_Point",IF(122=$NR$89,$NN$89,0),IF($NP$89="Bell_Curve",$NN$89*(122-$NR$89+1)*($NS$89-122+1)/$NU$89,$NN$89/$NT$89)),0)</f>
        <v/>
      </c>
      <c r="DW89" s="402">
        <f>IF(AND(123&gt;=$NR$89,123&lt;=$NS$89),IF($NP$89="Single_Point",IF(123=$NR$89,$NN$89,0),IF($NP$89="Bell_Curve",$NN$89*(123-$NR$89+1)*($NS$89-123+1)/$NU$89,$NN$89/$NT$89)),0)</f>
        <v/>
      </c>
      <c r="DX89" s="402">
        <f>IF(AND(124&gt;=$NR$89,124&lt;=$NS$89),IF($NP$89="Single_Point",IF(124=$NR$89,$NN$89,0),IF($NP$89="Bell_Curve",$NN$89*(124-$NR$89+1)*($NS$89-124+1)/$NU$89,$NN$89/$NT$89)),0)</f>
        <v/>
      </c>
      <c r="DY89" s="402">
        <f>IF(AND(125&gt;=$NR$89,125&lt;=$NS$89),IF($NP$89="Single_Point",IF(125=$NR$89,$NN$89,0),IF($NP$89="Bell_Curve",$NN$89*(125-$NR$89+1)*($NS$89-125+1)/$NU$89,$NN$89/$NT$89)),0)</f>
        <v/>
      </c>
      <c r="DZ89" s="402">
        <f>IF(AND(126&gt;=$NR$89,126&lt;=$NS$89),IF($NP$89="Single_Point",IF(126=$NR$89,$NN$89,0),IF($NP$89="Bell_Curve",$NN$89*(126-$NR$89+1)*($NS$89-126+1)/$NU$89,$NN$89/$NT$89)),0)</f>
        <v/>
      </c>
      <c r="EA89" s="402">
        <f>IF(AND(127&gt;=$NR$89,127&lt;=$NS$89),IF($NP$89="Single_Point",IF(127=$NR$89,$NN$89,0),IF($NP$89="Bell_Curve",$NN$89*(127-$NR$89+1)*($NS$89-127+1)/$NU$89,$NN$89/$NT$89)),0)</f>
        <v/>
      </c>
      <c r="EB89" s="402">
        <f>IF(AND(128&gt;=$NR$89,128&lt;=$NS$89),IF($NP$89="Single_Point",IF(128=$NR$89,$NN$89,0),IF($NP$89="Bell_Curve",$NN$89*(128-$NR$89+1)*($NS$89-128+1)/$NU$89,$NN$89/$NT$89)),0)</f>
        <v/>
      </c>
      <c r="EC89" s="402">
        <f>IF(AND(129&gt;=$NR$89,129&lt;=$NS$89),IF($NP$89="Single_Point",IF(129=$NR$89,$NN$89,0),IF($NP$89="Bell_Curve",$NN$89*(129-$NR$89+1)*($NS$89-129+1)/$NU$89,$NN$89/$NT$89)),0)</f>
        <v/>
      </c>
      <c r="ED89" s="402">
        <f>IF(AND(130&gt;=$NR$89,130&lt;=$NS$89),IF($NP$89="Single_Point",IF(130=$NR$89,$NN$89,0),IF($NP$89="Bell_Curve",$NN$89*(130-$NR$89+1)*($NS$89-130+1)/$NU$89,$NN$89/$NT$89)),0)</f>
        <v/>
      </c>
      <c r="EE89" s="402">
        <f>IF(AND(131&gt;=$NR$89,131&lt;=$NS$89),IF($NP$89="Single_Point",IF(131=$NR$89,$NN$89,0),IF($NP$89="Bell_Curve",$NN$89*(131-$NR$89+1)*($NS$89-131+1)/$NU$89,$NN$89/$NT$89)),0)</f>
        <v/>
      </c>
      <c r="EF89" s="402">
        <f>IF(AND(132&gt;=$NR$89,132&lt;=$NS$89),IF($NP$89="Single_Point",IF(132=$NR$89,$NN$89,0),IF($NP$89="Bell_Curve",$NN$89*(132-$NR$89+1)*($NS$89-132+1)/$NU$89,$NN$89/$NT$89)),0)</f>
        <v/>
      </c>
      <c r="EG89" s="402">
        <f>IF(AND(133&gt;=$NR$89,133&lt;=$NS$89),IF($NP$89="Single_Point",IF(133=$NR$89,$NN$89,0),IF($NP$89="Bell_Curve",$NN$89*(133-$NR$89+1)*($NS$89-133+1)/$NU$89,$NN$89/$NT$89)),0)</f>
        <v/>
      </c>
      <c r="EH89" s="402">
        <f>IF(AND(134&gt;=$NR$89,134&lt;=$NS$89),IF($NP$89="Single_Point",IF(134=$NR$89,$NN$89,0),IF($NP$89="Bell_Curve",$NN$89*(134-$NR$89+1)*($NS$89-134+1)/$NU$89,$NN$89/$NT$89)),0)</f>
        <v/>
      </c>
      <c r="EI89" s="402">
        <f>IF(AND(135&gt;=$NR$89,135&lt;=$NS$89),IF($NP$89="Single_Point",IF(135=$NR$89,$NN$89,0),IF($NP$89="Bell_Curve",$NN$89*(135-$NR$89+1)*($NS$89-135+1)/$NU$89,$NN$89/$NT$89)),0)</f>
        <v/>
      </c>
      <c r="EJ89" s="402">
        <f>IF(AND(136&gt;=$NR$89,136&lt;=$NS$89),IF($NP$89="Single_Point",IF(136=$NR$89,$NN$89,0),IF($NP$89="Bell_Curve",$NN$89*(136-$NR$89+1)*($NS$89-136+1)/$NU$89,$NN$89/$NT$89)),0)</f>
        <v/>
      </c>
      <c r="EK89" s="402">
        <f>IF(AND(137&gt;=$NR$89,137&lt;=$NS$89),IF($NP$89="Single_Point",IF(137=$NR$89,$NN$89,0),IF($NP$89="Bell_Curve",$NN$89*(137-$NR$89+1)*($NS$89-137+1)/$NU$89,$NN$89/$NT$89)),0)</f>
        <v/>
      </c>
      <c r="EL89" s="402">
        <f>IF(AND(138&gt;=$NR$89,138&lt;=$NS$89),IF($NP$89="Single_Point",IF(138=$NR$89,$NN$89,0),IF($NP$89="Bell_Curve",$NN$89*(138-$NR$89+1)*($NS$89-138+1)/$NU$89,$NN$89/$NT$89)),0)</f>
        <v/>
      </c>
      <c r="EM89" s="402">
        <f>IF(AND(139&gt;=$NR$89,139&lt;=$NS$89),IF($NP$89="Single_Point",IF(139=$NR$89,$NN$89,0),IF($NP$89="Bell_Curve",$NN$89*(139-$NR$89+1)*($NS$89-139+1)/$NU$89,$NN$89/$NT$89)),0)</f>
        <v/>
      </c>
      <c r="EN89" s="402">
        <f>IF(AND(140&gt;=$NR$89,140&lt;=$NS$89),IF($NP$89="Single_Point",IF(140=$NR$89,$NN$89,0),IF($NP$89="Bell_Curve",$NN$89*(140-$NR$89+1)*($NS$89-140+1)/$NU$89,$NN$89/$NT$89)),0)</f>
        <v/>
      </c>
      <c r="EO89" s="402">
        <f>IF(AND(141&gt;=$NR$89,141&lt;=$NS$89),IF($NP$89="Single_Point",IF(141=$NR$89,$NN$89,0),IF($NP$89="Bell_Curve",$NN$89*(141-$NR$89+1)*($NS$89-141+1)/$NU$89,$NN$89/$NT$89)),0)</f>
        <v/>
      </c>
      <c r="EP89" s="402">
        <f>IF(AND(142&gt;=$NR$89,142&lt;=$NS$89),IF($NP$89="Single_Point",IF(142=$NR$89,$NN$89,0),IF($NP$89="Bell_Curve",$NN$89*(142-$NR$89+1)*($NS$89-142+1)/$NU$89,$NN$89/$NT$89)),0)</f>
        <v/>
      </c>
      <c r="EQ89" s="402">
        <f>IF(AND(143&gt;=$NR$89,143&lt;=$NS$89),IF($NP$89="Single_Point",IF(143=$NR$89,$NN$89,0),IF($NP$89="Bell_Curve",$NN$89*(143-$NR$89+1)*($NS$89-143+1)/$NU$89,$NN$89/$NT$89)),0)</f>
        <v/>
      </c>
      <c r="ER89" s="402">
        <f>IF(AND(144&gt;=$NR$89,144&lt;=$NS$89),IF($NP$89="Single_Point",IF(144=$NR$89,$NN$89,0),IF($NP$89="Bell_Curve",$NN$89*(144-$NR$89+1)*($NS$89-144+1)/$NU$89,$NN$89/$NT$89)),0)</f>
        <v/>
      </c>
      <c r="ES89" s="402">
        <f>IF(AND(145&gt;=$NR$89,145&lt;=$NS$89),IF($NP$89="Single_Point",IF(145=$NR$89,$NN$89,0),IF($NP$89="Bell_Curve",$NN$89*(145-$NR$89+1)*($NS$89-145+1)/$NU$89,$NN$89/$NT$89)),0)</f>
        <v/>
      </c>
      <c r="ET89" s="402">
        <f>IF(AND(146&gt;=$NR$89,146&lt;=$NS$89),IF($NP$89="Single_Point",IF(146=$NR$89,$NN$89,0),IF($NP$89="Bell_Curve",$NN$89*(146-$NR$89+1)*($NS$89-146+1)/$NU$89,$NN$89/$NT$89)),0)</f>
        <v/>
      </c>
      <c r="EU89" s="402">
        <f>IF(AND(147&gt;=$NR$89,147&lt;=$NS$89),IF($NP$89="Single_Point",IF(147=$NR$89,$NN$89,0),IF($NP$89="Bell_Curve",$NN$89*(147-$NR$89+1)*($NS$89-147+1)/$NU$89,$NN$89/$NT$89)),0)</f>
        <v/>
      </c>
      <c r="EV89" s="402">
        <f>IF(AND(148&gt;=$NR$89,148&lt;=$NS$89),IF($NP$89="Single_Point",IF(148=$NR$89,$NN$89,0),IF($NP$89="Bell_Curve",$NN$89*(148-$NR$89+1)*($NS$89-148+1)/$NU$89,$NN$89/$NT$89)),0)</f>
        <v/>
      </c>
      <c r="EW89" s="402">
        <f>IF(AND(149&gt;=$NR$89,149&lt;=$NS$89),IF($NP$89="Single_Point",IF(149=$NR$89,$NN$89,0),IF($NP$89="Bell_Curve",$NN$89*(149-$NR$89+1)*($NS$89-149+1)/$NU$89,$NN$89/$NT$89)),0)</f>
        <v/>
      </c>
      <c r="EX89" s="402">
        <f>IF(AND(150&gt;=$NR$89,150&lt;=$NS$89),IF($NP$89="Single_Point",IF(150=$NR$89,$NN$89,0),IF($NP$89="Bell_Curve",$NN$89*(150-$NR$89+1)*($NS$89-150+1)/$NU$89,$NN$89/$NT$89)),0)</f>
        <v/>
      </c>
      <c r="EY89" s="402">
        <f>IF(AND(151&gt;=$NR$89,151&lt;=$NS$89),IF($NP$89="Single_Point",IF(151=$NR$89,$NN$89,0),IF($NP$89="Bell_Curve",$NN$89*(151-$NR$89+1)*($NS$89-151+1)/$NU$89,$NN$89/$NT$89)),0)</f>
        <v/>
      </c>
      <c r="EZ89" s="402">
        <f>IF(AND(152&gt;=$NR$89,152&lt;=$NS$89),IF($NP$89="Single_Point",IF(152=$NR$89,$NN$89,0),IF($NP$89="Bell_Curve",$NN$89*(152-$NR$89+1)*($NS$89-152+1)/$NU$89,$NN$89/$NT$89)),0)</f>
        <v/>
      </c>
      <c r="FA89" s="402">
        <f>IF(AND(153&gt;=$NR$89,153&lt;=$NS$89),IF($NP$89="Single_Point",IF(153=$NR$89,$NN$89,0),IF($NP$89="Bell_Curve",$NN$89*(153-$NR$89+1)*($NS$89-153+1)/$NU$89,$NN$89/$NT$89)),0)</f>
        <v/>
      </c>
      <c r="FB89" s="402">
        <f>IF(AND(154&gt;=$NR$89,154&lt;=$NS$89),IF($NP$89="Single_Point",IF(154=$NR$89,$NN$89,0),IF($NP$89="Bell_Curve",$NN$89*(154-$NR$89+1)*($NS$89-154+1)/$NU$89,$NN$89/$NT$89)),0)</f>
        <v/>
      </c>
      <c r="FC89" s="402">
        <f>IF(AND(155&gt;=$NR$89,155&lt;=$NS$89),IF($NP$89="Single_Point",IF(155=$NR$89,$NN$89,0),IF($NP$89="Bell_Curve",$NN$89*(155-$NR$89+1)*($NS$89-155+1)/$NU$89,$NN$89/$NT$89)),0)</f>
        <v/>
      </c>
      <c r="FD89" s="402">
        <f>IF(AND(156&gt;=$NR$89,156&lt;=$NS$89),IF($NP$89="Single_Point",IF(156=$NR$89,$NN$89,0),IF($NP$89="Bell_Curve",$NN$89*(156-$NR$89+1)*($NS$89-156+1)/$NU$89,$NN$89/$NT$89)),0)</f>
        <v/>
      </c>
      <c r="FE89" s="402">
        <f>IF(AND(157&gt;=$NR$89,157&lt;=$NS$89),IF($NP$89="Single_Point",IF(157=$NR$89,$NN$89,0),IF($NP$89="Bell_Curve",$NN$89*(157-$NR$89+1)*($NS$89-157+1)/$NU$89,$NN$89/$NT$89)),0)</f>
        <v/>
      </c>
      <c r="FF89" s="402">
        <f>IF(AND(158&gt;=$NR$89,158&lt;=$NS$89),IF($NP$89="Single_Point",IF(158=$NR$89,$NN$89,0),IF($NP$89="Bell_Curve",$NN$89*(158-$NR$89+1)*($NS$89-158+1)/$NU$89,$NN$89/$NT$89)),0)</f>
        <v/>
      </c>
      <c r="FG89" s="402">
        <f>IF(AND(159&gt;=$NR$89,159&lt;=$NS$89),IF($NP$89="Single_Point",IF(159=$NR$89,$NN$89,0),IF($NP$89="Bell_Curve",$NN$89*(159-$NR$89+1)*($NS$89-159+1)/$NU$89,$NN$89/$NT$89)),0)</f>
        <v/>
      </c>
      <c r="FH89" s="402">
        <f>IF(AND(160&gt;=$NR$89,160&lt;=$NS$89),IF($NP$89="Single_Point",IF(160=$NR$89,$NN$89,0),IF($NP$89="Bell_Curve",$NN$89*(160-$NR$89+1)*($NS$89-160+1)/$NU$89,$NN$89/$NT$89)),0)</f>
        <v/>
      </c>
      <c r="FI89" s="402">
        <f>IF(AND(161&gt;=$NR$89,161&lt;=$NS$89),IF($NP$89="Single_Point",IF(161=$NR$89,$NN$89,0),IF($NP$89="Bell_Curve",$NN$89*(161-$NR$89+1)*($NS$89-161+1)/$NU$89,$NN$89/$NT$89)),0)</f>
        <v/>
      </c>
      <c r="FJ89" s="402">
        <f>IF(AND(162&gt;=$NR$89,162&lt;=$NS$89),IF($NP$89="Single_Point",IF(162=$NR$89,$NN$89,0),IF($NP$89="Bell_Curve",$NN$89*(162-$NR$89+1)*($NS$89-162+1)/$NU$89,$NN$89/$NT$89)),0)</f>
        <v/>
      </c>
      <c r="FK89" s="402">
        <f>IF(AND(163&gt;=$NR$89,163&lt;=$NS$89),IF($NP$89="Single_Point",IF(163=$NR$89,$NN$89,0),IF($NP$89="Bell_Curve",$NN$89*(163-$NR$89+1)*($NS$89-163+1)/$NU$89,$NN$89/$NT$89)),0)</f>
        <v/>
      </c>
      <c r="FL89" s="402">
        <f>IF(AND(164&gt;=$NR$89,164&lt;=$NS$89),IF($NP$89="Single_Point",IF(164=$NR$89,$NN$89,0),IF($NP$89="Bell_Curve",$NN$89*(164-$NR$89+1)*($NS$89-164+1)/$NU$89,$NN$89/$NT$89)),0)</f>
        <v/>
      </c>
      <c r="FM89" s="402">
        <f>IF(AND(165&gt;=$NR$89,165&lt;=$NS$89),IF($NP$89="Single_Point",IF(165=$NR$89,$NN$89,0),IF($NP$89="Bell_Curve",$NN$89*(165-$NR$89+1)*($NS$89-165+1)/$NU$89,$NN$89/$NT$89)),0)</f>
        <v/>
      </c>
      <c r="FN89" s="402">
        <f>IF(AND(166&gt;=$NR$89,166&lt;=$NS$89),IF($NP$89="Single_Point",IF(166=$NR$89,$NN$89,0),IF($NP$89="Bell_Curve",$NN$89*(166-$NR$89+1)*($NS$89-166+1)/$NU$89,$NN$89/$NT$89)),0)</f>
        <v/>
      </c>
      <c r="FO89" s="402">
        <f>IF(AND(167&gt;=$NR$89,167&lt;=$NS$89),IF($NP$89="Single_Point",IF(167=$NR$89,$NN$89,0),IF($NP$89="Bell_Curve",$NN$89*(167-$NR$89+1)*($NS$89-167+1)/$NU$89,$NN$89/$NT$89)),0)</f>
        <v/>
      </c>
      <c r="FP89" s="402">
        <f>IF(AND(168&gt;=$NR$89,168&lt;=$NS$89),IF($NP$89="Single_Point",IF(168=$NR$89,$NN$89,0),IF($NP$89="Bell_Curve",$NN$89*(168-$NR$89+1)*($NS$89-168+1)/$NU$89,$NN$89/$NT$89)),0)</f>
        <v/>
      </c>
      <c r="FQ89" s="402">
        <f>IF(AND(169&gt;=$NR$89,169&lt;=$NS$89),IF($NP$89="Single_Point",IF(169=$NR$89,$NN$89,0),IF($NP$89="Bell_Curve",$NN$89*(169-$NR$89+1)*($NS$89-169+1)/$NU$89,$NN$89/$NT$89)),0)</f>
        <v/>
      </c>
      <c r="FR89" s="402">
        <f>IF(AND(170&gt;=$NR$89,170&lt;=$NS$89),IF($NP$89="Single_Point",IF(170=$NR$89,$NN$89,0),IF($NP$89="Bell_Curve",$NN$89*(170-$NR$89+1)*($NS$89-170+1)/$NU$89,$NN$89/$NT$89)),0)</f>
        <v/>
      </c>
      <c r="FS89" s="402">
        <f>IF(AND(171&gt;=$NR$89,171&lt;=$NS$89),IF($NP$89="Single_Point",IF(171=$NR$89,$NN$89,0),IF($NP$89="Bell_Curve",$NN$89*(171-$NR$89+1)*($NS$89-171+1)/$NU$89,$NN$89/$NT$89)),0)</f>
        <v/>
      </c>
      <c r="FT89" s="402">
        <f>IF(AND(172&gt;=$NR$89,172&lt;=$NS$89),IF($NP$89="Single_Point",IF(172=$NR$89,$NN$89,0),IF($NP$89="Bell_Curve",$NN$89*(172-$NR$89+1)*($NS$89-172+1)/$NU$89,$NN$89/$NT$89)),0)</f>
        <v/>
      </c>
      <c r="FU89" s="402">
        <f>IF(AND(173&gt;=$NR$89,173&lt;=$NS$89),IF($NP$89="Single_Point",IF(173=$NR$89,$NN$89,0),IF($NP$89="Bell_Curve",$NN$89*(173-$NR$89+1)*($NS$89-173+1)/$NU$89,$NN$89/$NT$89)),0)</f>
        <v/>
      </c>
      <c r="FV89" s="402">
        <f>IF(AND(174&gt;=$NR$89,174&lt;=$NS$89),IF($NP$89="Single_Point",IF(174=$NR$89,$NN$89,0),IF($NP$89="Bell_Curve",$NN$89*(174-$NR$89+1)*($NS$89-174+1)/$NU$89,$NN$89/$NT$89)),0)</f>
        <v/>
      </c>
      <c r="FW89" s="402">
        <f>IF(AND(175&gt;=$NR$89,175&lt;=$NS$89),IF($NP$89="Single_Point",IF(175=$NR$89,$NN$89,0),IF($NP$89="Bell_Curve",$NN$89*(175-$NR$89+1)*($NS$89-175+1)/$NU$89,$NN$89/$NT$89)),0)</f>
        <v/>
      </c>
      <c r="FX89" s="402">
        <f>IF(AND(176&gt;=$NR$89,176&lt;=$NS$89),IF($NP$89="Single_Point",IF(176=$NR$89,$NN$89,0),IF($NP$89="Bell_Curve",$NN$89*(176-$NR$89+1)*($NS$89-176+1)/$NU$89,$NN$89/$NT$89)),0)</f>
        <v/>
      </c>
      <c r="FY89" s="402">
        <f>IF(AND(177&gt;=$NR$89,177&lt;=$NS$89),IF($NP$89="Single_Point",IF(177=$NR$89,$NN$89,0),IF($NP$89="Bell_Curve",$NN$89*(177-$NR$89+1)*($NS$89-177+1)/$NU$89,$NN$89/$NT$89)),0)</f>
        <v/>
      </c>
      <c r="FZ89" s="402">
        <f>IF(AND(178&gt;=$NR$89,178&lt;=$NS$89),IF($NP$89="Single_Point",IF(178=$NR$89,$NN$89,0),IF($NP$89="Bell_Curve",$NN$89*(178-$NR$89+1)*($NS$89-178+1)/$NU$89,$NN$89/$NT$89)),0)</f>
        <v/>
      </c>
      <c r="GA89" s="402">
        <f>IF(AND(179&gt;=$NR$89,179&lt;=$NS$89),IF($NP$89="Single_Point",IF(179=$NR$89,$NN$89,0),IF($NP$89="Bell_Curve",$NN$89*(179-$NR$89+1)*($NS$89-179+1)/$NU$89,$NN$89/$NT$89)),0)</f>
        <v/>
      </c>
      <c r="GB89" s="402">
        <f>IF(AND(180&gt;=$NR$89,180&lt;=$NS$89),IF($NP$89="Single_Point",IF(180=$NR$89,$NN$89,0),IF($NP$89="Bell_Curve",$NN$89*(180-$NR$89+1)*($NS$89-180+1)/$NU$89,$NN$89/$NT$89)),0)</f>
        <v/>
      </c>
      <c r="GC89" s="402">
        <f>IF(AND(181&gt;=$NR$89,181&lt;=$NS$89),IF($NP$89="Single_Point",IF(181=$NR$89,$NN$89,0),IF($NP$89="Bell_Curve",$NN$89*(181-$NR$89+1)*($NS$89-181+1)/$NU$89,$NN$89/$NT$89)),0)</f>
        <v/>
      </c>
      <c r="GD89" s="402">
        <f>IF(AND(182&gt;=$NR$89,182&lt;=$NS$89),IF($NP$89="Single_Point",IF(182=$NR$89,$NN$89,0),IF($NP$89="Bell_Curve",$NN$89*(182-$NR$89+1)*($NS$89-182+1)/$NU$89,$NN$89/$NT$89)),0)</f>
        <v/>
      </c>
      <c r="GE89" s="402">
        <f>IF(AND(183&gt;=$NR$89,183&lt;=$NS$89),IF($NP$89="Single_Point",IF(183=$NR$89,$NN$89,0),IF($NP$89="Bell_Curve",$NN$89*(183-$NR$89+1)*($NS$89-183+1)/$NU$89,$NN$89/$NT$89)),0)</f>
        <v/>
      </c>
      <c r="GF89" s="402">
        <f>IF(AND(184&gt;=$NR$89,184&lt;=$NS$89),IF($NP$89="Single_Point",IF(184=$NR$89,$NN$89,0),IF($NP$89="Bell_Curve",$NN$89*(184-$NR$89+1)*($NS$89-184+1)/$NU$89,$NN$89/$NT$89)),0)</f>
        <v/>
      </c>
      <c r="GG89" s="402">
        <f>IF(AND(185&gt;=$NR$89,185&lt;=$NS$89),IF($NP$89="Single_Point",IF(185=$NR$89,$NN$89,0),IF($NP$89="Bell_Curve",$NN$89*(185-$NR$89+1)*($NS$89-185+1)/$NU$89,$NN$89/$NT$89)),0)</f>
        <v/>
      </c>
      <c r="GH89" s="402">
        <f>IF(AND(186&gt;=$NR$89,186&lt;=$NS$89),IF($NP$89="Single_Point",IF(186=$NR$89,$NN$89,0),IF($NP$89="Bell_Curve",$NN$89*(186-$NR$89+1)*($NS$89-186+1)/$NU$89,$NN$89/$NT$89)),0)</f>
        <v/>
      </c>
      <c r="GI89" s="402">
        <f>IF(AND(187&gt;=$NR$89,187&lt;=$NS$89),IF($NP$89="Single_Point",IF(187=$NR$89,$NN$89,0),IF($NP$89="Bell_Curve",$NN$89*(187-$NR$89+1)*($NS$89-187+1)/$NU$89,$NN$89/$NT$89)),0)</f>
        <v/>
      </c>
      <c r="GJ89" s="402">
        <f>IF(AND(188&gt;=$NR$89,188&lt;=$NS$89),IF($NP$89="Single_Point",IF(188=$NR$89,$NN$89,0),IF($NP$89="Bell_Curve",$NN$89*(188-$NR$89+1)*($NS$89-188+1)/$NU$89,$NN$89/$NT$89)),0)</f>
        <v/>
      </c>
      <c r="GK89" s="402">
        <f>IF(AND(189&gt;=$NR$89,189&lt;=$NS$89),IF($NP$89="Single_Point",IF(189=$NR$89,$NN$89,0),IF($NP$89="Bell_Curve",$NN$89*(189-$NR$89+1)*($NS$89-189+1)/$NU$89,$NN$89/$NT$89)),0)</f>
        <v/>
      </c>
      <c r="GL89" s="402">
        <f>IF(AND(190&gt;=$NR$89,190&lt;=$NS$89),IF($NP$89="Single_Point",IF(190=$NR$89,$NN$89,0),IF($NP$89="Bell_Curve",$NN$89*(190-$NR$89+1)*($NS$89-190+1)/$NU$89,$NN$89/$NT$89)),0)</f>
        <v/>
      </c>
      <c r="GM89" s="402">
        <f>IF(AND(191&gt;=$NR$89,191&lt;=$NS$89),IF($NP$89="Single_Point",IF(191=$NR$89,$NN$89,0),IF($NP$89="Bell_Curve",$NN$89*(191-$NR$89+1)*($NS$89-191+1)/$NU$89,$NN$89/$NT$89)),0)</f>
        <v/>
      </c>
      <c r="GN89" s="402">
        <f>IF(AND(192&gt;=$NR$89,192&lt;=$NS$89),IF($NP$89="Single_Point",IF(192=$NR$89,$NN$89,0),IF($NP$89="Bell_Curve",$NN$89*(192-$NR$89+1)*($NS$89-192+1)/$NU$89,$NN$89/$NT$89)),0)</f>
        <v/>
      </c>
      <c r="GO89" s="402">
        <f>IF(AND(193&gt;=$NR$89,193&lt;=$NS$89),IF($NP$89="Single_Point",IF(193=$NR$89,$NN$89,0),IF($NP$89="Bell_Curve",$NN$89*(193-$NR$89+1)*($NS$89-193+1)/$NU$89,$NN$89/$NT$89)),0)</f>
        <v/>
      </c>
      <c r="GP89" s="402">
        <f>IF(AND(194&gt;=$NR$89,194&lt;=$NS$89),IF($NP$89="Single_Point",IF(194=$NR$89,$NN$89,0),IF($NP$89="Bell_Curve",$NN$89*(194-$NR$89+1)*($NS$89-194+1)/$NU$89,$NN$89/$NT$89)),0)</f>
        <v/>
      </c>
      <c r="GQ89" s="402">
        <f>IF(AND(195&gt;=$NR$89,195&lt;=$NS$89),IF($NP$89="Single_Point",IF(195=$NR$89,$NN$89,0),IF($NP$89="Bell_Curve",$NN$89*(195-$NR$89+1)*($NS$89-195+1)/$NU$89,$NN$89/$NT$89)),0)</f>
        <v/>
      </c>
      <c r="GR89" s="402">
        <f>IF(AND(196&gt;=$NR$89,196&lt;=$NS$89),IF($NP$89="Single_Point",IF(196=$NR$89,$NN$89,0),IF($NP$89="Bell_Curve",$NN$89*(196-$NR$89+1)*($NS$89-196+1)/$NU$89,$NN$89/$NT$89)),0)</f>
        <v/>
      </c>
      <c r="GS89" s="402">
        <f>IF(AND(197&gt;=$NR$89,197&lt;=$NS$89),IF($NP$89="Single_Point",IF(197=$NR$89,$NN$89,0),IF($NP$89="Bell_Curve",$NN$89*(197-$NR$89+1)*($NS$89-197+1)/$NU$89,$NN$89/$NT$89)),0)</f>
        <v/>
      </c>
      <c r="GT89" s="402">
        <f>IF(AND(198&gt;=$NR$89,198&lt;=$NS$89),IF($NP$89="Single_Point",IF(198=$NR$89,$NN$89,0),IF($NP$89="Bell_Curve",$NN$89*(198-$NR$89+1)*($NS$89-198+1)/$NU$89,$NN$89/$NT$89)),0)</f>
        <v/>
      </c>
      <c r="GU89" s="402">
        <f>IF(AND(199&gt;=$NR$89,199&lt;=$NS$89),IF($NP$89="Single_Point",IF(199=$NR$89,$NN$89,0),IF($NP$89="Bell_Curve",$NN$89*(199-$NR$89+1)*($NS$89-199+1)/$NU$89,$NN$89/$NT$89)),0)</f>
        <v/>
      </c>
      <c r="GV89" s="402">
        <f>IF(AND(200&gt;=$NR$89,200&lt;=$NS$89),IF($NP$89="Single_Point",IF(200=$NR$89,$NN$89,0),IF($NP$89="Bell_Curve",$NN$89*(200-$NR$89+1)*($NS$89-200+1)/$NU$89,$NN$89/$NT$89)),0)</f>
        <v/>
      </c>
      <c r="GW89" s="402">
        <f>IF(AND(201&gt;=$NR$89,201&lt;=$NS$89),IF($NP$89="Single_Point",IF(201=$NR$89,$NN$89,0),IF($NP$89="Bell_Curve",$NN$89*(201-$NR$89+1)*($NS$89-201+1)/$NU$89,$NN$89/$NT$89)),0)</f>
        <v/>
      </c>
      <c r="GX89" s="402">
        <f>IF(AND(202&gt;=$NR$89,202&lt;=$NS$89),IF($NP$89="Single_Point",IF(202=$NR$89,$NN$89,0),IF($NP$89="Bell_Curve",$NN$89*(202-$NR$89+1)*($NS$89-202+1)/$NU$89,$NN$89/$NT$89)),0)</f>
        <v/>
      </c>
      <c r="GY89" s="402">
        <f>IF(AND(203&gt;=$NR$89,203&lt;=$NS$89),IF($NP$89="Single_Point",IF(203=$NR$89,$NN$89,0),IF($NP$89="Bell_Curve",$NN$89*(203-$NR$89+1)*($NS$89-203+1)/$NU$89,$NN$89/$NT$89)),0)</f>
        <v/>
      </c>
      <c r="GZ89" s="402">
        <f>IF(AND(204&gt;=$NR$89,204&lt;=$NS$89),IF($NP$89="Single_Point",IF(204=$NR$89,$NN$89,0),IF($NP$89="Bell_Curve",$NN$89*(204-$NR$89+1)*($NS$89-204+1)/$NU$89,$NN$89/$NT$89)),0)</f>
        <v/>
      </c>
      <c r="HA89" s="402">
        <f>IF(AND(205&gt;=$NR$89,205&lt;=$NS$89),IF($NP$89="Single_Point",IF(205=$NR$89,$NN$89,0),IF($NP$89="Bell_Curve",$NN$89*(205-$NR$89+1)*($NS$89-205+1)/$NU$89,$NN$89/$NT$89)),0)</f>
        <v/>
      </c>
      <c r="HB89" s="402">
        <f>IF(AND(206&gt;=$NR$89,206&lt;=$NS$89),IF($NP$89="Single_Point",IF(206=$NR$89,$NN$89,0),IF($NP$89="Bell_Curve",$NN$89*(206-$NR$89+1)*($NS$89-206+1)/$NU$89,$NN$89/$NT$89)),0)</f>
        <v/>
      </c>
      <c r="HC89" s="402">
        <f>IF(AND(207&gt;=$NR$89,207&lt;=$NS$89),IF($NP$89="Single_Point",IF(207=$NR$89,$NN$89,0),IF($NP$89="Bell_Curve",$NN$89*(207-$NR$89+1)*($NS$89-207+1)/$NU$89,$NN$89/$NT$89)),0)</f>
        <v/>
      </c>
      <c r="HD89" s="402">
        <f>IF(AND(208&gt;=$NR$89,208&lt;=$NS$89),IF($NP$89="Single_Point",IF(208=$NR$89,$NN$89,0),IF($NP$89="Bell_Curve",$NN$89*(208-$NR$89+1)*($NS$89-208+1)/$NU$89,$NN$89/$NT$89)),0)</f>
        <v/>
      </c>
      <c r="HE89" s="402">
        <f>IF(AND(209&gt;=$NR$89,209&lt;=$NS$89),IF($NP$89="Single_Point",IF(209=$NR$89,$NN$89,0),IF($NP$89="Bell_Curve",$NN$89*(209-$NR$89+1)*($NS$89-209+1)/$NU$89,$NN$89/$NT$89)),0)</f>
        <v/>
      </c>
      <c r="HF89" s="402">
        <f>IF(AND(210&gt;=$NR$89,210&lt;=$NS$89),IF($NP$89="Single_Point",IF(210=$NR$89,$NN$89,0),IF($NP$89="Bell_Curve",$NN$89*(210-$NR$89+1)*($NS$89-210+1)/$NU$89,$NN$89/$NT$89)),0)</f>
        <v/>
      </c>
      <c r="HG89" s="402">
        <f>IF(AND(211&gt;=$NR$89,211&lt;=$NS$89),IF($NP$89="Single_Point",IF(211=$NR$89,$NN$89,0),IF($NP$89="Bell_Curve",$NN$89*(211-$NR$89+1)*($NS$89-211+1)/$NU$89,$NN$89/$NT$89)),0)</f>
        <v/>
      </c>
      <c r="HH89" s="402">
        <f>IF(AND(212&gt;=$NR$89,212&lt;=$NS$89),IF($NP$89="Single_Point",IF(212=$NR$89,$NN$89,0),IF($NP$89="Bell_Curve",$NN$89*(212-$NR$89+1)*($NS$89-212+1)/$NU$89,$NN$89/$NT$89)),0)</f>
        <v/>
      </c>
      <c r="HI89" s="402">
        <f>IF(AND(213&gt;=$NR$89,213&lt;=$NS$89),IF($NP$89="Single_Point",IF(213=$NR$89,$NN$89,0),IF($NP$89="Bell_Curve",$NN$89*(213-$NR$89+1)*($NS$89-213+1)/$NU$89,$NN$89/$NT$89)),0)</f>
        <v/>
      </c>
      <c r="HJ89" s="402">
        <f>IF(AND(214&gt;=$NR$89,214&lt;=$NS$89),IF($NP$89="Single_Point",IF(214=$NR$89,$NN$89,0),IF($NP$89="Bell_Curve",$NN$89*(214-$NR$89+1)*($NS$89-214+1)/$NU$89,$NN$89/$NT$89)),0)</f>
        <v/>
      </c>
      <c r="HK89" s="402">
        <f>IF(AND(215&gt;=$NR$89,215&lt;=$NS$89),IF($NP$89="Single_Point",IF(215=$NR$89,$NN$89,0),IF($NP$89="Bell_Curve",$NN$89*(215-$NR$89+1)*($NS$89-215+1)/$NU$89,$NN$89/$NT$89)),0)</f>
        <v/>
      </c>
      <c r="HL89" s="402">
        <f>IF(AND(216&gt;=$NR$89,216&lt;=$NS$89),IF($NP$89="Single_Point",IF(216=$NR$89,$NN$89,0),IF($NP$89="Bell_Curve",$NN$89*(216-$NR$89+1)*($NS$89-216+1)/$NU$89,$NN$89/$NT$89)),0)</f>
        <v/>
      </c>
      <c r="HM89" s="402">
        <f>IF(AND(217&gt;=$NR$89,217&lt;=$NS$89),IF($NP$89="Single_Point",IF(217=$NR$89,$NN$89,0),IF($NP$89="Bell_Curve",$NN$89*(217-$NR$89+1)*($NS$89-217+1)/$NU$89,$NN$89/$NT$89)),0)</f>
        <v/>
      </c>
      <c r="HN89" s="402">
        <f>IF(AND(218&gt;=$NR$89,218&lt;=$NS$89),IF($NP$89="Single_Point",IF(218=$NR$89,$NN$89,0),IF($NP$89="Bell_Curve",$NN$89*(218-$NR$89+1)*($NS$89-218+1)/$NU$89,$NN$89/$NT$89)),0)</f>
        <v/>
      </c>
      <c r="HO89" s="402">
        <f>IF(AND(219&gt;=$NR$89,219&lt;=$NS$89),IF($NP$89="Single_Point",IF(219=$NR$89,$NN$89,0),IF($NP$89="Bell_Curve",$NN$89*(219-$NR$89+1)*($NS$89-219+1)/$NU$89,$NN$89/$NT$89)),0)</f>
        <v/>
      </c>
      <c r="HP89" s="402">
        <f>IF(AND(220&gt;=$NR$89,220&lt;=$NS$89),IF($NP$89="Single_Point",IF(220=$NR$89,$NN$89,0),IF($NP$89="Bell_Curve",$NN$89*(220-$NR$89+1)*($NS$89-220+1)/$NU$89,$NN$89/$NT$89)),0)</f>
        <v/>
      </c>
      <c r="HQ89" s="402">
        <f>IF(AND(221&gt;=$NR$89,221&lt;=$NS$89),IF($NP$89="Single_Point",IF(221=$NR$89,$NN$89,0),IF($NP$89="Bell_Curve",$NN$89*(221-$NR$89+1)*($NS$89-221+1)/$NU$89,$NN$89/$NT$89)),0)</f>
        <v/>
      </c>
      <c r="HR89" s="402">
        <f>IF(AND(222&gt;=$NR$89,222&lt;=$NS$89),IF($NP$89="Single_Point",IF(222=$NR$89,$NN$89,0),IF($NP$89="Bell_Curve",$NN$89*(222-$NR$89+1)*($NS$89-222+1)/$NU$89,$NN$89/$NT$89)),0)</f>
        <v/>
      </c>
      <c r="HS89" s="402">
        <f>IF(AND(223&gt;=$NR$89,223&lt;=$NS$89),IF($NP$89="Single_Point",IF(223=$NR$89,$NN$89,0),IF($NP$89="Bell_Curve",$NN$89*(223-$NR$89+1)*($NS$89-223+1)/$NU$89,$NN$89/$NT$89)),0)</f>
        <v/>
      </c>
      <c r="HT89" s="402">
        <f>IF(AND(224&gt;=$NR$89,224&lt;=$NS$89),IF($NP$89="Single_Point",IF(224=$NR$89,$NN$89,0),IF($NP$89="Bell_Curve",$NN$89*(224-$NR$89+1)*($NS$89-224+1)/$NU$89,$NN$89/$NT$89)),0)</f>
        <v/>
      </c>
      <c r="HU89" s="402">
        <f>IF(AND(225&gt;=$NR$89,225&lt;=$NS$89),IF($NP$89="Single_Point",IF(225=$NR$89,$NN$89,0),IF($NP$89="Bell_Curve",$NN$89*(225-$NR$89+1)*($NS$89-225+1)/$NU$89,$NN$89/$NT$89)),0)</f>
        <v/>
      </c>
      <c r="HV89" s="402">
        <f>IF(AND(226&gt;=$NR$89,226&lt;=$NS$89),IF($NP$89="Single_Point",IF(226=$NR$89,$NN$89,0),IF($NP$89="Bell_Curve",$NN$89*(226-$NR$89+1)*($NS$89-226+1)/$NU$89,$NN$89/$NT$89)),0)</f>
        <v/>
      </c>
      <c r="HW89" s="402">
        <f>IF(AND(227&gt;=$NR$89,227&lt;=$NS$89),IF($NP$89="Single_Point",IF(227=$NR$89,$NN$89,0),IF($NP$89="Bell_Curve",$NN$89*(227-$NR$89+1)*($NS$89-227+1)/$NU$89,$NN$89/$NT$89)),0)</f>
        <v/>
      </c>
      <c r="HX89" s="402">
        <f>IF(AND(228&gt;=$NR$89,228&lt;=$NS$89),IF($NP$89="Single_Point",IF(228=$NR$89,$NN$89,0),IF($NP$89="Bell_Curve",$NN$89*(228-$NR$89+1)*($NS$89-228+1)/$NU$89,$NN$89/$NT$89)),0)</f>
        <v/>
      </c>
      <c r="HY89" s="402">
        <f>IF(AND(229&gt;=$NR$89,229&lt;=$NS$89),IF($NP$89="Single_Point",IF(229=$NR$89,$NN$89,0),IF($NP$89="Bell_Curve",$NN$89*(229-$NR$89+1)*($NS$89-229+1)/$NU$89,$NN$89/$NT$89)),0)</f>
        <v/>
      </c>
      <c r="HZ89" s="402">
        <f>IF(AND(230&gt;=$NR$89,230&lt;=$NS$89),IF($NP$89="Single_Point",IF(230=$NR$89,$NN$89,0),IF($NP$89="Bell_Curve",$NN$89*(230-$NR$89+1)*($NS$89-230+1)/$NU$89,$NN$89/$NT$89)),0)</f>
        <v/>
      </c>
      <c r="IA89" s="402">
        <f>IF(AND(231&gt;=$NR$89,231&lt;=$NS$89),IF($NP$89="Single_Point",IF(231=$NR$89,$NN$89,0),IF($NP$89="Bell_Curve",$NN$89*(231-$NR$89+1)*($NS$89-231+1)/$NU$89,$NN$89/$NT$89)),0)</f>
        <v/>
      </c>
      <c r="IB89" s="402">
        <f>IF(AND(232&gt;=$NR$89,232&lt;=$NS$89),IF($NP$89="Single_Point",IF(232=$NR$89,$NN$89,0),IF($NP$89="Bell_Curve",$NN$89*(232-$NR$89+1)*($NS$89-232+1)/$NU$89,$NN$89/$NT$89)),0)</f>
        <v/>
      </c>
      <c r="IC89" s="402">
        <f>IF(AND(233&gt;=$NR$89,233&lt;=$NS$89),IF($NP$89="Single_Point",IF(233=$NR$89,$NN$89,0),IF($NP$89="Bell_Curve",$NN$89*(233-$NR$89+1)*($NS$89-233+1)/$NU$89,$NN$89/$NT$89)),0)</f>
        <v/>
      </c>
      <c r="ID89" s="402">
        <f>IF(AND(234&gt;=$NR$89,234&lt;=$NS$89),IF($NP$89="Single_Point",IF(234=$NR$89,$NN$89,0),IF($NP$89="Bell_Curve",$NN$89*(234-$NR$89+1)*($NS$89-234+1)/$NU$89,$NN$89/$NT$89)),0)</f>
        <v/>
      </c>
      <c r="IE89" s="402">
        <f>IF(AND(235&gt;=$NR$89,235&lt;=$NS$89),IF($NP$89="Single_Point",IF(235=$NR$89,$NN$89,0),IF($NP$89="Bell_Curve",$NN$89*(235-$NR$89+1)*($NS$89-235+1)/$NU$89,$NN$89/$NT$89)),0)</f>
        <v/>
      </c>
      <c r="IF89" s="402">
        <f>IF(AND(236&gt;=$NR$89,236&lt;=$NS$89),IF($NP$89="Single_Point",IF(236=$NR$89,$NN$89,0),IF($NP$89="Bell_Curve",$NN$89*(236-$NR$89+1)*($NS$89-236+1)/$NU$89,$NN$89/$NT$89)),0)</f>
        <v/>
      </c>
      <c r="IG89" s="402">
        <f>IF(AND(237&gt;=$NR$89,237&lt;=$NS$89),IF($NP$89="Single_Point",IF(237=$NR$89,$NN$89,0),IF($NP$89="Bell_Curve",$NN$89*(237-$NR$89+1)*($NS$89-237+1)/$NU$89,$NN$89/$NT$89)),0)</f>
        <v/>
      </c>
      <c r="IH89" s="402">
        <f>IF(AND(238&gt;=$NR$89,238&lt;=$NS$89),IF($NP$89="Single_Point",IF(238=$NR$89,$NN$89,0),IF($NP$89="Bell_Curve",$NN$89*(238-$NR$89+1)*($NS$89-238+1)/$NU$89,$NN$89/$NT$89)),0)</f>
        <v/>
      </c>
      <c r="II89" s="402">
        <f>IF(AND(239&gt;=$NR$89,239&lt;=$NS$89),IF($NP$89="Single_Point",IF(239=$NR$89,$NN$89,0),IF($NP$89="Bell_Curve",$NN$89*(239-$NR$89+1)*($NS$89-239+1)/$NU$89,$NN$89/$NT$89)),0)</f>
        <v/>
      </c>
      <c r="IJ89" s="402">
        <f>IF(AND(240&gt;=$NR$89,240&lt;=$NS$89),IF($NP$89="Single_Point",IF(240=$NR$89,$NN$89,0),IF($NP$89="Bell_Curve",$NN$89*(240-$NR$89+1)*($NS$89-240+1)/$NU$89,$NN$89/$NT$89)),0)</f>
        <v/>
      </c>
      <c r="IK89" s="402">
        <f>IF(AND(241&gt;=$NR$89,241&lt;=$NS$89),IF($NP$89="Single_Point",IF(241=$NR$89,$NN$89,0),IF($NP$89="Bell_Curve",$NN$89*(241-$NR$89+1)*($NS$89-241+1)/$NU$89,$NN$89/$NT$89)),0)</f>
        <v/>
      </c>
      <c r="IL89" s="402">
        <f>IF(AND(242&gt;=$NR$89,242&lt;=$NS$89),IF($NP$89="Single_Point",IF(242=$NR$89,$NN$89,0),IF($NP$89="Bell_Curve",$NN$89*(242-$NR$89+1)*($NS$89-242+1)/$NU$89,$NN$89/$NT$89)),0)</f>
        <v/>
      </c>
      <c r="IM89" s="402">
        <f>IF(AND(243&gt;=$NR$89,243&lt;=$NS$89),IF($NP$89="Single_Point",IF(243=$NR$89,$NN$89,0),IF($NP$89="Bell_Curve",$NN$89*(243-$NR$89+1)*($NS$89-243+1)/$NU$89,$NN$89/$NT$89)),0)</f>
        <v/>
      </c>
      <c r="IN89" s="402">
        <f>IF(AND(244&gt;=$NR$89,244&lt;=$NS$89),IF($NP$89="Single_Point",IF(244=$NR$89,$NN$89,0),IF($NP$89="Bell_Curve",$NN$89*(244-$NR$89+1)*($NS$89-244+1)/$NU$89,$NN$89/$NT$89)),0)</f>
        <v/>
      </c>
      <c r="IO89" s="402">
        <f>IF(AND(245&gt;=$NR$89,245&lt;=$NS$89),IF($NP$89="Single_Point",IF(245=$NR$89,$NN$89,0),IF($NP$89="Bell_Curve",$NN$89*(245-$NR$89+1)*($NS$89-245+1)/$NU$89,$NN$89/$NT$89)),0)</f>
        <v/>
      </c>
      <c r="IP89" s="402">
        <f>IF(AND(246&gt;=$NR$89,246&lt;=$NS$89),IF($NP$89="Single_Point",IF(246=$NR$89,$NN$89,0),IF($NP$89="Bell_Curve",$NN$89*(246-$NR$89+1)*($NS$89-246+1)/$NU$89,$NN$89/$NT$89)),0)</f>
        <v/>
      </c>
      <c r="IQ89" s="402">
        <f>IF(AND(247&gt;=$NR$89,247&lt;=$NS$89),IF($NP$89="Single_Point",IF(247=$NR$89,$NN$89,0),IF($NP$89="Bell_Curve",$NN$89*(247-$NR$89+1)*($NS$89-247+1)/$NU$89,$NN$89/$NT$89)),0)</f>
        <v/>
      </c>
      <c r="IR89" s="402">
        <f>IF(AND(248&gt;=$NR$89,248&lt;=$NS$89),IF($NP$89="Single_Point",IF(248=$NR$89,$NN$89,0),IF($NP$89="Bell_Curve",$NN$89*(248-$NR$89+1)*($NS$89-248+1)/$NU$89,$NN$89/$NT$89)),0)</f>
        <v/>
      </c>
      <c r="IS89" s="402">
        <f>IF(AND(249&gt;=$NR$89,249&lt;=$NS$89),IF($NP$89="Single_Point",IF(249=$NR$89,$NN$89,0),IF($NP$89="Bell_Curve",$NN$89*(249-$NR$89+1)*($NS$89-249+1)/$NU$89,$NN$89/$NT$89)),0)</f>
        <v/>
      </c>
      <c r="IT89" s="402">
        <f>IF(AND(250&gt;=$NR$89,250&lt;=$NS$89),IF($NP$89="Single_Point",IF(250=$NR$89,$NN$89,0),IF($NP$89="Bell_Curve",$NN$89*(250-$NR$89+1)*($NS$89-250+1)/$NU$89,$NN$89/$NT$89)),0)</f>
        <v/>
      </c>
      <c r="IU89" s="402">
        <f>IF(AND(251&gt;=$NR$89,251&lt;=$NS$89),IF($NP$89="Single_Point",IF(251=$NR$89,$NN$89,0),IF($NP$89="Bell_Curve",$NN$89*(251-$NR$89+1)*($NS$89-251+1)/$NU$89,$NN$89/$NT$89)),0)</f>
        <v/>
      </c>
      <c r="IV89" s="402">
        <f>IF(AND(252&gt;=$NR$89,252&lt;=$NS$89),IF($NP$89="Single_Point",IF(252=$NR$89,$NN$89,0),IF($NP$89="Bell_Curve",$NN$89*(252-$NR$89+1)*($NS$89-252+1)/$NU$89,$NN$89/$NT$89)),0)</f>
        <v/>
      </c>
      <c r="IW89" s="402">
        <f>IF(AND(253&gt;=$NR$89,253&lt;=$NS$89),IF($NP$89="Single_Point",IF(253=$NR$89,$NN$89,0),IF($NP$89="Bell_Curve",$NN$89*(253-$NR$89+1)*($NS$89-253+1)/$NU$89,$NN$89/$NT$89)),0)</f>
        <v/>
      </c>
      <c r="IX89" s="402">
        <f>IF(AND(254&gt;=$NR$89,254&lt;=$NS$89),IF($NP$89="Single_Point",IF(254=$NR$89,$NN$89,0),IF($NP$89="Bell_Curve",$NN$89*(254-$NR$89+1)*($NS$89-254+1)/$NU$89,$NN$89/$NT$89)),0)</f>
        <v/>
      </c>
      <c r="IY89" s="402">
        <f>IF(AND(255&gt;=$NR$89,255&lt;=$NS$89),IF($NP$89="Single_Point",IF(255=$NR$89,$NN$89,0),IF($NP$89="Bell_Curve",$NN$89*(255-$NR$89+1)*($NS$89-255+1)/$NU$89,$NN$89/$NT$89)),0)</f>
        <v/>
      </c>
      <c r="IZ89" s="402">
        <f>IF(AND(256&gt;=$NR$89,256&lt;=$NS$89),IF($NP$89="Single_Point",IF(256=$NR$89,$NN$89,0),IF($NP$89="Bell_Curve",$NN$89*(256-$NR$89+1)*($NS$89-256+1)/$NU$89,$NN$89/$NT$89)),0)</f>
        <v/>
      </c>
      <c r="JA89" s="402">
        <f>IF(AND(257&gt;=$NR$89,257&lt;=$NS$89),IF($NP$89="Single_Point",IF(257=$NR$89,$NN$89,0),IF($NP$89="Bell_Curve",$NN$89*(257-$NR$89+1)*($NS$89-257+1)/$NU$89,$NN$89/$NT$89)),0)</f>
        <v/>
      </c>
      <c r="JB89" s="402">
        <f>IF(AND(258&gt;=$NR$89,258&lt;=$NS$89),IF($NP$89="Single_Point",IF(258=$NR$89,$NN$89,0),IF($NP$89="Bell_Curve",$NN$89*(258-$NR$89+1)*($NS$89-258+1)/$NU$89,$NN$89/$NT$89)),0)</f>
        <v/>
      </c>
      <c r="JC89" s="402">
        <f>IF(AND(259&gt;=$NR$89,259&lt;=$NS$89),IF($NP$89="Single_Point",IF(259=$NR$89,$NN$89,0),IF($NP$89="Bell_Curve",$NN$89*(259-$NR$89+1)*($NS$89-259+1)/$NU$89,$NN$89/$NT$89)),0)</f>
        <v/>
      </c>
      <c r="JD89" s="402">
        <f>IF(AND(260&gt;=$NR$89,260&lt;=$NS$89),IF($NP$89="Single_Point",IF(260=$NR$89,$NN$89,0),IF($NP$89="Bell_Curve",$NN$89*(260-$NR$89+1)*($NS$89-260+1)/$NU$89,$NN$89/$NT$89)),0)</f>
        <v/>
      </c>
      <c r="JE89" s="402">
        <f>IF(AND(261&gt;=$NR$89,261&lt;=$NS$89),IF($NP$89="Single_Point",IF(261=$NR$89,$NN$89,0),IF($NP$89="Bell_Curve",$NN$89*(261-$NR$89+1)*($NS$89-261+1)/$NU$89,$NN$89/$NT$89)),0)</f>
        <v/>
      </c>
      <c r="JF89" s="402">
        <f>IF(AND(262&gt;=$NR$89,262&lt;=$NS$89),IF($NP$89="Single_Point",IF(262=$NR$89,$NN$89,0),IF($NP$89="Bell_Curve",$NN$89*(262-$NR$89+1)*($NS$89-262+1)/$NU$89,$NN$89/$NT$89)),0)</f>
        <v/>
      </c>
      <c r="JG89" s="402">
        <f>IF(AND(263&gt;=$NR$89,263&lt;=$NS$89),IF($NP$89="Single_Point",IF(263=$NR$89,$NN$89,0),IF($NP$89="Bell_Curve",$NN$89*(263-$NR$89+1)*($NS$89-263+1)/$NU$89,$NN$89/$NT$89)),0)</f>
        <v/>
      </c>
      <c r="JH89" s="402">
        <f>IF(AND(264&gt;=$NR$89,264&lt;=$NS$89),IF($NP$89="Single_Point",IF(264=$NR$89,$NN$89,0),IF($NP$89="Bell_Curve",$NN$89*(264-$NR$89+1)*($NS$89-264+1)/$NU$89,$NN$89/$NT$89)),0)</f>
        <v/>
      </c>
      <c r="JI89" s="402">
        <f>IF(AND(265&gt;=$NR$89,265&lt;=$NS$89),IF($NP$89="Single_Point",IF(265=$NR$89,$NN$89,0),IF($NP$89="Bell_Curve",$NN$89*(265-$NR$89+1)*($NS$89-265+1)/$NU$89,$NN$89/$NT$89)),0)</f>
        <v/>
      </c>
      <c r="JJ89" s="402">
        <f>IF(AND(266&gt;=$NR$89,266&lt;=$NS$89),IF($NP$89="Single_Point",IF(266=$NR$89,$NN$89,0),IF($NP$89="Bell_Curve",$NN$89*(266-$NR$89+1)*($NS$89-266+1)/$NU$89,$NN$89/$NT$89)),0)</f>
        <v/>
      </c>
      <c r="JK89" s="402">
        <f>IF(AND(267&gt;=$NR$89,267&lt;=$NS$89),IF($NP$89="Single_Point",IF(267=$NR$89,$NN$89,0),IF($NP$89="Bell_Curve",$NN$89*(267-$NR$89+1)*($NS$89-267+1)/$NU$89,$NN$89/$NT$89)),0)</f>
        <v/>
      </c>
      <c r="JL89" s="402">
        <f>IF(AND(268&gt;=$NR$89,268&lt;=$NS$89),IF($NP$89="Single_Point",IF(268=$NR$89,$NN$89,0),IF($NP$89="Bell_Curve",$NN$89*(268-$NR$89+1)*($NS$89-268+1)/$NU$89,$NN$89/$NT$89)),0)</f>
        <v/>
      </c>
      <c r="JM89" s="402">
        <f>IF(AND(269&gt;=$NR$89,269&lt;=$NS$89),IF($NP$89="Single_Point",IF(269=$NR$89,$NN$89,0),IF($NP$89="Bell_Curve",$NN$89*(269-$NR$89+1)*($NS$89-269+1)/$NU$89,$NN$89/$NT$89)),0)</f>
        <v/>
      </c>
      <c r="JN89" s="402">
        <f>IF(AND(270&gt;=$NR$89,270&lt;=$NS$89),IF($NP$89="Single_Point",IF(270=$NR$89,$NN$89,0),IF($NP$89="Bell_Curve",$NN$89*(270-$NR$89+1)*($NS$89-270+1)/$NU$89,$NN$89/$NT$89)),0)</f>
        <v/>
      </c>
      <c r="JO89" s="402">
        <f>IF(AND(271&gt;=$NR$89,271&lt;=$NS$89),IF($NP$89="Single_Point",IF(271=$NR$89,$NN$89,0),IF($NP$89="Bell_Curve",$NN$89*(271-$NR$89+1)*($NS$89-271+1)/$NU$89,$NN$89/$NT$89)),0)</f>
        <v/>
      </c>
      <c r="JP89" s="402">
        <f>IF(AND(272&gt;=$NR$89,272&lt;=$NS$89),IF($NP$89="Single_Point",IF(272=$NR$89,$NN$89,0),IF($NP$89="Bell_Curve",$NN$89*(272-$NR$89+1)*($NS$89-272+1)/$NU$89,$NN$89/$NT$89)),0)</f>
        <v/>
      </c>
      <c r="JQ89" s="402">
        <f>IF(AND(273&gt;=$NR$89,273&lt;=$NS$89),IF($NP$89="Single_Point",IF(273=$NR$89,$NN$89,0),IF($NP$89="Bell_Curve",$NN$89*(273-$NR$89+1)*($NS$89-273+1)/$NU$89,$NN$89/$NT$89)),0)</f>
        <v/>
      </c>
      <c r="JR89" s="402">
        <f>IF(AND(274&gt;=$NR$89,274&lt;=$NS$89),IF($NP$89="Single_Point",IF(274=$NR$89,$NN$89,0),IF($NP$89="Bell_Curve",$NN$89*(274-$NR$89+1)*($NS$89-274+1)/$NU$89,$NN$89/$NT$89)),0)</f>
        <v/>
      </c>
      <c r="JS89" s="402">
        <f>IF(AND(275&gt;=$NR$89,275&lt;=$NS$89),IF($NP$89="Single_Point",IF(275=$NR$89,$NN$89,0),IF($NP$89="Bell_Curve",$NN$89*(275-$NR$89+1)*($NS$89-275+1)/$NU$89,$NN$89/$NT$89)),0)</f>
        <v/>
      </c>
      <c r="JT89" s="402">
        <f>IF(AND(276&gt;=$NR$89,276&lt;=$NS$89),IF($NP$89="Single_Point",IF(276=$NR$89,$NN$89,0),IF($NP$89="Bell_Curve",$NN$89*(276-$NR$89+1)*($NS$89-276+1)/$NU$89,$NN$89/$NT$89)),0)</f>
        <v/>
      </c>
      <c r="JU89" s="402">
        <f>IF(AND(277&gt;=$NR$89,277&lt;=$NS$89),IF($NP$89="Single_Point",IF(277=$NR$89,$NN$89,0),IF($NP$89="Bell_Curve",$NN$89*(277-$NR$89+1)*($NS$89-277+1)/$NU$89,$NN$89/$NT$89)),0)</f>
        <v/>
      </c>
      <c r="JV89" s="402">
        <f>IF(AND(278&gt;=$NR$89,278&lt;=$NS$89),IF($NP$89="Single_Point",IF(278=$NR$89,$NN$89,0),IF($NP$89="Bell_Curve",$NN$89*(278-$NR$89+1)*($NS$89-278+1)/$NU$89,$NN$89/$NT$89)),0)</f>
        <v/>
      </c>
      <c r="JW89" s="402">
        <f>IF(AND(279&gt;=$NR$89,279&lt;=$NS$89),IF($NP$89="Single_Point",IF(279=$NR$89,$NN$89,0),IF($NP$89="Bell_Curve",$NN$89*(279-$NR$89+1)*($NS$89-279+1)/$NU$89,$NN$89/$NT$89)),0)</f>
        <v/>
      </c>
      <c r="JX89" s="402">
        <f>IF(AND(280&gt;=$NR$89,280&lt;=$NS$89),IF($NP$89="Single_Point",IF(280=$NR$89,$NN$89,0),IF($NP$89="Bell_Curve",$NN$89*(280-$NR$89+1)*($NS$89-280+1)/$NU$89,$NN$89/$NT$89)),0)</f>
        <v/>
      </c>
      <c r="JY89" s="402">
        <f>IF(AND(281&gt;=$NR$89,281&lt;=$NS$89),IF($NP$89="Single_Point",IF(281=$NR$89,$NN$89,0),IF($NP$89="Bell_Curve",$NN$89*(281-$NR$89+1)*($NS$89-281+1)/$NU$89,$NN$89/$NT$89)),0)</f>
        <v/>
      </c>
      <c r="JZ89" s="402">
        <f>IF(AND(282&gt;=$NR$89,282&lt;=$NS$89),IF($NP$89="Single_Point",IF(282=$NR$89,$NN$89,0),IF($NP$89="Bell_Curve",$NN$89*(282-$NR$89+1)*($NS$89-282+1)/$NU$89,$NN$89/$NT$89)),0)</f>
        <v/>
      </c>
      <c r="KA89" s="402">
        <f>IF(AND(283&gt;=$NR$89,283&lt;=$NS$89),IF($NP$89="Single_Point",IF(283=$NR$89,$NN$89,0),IF($NP$89="Bell_Curve",$NN$89*(283-$NR$89+1)*($NS$89-283+1)/$NU$89,$NN$89/$NT$89)),0)</f>
        <v/>
      </c>
      <c r="KB89" s="402">
        <f>IF(AND(284&gt;=$NR$89,284&lt;=$NS$89),IF($NP$89="Single_Point",IF(284=$NR$89,$NN$89,0),IF($NP$89="Bell_Curve",$NN$89*(284-$NR$89+1)*($NS$89-284+1)/$NU$89,$NN$89/$NT$89)),0)</f>
        <v/>
      </c>
      <c r="KC89" s="402">
        <f>IF(AND(285&gt;=$NR$89,285&lt;=$NS$89),IF($NP$89="Single_Point",IF(285=$NR$89,$NN$89,0),IF($NP$89="Bell_Curve",$NN$89*(285-$NR$89+1)*($NS$89-285+1)/$NU$89,$NN$89/$NT$89)),0)</f>
        <v/>
      </c>
      <c r="KD89" s="402">
        <f>IF(AND(286&gt;=$NR$89,286&lt;=$NS$89),IF($NP$89="Single_Point",IF(286=$NR$89,$NN$89,0),IF($NP$89="Bell_Curve",$NN$89*(286-$NR$89+1)*($NS$89-286+1)/$NU$89,$NN$89/$NT$89)),0)</f>
        <v/>
      </c>
      <c r="KE89" s="402">
        <f>IF(AND(287&gt;=$NR$89,287&lt;=$NS$89),IF($NP$89="Single_Point",IF(287=$NR$89,$NN$89,0),IF($NP$89="Bell_Curve",$NN$89*(287-$NR$89+1)*($NS$89-287+1)/$NU$89,$NN$89/$NT$89)),0)</f>
        <v/>
      </c>
      <c r="KF89" s="402">
        <f>IF(AND(288&gt;=$NR$89,288&lt;=$NS$89),IF($NP$89="Single_Point",IF(288=$NR$89,$NN$89,0),IF($NP$89="Bell_Curve",$NN$89*(288-$NR$89+1)*($NS$89-288+1)/$NU$89,$NN$89/$NT$89)),0)</f>
        <v/>
      </c>
      <c r="KG89" s="402">
        <f>IF(AND(289&gt;=$NR$89,289&lt;=$NS$89),IF($NP$89="Single_Point",IF(289=$NR$89,$NN$89,0),IF($NP$89="Bell_Curve",$NN$89*(289-$NR$89+1)*($NS$89-289+1)/$NU$89,$NN$89/$NT$89)),0)</f>
        <v/>
      </c>
      <c r="KH89" s="402">
        <f>IF(AND(290&gt;=$NR$89,290&lt;=$NS$89),IF($NP$89="Single_Point",IF(290=$NR$89,$NN$89,0),IF($NP$89="Bell_Curve",$NN$89*(290-$NR$89+1)*($NS$89-290+1)/$NU$89,$NN$89/$NT$89)),0)</f>
        <v/>
      </c>
      <c r="KI89" s="402">
        <f>IF(AND(291&gt;=$NR$89,291&lt;=$NS$89),IF($NP$89="Single_Point",IF(291=$NR$89,$NN$89,0),IF($NP$89="Bell_Curve",$NN$89*(291-$NR$89+1)*($NS$89-291+1)/$NU$89,$NN$89/$NT$89)),0)</f>
        <v/>
      </c>
      <c r="KJ89" s="402">
        <f>IF(AND(292&gt;=$NR$89,292&lt;=$NS$89),IF($NP$89="Single_Point",IF(292=$NR$89,$NN$89,0),IF($NP$89="Bell_Curve",$NN$89*(292-$NR$89+1)*($NS$89-292+1)/$NU$89,$NN$89/$NT$89)),0)</f>
        <v/>
      </c>
      <c r="KK89" s="402">
        <f>IF(AND(293&gt;=$NR$89,293&lt;=$NS$89),IF($NP$89="Single_Point",IF(293=$NR$89,$NN$89,0),IF($NP$89="Bell_Curve",$NN$89*(293-$NR$89+1)*($NS$89-293+1)/$NU$89,$NN$89/$NT$89)),0)</f>
        <v/>
      </c>
      <c r="KL89" s="402">
        <f>IF(AND(294&gt;=$NR$89,294&lt;=$NS$89),IF($NP$89="Single_Point",IF(294=$NR$89,$NN$89,0),IF($NP$89="Bell_Curve",$NN$89*(294-$NR$89+1)*($NS$89-294+1)/$NU$89,$NN$89/$NT$89)),0)</f>
        <v/>
      </c>
      <c r="KM89" s="402">
        <f>IF(AND(295&gt;=$NR$89,295&lt;=$NS$89),IF($NP$89="Single_Point",IF(295=$NR$89,$NN$89,0),IF($NP$89="Bell_Curve",$NN$89*(295-$NR$89+1)*($NS$89-295+1)/$NU$89,$NN$89/$NT$89)),0)</f>
        <v/>
      </c>
      <c r="KN89" s="402">
        <f>IF(AND(296&gt;=$NR$89,296&lt;=$NS$89),IF($NP$89="Single_Point",IF(296=$NR$89,$NN$89,0),IF($NP$89="Bell_Curve",$NN$89*(296-$NR$89+1)*($NS$89-296+1)/$NU$89,$NN$89/$NT$89)),0)</f>
        <v/>
      </c>
      <c r="KO89" s="402">
        <f>IF(AND(297&gt;=$NR$89,297&lt;=$NS$89),IF($NP$89="Single_Point",IF(297=$NR$89,$NN$89,0),IF($NP$89="Bell_Curve",$NN$89*(297-$NR$89+1)*($NS$89-297+1)/$NU$89,$NN$89/$NT$89)),0)</f>
        <v/>
      </c>
      <c r="KP89" s="402">
        <f>IF(AND(298&gt;=$NR$89,298&lt;=$NS$89),IF($NP$89="Single_Point",IF(298=$NR$89,$NN$89,0),IF($NP$89="Bell_Curve",$NN$89*(298-$NR$89+1)*($NS$89-298+1)/$NU$89,$NN$89/$NT$89)),0)</f>
        <v/>
      </c>
      <c r="KQ89" s="402">
        <f>IF(AND(299&gt;=$NR$89,299&lt;=$NS$89),IF($NP$89="Single_Point",IF(299=$NR$89,$NN$89,0),IF($NP$89="Bell_Curve",$NN$89*(299-$NR$89+1)*($NS$89-299+1)/$NU$89,$NN$89/$NT$89)),0)</f>
        <v/>
      </c>
      <c r="KR89" s="402">
        <f>IF(AND(300&gt;=$NR$89,300&lt;=$NS$89),IF($NP$89="Single_Point",IF(300=$NR$89,$NN$89,0),IF($NP$89="Bell_Curve",$NN$89*(300-$NR$89+1)*($NS$89-300+1)/$NU$89,$NN$89/$NT$89)),0)</f>
        <v/>
      </c>
      <c r="KS89" s="402">
        <f>IF(AND(301&gt;=$NR$89,301&lt;=$NS$89),IF($NP$89="Single_Point",IF(301=$NR$89,$NN$89,0),IF($NP$89="Bell_Curve",$NN$89*(301-$NR$89+1)*($NS$89-301+1)/$NU$89,$NN$89/$NT$89)),0)</f>
        <v/>
      </c>
      <c r="KT89" s="402">
        <f>IF(AND(302&gt;=$NR$89,302&lt;=$NS$89),IF($NP$89="Single_Point",IF(302=$NR$89,$NN$89,0),IF($NP$89="Bell_Curve",$NN$89*(302-$NR$89+1)*($NS$89-302+1)/$NU$89,$NN$89/$NT$89)),0)</f>
        <v/>
      </c>
      <c r="KU89" s="402">
        <f>IF(AND(303&gt;=$NR$89,303&lt;=$NS$89),IF($NP$89="Single_Point",IF(303=$NR$89,$NN$89,0),IF($NP$89="Bell_Curve",$NN$89*(303-$NR$89+1)*($NS$89-303+1)/$NU$89,$NN$89/$NT$89)),0)</f>
        <v/>
      </c>
      <c r="KV89" s="402">
        <f>IF(AND(304&gt;=$NR$89,304&lt;=$NS$89),IF($NP$89="Single_Point",IF(304=$NR$89,$NN$89,0),IF($NP$89="Bell_Curve",$NN$89*(304-$NR$89+1)*($NS$89-304+1)/$NU$89,$NN$89/$NT$89)),0)</f>
        <v/>
      </c>
      <c r="KW89" s="402">
        <f>IF(AND(305&gt;=$NR$89,305&lt;=$NS$89),IF($NP$89="Single_Point",IF(305=$NR$89,$NN$89,0),IF($NP$89="Bell_Curve",$NN$89*(305-$NR$89+1)*($NS$89-305+1)/$NU$89,$NN$89/$NT$89)),0)</f>
        <v/>
      </c>
      <c r="KX89" s="402">
        <f>IF(AND(306&gt;=$NR$89,306&lt;=$NS$89),IF($NP$89="Single_Point",IF(306=$NR$89,$NN$89,0),IF($NP$89="Bell_Curve",$NN$89*(306-$NR$89+1)*($NS$89-306+1)/$NU$89,$NN$89/$NT$89)),0)</f>
        <v/>
      </c>
      <c r="KY89" s="402">
        <f>IF(AND(307&gt;=$NR$89,307&lt;=$NS$89),IF($NP$89="Single_Point",IF(307=$NR$89,$NN$89,0),IF($NP$89="Bell_Curve",$NN$89*(307-$NR$89+1)*($NS$89-307+1)/$NU$89,$NN$89/$NT$89)),0)</f>
        <v/>
      </c>
      <c r="KZ89" s="402">
        <f>IF(AND(308&gt;=$NR$89,308&lt;=$NS$89),IF($NP$89="Single_Point",IF(308=$NR$89,$NN$89,0),IF($NP$89="Bell_Curve",$NN$89*(308-$NR$89+1)*($NS$89-308+1)/$NU$89,$NN$89/$NT$89)),0)</f>
        <v/>
      </c>
      <c r="LA89" s="402">
        <f>IF(AND(309&gt;=$NR$89,309&lt;=$NS$89),IF($NP$89="Single_Point",IF(309=$NR$89,$NN$89,0),IF($NP$89="Bell_Curve",$NN$89*(309-$NR$89+1)*($NS$89-309+1)/$NU$89,$NN$89/$NT$89)),0)</f>
        <v/>
      </c>
      <c r="LB89" s="402">
        <f>IF(AND(310&gt;=$NR$89,310&lt;=$NS$89),IF($NP$89="Single_Point",IF(310=$NR$89,$NN$89,0),IF($NP$89="Bell_Curve",$NN$89*(310-$NR$89+1)*($NS$89-310+1)/$NU$89,$NN$89/$NT$89)),0)</f>
        <v/>
      </c>
      <c r="LC89" s="402">
        <f>IF(AND(311&gt;=$NR$89,311&lt;=$NS$89),IF($NP$89="Single_Point",IF(311=$NR$89,$NN$89,0),IF($NP$89="Bell_Curve",$NN$89*(311-$NR$89+1)*($NS$89-311+1)/$NU$89,$NN$89/$NT$89)),0)</f>
        <v/>
      </c>
      <c r="LD89" s="402">
        <f>IF(AND(312&gt;=$NR$89,312&lt;=$NS$89),IF($NP$89="Single_Point",IF(312=$NR$89,$NN$89,0),IF($NP$89="Bell_Curve",$NN$89*(312-$NR$89+1)*($NS$89-312+1)/$NU$89,$NN$89/$NT$89)),0)</f>
        <v/>
      </c>
      <c r="LE89" s="402">
        <f>IF(AND(313&gt;=$NR$89,313&lt;=$NS$89),IF($NP$89="Single_Point",IF(313=$NR$89,$NN$89,0),IF($NP$89="Bell_Curve",$NN$89*(313-$NR$89+1)*($NS$89-313+1)/$NU$89,$NN$89/$NT$89)),0)</f>
        <v/>
      </c>
      <c r="LF89" s="402">
        <f>IF(AND(314&gt;=$NR$89,314&lt;=$NS$89),IF($NP$89="Single_Point",IF(314=$NR$89,$NN$89,0),IF($NP$89="Bell_Curve",$NN$89*(314-$NR$89+1)*($NS$89-314+1)/$NU$89,$NN$89/$NT$89)),0)</f>
        <v/>
      </c>
      <c r="LG89" s="402">
        <f>IF(AND(315&gt;=$NR$89,315&lt;=$NS$89),IF($NP$89="Single_Point",IF(315=$NR$89,$NN$89,0),IF($NP$89="Bell_Curve",$NN$89*(315-$NR$89+1)*($NS$89-315+1)/$NU$89,$NN$89/$NT$89)),0)</f>
        <v/>
      </c>
      <c r="LH89" s="402">
        <f>IF(AND(316&gt;=$NR$89,316&lt;=$NS$89),IF($NP$89="Single_Point",IF(316=$NR$89,$NN$89,0),IF($NP$89="Bell_Curve",$NN$89*(316-$NR$89+1)*($NS$89-316+1)/$NU$89,$NN$89/$NT$89)),0)</f>
        <v/>
      </c>
      <c r="LI89" s="402">
        <f>IF(AND(317&gt;=$NR$89,317&lt;=$NS$89),IF($NP$89="Single_Point",IF(317=$NR$89,$NN$89,0),IF($NP$89="Bell_Curve",$NN$89*(317-$NR$89+1)*($NS$89-317+1)/$NU$89,$NN$89/$NT$89)),0)</f>
        <v/>
      </c>
      <c r="LJ89" s="402">
        <f>IF(AND(318&gt;=$NR$89,318&lt;=$NS$89),IF($NP$89="Single_Point",IF(318=$NR$89,$NN$89,0),IF($NP$89="Bell_Curve",$NN$89*(318-$NR$89+1)*($NS$89-318+1)/$NU$89,$NN$89/$NT$89)),0)</f>
        <v/>
      </c>
      <c r="LK89" s="402">
        <f>IF(AND(319&gt;=$NR$89,319&lt;=$NS$89),IF($NP$89="Single_Point",IF(319=$NR$89,$NN$89,0),IF($NP$89="Bell_Curve",$NN$89*(319-$NR$89+1)*($NS$89-319+1)/$NU$89,$NN$89/$NT$89)),0)</f>
        <v/>
      </c>
      <c r="LL89" s="402">
        <f>IF(AND(320&gt;=$NR$89,320&lt;=$NS$89),IF($NP$89="Single_Point",IF(320=$NR$89,$NN$89,0),IF($NP$89="Bell_Curve",$NN$89*(320-$NR$89+1)*($NS$89-320+1)/$NU$89,$NN$89/$NT$89)),0)</f>
        <v/>
      </c>
      <c r="LM89" s="402">
        <f>IF(AND(321&gt;=$NR$89,321&lt;=$NS$89),IF($NP$89="Single_Point",IF(321=$NR$89,$NN$89,0),IF($NP$89="Bell_Curve",$NN$89*(321-$NR$89+1)*($NS$89-321+1)/$NU$89,$NN$89/$NT$89)),0)</f>
        <v/>
      </c>
      <c r="LN89" s="402">
        <f>IF(AND(322&gt;=$NR$89,322&lt;=$NS$89),IF($NP$89="Single_Point",IF(322=$NR$89,$NN$89,0),IF($NP$89="Bell_Curve",$NN$89*(322-$NR$89+1)*($NS$89-322+1)/$NU$89,$NN$89/$NT$89)),0)</f>
        <v/>
      </c>
      <c r="LO89" s="402">
        <f>IF(AND(323&gt;=$NR$89,323&lt;=$NS$89),IF($NP$89="Single_Point",IF(323=$NR$89,$NN$89,0),IF($NP$89="Bell_Curve",$NN$89*(323-$NR$89+1)*($NS$89-323+1)/$NU$89,$NN$89/$NT$89)),0)</f>
        <v/>
      </c>
      <c r="LP89" s="402">
        <f>IF(AND(324&gt;=$NR$89,324&lt;=$NS$89),IF($NP$89="Single_Point",IF(324=$NR$89,$NN$89,0),IF($NP$89="Bell_Curve",$NN$89*(324-$NR$89+1)*($NS$89-324+1)/$NU$89,$NN$89/$NT$89)),0)</f>
        <v/>
      </c>
      <c r="LQ89" s="402">
        <f>IF(AND(325&gt;=$NR$89,325&lt;=$NS$89),IF($NP$89="Single_Point",IF(325=$NR$89,$NN$89,0),IF($NP$89="Bell_Curve",$NN$89*(325-$NR$89+1)*($NS$89-325+1)/$NU$89,$NN$89/$NT$89)),0)</f>
        <v/>
      </c>
      <c r="LR89" s="402">
        <f>IF(AND(326&gt;=$NR$89,326&lt;=$NS$89),IF($NP$89="Single_Point",IF(326=$NR$89,$NN$89,0),IF($NP$89="Bell_Curve",$NN$89*(326-$NR$89+1)*($NS$89-326+1)/$NU$89,$NN$89/$NT$89)),0)</f>
        <v/>
      </c>
      <c r="LS89" s="402">
        <f>IF(AND(327&gt;=$NR$89,327&lt;=$NS$89),IF($NP$89="Single_Point",IF(327=$NR$89,$NN$89,0),IF($NP$89="Bell_Curve",$NN$89*(327-$NR$89+1)*($NS$89-327+1)/$NU$89,$NN$89/$NT$89)),0)</f>
        <v/>
      </c>
      <c r="LT89" s="402">
        <f>IF(AND(328&gt;=$NR$89,328&lt;=$NS$89),IF($NP$89="Single_Point",IF(328=$NR$89,$NN$89,0),IF($NP$89="Bell_Curve",$NN$89*(328-$NR$89+1)*($NS$89-328+1)/$NU$89,$NN$89/$NT$89)),0)</f>
        <v/>
      </c>
      <c r="LU89" s="402">
        <f>IF(AND(329&gt;=$NR$89,329&lt;=$NS$89),IF($NP$89="Single_Point",IF(329=$NR$89,$NN$89,0),IF($NP$89="Bell_Curve",$NN$89*(329-$NR$89+1)*($NS$89-329+1)/$NU$89,$NN$89/$NT$89)),0)</f>
        <v/>
      </c>
      <c r="LV89" s="402">
        <f>IF(AND(330&gt;=$NR$89,330&lt;=$NS$89),IF($NP$89="Single_Point",IF(330=$NR$89,$NN$89,0),IF($NP$89="Bell_Curve",$NN$89*(330-$NR$89+1)*($NS$89-330+1)/$NU$89,$NN$89/$NT$89)),0)</f>
        <v/>
      </c>
      <c r="LW89" s="402">
        <f>IF(AND(331&gt;=$NR$89,331&lt;=$NS$89),IF($NP$89="Single_Point",IF(331=$NR$89,$NN$89,0),IF($NP$89="Bell_Curve",$NN$89*(331-$NR$89+1)*($NS$89-331+1)/$NU$89,$NN$89/$NT$89)),0)</f>
        <v/>
      </c>
      <c r="LX89" s="402">
        <f>IF(AND(332&gt;=$NR$89,332&lt;=$NS$89),IF($NP$89="Single_Point",IF(332=$NR$89,$NN$89,0),IF($NP$89="Bell_Curve",$NN$89*(332-$NR$89+1)*($NS$89-332+1)/$NU$89,$NN$89/$NT$89)),0)</f>
        <v/>
      </c>
      <c r="LY89" s="402">
        <f>IF(AND(333&gt;=$NR$89,333&lt;=$NS$89),IF($NP$89="Single_Point",IF(333=$NR$89,$NN$89,0),IF($NP$89="Bell_Curve",$NN$89*(333-$NR$89+1)*($NS$89-333+1)/$NU$89,$NN$89/$NT$89)),0)</f>
        <v/>
      </c>
      <c r="LZ89" s="402">
        <f>IF(AND(334&gt;=$NR$89,334&lt;=$NS$89),IF($NP$89="Single_Point",IF(334=$NR$89,$NN$89,0),IF($NP$89="Bell_Curve",$NN$89*(334-$NR$89+1)*($NS$89-334+1)/$NU$89,$NN$89/$NT$89)),0)</f>
        <v/>
      </c>
      <c r="MA89" s="402">
        <f>IF(AND(335&gt;=$NR$89,335&lt;=$NS$89),IF($NP$89="Single_Point",IF(335=$NR$89,$NN$89,0),IF($NP$89="Bell_Curve",$NN$89*(335-$NR$89+1)*($NS$89-335+1)/$NU$89,$NN$89/$NT$89)),0)</f>
        <v/>
      </c>
      <c r="MB89" s="402">
        <f>IF(AND(336&gt;=$NR$89,336&lt;=$NS$89),IF($NP$89="Single_Point",IF(336=$NR$89,$NN$89,0),IF($NP$89="Bell_Curve",$NN$89*(336-$NR$89+1)*($NS$89-336+1)/$NU$89,$NN$89/$NT$89)),0)</f>
        <v/>
      </c>
      <c r="MC89" s="402">
        <f>IF(AND(337&gt;=$NR$89,337&lt;=$NS$89),IF($NP$89="Single_Point",IF(337=$NR$89,$NN$89,0),IF($NP$89="Bell_Curve",$NN$89*(337-$NR$89+1)*($NS$89-337+1)/$NU$89,$NN$89/$NT$89)),0)</f>
        <v/>
      </c>
      <c r="MD89" s="402">
        <f>IF(AND(338&gt;=$NR$89,338&lt;=$NS$89),IF($NP$89="Single_Point",IF(338=$NR$89,$NN$89,0),IF($NP$89="Bell_Curve",$NN$89*(338-$NR$89+1)*($NS$89-338+1)/$NU$89,$NN$89/$NT$89)),0)</f>
        <v/>
      </c>
      <c r="ME89" s="402">
        <f>IF(AND(339&gt;=$NR$89,339&lt;=$NS$89),IF($NP$89="Single_Point",IF(339=$NR$89,$NN$89,0),IF($NP$89="Bell_Curve",$NN$89*(339-$NR$89+1)*($NS$89-339+1)/$NU$89,$NN$89/$NT$89)),0)</f>
        <v/>
      </c>
      <c r="MF89" s="402">
        <f>IF(AND(340&gt;=$NR$89,340&lt;=$NS$89),IF($NP$89="Single_Point",IF(340=$NR$89,$NN$89,0),IF($NP$89="Bell_Curve",$NN$89*(340-$NR$89+1)*($NS$89-340+1)/$NU$89,$NN$89/$NT$89)),0)</f>
        <v/>
      </c>
      <c r="MG89" s="402">
        <f>IF(AND(341&gt;=$NR$89,341&lt;=$NS$89),IF($NP$89="Single_Point",IF(341=$NR$89,$NN$89,0),IF($NP$89="Bell_Curve",$NN$89*(341-$NR$89+1)*($NS$89-341+1)/$NU$89,$NN$89/$NT$89)),0)</f>
        <v/>
      </c>
      <c r="MH89" s="402">
        <f>IF(AND(342&gt;=$NR$89,342&lt;=$NS$89),IF($NP$89="Single_Point",IF(342=$NR$89,$NN$89,0),IF($NP$89="Bell_Curve",$NN$89*(342-$NR$89+1)*($NS$89-342+1)/$NU$89,$NN$89/$NT$89)),0)</f>
        <v/>
      </c>
      <c r="MI89" s="402">
        <f>IF(AND(343&gt;=$NR$89,343&lt;=$NS$89),IF($NP$89="Single_Point",IF(343=$NR$89,$NN$89,0),IF($NP$89="Bell_Curve",$NN$89*(343-$NR$89+1)*($NS$89-343+1)/$NU$89,$NN$89/$NT$89)),0)</f>
        <v/>
      </c>
      <c r="MJ89" s="402">
        <f>IF(AND(344&gt;=$NR$89,344&lt;=$NS$89),IF($NP$89="Single_Point",IF(344=$NR$89,$NN$89,0),IF($NP$89="Bell_Curve",$NN$89*(344-$NR$89+1)*($NS$89-344+1)/$NU$89,$NN$89/$NT$89)),0)</f>
        <v/>
      </c>
      <c r="MK89" s="402">
        <f>IF(AND(345&gt;=$NR$89,345&lt;=$NS$89),IF($NP$89="Single_Point",IF(345=$NR$89,$NN$89,0),IF($NP$89="Bell_Curve",$NN$89*(345-$NR$89+1)*($NS$89-345+1)/$NU$89,$NN$89/$NT$89)),0)</f>
        <v/>
      </c>
      <c r="ML89" s="402">
        <f>IF(AND(346&gt;=$NR$89,346&lt;=$NS$89),IF($NP$89="Single_Point",IF(346=$NR$89,$NN$89,0),IF($NP$89="Bell_Curve",$NN$89*(346-$NR$89+1)*($NS$89-346+1)/$NU$89,$NN$89/$NT$89)),0)</f>
        <v/>
      </c>
      <c r="MM89" s="402">
        <f>IF(AND(347&gt;=$NR$89,347&lt;=$NS$89),IF($NP$89="Single_Point",IF(347=$NR$89,$NN$89,0),IF($NP$89="Bell_Curve",$NN$89*(347-$NR$89+1)*($NS$89-347+1)/$NU$89,$NN$89/$NT$89)),0)</f>
        <v/>
      </c>
      <c r="MN89" s="402">
        <f>IF(AND(348&gt;=$NR$89,348&lt;=$NS$89),IF($NP$89="Single_Point",IF(348=$NR$89,$NN$89,0),IF($NP$89="Bell_Curve",$NN$89*(348-$NR$89+1)*($NS$89-348+1)/$NU$89,$NN$89/$NT$89)),0)</f>
        <v/>
      </c>
      <c r="MO89" s="402">
        <f>IF(AND(349&gt;=$NR$89,349&lt;=$NS$89),IF($NP$89="Single_Point",IF(349=$NR$89,$NN$89,0),IF($NP$89="Bell_Curve",$NN$89*(349-$NR$89+1)*($NS$89-349+1)/$NU$89,$NN$89/$NT$89)),0)</f>
        <v/>
      </c>
      <c r="MP89" s="402">
        <f>IF(AND(350&gt;=$NR$89,350&lt;=$NS$89),IF($NP$89="Single_Point",IF(350=$NR$89,$NN$89,0),IF($NP$89="Bell_Curve",$NN$89*(350-$NR$89+1)*($NS$89-350+1)/$NU$89,$NN$89/$NT$89)),0)</f>
        <v/>
      </c>
      <c r="MQ89" s="402">
        <f>IF(AND(351&gt;=$NR$89,351&lt;=$NS$89),IF($NP$89="Single_Point",IF(351=$NR$89,$NN$89,0),IF($NP$89="Bell_Curve",$NN$89*(351-$NR$89+1)*($NS$89-351+1)/$NU$89,$NN$89/$NT$89)),0)</f>
        <v/>
      </c>
      <c r="MR89" s="402">
        <f>IF(AND(352&gt;=$NR$89,352&lt;=$NS$89),IF($NP$89="Single_Point",IF(352=$NR$89,$NN$89,0),IF($NP$89="Bell_Curve",$NN$89*(352-$NR$89+1)*($NS$89-352+1)/$NU$89,$NN$89/$NT$89)),0)</f>
        <v/>
      </c>
      <c r="MS89" s="402">
        <f>IF(AND(353&gt;=$NR$89,353&lt;=$NS$89),IF($NP$89="Single_Point",IF(353=$NR$89,$NN$89,0),IF($NP$89="Bell_Curve",$NN$89*(353-$NR$89+1)*($NS$89-353+1)/$NU$89,$NN$89/$NT$89)),0)</f>
        <v/>
      </c>
      <c r="MT89" s="402">
        <f>IF(AND(354&gt;=$NR$89,354&lt;=$NS$89),IF($NP$89="Single_Point",IF(354=$NR$89,$NN$89,0),IF($NP$89="Bell_Curve",$NN$89*(354-$NR$89+1)*($NS$89-354+1)/$NU$89,$NN$89/$NT$89)),0)</f>
        <v/>
      </c>
      <c r="MU89" s="402">
        <f>IF(AND(355&gt;=$NR$89,355&lt;=$NS$89),IF($NP$89="Single_Point",IF(355=$NR$89,$NN$89,0),IF($NP$89="Bell_Curve",$NN$89*(355-$NR$89+1)*($NS$89-355+1)/$NU$89,$NN$89/$NT$89)),0)</f>
        <v/>
      </c>
      <c r="MV89" s="402">
        <f>IF(AND(356&gt;=$NR$89,356&lt;=$NS$89),IF($NP$89="Single_Point",IF(356=$NR$89,$NN$89,0),IF($NP$89="Bell_Curve",$NN$89*(356-$NR$89+1)*($NS$89-356+1)/$NU$89,$NN$89/$NT$89)),0)</f>
        <v/>
      </c>
      <c r="MW89" s="402">
        <f>IF(AND(357&gt;=$NR$89,357&lt;=$NS$89),IF($NP$89="Single_Point",IF(357=$NR$89,$NN$89,0),IF($NP$89="Bell_Curve",$NN$89*(357-$NR$89+1)*($NS$89-357+1)/$NU$89,$NN$89/$NT$89)),0)</f>
        <v/>
      </c>
      <c r="MX89" s="402">
        <f>IF(AND(358&gt;=$NR$89,358&lt;=$NS$89),IF($NP$89="Single_Point",IF(358=$NR$89,$NN$89,0),IF($NP$89="Bell_Curve",$NN$89*(358-$NR$89+1)*($NS$89-358+1)/$NU$89,$NN$89/$NT$89)),0)</f>
        <v/>
      </c>
      <c r="MY89" s="402">
        <f>IF(AND(359&gt;=$NR$89,359&lt;=$NS$89),IF($NP$89="Single_Point",IF(359=$NR$89,$NN$89,0),IF($NP$89="Bell_Curve",$NN$89*(359-$NR$89+1)*($NS$89-359+1)/$NU$89,$NN$89/$NT$89)),0)</f>
        <v/>
      </c>
      <c r="MZ89" s="402">
        <f>IF(AND(360&gt;=$NR$89,360&lt;=$NS$89),IF($NP$89="Single_Point",IF(360=$NR$89,$NN$89,0),IF($NP$89="Bell_Curve",$NN$89*(360-$NR$89+1)*($NS$89-360+1)/$NU$89,$NN$89/$NT$89)),0)</f>
        <v/>
      </c>
      <c r="NA89" s="402">
        <f>IF(AND(361&gt;=$NR$89,361&lt;=$NS$89),IF($NP$89="Single_Point",IF(361=$NR$89,$NN$89,0),IF($NP$89="Bell_Curve",$NN$89*(361-$NR$89+1)*($NS$89-361+1)/$NU$89,$NN$89/$NT$89)),0)</f>
        <v/>
      </c>
      <c r="NB89" s="402">
        <f>IF(AND(362&gt;=$NR$89,362&lt;=$NS$89),IF($NP$89="Single_Point",IF(362=$NR$89,$NN$89,0),IF($NP$89="Bell_Curve",$NN$89*(362-$NR$89+1)*($NS$89-362+1)/$NU$89,$NN$89/$NT$89)),0)</f>
        <v/>
      </c>
      <c r="NC89" s="402">
        <f>IF(AND(363&gt;=$NR$89,363&lt;=$NS$89),IF($NP$89="Single_Point",IF(363=$NR$89,$NN$89,0),IF($NP$89="Bell_Curve",$NN$89*(363-$NR$89+1)*($NS$89-363+1)/$NU$89,$NN$89/$NT$89)),0)</f>
        <v/>
      </c>
      <c r="ND89" s="402">
        <f>IF(AND(364&gt;=$NR$89,364&lt;=$NS$89),IF($NP$89="Single_Point",IF(364=$NR$89,$NN$89,0),IF($NP$89="Bell_Curve",$NN$89*(364-$NR$89+1)*($NS$89-364+1)/$NU$89,$NN$89/$NT$89)),0)</f>
        <v/>
      </c>
      <c r="NE89" s="402">
        <f>IF(AND(365&gt;=$NR$89,365&lt;=$NS$89),IF($NP$89="Single_Point",IF(365=$NR$89,$NN$89,0),IF($NP$89="Bell_Curve",$NN$89*(365-$NR$89+1)*($NS$89-365+1)/$NU$89,$NN$89/$NT$89)),0)</f>
        <v/>
      </c>
      <c r="NF89" s="402">
        <f>IF(AND(366&gt;=$NR$89,366&lt;=$NS$89),IF($NP$89="Single_Point",IF(366=$NR$89,$NN$89,0),IF($NP$89="Bell_Curve",$NN$89*(366-$NR$89+1)*($NS$89-366+1)/$NU$89,$NN$89/$NT$89)),0)</f>
        <v/>
      </c>
      <c r="NG89" s="402">
        <f>IF(AND(367&gt;=$NR$89,367&lt;=$NS$89),IF($NP$89="Single_Point",IF(367=$NR$89,$NN$89,0),IF($NP$89="Bell_Curve",$NN$89*(367-$NR$89+1)*($NS$89-367+1)/$NU$89,$NN$89/$NT$89)),0)</f>
        <v/>
      </c>
      <c r="NH89" s="402">
        <f>IF(AND(368&gt;=$NR$89,368&lt;=$NS$89),IF($NP$89="Single_Point",IF(368=$NR$89,$NN$89,0),IF($NP$89="Bell_Curve",$NN$89*(368-$NR$89+1)*($NS$89-368+1)/$NU$89,$NN$89/$NT$89)),0)</f>
        <v/>
      </c>
      <c r="NI89" s="402">
        <f>IF(AND(369&gt;=$NR$89,369&lt;=$NS$89),IF($NP$89="Single_Point",IF(369=$NR$89,$NN$89,0),IF($NP$89="Bell_Curve",$NN$89*(369-$NR$89+1)*($NS$89-369+1)/$NU$89,$NN$89/$NT$89)),0)</f>
        <v/>
      </c>
      <c r="NJ89" s="402">
        <f>IF(AND(370&gt;=$NR$89,370&lt;=$NS$89),IF($NP$89="Single_Point",IF(370=$NR$89,$NN$89,0),IF($NP$89="Bell_Curve",$NN$89*(370-$NR$89+1)*($NS$89-370+1)/$NU$89,$NN$89/$NT$89)),0)</f>
        <v/>
      </c>
      <c r="NK89" s="402">
        <f>IF(AND(371&gt;=$NR$89,371&lt;=$NS$89),IF($NP$89="Single_Point",IF(371=$NR$89,$NN$89,0),IF($NP$89="Bell_Curve",$NN$89*(371-$NR$89+1)*($NS$89-371+1)/$NU$89,$NN$89/$NT$89)),0)</f>
        <v/>
      </c>
      <c r="NL89" s="402">
        <f>IF(AND(372&gt;=$NR$89,372&lt;=$NS$89),IF($NP$89="Single_Point",IF(372=$NR$89,$NN$89,0),IF($NP$89="Bell_Curve",$NN$89*(372-$NR$89+1)*($NS$89-372+1)/$NU$89,$NN$89/$NT$89)),0)</f>
        <v/>
      </c>
      <c r="NM89">
        <f>Budget!C88</f>
        <v/>
      </c>
      <c r="NN89">
        <f>Budget!J88</f>
        <v/>
      </c>
      <c r="NO89">
        <f>Budget!G88</f>
        <v/>
      </c>
      <c r="NP89">
        <f>Budget!H88</f>
        <v/>
      </c>
      <c r="NQ89">
        <f>Budget!I88</f>
        <v/>
      </c>
      <c r="NR89">
        <f>MAX(1,MIN(372,INDEX(MilestoneStart,MATCH(NO89,MilestoneNames,0))+NQ89))</f>
        <v/>
      </c>
      <c r="NS89">
        <f>MAX(NR89,MIN(372,INDEX(MilestoneEnd,MATCH(NO89,MilestoneNames,0))+NQ89))</f>
        <v/>
      </c>
      <c r="NT89">
        <f>NS89-NR89+1</f>
        <v/>
      </c>
      <c r="NU89">
        <f>NT89*(NT89+1)*(NT89+2)/6</f>
        <v/>
      </c>
    </row>
    <row r="90">
      <c r="B90" s="316">
        <f>Budget!B89</f>
        <v/>
      </c>
      <c r="D90" s="402">
        <f>SUM(E90:NL90)</f>
        <v/>
      </c>
      <c r="E90" s="402">
        <f>IF(AND(1&gt;=$NR$90,1&lt;=$NS$90),IF($NP$90="Single_Point",IF(1=$NR$90,$NN$90,0),IF($NP$90="Bell_Curve",$NN$90*(1-$NR$90+1)*($NS$90-1+1)/$NU$90,$NN$90/$NT$90)),0)</f>
        <v/>
      </c>
      <c r="F90" s="402">
        <f>IF(AND(2&gt;=$NR$90,2&lt;=$NS$90),IF($NP$90="Single_Point",IF(2=$NR$90,$NN$90,0),IF($NP$90="Bell_Curve",$NN$90*(2-$NR$90+1)*($NS$90-2+1)/$NU$90,$NN$90/$NT$90)),0)</f>
        <v/>
      </c>
      <c r="G90" s="402">
        <f>IF(AND(3&gt;=$NR$90,3&lt;=$NS$90),IF($NP$90="Single_Point",IF(3=$NR$90,$NN$90,0),IF($NP$90="Bell_Curve",$NN$90*(3-$NR$90+1)*($NS$90-3+1)/$NU$90,$NN$90/$NT$90)),0)</f>
        <v/>
      </c>
      <c r="H90" s="402">
        <f>IF(AND(4&gt;=$NR$90,4&lt;=$NS$90),IF($NP$90="Single_Point",IF(4=$NR$90,$NN$90,0),IF($NP$90="Bell_Curve",$NN$90*(4-$NR$90+1)*($NS$90-4+1)/$NU$90,$NN$90/$NT$90)),0)</f>
        <v/>
      </c>
      <c r="I90" s="402">
        <f>IF(AND(5&gt;=$NR$90,5&lt;=$NS$90),IF($NP$90="Single_Point",IF(5=$NR$90,$NN$90,0),IF($NP$90="Bell_Curve",$NN$90*(5-$NR$90+1)*($NS$90-5+1)/$NU$90,$NN$90/$NT$90)),0)</f>
        <v/>
      </c>
      <c r="J90" s="402">
        <f>IF(AND(6&gt;=$NR$90,6&lt;=$NS$90),IF($NP$90="Single_Point",IF(6=$NR$90,$NN$90,0),IF($NP$90="Bell_Curve",$NN$90*(6-$NR$90+1)*($NS$90-6+1)/$NU$90,$NN$90/$NT$90)),0)</f>
        <v/>
      </c>
      <c r="K90" s="402">
        <f>IF(AND(7&gt;=$NR$90,7&lt;=$NS$90),IF($NP$90="Single_Point",IF(7=$NR$90,$NN$90,0),IF($NP$90="Bell_Curve",$NN$90*(7-$NR$90+1)*($NS$90-7+1)/$NU$90,$NN$90/$NT$90)),0)</f>
        <v/>
      </c>
      <c r="L90" s="402">
        <f>IF(AND(8&gt;=$NR$90,8&lt;=$NS$90),IF($NP$90="Single_Point",IF(8=$NR$90,$NN$90,0),IF($NP$90="Bell_Curve",$NN$90*(8-$NR$90+1)*($NS$90-8+1)/$NU$90,$NN$90/$NT$90)),0)</f>
        <v/>
      </c>
      <c r="M90" s="402">
        <f>IF(AND(9&gt;=$NR$90,9&lt;=$NS$90),IF($NP$90="Single_Point",IF(9=$NR$90,$NN$90,0),IF($NP$90="Bell_Curve",$NN$90*(9-$NR$90+1)*($NS$90-9+1)/$NU$90,$NN$90/$NT$90)),0)</f>
        <v/>
      </c>
      <c r="N90" s="402">
        <f>IF(AND(10&gt;=$NR$90,10&lt;=$NS$90),IF($NP$90="Single_Point",IF(10=$NR$90,$NN$90,0),IF($NP$90="Bell_Curve",$NN$90*(10-$NR$90+1)*($NS$90-10+1)/$NU$90,$NN$90/$NT$90)),0)</f>
        <v/>
      </c>
      <c r="O90" s="402">
        <f>IF(AND(11&gt;=$NR$90,11&lt;=$NS$90),IF($NP$90="Single_Point",IF(11=$NR$90,$NN$90,0),IF($NP$90="Bell_Curve",$NN$90*(11-$NR$90+1)*($NS$90-11+1)/$NU$90,$NN$90/$NT$90)),0)</f>
        <v/>
      </c>
      <c r="P90" s="402">
        <f>IF(AND(12&gt;=$NR$90,12&lt;=$NS$90),IF($NP$90="Single_Point",IF(12=$NR$90,$NN$90,0),IF($NP$90="Bell_Curve",$NN$90*(12-$NR$90+1)*($NS$90-12+1)/$NU$90,$NN$90/$NT$90)),0)</f>
        <v/>
      </c>
      <c r="Q90" s="402">
        <f>IF(AND(13&gt;=$NR$90,13&lt;=$NS$90),IF($NP$90="Single_Point",IF(13=$NR$90,$NN$90,0),IF($NP$90="Bell_Curve",$NN$90*(13-$NR$90+1)*($NS$90-13+1)/$NU$90,$NN$90/$NT$90)),0)</f>
        <v/>
      </c>
      <c r="R90" s="402">
        <f>IF(AND(14&gt;=$NR$90,14&lt;=$NS$90),IF($NP$90="Single_Point",IF(14=$NR$90,$NN$90,0),IF($NP$90="Bell_Curve",$NN$90*(14-$NR$90+1)*($NS$90-14+1)/$NU$90,$NN$90/$NT$90)),0)</f>
        <v/>
      </c>
      <c r="S90" s="402">
        <f>IF(AND(15&gt;=$NR$90,15&lt;=$NS$90),IF($NP$90="Single_Point",IF(15=$NR$90,$NN$90,0),IF($NP$90="Bell_Curve",$NN$90*(15-$NR$90+1)*($NS$90-15+1)/$NU$90,$NN$90/$NT$90)),0)</f>
        <v/>
      </c>
      <c r="T90" s="402">
        <f>IF(AND(16&gt;=$NR$90,16&lt;=$NS$90),IF($NP$90="Single_Point",IF(16=$NR$90,$NN$90,0),IF($NP$90="Bell_Curve",$NN$90*(16-$NR$90+1)*($NS$90-16+1)/$NU$90,$NN$90/$NT$90)),0)</f>
        <v/>
      </c>
      <c r="U90" s="402">
        <f>IF(AND(17&gt;=$NR$90,17&lt;=$NS$90),IF($NP$90="Single_Point",IF(17=$NR$90,$NN$90,0),IF($NP$90="Bell_Curve",$NN$90*(17-$NR$90+1)*($NS$90-17+1)/$NU$90,$NN$90/$NT$90)),0)</f>
        <v/>
      </c>
      <c r="V90" s="402">
        <f>IF(AND(18&gt;=$NR$90,18&lt;=$NS$90),IF($NP$90="Single_Point",IF(18=$NR$90,$NN$90,0),IF($NP$90="Bell_Curve",$NN$90*(18-$NR$90+1)*($NS$90-18+1)/$NU$90,$NN$90/$NT$90)),0)</f>
        <v/>
      </c>
      <c r="W90" s="402">
        <f>IF(AND(19&gt;=$NR$90,19&lt;=$NS$90),IF($NP$90="Single_Point",IF(19=$NR$90,$NN$90,0),IF($NP$90="Bell_Curve",$NN$90*(19-$NR$90+1)*($NS$90-19+1)/$NU$90,$NN$90/$NT$90)),0)</f>
        <v/>
      </c>
      <c r="X90" s="402">
        <f>IF(AND(20&gt;=$NR$90,20&lt;=$NS$90),IF($NP$90="Single_Point",IF(20=$NR$90,$NN$90,0),IF($NP$90="Bell_Curve",$NN$90*(20-$NR$90+1)*($NS$90-20+1)/$NU$90,$NN$90/$NT$90)),0)</f>
        <v/>
      </c>
      <c r="Y90" s="402">
        <f>IF(AND(21&gt;=$NR$90,21&lt;=$NS$90),IF($NP$90="Single_Point",IF(21=$NR$90,$NN$90,0),IF($NP$90="Bell_Curve",$NN$90*(21-$NR$90+1)*($NS$90-21+1)/$NU$90,$NN$90/$NT$90)),0)</f>
        <v/>
      </c>
      <c r="Z90" s="402">
        <f>IF(AND(22&gt;=$NR$90,22&lt;=$NS$90),IF($NP$90="Single_Point",IF(22=$NR$90,$NN$90,0),IF($NP$90="Bell_Curve",$NN$90*(22-$NR$90+1)*($NS$90-22+1)/$NU$90,$NN$90/$NT$90)),0)</f>
        <v/>
      </c>
      <c r="AA90" s="402">
        <f>IF(AND(23&gt;=$NR$90,23&lt;=$NS$90),IF($NP$90="Single_Point",IF(23=$NR$90,$NN$90,0),IF($NP$90="Bell_Curve",$NN$90*(23-$NR$90+1)*($NS$90-23+1)/$NU$90,$NN$90/$NT$90)),0)</f>
        <v/>
      </c>
      <c r="AB90" s="402">
        <f>IF(AND(24&gt;=$NR$90,24&lt;=$NS$90),IF($NP$90="Single_Point",IF(24=$NR$90,$NN$90,0),IF($NP$90="Bell_Curve",$NN$90*(24-$NR$90+1)*($NS$90-24+1)/$NU$90,$NN$90/$NT$90)),0)</f>
        <v/>
      </c>
      <c r="AC90" s="402">
        <f>IF(AND(25&gt;=$NR$90,25&lt;=$NS$90),IF($NP$90="Single_Point",IF(25=$NR$90,$NN$90,0),IF($NP$90="Bell_Curve",$NN$90*(25-$NR$90+1)*($NS$90-25+1)/$NU$90,$NN$90/$NT$90)),0)</f>
        <v/>
      </c>
      <c r="AD90" s="402">
        <f>IF(AND(26&gt;=$NR$90,26&lt;=$NS$90),IF($NP$90="Single_Point",IF(26=$NR$90,$NN$90,0),IF($NP$90="Bell_Curve",$NN$90*(26-$NR$90+1)*($NS$90-26+1)/$NU$90,$NN$90/$NT$90)),0)</f>
        <v/>
      </c>
      <c r="AE90" s="402">
        <f>IF(AND(27&gt;=$NR$90,27&lt;=$NS$90),IF($NP$90="Single_Point",IF(27=$NR$90,$NN$90,0),IF($NP$90="Bell_Curve",$NN$90*(27-$NR$90+1)*($NS$90-27+1)/$NU$90,$NN$90/$NT$90)),0)</f>
        <v/>
      </c>
      <c r="AF90" s="402">
        <f>IF(AND(28&gt;=$NR$90,28&lt;=$NS$90),IF($NP$90="Single_Point",IF(28=$NR$90,$NN$90,0),IF($NP$90="Bell_Curve",$NN$90*(28-$NR$90+1)*($NS$90-28+1)/$NU$90,$NN$90/$NT$90)),0)</f>
        <v/>
      </c>
      <c r="AG90" s="402">
        <f>IF(AND(29&gt;=$NR$90,29&lt;=$NS$90),IF($NP$90="Single_Point",IF(29=$NR$90,$NN$90,0),IF($NP$90="Bell_Curve",$NN$90*(29-$NR$90+1)*($NS$90-29+1)/$NU$90,$NN$90/$NT$90)),0)</f>
        <v/>
      </c>
      <c r="AH90" s="402">
        <f>IF(AND(30&gt;=$NR$90,30&lt;=$NS$90),IF($NP$90="Single_Point",IF(30=$NR$90,$NN$90,0),IF($NP$90="Bell_Curve",$NN$90*(30-$NR$90+1)*($NS$90-30+1)/$NU$90,$NN$90/$NT$90)),0)</f>
        <v/>
      </c>
      <c r="AI90" s="402">
        <f>IF(AND(31&gt;=$NR$90,31&lt;=$NS$90),IF($NP$90="Single_Point",IF(31=$NR$90,$NN$90,0),IF($NP$90="Bell_Curve",$NN$90*(31-$NR$90+1)*($NS$90-31+1)/$NU$90,$NN$90/$NT$90)),0)</f>
        <v/>
      </c>
      <c r="AJ90" s="402">
        <f>IF(AND(32&gt;=$NR$90,32&lt;=$NS$90),IF($NP$90="Single_Point",IF(32=$NR$90,$NN$90,0),IF($NP$90="Bell_Curve",$NN$90*(32-$NR$90+1)*($NS$90-32+1)/$NU$90,$NN$90/$NT$90)),0)</f>
        <v/>
      </c>
      <c r="AK90" s="402">
        <f>IF(AND(33&gt;=$NR$90,33&lt;=$NS$90),IF($NP$90="Single_Point",IF(33=$NR$90,$NN$90,0),IF($NP$90="Bell_Curve",$NN$90*(33-$NR$90+1)*($NS$90-33+1)/$NU$90,$NN$90/$NT$90)),0)</f>
        <v/>
      </c>
      <c r="AL90" s="402">
        <f>IF(AND(34&gt;=$NR$90,34&lt;=$NS$90),IF($NP$90="Single_Point",IF(34=$NR$90,$NN$90,0),IF($NP$90="Bell_Curve",$NN$90*(34-$NR$90+1)*($NS$90-34+1)/$NU$90,$NN$90/$NT$90)),0)</f>
        <v/>
      </c>
      <c r="AM90" s="402">
        <f>IF(AND(35&gt;=$NR$90,35&lt;=$NS$90),IF($NP$90="Single_Point",IF(35=$NR$90,$NN$90,0),IF($NP$90="Bell_Curve",$NN$90*(35-$NR$90+1)*($NS$90-35+1)/$NU$90,$NN$90/$NT$90)),0)</f>
        <v/>
      </c>
      <c r="AN90" s="402">
        <f>IF(AND(36&gt;=$NR$90,36&lt;=$NS$90),IF($NP$90="Single_Point",IF(36=$NR$90,$NN$90,0),IF($NP$90="Bell_Curve",$NN$90*(36-$NR$90+1)*($NS$90-36+1)/$NU$90,$NN$90/$NT$90)),0)</f>
        <v/>
      </c>
      <c r="AO90" s="402">
        <f>IF(AND(37&gt;=$NR$90,37&lt;=$NS$90),IF($NP$90="Single_Point",IF(37=$NR$90,$NN$90,0),IF($NP$90="Bell_Curve",$NN$90*(37-$NR$90+1)*($NS$90-37+1)/$NU$90,$NN$90/$NT$90)),0)</f>
        <v/>
      </c>
      <c r="AP90" s="402">
        <f>IF(AND(38&gt;=$NR$90,38&lt;=$NS$90),IF($NP$90="Single_Point",IF(38=$NR$90,$NN$90,0),IF($NP$90="Bell_Curve",$NN$90*(38-$NR$90+1)*($NS$90-38+1)/$NU$90,$NN$90/$NT$90)),0)</f>
        <v/>
      </c>
      <c r="AQ90" s="402">
        <f>IF(AND(39&gt;=$NR$90,39&lt;=$NS$90),IF($NP$90="Single_Point",IF(39=$NR$90,$NN$90,0),IF($NP$90="Bell_Curve",$NN$90*(39-$NR$90+1)*($NS$90-39+1)/$NU$90,$NN$90/$NT$90)),0)</f>
        <v/>
      </c>
      <c r="AR90" s="402">
        <f>IF(AND(40&gt;=$NR$90,40&lt;=$NS$90),IF($NP$90="Single_Point",IF(40=$NR$90,$NN$90,0),IF($NP$90="Bell_Curve",$NN$90*(40-$NR$90+1)*($NS$90-40+1)/$NU$90,$NN$90/$NT$90)),0)</f>
        <v/>
      </c>
      <c r="AS90" s="402">
        <f>IF(AND(41&gt;=$NR$90,41&lt;=$NS$90),IF($NP$90="Single_Point",IF(41=$NR$90,$NN$90,0),IF($NP$90="Bell_Curve",$NN$90*(41-$NR$90+1)*($NS$90-41+1)/$NU$90,$NN$90/$NT$90)),0)</f>
        <v/>
      </c>
      <c r="AT90" s="402">
        <f>IF(AND(42&gt;=$NR$90,42&lt;=$NS$90),IF($NP$90="Single_Point",IF(42=$NR$90,$NN$90,0),IF($NP$90="Bell_Curve",$NN$90*(42-$NR$90+1)*($NS$90-42+1)/$NU$90,$NN$90/$NT$90)),0)</f>
        <v/>
      </c>
      <c r="AU90" s="402">
        <f>IF(AND(43&gt;=$NR$90,43&lt;=$NS$90),IF($NP$90="Single_Point",IF(43=$NR$90,$NN$90,0),IF($NP$90="Bell_Curve",$NN$90*(43-$NR$90+1)*($NS$90-43+1)/$NU$90,$NN$90/$NT$90)),0)</f>
        <v/>
      </c>
      <c r="AV90" s="402">
        <f>IF(AND(44&gt;=$NR$90,44&lt;=$NS$90),IF($NP$90="Single_Point",IF(44=$NR$90,$NN$90,0),IF($NP$90="Bell_Curve",$NN$90*(44-$NR$90+1)*($NS$90-44+1)/$NU$90,$NN$90/$NT$90)),0)</f>
        <v/>
      </c>
      <c r="AW90" s="402">
        <f>IF(AND(45&gt;=$NR$90,45&lt;=$NS$90),IF($NP$90="Single_Point",IF(45=$NR$90,$NN$90,0),IF($NP$90="Bell_Curve",$NN$90*(45-$NR$90+1)*($NS$90-45+1)/$NU$90,$NN$90/$NT$90)),0)</f>
        <v/>
      </c>
      <c r="AX90" s="402">
        <f>IF(AND(46&gt;=$NR$90,46&lt;=$NS$90),IF($NP$90="Single_Point",IF(46=$NR$90,$NN$90,0),IF($NP$90="Bell_Curve",$NN$90*(46-$NR$90+1)*($NS$90-46+1)/$NU$90,$NN$90/$NT$90)),0)</f>
        <v/>
      </c>
      <c r="AY90" s="402">
        <f>IF(AND(47&gt;=$NR$90,47&lt;=$NS$90),IF($NP$90="Single_Point",IF(47=$NR$90,$NN$90,0),IF($NP$90="Bell_Curve",$NN$90*(47-$NR$90+1)*($NS$90-47+1)/$NU$90,$NN$90/$NT$90)),0)</f>
        <v/>
      </c>
      <c r="AZ90" s="402">
        <f>IF(AND(48&gt;=$NR$90,48&lt;=$NS$90),IF($NP$90="Single_Point",IF(48=$NR$90,$NN$90,0),IF($NP$90="Bell_Curve",$NN$90*(48-$NR$90+1)*($NS$90-48+1)/$NU$90,$NN$90/$NT$90)),0)</f>
        <v/>
      </c>
      <c r="BA90" s="402">
        <f>IF(AND(49&gt;=$NR$90,49&lt;=$NS$90),IF($NP$90="Single_Point",IF(49=$NR$90,$NN$90,0),IF($NP$90="Bell_Curve",$NN$90*(49-$NR$90+1)*($NS$90-49+1)/$NU$90,$NN$90/$NT$90)),0)</f>
        <v/>
      </c>
      <c r="BB90" s="402">
        <f>IF(AND(50&gt;=$NR$90,50&lt;=$NS$90),IF($NP$90="Single_Point",IF(50=$NR$90,$NN$90,0),IF($NP$90="Bell_Curve",$NN$90*(50-$NR$90+1)*($NS$90-50+1)/$NU$90,$NN$90/$NT$90)),0)</f>
        <v/>
      </c>
      <c r="BC90" s="402">
        <f>IF(AND(51&gt;=$NR$90,51&lt;=$NS$90),IF($NP$90="Single_Point",IF(51=$NR$90,$NN$90,0),IF($NP$90="Bell_Curve",$NN$90*(51-$NR$90+1)*($NS$90-51+1)/$NU$90,$NN$90/$NT$90)),0)</f>
        <v/>
      </c>
      <c r="BD90" s="402">
        <f>IF(AND(52&gt;=$NR$90,52&lt;=$NS$90),IF($NP$90="Single_Point",IF(52=$NR$90,$NN$90,0),IF($NP$90="Bell_Curve",$NN$90*(52-$NR$90+1)*($NS$90-52+1)/$NU$90,$NN$90/$NT$90)),0)</f>
        <v/>
      </c>
      <c r="BE90" s="402">
        <f>IF(AND(53&gt;=$NR$90,53&lt;=$NS$90),IF($NP$90="Single_Point",IF(53=$NR$90,$NN$90,0),IF($NP$90="Bell_Curve",$NN$90*(53-$NR$90+1)*($NS$90-53+1)/$NU$90,$NN$90/$NT$90)),0)</f>
        <v/>
      </c>
      <c r="BF90" s="402">
        <f>IF(AND(54&gt;=$NR$90,54&lt;=$NS$90),IF($NP$90="Single_Point",IF(54=$NR$90,$NN$90,0),IF($NP$90="Bell_Curve",$NN$90*(54-$NR$90+1)*($NS$90-54+1)/$NU$90,$NN$90/$NT$90)),0)</f>
        <v/>
      </c>
      <c r="BG90" s="402">
        <f>IF(AND(55&gt;=$NR$90,55&lt;=$NS$90),IF($NP$90="Single_Point",IF(55=$NR$90,$NN$90,0),IF($NP$90="Bell_Curve",$NN$90*(55-$NR$90+1)*($NS$90-55+1)/$NU$90,$NN$90/$NT$90)),0)</f>
        <v/>
      </c>
      <c r="BH90" s="402">
        <f>IF(AND(56&gt;=$NR$90,56&lt;=$NS$90),IF($NP$90="Single_Point",IF(56=$NR$90,$NN$90,0),IF($NP$90="Bell_Curve",$NN$90*(56-$NR$90+1)*($NS$90-56+1)/$NU$90,$NN$90/$NT$90)),0)</f>
        <v/>
      </c>
      <c r="BI90" s="402">
        <f>IF(AND(57&gt;=$NR$90,57&lt;=$NS$90),IF($NP$90="Single_Point",IF(57=$NR$90,$NN$90,0),IF($NP$90="Bell_Curve",$NN$90*(57-$NR$90+1)*($NS$90-57+1)/$NU$90,$NN$90/$NT$90)),0)</f>
        <v/>
      </c>
      <c r="BJ90" s="402">
        <f>IF(AND(58&gt;=$NR$90,58&lt;=$NS$90),IF($NP$90="Single_Point",IF(58=$NR$90,$NN$90,0),IF($NP$90="Bell_Curve",$NN$90*(58-$NR$90+1)*($NS$90-58+1)/$NU$90,$NN$90/$NT$90)),0)</f>
        <v/>
      </c>
      <c r="BK90" s="402">
        <f>IF(AND(59&gt;=$NR$90,59&lt;=$NS$90),IF($NP$90="Single_Point",IF(59=$NR$90,$NN$90,0),IF($NP$90="Bell_Curve",$NN$90*(59-$NR$90+1)*($NS$90-59+1)/$NU$90,$NN$90/$NT$90)),0)</f>
        <v/>
      </c>
      <c r="BL90" s="402">
        <f>IF(AND(60&gt;=$NR$90,60&lt;=$NS$90),IF($NP$90="Single_Point",IF(60=$NR$90,$NN$90,0),IF($NP$90="Bell_Curve",$NN$90*(60-$NR$90+1)*($NS$90-60+1)/$NU$90,$NN$90/$NT$90)),0)</f>
        <v/>
      </c>
      <c r="BM90" s="402">
        <f>IF(AND(61&gt;=$NR$90,61&lt;=$NS$90),IF($NP$90="Single_Point",IF(61=$NR$90,$NN$90,0),IF($NP$90="Bell_Curve",$NN$90*(61-$NR$90+1)*($NS$90-61+1)/$NU$90,$NN$90/$NT$90)),0)</f>
        <v/>
      </c>
      <c r="BN90" s="402">
        <f>IF(AND(62&gt;=$NR$90,62&lt;=$NS$90),IF($NP$90="Single_Point",IF(62=$NR$90,$NN$90,0),IF($NP$90="Bell_Curve",$NN$90*(62-$NR$90+1)*($NS$90-62+1)/$NU$90,$NN$90/$NT$90)),0)</f>
        <v/>
      </c>
      <c r="BO90" s="402">
        <f>IF(AND(63&gt;=$NR$90,63&lt;=$NS$90),IF($NP$90="Single_Point",IF(63=$NR$90,$NN$90,0),IF($NP$90="Bell_Curve",$NN$90*(63-$NR$90+1)*($NS$90-63+1)/$NU$90,$NN$90/$NT$90)),0)</f>
        <v/>
      </c>
      <c r="BP90" s="402">
        <f>IF(AND(64&gt;=$NR$90,64&lt;=$NS$90),IF($NP$90="Single_Point",IF(64=$NR$90,$NN$90,0),IF($NP$90="Bell_Curve",$NN$90*(64-$NR$90+1)*($NS$90-64+1)/$NU$90,$NN$90/$NT$90)),0)</f>
        <v/>
      </c>
      <c r="BQ90" s="402">
        <f>IF(AND(65&gt;=$NR$90,65&lt;=$NS$90),IF($NP$90="Single_Point",IF(65=$NR$90,$NN$90,0),IF($NP$90="Bell_Curve",$NN$90*(65-$NR$90+1)*($NS$90-65+1)/$NU$90,$NN$90/$NT$90)),0)</f>
        <v/>
      </c>
      <c r="BR90" s="402">
        <f>IF(AND(66&gt;=$NR$90,66&lt;=$NS$90),IF($NP$90="Single_Point",IF(66=$NR$90,$NN$90,0),IF($NP$90="Bell_Curve",$NN$90*(66-$NR$90+1)*($NS$90-66+1)/$NU$90,$NN$90/$NT$90)),0)</f>
        <v/>
      </c>
      <c r="BS90" s="402">
        <f>IF(AND(67&gt;=$NR$90,67&lt;=$NS$90),IF($NP$90="Single_Point",IF(67=$NR$90,$NN$90,0),IF($NP$90="Bell_Curve",$NN$90*(67-$NR$90+1)*($NS$90-67+1)/$NU$90,$NN$90/$NT$90)),0)</f>
        <v/>
      </c>
      <c r="BT90" s="402">
        <f>IF(AND(68&gt;=$NR$90,68&lt;=$NS$90),IF($NP$90="Single_Point",IF(68=$NR$90,$NN$90,0),IF($NP$90="Bell_Curve",$NN$90*(68-$NR$90+1)*($NS$90-68+1)/$NU$90,$NN$90/$NT$90)),0)</f>
        <v/>
      </c>
      <c r="BU90" s="402">
        <f>IF(AND(69&gt;=$NR$90,69&lt;=$NS$90),IF($NP$90="Single_Point",IF(69=$NR$90,$NN$90,0),IF($NP$90="Bell_Curve",$NN$90*(69-$NR$90+1)*($NS$90-69+1)/$NU$90,$NN$90/$NT$90)),0)</f>
        <v/>
      </c>
      <c r="BV90" s="402">
        <f>IF(AND(70&gt;=$NR$90,70&lt;=$NS$90),IF($NP$90="Single_Point",IF(70=$NR$90,$NN$90,0),IF($NP$90="Bell_Curve",$NN$90*(70-$NR$90+1)*($NS$90-70+1)/$NU$90,$NN$90/$NT$90)),0)</f>
        <v/>
      </c>
      <c r="BW90" s="402">
        <f>IF(AND(71&gt;=$NR$90,71&lt;=$NS$90),IF($NP$90="Single_Point",IF(71=$NR$90,$NN$90,0),IF($NP$90="Bell_Curve",$NN$90*(71-$NR$90+1)*($NS$90-71+1)/$NU$90,$NN$90/$NT$90)),0)</f>
        <v/>
      </c>
      <c r="BX90" s="402">
        <f>IF(AND(72&gt;=$NR$90,72&lt;=$NS$90),IF($NP$90="Single_Point",IF(72=$NR$90,$NN$90,0),IF($NP$90="Bell_Curve",$NN$90*(72-$NR$90+1)*($NS$90-72+1)/$NU$90,$NN$90/$NT$90)),0)</f>
        <v/>
      </c>
      <c r="BY90" s="402">
        <f>IF(AND(73&gt;=$NR$90,73&lt;=$NS$90),IF($NP$90="Single_Point",IF(73=$NR$90,$NN$90,0),IF($NP$90="Bell_Curve",$NN$90*(73-$NR$90+1)*($NS$90-73+1)/$NU$90,$NN$90/$NT$90)),0)</f>
        <v/>
      </c>
      <c r="BZ90" s="402">
        <f>IF(AND(74&gt;=$NR$90,74&lt;=$NS$90),IF($NP$90="Single_Point",IF(74=$NR$90,$NN$90,0),IF($NP$90="Bell_Curve",$NN$90*(74-$NR$90+1)*($NS$90-74+1)/$NU$90,$NN$90/$NT$90)),0)</f>
        <v/>
      </c>
      <c r="CA90" s="402">
        <f>IF(AND(75&gt;=$NR$90,75&lt;=$NS$90),IF($NP$90="Single_Point",IF(75=$NR$90,$NN$90,0),IF($NP$90="Bell_Curve",$NN$90*(75-$NR$90+1)*($NS$90-75+1)/$NU$90,$NN$90/$NT$90)),0)</f>
        <v/>
      </c>
      <c r="CB90" s="402">
        <f>IF(AND(76&gt;=$NR$90,76&lt;=$NS$90),IF($NP$90="Single_Point",IF(76=$NR$90,$NN$90,0),IF($NP$90="Bell_Curve",$NN$90*(76-$NR$90+1)*($NS$90-76+1)/$NU$90,$NN$90/$NT$90)),0)</f>
        <v/>
      </c>
      <c r="CC90" s="402">
        <f>IF(AND(77&gt;=$NR$90,77&lt;=$NS$90),IF($NP$90="Single_Point",IF(77=$NR$90,$NN$90,0),IF($NP$90="Bell_Curve",$NN$90*(77-$NR$90+1)*($NS$90-77+1)/$NU$90,$NN$90/$NT$90)),0)</f>
        <v/>
      </c>
      <c r="CD90" s="402">
        <f>IF(AND(78&gt;=$NR$90,78&lt;=$NS$90),IF($NP$90="Single_Point",IF(78=$NR$90,$NN$90,0),IF($NP$90="Bell_Curve",$NN$90*(78-$NR$90+1)*($NS$90-78+1)/$NU$90,$NN$90/$NT$90)),0)</f>
        <v/>
      </c>
      <c r="CE90" s="402">
        <f>IF(AND(79&gt;=$NR$90,79&lt;=$NS$90),IF($NP$90="Single_Point",IF(79=$NR$90,$NN$90,0),IF($NP$90="Bell_Curve",$NN$90*(79-$NR$90+1)*($NS$90-79+1)/$NU$90,$NN$90/$NT$90)),0)</f>
        <v/>
      </c>
      <c r="CF90" s="402">
        <f>IF(AND(80&gt;=$NR$90,80&lt;=$NS$90),IF($NP$90="Single_Point",IF(80=$NR$90,$NN$90,0),IF($NP$90="Bell_Curve",$NN$90*(80-$NR$90+1)*($NS$90-80+1)/$NU$90,$NN$90/$NT$90)),0)</f>
        <v/>
      </c>
      <c r="CG90" s="402">
        <f>IF(AND(81&gt;=$NR$90,81&lt;=$NS$90),IF($NP$90="Single_Point",IF(81=$NR$90,$NN$90,0),IF($NP$90="Bell_Curve",$NN$90*(81-$NR$90+1)*($NS$90-81+1)/$NU$90,$NN$90/$NT$90)),0)</f>
        <v/>
      </c>
      <c r="CH90" s="402">
        <f>IF(AND(82&gt;=$NR$90,82&lt;=$NS$90),IF($NP$90="Single_Point",IF(82=$NR$90,$NN$90,0),IF($NP$90="Bell_Curve",$NN$90*(82-$NR$90+1)*($NS$90-82+1)/$NU$90,$NN$90/$NT$90)),0)</f>
        <v/>
      </c>
      <c r="CI90" s="402">
        <f>IF(AND(83&gt;=$NR$90,83&lt;=$NS$90),IF($NP$90="Single_Point",IF(83=$NR$90,$NN$90,0),IF($NP$90="Bell_Curve",$NN$90*(83-$NR$90+1)*($NS$90-83+1)/$NU$90,$NN$90/$NT$90)),0)</f>
        <v/>
      </c>
      <c r="CJ90" s="402">
        <f>IF(AND(84&gt;=$NR$90,84&lt;=$NS$90),IF($NP$90="Single_Point",IF(84=$NR$90,$NN$90,0),IF($NP$90="Bell_Curve",$NN$90*(84-$NR$90+1)*($NS$90-84+1)/$NU$90,$NN$90/$NT$90)),0)</f>
        <v/>
      </c>
      <c r="CK90" s="402">
        <f>IF(AND(85&gt;=$NR$90,85&lt;=$NS$90),IF($NP$90="Single_Point",IF(85=$NR$90,$NN$90,0),IF($NP$90="Bell_Curve",$NN$90*(85-$NR$90+1)*($NS$90-85+1)/$NU$90,$NN$90/$NT$90)),0)</f>
        <v/>
      </c>
      <c r="CL90" s="402">
        <f>IF(AND(86&gt;=$NR$90,86&lt;=$NS$90),IF($NP$90="Single_Point",IF(86=$NR$90,$NN$90,0),IF($NP$90="Bell_Curve",$NN$90*(86-$NR$90+1)*($NS$90-86+1)/$NU$90,$NN$90/$NT$90)),0)</f>
        <v/>
      </c>
      <c r="CM90" s="402">
        <f>IF(AND(87&gt;=$NR$90,87&lt;=$NS$90),IF($NP$90="Single_Point",IF(87=$NR$90,$NN$90,0),IF($NP$90="Bell_Curve",$NN$90*(87-$NR$90+1)*($NS$90-87+1)/$NU$90,$NN$90/$NT$90)),0)</f>
        <v/>
      </c>
      <c r="CN90" s="402">
        <f>IF(AND(88&gt;=$NR$90,88&lt;=$NS$90),IF($NP$90="Single_Point",IF(88=$NR$90,$NN$90,0),IF($NP$90="Bell_Curve",$NN$90*(88-$NR$90+1)*($NS$90-88+1)/$NU$90,$NN$90/$NT$90)),0)</f>
        <v/>
      </c>
      <c r="CO90" s="402">
        <f>IF(AND(89&gt;=$NR$90,89&lt;=$NS$90),IF($NP$90="Single_Point",IF(89=$NR$90,$NN$90,0),IF($NP$90="Bell_Curve",$NN$90*(89-$NR$90+1)*($NS$90-89+1)/$NU$90,$NN$90/$NT$90)),0)</f>
        <v/>
      </c>
      <c r="CP90" s="402">
        <f>IF(AND(90&gt;=$NR$90,90&lt;=$NS$90),IF($NP$90="Single_Point",IF(90=$NR$90,$NN$90,0),IF($NP$90="Bell_Curve",$NN$90*(90-$NR$90+1)*($NS$90-90+1)/$NU$90,$NN$90/$NT$90)),0)</f>
        <v/>
      </c>
      <c r="CQ90" s="402">
        <f>IF(AND(91&gt;=$NR$90,91&lt;=$NS$90),IF($NP$90="Single_Point",IF(91=$NR$90,$NN$90,0),IF($NP$90="Bell_Curve",$NN$90*(91-$NR$90+1)*($NS$90-91+1)/$NU$90,$NN$90/$NT$90)),0)</f>
        <v/>
      </c>
      <c r="CR90" s="402">
        <f>IF(AND(92&gt;=$NR$90,92&lt;=$NS$90),IF($NP$90="Single_Point",IF(92=$NR$90,$NN$90,0),IF($NP$90="Bell_Curve",$NN$90*(92-$NR$90+1)*($NS$90-92+1)/$NU$90,$NN$90/$NT$90)),0)</f>
        <v/>
      </c>
      <c r="CS90" s="402">
        <f>IF(AND(93&gt;=$NR$90,93&lt;=$NS$90),IF($NP$90="Single_Point",IF(93=$NR$90,$NN$90,0),IF($NP$90="Bell_Curve",$NN$90*(93-$NR$90+1)*($NS$90-93+1)/$NU$90,$NN$90/$NT$90)),0)</f>
        <v/>
      </c>
      <c r="CT90" s="402">
        <f>IF(AND(94&gt;=$NR$90,94&lt;=$NS$90),IF($NP$90="Single_Point",IF(94=$NR$90,$NN$90,0),IF($NP$90="Bell_Curve",$NN$90*(94-$NR$90+1)*($NS$90-94+1)/$NU$90,$NN$90/$NT$90)),0)</f>
        <v/>
      </c>
      <c r="CU90" s="402">
        <f>IF(AND(95&gt;=$NR$90,95&lt;=$NS$90),IF($NP$90="Single_Point",IF(95=$NR$90,$NN$90,0),IF($NP$90="Bell_Curve",$NN$90*(95-$NR$90+1)*($NS$90-95+1)/$NU$90,$NN$90/$NT$90)),0)</f>
        <v/>
      </c>
      <c r="CV90" s="402">
        <f>IF(AND(96&gt;=$NR$90,96&lt;=$NS$90),IF($NP$90="Single_Point",IF(96=$NR$90,$NN$90,0),IF($NP$90="Bell_Curve",$NN$90*(96-$NR$90+1)*($NS$90-96+1)/$NU$90,$NN$90/$NT$90)),0)</f>
        <v/>
      </c>
      <c r="CW90" s="402">
        <f>IF(AND(97&gt;=$NR$90,97&lt;=$NS$90),IF($NP$90="Single_Point",IF(97=$NR$90,$NN$90,0),IF($NP$90="Bell_Curve",$NN$90*(97-$NR$90+1)*($NS$90-97+1)/$NU$90,$NN$90/$NT$90)),0)</f>
        <v/>
      </c>
      <c r="CX90" s="402">
        <f>IF(AND(98&gt;=$NR$90,98&lt;=$NS$90),IF($NP$90="Single_Point",IF(98=$NR$90,$NN$90,0),IF($NP$90="Bell_Curve",$NN$90*(98-$NR$90+1)*($NS$90-98+1)/$NU$90,$NN$90/$NT$90)),0)</f>
        <v/>
      </c>
      <c r="CY90" s="402">
        <f>IF(AND(99&gt;=$NR$90,99&lt;=$NS$90),IF($NP$90="Single_Point",IF(99=$NR$90,$NN$90,0),IF($NP$90="Bell_Curve",$NN$90*(99-$NR$90+1)*($NS$90-99+1)/$NU$90,$NN$90/$NT$90)),0)</f>
        <v/>
      </c>
      <c r="CZ90" s="402">
        <f>IF(AND(100&gt;=$NR$90,100&lt;=$NS$90),IF($NP$90="Single_Point",IF(100=$NR$90,$NN$90,0),IF($NP$90="Bell_Curve",$NN$90*(100-$NR$90+1)*($NS$90-100+1)/$NU$90,$NN$90/$NT$90)),0)</f>
        <v/>
      </c>
      <c r="DA90" s="402">
        <f>IF(AND(101&gt;=$NR$90,101&lt;=$NS$90),IF($NP$90="Single_Point",IF(101=$NR$90,$NN$90,0),IF($NP$90="Bell_Curve",$NN$90*(101-$NR$90+1)*($NS$90-101+1)/$NU$90,$NN$90/$NT$90)),0)</f>
        <v/>
      </c>
      <c r="DB90" s="402">
        <f>IF(AND(102&gt;=$NR$90,102&lt;=$NS$90),IF($NP$90="Single_Point",IF(102=$NR$90,$NN$90,0),IF($NP$90="Bell_Curve",$NN$90*(102-$NR$90+1)*($NS$90-102+1)/$NU$90,$NN$90/$NT$90)),0)</f>
        <v/>
      </c>
      <c r="DC90" s="402">
        <f>IF(AND(103&gt;=$NR$90,103&lt;=$NS$90),IF($NP$90="Single_Point",IF(103=$NR$90,$NN$90,0),IF($NP$90="Bell_Curve",$NN$90*(103-$NR$90+1)*($NS$90-103+1)/$NU$90,$NN$90/$NT$90)),0)</f>
        <v/>
      </c>
      <c r="DD90" s="402">
        <f>IF(AND(104&gt;=$NR$90,104&lt;=$NS$90),IF($NP$90="Single_Point",IF(104=$NR$90,$NN$90,0),IF($NP$90="Bell_Curve",$NN$90*(104-$NR$90+1)*($NS$90-104+1)/$NU$90,$NN$90/$NT$90)),0)</f>
        <v/>
      </c>
      <c r="DE90" s="402">
        <f>IF(AND(105&gt;=$NR$90,105&lt;=$NS$90),IF($NP$90="Single_Point",IF(105=$NR$90,$NN$90,0),IF($NP$90="Bell_Curve",$NN$90*(105-$NR$90+1)*($NS$90-105+1)/$NU$90,$NN$90/$NT$90)),0)</f>
        <v/>
      </c>
      <c r="DF90" s="402">
        <f>IF(AND(106&gt;=$NR$90,106&lt;=$NS$90),IF($NP$90="Single_Point",IF(106=$NR$90,$NN$90,0),IF($NP$90="Bell_Curve",$NN$90*(106-$NR$90+1)*($NS$90-106+1)/$NU$90,$NN$90/$NT$90)),0)</f>
        <v/>
      </c>
      <c r="DG90" s="402">
        <f>IF(AND(107&gt;=$NR$90,107&lt;=$NS$90),IF($NP$90="Single_Point",IF(107=$NR$90,$NN$90,0),IF($NP$90="Bell_Curve",$NN$90*(107-$NR$90+1)*($NS$90-107+1)/$NU$90,$NN$90/$NT$90)),0)</f>
        <v/>
      </c>
      <c r="DH90" s="402">
        <f>IF(AND(108&gt;=$NR$90,108&lt;=$NS$90),IF($NP$90="Single_Point",IF(108=$NR$90,$NN$90,0),IF($NP$90="Bell_Curve",$NN$90*(108-$NR$90+1)*($NS$90-108+1)/$NU$90,$NN$90/$NT$90)),0)</f>
        <v/>
      </c>
      <c r="DI90" s="402">
        <f>IF(AND(109&gt;=$NR$90,109&lt;=$NS$90),IF($NP$90="Single_Point",IF(109=$NR$90,$NN$90,0),IF($NP$90="Bell_Curve",$NN$90*(109-$NR$90+1)*($NS$90-109+1)/$NU$90,$NN$90/$NT$90)),0)</f>
        <v/>
      </c>
      <c r="DJ90" s="402">
        <f>IF(AND(110&gt;=$NR$90,110&lt;=$NS$90),IF($NP$90="Single_Point",IF(110=$NR$90,$NN$90,0),IF($NP$90="Bell_Curve",$NN$90*(110-$NR$90+1)*($NS$90-110+1)/$NU$90,$NN$90/$NT$90)),0)</f>
        <v/>
      </c>
      <c r="DK90" s="402">
        <f>IF(AND(111&gt;=$NR$90,111&lt;=$NS$90),IF($NP$90="Single_Point",IF(111=$NR$90,$NN$90,0),IF($NP$90="Bell_Curve",$NN$90*(111-$NR$90+1)*($NS$90-111+1)/$NU$90,$NN$90/$NT$90)),0)</f>
        <v/>
      </c>
      <c r="DL90" s="402">
        <f>IF(AND(112&gt;=$NR$90,112&lt;=$NS$90),IF($NP$90="Single_Point",IF(112=$NR$90,$NN$90,0),IF($NP$90="Bell_Curve",$NN$90*(112-$NR$90+1)*($NS$90-112+1)/$NU$90,$NN$90/$NT$90)),0)</f>
        <v/>
      </c>
      <c r="DM90" s="402">
        <f>IF(AND(113&gt;=$NR$90,113&lt;=$NS$90),IF($NP$90="Single_Point",IF(113=$NR$90,$NN$90,0),IF($NP$90="Bell_Curve",$NN$90*(113-$NR$90+1)*($NS$90-113+1)/$NU$90,$NN$90/$NT$90)),0)</f>
        <v/>
      </c>
      <c r="DN90" s="402">
        <f>IF(AND(114&gt;=$NR$90,114&lt;=$NS$90),IF($NP$90="Single_Point",IF(114=$NR$90,$NN$90,0),IF($NP$90="Bell_Curve",$NN$90*(114-$NR$90+1)*($NS$90-114+1)/$NU$90,$NN$90/$NT$90)),0)</f>
        <v/>
      </c>
      <c r="DO90" s="402">
        <f>IF(AND(115&gt;=$NR$90,115&lt;=$NS$90),IF($NP$90="Single_Point",IF(115=$NR$90,$NN$90,0),IF($NP$90="Bell_Curve",$NN$90*(115-$NR$90+1)*($NS$90-115+1)/$NU$90,$NN$90/$NT$90)),0)</f>
        <v/>
      </c>
      <c r="DP90" s="402">
        <f>IF(AND(116&gt;=$NR$90,116&lt;=$NS$90),IF($NP$90="Single_Point",IF(116=$NR$90,$NN$90,0),IF($NP$90="Bell_Curve",$NN$90*(116-$NR$90+1)*($NS$90-116+1)/$NU$90,$NN$90/$NT$90)),0)</f>
        <v/>
      </c>
      <c r="DQ90" s="402">
        <f>IF(AND(117&gt;=$NR$90,117&lt;=$NS$90),IF($NP$90="Single_Point",IF(117=$NR$90,$NN$90,0),IF($NP$90="Bell_Curve",$NN$90*(117-$NR$90+1)*($NS$90-117+1)/$NU$90,$NN$90/$NT$90)),0)</f>
        <v/>
      </c>
      <c r="DR90" s="402">
        <f>IF(AND(118&gt;=$NR$90,118&lt;=$NS$90),IF($NP$90="Single_Point",IF(118=$NR$90,$NN$90,0),IF($NP$90="Bell_Curve",$NN$90*(118-$NR$90+1)*($NS$90-118+1)/$NU$90,$NN$90/$NT$90)),0)</f>
        <v/>
      </c>
      <c r="DS90" s="402">
        <f>IF(AND(119&gt;=$NR$90,119&lt;=$NS$90),IF($NP$90="Single_Point",IF(119=$NR$90,$NN$90,0),IF($NP$90="Bell_Curve",$NN$90*(119-$NR$90+1)*($NS$90-119+1)/$NU$90,$NN$90/$NT$90)),0)</f>
        <v/>
      </c>
      <c r="DT90" s="402">
        <f>IF(AND(120&gt;=$NR$90,120&lt;=$NS$90),IF($NP$90="Single_Point",IF(120=$NR$90,$NN$90,0),IF($NP$90="Bell_Curve",$NN$90*(120-$NR$90+1)*($NS$90-120+1)/$NU$90,$NN$90/$NT$90)),0)</f>
        <v/>
      </c>
      <c r="DU90" s="402">
        <f>IF(AND(121&gt;=$NR$90,121&lt;=$NS$90),IF($NP$90="Single_Point",IF(121=$NR$90,$NN$90,0),IF($NP$90="Bell_Curve",$NN$90*(121-$NR$90+1)*($NS$90-121+1)/$NU$90,$NN$90/$NT$90)),0)</f>
        <v/>
      </c>
      <c r="DV90" s="402">
        <f>IF(AND(122&gt;=$NR$90,122&lt;=$NS$90),IF($NP$90="Single_Point",IF(122=$NR$90,$NN$90,0),IF($NP$90="Bell_Curve",$NN$90*(122-$NR$90+1)*($NS$90-122+1)/$NU$90,$NN$90/$NT$90)),0)</f>
        <v/>
      </c>
      <c r="DW90" s="402">
        <f>IF(AND(123&gt;=$NR$90,123&lt;=$NS$90),IF($NP$90="Single_Point",IF(123=$NR$90,$NN$90,0),IF($NP$90="Bell_Curve",$NN$90*(123-$NR$90+1)*($NS$90-123+1)/$NU$90,$NN$90/$NT$90)),0)</f>
        <v/>
      </c>
      <c r="DX90" s="402">
        <f>IF(AND(124&gt;=$NR$90,124&lt;=$NS$90),IF($NP$90="Single_Point",IF(124=$NR$90,$NN$90,0),IF($NP$90="Bell_Curve",$NN$90*(124-$NR$90+1)*($NS$90-124+1)/$NU$90,$NN$90/$NT$90)),0)</f>
        <v/>
      </c>
      <c r="DY90" s="402">
        <f>IF(AND(125&gt;=$NR$90,125&lt;=$NS$90),IF($NP$90="Single_Point",IF(125=$NR$90,$NN$90,0),IF($NP$90="Bell_Curve",$NN$90*(125-$NR$90+1)*($NS$90-125+1)/$NU$90,$NN$90/$NT$90)),0)</f>
        <v/>
      </c>
      <c r="DZ90" s="402">
        <f>IF(AND(126&gt;=$NR$90,126&lt;=$NS$90),IF($NP$90="Single_Point",IF(126=$NR$90,$NN$90,0),IF($NP$90="Bell_Curve",$NN$90*(126-$NR$90+1)*($NS$90-126+1)/$NU$90,$NN$90/$NT$90)),0)</f>
        <v/>
      </c>
      <c r="EA90" s="402">
        <f>IF(AND(127&gt;=$NR$90,127&lt;=$NS$90),IF($NP$90="Single_Point",IF(127=$NR$90,$NN$90,0),IF($NP$90="Bell_Curve",$NN$90*(127-$NR$90+1)*($NS$90-127+1)/$NU$90,$NN$90/$NT$90)),0)</f>
        <v/>
      </c>
      <c r="EB90" s="402">
        <f>IF(AND(128&gt;=$NR$90,128&lt;=$NS$90),IF($NP$90="Single_Point",IF(128=$NR$90,$NN$90,0),IF($NP$90="Bell_Curve",$NN$90*(128-$NR$90+1)*($NS$90-128+1)/$NU$90,$NN$90/$NT$90)),0)</f>
        <v/>
      </c>
      <c r="EC90" s="402">
        <f>IF(AND(129&gt;=$NR$90,129&lt;=$NS$90),IF($NP$90="Single_Point",IF(129=$NR$90,$NN$90,0),IF($NP$90="Bell_Curve",$NN$90*(129-$NR$90+1)*($NS$90-129+1)/$NU$90,$NN$90/$NT$90)),0)</f>
        <v/>
      </c>
      <c r="ED90" s="402">
        <f>IF(AND(130&gt;=$NR$90,130&lt;=$NS$90),IF($NP$90="Single_Point",IF(130=$NR$90,$NN$90,0),IF($NP$90="Bell_Curve",$NN$90*(130-$NR$90+1)*($NS$90-130+1)/$NU$90,$NN$90/$NT$90)),0)</f>
        <v/>
      </c>
      <c r="EE90" s="402">
        <f>IF(AND(131&gt;=$NR$90,131&lt;=$NS$90),IF($NP$90="Single_Point",IF(131=$NR$90,$NN$90,0),IF($NP$90="Bell_Curve",$NN$90*(131-$NR$90+1)*($NS$90-131+1)/$NU$90,$NN$90/$NT$90)),0)</f>
        <v/>
      </c>
      <c r="EF90" s="402">
        <f>IF(AND(132&gt;=$NR$90,132&lt;=$NS$90),IF($NP$90="Single_Point",IF(132=$NR$90,$NN$90,0),IF($NP$90="Bell_Curve",$NN$90*(132-$NR$90+1)*($NS$90-132+1)/$NU$90,$NN$90/$NT$90)),0)</f>
        <v/>
      </c>
      <c r="EG90" s="402">
        <f>IF(AND(133&gt;=$NR$90,133&lt;=$NS$90),IF($NP$90="Single_Point",IF(133=$NR$90,$NN$90,0),IF($NP$90="Bell_Curve",$NN$90*(133-$NR$90+1)*($NS$90-133+1)/$NU$90,$NN$90/$NT$90)),0)</f>
        <v/>
      </c>
      <c r="EH90" s="402">
        <f>IF(AND(134&gt;=$NR$90,134&lt;=$NS$90),IF($NP$90="Single_Point",IF(134=$NR$90,$NN$90,0),IF($NP$90="Bell_Curve",$NN$90*(134-$NR$90+1)*($NS$90-134+1)/$NU$90,$NN$90/$NT$90)),0)</f>
        <v/>
      </c>
      <c r="EI90" s="402">
        <f>IF(AND(135&gt;=$NR$90,135&lt;=$NS$90),IF($NP$90="Single_Point",IF(135=$NR$90,$NN$90,0),IF($NP$90="Bell_Curve",$NN$90*(135-$NR$90+1)*($NS$90-135+1)/$NU$90,$NN$90/$NT$90)),0)</f>
        <v/>
      </c>
      <c r="EJ90" s="402">
        <f>IF(AND(136&gt;=$NR$90,136&lt;=$NS$90),IF($NP$90="Single_Point",IF(136=$NR$90,$NN$90,0),IF($NP$90="Bell_Curve",$NN$90*(136-$NR$90+1)*($NS$90-136+1)/$NU$90,$NN$90/$NT$90)),0)</f>
        <v/>
      </c>
      <c r="EK90" s="402">
        <f>IF(AND(137&gt;=$NR$90,137&lt;=$NS$90),IF($NP$90="Single_Point",IF(137=$NR$90,$NN$90,0),IF($NP$90="Bell_Curve",$NN$90*(137-$NR$90+1)*($NS$90-137+1)/$NU$90,$NN$90/$NT$90)),0)</f>
        <v/>
      </c>
      <c r="EL90" s="402">
        <f>IF(AND(138&gt;=$NR$90,138&lt;=$NS$90),IF($NP$90="Single_Point",IF(138=$NR$90,$NN$90,0),IF($NP$90="Bell_Curve",$NN$90*(138-$NR$90+1)*($NS$90-138+1)/$NU$90,$NN$90/$NT$90)),0)</f>
        <v/>
      </c>
      <c r="EM90" s="402">
        <f>IF(AND(139&gt;=$NR$90,139&lt;=$NS$90),IF($NP$90="Single_Point",IF(139=$NR$90,$NN$90,0),IF($NP$90="Bell_Curve",$NN$90*(139-$NR$90+1)*($NS$90-139+1)/$NU$90,$NN$90/$NT$90)),0)</f>
        <v/>
      </c>
      <c r="EN90" s="402">
        <f>IF(AND(140&gt;=$NR$90,140&lt;=$NS$90),IF($NP$90="Single_Point",IF(140=$NR$90,$NN$90,0),IF($NP$90="Bell_Curve",$NN$90*(140-$NR$90+1)*($NS$90-140+1)/$NU$90,$NN$90/$NT$90)),0)</f>
        <v/>
      </c>
      <c r="EO90" s="402">
        <f>IF(AND(141&gt;=$NR$90,141&lt;=$NS$90),IF($NP$90="Single_Point",IF(141=$NR$90,$NN$90,0),IF($NP$90="Bell_Curve",$NN$90*(141-$NR$90+1)*($NS$90-141+1)/$NU$90,$NN$90/$NT$90)),0)</f>
        <v/>
      </c>
      <c r="EP90" s="402">
        <f>IF(AND(142&gt;=$NR$90,142&lt;=$NS$90),IF($NP$90="Single_Point",IF(142=$NR$90,$NN$90,0),IF($NP$90="Bell_Curve",$NN$90*(142-$NR$90+1)*($NS$90-142+1)/$NU$90,$NN$90/$NT$90)),0)</f>
        <v/>
      </c>
      <c r="EQ90" s="402">
        <f>IF(AND(143&gt;=$NR$90,143&lt;=$NS$90),IF($NP$90="Single_Point",IF(143=$NR$90,$NN$90,0),IF($NP$90="Bell_Curve",$NN$90*(143-$NR$90+1)*($NS$90-143+1)/$NU$90,$NN$90/$NT$90)),0)</f>
        <v/>
      </c>
      <c r="ER90" s="402">
        <f>IF(AND(144&gt;=$NR$90,144&lt;=$NS$90),IF($NP$90="Single_Point",IF(144=$NR$90,$NN$90,0),IF($NP$90="Bell_Curve",$NN$90*(144-$NR$90+1)*($NS$90-144+1)/$NU$90,$NN$90/$NT$90)),0)</f>
        <v/>
      </c>
      <c r="ES90" s="402">
        <f>IF(AND(145&gt;=$NR$90,145&lt;=$NS$90),IF($NP$90="Single_Point",IF(145=$NR$90,$NN$90,0),IF($NP$90="Bell_Curve",$NN$90*(145-$NR$90+1)*($NS$90-145+1)/$NU$90,$NN$90/$NT$90)),0)</f>
        <v/>
      </c>
      <c r="ET90" s="402">
        <f>IF(AND(146&gt;=$NR$90,146&lt;=$NS$90),IF($NP$90="Single_Point",IF(146=$NR$90,$NN$90,0),IF($NP$90="Bell_Curve",$NN$90*(146-$NR$90+1)*($NS$90-146+1)/$NU$90,$NN$90/$NT$90)),0)</f>
        <v/>
      </c>
      <c r="EU90" s="402">
        <f>IF(AND(147&gt;=$NR$90,147&lt;=$NS$90),IF($NP$90="Single_Point",IF(147=$NR$90,$NN$90,0),IF($NP$90="Bell_Curve",$NN$90*(147-$NR$90+1)*($NS$90-147+1)/$NU$90,$NN$90/$NT$90)),0)</f>
        <v/>
      </c>
      <c r="EV90" s="402">
        <f>IF(AND(148&gt;=$NR$90,148&lt;=$NS$90),IF($NP$90="Single_Point",IF(148=$NR$90,$NN$90,0),IF($NP$90="Bell_Curve",$NN$90*(148-$NR$90+1)*($NS$90-148+1)/$NU$90,$NN$90/$NT$90)),0)</f>
        <v/>
      </c>
      <c r="EW90" s="402">
        <f>IF(AND(149&gt;=$NR$90,149&lt;=$NS$90),IF($NP$90="Single_Point",IF(149=$NR$90,$NN$90,0),IF($NP$90="Bell_Curve",$NN$90*(149-$NR$90+1)*($NS$90-149+1)/$NU$90,$NN$90/$NT$90)),0)</f>
        <v/>
      </c>
      <c r="EX90" s="402">
        <f>IF(AND(150&gt;=$NR$90,150&lt;=$NS$90),IF($NP$90="Single_Point",IF(150=$NR$90,$NN$90,0),IF($NP$90="Bell_Curve",$NN$90*(150-$NR$90+1)*($NS$90-150+1)/$NU$90,$NN$90/$NT$90)),0)</f>
        <v/>
      </c>
      <c r="EY90" s="402">
        <f>IF(AND(151&gt;=$NR$90,151&lt;=$NS$90),IF($NP$90="Single_Point",IF(151=$NR$90,$NN$90,0),IF($NP$90="Bell_Curve",$NN$90*(151-$NR$90+1)*($NS$90-151+1)/$NU$90,$NN$90/$NT$90)),0)</f>
        <v/>
      </c>
      <c r="EZ90" s="402">
        <f>IF(AND(152&gt;=$NR$90,152&lt;=$NS$90),IF($NP$90="Single_Point",IF(152=$NR$90,$NN$90,0),IF($NP$90="Bell_Curve",$NN$90*(152-$NR$90+1)*($NS$90-152+1)/$NU$90,$NN$90/$NT$90)),0)</f>
        <v/>
      </c>
      <c r="FA90" s="402">
        <f>IF(AND(153&gt;=$NR$90,153&lt;=$NS$90),IF($NP$90="Single_Point",IF(153=$NR$90,$NN$90,0),IF($NP$90="Bell_Curve",$NN$90*(153-$NR$90+1)*($NS$90-153+1)/$NU$90,$NN$90/$NT$90)),0)</f>
        <v/>
      </c>
      <c r="FB90" s="402">
        <f>IF(AND(154&gt;=$NR$90,154&lt;=$NS$90),IF($NP$90="Single_Point",IF(154=$NR$90,$NN$90,0),IF($NP$90="Bell_Curve",$NN$90*(154-$NR$90+1)*($NS$90-154+1)/$NU$90,$NN$90/$NT$90)),0)</f>
        <v/>
      </c>
      <c r="FC90" s="402">
        <f>IF(AND(155&gt;=$NR$90,155&lt;=$NS$90),IF($NP$90="Single_Point",IF(155=$NR$90,$NN$90,0),IF($NP$90="Bell_Curve",$NN$90*(155-$NR$90+1)*($NS$90-155+1)/$NU$90,$NN$90/$NT$90)),0)</f>
        <v/>
      </c>
      <c r="FD90" s="402">
        <f>IF(AND(156&gt;=$NR$90,156&lt;=$NS$90),IF($NP$90="Single_Point",IF(156=$NR$90,$NN$90,0),IF($NP$90="Bell_Curve",$NN$90*(156-$NR$90+1)*($NS$90-156+1)/$NU$90,$NN$90/$NT$90)),0)</f>
        <v/>
      </c>
      <c r="FE90" s="402">
        <f>IF(AND(157&gt;=$NR$90,157&lt;=$NS$90),IF($NP$90="Single_Point",IF(157=$NR$90,$NN$90,0),IF($NP$90="Bell_Curve",$NN$90*(157-$NR$90+1)*($NS$90-157+1)/$NU$90,$NN$90/$NT$90)),0)</f>
        <v/>
      </c>
      <c r="FF90" s="402">
        <f>IF(AND(158&gt;=$NR$90,158&lt;=$NS$90),IF($NP$90="Single_Point",IF(158=$NR$90,$NN$90,0),IF($NP$90="Bell_Curve",$NN$90*(158-$NR$90+1)*($NS$90-158+1)/$NU$90,$NN$90/$NT$90)),0)</f>
        <v/>
      </c>
      <c r="FG90" s="402">
        <f>IF(AND(159&gt;=$NR$90,159&lt;=$NS$90),IF($NP$90="Single_Point",IF(159=$NR$90,$NN$90,0),IF($NP$90="Bell_Curve",$NN$90*(159-$NR$90+1)*($NS$90-159+1)/$NU$90,$NN$90/$NT$90)),0)</f>
        <v/>
      </c>
      <c r="FH90" s="402">
        <f>IF(AND(160&gt;=$NR$90,160&lt;=$NS$90),IF($NP$90="Single_Point",IF(160=$NR$90,$NN$90,0),IF($NP$90="Bell_Curve",$NN$90*(160-$NR$90+1)*($NS$90-160+1)/$NU$90,$NN$90/$NT$90)),0)</f>
        <v/>
      </c>
      <c r="FI90" s="402">
        <f>IF(AND(161&gt;=$NR$90,161&lt;=$NS$90),IF($NP$90="Single_Point",IF(161=$NR$90,$NN$90,0),IF($NP$90="Bell_Curve",$NN$90*(161-$NR$90+1)*($NS$90-161+1)/$NU$90,$NN$90/$NT$90)),0)</f>
        <v/>
      </c>
      <c r="FJ90" s="402">
        <f>IF(AND(162&gt;=$NR$90,162&lt;=$NS$90),IF($NP$90="Single_Point",IF(162=$NR$90,$NN$90,0),IF($NP$90="Bell_Curve",$NN$90*(162-$NR$90+1)*($NS$90-162+1)/$NU$90,$NN$90/$NT$90)),0)</f>
        <v/>
      </c>
      <c r="FK90" s="402">
        <f>IF(AND(163&gt;=$NR$90,163&lt;=$NS$90),IF($NP$90="Single_Point",IF(163=$NR$90,$NN$90,0),IF($NP$90="Bell_Curve",$NN$90*(163-$NR$90+1)*($NS$90-163+1)/$NU$90,$NN$90/$NT$90)),0)</f>
        <v/>
      </c>
      <c r="FL90" s="402">
        <f>IF(AND(164&gt;=$NR$90,164&lt;=$NS$90),IF($NP$90="Single_Point",IF(164=$NR$90,$NN$90,0),IF($NP$90="Bell_Curve",$NN$90*(164-$NR$90+1)*($NS$90-164+1)/$NU$90,$NN$90/$NT$90)),0)</f>
        <v/>
      </c>
      <c r="FM90" s="402">
        <f>IF(AND(165&gt;=$NR$90,165&lt;=$NS$90),IF($NP$90="Single_Point",IF(165=$NR$90,$NN$90,0),IF($NP$90="Bell_Curve",$NN$90*(165-$NR$90+1)*($NS$90-165+1)/$NU$90,$NN$90/$NT$90)),0)</f>
        <v/>
      </c>
      <c r="FN90" s="402">
        <f>IF(AND(166&gt;=$NR$90,166&lt;=$NS$90),IF($NP$90="Single_Point",IF(166=$NR$90,$NN$90,0),IF($NP$90="Bell_Curve",$NN$90*(166-$NR$90+1)*($NS$90-166+1)/$NU$90,$NN$90/$NT$90)),0)</f>
        <v/>
      </c>
      <c r="FO90" s="402">
        <f>IF(AND(167&gt;=$NR$90,167&lt;=$NS$90),IF($NP$90="Single_Point",IF(167=$NR$90,$NN$90,0),IF($NP$90="Bell_Curve",$NN$90*(167-$NR$90+1)*($NS$90-167+1)/$NU$90,$NN$90/$NT$90)),0)</f>
        <v/>
      </c>
      <c r="FP90" s="402">
        <f>IF(AND(168&gt;=$NR$90,168&lt;=$NS$90),IF($NP$90="Single_Point",IF(168=$NR$90,$NN$90,0),IF($NP$90="Bell_Curve",$NN$90*(168-$NR$90+1)*($NS$90-168+1)/$NU$90,$NN$90/$NT$90)),0)</f>
        <v/>
      </c>
      <c r="FQ90" s="402">
        <f>IF(AND(169&gt;=$NR$90,169&lt;=$NS$90),IF($NP$90="Single_Point",IF(169=$NR$90,$NN$90,0),IF($NP$90="Bell_Curve",$NN$90*(169-$NR$90+1)*($NS$90-169+1)/$NU$90,$NN$90/$NT$90)),0)</f>
        <v/>
      </c>
      <c r="FR90" s="402">
        <f>IF(AND(170&gt;=$NR$90,170&lt;=$NS$90),IF($NP$90="Single_Point",IF(170=$NR$90,$NN$90,0),IF($NP$90="Bell_Curve",$NN$90*(170-$NR$90+1)*($NS$90-170+1)/$NU$90,$NN$90/$NT$90)),0)</f>
        <v/>
      </c>
      <c r="FS90" s="402">
        <f>IF(AND(171&gt;=$NR$90,171&lt;=$NS$90),IF($NP$90="Single_Point",IF(171=$NR$90,$NN$90,0),IF($NP$90="Bell_Curve",$NN$90*(171-$NR$90+1)*($NS$90-171+1)/$NU$90,$NN$90/$NT$90)),0)</f>
        <v/>
      </c>
      <c r="FT90" s="402">
        <f>IF(AND(172&gt;=$NR$90,172&lt;=$NS$90),IF($NP$90="Single_Point",IF(172=$NR$90,$NN$90,0),IF($NP$90="Bell_Curve",$NN$90*(172-$NR$90+1)*($NS$90-172+1)/$NU$90,$NN$90/$NT$90)),0)</f>
        <v/>
      </c>
      <c r="FU90" s="402">
        <f>IF(AND(173&gt;=$NR$90,173&lt;=$NS$90),IF($NP$90="Single_Point",IF(173=$NR$90,$NN$90,0),IF($NP$90="Bell_Curve",$NN$90*(173-$NR$90+1)*($NS$90-173+1)/$NU$90,$NN$90/$NT$90)),0)</f>
        <v/>
      </c>
      <c r="FV90" s="402">
        <f>IF(AND(174&gt;=$NR$90,174&lt;=$NS$90),IF($NP$90="Single_Point",IF(174=$NR$90,$NN$90,0),IF($NP$90="Bell_Curve",$NN$90*(174-$NR$90+1)*($NS$90-174+1)/$NU$90,$NN$90/$NT$90)),0)</f>
        <v/>
      </c>
      <c r="FW90" s="402">
        <f>IF(AND(175&gt;=$NR$90,175&lt;=$NS$90),IF($NP$90="Single_Point",IF(175=$NR$90,$NN$90,0),IF($NP$90="Bell_Curve",$NN$90*(175-$NR$90+1)*($NS$90-175+1)/$NU$90,$NN$90/$NT$90)),0)</f>
        <v/>
      </c>
      <c r="FX90" s="402">
        <f>IF(AND(176&gt;=$NR$90,176&lt;=$NS$90),IF($NP$90="Single_Point",IF(176=$NR$90,$NN$90,0),IF($NP$90="Bell_Curve",$NN$90*(176-$NR$90+1)*($NS$90-176+1)/$NU$90,$NN$90/$NT$90)),0)</f>
        <v/>
      </c>
      <c r="FY90" s="402">
        <f>IF(AND(177&gt;=$NR$90,177&lt;=$NS$90),IF($NP$90="Single_Point",IF(177=$NR$90,$NN$90,0),IF($NP$90="Bell_Curve",$NN$90*(177-$NR$90+1)*($NS$90-177+1)/$NU$90,$NN$90/$NT$90)),0)</f>
        <v/>
      </c>
      <c r="FZ90" s="402">
        <f>IF(AND(178&gt;=$NR$90,178&lt;=$NS$90),IF($NP$90="Single_Point",IF(178=$NR$90,$NN$90,0),IF($NP$90="Bell_Curve",$NN$90*(178-$NR$90+1)*($NS$90-178+1)/$NU$90,$NN$90/$NT$90)),0)</f>
        <v/>
      </c>
      <c r="GA90" s="402">
        <f>IF(AND(179&gt;=$NR$90,179&lt;=$NS$90),IF($NP$90="Single_Point",IF(179=$NR$90,$NN$90,0),IF($NP$90="Bell_Curve",$NN$90*(179-$NR$90+1)*($NS$90-179+1)/$NU$90,$NN$90/$NT$90)),0)</f>
        <v/>
      </c>
      <c r="GB90" s="402">
        <f>IF(AND(180&gt;=$NR$90,180&lt;=$NS$90),IF($NP$90="Single_Point",IF(180=$NR$90,$NN$90,0),IF($NP$90="Bell_Curve",$NN$90*(180-$NR$90+1)*($NS$90-180+1)/$NU$90,$NN$90/$NT$90)),0)</f>
        <v/>
      </c>
      <c r="GC90" s="402">
        <f>IF(AND(181&gt;=$NR$90,181&lt;=$NS$90),IF($NP$90="Single_Point",IF(181=$NR$90,$NN$90,0),IF($NP$90="Bell_Curve",$NN$90*(181-$NR$90+1)*($NS$90-181+1)/$NU$90,$NN$90/$NT$90)),0)</f>
        <v/>
      </c>
      <c r="GD90" s="402">
        <f>IF(AND(182&gt;=$NR$90,182&lt;=$NS$90),IF($NP$90="Single_Point",IF(182=$NR$90,$NN$90,0),IF($NP$90="Bell_Curve",$NN$90*(182-$NR$90+1)*($NS$90-182+1)/$NU$90,$NN$90/$NT$90)),0)</f>
        <v/>
      </c>
      <c r="GE90" s="402">
        <f>IF(AND(183&gt;=$NR$90,183&lt;=$NS$90),IF($NP$90="Single_Point",IF(183=$NR$90,$NN$90,0),IF($NP$90="Bell_Curve",$NN$90*(183-$NR$90+1)*($NS$90-183+1)/$NU$90,$NN$90/$NT$90)),0)</f>
        <v/>
      </c>
      <c r="GF90" s="402">
        <f>IF(AND(184&gt;=$NR$90,184&lt;=$NS$90),IF($NP$90="Single_Point",IF(184=$NR$90,$NN$90,0),IF($NP$90="Bell_Curve",$NN$90*(184-$NR$90+1)*($NS$90-184+1)/$NU$90,$NN$90/$NT$90)),0)</f>
        <v/>
      </c>
      <c r="GG90" s="402">
        <f>IF(AND(185&gt;=$NR$90,185&lt;=$NS$90),IF($NP$90="Single_Point",IF(185=$NR$90,$NN$90,0),IF($NP$90="Bell_Curve",$NN$90*(185-$NR$90+1)*($NS$90-185+1)/$NU$90,$NN$90/$NT$90)),0)</f>
        <v/>
      </c>
      <c r="GH90" s="402">
        <f>IF(AND(186&gt;=$NR$90,186&lt;=$NS$90),IF($NP$90="Single_Point",IF(186=$NR$90,$NN$90,0),IF($NP$90="Bell_Curve",$NN$90*(186-$NR$90+1)*($NS$90-186+1)/$NU$90,$NN$90/$NT$90)),0)</f>
        <v/>
      </c>
      <c r="GI90" s="402">
        <f>IF(AND(187&gt;=$NR$90,187&lt;=$NS$90),IF($NP$90="Single_Point",IF(187=$NR$90,$NN$90,0),IF($NP$90="Bell_Curve",$NN$90*(187-$NR$90+1)*($NS$90-187+1)/$NU$90,$NN$90/$NT$90)),0)</f>
        <v/>
      </c>
      <c r="GJ90" s="402">
        <f>IF(AND(188&gt;=$NR$90,188&lt;=$NS$90),IF($NP$90="Single_Point",IF(188=$NR$90,$NN$90,0),IF($NP$90="Bell_Curve",$NN$90*(188-$NR$90+1)*($NS$90-188+1)/$NU$90,$NN$90/$NT$90)),0)</f>
        <v/>
      </c>
      <c r="GK90" s="402">
        <f>IF(AND(189&gt;=$NR$90,189&lt;=$NS$90),IF($NP$90="Single_Point",IF(189=$NR$90,$NN$90,0),IF($NP$90="Bell_Curve",$NN$90*(189-$NR$90+1)*($NS$90-189+1)/$NU$90,$NN$90/$NT$90)),0)</f>
        <v/>
      </c>
      <c r="GL90" s="402">
        <f>IF(AND(190&gt;=$NR$90,190&lt;=$NS$90),IF($NP$90="Single_Point",IF(190=$NR$90,$NN$90,0),IF($NP$90="Bell_Curve",$NN$90*(190-$NR$90+1)*($NS$90-190+1)/$NU$90,$NN$90/$NT$90)),0)</f>
        <v/>
      </c>
      <c r="GM90" s="402">
        <f>IF(AND(191&gt;=$NR$90,191&lt;=$NS$90),IF($NP$90="Single_Point",IF(191=$NR$90,$NN$90,0),IF($NP$90="Bell_Curve",$NN$90*(191-$NR$90+1)*($NS$90-191+1)/$NU$90,$NN$90/$NT$90)),0)</f>
        <v/>
      </c>
      <c r="GN90" s="402">
        <f>IF(AND(192&gt;=$NR$90,192&lt;=$NS$90),IF($NP$90="Single_Point",IF(192=$NR$90,$NN$90,0),IF($NP$90="Bell_Curve",$NN$90*(192-$NR$90+1)*($NS$90-192+1)/$NU$90,$NN$90/$NT$90)),0)</f>
        <v/>
      </c>
      <c r="GO90" s="402">
        <f>IF(AND(193&gt;=$NR$90,193&lt;=$NS$90),IF($NP$90="Single_Point",IF(193=$NR$90,$NN$90,0),IF($NP$90="Bell_Curve",$NN$90*(193-$NR$90+1)*($NS$90-193+1)/$NU$90,$NN$90/$NT$90)),0)</f>
        <v/>
      </c>
      <c r="GP90" s="402">
        <f>IF(AND(194&gt;=$NR$90,194&lt;=$NS$90),IF($NP$90="Single_Point",IF(194=$NR$90,$NN$90,0),IF($NP$90="Bell_Curve",$NN$90*(194-$NR$90+1)*($NS$90-194+1)/$NU$90,$NN$90/$NT$90)),0)</f>
        <v/>
      </c>
      <c r="GQ90" s="402">
        <f>IF(AND(195&gt;=$NR$90,195&lt;=$NS$90),IF($NP$90="Single_Point",IF(195=$NR$90,$NN$90,0),IF($NP$90="Bell_Curve",$NN$90*(195-$NR$90+1)*($NS$90-195+1)/$NU$90,$NN$90/$NT$90)),0)</f>
        <v/>
      </c>
      <c r="GR90" s="402">
        <f>IF(AND(196&gt;=$NR$90,196&lt;=$NS$90),IF($NP$90="Single_Point",IF(196=$NR$90,$NN$90,0),IF($NP$90="Bell_Curve",$NN$90*(196-$NR$90+1)*($NS$90-196+1)/$NU$90,$NN$90/$NT$90)),0)</f>
        <v/>
      </c>
      <c r="GS90" s="402">
        <f>IF(AND(197&gt;=$NR$90,197&lt;=$NS$90),IF($NP$90="Single_Point",IF(197=$NR$90,$NN$90,0),IF($NP$90="Bell_Curve",$NN$90*(197-$NR$90+1)*($NS$90-197+1)/$NU$90,$NN$90/$NT$90)),0)</f>
        <v/>
      </c>
      <c r="GT90" s="402">
        <f>IF(AND(198&gt;=$NR$90,198&lt;=$NS$90),IF($NP$90="Single_Point",IF(198=$NR$90,$NN$90,0),IF($NP$90="Bell_Curve",$NN$90*(198-$NR$90+1)*($NS$90-198+1)/$NU$90,$NN$90/$NT$90)),0)</f>
        <v/>
      </c>
      <c r="GU90" s="402">
        <f>IF(AND(199&gt;=$NR$90,199&lt;=$NS$90),IF($NP$90="Single_Point",IF(199=$NR$90,$NN$90,0),IF($NP$90="Bell_Curve",$NN$90*(199-$NR$90+1)*($NS$90-199+1)/$NU$90,$NN$90/$NT$90)),0)</f>
        <v/>
      </c>
      <c r="GV90" s="402">
        <f>IF(AND(200&gt;=$NR$90,200&lt;=$NS$90),IF($NP$90="Single_Point",IF(200=$NR$90,$NN$90,0),IF($NP$90="Bell_Curve",$NN$90*(200-$NR$90+1)*($NS$90-200+1)/$NU$90,$NN$90/$NT$90)),0)</f>
        <v/>
      </c>
      <c r="GW90" s="402">
        <f>IF(AND(201&gt;=$NR$90,201&lt;=$NS$90),IF($NP$90="Single_Point",IF(201=$NR$90,$NN$90,0),IF($NP$90="Bell_Curve",$NN$90*(201-$NR$90+1)*($NS$90-201+1)/$NU$90,$NN$90/$NT$90)),0)</f>
        <v/>
      </c>
      <c r="GX90" s="402">
        <f>IF(AND(202&gt;=$NR$90,202&lt;=$NS$90),IF($NP$90="Single_Point",IF(202=$NR$90,$NN$90,0),IF($NP$90="Bell_Curve",$NN$90*(202-$NR$90+1)*($NS$90-202+1)/$NU$90,$NN$90/$NT$90)),0)</f>
        <v/>
      </c>
      <c r="GY90" s="402">
        <f>IF(AND(203&gt;=$NR$90,203&lt;=$NS$90),IF($NP$90="Single_Point",IF(203=$NR$90,$NN$90,0),IF($NP$90="Bell_Curve",$NN$90*(203-$NR$90+1)*($NS$90-203+1)/$NU$90,$NN$90/$NT$90)),0)</f>
        <v/>
      </c>
      <c r="GZ90" s="402">
        <f>IF(AND(204&gt;=$NR$90,204&lt;=$NS$90),IF($NP$90="Single_Point",IF(204=$NR$90,$NN$90,0),IF($NP$90="Bell_Curve",$NN$90*(204-$NR$90+1)*($NS$90-204+1)/$NU$90,$NN$90/$NT$90)),0)</f>
        <v/>
      </c>
      <c r="HA90" s="402">
        <f>IF(AND(205&gt;=$NR$90,205&lt;=$NS$90),IF($NP$90="Single_Point",IF(205=$NR$90,$NN$90,0),IF($NP$90="Bell_Curve",$NN$90*(205-$NR$90+1)*($NS$90-205+1)/$NU$90,$NN$90/$NT$90)),0)</f>
        <v/>
      </c>
      <c r="HB90" s="402">
        <f>IF(AND(206&gt;=$NR$90,206&lt;=$NS$90),IF($NP$90="Single_Point",IF(206=$NR$90,$NN$90,0),IF($NP$90="Bell_Curve",$NN$90*(206-$NR$90+1)*($NS$90-206+1)/$NU$90,$NN$90/$NT$90)),0)</f>
        <v/>
      </c>
      <c r="HC90" s="402">
        <f>IF(AND(207&gt;=$NR$90,207&lt;=$NS$90),IF($NP$90="Single_Point",IF(207=$NR$90,$NN$90,0),IF($NP$90="Bell_Curve",$NN$90*(207-$NR$90+1)*($NS$90-207+1)/$NU$90,$NN$90/$NT$90)),0)</f>
        <v/>
      </c>
      <c r="HD90" s="402">
        <f>IF(AND(208&gt;=$NR$90,208&lt;=$NS$90),IF($NP$90="Single_Point",IF(208=$NR$90,$NN$90,0),IF($NP$90="Bell_Curve",$NN$90*(208-$NR$90+1)*($NS$90-208+1)/$NU$90,$NN$90/$NT$90)),0)</f>
        <v/>
      </c>
      <c r="HE90" s="402">
        <f>IF(AND(209&gt;=$NR$90,209&lt;=$NS$90),IF($NP$90="Single_Point",IF(209=$NR$90,$NN$90,0),IF($NP$90="Bell_Curve",$NN$90*(209-$NR$90+1)*($NS$90-209+1)/$NU$90,$NN$90/$NT$90)),0)</f>
        <v/>
      </c>
      <c r="HF90" s="402">
        <f>IF(AND(210&gt;=$NR$90,210&lt;=$NS$90),IF($NP$90="Single_Point",IF(210=$NR$90,$NN$90,0),IF($NP$90="Bell_Curve",$NN$90*(210-$NR$90+1)*($NS$90-210+1)/$NU$90,$NN$90/$NT$90)),0)</f>
        <v/>
      </c>
      <c r="HG90" s="402">
        <f>IF(AND(211&gt;=$NR$90,211&lt;=$NS$90),IF($NP$90="Single_Point",IF(211=$NR$90,$NN$90,0),IF($NP$90="Bell_Curve",$NN$90*(211-$NR$90+1)*($NS$90-211+1)/$NU$90,$NN$90/$NT$90)),0)</f>
        <v/>
      </c>
      <c r="HH90" s="402">
        <f>IF(AND(212&gt;=$NR$90,212&lt;=$NS$90),IF($NP$90="Single_Point",IF(212=$NR$90,$NN$90,0),IF($NP$90="Bell_Curve",$NN$90*(212-$NR$90+1)*($NS$90-212+1)/$NU$90,$NN$90/$NT$90)),0)</f>
        <v/>
      </c>
      <c r="HI90" s="402">
        <f>IF(AND(213&gt;=$NR$90,213&lt;=$NS$90),IF($NP$90="Single_Point",IF(213=$NR$90,$NN$90,0),IF($NP$90="Bell_Curve",$NN$90*(213-$NR$90+1)*($NS$90-213+1)/$NU$90,$NN$90/$NT$90)),0)</f>
        <v/>
      </c>
      <c r="HJ90" s="402">
        <f>IF(AND(214&gt;=$NR$90,214&lt;=$NS$90),IF($NP$90="Single_Point",IF(214=$NR$90,$NN$90,0),IF($NP$90="Bell_Curve",$NN$90*(214-$NR$90+1)*($NS$90-214+1)/$NU$90,$NN$90/$NT$90)),0)</f>
        <v/>
      </c>
      <c r="HK90" s="402">
        <f>IF(AND(215&gt;=$NR$90,215&lt;=$NS$90),IF($NP$90="Single_Point",IF(215=$NR$90,$NN$90,0),IF($NP$90="Bell_Curve",$NN$90*(215-$NR$90+1)*($NS$90-215+1)/$NU$90,$NN$90/$NT$90)),0)</f>
        <v/>
      </c>
      <c r="HL90" s="402">
        <f>IF(AND(216&gt;=$NR$90,216&lt;=$NS$90),IF($NP$90="Single_Point",IF(216=$NR$90,$NN$90,0),IF($NP$90="Bell_Curve",$NN$90*(216-$NR$90+1)*($NS$90-216+1)/$NU$90,$NN$90/$NT$90)),0)</f>
        <v/>
      </c>
      <c r="HM90" s="402">
        <f>IF(AND(217&gt;=$NR$90,217&lt;=$NS$90),IF($NP$90="Single_Point",IF(217=$NR$90,$NN$90,0),IF($NP$90="Bell_Curve",$NN$90*(217-$NR$90+1)*($NS$90-217+1)/$NU$90,$NN$90/$NT$90)),0)</f>
        <v/>
      </c>
      <c r="HN90" s="402">
        <f>IF(AND(218&gt;=$NR$90,218&lt;=$NS$90),IF($NP$90="Single_Point",IF(218=$NR$90,$NN$90,0),IF($NP$90="Bell_Curve",$NN$90*(218-$NR$90+1)*($NS$90-218+1)/$NU$90,$NN$90/$NT$90)),0)</f>
        <v/>
      </c>
      <c r="HO90" s="402">
        <f>IF(AND(219&gt;=$NR$90,219&lt;=$NS$90),IF($NP$90="Single_Point",IF(219=$NR$90,$NN$90,0),IF($NP$90="Bell_Curve",$NN$90*(219-$NR$90+1)*($NS$90-219+1)/$NU$90,$NN$90/$NT$90)),0)</f>
        <v/>
      </c>
      <c r="HP90" s="402">
        <f>IF(AND(220&gt;=$NR$90,220&lt;=$NS$90),IF($NP$90="Single_Point",IF(220=$NR$90,$NN$90,0),IF($NP$90="Bell_Curve",$NN$90*(220-$NR$90+1)*($NS$90-220+1)/$NU$90,$NN$90/$NT$90)),0)</f>
        <v/>
      </c>
      <c r="HQ90" s="402">
        <f>IF(AND(221&gt;=$NR$90,221&lt;=$NS$90),IF($NP$90="Single_Point",IF(221=$NR$90,$NN$90,0),IF($NP$90="Bell_Curve",$NN$90*(221-$NR$90+1)*($NS$90-221+1)/$NU$90,$NN$90/$NT$90)),0)</f>
        <v/>
      </c>
      <c r="HR90" s="402">
        <f>IF(AND(222&gt;=$NR$90,222&lt;=$NS$90),IF($NP$90="Single_Point",IF(222=$NR$90,$NN$90,0),IF($NP$90="Bell_Curve",$NN$90*(222-$NR$90+1)*($NS$90-222+1)/$NU$90,$NN$90/$NT$90)),0)</f>
        <v/>
      </c>
      <c r="HS90" s="402">
        <f>IF(AND(223&gt;=$NR$90,223&lt;=$NS$90),IF($NP$90="Single_Point",IF(223=$NR$90,$NN$90,0),IF($NP$90="Bell_Curve",$NN$90*(223-$NR$90+1)*($NS$90-223+1)/$NU$90,$NN$90/$NT$90)),0)</f>
        <v/>
      </c>
      <c r="HT90" s="402">
        <f>IF(AND(224&gt;=$NR$90,224&lt;=$NS$90),IF($NP$90="Single_Point",IF(224=$NR$90,$NN$90,0),IF($NP$90="Bell_Curve",$NN$90*(224-$NR$90+1)*($NS$90-224+1)/$NU$90,$NN$90/$NT$90)),0)</f>
        <v/>
      </c>
      <c r="HU90" s="402">
        <f>IF(AND(225&gt;=$NR$90,225&lt;=$NS$90),IF($NP$90="Single_Point",IF(225=$NR$90,$NN$90,0),IF($NP$90="Bell_Curve",$NN$90*(225-$NR$90+1)*($NS$90-225+1)/$NU$90,$NN$90/$NT$90)),0)</f>
        <v/>
      </c>
      <c r="HV90" s="402">
        <f>IF(AND(226&gt;=$NR$90,226&lt;=$NS$90),IF($NP$90="Single_Point",IF(226=$NR$90,$NN$90,0),IF($NP$90="Bell_Curve",$NN$90*(226-$NR$90+1)*($NS$90-226+1)/$NU$90,$NN$90/$NT$90)),0)</f>
        <v/>
      </c>
      <c r="HW90" s="402">
        <f>IF(AND(227&gt;=$NR$90,227&lt;=$NS$90),IF($NP$90="Single_Point",IF(227=$NR$90,$NN$90,0),IF($NP$90="Bell_Curve",$NN$90*(227-$NR$90+1)*($NS$90-227+1)/$NU$90,$NN$90/$NT$90)),0)</f>
        <v/>
      </c>
      <c r="HX90" s="402">
        <f>IF(AND(228&gt;=$NR$90,228&lt;=$NS$90),IF($NP$90="Single_Point",IF(228=$NR$90,$NN$90,0),IF($NP$90="Bell_Curve",$NN$90*(228-$NR$90+1)*($NS$90-228+1)/$NU$90,$NN$90/$NT$90)),0)</f>
        <v/>
      </c>
      <c r="HY90" s="402">
        <f>IF(AND(229&gt;=$NR$90,229&lt;=$NS$90),IF($NP$90="Single_Point",IF(229=$NR$90,$NN$90,0),IF($NP$90="Bell_Curve",$NN$90*(229-$NR$90+1)*($NS$90-229+1)/$NU$90,$NN$90/$NT$90)),0)</f>
        <v/>
      </c>
      <c r="HZ90" s="402">
        <f>IF(AND(230&gt;=$NR$90,230&lt;=$NS$90),IF($NP$90="Single_Point",IF(230=$NR$90,$NN$90,0),IF($NP$90="Bell_Curve",$NN$90*(230-$NR$90+1)*($NS$90-230+1)/$NU$90,$NN$90/$NT$90)),0)</f>
        <v/>
      </c>
      <c r="IA90" s="402">
        <f>IF(AND(231&gt;=$NR$90,231&lt;=$NS$90),IF($NP$90="Single_Point",IF(231=$NR$90,$NN$90,0),IF($NP$90="Bell_Curve",$NN$90*(231-$NR$90+1)*($NS$90-231+1)/$NU$90,$NN$90/$NT$90)),0)</f>
        <v/>
      </c>
      <c r="IB90" s="402">
        <f>IF(AND(232&gt;=$NR$90,232&lt;=$NS$90),IF($NP$90="Single_Point",IF(232=$NR$90,$NN$90,0),IF($NP$90="Bell_Curve",$NN$90*(232-$NR$90+1)*($NS$90-232+1)/$NU$90,$NN$90/$NT$90)),0)</f>
        <v/>
      </c>
      <c r="IC90" s="402">
        <f>IF(AND(233&gt;=$NR$90,233&lt;=$NS$90),IF($NP$90="Single_Point",IF(233=$NR$90,$NN$90,0),IF($NP$90="Bell_Curve",$NN$90*(233-$NR$90+1)*($NS$90-233+1)/$NU$90,$NN$90/$NT$90)),0)</f>
        <v/>
      </c>
      <c r="ID90" s="402">
        <f>IF(AND(234&gt;=$NR$90,234&lt;=$NS$90),IF($NP$90="Single_Point",IF(234=$NR$90,$NN$90,0),IF($NP$90="Bell_Curve",$NN$90*(234-$NR$90+1)*($NS$90-234+1)/$NU$90,$NN$90/$NT$90)),0)</f>
        <v/>
      </c>
      <c r="IE90" s="402">
        <f>IF(AND(235&gt;=$NR$90,235&lt;=$NS$90),IF($NP$90="Single_Point",IF(235=$NR$90,$NN$90,0),IF($NP$90="Bell_Curve",$NN$90*(235-$NR$90+1)*($NS$90-235+1)/$NU$90,$NN$90/$NT$90)),0)</f>
        <v/>
      </c>
      <c r="IF90" s="402">
        <f>IF(AND(236&gt;=$NR$90,236&lt;=$NS$90),IF($NP$90="Single_Point",IF(236=$NR$90,$NN$90,0),IF($NP$90="Bell_Curve",$NN$90*(236-$NR$90+1)*($NS$90-236+1)/$NU$90,$NN$90/$NT$90)),0)</f>
        <v/>
      </c>
      <c r="IG90" s="402">
        <f>IF(AND(237&gt;=$NR$90,237&lt;=$NS$90),IF($NP$90="Single_Point",IF(237=$NR$90,$NN$90,0),IF($NP$90="Bell_Curve",$NN$90*(237-$NR$90+1)*($NS$90-237+1)/$NU$90,$NN$90/$NT$90)),0)</f>
        <v/>
      </c>
      <c r="IH90" s="402">
        <f>IF(AND(238&gt;=$NR$90,238&lt;=$NS$90),IF($NP$90="Single_Point",IF(238=$NR$90,$NN$90,0),IF($NP$90="Bell_Curve",$NN$90*(238-$NR$90+1)*($NS$90-238+1)/$NU$90,$NN$90/$NT$90)),0)</f>
        <v/>
      </c>
      <c r="II90" s="402">
        <f>IF(AND(239&gt;=$NR$90,239&lt;=$NS$90),IF($NP$90="Single_Point",IF(239=$NR$90,$NN$90,0),IF($NP$90="Bell_Curve",$NN$90*(239-$NR$90+1)*($NS$90-239+1)/$NU$90,$NN$90/$NT$90)),0)</f>
        <v/>
      </c>
      <c r="IJ90" s="402">
        <f>IF(AND(240&gt;=$NR$90,240&lt;=$NS$90),IF($NP$90="Single_Point",IF(240=$NR$90,$NN$90,0),IF($NP$90="Bell_Curve",$NN$90*(240-$NR$90+1)*($NS$90-240+1)/$NU$90,$NN$90/$NT$90)),0)</f>
        <v/>
      </c>
      <c r="IK90" s="402">
        <f>IF(AND(241&gt;=$NR$90,241&lt;=$NS$90),IF($NP$90="Single_Point",IF(241=$NR$90,$NN$90,0),IF($NP$90="Bell_Curve",$NN$90*(241-$NR$90+1)*($NS$90-241+1)/$NU$90,$NN$90/$NT$90)),0)</f>
        <v/>
      </c>
      <c r="IL90" s="402">
        <f>IF(AND(242&gt;=$NR$90,242&lt;=$NS$90),IF($NP$90="Single_Point",IF(242=$NR$90,$NN$90,0),IF($NP$90="Bell_Curve",$NN$90*(242-$NR$90+1)*($NS$90-242+1)/$NU$90,$NN$90/$NT$90)),0)</f>
        <v/>
      </c>
      <c r="IM90" s="402">
        <f>IF(AND(243&gt;=$NR$90,243&lt;=$NS$90),IF($NP$90="Single_Point",IF(243=$NR$90,$NN$90,0),IF($NP$90="Bell_Curve",$NN$90*(243-$NR$90+1)*($NS$90-243+1)/$NU$90,$NN$90/$NT$90)),0)</f>
        <v/>
      </c>
      <c r="IN90" s="402">
        <f>IF(AND(244&gt;=$NR$90,244&lt;=$NS$90),IF($NP$90="Single_Point",IF(244=$NR$90,$NN$90,0),IF($NP$90="Bell_Curve",$NN$90*(244-$NR$90+1)*($NS$90-244+1)/$NU$90,$NN$90/$NT$90)),0)</f>
        <v/>
      </c>
      <c r="IO90" s="402">
        <f>IF(AND(245&gt;=$NR$90,245&lt;=$NS$90),IF($NP$90="Single_Point",IF(245=$NR$90,$NN$90,0),IF($NP$90="Bell_Curve",$NN$90*(245-$NR$90+1)*($NS$90-245+1)/$NU$90,$NN$90/$NT$90)),0)</f>
        <v/>
      </c>
      <c r="IP90" s="402">
        <f>IF(AND(246&gt;=$NR$90,246&lt;=$NS$90),IF($NP$90="Single_Point",IF(246=$NR$90,$NN$90,0),IF($NP$90="Bell_Curve",$NN$90*(246-$NR$90+1)*($NS$90-246+1)/$NU$90,$NN$90/$NT$90)),0)</f>
        <v/>
      </c>
      <c r="IQ90" s="402">
        <f>IF(AND(247&gt;=$NR$90,247&lt;=$NS$90),IF($NP$90="Single_Point",IF(247=$NR$90,$NN$90,0),IF($NP$90="Bell_Curve",$NN$90*(247-$NR$90+1)*($NS$90-247+1)/$NU$90,$NN$90/$NT$90)),0)</f>
        <v/>
      </c>
      <c r="IR90" s="402">
        <f>IF(AND(248&gt;=$NR$90,248&lt;=$NS$90),IF($NP$90="Single_Point",IF(248=$NR$90,$NN$90,0),IF($NP$90="Bell_Curve",$NN$90*(248-$NR$90+1)*($NS$90-248+1)/$NU$90,$NN$90/$NT$90)),0)</f>
        <v/>
      </c>
      <c r="IS90" s="402">
        <f>IF(AND(249&gt;=$NR$90,249&lt;=$NS$90),IF($NP$90="Single_Point",IF(249=$NR$90,$NN$90,0),IF($NP$90="Bell_Curve",$NN$90*(249-$NR$90+1)*($NS$90-249+1)/$NU$90,$NN$90/$NT$90)),0)</f>
        <v/>
      </c>
      <c r="IT90" s="402">
        <f>IF(AND(250&gt;=$NR$90,250&lt;=$NS$90),IF($NP$90="Single_Point",IF(250=$NR$90,$NN$90,0),IF($NP$90="Bell_Curve",$NN$90*(250-$NR$90+1)*($NS$90-250+1)/$NU$90,$NN$90/$NT$90)),0)</f>
        <v/>
      </c>
      <c r="IU90" s="402">
        <f>IF(AND(251&gt;=$NR$90,251&lt;=$NS$90),IF($NP$90="Single_Point",IF(251=$NR$90,$NN$90,0),IF($NP$90="Bell_Curve",$NN$90*(251-$NR$90+1)*($NS$90-251+1)/$NU$90,$NN$90/$NT$90)),0)</f>
        <v/>
      </c>
      <c r="IV90" s="402">
        <f>IF(AND(252&gt;=$NR$90,252&lt;=$NS$90),IF($NP$90="Single_Point",IF(252=$NR$90,$NN$90,0),IF($NP$90="Bell_Curve",$NN$90*(252-$NR$90+1)*($NS$90-252+1)/$NU$90,$NN$90/$NT$90)),0)</f>
        <v/>
      </c>
      <c r="IW90" s="402">
        <f>IF(AND(253&gt;=$NR$90,253&lt;=$NS$90),IF($NP$90="Single_Point",IF(253=$NR$90,$NN$90,0),IF($NP$90="Bell_Curve",$NN$90*(253-$NR$90+1)*($NS$90-253+1)/$NU$90,$NN$90/$NT$90)),0)</f>
        <v/>
      </c>
      <c r="IX90" s="402">
        <f>IF(AND(254&gt;=$NR$90,254&lt;=$NS$90),IF($NP$90="Single_Point",IF(254=$NR$90,$NN$90,0),IF($NP$90="Bell_Curve",$NN$90*(254-$NR$90+1)*($NS$90-254+1)/$NU$90,$NN$90/$NT$90)),0)</f>
        <v/>
      </c>
      <c r="IY90" s="402">
        <f>IF(AND(255&gt;=$NR$90,255&lt;=$NS$90),IF($NP$90="Single_Point",IF(255=$NR$90,$NN$90,0),IF($NP$90="Bell_Curve",$NN$90*(255-$NR$90+1)*($NS$90-255+1)/$NU$90,$NN$90/$NT$90)),0)</f>
        <v/>
      </c>
      <c r="IZ90" s="402">
        <f>IF(AND(256&gt;=$NR$90,256&lt;=$NS$90),IF($NP$90="Single_Point",IF(256=$NR$90,$NN$90,0),IF($NP$90="Bell_Curve",$NN$90*(256-$NR$90+1)*($NS$90-256+1)/$NU$90,$NN$90/$NT$90)),0)</f>
        <v/>
      </c>
      <c r="JA90" s="402">
        <f>IF(AND(257&gt;=$NR$90,257&lt;=$NS$90),IF($NP$90="Single_Point",IF(257=$NR$90,$NN$90,0),IF($NP$90="Bell_Curve",$NN$90*(257-$NR$90+1)*($NS$90-257+1)/$NU$90,$NN$90/$NT$90)),0)</f>
        <v/>
      </c>
      <c r="JB90" s="402">
        <f>IF(AND(258&gt;=$NR$90,258&lt;=$NS$90),IF($NP$90="Single_Point",IF(258=$NR$90,$NN$90,0),IF($NP$90="Bell_Curve",$NN$90*(258-$NR$90+1)*($NS$90-258+1)/$NU$90,$NN$90/$NT$90)),0)</f>
        <v/>
      </c>
      <c r="JC90" s="402">
        <f>IF(AND(259&gt;=$NR$90,259&lt;=$NS$90),IF($NP$90="Single_Point",IF(259=$NR$90,$NN$90,0),IF($NP$90="Bell_Curve",$NN$90*(259-$NR$90+1)*($NS$90-259+1)/$NU$90,$NN$90/$NT$90)),0)</f>
        <v/>
      </c>
      <c r="JD90" s="402">
        <f>IF(AND(260&gt;=$NR$90,260&lt;=$NS$90),IF($NP$90="Single_Point",IF(260=$NR$90,$NN$90,0),IF($NP$90="Bell_Curve",$NN$90*(260-$NR$90+1)*($NS$90-260+1)/$NU$90,$NN$90/$NT$90)),0)</f>
        <v/>
      </c>
      <c r="JE90" s="402">
        <f>IF(AND(261&gt;=$NR$90,261&lt;=$NS$90),IF($NP$90="Single_Point",IF(261=$NR$90,$NN$90,0),IF($NP$90="Bell_Curve",$NN$90*(261-$NR$90+1)*($NS$90-261+1)/$NU$90,$NN$90/$NT$90)),0)</f>
        <v/>
      </c>
      <c r="JF90" s="402">
        <f>IF(AND(262&gt;=$NR$90,262&lt;=$NS$90),IF($NP$90="Single_Point",IF(262=$NR$90,$NN$90,0),IF($NP$90="Bell_Curve",$NN$90*(262-$NR$90+1)*($NS$90-262+1)/$NU$90,$NN$90/$NT$90)),0)</f>
        <v/>
      </c>
      <c r="JG90" s="402">
        <f>IF(AND(263&gt;=$NR$90,263&lt;=$NS$90),IF($NP$90="Single_Point",IF(263=$NR$90,$NN$90,0),IF($NP$90="Bell_Curve",$NN$90*(263-$NR$90+1)*($NS$90-263+1)/$NU$90,$NN$90/$NT$90)),0)</f>
        <v/>
      </c>
      <c r="JH90" s="402">
        <f>IF(AND(264&gt;=$NR$90,264&lt;=$NS$90),IF($NP$90="Single_Point",IF(264=$NR$90,$NN$90,0),IF($NP$90="Bell_Curve",$NN$90*(264-$NR$90+1)*($NS$90-264+1)/$NU$90,$NN$90/$NT$90)),0)</f>
        <v/>
      </c>
      <c r="JI90" s="402">
        <f>IF(AND(265&gt;=$NR$90,265&lt;=$NS$90),IF($NP$90="Single_Point",IF(265=$NR$90,$NN$90,0),IF($NP$90="Bell_Curve",$NN$90*(265-$NR$90+1)*($NS$90-265+1)/$NU$90,$NN$90/$NT$90)),0)</f>
        <v/>
      </c>
      <c r="JJ90" s="402">
        <f>IF(AND(266&gt;=$NR$90,266&lt;=$NS$90),IF($NP$90="Single_Point",IF(266=$NR$90,$NN$90,0),IF($NP$90="Bell_Curve",$NN$90*(266-$NR$90+1)*($NS$90-266+1)/$NU$90,$NN$90/$NT$90)),0)</f>
        <v/>
      </c>
      <c r="JK90" s="402">
        <f>IF(AND(267&gt;=$NR$90,267&lt;=$NS$90),IF($NP$90="Single_Point",IF(267=$NR$90,$NN$90,0),IF($NP$90="Bell_Curve",$NN$90*(267-$NR$90+1)*($NS$90-267+1)/$NU$90,$NN$90/$NT$90)),0)</f>
        <v/>
      </c>
      <c r="JL90" s="402">
        <f>IF(AND(268&gt;=$NR$90,268&lt;=$NS$90),IF($NP$90="Single_Point",IF(268=$NR$90,$NN$90,0),IF($NP$90="Bell_Curve",$NN$90*(268-$NR$90+1)*($NS$90-268+1)/$NU$90,$NN$90/$NT$90)),0)</f>
        <v/>
      </c>
      <c r="JM90" s="402">
        <f>IF(AND(269&gt;=$NR$90,269&lt;=$NS$90),IF($NP$90="Single_Point",IF(269=$NR$90,$NN$90,0),IF($NP$90="Bell_Curve",$NN$90*(269-$NR$90+1)*($NS$90-269+1)/$NU$90,$NN$90/$NT$90)),0)</f>
        <v/>
      </c>
      <c r="JN90" s="402">
        <f>IF(AND(270&gt;=$NR$90,270&lt;=$NS$90),IF($NP$90="Single_Point",IF(270=$NR$90,$NN$90,0),IF($NP$90="Bell_Curve",$NN$90*(270-$NR$90+1)*($NS$90-270+1)/$NU$90,$NN$90/$NT$90)),0)</f>
        <v/>
      </c>
      <c r="JO90" s="402">
        <f>IF(AND(271&gt;=$NR$90,271&lt;=$NS$90),IF($NP$90="Single_Point",IF(271=$NR$90,$NN$90,0),IF($NP$90="Bell_Curve",$NN$90*(271-$NR$90+1)*($NS$90-271+1)/$NU$90,$NN$90/$NT$90)),0)</f>
        <v/>
      </c>
      <c r="JP90" s="402">
        <f>IF(AND(272&gt;=$NR$90,272&lt;=$NS$90),IF($NP$90="Single_Point",IF(272=$NR$90,$NN$90,0),IF($NP$90="Bell_Curve",$NN$90*(272-$NR$90+1)*($NS$90-272+1)/$NU$90,$NN$90/$NT$90)),0)</f>
        <v/>
      </c>
      <c r="JQ90" s="402">
        <f>IF(AND(273&gt;=$NR$90,273&lt;=$NS$90),IF($NP$90="Single_Point",IF(273=$NR$90,$NN$90,0),IF($NP$90="Bell_Curve",$NN$90*(273-$NR$90+1)*($NS$90-273+1)/$NU$90,$NN$90/$NT$90)),0)</f>
        <v/>
      </c>
      <c r="JR90" s="402">
        <f>IF(AND(274&gt;=$NR$90,274&lt;=$NS$90),IF($NP$90="Single_Point",IF(274=$NR$90,$NN$90,0),IF($NP$90="Bell_Curve",$NN$90*(274-$NR$90+1)*($NS$90-274+1)/$NU$90,$NN$90/$NT$90)),0)</f>
        <v/>
      </c>
      <c r="JS90" s="402">
        <f>IF(AND(275&gt;=$NR$90,275&lt;=$NS$90),IF($NP$90="Single_Point",IF(275=$NR$90,$NN$90,0),IF($NP$90="Bell_Curve",$NN$90*(275-$NR$90+1)*($NS$90-275+1)/$NU$90,$NN$90/$NT$90)),0)</f>
        <v/>
      </c>
      <c r="JT90" s="402">
        <f>IF(AND(276&gt;=$NR$90,276&lt;=$NS$90),IF($NP$90="Single_Point",IF(276=$NR$90,$NN$90,0),IF($NP$90="Bell_Curve",$NN$90*(276-$NR$90+1)*($NS$90-276+1)/$NU$90,$NN$90/$NT$90)),0)</f>
        <v/>
      </c>
      <c r="JU90" s="402">
        <f>IF(AND(277&gt;=$NR$90,277&lt;=$NS$90),IF($NP$90="Single_Point",IF(277=$NR$90,$NN$90,0),IF($NP$90="Bell_Curve",$NN$90*(277-$NR$90+1)*($NS$90-277+1)/$NU$90,$NN$90/$NT$90)),0)</f>
        <v/>
      </c>
      <c r="JV90" s="402">
        <f>IF(AND(278&gt;=$NR$90,278&lt;=$NS$90),IF($NP$90="Single_Point",IF(278=$NR$90,$NN$90,0),IF($NP$90="Bell_Curve",$NN$90*(278-$NR$90+1)*($NS$90-278+1)/$NU$90,$NN$90/$NT$90)),0)</f>
        <v/>
      </c>
      <c r="JW90" s="402">
        <f>IF(AND(279&gt;=$NR$90,279&lt;=$NS$90),IF($NP$90="Single_Point",IF(279=$NR$90,$NN$90,0),IF($NP$90="Bell_Curve",$NN$90*(279-$NR$90+1)*($NS$90-279+1)/$NU$90,$NN$90/$NT$90)),0)</f>
        <v/>
      </c>
      <c r="JX90" s="402">
        <f>IF(AND(280&gt;=$NR$90,280&lt;=$NS$90),IF($NP$90="Single_Point",IF(280=$NR$90,$NN$90,0),IF($NP$90="Bell_Curve",$NN$90*(280-$NR$90+1)*($NS$90-280+1)/$NU$90,$NN$90/$NT$90)),0)</f>
        <v/>
      </c>
      <c r="JY90" s="402">
        <f>IF(AND(281&gt;=$NR$90,281&lt;=$NS$90),IF($NP$90="Single_Point",IF(281=$NR$90,$NN$90,0),IF($NP$90="Bell_Curve",$NN$90*(281-$NR$90+1)*($NS$90-281+1)/$NU$90,$NN$90/$NT$90)),0)</f>
        <v/>
      </c>
      <c r="JZ90" s="402">
        <f>IF(AND(282&gt;=$NR$90,282&lt;=$NS$90),IF($NP$90="Single_Point",IF(282=$NR$90,$NN$90,0),IF($NP$90="Bell_Curve",$NN$90*(282-$NR$90+1)*($NS$90-282+1)/$NU$90,$NN$90/$NT$90)),0)</f>
        <v/>
      </c>
      <c r="KA90" s="402">
        <f>IF(AND(283&gt;=$NR$90,283&lt;=$NS$90),IF($NP$90="Single_Point",IF(283=$NR$90,$NN$90,0),IF($NP$90="Bell_Curve",$NN$90*(283-$NR$90+1)*($NS$90-283+1)/$NU$90,$NN$90/$NT$90)),0)</f>
        <v/>
      </c>
      <c r="KB90" s="402">
        <f>IF(AND(284&gt;=$NR$90,284&lt;=$NS$90),IF($NP$90="Single_Point",IF(284=$NR$90,$NN$90,0),IF($NP$90="Bell_Curve",$NN$90*(284-$NR$90+1)*($NS$90-284+1)/$NU$90,$NN$90/$NT$90)),0)</f>
        <v/>
      </c>
      <c r="KC90" s="402">
        <f>IF(AND(285&gt;=$NR$90,285&lt;=$NS$90),IF($NP$90="Single_Point",IF(285=$NR$90,$NN$90,0),IF($NP$90="Bell_Curve",$NN$90*(285-$NR$90+1)*($NS$90-285+1)/$NU$90,$NN$90/$NT$90)),0)</f>
        <v/>
      </c>
      <c r="KD90" s="402">
        <f>IF(AND(286&gt;=$NR$90,286&lt;=$NS$90),IF($NP$90="Single_Point",IF(286=$NR$90,$NN$90,0),IF($NP$90="Bell_Curve",$NN$90*(286-$NR$90+1)*($NS$90-286+1)/$NU$90,$NN$90/$NT$90)),0)</f>
        <v/>
      </c>
      <c r="KE90" s="402">
        <f>IF(AND(287&gt;=$NR$90,287&lt;=$NS$90),IF($NP$90="Single_Point",IF(287=$NR$90,$NN$90,0),IF($NP$90="Bell_Curve",$NN$90*(287-$NR$90+1)*($NS$90-287+1)/$NU$90,$NN$90/$NT$90)),0)</f>
        <v/>
      </c>
      <c r="KF90" s="402">
        <f>IF(AND(288&gt;=$NR$90,288&lt;=$NS$90),IF($NP$90="Single_Point",IF(288=$NR$90,$NN$90,0),IF($NP$90="Bell_Curve",$NN$90*(288-$NR$90+1)*($NS$90-288+1)/$NU$90,$NN$90/$NT$90)),0)</f>
        <v/>
      </c>
      <c r="KG90" s="402">
        <f>IF(AND(289&gt;=$NR$90,289&lt;=$NS$90),IF($NP$90="Single_Point",IF(289=$NR$90,$NN$90,0),IF($NP$90="Bell_Curve",$NN$90*(289-$NR$90+1)*($NS$90-289+1)/$NU$90,$NN$90/$NT$90)),0)</f>
        <v/>
      </c>
      <c r="KH90" s="402">
        <f>IF(AND(290&gt;=$NR$90,290&lt;=$NS$90),IF($NP$90="Single_Point",IF(290=$NR$90,$NN$90,0),IF($NP$90="Bell_Curve",$NN$90*(290-$NR$90+1)*($NS$90-290+1)/$NU$90,$NN$90/$NT$90)),0)</f>
        <v/>
      </c>
      <c r="KI90" s="402">
        <f>IF(AND(291&gt;=$NR$90,291&lt;=$NS$90),IF($NP$90="Single_Point",IF(291=$NR$90,$NN$90,0),IF($NP$90="Bell_Curve",$NN$90*(291-$NR$90+1)*($NS$90-291+1)/$NU$90,$NN$90/$NT$90)),0)</f>
        <v/>
      </c>
      <c r="KJ90" s="402">
        <f>IF(AND(292&gt;=$NR$90,292&lt;=$NS$90),IF($NP$90="Single_Point",IF(292=$NR$90,$NN$90,0),IF($NP$90="Bell_Curve",$NN$90*(292-$NR$90+1)*($NS$90-292+1)/$NU$90,$NN$90/$NT$90)),0)</f>
        <v/>
      </c>
      <c r="KK90" s="402">
        <f>IF(AND(293&gt;=$NR$90,293&lt;=$NS$90),IF($NP$90="Single_Point",IF(293=$NR$90,$NN$90,0),IF($NP$90="Bell_Curve",$NN$90*(293-$NR$90+1)*($NS$90-293+1)/$NU$90,$NN$90/$NT$90)),0)</f>
        <v/>
      </c>
      <c r="KL90" s="402">
        <f>IF(AND(294&gt;=$NR$90,294&lt;=$NS$90),IF($NP$90="Single_Point",IF(294=$NR$90,$NN$90,0),IF($NP$90="Bell_Curve",$NN$90*(294-$NR$90+1)*($NS$90-294+1)/$NU$90,$NN$90/$NT$90)),0)</f>
        <v/>
      </c>
      <c r="KM90" s="402">
        <f>IF(AND(295&gt;=$NR$90,295&lt;=$NS$90),IF($NP$90="Single_Point",IF(295=$NR$90,$NN$90,0),IF($NP$90="Bell_Curve",$NN$90*(295-$NR$90+1)*($NS$90-295+1)/$NU$90,$NN$90/$NT$90)),0)</f>
        <v/>
      </c>
      <c r="KN90" s="402">
        <f>IF(AND(296&gt;=$NR$90,296&lt;=$NS$90),IF($NP$90="Single_Point",IF(296=$NR$90,$NN$90,0),IF($NP$90="Bell_Curve",$NN$90*(296-$NR$90+1)*($NS$90-296+1)/$NU$90,$NN$90/$NT$90)),0)</f>
        <v/>
      </c>
      <c r="KO90" s="402">
        <f>IF(AND(297&gt;=$NR$90,297&lt;=$NS$90),IF($NP$90="Single_Point",IF(297=$NR$90,$NN$90,0),IF($NP$90="Bell_Curve",$NN$90*(297-$NR$90+1)*($NS$90-297+1)/$NU$90,$NN$90/$NT$90)),0)</f>
        <v/>
      </c>
      <c r="KP90" s="402">
        <f>IF(AND(298&gt;=$NR$90,298&lt;=$NS$90),IF($NP$90="Single_Point",IF(298=$NR$90,$NN$90,0),IF($NP$90="Bell_Curve",$NN$90*(298-$NR$90+1)*($NS$90-298+1)/$NU$90,$NN$90/$NT$90)),0)</f>
        <v/>
      </c>
      <c r="KQ90" s="402">
        <f>IF(AND(299&gt;=$NR$90,299&lt;=$NS$90),IF($NP$90="Single_Point",IF(299=$NR$90,$NN$90,0),IF($NP$90="Bell_Curve",$NN$90*(299-$NR$90+1)*($NS$90-299+1)/$NU$90,$NN$90/$NT$90)),0)</f>
        <v/>
      </c>
      <c r="KR90" s="402">
        <f>IF(AND(300&gt;=$NR$90,300&lt;=$NS$90),IF($NP$90="Single_Point",IF(300=$NR$90,$NN$90,0),IF($NP$90="Bell_Curve",$NN$90*(300-$NR$90+1)*($NS$90-300+1)/$NU$90,$NN$90/$NT$90)),0)</f>
        <v/>
      </c>
      <c r="KS90" s="402">
        <f>IF(AND(301&gt;=$NR$90,301&lt;=$NS$90),IF($NP$90="Single_Point",IF(301=$NR$90,$NN$90,0),IF($NP$90="Bell_Curve",$NN$90*(301-$NR$90+1)*($NS$90-301+1)/$NU$90,$NN$90/$NT$90)),0)</f>
        <v/>
      </c>
      <c r="KT90" s="402">
        <f>IF(AND(302&gt;=$NR$90,302&lt;=$NS$90),IF($NP$90="Single_Point",IF(302=$NR$90,$NN$90,0),IF($NP$90="Bell_Curve",$NN$90*(302-$NR$90+1)*($NS$90-302+1)/$NU$90,$NN$90/$NT$90)),0)</f>
        <v/>
      </c>
      <c r="KU90" s="402">
        <f>IF(AND(303&gt;=$NR$90,303&lt;=$NS$90),IF($NP$90="Single_Point",IF(303=$NR$90,$NN$90,0),IF($NP$90="Bell_Curve",$NN$90*(303-$NR$90+1)*($NS$90-303+1)/$NU$90,$NN$90/$NT$90)),0)</f>
        <v/>
      </c>
      <c r="KV90" s="402">
        <f>IF(AND(304&gt;=$NR$90,304&lt;=$NS$90),IF($NP$90="Single_Point",IF(304=$NR$90,$NN$90,0),IF($NP$90="Bell_Curve",$NN$90*(304-$NR$90+1)*($NS$90-304+1)/$NU$90,$NN$90/$NT$90)),0)</f>
        <v/>
      </c>
      <c r="KW90" s="402">
        <f>IF(AND(305&gt;=$NR$90,305&lt;=$NS$90),IF($NP$90="Single_Point",IF(305=$NR$90,$NN$90,0),IF($NP$90="Bell_Curve",$NN$90*(305-$NR$90+1)*($NS$90-305+1)/$NU$90,$NN$90/$NT$90)),0)</f>
        <v/>
      </c>
      <c r="KX90" s="402">
        <f>IF(AND(306&gt;=$NR$90,306&lt;=$NS$90),IF($NP$90="Single_Point",IF(306=$NR$90,$NN$90,0),IF($NP$90="Bell_Curve",$NN$90*(306-$NR$90+1)*($NS$90-306+1)/$NU$90,$NN$90/$NT$90)),0)</f>
        <v/>
      </c>
      <c r="KY90" s="402">
        <f>IF(AND(307&gt;=$NR$90,307&lt;=$NS$90),IF($NP$90="Single_Point",IF(307=$NR$90,$NN$90,0),IF($NP$90="Bell_Curve",$NN$90*(307-$NR$90+1)*($NS$90-307+1)/$NU$90,$NN$90/$NT$90)),0)</f>
        <v/>
      </c>
      <c r="KZ90" s="402">
        <f>IF(AND(308&gt;=$NR$90,308&lt;=$NS$90),IF($NP$90="Single_Point",IF(308=$NR$90,$NN$90,0),IF($NP$90="Bell_Curve",$NN$90*(308-$NR$90+1)*($NS$90-308+1)/$NU$90,$NN$90/$NT$90)),0)</f>
        <v/>
      </c>
      <c r="LA90" s="402">
        <f>IF(AND(309&gt;=$NR$90,309&lt;=$NS$90),IF($NP$90="Single_Point",IF(309=$NR$90,$NN$90,0),IF($NP$90="Bell_Curve",$NN$90*(309-$NR$90+1)*($NS$90-309+1)/$NU$90,$NN$90/$NT$90)),0)</f>
        <v/>
      </c>
      <c r="LB90" s="402">
        <f>IF(AND(310&gt;=$NR$90,310&lt;=$NS$90),IF($NP$90="Single_Point",IF(310=$NR$90,$NN$90,0),IF($NP$90="Bell_Curve",$NN$90*(310-$NR$90+1)*($NS$90-310+1)/$NU$90,$NN$90/$NT$90)),0)</f>
        <v/>
      </c>
      <c r="LC90" s="402">
        <f>IF(AND(311&gt;=$NR$90,311&lt;=$NS$90),IF($NP$90="Single_Point",IF(311=$NR$90,$NN$90,0),IF($NP$90="Bell_Curve",$NN$90*(311-$NR$90+1)*($NS$90-311+1)/$NU$90,$NN$90/$NT$90)),0)</f>
        <v/>
      </c>
      <c r="LD90" s="402">
        <f>IF(AND(312&gt;=$NR$90,312&lt;=$NS$90),IF($NP$90="Single_Point",IF(312=$NR$90,$NN$90,0),IF($NP$90="Bell_Curve",$NN$90*(312-$NR$90+1)*($NS$90-312+1)/$NU$90,$NN$90/$NT$90)),0)</f>
        <v/>
      </c>
      <c r="LE90" s="402">
        <f>IF(AND(313&gt;=$NR$90,313&lt;=$NS$90),IF($NP$90="Single_Point",IF(313=$NR$90,$NN$90,0),IF($NP$90="Bell_Curve",$NN$90*(313-$NR$90+1)*($NS$90-313+1)/$NU$90,$NN$90/$NT$90)),0)</f>
        <v/>
      </c>
      <c r="LF90" s="402">
        <f>IF(AND(314&gt;=$NR$90,314&lt;=$NS$90),IF($NP$90="Single_Point",IF(314=$NR$90,$NN$90,0),IF($NP$90="Bell_Curve",$NN$90*(314-$NR$90+1)*($NS$90-314+1)/$NU$90,$NN$90/$NT$90)),0)</f>
        <v/>
      </c>
      <c r="LG90" s="402">
        <f>IF(AND(315&gt;=$NR$90,315&lt;=$NS$90),IF($NP$90="Single_Point",IF(315=$NR$90,$NN$90,0),IF($NP$90="Bell_Curve",$NN$90*(315-$NR$90+1)*($NS$90-315+1)/$NU$90,$NN$90/$NT$90)),0)</f>
        <v/>
      </c>
      <c r="LH90" s="402">
        <f>IF(AND(316&gt;=$NR$90,316&lt;=$NS$90),IF($NP$90="Single_Point",IF(316=$NR$90,$NN$90,0),IF($NP$90="Bell_Curve",$NN$90*(316-$NR$90+1)*($NS$90-316+1)/$NU$90,$NN$90/$NT$90)),0)</f>
        <v/>
      </c>
      <c r="LI90" s="402">
        <f>IF(AND(317&gt;=$NR$90,317&lt;=$NS$90),IF($NP$90="Single_Point",IF(317=$NR$90,$NN$90,0),IF($NP$90="Bell_Curve",$NN$90*(317-$NR$90+1)*($NS$90-317+1)/$NU$90,$NN$90/$NT$90)),0)</f>
        <v/>
      </c>
      <c r="LJ90" s="402">
        <f>IF(AND(318&gt;=$NR$90,318&lt;=$NS$90),IF($NP$90="Single_Point",IF(318=$NR$90,$NN$90,0),IF($NP$90="Bell_Curve",$NN$90*(318-$NR$90+1)*($NS$90-318+1)/$NU$90,$NN$90/$NT$90)),0)</f>
        <v/>
      </c>
      <c r="LK90" s="402">
        <f>IF(AND(319&gt;=$NR$90,319&lt;=$NS$90),IF($NP$90="Single_Point",IF(319=$NR$90,$NN$90,0),IF($NP$90="Bell_Curve",$NN$90*(319-$NR$90+1)*($NS$90-319+1)/$NU$90,$NN$90/$NT$90)),0)</f>
        <v/>
      </c>
      <c r="LL90" s="402">
        <f>IF(AND(320&gt;=$NR$90,320&lt;=$NS$90),IF($NP$90="Single_Point",IF(320=$NR$90,$NN$90,0),IF($NP$90="Bell_Curve",$NN$90*(320-$NR$90+1)*($NS$90-320+1)/$NU$90,$NN$90/$NT$90)),0)</f>
        <v/>
      </c>
      <c r="LM90" s="402">
        <f>IF(AND(321&gt;=$NR$90,321&lt;=$NS$90),IF($NP$90="Single_Point",IF(321=$NR$90,$NN$90,0),IF($NP$90="Bell_Curve",$NN$90*(321-$NR$90+1)*($NS$90-321+1)/$NU$90,$NN$90/$NT$90)),0)</f>
        <v/>
      </c>
      <c r="LN90" s="402">
        <f>IF(AND(322&gt;=$NR$90,322&lt;=$NS$90),IF($NP$90="Single_Point",IF(322=$NR$90,$NN$90,0),IF($NP$90="Bell_Curve",$NN$90*(322-$NR$90+1)*($NS$90-322+1)/$NU$90,$NN$90/$NT$90)),0)</f>
        <v/>
      </c>
      <c r="LO90" s="402">
        <f>IF(AND(323&gt;=$NR$90,323&lt;=$NS$90),IF($NP$90="Single_Point",IF(323=$NR$90,$NN$90,0),IF($NP$90="Bell_Curve",$NN$90*(323-$NR$90+1)*($NS$90-323+1)/$NU$90,$NN$90/$NT$90)),0)</f>
        <v/>
      </c>
      <c r="LP90" s="402">
        <f>IF(AND(324&gt;=$NR$90,324&lt;=$NS$90),IF($NP$90="Single_Point",IF(324=$NR$90,$NN$90,0),IF($NP$90="Bell_Curve",$NN$90*(324-$NR$90+1)*($NS$90-324+1)/$NU$90,$NN$90/$NT$90)),0)</f>
        <v/>
      </c>
      <c r="LQ90" s="402">
        <f>IF(AND(325&gt;=$NR$90,325&lt;=$NS$90),IF($NP$90="Single_Point",IF(325=$NR$90,$NN$90,0),IF($NP$90="Bell_Curve",$NN$90*(325-$NR$90+1)*($NS$90-325+1)/$NU$90,$NN$90/$NT$90)),0)</f>
        <v/>
      </c>
      <c r="LR90" s="402">
        <f>IF(AND(326&gt;=$NR$90,326&lt;=$NS$90),IF($NP$90="Single_Point",IF(326=$NR$90,$NN$90,0),IF($NP$90="Bell_Curve",$NN$90*(326-$NR$90+1)*($NS$90-326+1)/$NU$90,$NN$90/$NT$90)),0)</f>
        <v/>
      </c>
      <c r="LS90" s="402">
        <f>IF(AND(327&gt;=$NR$90,327&lt;=$NS$90),IF($NP$90="Single_Point",IF(327=$NR$90,$NN$90,0),IF($NP$90="Bell_Curve",$NN$90*(327-$NR$90+1)*($NS$90-327+1)/$NU$90,$NN$90/$NT$90)),0)</f>
        <v/>
      </c>
      <c r="LT90" s="402">
        <f>IF(AND(328&gt;=$NR$90,328&lt;=$NS$90),IF($NP$90="Single_Point",IF(328=$NR$90,$NN$90,0),IF($NP$90="Bell_Curve",$NN$90*(328-$NR$90+1)*($NS$90-328+1)/$NU$90,$NN$90/$NT$90)),0)</f>
        <v/>
      </c>
      <c r="LU90" s="402">
        <f>IF(AND(329&gt;=$NR$90,329&lt;=$NS$90),IF($NP$90="Single_Point",IF(329=$NR$90,$NN$90,0),IF($NP$90="Bell_Curve",$NN$90*(329-$NR$90+1)*($NS$90-329+1)/$NU$90,$NN$90/$NT$90)),0)</f>
        <v/>
      </c>
      <c r="LV90" s="402">
        <f>IF(AND(330&gt;=$NR$90,330&lt;=$NS$90),IF($NP$90="Single_Point",IF(330=$NR$90,$NN$90,0),IF($NP$90="Bell_Curve",$NN$90*(330-$NR$90+1)*($NS$90-330+1)/$NU$90,$NN$90/$NT$90)),0)</f>
        <v/>
      </c>
      <c r="LW90" s="402">
        <f>IF(AND(331&gt;=$NR$90,331&lt;=$NS$90),IF($NP$90="Single_Point",IF(331=$NR$90,$NN$90,0),IF($NP$90="Bell_Curve",$NN$90*(331-$NR$90+1)*($NS$90-331+1)/$NU$90,$NN$90/$NT$90)),0)</f>
        <v/>
      </c>
      <c r="LX90" s="402">
        <f>IF(AND(332&gt;=$NR$90,332&lt;=$NS$90),IF($NP$90="Single_Point",IF(332=$NR$90,$NN$90,0),IF($NP$90="Bell_Curve",$NN$90*(332-$NR$90+1)*($NS$90-332+1)/$NU$90,$NN$90/$NT$90)),0)</f>
        <v/>
      </c>
      <c r="LY90" s="402">
        <f>IF(AND(333&gt;=$NR$90,333&lt;=$NS$90),IF($NP$90="Single_Point",IF(333=$NR$90,$NN$90,0),IF($NP$90="Bell_Curve",$NN$90*(333-$NR$90+1)*($NS$90-333+1)/$NU$90,$NN$90/$NT$90)),0)</f>
        <v/>
      </c>
      <c r="LZ90" s="402">
        <f>IF(AND(334&gt;=$NR$90,334&lt;=$NS$90),IF($NP$90="Single_Point",IF(334=$NR$90,$NN$90,0),IF($NP$90="Bell_Curve",$NN$90*(334-$NR$90+1)*($NS$90-334+1)/$NU$90,$NN$90/$NT$90)),0)</f>
        <v/>
      </c>
      <c r="MA90" s="402">
        <f>IF(AND(335&gt;=$NR$90,335&lt;=$NS$90),IF($NP$90="Single_Point",IF(335=$NR$90,$NN$90,0),IF($NP$90="Bell_Curve",$NN$90*(335-$NR$90+1)*($NS$90-335+1)/$NU$90,$NN$90/$NT$90)),0)</f>
        <v/>
      </c>
      <c r="MB90" s="402">
        <f>IF(AND(336&gt;=$NR$90,336&lt;=$NS$90),IF($NP$90="Single_Point",IF(336=$NR$90,$NN$90,0),IF($NP$90="Bell_Curve",$NN$90*(336-$NR$90+1)*($NS$90-336+1)/$NU$90,$NN$90/$NT$90)),0)</f>
        <v/>
      </c>
      <c r="MC90" s="402">
        <f>IF(AND(337&gt;=$NR$90,337&lt;=$NS$90),IF($NP$90="Single_Point",IF(337=$NR$90,$NN$90,0),IF($NP$90="Bell_Curve",$NN$90*(337-$NR$90+1)*($NS$90-337+1)/$NU$90,$NN$90/$NT$90)),0)</f>
        <v/>
      </c>
      <c r="MD90" s="402">
        <f>IF(AND(338&gt;=$NR$90,338&lt;=$NS$90),IF($NP$90="Single_Point",IF(338=$NR$90,$NN$90,0),IF($NP$90="Bell_Curve",$NN$90*(338-$NR$90+1)*($NS$90-338+1)/$NU$90,$NN$90/$NT$90)),0)</f>
        <v/>
      </c>
      <c r="ME90" s="402">
        <f>IF(AND(339&gt;=$NR$90,339&lt;=$NS$90),IF($NP$90="Single_Point",IF(339=$NR$90,$NN$90,0),IF($NP$90="Bell_Curve",$NN$90*(339-$NR$90+1)*($NS$90-339+1)/$NU$90,$NN$90/$NT$90)),0)</f>
        <v/>
      </c>
      <c r="MF90" s="402">
        <f>IF(AND(340&gt;=$NR$90,340&lt;=$NS$90),IF($NP$90="Single_Point",IF(340=$NR$90,$NN$90,0),IF($NP$90="Bell_Curve",$NN$90*(340-$NR$90+1)*($NS$90-340+1)/$NU$90,$NN$90/$NT$90)),0)</f>
        <v/>
      </c>
      <c r="MG90" s="402">
        <f>IF(AND(341&gt;=$NR$90,341&lt;=$NS$90),IF($NP$90="Single_Point",IF(341=$NR$90,$NN$90,0),IF($NP$90="Bell_Curve",$NN$90*(341-$NR$90+1)*($NS$90-341+1)/$NU$90,$NN$90/$NT$90)),0)</f>
        <v/>
      </c>
      <c r="MH90" s="402">
        <f>IF(AND(342&gt;=$NR$90,342&lt;=$NS$90),IF($NP$90="Single_Point",IF(342=$NR$90,$NN$90,0),IF($NP$90="Bell_Curve",$NN$90*(342-$NR$90+1)*($NS$90-342+1)/$NU$90,$NN$90/$NT$90)),0)</f>
        <v/>
      </c>
      <c r="MI90" s="402">
        <f>IF(AND(343&gt;=$NR$90,343&lt;=$NS$90),IF($NP$90="Single_Point",IF(343=$NR$90,$NN$90,0),IF($NP$90="Bell_Curve",$NN$90*(343-$NR$90+1)*($NS$90-343+1)/$NU$90,$NN$90/$NT$90)),0)</f>
        <v/>
      </c>
      <c r="MJ90" s="402">
        <f>IF(AND(344&gt;=$NR$90,344&lt;=$NS$90),IF($NP$90="Single_Point",IF(344=$NR$90,$NN$90,0),IF($NP$90="Bell_Curve",$NN$90*(344-$NR$90+1)*($NS$90-344+1)/$NU$90,$NN$90/$NT$90)),0)</f>
        <v/>
      </c>
      <c r="MK90" s="402">
        <f>IF(AND(345&gt;=$NR$90,345&lt;=$NS$90),IF($NP$90="Single_Point",IF(345=$NR$90,$NN$90,0),IF($NP$90="Bell_Curve",$NN$90*(345-$NR$90+1)*($NS$90-345+1)/$NU$90,$NN$90/$NT$90)),0)</f>
        <v/>
      </c>
      <c r="ML90" s="402">
        <f>IF(AND(346&gt;=$NR$90,346&lt;=$NS$90),IF($NP$90="Single_Point",IF(346=$NR$90,$NN$90,0),IF($NP$90="Bell_Curve",$NN$90*(346-$NR$90+1)*($NS$90-346+1)/$NU$90,$NN$90/$NT$90)),0)</f>
        <v/>
      </c>
      <c r="MM90" s="402">
        <f>IF(AND(347&gt;=$NR$90,347&lt;=$NS$90),IF($NP$90="Single_Point",IF(347=$NR$90,$NN$90,0),IF($NP$90="Bell_Curve",$NN$90*(347-$NR$90+1)*($NS$90-347+1)/$NU$90,$NN$90/$NT$90)),0)</f>
        <v/>
      </c>
      <c r="MN90" s="402">
        <f>IF(AND(348&gt;=$NR$90,348&lt;=$NS$90),IF($NP$90="Single_Point",IF(348=$NR$90,$NN$90,0),IF($NP$90="Bell_Curve",$NN$90*(348-$NR$90+1)*($NS$90-348+1)/$NU$90,$NN$90/$NT$90)),0)</f>
        <v/>
      </c>
      <c r="MO90" s="402">
        <f>IF(AND(349&gt;=$NR$90,349&lt;=$NS$90),IF($NP$90="Single_Point",IF(349=$NR$90,$NN$90,0),IF($NP$90="Bell_Curve",$NN$90*(349-$NR$90+1)*($NS$90-349+1)/$NU$90,$NN$90/$NT$90)),0)</f>
        <v/>
      </c>
      <c r="MP90" s="402">
        <f>IF(AND(350&gt;=$NR$90,350&lt;=$NS$90),IF($NP$90="Single_Point",IF(350=$NR$90,$NN$90,0),IF($NP$90="Bell_Curve",$NN$90*(350-$NR$90+1)*($NS$90-350+1)/$NU$90,$NN$90/$NT$90)),0)</f>
        <v/>
      </c>
      <c r="MQ90" s="402">
        <f>IF(AND(351&gt;=$NR$90,351&lt;=$NS$90),IF($NP$90="Single_Point",IF(351=$NR$90,$NN$90,0),IF($NP$90="Bell_Curve",$NN$90*(351-$NR$90+1)*($NS$90-351+1)/$NU$90,$NN$90/$NT$90)),0)</f>
        <v/>
      </c>
      <c r="MR90" s="402">
        <f>IF(AND(352&gt;=$NR$90,352&lt;=$NS$90),IF($NP$90="Single_Point",IF(352=$NR$90,$NN$90,0),IF($NP$90="Bell_Curve",$NN$90*(352-$NR$90+1)*($NS$90-352+1)/$NU$90,$NN$90/$NT$90)),0)</f>
        <v/>
      </c>
      <c r="MS90" s="402">
        <f>IF(AND(353&gt;=$NR$90,353&lt;=$NS$90),IF($NP$90="Single_Point",IF(353=$NR$90,$NN$90,0),IF($NP$90="Bell_Curve",$NN$90*(353-$NR$90+1)*($NS$90-353+1)/$NU$90,$NN$90/$NT$90)),0)</f>
        <v/>
      </c>
      <c r="MT90" s="402">
        <f>IF(AND(354&gt;=$NR$90,354&lt;=$NS$90),IF($NP$90="Single_Point",IF(354=$NR$90,$NN$90,0),IF($NP$90="Bell_Curve",$NN$90*(354-$NR$90+1)*($NS$90-354+1)/$NU$90,$NN$90/$NT$90)),0)</f>
        <v/>
      </c>
      <c r="MU90" s="402">
        <f>IF(AND(355&gt;=$NR$90,355&lt;=$NS$90),IF($NP$90="Single_Point",IF(355=$NR$90,$NN$90,0),IF($NP$90="Bell_Curve",$NN$90*(355-$NR$90+1)*($NS$90-355+1)/$NU$90,$NN$90/$NT$90)),0)</f>
        <v/>
      </c>
      <c r="MV90" s="402">
        <f>IF(AND(356&gt;=$NR$90,356&lt;=$NS$90),IF($NP$90="Single_Point",IF(356=$NR$90,$NN$90,0),IF($NP$90="Bell_Curve",$NN$90*(356-$NR$90+1)*($NS$90-356+1)/$NU$90,$NN$90/$NT$90)),0)</f>
        <v/>
      </c>
      <c r="MW90" s="402">
        <f>IF(AND(357&gt;=$NR$90,357&lt;=$NS$90),IF($NP$90="Single_Point",IF(357=$NR$90,$NN$90,0),IF($NP$90="Bell_Curve",$NN$90*(357-$NR$90+1)*($NS$90-357+1)/$NU$90,$NN$90/$NT$90)),0)</f>
        <v/>
      </c>
      <c r="MX90" s="402">
        <f>IF(AND(358&gt;=$NR$90,358&lt;=$NS$90),IF($NP$90="Single_Point",IF(358=$NR$90,$NN$90,0),IF($NP$90="Bell_Curve",$NN$90*(358-$NR$90+1)*($NS$90-358+1)/$NU$90,$NN$90/$NT$90)),0)</f>
        <v/>
      </c>
      <c r="MY90" s="402">
        <f>IF(AND(359&gt;=$NR$90,359&lt;=$NS$90),IF($NP$90="Single_Point",IF(359=$NR$90,$NN$90,0),IF($NP$90="Bell_Curve",$NN$90*(359-$NR$90+1)*($NS$90-359+1)/$NU$90,$NN$90/$NT$90)),0)</f>
        <v/>
      </c>
      <c r="MZ90" s="402">
        <f>IF(AND(360&gt;=$NR$90,360&lt;=$NS$90),IF($NP$90="Single_Point",IF(360=$NR$90,$NN$90,0),IF($NP$90="Bell_Curve",$NN$90*(360-$NR$90+1)*($NS$90-360+1)/$NU$90,$NN$90/$NT$90)),0)</f>
        <v/>
      </c>
      <c r="NA90" s="402">
        <f>IF(AND(361&gt;=$NR$90,361&lt;=$NS$90),IF($NP$90="Single_Point",IF(361=$NR$90,$NN$90,0),IF($NP$90="Bell_Curve",$NN$90*(361-$NR$90+1)*($NS$90-361+1)/$NU$90,$NN$90/$NT$90)),0)</f>
        <v/>
      </c>
      <c r="NB90" s="402">
        <f>IF(AND(362&gt;=$NR$90,362&lt;=$NS$90),IF($NP$90="Single_Point",IF(362=$NR$90,$NN$90,0),IF($NP$90="Bell_Curve",$NN$90*(362-$NR$90+1)*($NS$90-362+1)/$NU$90,$NN$90/$NT$90)),0)</f>
        <v/>
      </c>
      <c r="NC90" s="402">
        <f>IF(AND(363&gt;=$NR$90,363&lt;=$NS$90),IF($NP$90="Single_Point",IF(363=$NR$90,$NN$90,0),IF($NP$90="Bell_Curve",$NN$90*(363-$NR$90+1)*($NS$90-363+1)/$NU$90,$NN$90/$NT$90)),0)</f>
        <v/>
      </c>
      <c r="ND90" s="402">
        <f>IF(AND(364&gt;=$NR$90,364&lt;=$NS$90),IF($NP$90="Single_Point",IF(364=$NR$90,$NN$90,0),IF($NP$90="Bell_Curve",$NN$90*(364-$NR$90+1)*($NS$90-364+1)/$NU$90,$NN$90/$NT$90)),0)</f>
        <v/>
      </c>
      <c r="NE90" s="402">
        <f>IF(AND(365&gt;=$NR$90,365&lt;=$NS$90),IF($NP$90="Single_Point",IF(365=$NR$90,$NN$90,0),IF($NP$90="Bell_Curve",$NN$90*(365-$NR$90+1)*($NS$90-365+1)/$NU$90,$NN$90/$NT$90)),0)</f>
        <v/>
      </c>
      <c r="NF90" s="402">
        <f>IF(AND(366&gt;=$NR$90,366&lt;=$NS$90),IF($NP$90="Single_Point",IF(366=$NR$90,$NN$90,0),IF($NP$90="Bell_Curve",$NN$90*(366-$NR$90+1)*($NS$90-366+1)/$NU$90,$NN$90/$NT$90)),0)</f>
        <v/>
      </c>
      <c r="NG90" s="402">
        <f>IF(AND(367&gt;=$NR$90,367&lt;=$NS$90),IF($NP$90="Single_Point",IF(367=$NR$90,$NN$90,0),IF($NP$90="Bell_Curve",$NN$90*(367-$NR$90+1)*($NS$90-367+1)/$NU$90,$NN$90/$NT$90)),0)</f>
        <v/>
      </c>
      <c r="NH90" s="402">
        <f>IF(AND(368&gt;=$NR$90,368&lt;=$NS$90),IF($NP$90="Single_Point",IF(368=$NR$90,$NN$90,0),IF($NP$90="Bell_Curve",$NN$90*(368-$NR$90+1)*($NS$90-368+1)/$NU$90,$NN$90/$NT$90)),0)</f>
        <v/>
      </c>
      <c r="NI90" s="402">
        <f>IF(AND(369&gt;=$NR$90,369&lt;=$NS$90),IF($NP$90="Single_Point",IF(369=$NR$90,$NN$90,0),IF($NP$90="Bell_Curve",$NN$90*(369-$NR$90+1)*($NS$90-369+1)/$NU$90,$NN$90/$NT$90)),0)</f>
        <v/>
      </c>
      <c r="NJ90" s="402">
        <f>IF(AND(370&gt;=$NR$90,370&lt;=$NS$90),IF($NP$90="Single_Point",IF(370=$NR$90,$NN$90,0),IF($NP$90="Bell_Curve",$NN$90*(370-$NR$90+1)*($NS$90-370+1)/$NU$90,$NN$90/$NT$90)),0)</f>
        <v/>
      </c>
      <c r="NK90" s="402">
        <f>IF(AND(371&gt;=$NR$90,371&lt;=$NS$90),IF($NP$90="Single_Point",IF(371=$NR$90,$NN$90,0),IF($NP$90="Bell_Curve",$NN$90*(371-$NR$90+1)*($NS$90-371+1)/$NU$90,$NN$90/$NT$90)),0)</f>
        <v/>
      </c>
      <c r="NL90" s="402">
        <f>IF(AND(372&gt;=$NR$90,372&lt;=$NS$90),IF($NP$90="Single_Point",IF(372=$NR$90,$NN$90,0),IF($NP$90="Bell_Curve",$NN$90*(372-$NR$90+1)*($NS$90-372+1)/$NU$90,$NN$90/$NT$90)),0)</f>
        <v/>
      </c>
      <c r="NM90">
        <f>Budget!C89</f>
        <v/>
      </c>
      <c r="NN90">
        <f>Budget!J89</f>
        <v/>
      </c>
      <c r="NO90">
        <f>Budget!G89</f>
        <v/>
      </c>
      <c r="NP90">
        <f>Budget!H89</f>
        <v/>
      </c>
      <c r="NQ90">
        <f>Budget!I89</f>
        <v/>
      </c>
      <c r="NR90">
        <f>MAX(1,MIN(372,INDEX(MilestoneStart,MATCH(NO90,MilestoneNames,0))+NQ90))</f>
        <v/>
      </c>
      <c r="NS90">
        <f>MAX(NR90,MIN(372,INDEX(MilestoneEnd,MATCH(NO90,MilestoneNames,0))+NQ90))</f>
        <v/>
      </c>
      <c r="NT90">
        <f>NS90-NR90+1</f>
        <v/>
      </c>
      <c r="NU90">
        <f>NT90*(NT90+1)*(NT90+2)/6</f>
        <v/>
      </c>
    </row>
    <row r="91">
      <c r="B91" s="316">
        <f>Budget!B90</f>
        <v/>
      </c>
      <c r="D91" s="402">
        <f>SUM(E91:NL91)</f>
        <v/>
      </c>
      <c r="E91" s="402">
        <f>IF(AND(1&gt;=$NR$91,1&lt;=$NS$91),IF($NP$91="Single_Point",IF(1=$NR$91,$NN$91,0),IF($NP$91="Bell_Curve",$NN$91*(1-$NR$91+1)*($NS$91-1+1)/$NU$91,$NN$91/$NT$91)),0)</f>
        <v/>
      </c>
      <c r="F91" s="402">
        <f>IF(AND(2&gt;=$NR$91,2&lt;=$NS$91),IF($NP$91="Single_Point",IF(2=$NR$91,$NN$91,0),IF($NP$91="Bell_Curve",$NN$91*(2-$NR$91+1)*($NS$91-2+1)/$NU$91,$NN$91/$NT$91)),0)</f>
        <v/>
      </c>
      <c r="G91" s="402">
        <f>IF(AND(3&gt;=$NR$91,3&lt;=$NS$91),IF($NP$91="Single_Point",IF(3=$NR$91,$NN$91,0),IF($NP$91="Bell_Curve",$NN$91*(3-$NR$91+1)*($NS$91-3+1)/$NU$91,$NN$91/$NT$91)),0)</f>
        <v/>
      </c>
      <c r="H91" s="402">
        <f>IF(AND(4&gt;=$NR$91,4&lt;=$NS$91),IF($NP$91="Single_Point",IF(4=$NR$91,$NN$91,0),IF($NP$91="Bell_Curve",$NN$91*(4-$NR$91+1)*($NS$91-4+1)/$NU$91,$NN$91/$NT$91)),0)</f>
        <v/>
      </c>
      <c r="I91" s="402">
        <f>IF(AND(5&gt;=$NR$91,5&lt;=$NS$91),IF($NP$91="Single_Point",IF(5=$NR$91,$NN$91,0),IF($NP$91="Bell_Curve",$NN$91*(5-$NR$91+1)*($NS$91-5+1)/$NU$91,$NN$91/$NT$91)),0)</f>
        <v/>
      </c>
      <c r="J91" s="402">
        <f>IF(AND(6&gt;=$NR$91,6&lt;=$NS$91),IF($NP$91="Single_Point",IF(6=$NR$91,$NN$91,0),IF($NP$91="Bell_Curve",$NN$91*(6-$NR$91+1)*($NS$91-6+1)/$NU$91,$NN$91/$NT$91)),0)</f>
        <v/>
      </c>
      <c r="K91" s="402">
        <f>IF(AND(7&gt;=$NR$91,7&lt;=$NS$91),IF($NP$91="Single_Point",IF(7=$NR$91,$NN$91,0),IF($NP$91="Bell_Curve",$NN$91*(7-$NR$91+1)*($NS$91-7+1)/$NU$91,$NN$91/$NT$91)),0)</f>
        <v/>
      </c>
      <c r="L91" s="402">
        <f>IF(AND(8&gt;=$NR$91,8&lt;=$NS$91),IF($NP$91="Single_Point",IF(8=$NR$91,$NN$91,0),IF($NP$91="Bell_Curve",$NN$91*(8-$NR$91+1)*($NS$91-8+1)/$NU$91,$NN$91/$NT$91)),0)</f>
        <v/>
      </c>
      <c r="M91" s="402">
        <f>IF(AND(9&gt;=$NR$91,9&lt;=$NS$91),IF($NP$91="Single_Point",IF(9=$NR$91,$NN$91,0),IF($NP$91="Bell_Curve",$NN$91*(9-$NR$91+1)*($NS$91-9+1)/$NU$91,$NN$91/$NT$91)),0)</f>
        <v/>
      </c>
      <c r="N91" s="402">
        <f>IF(AND(10&gt;=$NR$91,10&lt;=$NS$91),IF($NP$91="Single_Point",IF(10=$NR$91,$NN$91,0),IF($NP$91="Bell_Curve",$NN$91*(10-$NR$91+1)*($NS$91-10+1)/$NU$91,$NN$91/$NT$91)),0)</f>
        <v/>
      </c>
      <c r="O91" s="402">
        <f>IF(AND(11&gt;=$NR$91,11&lt;=$NS$91),IF($NP$91="Single_Point",IF(11=$NR$91,$NN$91,0),IF($NP$91="Bell_Curve",$NN$91*(11-$NR$91+1)*($NS$91-11+1)/$NU$91,$NN$91/$NT$91)),0)</f>
        <v/>
      </c>
      <c r="P91" s="402">
        <f>IF(AND(12&gt;=$NR$91,12&lt;=$NS$91),IF($NP$91="Single_Point",IF(12=$NR$91,$NN$91,0),IF($NP$91="Bell_Curve",$NN$91*(12-$NR$91+1)*($NS$91-12+1)/$NU$91,$NN$91/$NT$91)),0)</f>
        <v/>
      </c>
      <c r="Q91" s="402">
        <f>IF(AND(13&gt;=$NR$91,13&lt;=$NS$91),IF($NP$91="Single_Point",IF(13=$NR$91,$NN$91,0),IF($NP$91="Bell_Curve",$NN$91*(13-$NR$91+1)*($NS$91-13+1)/$NU$91,$NN$91/$NT$91)),0)</f>
        <v/>
      </c>
      <c r="R91" s="402">
        <f>IF(AND(14&gt;=$NR$91,14&lt;=$NS$91),IF($NP$91="Single_Point",IF(14=$NR$91,$NN$91,0),IF($NP$91="Bell_Curve",$NN$91*(14-$NR$91+1)*($NS$91-14+1)/$NU$91,$NN$91/$NT$91)),0)</f>
        <v/>
      </c>
      <c r="S91" s="402">
        <f>IF(AND(15&gt;=$NR$91,15&lt;=$NS$91),IF($NP$91="Single_Point",IF(15=$NR$91,$NN$91,0),IF($NP$91="Bell_Curve",$NN$91*(15-$NR$91+1)*($NS$91-15+1)/$NU$91,$NN$91/$NT$91)),0)</f>
        <v/>
      </c>
      <c r="T91" s="402">
        <f>IF(AND(16&gt;=$NR$91,16&lt;=$NS$91),IF($NP$91="Single_Point",IF(16=$NR$91,$NN$91,0),IF($NP$91="Bell_Curve",$NN$91*(16-$NR$91+1)*($NS$91-16+1)/$NU$91,$NN$91/$NT$91)),0)</f>
        <v/>
      </c>
      <c r="U91" s="402">
        <f>IF(AND(17&gt;=$NR$91,17&lt;=$NS$91),IF($NP$91="Single_Point",IF(17=$NR$91,$NN$91,0),IF($NP$91="Bell_Curve",$NN$91*(17-$NR$91+1)*($NS$91-17+1)/$NU$91,$NN$91/$NT$91)),0)</f>
        <v/>
      </c>
      <c r="V91" s="402">
        <f>IF(AND(18&gt;=$NR$91,18&lt;=$NS$91),IF($NP$91="Single_Point",IF(18=$NR$91,$NN$91,0),IF($NP$91="Bell_Curve",$NN$91*(18-$NR$91+1)*($NS$91-18+1)/$NU$91,$NN$91/$NT$91)),0)</f>
        <v/>
      </c>
      <c r="W91" s="402">
        <f>IF(AND(19&gt;=$NR$91,19&lt;=$NS$91),IF($NP$91="Single_Point",IF(19=$NR$91,$NN$91,0),IF($NP$91="Bell_Curve",$NN$91*(19-$NR$91+1)*($NS$91-19+1)/$NU$91,$NN$91/$NT$91)),0)</f>
        <v/>
      </c>
      <c r="X91" s="402">
        <f>IF(AND(20&gt;=$NR$91,20&lt;=$NS$91),IF($NP$91="Single_Point",IF(20=$NR$91,$NN$91,0),IF($NP$91="Bell_Curve",$NN$91*(20-$NR$91+1)*($NS$91-20+1)/$NU$91,$NN$91/$NT$91)),0)</f>
        <v/>
      </c>
      <c r="Y91" s="402">
        <f>IF(AND(21&gt;=$NR$91,21&lt;=$NS$91),IF($NP$91="Single_Point",IF(21=$NR$91,$NN$91,0),IF($NP$91="Bell_Curve",$NN$91*(21-$NR$91+1)*($NS$91-21+1)/$NU$91,$NN$91/$NT$91)),0)</f>
        <v/>
      </c>
      <c r="Z91" s="402">
        <f>IF(AND(22&gt;=$NR$91,22&lt;=$NS$91),IF($NP$91="Single_Point",IF(22=$NR$91,$NN$91,0),IF($NP$91="Bell_Curve",$NN$91*(22-$NR$91+1)*($NS$91-22+1)/$NU$91,$NN$91/$NT$91)),0)</f>
        <v/>
      </c>
      <c r="AA91" s="402">
        <f>IF(AND(23&gt;=$NR$91,23&lt;=$NS$91),IF($NP$91="Single_Point",IF(23=$NR$91,$NN$91,0),IF($NP$91="Bell_Curve",$NN$91*(23-$NR$91+1)*($NS$91-23+1)/$NU$91,$NN$91/$NT$91)),0)</f>
        <v/>
      </c>
      <c r="AB91" s="402">
        <f>IF(AND(24&gt;=$NR$91,24&lt;=$NS$91),IF($NP$91="Single_Point",IF(24=$NR$91,$NN$91,0),IF($NP$91="Bell_Curve",$NN$91*(24-$NR$91+1)*($NS$91-24+1)/$NU$91,$NN$91/$NT$91)),0)</f>
        <v/>
      </c>
      <c r="AC91" s="402">
        <f>IF(AND(25&gt;=$NR$91,25&lt;=$NS$91),IF($NP$91="Single_Point",IF(25=$NR$91,$NN$91,0),IF($NP$91="Bell_Curve",$NN$91*(25-$NR$91+1)*($NS$91-25+1)/$NU$91,$NN$91/$NT$91)),0)</f>
        <v/>
      </c>
      <c r="AD91" s="402">
        <f>IF(AND(26&gt;=$NR$91,26&lt;=$NS$91),IF($NP$91="Single_Point",IF(26=$NR$91,$NN$91,0),IF($NP$91="Bell_Curve",$NN$91*(26-$NR$91+1)*($NS$91-26+1)/$NU$91,$NN$91/$NT$91)),0)</f>
        <v/>
      </c>
      <c r="AE91" s="402">
        <f>IF(AND(27&gt;=$NR$91,27&lt;=$NS$91),IF($NP$91="Single_Point",IF(27=$NR$91,$NN$91,0),IF($NP$91="Bell_Curve",$NN$91*(27-$NR$91+1)*($NS$91-27+1)/$NU$91,$NN$91/$NT$91)),0)</f>
        <v/>
      </c>
      <c r="AF91" s="402">
        <f>IF(AND(28&gt;=$NR$91,28&lt;=$NS$91),IF($NP$91="Single_Point",IF(28=$NR$91,$NN$91,0),IF($NP$91="Bell_Curve",$NN$91*(28-$NR$91+1)*($NS$91-28+1)/$NU$91,$NN$91/$NT$91)),0)</f>
        <v/>
      </c>
      <c r="AG91" s="402">
        <f>IF(AND(29&gt;=$NR$91,29&lt;=$NS$91),IF($NP$91="Single_Point",IF(29=$NR$91,$NN$91,0),IF($NP$91="Bell_Curve",$NN$91*(29-$NR$91+1)*($NS$91-29+1)/$NU$91,$NN$91/$NT$91)),0)</f>
        <v/>
      </c>
      <c r="AH91" s="402">
        <f>IF(AND(30&gt;=$NR$91,30&lt;=$NS$91),IF($NP$91="Single_Point",IF(30=$NR$91,$NN$91,0),IF($NP$91="Bell_Curve",$NN$91*(30-$NR$91+1)*($NS$91-30+1)/$NU$91,$NN$91/$NT$91)),0)</f>
        <v/>
      </c>
      <c r="AI91" s="402">
        <f>IF(AND(31&gt;=$NR$91,31&lt;=$NS$91),IF($NP$91="Single_Point",IF(31=$NR$91,$NN$91,0),IF($NP$91="Bell_Curve",$NN$91*(31-$NR$91+1)*($NS$91-31+1)/$NU$91,$NN$91/$NT$91)),0)</f>
        <v/>
      </c>
      <c r="AJ91" s="402">
        <f>IF(AND(32&gt;=$NR$91,32&lt;=$NS$91),IF($NP$91="Single_Point",IF(32=$NR$91,$NN$91,0),IF($NP$91="Bell_Curve",$NN$91*(32-$NR$91+1)*($NS$91-32+1)/$NU$91,$NN$91/$NT$91)),0)</f>
        <v/>
      </c>
      <c r="AK91" s="402">
        <f>IF(AND(33&gt;=$NR$91,33&lt;=$NS$91),IF($NP$91="Single_Point",IF(33=$NR$91,$NN$91,0),IF($NP$91="Bell_Curve",$NN$91*(33-$NR$91+1)*($NS$91-33+1)/$NU$91,$NN$91/$NT$91)),0)</f>
        <v/>
      </c>
      <c r="AL91" s="402">
        <f>IF(AND(34&gt;=$NR$91,34&lt;=$NS$91),IF($NP$91="Single_Point",IF(34=$NR$91,$NN$91,0),IF($NP$91="Bell_Curve",$NN$91*(34-$NR$91+1)*($NS$91-34+1)/$NU$91,$NN$91/$NT$91)),0)</f>
        <v/>
      </c>
      <c r="AM91" s="402">
        <f>IF(AND(35&gt;=$NR$91,35&lt;=$NS$91),IF($NP$91="Single_Point",IF(35=$NR$91,$NN$91,0),IF($NP$91="Bell_Curve",$NN$91*(35-$NR$91+1)*($NS$91-35+1)/$NU$91,$NN$91/$NT$91)),0)</f>
        <v/>
      </c>
      <c r="AN91" s="402">
        <f>IF(AND(36&gt;=$NR$91,36&lt;=$NS$91),IF($NP$91="Single_Point",IF(36=$NR$91,$NN$91,0),IF($NP$91="Bell_Curve",$NN$91*(36-$NR$91+1)*($NS$91-36+1)/$NU$91,$NN$91/$NT$91)),0)</f>
        <v/>
      </c>
      <c r="AO91" s="402">
        <f>IF(AND(37&gt;=$NR$91,37&lt;=$NS$91),IF($NP$91="Single_Point",IF(37=$NR$91,$NN$91,0),IF($NP$91="Bell_Curve",$NN$91*(37-$NR$91+1)*($NS$91-37+1)/$NU$91,$NN$91/$NT$91)),0)</f>
        <v/>
      </c>
      <c r="AP91" s="402">
        <f>IF(AND(38&gt;=$NR$91,38&lt;=$NS$91),IF($NP$91="Single_Point",IF(38=$NR$91,$NN$91,0),IF($NP$91="Bell_Curve",$NN$91*(38-$NR$91+1)*($NS$91-38+1)/$NU$91,$NN$91/$NT$91)),0)</f>
        <v/>
      </c>
      <c r="AQ91" s="402">
        <f>IF(AND(39&gt;=$NR$91,39&lt;=$NS$91),IF($NP$91="Single_Point",IF(39=$NR$91,$NN$91,0),IF($NP$91="Bell_Curve",$NN$91*(39-$NR$91+1)*($NS$91-39+1)/$NU$91,$NN$91/$NT$91)),0)</f>
        <v/>
      </c>
      <c r="AR91" s="402">
        <f>IF(AND(40&gt;=$NR$91,40&lt;=$NS$91),IF($NP$91="Single_Point",IF(40=$NR$91,$NN$91,0),IF($NP$91="Bell_Curve",$NN$91*(40-$NR$91+1)*($NS$91-40+1)/$NU$91,$NN$91/$NT$91)),0)</f>
        <v/>
      </c>
      <c r="AS91" s="402">
        <f>IF(AND(41&gt;=$NR$91,41&lt;=$NS$91),IF($NP$91="Single_Point",IF(41=$NR$91,$NN$91,0),IF($NP$91="Bell_Curve",$NN$91*(41-$NR$91+1)*($NS$91-41+1)/$NU$91,$NN$91/$NT$91)),0)</f>
        <v/>
      </c>
      <c r="AT91" s="402">
        <f>IF(AND(42&gt;=$NR$91,42&lt;=$NS$91),IF($NP$91="Single_Point",IF(42=$NR$91,$NN$91,0),IF($NP$91="Bell_Curve",$NN$91*(42-$NR$91+1)*($NS$91-42+1)/$NU$91,$NN$91/$NT$91)),0)</f>
        <v/>
      </c>
      <c r="AU91" s="402">
        <f>IF(AND(43&gt;=$NR$91,43&lt;=$NS$91),IF($NP$91="Single_Point",IF(43=$NR$91,$NN$91,0),IF($NP$91="Bell_Curve",$NN$91*(43-$NR$91+1)*($NS$91-43+1)/$NU$91,$NN$91/$NT$91)),0)</f>
        <v/>
      </c>
      <c r="AV91" s="402">
        <f>IF(AND(44&gt;=$NR$91,44&lt;=$NS$91),IF($NP$91="Single_Point",IF(44=$NR$91,$NN$91,0),IF($NP$91="Bell_Curve",$NN$91*(44-$NR$91+1)*($NS$91-44+1)/$NU$91,$NN$91/$NT$91)),0)</f>
        <v/>
      </c>
      <c r="AW91" s="402">
        <f>IF(AND(45&gt;=$NR$91,45&lt;=$NS$91),IF($NP$91="Single_Point",IF(45=$NR$91,$NN$91,0),IF($NP$91="Bell_Curve",$NN$91*(45-$NR$91+1)*($NS$91-45+1)/$NU$91,$NN$91/$NT$91)),0)</f>
        <v/>
      </c>
      <c r="AX91" s="402">
        <f>IF(AND(46&gt;=$NR$91,46&lt;=$NS$91),IF($NP$91="Single_Point",IF(46=$NR$91,$NN$91,0),IF($NP$91="Bell_Curve",$NN$91*(46-$NR$91+1)*($NS$91-46+1)/$NU$91,$NN$91/$NT$91)),0)</f>
        <v/>
      </c>
      <c r="AY91" s="402">
        <f>IF(AND(47&gt;=$NR$91,47&lt;=$NS$91),IF($NP$91="Single_Point",IF(47=$NR$91,$NN$91,0),IF($NP$91="Bell_Curve",$NN$91*(47-$NR$91+1)*($NS$91-47+1)/$NU$91,$NN$91/$NT$91)),0)</f>
        <v/>
      </c>
      <c r="AZ91" s="402">
        <f>IF(AND(48&gt;=$NR$91,48&lt;=$NS$91),IF($NP$91="Single_Point",IF(48=$NR$91,$NN$91,0),IF($NP$91="Bell_Curve",$NN$91*(48-$NR$91+1)*($NS$91-48+1)/$NU$91,$NN$91/$NT$91)),0)</f>
        <v/>
      </c>
      <c r="BA91" s="402">
        <f>IF(AND(49&gt;=$NR$91,49&lt;=$NS$91),IF($NP$91="Single_Point",IF(49=$NR$91,$NN$91,0),IF($NP$91="Bell_Curve",$NN$91*(49-$NR$91+1)*($NS$91-49+1)/$NU$91,$NN$91/$NT$91)),0)</f>
        <v/>
      </c>
      <c r="BB91" s="402">
        <f>IF(AND(50&gt;=$NR$91,50&lt;=$NS$91),IF($NP$91="Single_Point",IF(50=$NR$91,$NN$91,0),IF($NP$91="Bell_Curve",$NN$91*(50-$NR$91+1)*($NS$91-50+1)/$NU$91,$NN$91/$NT$91)),0)</f>
        <v/>
      </c>
      <c r="BC91" s="402">
        <f>IF(AND(51&gt;=$NR$91,51&lt;=$NS$91),IF($NP$91="Single_Point",IF(51=$NR$91,$NN$91,0),IF($NP$91="Bell_Curve",$NN$91*(51-$NR$91+1)*($NS$91-51+1)/$NU$91,$NN$91/$NT$91)),0)</f>
        <v/>
      </c>
      <c r="BD91" s="402">
        <f>IF(AND(52&gt;=$NR$91,52&lt;=$NS$91),IF($NP$91="Single_Point",IF(52=$NR$91,$NN$91,0),IF($NP$91="Bell_Curve",$NN$91*(52-$NR$91+1)*($NS$91-52+1)/$NU$91,$NN$91/$NT$91)),0)</f>
        <v/>
      </c>
      <c r="BE91" s="402">
        <f>IF(AND(53&gt;=$NR$91,53&lt;=$NS$91),IF($NP$91="Single_Point",IF(53=$NR$91,$NN$91,0),IF($NP$91="Bell_Curve",$NN$91*(53-$NR$91+1)*($NS$91-53+1)/$NU$91,$NN$91/$NT$91)),0)</f>
        <v/>
      </c>
      <c r="BF91" s="402">
        <f>IF(AND(54&gt;=$NR$91,54&lt;=$NS$91),IF($NP$91="Single_Point",IF(54=$NR$91,$NN$91,0),IF($NP$91="Bell_Curve",$NN$91*(54-$NR$91+1)*($NS$91-54+1)/$NU$91,$NN$91/$NT$91)),0)</f>
        <v/>
      </c>
      <c r="BG91" s="402">
        <f>IF(AND(55&gt;=$NR$91,55&lt;=$NS$91),IF($NP$91="Single_Point",IF(55=$NR$91,$NN$91,0),IF($NP$91="Bell_Curve",$NN$91*(55-$NR$91+1)*($NS$91-55+1)/$NU$91,$NN$91/$NT$91)),0)</f>
        <v/>
      </c>
      <c r="BH91" s="402">
        <f>IF(AND(56&gt;=$NR$91,56&lt;=$NS$91),IF($NP$91="Single_Point",IF(56=$NR$91,$NN$91,0),IF($NP$91="Bell_Curve",$NN$91*(56-$NR$91+1)*($NS$91-56+1)/$NU$91,$NN$91/$NT$91)),0)</f>
        <v/>
      </c>
      <c r="BI91" s="402">
        <f>IF(AND(57&gt;=$NR$91,57&lt;=$NS$91),IF($NP$91="Single_Point",IF(57=$NR$91,$NN$91,0),IF($NP$91="Bell_Curve",$NN$91*(57-$NR$91+1)*($NS$91-57+1)/$NU$91,$NN$91/$NT$91)),0)</f>
        <v/>
      </c>
      <c r="BJ91" s="402">
        <f>IF(AND(58&gt;=$NR$91,58&lt;=$NS$91),IF($NP$91="Single_Point",IF(58=$NR$91,$NN$91,0),IF($NP$91="Bell_Curve",$NN$91*(58-$NR$91+1)*($NS$91-58+1)/$NU$91,$NN$91/$NT$91)),0)</f>
        <v/>
      </c>
      <c r="BK91" s="402">
        <f>IF(AND(59&gt;=$NR$91,59&lt;=$NS$91),IF($NP$91="Single_Point",IF(59=$NR$91,$NN$91,0),IF($NP$91="Bell_Curve",$NN$91*(59-$NR$91+1)*($NS$91-59+1)/$NU$91,$NN$91/$NT$91)),0)</f>
        <v/>
      </c>
      <c r="BL91" s="402">
        <f>IF(AND(60&gt;=$NR$91,60&lt;=$NS$91),IF($NP$91="Single_Point",IF(60=$NR$91,$NN$91,0),IF($NP$91="Bell_Curve",$NN$91*(60-$NR$91+1)*($NS$91-60+1)/$NU$91,$NN$91/$NT$91)),0)</f>
        <v/>
      </c>
      <c r="BM91" s="402">
        <f>IF(AND(61&gt;=$NR$91,61&lt;=$NS$91),IF($NP$91="Single_Point",IF(61=$NR$91,$NN$91,0),IF($NP$91="Bell_Curve",$NN$91*(61-$NR$91+1)*($NS$91-61+1)/$NU$91,$NN$91/$NT$91)),0)</f>
        <v/>
      </c>
      <c r="BN91" s="402">
        <f>IF(AND(62&gt;=$NR$91,62&lt;=$NS$91),IF($NP$91="Single_Point",IF(62=$NR$91,$NN$91,0),IF($NP$91="Bell_Curve",$NN$91*(62-$NR$91+1)*($NS$91-62+1)/$NU$91,$NN$91/$NT$91)),0)</f>
        <v/>
      </c>
      <c r="BO91" s="402">
        <f>IF(AND(63&gt;=$NR$91,63&lt;=$NS$91),IF($NP$91="Single_Point",IF(63=$NR$91,$NN$91,0),IF($NP$91="Bell_Curve",$NN$91*(63-$NR$91+1)*($NS$91-63+1)/$NU$91,$NN$91/$NT$91)),0)</f>
        <v/>
      </c>
      <c r="BP91" s="402">
        <f>IF(AND(64&gt;=$NR$91,64&lt;=$NS$91),IF($NP$91="Single_Point",IF(64=$NR$91,$NN$91,0),IF($NP$91="Bell_Curve",$NN$91*(64-$NR$91+1)*($NS$91-64+1)/$NU$91,$NN$91/$NT$91)),0)</f>
        <v/>
      </c>
      <c r="BQ91" s="402">
        <f>IF(AND(65&gt;=$NR$91,65&lt;=$NS$91),IF($NP$91="Single_Point",IF(65=$NR$91,$NN$91,0),IF($NP$91="Bell_Curve",$NN$91*(65-$NR$91+1)*($NS$91-65+1)/$NU$91,$NN$91/$NT$91)),0)</f>
        <v/>
      </c>
      <c r="BR91" s="402">
        <f>IF(AND(66&gt;=$NR$91,66&lt;=$NS$91),IF($NP$91="Single_Point",IF(66=$NR$91,$NN$91,0),IF($NP$91="Bell_Curve",$NN$91*(66-$NR$91+1)*($NS$91-66+1)/$NU$91,$NN$91/$NT$91)),0)</f>
        <v/>
      </c>
      <c r="BS91" s="402">
        <f>IF(AND(67&gt;=$NR$91,67&lt;=$NS$91),IF($NP$91="Single_Point",IF(67=$NR$91,$NN$91,0),IF($NP$91="Bell_Curve",$NN$91*(67-$NR$91+1)*($NS$91-67+1)/$NU$91,$NN$91/$NT$91)),0)</f>
        <v/>
      </c>
      <c r="BT91" s="402">
        <f>IF(AND(68&gt;=$NR$91,68&lt;=$NS$91),IF($NP$91="Single_Point",IF(68=$NR$91,$NN$91,0),IF($NP$91="Bell_Curve",$NN$91*(68-$NR$91+1)*($NS$91-68+1)/$NU$91,$NN$91/$NT$91)),0)</f>
        <v/>
      </c>
      <c r="BU91" s="402">
        <f>IF(AND(69&gt;=$NR$91,69&lt;=$NS$91),IF($NP$91="Single_Point",IF(69=$NR$91,$NN$91,0),IF($NP$91="Bell_Curve",$NN$91*(69-$NR$91+1)*($NS$91-69+1)/$NU$91,$NN$91/$NT$91)),0)</f>
        <v/>
      </c>
      <c r="BV91" s="402">
        <f>IF(AND(70&gt;=$NR$91,70&lt;=$NS$91),IF($NP$91="Single_Point",IF(70=$NR$91,$NN$91,0),IF($NP$91="Bell_Curve",$NN$91*(70-$NR$91+1)*($NS$91-70+1)/$NU$91,$NN$91/$NT$91)),0)</f>
        <v/>
      </c>
      <c r="BW91" s="402">
        <f>IF(AND(71&gt;=$NR$91,71&lt;=$NS$91),IF($NP$91="Single_Point",IF(71=$NR$91,$NN$91,0),IF($NP$91="Bell_Curve",$NN$91*(71-$NR$91+1)*($NS$91-71+1)/$NU$91,$NN$91/$NT$91)),0)</f>
        <v/>
      </c>
      <c r="BX91" s="402">
        <f>IF(AND(72&gt;=$NR$91,72&lt;=$NS$91),IF($NP$91="Single_Point",IF(72=$NR$91,$NN$91,0),IF($NP$91="Bell_Curve",$NN$91*(72-$NR$91+1)*($NS$91-72+1)/$NU$91,$NN$91/$NT$91)),0)</f>
        <v/>
      </c>
      <c r="BY91" s="402">
        <f>IF(AND(73&gt;=$NR$91,73&lt;=$NS$91),IF($NP$91="Single_Point",IF(73=$NR$91,$NN$91,0),IF($NP$91="Bell_Curve",$NN$91*(73-$NR$91+1)*($NS$91-73+1)/$NU$91,$NN$91/$NT$91)),0)</f>
        <v/>
      </c>
      <c r="BZ91" s="402">
        <f>IF(AND(74&gt;=$NR$91,74&lt;=$NS$91),IF($NP$91="Single_Point",IF(74=$NR$91,$NN$91,0),IF($NP$91="Bell_Curve",$NN$91*(74-$NR$91+1)*($NS$91-74+1)/$NU$91,$NN$91/$NT$91)),0)</f>
        <v/>
      </c>
      <c r="CA91" s="402">
        <f>IF(AND(75&gt;=$NR$91,75&lt;=$NS$91),IF($NP$91="Single_Point",IF(75=$NR$91,$NN$91,0),IF($NP$91="Bell_Curve",$NN$91*(75-$NR$91+1)*($NS$91-75+1)/$NU$91,$NN$91/$NT$91)),0)</f>
        <v/>
      </c>
      <c r="CB91" s="402">
        <f>IF(AND(76&gt;=$NR$91,76&lt;=$NS$91),IF($NP$91="Single_Point",IF(76=$NR$91,$NN$91,0),IF($NP$91="Bell_Curve",$NN$91*(76-$NR$91+1)*($NS$91-76+1)/$NU$91,$NN$91/$NT$91)),0)</f>
        <v/>
      </c>
      <c r="CC91" s="402">
        <f>IF(AND(77&gt;=$NR$91,77&lt;=$NS$91),IF($NP$91="Single_Point",IF(77=$NR$91,$NN$91,0),IF($NP$91="Bell_Curve",$NN$91*(77-$NR$91+1)*($NS$91-77+1)/$NU$91,$NN$91/$NT$91)),0)</f>
        <v/>
      </c>
      <c r="CD91" s="402">
        <f>IF(AND(78&gt;=$NR$91,78&lt;=$NS$91),IF($NP$91="Single_Point",IF(78=$NR$91,$NN$91,0),IF($NP$91="Bell_Curve",$NN$91*(78-$NR$91+1)*($NS$91-78+1)/$NU$91,$NN$91/$NT$91)),0)</f>
        <v/>
      </c>
      <c r="CE91" s="402">
        <f>IF(AND(79&gt;=$NR$91,79&lt;=$NS$91),IF($NP$91="Single_Point",IF(79=$NR$91,$NN$91,0),IF($NP$91="Bell_Curve",$NN$91*(79-$NR$91+1)*($NS$91-79+1)/$NU$91,$NN$91/$NT$91)),0)</f>
        <v/>
      </c>
      <c r="CF91" s="402">
        <f>IF(AND(80&gt;=$NR$91,80&lt;=$NS$91),IF($NP$91="Single_Point",IF(80=$NR$91,$NN$91,0),IF($NP$91="Bell_Curve",$NN$91*(80-$NR$91+1)*($NS$91-80+1)/$NU$91,$NN$91/$NT$91)),0)</f>
        <v/>
      </c>
      <c r="CG91" s="402">
        <f>IF(AND(81&gt;=$NR$91,81&lt;=$NS$91),IF($NP$91="Single_Point",IF(81=$NR$91,$NN$91,0),IF($NP$91="Bell_Curve",$NN$91*(81-$NR$91+1)*($NS$91-81+1)/$NU$91,$NN$91/$NT$91)),0)</f>
        <v/>
      </c>
      <c r="CH91" s="402">
        <f>IF(AND(82&gt;=$NR$91,82&lt;=$NS$91),IF($NP$91="Single_Point",IF(82=$NR$91,$NN$91,0),IF($NP$91="Bell_Curve",$NN$91*(82-$NR$91+1)*($NS$91-82+1)/$NU$91,$NN$91/$NT$91)),0)</f>
        <v/>
      </c>
      <c r="CI91" s="402">
        <f>IF(AND(83&gt;=$NR$91,83&lt;=$NS$91),IF($NP$91="Single_Point",IF(83=$NR$91,$NN$91,0),IF($NP$91="Bell_Curve",$NN$91*(83-$NR$91+1)*($NS$91-83+1)/$NU$91,$NN$91/$NT$91)),0)</f>
        <v/>
      </c>
      <c r="CJ91" s="402">
        <f>IF(AND(84&gt;=$NR$91,84&lt;=$NS$91),IF($NP$91="Single_Point",IF(84=$NR$91,$NN$91,0),IF($NP$91="Bell_Curve",$NN$91*(84-$NR$91+1)*($NS$91-84+1)/$NU$91,$NN$91/$NT$91)),0)</f>
        <v/>
      </c>
      <c r="CK91" s="402">
        <f>IF(AND(85&gt;=$NR$91,85&lt;=$NS$91),IF($NP$91="Single_Point",IF(85=$NR$91,$NN$91,0),IF($NP$91="Bell_Curve",$NN$91*(85-$NR$91+1)*($NS$91-85+1)/$NU$91,$NN$91/$NT$91)),0)</f>
        <v/>
      </c>
      <c r="CL91" s="402">
        <f>IF(AND(86&gt;=$NR$91,86&lt;=$NS$91),IF($NP$91="Single_Point",IF(86=$NR$91,$NN$91,0),IF($NP$91="Bell_Curve",$NN$91*(86-$NR$91+1)*($NS$91-86+1)/$NU$91,$NN$91/$NT$91)),0)</f>
        <v/>
      </c>
      <c r="CM91" s="402">
        <f>IF(AND(87&gt;=$NR$91,87&lt;=$NS$91),IF($NP$91="Single_Point",IF(87=$NR$91,$NN$91,0),IF($NP$91="Bell_Curve",$NN$91*(87-$NR$91+1)*($NS$91-87+1)/$NU$91,$NN$91/$NT$91)),0)</f>
        <v/>
      </c>
      <c r="CN91" s="402">
        <f>IF(AND(88&gt;=$NR$91,88&lt;=$NS$91),IF($NP$91="Single_Point",IF(88=$NR$91,$NN$91,0),IF($NP$91="Bell_Curve",$NN$91*(88-$NR$91+1)*($NS$91-88+1)/$NU$91,$NN$91/$NT$91)),0)</f>
        <v/>
      </c>
      <c r="CO91" s="402">
        <f>IF(AND(89&gt;=$NR$91,89&lt;=$NS$91),IF($NP$91="Single_Point",IF(89=$NR$91,$NN$91,0),IF($NP$91="Bell_Curve",$NN$91*(89-$NR$91+1)*($NS$91-89+1)/$NU$91,$NN$91/$NT$91)),0)</f>
        <v/>
      </c>
      <c r="CP91" s="402">
        <f>IF(AND(90&gt;=$NR$91,90&lt;=$NS$91),IF($NP$91="Single_Point",IF(90=$NR$91,$NN$91,0),IF($NP$91="Bell_Curve",$NN$91*(90-$NR$91+1)*($NS$91-90+1)/$NU$91,$NN$91/$NT$91)),0)</f>
        <v/>
      </c>
      <c r="CQ91" s="402">
        <f>IF(AND(91&gt;=$NR$91,91&lt;=$NS$91),IF($NP$91="Single_Point",IF(91=$NR$91,$NN$91,0),IF($NP$91="Bell_Curve",$NN$91*(91-$NR$91+1)*($NS$91-91+1)/$NU$91,$NN$91/$NT$91)),0)</f>
        <v/>
      </c>
      <c r="CR91" s="402">
        <f>IF(AND(92&gt;=$NR$91,92&lt;=$NS$91),IF($NP$91="Single_Point",IF(92=$NR$91,$NN$91,0),IF($NP$91="Bell_Curve",$NN$91*(92-$NR$91+1)*($NS$91-92+1)/$NU$91,$NN$91/$NT$91)),0)</f>
        <v/>
      </c>
      <c r="CS91" s="402">
        <f>IF(AND(93&gt;=$NR$91,93&lt;=$NS$91),IF($NP$91="Single_Point",IF(93=$NR$91,$NN$91,0),IF($NP$91="Bell_Curve",$NN$91*(93-$NR$91+1)*($NS$91-93+1)/$NU$91,$NN$91/$NT$91)),0)</f>
        <v/>
      </c>
      <c r="CT91" s="402">
        <f>IF(AND(94&gt;=$NR$91,94&lt;=$NS$91),IF($NP$91="Single_Point",IF(94=$NR$91,$NN$91,0),IF($NP$91="Bell_Curve",$NN$91*(94-$NR$91+1)*($NS$91-94+1)/$NU$91,$NN$91/$NT$91)),0)</f>
        <v/>
      </c>
      <c r="CU91" s="402">
        <f>IF(AND(95&gt;=$NR$91,95&lt;=$NS$91),IF($NP$91="Single_Point",IF(95=$NR$91,$NN$91,0),IF($NP$91="Bell_Curve",$NN$91*(95-$NR$91+1)*($NS$91-95+1)/$NU$91,$NN$91/$NT$91)),0)</f>
        <v/>
      </c>
      <c r="CV91" s="402">
        <f>IF(AND(96&gt;=$NR$91,96&lt;=$NS$91),IF($NP$91="Single_Point",IF(96=$NR$91,$NN$91,0),IF($NP$91="Bell_Curve",$NN$91*(96-$NR$91+1)*($NS$91-96+1)/$NU$91,$NN$91/$NT$91)),0)</f>
        <v/>
      </c>
      <c r="CW91" s="402">
        <f>IF(AND(97&gt;=$NR$91,97&lt;=$NS$91),IF($NP$91="Single_Point",IF(97=$NR$91,$NN$91,0),IF($NP$91="Bell_Curve",$NN$91*(97-$NR$91+1)*($NS$91-97+1)/$NU$91,$NN$91/$NT$91)),0)</f>
        <v/>
      </c>
      <c r="CX91" s="402">
        <f>IF(AND(98&gt;=$NR$91,98&lt;=$NS$91),IF($NP$91="Single_Point",IF(98=$NR$91,$NN$91,0),IF($NP$91="Bell_Curve",$NN$91*(98-$NR$91+1)*($NS$91-98+1)/$NU$91,$NN$91/$NT$91)),0)</f>
        <v/>
      </c>
      <c r="CY91" s="402">
        <f>IF(AND(99&gt;=$NR$91,99&lt;=$NS$91),IF($NP$91="Single_Point",IF(99=$NR$91,$NN$91,0),IF($NP$91="Bell_Curve",$NN$91*(99-$NR$91+1)*($NS$91-99+1)/$NU$91,$NN$91/$NT$91)),0)</f>
        <v/>
      </c>
      <c r="CZ91" s="402">
        <f>IF(AND(100&gt;=$NR$91,100&lt;=$NS$91),IF($NP$91="Single_Point",IF(100=$NR$91,$NN$91,0),IF($NP$91="Bell_Curve",$NN$91*(100-$NR$91+1)*($NS$91-100+1)/$NU$91,$NN$91/$NT$91)),0)</f>
        <v/>
      </c>
      <c r="DA91" s="402">
        <f>IF(AND(101&gt;=$NR$91,101&lt;=$NS$91),IF($NP$91="Single_Point",IF(101=$NR$91,$NN$91,0),IF($NP$91="Bell_Curve",$NN$91*(101-$NR$91+1)*($NS$91-101+1)/$NU$91,$NN$91/$NT$91)),0)</f>
        <v/>
      </c>
      <c r="DB91" s="402">
        <f>IF(AND(102&gt;=$NR$91,102&lt;=$NS$91),IF($NP$91="Single_Point",IF(102=$NR$91,$NN$91,0),IF($NP$91="Bell_Curve",$NN$91*(102-$NR$91+1)*($NS$91-102+1)/$NU$91,$NN$91/$NT$91)),0)</f>
        <v/>
      </c>
      <c r="DC91" s="402">
        <f>IF(AND(103&gt;=$NR$91,103&lt;=$NS$91),IF($NP$91="Single_Point",IF(103=$NR$91,$NN$91,0),IF($NP$91="Bell_Curve",$NN$91*(103-$NR$91+1)*($NS$91-103+1)/$NU$91,$NN$91/$NT$91)),0)</f>
        <v/>
      </c>
      <c r="DD91" s="402">
        <f>IF(AND(104&gt;=$NR$91,104&lt;=$NS$91),IF($NP$91="Single_Point",IF(104=$NR$91,$NN$91,0),IF($NP$91="Bell_Curve",$NN$91*(104-$NR$91+1)*($NS$91-104+1)/$NU$91,$NN$91/$NT$91)),0)</f>
        <v/>
      </c>
      <c r="DE91" s="402">
        <f>IF(AND(105&gt;=$NR$91,105&lt;=$NS$91),IF($NP$91="Single_Point",IF(105=$NR$91,$NN$91,0),IF($NP$91="Bell_Curve",$NN$91*(105-$NR$91+1)*($NS$91-105+1)/$NU$91,$NN$91/$NT$91)),0)</f>
        <v/>
      </c>
      <c r="DF91" s="402">
        <f>IF(AND(106&gt;=$NR$91,106&lt;=$NS$91),IF($NP$91="Single_Point",IF(106=$NR$91,$NN$91,0),IF($NP$91="Bell_Curve",$NN$91*(106-$NR$91+1)*($NS$91-106+1)/$NU$91,$NN$91/$NT$91)),0)</f>
        <v/>
      </c>
      <c r="DG91" s="402">
        <f>IF(AND(107&gt;=$NR$91,107&lt;=$NS$91),IF($NP$91="Single_Point",IF(107=$NR$91,$NN$91,0),IF($NP$91="Bell_Curve",$NN$91*(107-$NR$91+1)*($NS$91-107+1)/$NU$91,$NN$91/$NT$91)),0)</f>
        <v/>
      </c>
      <c r="DH91" s="402">
        <f>IF(AND(108&gt;=$NR$91,108&lt;=$NS$91),IF($NP$91="Single_Point",IF(108=$NR$91,$NN$91,0),IF($NP$91="Bell_Curve",$NN$91*(108-$NR$91+1)*($NS$91-108+1)/$NU$91,$NN$91/$NT$91)),0)</f>
        <v/>
      </c>
      <c r="DI91" s="402">
        <f>IF(AND(109&gt;=$NR$91,109&lt;=$NS$91),IF($NP$91="Single_Point",IF(109=$NR$91,$NN$91,0),IF($NP$91="Bell_Curve",$NN$91*(109-$NR$91+1)*($NS$91-109+1)/$NU$91,$NN$91/$NT$91)),0)</f>
        <v/>
      </c>
      <c r="DJ91" s="402">
        <f>IF(AND(110&gt;=$NR$91,110&lt;=$NS$91),IF($NP$91="Single_Point",IF(110=$NR$91,$NN$91,0),IF($NP$91="Bell_Curve",$NN$91*(110-$NR$91+1)*($NS$91-110+1)/$NU$91,$NN$91/$NT$91)),0)</f>
        <v/>
      </c>
      <c r="DK91" s="402">
        <f>IF(AND(111&gt;=$NR$91,111&lt;=$NS$91),IF($NP$91="Single_Point",IF(111=$NR$91,$NN$91,0),IF($NP$91="Bell_Curve",$NN$91*(111-$NR$91+1)*($NS$91-111+1)/$NU$91,$NN$91/$NT$91)),0)</f>
        <v/>
      </c>
      <c r="DL91" s="402">
        <f>IF(AND(112&gt;=$NR$91,112&lt;=$NS$91),IF($NP$91="Single_Point",IF(112=$NR$91,$NN$91,0),IF($NP$91="Bell_Curve",$NN$91*(112-$NR$91+1)*($NS$91-112+1)/$NU$91,$NN$91/$NT$91)),0)</f>
        <v/>
      </c>
      <c r="DM91" s="402">
        <f>IF(AND(113&gt;=$NR$91,113&lt;=$NS$91),IF($NP$91="Single_Point",IF(113=$NR$91,$NN$91,0),IF($NP$91="Bell_Curve",$NN$91*(113-$NR$91+1)*($NS$91-113+1)/$NU$91,$NN$91/$NT$91)),0)</f>
        <v/>
      </c>
      <c r="DN91" s="402">
        <f>IF(AND(114&gt;=$NR$91,114&lt;=$NS$91),IF($NP$91="Single_Point",IF(114=$NR$91,$NN$91,0),IF($NP$91="Bell_Curve",$NN$91*(114-$NR$91+1)*($NS$91-114+1)/$NU$91,$NN$91/$NT$91)),0)</f>
        <v/>
      </c>
      <c r="DO91" s="402">
        <f>IF(AND(115&gt;=$NR$91,115&lt;=$NS$91),IF($NP$91="Single_Point",IF(115=$NR$91,$NN$91,0),IF($NP$91="Bell_Curve",$NN$91*(115-$NR$91+1)*($NS$91-115+1)/$NU$91,$NN$91/$NT$91)),0)</f>
        <v/>
      </c>
      <c r="DP91" s="402">
        <f>IF(AND(116&gt;=$NR$91,116&lt;=$NS$91),IF($NP$91="Single_Point",IF(116=$NR$91,$NN$91,0),IF($NP$91="Bell_Curve",$NN$91*(116-$NR$91+1)*($NS$91-116+1)/$NU$91,$NN$91/$NT$91)),0)</f>
        <v/>
      </c>
      <c r="DQ91" s="402">
        <f>IF(AND(117&gt;=$NR$91,117&lt;=$NS$91),IF($NP$91="Single_Point",IF(117=$NR$91,$NN$91,0),IF($NP$91="Bell_Curve",$NN$91*(117-$NR$91+1)*($NS$91-117+1)/$NU$91,$NN$91/$NT$91)),0)</f>
        <v/>
      </c>
      <c r="DR91" s="402">
        <f>IF(AND(118&gt;=$NR$91,118&lt;=$NS$91),IF($NP$91="Single_Point",IF(118=$NR$91,$NN$91,0),IF($NP$91="Bell_Curve",$NN$91*(118-$NR$91+1)*($NS$91-118+1)/$NU$91,$NN$91/$NT$91)),0)</f>
        <v/>
      </c>
      <c r="DS91" s="402">
        <f>IF(AND(119&gt;=$NR$91,119&lt;=$NS$91),IF($NP$91="Single_Point",IF(119=$NR$91,$NN$91,0),IF($NP$91="Bell_Curve",$NN$91*(119-$NR$91+1)*($NS$91-119+1)/$NU$91,$NN$91/$NT$91)),0)</f>
        <v/>
      </c>
      <c r="DT91" s="402">
        <f>IF(AND(120&gt;=$NR$91,120&lt;=$NS$91),IF($NP$91="Single_Point",IF(120=$NR$91,$NN$91,0),IF($NP$91="Bell_Curve",$NN$91*(120-$NR$91+1)*($NS$91-120+1)/$NU$91,$NN$91/$NT$91)),0)</f>
        <v/>
      </c>
      <c r="DU91" s="402">
        <f>IF(AND(121&gt;=$NR$91,121&lt;=$NS$91),IF($NP$91="Single_Point",IF(121=$NR$91,$NN$91,0),IF($NP$91="Bell_Curve",$NN$91*(121-$NR$91+1)*($NS$91-121+1)/$NU$91,$NN$91/$NT$91)),0)</f>
        <v/>
      </c>
      <c r="DV91" s="402">
        <f>IF(AND(122&gt;=$NR$91,122&lt;=$NS$91),IF($NP$91="Single_Point",IF(122=$NR$91,$NN$91,0),IF($NP$91="Bell_Curve",$NN$91*(122-$NR$91+1)*($NS$91-122+1)/$NU$91,$NN$91/$NT$91)),0)</f>
        <v/>
      </c>
      <c r="DW91" s="402">
        <f>IF(AND(123&gt;=$NR$91,123&lt;=$NS$91),IF($NP$91="Single_Point",IF(123=$NR$91,$NN$91,0),IF($NP$91="Bell_Curve",$NN$91*(123-$NR$91+1)*($NS$91-123+1)/$NU$91,$NN$91/$NT$91)),0)</f>
        <v/>
      </c>
      <c r="DX91" s="402">
        <f>IF(AND(124&gt;=$NR$91,124&lt;=$NS$91),IF($NP$91="Single_Point",IF(124=$NR$91,$NN$91,0),IF($NP$91="Bell_Curve",$NN$91*(124-$NR$91+1)*($NS$91-124+1)/$NU$91,$NN$91/$NT$91)),0)</f>
        <v/>
      </c>
      <c r="DY91" s="402">
        <f>IF(AND(125&gt;=$NR$91,125&lt;=$NS$91),IF($NP$91="Single_Point",IF(125=$NR$91,$NN$91,0),IF($NP$91="Bell_Curve",$NN$91*(125-$NR$91+1)*($NS$91-125+1)/$NU$91,$NN$91/$NT$91)),0)</f>
        <v/>
      </c>
      <c r="DZ91" s="402">
        <f>IF(AND(126&gt;=$NR$91,126&lt;=$NS$91),IF($NP$91="Single_Point",IF(126=$NR$91,$NN$91,0),IF($NP$91="Bell_Curve",$NN$91*(126-$NR$91+1)*($NS$91-126+1)/$NU$91,$NN$91/$NT$91)),0)</f>
        <v/>
      </c>
      <c r="EA91" s="402">
        <f>IF(AND(127&gt;=$NR$91,127&lt;=$NS$91),IF($NP$91="Single_Point",IF(127=$NR$91,$NN$91,0),IF($NP$91="Bell_Curve",$NN$91*(127-$NR$91+1)*($NS$91-127+1)/$NU$91,$NN$91/$NT$91)),0)</f>
        <v/>
      </c>
      <c r="EB91" s="402">
        <f>IF(AND(128&gt;=$NR$91,128&lt;=$NS$91),IF($NP$91="Single_Point",IF(128=$NR$91,$NN$91,0),IF($NP$91="Bell_Curve",$NN$91*(128-$NR$91+1)*($NS$91-128+1)/$NU$91,$NN$91/$NT$91)),0)</f>
        <v/>
      </c>
      <c r="EC91" s="402">
        <f>IF(AND(129&gt;=$NR$91,129&lt;=$NS$91),IF($NP$91="Single_Point",IF(129=$NR$91,$NN$91,0),IF($NP$91="Bell_Curve",$NN$91*(129-$NR$91+1)*($NS$91-129+1)/$NU$91,$NN$91/$NT$91)),0)</f>
        <v/>
      </c>
      <c r="ED91" s="402">
        <f>IF(AND(130&gt;=$NR$91,130&lt;=$NS$91),IF($NP$91="Single_Point",IF(130=$NR$91,$NN$91,0),IF($NP$91="Bell_Curve",$NN$91*(130-$NR$91+1)*($NS$91-130+1)/$NU$91,$NN$91/$NT$91)),0)</f>
        <v/>
      </c>
      <c r="EE91" s="402">
        <f>IF(AND(131&gt;=$NR$91,131&lt;=$NS$91),IF($NP$91="Single_Point",IF(131=$NR$91,$NN$91,0),IF($NP$91="Bell_Curve",$NN$91*(131-$NR$91+1)*($NS$91-131+1)/$NU$91,$NN$91/$NT$91)),0)</f>
        <v/>
      </c>
      <c r="EF91" s="402">
        <f>IF(AND(132&gt;=$NR$91,132&lt;=$NS$91),IF($NP$91="Single_Point",IF(132=$NR$91,$NN$91,0),IF($NP$91="Bell_Curve",$NN$91*(132-$NR$91+1)*($NS$91-132+1)/$NU$91,$NN$91/$NT$91)),0)</f>
        <v/>
      </c>
      <c r="EG91" s="402">
        <f>IF(AND(133&gt;=$NR$91,133&lt;=$NS$91),IF($NP$91="Single_Point",IF(133=$NR$91,$NN$91,0),IF($NP$91="Bell_Curve",$NN$91*(133-$NR$91+1)*($NS$91-133+1)/$NU$91,$NN$91/$NT$91)),0)</f>
        <v/>
      </c>
      <c r="EH91" s="402">
        <f>IF(AND(134&gt;=$NR$91,134&lt;=$NS$91),IF($NP$91="Single_Point",IF(134=$NR$91,$NN$91,0),IF($NP$91="Bell_Curve",$NN$91*(134-$NR$91+1)*($NS$91-134+1)/$NU$91,$NN$91/$NT$91)),0)</f>
        <v/>
      </c>
      <c r="EI91" s="402">
        <f>IF(AND(135&gt;=$NR$91,135&lt;=$NS$91),IF($NP$91="Single_Point",IF(135=$NR$91,$NN$91,0),IF($NP$91="Bell_Curve",$NN$91*(135-$NR$91+1)*($NS$91-135+1)/$NU$91,$NN$91/$NT$91)),0)</f>
        <v/>
      </c>
      <c r="EJ91" s="402">
        <f>IF(AND(136&gt;=$NR$91,136&lt;=$NS$91),IF($NP$91="Single_Point",IF(136=$NR$91,$NN$91,0),IF($NP$91="Bell_Curve",$NN$91*(136-$NR$91+1)*($NS$91-136+1)/$NU$91,$NN$91/$NT$91)),0)</f>
        <v/>
      </c>
      <c r="EK91" s="402">
        <f>IF(AND(137&gt;=$NR$91,137&lt;=$NS$91),IF($NP$91="Single_Point",IF(137=$NR$91,$NN$91,0),IF($NP$91="Bell_Curve",$NN$91*(137-$NR$91+1)*($NS$91-137+1)/$NU$91,$NN$91/$NT$91)),0)</f>
        <v/>
      </c>
      <c r="EL91" s="402">
        <f>IF(AND(138&gt;=$NR$91,138&lt;=$NS$91),IF($NP$91="Single_Point",IF(138=$NR$91,$NN$91,0),IF($NP$91="Bell_Curve",$NN$91*(138-$NR$91+1)*($NS$91-138+1)/$NU$91,$NN$91/$NT$91)),0)</f>
        <v/>
      </c>
      <c r="EM91" s="402">
        <f>IF(AND(139&gt;=$NR$91,139&lt;=$NS$91),IF($NP$91="Single_Point",IF(139=$NR$91,$NN$91,0),IF($NP$91="Bell_Curve",$NN$91*(139-$NR$91+1)*($NS$91-139+1)/$NU$91,$NN$91/$NT$91)),0)</f>
        <v/>
      </c>
      <c r="EN91" s="402">
        <f>IF(AND(140&gt;=$NR$91,140&lt;=$NS$91),IF($NP$91="Single_Point",IF(140=$NR$91,$NN$91,0),IF($NP$91="Bell_Curve",$NN$91*(140-$NR$91+1)*($NS$91-140+1)/$NU$91,$NN$91/$NT$91)),0)</f>
        <v/>
      </c>
      <c r="EO91" s="402">
        <f>IF(AND(141&gt;=$NR$91,141&lt;=$NS$91),IF($NP$91="Single_Point",IF(141=$NR$91,$NN$91,0),IF($NP$91="Bell_Curve",$NN$91*(141-$NR$91+1)*($NS$91-141+1)/$NU$91,$NN$91/$NT$91)),0)</f>
        <v/>
      </c>
      <c r="EP91" s="402">
        <f>IF(AND(142&gt;=$NR$91,142&lt;=$NS$91),IF($NP$91="Single_Point",IF(142=$NR$91,$NN$91,0),IF($NP$91="Bell_Curve",$NN$91*(142-$NR$91+1)*($NS$91-142+1)/$NU$91,$NN$91/$NT$91)),0)</f>
        <v/>
      </c>
      <c r="EQ91" s="402">
        <f>IF(AND(143&gt;=$NR$91,143&lt;=$NS$91),IF($NP$91="Single_Point",IF(143=$NR$91,$NN$91,0),IF($NP$91="Bell_Curve",$NN$91*(143-$NR$91+1)*($NS$91-143+1)/$NU$91,$NN$91/$NT$91)),0)</f>
        <v/>
      </c>
      <c r="ER91" s="402">
        <f>IF(AND(144&gt;=$NR$91,144&lt;=$NS$91),IF($NP$91="Single_Point",IF(144=$NR$91,$NN$91,0),IF($NP$91="Bell_Curve",$NN$91*(144-$NR$91+1)*($NS$91-144+1)/$NU$91,$NN$91/$NT$91)),0)</f>
        <v/>
      </c>
      <c r="ES91" s="402">
        <f>IF(AND(145&gt;=$NR$91,145&lt;=$NS$91),IF($NP$91="Single_Point",IF(145=$NR$91,$NN$91,0),IF($NP$91="Bell_Curve",$NN$91*(145-$NR$91+1)*($NS$91-145+1)/$NU$91,$NN$91/$NT$91)),0)</f>
        <v/>
      </c>
      <c r="ET91" s="402">
        <f>IF(AND(146&gt;=$NR$91,146&lt;=$NS$91),IF($NP$91="Single_Point",IF(146=$NR$91,$NN$91,0),IF($NP$91="Bell_Curve",$NN$91*(146-$NR$91+1)*($NS$91-146+1)/$NU$91,$NN$91/$NT$91)),0)</f>
        <v/>
      </c>
      <c r="EU91" s="402">
        <f>IF(AND(147&gt;=$NR$91,147&lt;=$NS$91),IF($NP$91="Single_Point",IF(147=$NR$91,$NN$91,0),IF($NP$91="Bell_Curve",$NN$91*(147-$NR$91+1)*($NS$91-147+1)/$NU$91,$NN$91/$NT$91)),0)</f>
        <v/>
      </c>
      <c r="EV91" s="402">
        <f>IF(AND(148&gt;=$NR$91,148&lt;=$NS$91),IF($NP$91="Single_Point",IF(148=$NR$91,$NN$91,0),IF($NP$91="Bell_Curve",$NN$91*(148-$NR$91+1)*($NS$91-148+1)/$NU$91,$NN$91/$NT$91)),0)</f>
        <v/>
      </c>
      <c r="EW91" s="402">
        <f>IF(AND(149&gt;=$NR$91,149&lt;=$NS$91),IF($NP$91="Single_Point",IF(149=$NR$91,$NN$91,0),IF($NP$91="Bell_Curve",$NN$91*(149-$NR$91+1)*($NS$91-149+1)/$NU$91,$NN$91/$NT$91)),0)</f>
        <v/>
      </c>
      <c r="EX91" s="402">
        <f>IF(AND(150&gt;=$NR$91,150&lt;=$NS$91),IF($NP$91="Single_Point",IF(150=$NR$91,$NN$91,0),IF($NP$91="Bell_Curve",$NN$91*(150-$NR$91+1)*($NS$91-150+1)/$NU$91,$NN$91/$NT$91)),0)</f>
        <v/>
      </c>
      <c r="EY91" s="402">
        <f>IF(AND(151&gt;=$NR$91,151&lt;=$NS$91),IF($NP$91="Single_Point",IF(151=$NR$91,$NN$91,0),IF($NP$91="Bell_Curve",$NN$91*(151-$NR$91+1)*($NS$91-151+1)/$NU$91,$NN$91/$NT$91)),0)</f>
        <v/>
      </c>
      <c r="EZ91" s="402">
        <f>IF(AND(152&gt;=$NR$91,152&lt;=$NS$91),IF($NP$91="Single_Point",IF(152=$NR$91,$NN$91,0),IF($NP$91="Bell_Curve",$NN$91*(152-$NR$91+1)*($NS$91-152+1)/$NU$91,$NN$91/$NT$91)),0)</f>
        <v/>
      </c>
      <c r="FA91" s="402">
        <f>IF(AND(153&gt;=$NR$91,153&lt;=$NS$91),IF($NP$91="Single_Point",IF(153=$NR$91,$NN$91,0),IF($NP$91="Bell_Curve",$NN$91*(153-$NR$91+1)*($NS$91-153+1)/$NU$91,$NN$91/$NT$91)),0)</f>
        <v/>
      </c>
      <c r="FB91" s="402">
        <f>IF(AND(154&gt;=$NR$91,154&lt;=$NS$91),IF($NP$91="Single_Point",IF(154=$NR$91,$NN$91,0),IF($NP$91="Bell_Curve",$NN$91*(154-$NR$91+1)*($NS$91-154+1)/$NU$91,$NN$91/$NT$91)),0)</f>
        <v/>
      </c>
      <c r="FC91" s="402">
        <f>IF(AND(155&gt;=$NR$91,155&lt;=$NS$91),IF($NP$91="Single_Point",IF(155=$NR$91,$NN$91,0),IF($NP$91="Bell_Curve",$NN$91*(155-$NR$91+1)*($NS$91-155+1)/$NU$91,$NN$91/$NT$91)),0)</f>
        <v/>
      </c>
      <c r="FD91" s="402">
        <f>IF(AND(156&gt;=$NR$91,156&lt;=$NS$91),IF($NP$91="Single_Point",IF(156=$NR$91,$NN$91,0),IF($NP$91="Bell_Curve",$NN$91*(156-$NR$91+1)*($NS$91-156+1)/$NU$91,$NN$91/$NT$91)),0)</f>
        <v/>
      </c>
      <c r="FE91" s="402">
        <f>IF(AND(157&gt;=$NR$91,157&lt;=$NS$91),IF($NP$91="Single_Point",IF(157=$NR$91,$NN$91,0),IF($NP$91="Bell_Curve",$NN$91*(157-$NR$91+1)*($NS$91-157+1)/$NU$91,$NN$91/$NT$91)),0)</f>
        <v/>
      </c>
      <c r="FF91" s="402">
        <f>IF(AND(158&gt;=$NR$91,158&lt;=$NS$91),IF($NP$91="Single_Point",IF(158=$NR$91,$NN$91,0),IF($NP$91="Bell_Curve",$NN$91*(158-$NR$91+1)*($NS$91-158+1)/$NU$91,$NN$91/$NT$91)),0)</f>
        <v/>
      </c>
      <c r="FG91" s="402">
        <f>IF(AND(159&gt;=$NR$91,159&lt;=$NS$91),IF($NP$91="Single_Point",IF(159=$NR$91,$NN$91,0),IF($NP$91="Bell_Curve",$NN$91*(159-$NR$91+1)*($NS$91-159+1)/$NU$91,$NN$91/$NT$91)),0)</f>
        <v/>
      </c>
      <c r="FH91" s="402">
        <f>IF(AND(160&gt;=$NR$91,160&lt;=$NS$91),IF($NP$91="Single_Point",IF(160=$NR$91,$NN$91,0),IF($NP$91="Bell_Curve",$NN$91*(160-$NR$91+1)*($NS$91-160+1)/$NU$91,$NN$91/$NT$91)),0)</f>
        <v/>
      </c>
      <c r="FI91" s="402">
        <f>IF(AND(161&gt;=$NR$91,161&lt;=$NS$91),IF($NP$91="Single_Point",IF(161=$NR$91,$NN$91,0),IF($NP$91="Bell_Curve",$NN$91*(161-$NR$91+1)*($NS$91-161+1)/$NU$91,$NN$91/$NT$91)),0)</f>
        <v/>
      </c>
      <c r="FJ91" s="402">
        <f>IF(AND(162&gt;=$NR$91,162&lt;=$NS$91),IF($NP$91="Single_Point",IF(162=$NR$91,$NN$91,0),IF($NP$91="Bell_Curve",$NN$91*(162-$NR$91+1)*($NS$91-162+1)/$NU$91,$NN$91/$NT$91)),0)</f>
        <v/>
      </c>
      <c r="FK91" s="402">
        <f>IF(AND(163&gt;=$NR$91,163&lt;=$NS$91),IF($NP$91="Single_Point",IF(163=$NR$91,$NN$91,0),IF($NP$91="Bell_Curve",$NN$91*(163-$NR$91+1)*($NS$91-163+1)/$NU$91,$NN$91/$NT$91)),0)</f>
        <v/>
      </c>
      <c r="FL91" s="402">
        <f>IF(AND(164&gt;=$NR$91,164&lt;=$NS$91),IF($NP$91="Single_Point",IF(164=$NR$91,$NN$91,0),IF($NP$91="Bell_Curve",$NN$91*(164-$NR$91+1)*($NS$91-164+1)/$NU$91,$NN$91/$NT$91)),0)</f>
        <v/>
      </c>
      <c r="FM91" s="402">
        <f>IF(AND(165&gt;=$NR$91,165&lt;=$NS$91),IF($NP$91="Single_Point",IF(165=$NR$91,$NN$91,0),IF($NP$91="Bell_Curve",$NN$91*(165-$NR$91+1)*($NS$91-165+1)/$NU$91,$NN$91/$NT$91)),0)</f>
        <v/>
      </c>
      <c r="FN91" s="402">
        <f>IF(AND(166&gt;=$NR$91,166&lt;=$NS$91),IF($NP$91="Single_Point",IF(166=$NR$91,$NN$91,0),IF($NP$91="Bell_Curve",$NN$91*(166-$NR$91+1)*($NS$91-166+1)/$NU$91,$NN$91/$NT$91)),0)</f>
        <v/>
      </c>
      <c r="FO91" s="402">
        <f>IF(AND(167&gt;=$NR$91,167&lt;=$NS$91),IF($NP$91="Single_Point",IF(167=$NR$91,$NN$91,0),IF($NP$91="Bell_Curve",$NN$91*(167-$NR$91+1)*($NS$91-167+1)/$NU$91,$NN$91/$NT$91)),0)</f>
        <v/>
      </c>
      <c r="FP91" s="402">
        <f>IF(AND(168&gt;=$NR$91,168&lt;=$NS$91),IF($NP$91="Single_Point",IF(168=$NR$91,$NN$91,0),IF($NP$91="Bell_Curve",$NN$91*(168-$NR$91+1)*($NS$91-168+1)/$NU$91,$NN$91/$NT$91)),0)</f>
        <v/>
      </c>
      <c r="FQ91" s="402">
        <f>IF(AND(169&gt;=$NR$91,169&lt;=$NS$91),IF($NP$91="Single_Point",IF(169=$NR$91,$NN$91,0),IF($NP$91="Bell_Curve",$NN$91*(169-$NR$91+1)*($NS$91-169+1)/$NU$91,$NN$91/$NT$91)),0)</f>
        <v/>
      </c>
      <c r="FR91" s="402">
        <f>IF(AND(170&gt;=$NR$91,170&lt;=$NS$91),IF($NP$91="Single_Point",IF(170=$NR$91,$NN$91,0),IF($NP$91="Bell_Curve",$NN$91*(170-$NR$91+1)*($NS$91-170+1)/$NU$91,$NN$91/$NT$91)),0)</f>
        <v/>
      </c>
      <c r="FS91" s="402">
        <f>IF(AND(171&gt;=$NR$91,171&lt;=$NS$91),IF($NP$91="Single_Point",IF(171=$NR$91,$NN$91,0),IF($NP$91="Bell_Curve",$NN$91*(171-$NR$91+1)*($NS$91-171+1)/$NU$91,$NN$91/$NT$91)),0)</f>
        <v/>
      </c>
      <c r="FT91" s="402">
        <f>IF(AND(172&gt;=$NR$91,172&lt;=$NS$91),IF($NP$91="Single_Point",IF(172=$NR$91,$NN$91,0),IF($NP$91="Bell_Curve",$NN$91*(172-$NR$91+1)*($NS$91-172+1)/$NU$91,$NN$91/$NT$91)),0)</f>
        <v/>
      </c>
      <c r="FU91" s="402">
        <f>IF(AND(173&gt;=$NR$91,173&lt;=$NS$91),IF($NP$91="Single_Point",IF(173=$NR$91,$NN$91,0),IF($NP$91="Bell_Curve",$NN$91*(173-$NR$91+1)*($NS$91-173+1)/$NU$91,$NN$91/$NT$91)),0)</f>
        <v/>
      </c>
      <c r="FV91" s="402">
        <f>IF(AND(174&gt;=$NR$91,174&lt;=$NS$91),IF($NP$91="Single_Point",IF(174=$NR$91,$NN$91,0),IF($NP$91="Bell_Curve",$NN$91*(174-$NR$91+1)*($NS$91-174+1)/$NU$91,$NN$91/$NT$91)),0)</f>
        <v/>
      </c>
      <c r="FW91" s="402">
        <f>IF(AND(175&gt;=$NR$91,175&lt;=$NS$91),IF($NP$91="Single_Point",IF(175=$NR$91,$NN$91,0),IF($NP$91="Bell_Curve",$NN$91*(175-$NR$91+1)*($NS$91-175+1)/$NU$91,$NN$91/$NT$91)),0)</f>
        <v/>
      </c>
      <c r="FX91" s="402">
        <f>IF(AND(176&gt;=$NR$91,176&lt;=$NS$91),IF($NP$91="Single_Point",IF(176=$NR$91,$NN$91,0),IF($NP$91="Bell_Curve",$NN$91*(176-$NR$91+1)*($NS$91-176+1)/$NU$91,$NN$91/$NT$91)),0)</f>
        <v/>
      </c>
      <c r="FY91" s="402">
        <f>IF(AND(177&gt;=$NR$91,177&lt;=$NS$91),IF($NP$91="Single_Point",IF(177=$NR$91,$NN$91,0),IF($NP$91="Bell_Curve",$NN$91*(177-$NR$91+1)*($NS$91-177+1)/$NU$91,$NN$91/$NT$91)),0)</f>
        <v/>
      </c>
      <c r="FZ91" s="402">
        <f>IF(AND(178&gt;=$NR$91,178&lt;=$NS$91),IF($NP$91="Single_Point",IF(178=$NR$91,$NN$91,0),IF($NP$91="Bell_Curve",$NN$91*(178-$NR$91+1)*($NS$91-178+1)/$NU$91,$NN$91/$NT$91)),0)</f>
        <v/>
      </c>
      <c r="GA91" s="402">
        <f>IF(AND(179&gt;=$NR$91,179&lt;=$NS$91),IF($NP$91="Single_Point",IF(179=$NR$91,$NN$91,0),IF($NP$91="Bell_Curve",$NN$91*(179-$NR$91+1)*($NS$91-179+1)/$NU$91,$NN$91/$NT$91)),0)</f>
        <v/>
      </c>
      <c r="GB91" s="402">
        <f>IF(AND(180&gt;=$NR$91,180&lt;=$NS$91),IF($NP$91="Single_Point",IF(180=$NR$91,$NN$91,0),IF($NP$91="Bell_Curve",$NN$91*(180-$NR$91+1)*($NS$91-180+1)/$NU$91,$NN$91/$NT$91)),0)</f>
        <v/>
      </c>
      <c r="GC91" s="402">
        <f>IF(AND(181&gt;=$NR$91,181&lt;=$NS$91),IF($NP$91="Single_Point",IF(181=$NR$91,$NN$91,0),IF($NP$91="Bell_Curve",$NN$91*(181-$NR$91+1)*($NS$91-181+1)/$NU$91,$NN$91/$NT$91)),0)</f>
        <v/>
      </c>
      <c r="GD91" s="402">
        <f>IF(AND(182&gt;=$NR$91,182&lt;=$NS$91),IF($NP$91="Single_Point",IF(182=$NR$91,$NN$91,0),IF($NP$91="Bell_Curve",$NN$91*(182-$NR$91+1)*($NS$91-182+1)/$NU$91,$NN$91/$NT$91)),0)</f>
        <v/>
      </c>
      <c r="GE91" s="402">
        <f>IF(AND(183&gt;=$NR$91,183&lt;=$NS$91),IF($NP$91="Single_Point",IF(183=$NR$91,$NN$91,0),IF($NP$91="Bell_Curve",$NN$91*(183-$NR$91+1)*($NS$91-183+1)/$NU$91,$NN$91/$NT$91)),0)</f>
        <v/>
      </c>
      <c r="GF91" s="402">
        <f>IF(AND(184&gt;=$NR$91,184&lt;=$NS$91),IF($NP$91="Single_Point",IF(184=$NR$91,$NN$91,0),IF($NP$91="Bell_Curve",$NN$91*(184-$NR$91+1)*($NS$91-184+1)/$NU$91,$NN$91/$NT$91)),0)</f>
        <v/>
      </c>
      <c r="GG91" s="402">
        <f>IF(AND(185&gt;=$NR$91,185&lt;=$NS$91),IF($NP$91="Single_Point",IF(185=$NR$91,$NN$91,0),IF($NP$91="Bell_Curve",$NN$91*(185-$NR$91+1)*($NS$91-185+1)/$NU$91,$NN$91/$NT$91)),0)</f>
        <v/>
      </c>
      <c r="GH91" s="402">
        <f>IF(AND(186&gt;=$NR$91,186&lt;=$NS$91),IF($NP$91="Single_Point",IF(186=$NR$91,$NN$91,0),IF($NP$91="Bell_Curve",$NN$91*(186-$NR$91+1)*($NS$91-186+1)/$NU$91,$NN$91/$NT$91)),0)</f>
        <v/>
      </c>
      <c r="GI91" s="402">
        <f>IF(AND(187&gt;=$NR$91,187&lt;=$NS$91),IF($NP$91="Single_Point",IF(187=$NR$91,$NN$91,0),IF($NP$91="Bell_Curve",$NN$91*(187-$NR$91+1)*($NS$91-187+1)/$NU$91,$NN$91/$NT$91)),0)</f>
        <v/>
      </c>
      <c r="GJ91" s="402">
        <f>IF(AND(188&gt;=$NR$91,188&lt;=$NS$91),IF($NP$91="Single_Point",IF(188=$NR$91,$NN$91,0),IF($NP$91="Bell_Curve",$NN$91*(188-$NR$91+1)*($NS$91-188+1)/$NU$91,$NN$91/$NT$91)),0)</f>
        <v/>
      </c>
      <c r="GK91" s="402">
        <f>IF(AND(189&gt;=$NR$91,189&lt;=$NS$91),IF($NP$91="Single_Point",IF(189=$NR$91,$NN$91,0),IF($NP$91="Bell_Curve",$NN$91*(189-$NR$91+1)*($NS$91-189+1)/$NU$91,$NN$91/$NT$91)),0)</f>
        <v/>
      </c>
      <c r="GL91" s="402">
        <f>IF(AND(190&gt;=$NR$91,190&lt;=$NS$91),IF($NP$91="Single_Point",IF(190=$NR$91,$NN$91,0),IF($NP$91="Bell_Curve",$NN$91*(190-$NR$91+1)*($NS$91-190+1)/$NU$91,$NN$91/$NT$91)),0)</f>
        <v/>
      </c>
      <c r="GM91" s="402">
        <f>IF(AND(191&gt;=$NR$91,191&lt;=$NS$91),IF($NP$91="Single_Point",IF(191=$NR$91,$NN$91,0),IF($NP$91="Bell_Curve",$NN$91*(191-$NR$91+1)*($NS$91-191+1)/$NU$91,$NN$91/$NT$91)),0)</f>
        <v/>
      </c>
      <c r="GN91" s="402">
        <f>IF(AND(192&gt;=$NR$91,192&lt;=$NS$91),IF($NP$91="Single_Point",IF(192=$NR$91,$NN$91,0),IF($NP$91="Bell_Curve",$NN$91*(192-$NR$91+1)*($NS$91-192+1)/$NU$91,$NN$91/$NT$91)),0)</f>
        <v/>
      </c>
      <c r="GO91" s="402">
        <f>IF(AND(193&gt;=$NR$91,193&lt;=$NS$91),IF($NP$91="Single_Point",IF(193=$NR$91,$NN$91,0),IF($NP$91="Bell_Curve",$NN$91*(193-$NR$91+1)*($NS$91-193+1)/$NU$91,$NN$91/$NT$91)),0)</f>
        <v/>
      </c>
      <c r="GP91" s="402">
        <f>IF(AND(194&gt;=$NR$91,194&lt;=$NS$91),IF($NP$91="Single_Point",IF(194=$NR$91,$NN$91,0),IF($NP$91="Bell_Curve",$NN$91*(194-$NR$91+1)*($NS$91-194+1)/$NU$91,$NN$91/$NT$91)),0)</f>
        <v/>
      </c>
      <c r="GQ91" s="402">
        <f>IF(AND(195&gt;=$NR$91,195&lt;=$NS$91),IF($NP$91="Single_Point",IF(195=$NR$91,$NN$91,0),IF($NP$91="Bell_Curve",$NN$91*(195-$NR$91+1)*($NS$91-195+1)/$NU$91,$NN$91/$NT$91)),0)</f>
        <v/>
      </c>
      <c r="GR91" s="402">
        <f>IF(AND(196&gt;=$NR$91,196&lt;=$NS$91),IF($NP$91="Single_Point",IF(196=$NR$91,$NN$91,0),IF($NP$91="Bell_Curve",$NN$91*(196-$NR$91+1)*($NS$91-196+1)/$NU$91,$NN$91/$NT$91)),0)</f>
        <v/>
      </c>
      <c r="GS91" s="402">
        <f>IF(AND(197&gt;=$NR$91,197&lt;=$NS$91),IF($NP$91="Single_Point",IF(197=$NR$91,$NN$91,0),IF($NP$91="Bell_Curve",$NN$91*(197-$NR$91+1)*($NS$91-197+1)/$NU$91,$NN$91/$NT$91)),0)</f>
        <v/>
      </c>
      <c r="GT91" s="402">
        <f>IF(AND(198&gt;=$NR$91,198&lt;=$NS$91),IF($NP$91="Single_Point",IF(198=$NR$91,$NN$91,0),IF($NP$91="Bell_Curve",$NN$91*(198-$NR$91+1)*($NS$91-198+1)/$NU$91,$NN$91/$NT$91)),0)</f>
        <v/>
      </c>
      <c r="GU91" s="402">
        <f>IF(AND(199&gt;=$NR$91,199&lt;=$NS$91),IF($NP$91="Single_Point",IF(199=$NR$91,$NN$91,0),IF($NP$91="Bell_Curve",$NN$91*(199-$NR$91+1)*($NS$91-199+1)/$NU$91,$NN$91/$NT$91)),0)</f>
        <v/>
      </c>
      <c r="GV91" s="402">
        <f>IF(AND(200&gt;=$NR$91,200&lt;=$NS$91),IF($NP$91="Single_Point",IF(200=$NR$91,$NN$91,0),IF($NP$91="Bell_Curve",$NN$91*(200-$NR$91+1)*($NS$91-200+1)/$NU$91,$NN$91/$NT$91)),0)</f>
        <v/>
      </c>
      <c r="GW91" s="402">
        <f>IF(AND(201&gt;=$NR$91,201&lt;=$NS$91),IF($NP$91="Single_Point",IF(201=$NR$91,$NN$91,0),IF($NP$91="Bell_Curve",$NN$91*(201-$NR$91+1)*($NS$91-201+1)/$NU$91,$NN$91/$NT$91)),0)</f>
        <v/>
      </c>
      <c r="GX91" s="402">
        <f>IF(AND(202&gt;=$NR$91,202&lt;=$NS$91),IF($NP$91="Single_Point",IF(202=$NR$91,$NN$91,0),IF($NP$91="Bell_Curve",$NN$91*(202-$NR$91+1)*($NS$91-202+1)/$NU$91,$NN$91/$NT$91)),0)</f>
        <v/>
      </c>
      <c r="GY91" s="402">
        <f>IF(AND(203&gt;=$NR$91,203&lt;=$NS$91),IF($NP$91="Single_Point",IF(203=$NR$91,$NN$91,0),IF($NP$91="Bell_Curve",$NN$91*(203-$NR$91+1)*($NS$91-203+1)/$NU$91,$NN$91/$NT$91)),0)</f>
        <v/>
      </c>
      <c r="GZ91" s="402">
        <f>IF(AND(204&gt;=$NR$91,204&lt;=$NS$91),IF($NP$91="Single_Point",IF(204=$NR$91,$NN$91,0),IF($NP$91="Bell_Curve",$NN$91*(204-$NR$91+1)*($NS$91-204+1)/$NU$91,$NN$91/$NT$91)),0)</f>
        <v/>
      </c>
      <c r="HA91" s="402">
        <f>IF(AND(205&gt;=$NR$91,205&lt;=$NS$91),IF($NP$91="Single_Point",IF(205=$NR$91,$NN$91,0),IF($NP$91="Bell_Curve",$NN$91*(205-$NR$91+1)*($NS$91-205+1)/$NU$91,$NN$91/$NT$91)),0)</f>
        <v/>
      </c>
      <c r="HB91" s="402">
        <f>IF(AND(206&gt;=$NR$91,206&lt;=$NS$91),IF($NP$91="Single_Point",IF(206=$NR$91,$NN$91,0),IF($NP$91="Bell_Curve",$NN$91*(206-$NR$91+1)*($NS$91-206+1)/$NU$91,$NN$91/$NT$91)),0)</f>
        <v/>
      </c>
      <c r="HC91" s="402">
        <f>IF(AND(207&gt;=$NR$91,207&lt;=$NS$91),IF($NP$91="Single_Point",IF(207=$NR$91,$NN$91,0),IF($NP$91="Bell_Curve",$NN$91*(207-$NR$91+1)*($NS$91-207+1)/$NU$91,$NN$91/$NT$91)),0)</f>
        <v/>
      </c>
      <c r="HD91" s="402">
        <f>IF(AND(208&gt;=$NR$91,208&lt;=$NS$91),IF($NP$91="Single_Point",IF(208=$NR$91,$NN$91,0),IF($NP$91="Bell_Curve",$NN$91*(208-$NR$91+1)*($NS$91-208+1)/$NU$91,$NN$91/$NT$91)),0)</f>
        <v/>
      </c>
      <c r="HE91" s="402">
        <f>IF(AND(209&gt;=$NR$91,209&lt;=$NS$91),IF($NP$91="Single_Point",IF(209=$NR$91,$NN$91,0),IF($NP$91="Bell_Curve",$NN$91*(209-$NR$91+1)*($NS$91-209+1)/$NU$91,$NN$91/$NT$91)),0)</f>
        <v/>
      </c>
      <c r="HF91" s="402">
        <f>IF(AND(210&gt;=$NR$91,210&lt;=$NS$91),IF($NP$91="Single_Point",IF(210=$NR$91,$NN$91,0),IF($NP$91="Bell_Curve",$NN$91*(210-$NR$91+1)*($NS$91-210+1)/$NU$91,$NN$91/$NT$91)),0)</f>
        <v/>
      </c>
      <c r="HG91" s="402">
        <f>IF(AND(211&gt;=$NR$91,211&lt;=$NS$91),IF($NP$91="Single_Point",IF(211=$NR$91,$NN$91,0),IF($NP$91="Bell_Curve",$NN$91*(211-$NR$91+1)*($NS$91-211+1)/$NU$91,$NN$91/$NT$91)),0)</f>
        <v/>
      </c>
      <c r="HH91" s="402">
        <f>IF(AND(212&gt;=$NR$91,212&lt;=$NS$91),IF($NP$91="Single_Point",IF(212=$NR$91,$NN$91,0),IF($NP$91="Bell_Curve",$NN$91*(212-$NR$91+1)*($NS$91-212+1)/$NU$91,$NN$91/$NT$91)),0)</f>
        <v/>
      </c>
      <c r="HI91" s="402">
        <f>IF(AND(213&gt;=$NR$91,213&lt;=$NS$91),IF($NP$91="Single_Point",IF(213=$NR$91,$NN$91,0),IF($NP$91="Bell_Curve",$NN$91*(213-$NR$91+1)*($NS$91-213+1)/$NU$91,$NN$91/$NT$91)),0)</f>
        <v/>
      </c>
      <c r="HJ91" s="402">
        <f>IF(AND(214&gt;=$NR$91,214&lt;=$NS$91),IF($NP$91="Single_Point",IF(214=$NR$91,$NN$91,0),IF($NP$91="Bell_Curve",$NN$91*(214-$NR$91+1)*($NS$91-214+1)/$NU$91,$NN$91/$NT$91)),0)</f>
        <v/>
      </c>
      <c r="HK91" s="402">
        <f>IF(AND(215&gt;=$NR$91,215&lt;=$NS$91),IF($NP$91="Single_Point",IF(215=$NR$91,$NN$91,0),IF($NP$91="Bell_Curve",$NN$91*(215-$NR$91+1)*($NS$91-215+1)/$NU$91,$NN$91/$NT$91)),0)</f>
        <v/>
      </c>
      <c r="HL91" s="402">
        <f>IF(AND(216&gt;=$NR$91,216&lt;=$NS$91),IF($NP$91="Single_Point",IF(216=$NR$91,$NN$91,0),IF($NP$91="Bell_Curve",$NN$91*(216-$NR$91+1)*($NS$91-216+1)/$NU$91,$NN$91/$NT$91)),0)</f>
        <v/>
      </c>
      <c r="HM91" s="402">
        <f>IF(AND(217&gt;=$NR$91,217&lt;=$NS$91),IF($NP$91="Single_Point",IF(217=$NR$91,$NN$91,0),IF($NP$91="Bell_Curve",$NN$91*(217-$NR$91+1)*($NS$91-217+1)/$NU$91,$NN$91/$NT$91)),0)</f>
        <v/>
      </c>
      <c r="HN91" s="402">
        <f>IF(AND(218&gt;=$NR$91,218&lt;=$NS$91),IF($NP$91="Single_Point",IF(218=$NR$91,$NN$91,0),IF($NP$91="Bell_Curve",$NN$91*(218-$NR$91+1)*($NS$91-218+1)/$NU$91,$NN$91/$NT$91)),0)</f>
        <v/>
      </c>
      <c r="HO91" s="402">
        <f>IF(AND(219&gt;=$NR$91,219&lt;=$NS$91),IF($NP$91="Single_Point",IF(219=$NR$91,$NN$91,0),IF($NP$91="Bell_Curve",$NN$91*(219-$NR$91+1)*($NS$91-219+1)/$NU$91,$NN$91/$NT$91)),0)</f>
        <v/>
      </c>
      <c r="HP91" s="402">
        <f>IF(AND(220&gt;=$NR$91,220&lt;=$NS$91),IF($NP$91="Single_Point",IF(220=$NR$91,$NN$91,0),IF($NP$91="Bell_Curve",$NN$91*(220-$NR$91+1)*($NS$91-220+1)/$NU$91,$NN$91/$NT$91)),0)</f>
        <v/>
      </c>
      <c r="HQ91" s="402">
        <f>IF(AND(221&gt;=$NR$91,221&lt;=$NS$91),IF($NP$91="Single_Point",IF(221=$NR$91,$NN$91,0),IF($NP$91="Bell_Curve",$NN$91*(221-$NR$91+1)*($NS$91-221+1)/$NU$91,$NN$91/$NT$91)),0)</f>
        <v/>
      </c>
      <c r="HR91" s="402">
        <f>IF(AND(222&gt;=$NR$91,222&lt;=$NS$91),IF($NP$91="Single_Point",IF(222=$NR$91,$NN$91,0),IF($NP$91="Bell_Curve",$NN$91*(222-$NR$91+1)*($NS$91-222+1)/$NU$91,$NN$91/$NT$91)),0)</f>
        <v/>
      </c>
      <c r="HS91" s="402">
        <f>IF(AND(223&gt;=$NR$91,223&lt;=$NS$91),IF($NP$91="Single_Point",IF(223=$NR$91,$NN$91,0),IF($NP$91="Bell_Curve",$NN$91*(223-$NR$91+1)*($NS$91-223+1)/$NU$91,$NN$91/$NT$91)),0)</f>
        <v/>
      </c>
      <c r="HT91" s="402">
        <f>IF(AND(224&gt;=$NR$91,224&lt;=$NS$91),IF($NP$91="Single_Point",IF(224=$NR$91,$NN$91,0),IF($NP$91="Bell_Curve",$NN$91*(224-$NR$91+1)*($NS$91-224+1)/$NU$91,$NN$91/$NT$91)),0)</f>
        <v/>
      </c>
      <c r="HU91" s="402">
        <f>IF(AND(225&gt;=$NR$91,225&lt;=$NS$91),IF($NP$91="Single_Point",IF(225=$NR$91,$NN$91,0),IF($NP$91="Bell_Curve",$NN$91*(225-$NR$91+1)*($NS$91-225+1)/$NU$91,$NN$91/$NT$91)),0)</f>
        <v/>
      </c>
      <c r="HV91" s="402">
        <f>IF(AND(226&gt;=$NR$91,226&lt;=$NS$91),IF($NP$91="Single_Point",IF(226=$NR$91,$NN$91,0),IF($NP$91="Bell_Curve",$NN$91*(226-$NR$91+1)*($NS$91-226+1)/$NU$91,$NN$91/$NT$91)),0)</f>
        <v/>
      </c>
      <c r="HW91" s="402">
        <f>IF(AND(227&gt;=$NR$91,227&lt;=$NS$91),IF($NP$91="Single_Point",IF(227=$NR$91,$NN$91,0),IF($NP$91="Bell_Curve",$NN$91*(227-$NR$91+1)*($NS$91-227+1)/$NU$91,$NN$91/$NT$91)),0)</f>
        <v/>
      </c>
      <c r="HX91" s="402">
        <f>IF(AND(228&gt;=$NR$91,228&lt;=$NS$91),IF($NP$91="Single_Point",IF(228=$NR$91,$NN$91,0),IF($NP$91="Bell_Curve",$NN$91*(228-$NR$91+1)*($NS$91-228+1)/$NU$91,$NN$91/$NT$91)),0)</f>
        <v/>
      </c>
      <c r="HY91" s="402">
        <f>IF(AND(229&gt;=$NR$91,229&lt;=$NS$91),IF($NP$91="Single_Point",IF(229=$NR$91,$NN$91,0),IF($NP$91="Bell_Curve",$NN$91*(229-$NR$91+1)*($NS$91-229+1)/$NU$91,$NN$91/$NT$91)),0)</f>
        <v/>
      </c>
      <c r="HZ91" s="402">
        <f>IF(AND(230&gt;=$NR$91,230&lt;=$NS$91),IF($NP$91="Single_Point",IF(230=$NR$91,$NN$91,0),IF($NP$91="Bell_Curve",$NN$91*(230-$NR$91+1)*($NS$91-230+1)/$NU$91,$NN$91/$NT$91)),0)</f>
        <v/>
      </c>
      <c r="IA91" s="402">
        <f>IF(AND(231&gt;=$NR$91,231&lt;=$NS$91),IF($NP$91="Single_Point",IF(231=$NR$91,$NN$91,0),IF($NP$91="Bell_Curve",$NN$91*(231-$NR$91+1)*($NS$91-231+1)/$NU$91,$NN$91/$NT$91)),0)</f>
        <v/>
      </c>
      <c r="IB91" s="402">
        <f>IF(AND(232&gt;=$NR$91,232&lt;=$NS$91),IF($NP$91="Single_Point",IF(232=$NR$91,$NN$91,0),IF($NP$91="Bell_Curve",$NN$91*(232-$NR$91+1)*($NS$91-232+1)/$NU$91,$NN$91/$NT$91)),0)</f>
        <v/>
      </c>
      <c r="IC91" s="402">
        <f>IF(AND(233&gt;=$NR$91,233&lt;=$NS$91),IF($NP$91="Single_Point",IF(233=$NR$91,$NN$91,0),IF($NP$91="Bell_Curve",$NN$91*(233-$NR$91+1)*($NS$91-233+1)/$NU$91,$NN$91/$NT$91)),0)</f>
        <v/>
      </c>
      <c r="ID91" s="402">
        <f>IF(AND(234&gt;=$NR$91,234&lt;=$NS$91),IF($NP$91="Single_Point",IF(234=$NR$91,$NN$91,0),IF($NP$91="Bell_Curve",$NN$91*(234-$NR$91+1)*($NS$91-234+1)/$NU$91,$NN$91/$NT$91)),0)</f>
        <v/>
      </c>
      <c r="IE91" s="402">
        <f>IF(AND(235&gt;=$NR$91,235&lt;=$NS$91),IF($NP$91="Single_Point",IF(235=$NR$91,$NN$91,0),IF($NP$91="Bell_Curve",$NN$91*(235-$NR$91+1)*($NS$91-235+1)/$NU$91,$NN$91/$NT$91)),0)</f>
        <v/>
      </c>
      <c r="IF91" s="402">
        <f>IF(AND(236&gt;=$NR$91,236&lt;=$NS$91),IF($NP$91="Single_Point",IF(236=$NR$91,$NN$91,0),IF($NP$91="Bell_Curve",$NN$91*(236-$NR$91+1)*($NS$91-236+1)/$NU$91,$NN$91/$NT$91)),0)</f>
        <v/>
      </c>
      <c r="IG91" s="402">
        <f>IF(AND(237&gt;=$NR$91,237&lt;=$NS$91),IF($NP$91="Single_Point",IF(237=$NR$91,$NN$91,0),IF($NP$91="Bell_Curve",$NN$91*(237-$NR$91+1)*($NS$91-237+1)/$NU$91,$NN$91/$NT$91)),0)</f>
        <v/>
      </c>
      <c r="IH91" s="402">
        <f>IF(AND(238&gt;=$NR$91,238&lt;=$NS$91),IF($NP$91="Single_Point",IF(238=$NR$91,$NN$91,0),IF($NP$91="Bell_Curve",$NN$91*(238-$NR$91+1)*($NS$91-238+1)/$NU$91,$NN$91/$NT$91)),0)</f>
        <v/>
      </c>
      <c r="II91" s="402">
        <f>IF(AND(239&gt;=$NR$91,239&lt;=$NS$91),IF($NP$91="Single_Point",IF(239=$NR$91,$NN$91,0),IF($NP$91="Bell_Curve",$NN$91*(239-$NR$91+1)*($NS$91-239+1)/$NU$91,$NN$91/$NT$91)),0)</f>
        <v/>
      </c>
      <c r="IJ91" s="402">
        <f>IF(AND(240&gt;=$NR$91,240&lt;=$NS$91),IF($NP$91="Single_Point",IF(240=$NR$91,$NN$91,0),IF($NP$91="Bell_Curve",$NN$91*(240-$NR$91+1)*($NS$91-240+1)/$NU$91,$NN$91/$NT$91)),0)</f>
        <v/>
      </c>
      <c r="IK91" s="402">
        <f>IF(AND(241&gt;=$NR$91,241&lt;=$NS$91),IF($NP$91="Single_Point",IF(241=$NR$91,$NN$91,0),IF($NP$91="Bell_Curve",$NN$91*(241-$NR$91+1)*($NS$91-241+1)/$NU$91,$NN$91/$NT$91)),0)</f>
        <v/>
      </c>
      <c r="IL91" s="402">
        <f>IF(AND(242&gt;=$NR$91,242&lt;=$NS$91),IF($NP$91="Single_Point",IF(242=$NR$91,$NN$91,0),IF($NP$91="Bell_Curve",$NN$91*(242-$NR$91+1)*($NS$91-242+1)/$NU$91,$NN$91/$NT$91)),0)</f>
        <v/>
      </c>
      <c r="IM91" s="402">
        <f>IF(AND(243&gt;=$NR$91,243&lt;=$NS$91),IF($NP$91="Single_Point",IF(243=$NR$91,$NN$91,0),IF($NP$91="Bell_Curve",$NN$91*(243-$NR$91+1)*($NS$91-243+1)/$NU$91,$NN$91/$NT$91)),0)</f>
        <v/>
      </c>
      <c r="IN91" s="402">
        <f>IF(AND(244&gt;=$NR$91,244&lt;=$NS$91),IF($NP$91="Single_Point",IF(244=$NR$91,$NN$91,0),IF($NP$91="Bell_Curve",$NN$91*(244-$NR$91+1)*($NS$91-244+1)/$NU$91,$NN$91/$NT$91)),0)</f>
        <v/>
      </c>
      <c r="IO91" s="402">
        <f>IF(AND(245&gt;=$NR$91,245&lt;=$NS$91),IF($NP$91="Single_Point",IF(245=$NR$91,$NN$91,0),IF($NP$91="Bell_Curve",$NN$91*(245-$NR$91+1)*($NS$91-245+1)/$NU$91,$NN$91/$NT$91)),0)</f>
        <v/>
      </c>
      <c r="IP91" s="402">
        <f>IF(AND(246&gt;=$NR$91,246&lt;=$NS$91),IF($NP$91="Single_Point",IF(246=$NR$91,$NN$91,0),IF($NP$91="Bell_Curve",$NN$91*(246-$NR$91+1)*($NS$91-246+1)/$NU$91,$NN$91/$NT$91)),0)</f>
        <v/>
      </c>
      <c r="IQ91" s="402">
        <f>IF(AND(247&gt;=$NR$91,247&lt;=$NS$91),IF($NP$91="Single_Point",IF(247=$NR$91,$NN$91,0),IF($NP$91="Bell_Curve",$NN$91*(247-$NR$91+1)*($NS$91-247+1)/$NU$91,$NN$91/$NT$91)),0)</f>
        <v/>
      </c>
      <c r="IR91" s="402">
        <f>IF(AND(248&gt;=$NR$91,248&lt;=$NS$91),IF($NP$91="Single_Point",IF(248=$NR$91,$NN$91,0),IF($NP$91="Bell_Curve",$NN$91*(248-$NR$91+1)*($NS$91-248+1)/$NU$91,$NN$91/$NT$91)),0)</f>
        <v/>
      </c>
      <c r="IS91" s="402">
        <f>IF(AND(249&gt;=$NR$91,249&lt;=$NS$91),IF($NP$91="Single_Point",IF(249=$NR$91,$NN$91,0),IF($NP$91="Bell_Curve",$NN$91*(249-$NR$91+1)*($NS$91-249+1)/$NU$91,$NN$91/$NT$91)),0)</f>
        <v/>
      </c>
      <c r="IT91" s="402">
        <f>IF(AND(250&gt;=$NR$91,250&lt;=$NS$91),IF($NP$91="Single_Point",IF(250=$NR$91,$NN$91,0),IF($NP$91="Bell_Curve",$NN$91*(250-$NR$91+1)*($NS$91-250+1)/$NU$91,$NN$91/$NT$91)),0)</f>
        <v/>
      </c>
      <c r="IU91" s="402">
        <f>IF(AND(251&gt;=$NR$91,251&lt;=$NS$91),IF($NP$91="Single_Point",IF(251=$NR$91,$NN$91,0),IF($NP$91="Bell_Curve",$NN$91*(251-$NR$91+1)*($NS$91-251+1)/$NU$91,$NN$91/$NT$91)),0)</f>
        <v/>
      </c>
      <c r="IV91" s="402">
        <f>IF(AND(252&gt;=$NR$91,252&lt;=$NS$91),IF($NP$91="Single_Point",IF(252=$NR$91,$NN$91,0),IF($NP$91="Bell_Curve",$NN$91*(252-$NR$91+1)*($NS$91-252+1)/$NU$91,$NN$91/$NT$91)),0)</f>
        <v/>
      </c>
      <c r="IW91" s="402">
        <f>IF(AND(253&gt;=$NR$91,253&lt;=$NS$91),IF($NP$91="Single_Point",IF(253=$NR$91,$NN$91,0),IF($NP$91="Bell_Curve",$NN$91*(253-$NR$91+1)*($NS$91-253+1)/$NU$91,$NN$91/$NT$91)),0)</f>
        <v/>
      </c>
      <c r="IX91" s="402">
        <f>IF(AND(254&gt;=$NR$91,254&lt;=$NS$91),IF($NP$91="Single_Point",IF(254=$NR$91,$NN$91,0),IF($NP$91="Bell_Curve",$NN$91*(254-$NR$91+1)*($NS$91-254+1)/$NU$91,$NN$91/$NT$91)),0)</f>
        <v/>
      </c>
      <c r="IY91" s="402">
        <f>IF(AND(255&gt;=$NR$91,255&lt;=$NS$91),IF($NP$91="Single_Point",IF(255=$NR$91,$NN$91,0),IF($NP$91="Bell_Curve",$NN$91*(255-$NR$91+1)*($NS$91-255+1)/$NU$91,$NN$91/$NT$91)),0)</f>
        <v/>
      </c>
      <c r="IZ91" s="402">
        <f>IF(AND(256&gt;=$NR$91,256&lt;=$NS$91),IF($NP$91="Single_Point",IF(256=$NR$91,$NN$91,0),IF($NP$91="Bell_Curve",$NN$91*(256-$NR$91+1)*($NS$91-256+1)/$NU$91,$NN$91/$NT$91)),0)</f>
        <v/>
      </c>
      <c r="JA91" s="402">
        <f>IF(AND(257&gt;=$NR$91,257&lt;=$NS$91),IF($NP$91="Single_Point",IF(257=$NR$91,$NN$91,0),IF($NP$91="Bell_Curve",$NN$91*(257-$NR$91+1)*($NS$91-257+1)/$NU$91,$NN$91/$NT$91)),0)</f>
        <v/>
      </c>
      <c r="JB91" s="402">
        <f>IF(AND(258&gt;=$NR$91,258&lt;=$NS$91),IF($NP$91="Single_Point",IF(258=$NR$91,$NN$91,0),IF($NP$91="Bell_Curve",$NN$91*(258-$NR$91+1)*($NS$91-258+1)/$NU$91,$NN$91/$NT$91)),0)</f>
        <v/>
      </c>
      <c r="JC91" s="402">
        <f>IF(AND(259&gt;=$NR$91,259&lt;=$NS$91),IF($NP$91="Single_Point",IF(259=$NR$91,$NN$91,0),IF($NP$91="Bell_Curve",$NN$91*(259-$NR$91+1)*($NS$91-259+1)/$NU$91,$NN$91/$NT$91)),0)</f>
        <v/>
      </c>
      <c r="JD91" s="402">
        <f>IF(AND(260&gt;=$NR$91,260&lt;=$NS$91),IF($NP$91="Single_Point",IF(260=$NR$91,$NN$91,0),IF($NP$91="Bell_Curve",$NN$91*(260-$NR$91+1)*($NS$91-260+1)/$NU$91,$NN$91/$NT$91)),0)</f>
        <v/>
      </c>
      <c r="JE91" s="402">
        <f>IF(AND(261&gt;=$NR$91,261&lt;=$NS$91),IF($NP$91="Single_Point",IF(261=$NR$91,$NN$91,0),IF($NP$91="Bell_Curve",$NN$91*(261-$NR$91+1)*($NS$91-261+1)/$NU$91,$NN$91/$NT$91)),0)</f>
        <v/>
      </c>
      <c r="JF91" s="402">
        <f>IF(AND(262&gt;=$NR$91,262&lt;=$NS$91),IF($NP$91="Single_Point",IF(262=$NR$91,$NN$91,0),IF($NP$91="Bell_Curve",$NN$91*(262-$NR$91+1)*($NS$91-262+1)/$NU$91,$NN$91/$NT$91)),0)</f>
        <v/>
      </c>
      <c r="JG91" s="402">
        <f>IF(AND(263&gt;=$NR$91,263&lt;=$NS$91),IF($NP$91="Single_Point",IF(263=$NR$91,$NN$91,0),IF($NP$91="Bell_Curve",$NN$91*(263-$NR$91+1)*($NS$91-263+1)/$NU$91,$NN$91/$NT$91)),0)</f>
        <v/>
      </c>
      <c r="JH91" s="402">
        <f>IF(AND(264&gt;=$NR$91,264&lt;=$NS$91),IF($NP$91="Single_Point",IF(264=$NR$91,$NN$91,0),IF($NP$91="Bell_Curve",$NN$91*(264-$NR$91+1)*($NS$91-264+1)/$NU$91,$NN$91/$NT$91)),0)</f>
        <v/>
      </c>
      <c r="JI91" s="402">
        <f>IF(AND(265&gt;=$NR$91,265&lt;=$NS$91),IF($NP$91="Single_Point",IF(265=$NR$91,$NN$91,0),IF($NP$91="Bell_Curve",$NN$91*(265-$NR$91+1)*($NS$91-265+1)/$NU$91,$NN$91/$NT$91)),0)</f>
        <v/>
      </c>
      <c r="JJ91" s="402">
        <f>IF(AND(266&gt;=$NR$91,266&lt;=$NS$91),IF($NP$91="Single_Point",IF(266=$NR$91,$NN$91,0),IF($NP$91="Bell_Curve",$NN$91*(266-$NR$91+1)*($NS$91-266+1)/$NU$91,$NN$91/$NT$91)),0)</f>
        <v/>
      </c>
      <c r="JK91" s="402">
        <f>IF(AND(267&gt;=$NR$91,267&lt;=$NS$91),IF($NP$91="Single_Point",IF(267=$NR$91,$NN$91,0),IF($NP$91="Bell_Curve",$NN$91*(267-$NR$91+1)*($NS$91-267+1)/$NU$91,$NN$91/$NT$91)),0)</f>
        <v/>
      </c>
      <c r="JL91" s="402">
        <f>IF(AND(268&gt;=$NR$91,268&lt;=$NS$91),IF($NP$91="Single_Point",IF(268=$NR$91,$NN$91,0),IF($NP$91="Bell_Curve",$NN$91*(268-$NR$91+1)*($NS$91-268+1)/$NU$91,$NN$91/$NT$91)),0)</f>
        <v/>
      </c>
      <c r="JM91" s="402">
        <f>IF(AND(269&gt;=$NR$91,269&lt;=$NS$91),IF($NP$91="Single_Point",IF(269=$NR$91,$NN$91,0),IF($NP$91="Bell_Curve",$NN$91*(269-$NR$91+1)*($NS$91-269+1)/$NU$91,$NN$91/$NT$91)),0)</f>
        <v/>
      </c>
      <c r="JN91" s="402">
        <f>IF(AND(270&gt;=$NR$91,270&lt;=$NS$91),IF($NP$91="Single_Point",IF(270=$NR$91,$NN$91,0),IF($NP$91="Bell_Curve",$NN$91*(270-$NR$91+1)*($NS$91-270+1)/$NU$91,$NN$91/$NT$91)),0)</f>
        <v/>
      </c>
      <c r="JO91" s="402">
        <f>IF(AND(271&gt;=$NR$91,271&lt;=$NS$91),IF($NP$91="Single_Point",IF(271=$NR$91,$NN$91,0),IF($NP$91="Bell_Curve",$NN$91*(271-$NR$91+1)*($NS$91-271+1)/$NU$91,$NN$91/$NT$91)),0)</f>
        <v/>
      </c>
      <c r="JP91" s="402">
        <f>IF(AND(272&gt;=$NR$91,272&lt;=$NS$91),IF($NP$91="Single_Point",IF(272=$NR$91,$NN$91,0),IF($NP$91="Bell_Curve",$NN$91*(272-$NR$91+1)*($NS$91-272+1)/$NU$91,$NN$91/$NT$91)),0)</f>
        <v/>
      </c>
      <c r="JQ91" s="402">
        <f>IF(AND(273&gt;=$NR$91,273&lt;=$NS$91),IF($NP$91="Single_Point",IF(273=$NR$91,$NN$91,0),IF($NP$91="Bell_Curve",$NN$91*(273-$NR$91+1)*($NS$91-273+1)/$NU$91,$NN$91/$NT$91)),0)</f>
        <v/>
      </c>
      <c r="JR91" s="402">
        <f>IF(AND(274&gt;=$NR$91,274&lt;=$NS$91),IF($NP$91="Single_Point",IF(274=$NR$91,$NN$91,0),IF($NP$91="Bell_Curve",$NN$91*(274-$NR$91+1)*($NS$91-274+1)/$NU$91,$NN$91/$NT$91)),0)</f>
        <v/>
      </c>
      <c r="JS91" s="402">
        <f>IF(AND(275&gt;=$NR$91,275&lt;=$NS$91),IF($NP$91="Single_Point",IF(275=$NR$91,$NN$91,0),IF($NP$91="Bell_Curve",$NN$91*(275-$NR$91+1)*($NS$91-275+1)/$NU$91,$NN$91/$NT$91)),0)</f>
        <v/>
      </c>
      <c r="JT91" s="402">
        <f>IF(AND(276&gt;=$NR$91,276&lt;=$NS$91),IF($NP$91="Single_Point",IF(276=$NR$91,$NN$91,0),IF($NP$91="Bell_Curve",$NN$91*(276-$NR$91+1)*($NS$91-276+1)/$NU$91,$NN$91/$NT$91)),0)</f>
        <v/>
      </c>
      <c r="JU91" s="402">
        <f>IF(AND(277&gt;=$NR$91,277&lt;=$NS$91),IF($NP$91="Single_Point",IF(277=$NR$91,$NN$91,0),IF($NP$91="Bell_Curve",$NN$91*(277-$NR$91+1)*($NS$91-277+1)/$NU$91,$NN$91/$NT$91)),0)</f>
        <v/>
      </c>
      <c r="JV91" s="402">
        <f>IF(AND(278&gt;=$NR$91,278&lt;=$NS$91),IF($NP$91="Single_Point",IF(278=$NR$91,$NN$91,0),IF($NP$91="Bell_Curve",$NN$91*(278-$NR$91+1)*($NS$91-278+1)/$NU$91,$NN$91/$NT$91)),0)</f>
        <v/>
      </c>
      <c r="JW91" s="402">
        <f>IF(AND(279&gt;=$NR$91,279&lt;=$NS$91),IF($NP$91="Single_Point",IF(279=$NR$91,$NN$91,0),IF($NP$91="Bell_Curve",$NN$91*(279-$NR$91+1)*($NS$91-279+1)/$NU$91,$NN$91/$NT$91)),0)</f>
        <v/>
      </c>
      <c r="JX91" s="402">
        <f>IF(AND(280&gt;=$NR$91,280&lt;=$NS$91),IF($NP$91="Single_Point",IF(280=$NR$91,$NN$91,0),IF($NP$91="Bell_Curve",$NN$91*(280-$NR$91+1)*($NS$91-280+1)/$NU$91,$NN$91/$NT$91)),0)</f>
        <v/>
      </c>
      <c r="JY91" s="402">
        <f>IF(AND(281&gt;=$NR$91,281&lt;=$NS$91),IF($NP$91="Single_Point",IF(281=$NR$91,$NN$91,0),IF($NP$91="Bell_Curve",$NN$91*(281-$NR$91+1)*($NS$91-281+1)/$NU$91,$NN$91/$NT$91)),0)</f>
        <v/>
      </c>
      <c r="JZ91" s="402">
        <f>IF(AND(282&gt;=$NR$91,282&lt;=$NS$91),IF($NP$91="Single_Point",IF(282=$NR$91,$NN$91,0),IF($NP$91="Bell_Curve",$NN$91*(282-$NR$91+1)*($NS$91-282+1)/$NU$91,$NN$91/$NT$91)),0)</f>
        <v/>
      </c>
      <c r="KA91" s="402">
        <f>IF(AND(283&gt;=$NR$91,283&lt;=$NS$91),IF($NP$91="Single_Point",IF(283=$NR$91,$NN$91,0),IF($NP$91="Bell_Curve",$NN$91*(283-$NR$91+1)*($NS$91-283+1)/$NU$91,$NN$91/$NT$91)),0)</f>
        <v/>
      </c>
      <c r="KB91" s="402">
        <f>IF(AND(284&gt;=$NR$91,284&lt;=$NS$91),IF($NP$91="Single_Point",IF(284=$NR$91,$NN$91,0),IF($NP$91="Bell_Curve",$NN$91*(284-$NR$91+1)*($NS$91-284+1)/$NU$91,$NN$91/$NT$91)),0)</f>
        <v/>
      </c>
      <c r="KC91" s="402">
        <f>IF(AND(285&gt;=$NR$91,285&lt;=$NS$91),IF($NP$91="Single_Point",IF(285=$NR$91,$NN$91,0),IF($NP$91="Bell_Curve",$NN$91*(285-$NR$91+1)*($NS$91-285+1)/$NU$91,$NN$91/$NT$91)),0)</f>
        <v/>
      </c>
      <c r="KD91" s="402">
        <f>IF(AND(286&gt;=$NR$91,286&lt;=$NS$91),IF($NP$91="Single_Point",IF(286=$NR$91,$NN$91,0),IF($NP$91="Bell_Curve",$NN$91*(286-$NR$91+1)*($NS$91-286+1)/$NU$91,$NN$91/$NT$91)),0)</f>
        <v/>
      </c>
      <c r="KE91" s="402">
        <f>IF(AND(287&gt;=$NR$91,287&lt;=$NS$91),IF($NP$91="Single_Point",IF(287=$NR$91,$NN$91,0),IF($NP$91="Bell_Curve",$NN$91*(287-$NR$91+1)*($NS$91-287+1)/$NU$91,$NN$91/$NT$91)),0)</f>
        <v/>
      </c>
      <c r="KF91" s="402">
        <f>IF(AND(288&gt;=$NR$91,288&lt;=$NS$91),IF($NP$91="Single_Point",IF(288=$NR$91,$NN$91,0),IF($NP$91="Bell_Curve",$NN$91*(288-$NR$91+1)*($NS$91-288+1)/$NU$91,$NN$91/$NT$91)),0)</f>
        <v/>
      </c>
      <c r="KG91" s="402">
        <f>IF(AND(289&gt;=$NR$91,289&lt;=$NS$91),IF($NP$91="Single_Point",IF(289=$NR$91,$NN$91,0),IF($NP$91="Bell_Curve",$NN$91*(289-$NR$91+1)*($NS$91-289+1)/$NU$91,$NN$91/$NT$91)),0)</f>
        <v/>
      </c>
      <c r="KH91" s="402">
        <f>IF(AND(290&gt;=$NR$91,290&lt;=$NS$91),IF($NP$91="Single_Point",IF(290=$NR$91,$NN$91,0),IF($NP$91="Bell_Curve",$NN$91*(290-$NR$91+1)*($NS$91-290+1)/$NU$91,$NN$91/$NT$91)),0)</f>
        <v/>
      </c>
      <c r="KI91" s="402">
        <f>IF(AND(291&gt;=$NR$91,291&lt;=$NS$91),IF($NP$91="Single_Point",IF(291=$NR$91,$NN$91,0),IF($NP$91="Bell_Curve",$NN$91*(291-$NR$91+1)*($NS$91-291+1)/$NU$91,$NN$91/$NT$91)),0)</f>
        <v/>
      </c>
      <c r="KJ91" s="402">
        <f>IF(AND(292&gt;=$NR$91,292&lt;=$NS$91),IF($NP$91="Single_Point",IF(292=$NR$91,$NN$91,0),IF($NP$91="Bell_Curve",$NN$91*(292-$NR$91+1)*($NS$91-292+1)/$NU$91,$NN$91/$NT$91)),0)</f>
        <v/>
      </c>
      <c r="KK91" s="402">
        <f>IF(AND(293&gt;=$NR$91,293&lt;=$NS$91),IF($NP$91="Single_Point",IF(293=$NR$91,$NN$91,0),IF($NP$91="Bell_Curve",$NN$91*(293-$NR$91+1)*($NS$91-293+1)/$NU$91,$NN$91/$NT$91)),0)</f>
        <v/>
      </c>
      <c r="KL91" s="402">
        <f>IF(AND(294&gt;=$NR$91,294&lt;=$NS$91),IF($NP$91="Single_Point",IF(294=$NR$91,$NN$91,0),IF($NP$91="Bell_Curve",$NN$91*(294-$NR$91+1)*($NS$91-294+1)/$NU$91,$NN$91/$NT$91)),0)</f>
        <v/>
      </c>
      <c r="KM91" s="402">
        <f>IF(AND(295&gt;=$NR$91,295&lt;=$NS$91),IF($NP$91="Single_Point",IF(295=$NR$91,$NN$91,0),IF($NP$91="Bell_Curve",$NN$91*(295-$NR$91+1)*($NS$91-295+1)/$NU$91,$NN$91/$NT$91)),0)</f>
        <v/>
      </c>
      <c r="KN91" s="402">
        <f>IF(AND(296&gt;=$NR$91,296&lt;=$NS$91),IF($NP$91="Single_Point",IF(296=$NR$91,$NN$91,0),IF($NP$91="Bell_Curve",$NN$91*(296-$NR$91+1)*($NS$91-296+1)/$NU$91,$NN$91/$NT$91)),0)</f>
        <v/>
      </c>
      <c r="KO91" s="402">
        <f>IF(AND(297&gt;=$NR$91,297&lt;=$NS$91),IF($NP$91="Single_Point",IF(297=$NR$91,$NN$91,0),IF($NP$91="Bell_Curve",$NN$91*(297-$NR$91+1)*($NS$91-297+1)/$NU$91,$NN$91/$NT$91)),0)</f>
        <v/>
      </c>
      <c r="KP91" s="402">
        <f>IF(AND(298&gt;=$NR$91,298&lt;=$NS$91),IF($NP$91="Single_Point",IF(298=$NR$91,$NN$91,0),IF($NP$91="Bell_Curve",$NN$91*(298-$NR$91+1)*($NS$91-298+1)/$NU$91,$NN$91/$NT$91)),0)</f>
        <v/>
      </c>
      <c r="KQ91" s="402">
        <f>IF(AND(299&gt;=$NR$91,299&lt;=$NS$91),IF($NP$91="Single_Point",IF(299=$NR$91,$NN$91,0),IF($NP$91="Bell_Curve",$NN$91*(299-$NR$91+1)*($NS$91-299+1)/$NU$91,$NN$91/$NT$91)),0)</f>
        <v/>
      </c>
      <c r="KR91" s="402">
        <f>IF(AND(300&gt;=$NR$91,300&lt;=$NS$91),IF($NP$91="Single_Point",IF(300=$NR$91,$NN$91,0),IF($NP$91="Bell_Curve",$NN$91*(300-$NR$91+1)*($NS$91-300+1)/$NU$91,$NN$91/$NT$91)),0)</f>
        <v/>
      </c>
      <c r="KS91" s="402">
        <f>IF(AND(301&gt;=$NR$91,301&lt;=$NS$91),IF($NP$91="Single_Point",IF(301=$NR$91,$NN$91,0),IF($NP$91="Bell_Curve",$NN$91*(301-$NR$91+1)*($NS$91-301+1)/$NU$91,$NN$91/$NT$91)),0)</f>
        <v/>
      </c>
      <c r="KT91" s="402">
        <f>IF(AND(302&gt;=$NR$91,302&lt;=$NS$91),IF($NP$91="Single_Point",IF(302=$NR$91,$NN$91,0),IF($NP$91="Bell_Curve",$NN$91*(302-$NR$91+1)*($NS$91-302+1)/$NU$91,$NN$91/$NT$91)),0)</f>
        <v/>
      </c>
      <c r="KU91" s="402">
        <f>IF(AND(303&gt;=$NR$91,303&lt;=$NS$91),IF($NP$91="Single_Point",IF(303=$NR$91,$NN$91,0),IF($NP$91="Bell_Curve",$NN$91*(303-$NR$91+1)*($NS$91-303+1)/$NU$91,$NN$91/$NT$91)),0)</f>
        <v/>
      </c>
      <c r="KV91" s="402">
        <f>IF(AND(304&gt;=$NR$91,304&lt;=$NS$91),IF($NP$91="Single_Point",IF(304=$NR$91,$NN$91,0),IF($NP$91="Bell_Curve",$NN$91*(304-$NR$91+1)*($NS$91-304+1)/$NU$91,$NN$91/$NT$91)),0)</f>
        <v/>
      </c>
      <c r="KW91" s="402">
        <f>IF(AND(305&gt;=$NR$91,305&lt;=$NS$91),IF($NP$91="Single_Point",IF(305=$NR$91,$NN$91,0),IF($NP$91="Bell_Curve",$NN$91*(305-$NR$91+1)*($NS$91-305+1)/$NU$91,$NN$91/$NT$91)),0)</f>
        <v/>
      </c>
      <c r="KX91" s="402">
        <f>IF(AND(306&gt;=$NR$91,306&lt;=$NS$91),IF($NP$91="Single_Point",IF(306=$NR$91,$NN$91,0),IF($NP$91="Bell_Curve",$NN$91*(306-$NR$91+1)*($NS$91-306+1)/$NU$91,$NN$91/$NT$91)),0)</f>
        <v/>
      </c>
      <c r="KY91" s="402">
        <f>IF(AND(307&gt;=$NR$91,307&lt;=$NS$91),IF($NP$91="Single_Point",IF(307=$NR$91,$NN$91,0),IF($NP$91="Bell_Curve",$NN$91*(307-$NR$91+1)*($NS$91-307+1)/$NU$91,$NN$91/$NT$91)),0)</f>
        <v/>
      </c>
      <c r="KZ91" s="402">
        <f>IF(AND(308&gt;=$NR$91,308&lt;=$NS$91),IF($NP$91="Single_Point",IF(308=$NR$91,$NN$91,0),IF($NP$91="Bell_Curve",$NN$91*(308-$NR$91+1)*($NS$91-308+1)/$NU$91,$NN$91/$NT$91)),0)</f>
        <v/>
      </c>
      <c r="LA91" s="402">
        <f>IF(AND(309&gt;=$NR$91,309&lt;=$NS$91),IF($NP$91="Single_Point",IF(309=$NR$91,$NN$91,0),IF($NP$91="Bell_Curve",$NN$91*(309-$NR$91+1)*($NS$91-309+1)/$NU$91,$NN$91/$NT$91)),0)</f>
        <v/>
      </c>
      <c r="LB91" s="402">
        <f>IF(AND(310&gt;=$NR$91,310&lt;=$NS$91),IF($NP$91="Single_Point",IF(310=$NR$91,$NN$91,0),IF($NP$91="Bell_Curve",$NN$91*(310-$NR$91+1)*($NS$91-310+1)/$NU$91,$NN$91/$NT$91)),0)</f>
        <v/>
      </c>
      <c r="LC91" s="402">
        <f>IF(AND(311&gt;=$NR$91,311&lt;=$NS$91),IF($NP$91="Single_Point",IF(311=$NR$91,$NN$91,0),IF($NP$91="Bell_Curve",$NN$91*(311-$NR$91+1)*($NS$91-311+1)/$NU$91,$NN$91/$NT$91)),0)</f>
        <v/>
      </c>
      <c r="LD91" s="402">
        <f>IF(AND(312&gt;=$NR$91,312&lt;=$NS$91),IF($NP$91="Single_Point",IF(312=$NR$91,$NN$91,0),IF($NP$91="Bell_Curve",$NN$91*(312-$NR$91+1)*($NS$91-312+1)/$NU$91,$NN$91/$NT$91)),0)</f>
        <v/>
      </c>
      <c r="LE91" s="402">
        <f>IF(AND(313&gt;=$NR$91,313&lt;=$NS$91),IF($NP$91="Single_Point",IF(313=$NR$91,$NN$91,0),IF($NP$91="Bell_Curve",$NN$91*(313-$NR$91+1)*($NS$91-313+1)/$NU$91,$NN$91/$NT$91)),0)</f>
        <v/>
      </c>
      <c r="LF91" s="402">
        <f>IF(AND(314&gt;=$NR$91,314&lt;=$NS$91),IF($NP$91="Single_Point",IF(314=$NR$91,$NN$91,0),IF($NP$91="Bell_Curve",$NN$91*(314-$NR$91+1)*($NS$91-314+1)/$NU$91,$NN$91/$NT$91)),0)</f>
        <v/>
      </c>
      <c r="LG91" s="402">
        <f>IF(AND(315&gt;=$NR$91,315&lt;=$NS$91),IF($NP$91="Single_Point",IF(315=$NR$91,$NN$91,0),IF($NP$91="Bell_Curve",$NN$91*(315-$NR$91+1)*($NS$91-315+1)/$NU$91,$NN$91/$NT$91)),0)</f>
        <v/>
      </c>
      <c r="LH91" s="402">
        <f>IF(AND(316&gt;=$NR$91,316&lt;=$NS$91),IF($NP$91="Single_Point",IF(316=$NR$91,$NN$91,0),IF($NP$91="Bell_Curve",$NN$91*(316-$NR$91+1)*($NS$91-316+1)/$NU$91,$NN$91/$NT$91)),0)</f>
        <v/>
      </c>
      <c r="LI91" s="402">
        <f>IF(AND(317&gt;=$NR$91,317&lt;=$NS$91),IF($NP$91="Single_Point",IF(317=$NR$91,$NN$91,0),IF($NP$91="Bell_Curve",$NN$91*(317-$NR$91+1)*($NS$91-317+1)/$NU$91,$NN$91/$NT$91)),0)</f>
        <v/>
      </c>
      <c r="LJ91" s="402">
        <f>IF(AND(318&gt;=$NR$91,318&lt;=$NS$91),IF($NP$91="Single_Point",IF(318=$NR$91,$NN$91,0),IF($NP$91="Bell_Curve",$NN$91*(318-$NR$91+1)*($NS$91-318+1)/$NU$91,$NN$91/$NT$91)),0)</f>
        <v/>
      </c>
      <c r="LK91" s="402">
        <f>IF(AND(319&gt;=$NR$91,319&lt;=$NS$91),IF($NP$91="Single_Point",IF(319=$NR$91,$NN$91,0),IF($NP$91="Bell_Curve",$NN$91*(319-$NR$91+1)*($NS$91-319+1)/$NU$91,$NN$91/$NT$91)),0)</f>
        <v/>
      </c>
      <c r="LL91" s="402">
        <f>IF(AND(320&gt;=$NR$91,320&lt;=$NS$91),IF($NP$91="Single_Point",IF(320=$NR$91,$NN$91,0),IF($NP$91="Bell_Curve",$NN$91*(320-$NR$91+1)*($NS$91-320+1)/$NU$91,$NN$91/$NT$91)),0)</f>
        <v/>
      </c>
      <c r="LM91" s="402">
        <f>IF(AND(321&gt;=$NR$91,321&lt;=$NS$91),IF($NP$91="Single_Point",IF(321=$NR$91,$NN$91,0),IF($NP$91="Bell_Curve",$NN$91*(321-$NR$91+1)*($NS$91-321+1)/$NU$91,$NN$91/$NT$91)),0)</f>
        <v/>
      </c>
      <c r="LN91" s="402">
        <f>IF(AND(322&gt;=$NR$91,322&lt;=$NS$91),IF($NP$91="Single_Point",IF(322=$NR$91,$NN$91,0),IF($NP$91="Bell_Curve",$NN$91*(322-$NR$91+1)*($NS$91-322+1)/$NU$91,$NN$91/$NT$91)),0)</f>
        <v/>
      </c>
      <c r="LO91" s="402">
        <f>IF(AND(323&gt;=$NR$91,323&lt;=$NS$91),IF($NP$91="Single_Point",IF(323=$NR$91,$NN$91,0),IF($NP$91="Bell_Curve",$NN$91*(323-$NR$91+1)*($NS$91-323+1)/$NU$91,$NN$91/$NT$91)),0)</f>
        <v/>
      </c>
      <c r="LP91" s="402">
        <f>IF(AND(324&gt;=$NR$91,324&lt;=$NS$91),IF($NP$91="Single_Point",IF(324=$NR$91,$NN$91,0),IF($NP$91="Bell_Curve",$NN$91*(324-$NR$91+1)*($NS$91-324+1)/$NU$91,$NN$91/$NT$91)),0)</f>
        <v/>
      </c>
      <c r="LQ91" s="402">
        <f>IF(AND(325&gt;=$NR$91,325&lt;=$NS$91),IF($NP$91="Single_Point",IF(325=$NR$91,$NN$91,0),IF($NP$91="Bell_Curve",$NN$91*(325-$NR$91+1)*($NS$91-325+1)/$NU$91,$NN$91/$NT$91)),0)</f>
        <v/>
      </c>
      <c r="LR91" s="402">
        <f>IF(AND(326&gt;=$NR$91,326&lt;=$NS$91),IF($NP$91="Single_Point",IF(326=$NR$91,$NN$91,0),IF($NP$91="Bell_Curve",$NN$91*(326-$NR$91+1)*($NS$91-326+1)/$NU$91,$NN$91/$NT$91)),0)</f>
        <v/>
      </c>
      <c r="LS91" s="402">
        <f>IF(AND(327&gt;=$NR$91,327&lt;=$NS$91),IF($NP$91="Single_Point",IF(327=$NR$91,$NN$91,0),IF($NP$91="Bell_Curve",$NN$91*(327-$NR$91+1)*($NS$91-327+1)/$NU$91,$NN$91/$NT$91)),0)</f>
        <v/>
      </c>
      <c r="LT91" s="402">
        <f>IF(AND(328&gt;=$NR$91,328&lt;=$NS$91),IF($NP$91="Single_Point",IF(328=$NR$91,$NN$91,0),IF($NP$91="Bell_Curve",$NN$91*(328-$NR$91+1)*($NS$91-328+1)/$NU$91,$NN$91/$NT$91)),0)</f>
        <v/>
      </c>
      <c r="LU91" s="402">
        <f>IF(AND(329&gt;=$NR$91,329&lt;=$NS$91),IF($NP$91="Single_Point",IF(329=$NR$91,$NN$91,0),IF($NP$91="Bell_Curve",$NN$91*(329-$NR$91+1)*($NS$91-329+1)/$NU$91,$NN$91/$NT$91)),0)</f>
        <v/>
      </c>
      <c r="LV91" s="402">
        <f>IF(AND(330&gt;=$NR$91,330&lt;=$NS$91),IF($NP$91="Single_Point",IF(330=$NR$91,$NN$91,0),IF($NP$91="Bell_Curve",$NN$91*(330-$NR$91+1)*($NS$91-330+1)/$NU$91,$NN$91/$NT$91)),0)</f>
        <v/>
      </c>
      <c r="LW91" s="402">
        <f>IF(AND(331&gt;=$NR$91,331&lt;=$NS$91),IF($NP$91="Single_Point",IF(331=$NR$91,$NN$91,0),IF($NP$91="Bell_Curve",$NN$91*(331-$NR$91+1)*($NS$91-331+1)/$NU$91,$NN$91/$NT$91)),0)</f>
        <v/>
      </c>
      <c r="LX91" s="402">
        <f>IF(AND(332&gt;=$NR$91,332&lt;=$NS$91),IF($NP$91="Single_Point",IF(332=$NR$91,$NN$91,0),IF($NP$91="Bell_Curve",$NN$91*(332-$NR$91+1)*($NS$91-332+1)/$NU$91,$NN$91/$NT$91)),0)</f>
        <v/>
      </c>
      <c r="LY91" s="402">
        <f>IF(AND(333&gt;=$NR$91,333&lt;=$NS$91),IF($NP$91="Single_Point",IF(333=$NR$91,$NN$91,0),IF($NP$91="Bell_Curve",$NN$91*(333-$NR$91+1)*($NS$91-333+1)/$NU$91,$NN$91/$NT$91)),0)</f>
        <v/>
      </c>
      <c r="LZ91" s="402">
        <f>IF(AND(334&gt;=$NR$91,334&lt;=$NS$91),IF($NP$91="Single_Point",IF(334=$NR$91,$NN$91,0),IF($NP$91="Bell_Curve",$NN$91*(334-$NR$91+1)*($NS$91-334+1)/$NU$91,$NN$91/$NT$91)),0)</f>
        <v/>
      </c>
      <c r="MA91" s="402">
        <f>IF(AND(335&gt;=$NR$91,335&lt;=$NS$91),IF($NP$91="Single_Point",IF(335=$NR$91,$NN$91,0),IF($NP$91="Bell_Curve",$NN$91*(335-$NR$91+1)*($NS$91-335+1)/$NU$91,$NN$91/$NT$91)),0)</f>
        <v/>
      </c>
      <c r="MB91" s="402">
        <f>IF(AND(336&gt;=$NR$91,336&lt;=$NS$91),IF($NP$91="Single_Point",IF(336=$NR$91,$NN$91,0),IF($NP$91="Bell_Curve",$NN$91*(336-$NR$91+1)*($NS$91-336+1)/$NU$91,$NN$91/$NT$91)),0)</f>
        <v/>
      </c>
      <c r="MC91" s="402">
        <f>IF(AND(337&gt;=$NR$91,337&lt;=$NS$91),IF($NP$91="Single_Point",IF(337=$NR$91,$NN$91,0),IF($NP$91="Bell_Curve",$NN$91*(337-$NR$91+1)*($NS$91-337+1)/$NU$91,$NN$91/$NT$91)),0)</f>
        <v/>
      </c>
      <c r="MD91" s="402">
        <f>IF(AND(338&gt;=$NR$91,338&lt;=$NS$91),IF($NP$91="Single_Point",IF(338=$NR$91,$NN$91,0),IF($NP$91="Bell_Curve",$NN$91*(338-$NR$91+1)*($NS$91-338+1)/$NU$91,$NN$91/$NT$91)),0)</f>
        <v/>
      </c>
      <c r="ME91" s="402">
        <f>IF(AND(339&gt;=$NR$91,339&lt;=$NS$91),IF($NP$91="Single_Point",IF(339=$NR$91,$NN$91,0),IF($NP$91="Bell_Curve",$NN$91*(339-$NR$91+1)*($NS$91-339+1)/$NU$91,$NN$91/$NT$91)),0)</f>
        <v/>
      </c>
      <c r="MF91" s="402">
        <f>IF(AND(340&gt;=$NR$91,340&lt;=$NS$91),IF($NP$91="Single_Point",IF(340=$NR$91,$NN$91,0),IF($NP$91="Bell_Curve",$NN$91*(340-$NR$91+1)*($NS$91-340+1)/$NU$91,$NN$91/$NT$91)),0)</f>
        <v/>
      </c>
      <c r="MG91" s="402">
        <f>IF(AND(341&gt;=$NR$91,341&lt;=$NS$91),IF($NP$91="Single_Point",IF(341=$NR$91,$NN$91,0),IF($NP$91="Bell_Curve",$NN$91*(341-$NR$91+1)*($NS$91-341+1)/$NU$91,$NN$91/$NT$91)),0)</f>
        <v/>
      </c>
      <c r="MH91" s="402">
        <f>IF(AND(342&gt;=$NR$91,342&lt;=$NS$91),IF($NP$91="Single_Point",IF(342=$NR$91,$NN$91,0),IF($NP$91="Bell_Curve",$NN$91*(342-$NR$91+1)*($NS$91-342+1)/$NU$91,$NN$91/$NT$91)),0)</f>
        <v/>
      </c>
      <c r="MI91" s="402">
        <f>IF(AND(343&gt;=$NR$91,343&lt;=$NS$91),IF($NP$91="Single_Point",IF(343=$NR$91,$NN$91,0),IF($NP$91="Bell_Curve",$NN$91*(343-$NR$91+1)*($NS$91-343+1)/$NU$91,$NN$91/$NT$91)),0)</f>
        <v/>
      </c>
      <c r="MJ91" s="402">
        <f>IF(AND(344&gt;=$NR$91,344&lt;=$NS$91),IF($NP$91="Single_Point",IF(344=$NR$91,$NN$91,0),IF($NP$91="Bell_Curve",$NN$91*(344-$NR$91+1)*($NS$91-344+1)/$NU$91,$NN$91/$NT$91)),0)</f>
        <v/>
      </c>
      <c r="MK91" s="402">
        <f>IF(AND(345&gt;=$NR$91,345&lt;=$NS$91),IF($NP$91="Single_Point",IF(345=$NR$91,$NN$91,0),IF($NP$91="Bell_Curve",$NN$91*(345-$NR$91+1)*($NS$91-345+1)/$NU$91,$NN$91/$NT$91)),0)</f>
        <v/>
      </c>
      <c r="ML91" s="402">
        <f>IF(AND(346&gt;=$NR$91,346&lt;=$NS$91),IF($NP$91="Single_Point",IF(346=$NR$91,$NN$91,0),IF($NP$91="Bell_Curve",$NN$91*(346-$NR$91+1)*($NS$91-346+1)/$NU$91,$NN$91/$NT$91)),0)</f>
        <v/>
      </c>
      <c r="MM91" s="402">
        <f>IF(AND(347&gt;=$NR$91,347&lt;=$NS$91),IF($NP$91="Single_Point",IF(347=$NR$91,$NN$91,0),IF($NP$91="Bell_Curve",$NN$91*(347-$NR$91+1)*($NS$91-347+1)/$NU$91,$NN$91/$NT$91)),0)</f>
        <v/>
      </c>
      <c r="MN91" s="402">
        <f>IF(AND(348&gt;=$NR$91,348&lt;=$NS$91),IF($NP$91="Single_Point",IF(348=$NR$91,$NN$91,0),IF($NP$91="Bell_Curve",$NN$91*(348-$NR$91+1)*($NS$91-348+1)/$NU$91,$NN$91/$NT$91)),0)</f>
        <v/>
      </c>
      <c r="MO91" s="402">
        <f>IF(AND(349&gt;=$NR$91,349&lt;=$NS$91),IF($NP$91="Single_Point",IF(349=$NR$91,$NN$91,0),IF($NP$91="Bell_Curve",$NN$91*(349-$NR$91+1)*($NS$91-349+1)/$NU$91,$NN$91/$NT$91)),0)</f>
        <v/>
      </c>
      <c r="MP91" s="402">
        <f>IF(AND(350&gt;=$NR$91,350&lt;=$NS$91),IF($NP$91="Single_Point",IF(350=$NR$91,$NN$91,0),IF($NP$91="Bell_Curve",$NN$91*(350-$NR$91+1)*($NS$91-350+1)/$NU$91,$NN$91/$NT$91)),0)</f>
        <v/>
      </c>
      <c r="MQ91" s="402">
        <f>IF(AND(351&gt;=$NR$91,351&lt;=$NS$91),IF($NP$91="Single_Point",IF(351=$NR$91,$NN$91,0),IF($NP$91="Bell_Curve",$NN$91*(351-$NR$91+1)*($NS$91-351+1)/$NU$91,$NN$91/$NT$91)),0)</f>
        <v/>
      </c>
      <c r="MR91" s="402">
        <f>IF(AND(352&gt;=$NR$91,352&lt;=$NS$91),IF($NP$91="Single_Point",IF(352=$NR$91,$NN$91,0),IF($NP$91="Bell_Curve",$NN$91*(352-$NR$91+1)*($NS$91-352+1)/$NU$91,$NN$91/$NT$91)),0)</f>
        <v/>
      </c>
      <c r="MS91" s="402">
        <f>IF(AND(353&gt;=$NR$91,353&lt;=$NS$91),IF($NP$91="Single_Point",IF(353=$NR$91,$NN$91,0),IF($NP$91="Bell_Curve",$NN$91*(353-$NR$91+1)*($NS$91-353+1)/$NU$91,$NN$91/$NT$91)),0)</f>
        <v/>
      </c>
      <c r="MT91" s="402">
        <f>IF(AND(354&gt;=$NR$91,354&lt;=$NS$91),IF($NP$91="Single_Point",IF(354=$NR$91,$NN$91,0),IF($NP$91="Bell_Curve",$NN$91*(354-$NR$91+1)*($NS$91-354+1)/$NU$91,$NN$91/$NT$91)),0)</f>
        <v/>
      </c>
      <c r="MU91" s="402">
        <f>IF(AND(355&gt;=$NR$91,355&lt;=$NS$91),IF($NP$91="Single_Point",IF(355=$NR$91,$NN$91,0),IF($NP$91="Bell_Curve",$NN$91*(355-$NR$91+1)*($NS$91-355+1)/$NU$91,$NN$91/$NT$91)),0)</f>
        <v/>
      </c>
      <c r="MV91" s="402">
        <f>IF(AND(356&gt;=$NR$91,356&lt;=$NS$91),IF($NP$91="Single_Point",IF(356=$NR$91,$NN$91,0),IF($NP$91="Bell_Curve",$NN$91*(356-$NR$91+1)*($NS$91-356+1)/$NU$91,$NN$91/$NT$91)),0)</f>
        <v/>
      </c>
      <c r="MW91" s="402">
        <f>IF(AND(357&gt;=$NR$91,357&lt;=$NS$91),IF($NP$91="Single_Point",IF(357=$NR$91,$NN$91,0),IF($NP$91="Bell_Curve",$NN$91*(357-$NR$91+1)*($NS$91-357+1)/$NU$91,$NN$91/$NT$91)),0)</f>
        <v/>
      </c>
      <c r="MX91" s="402">
        <f>IF(AND(358&gt;=$NR$91,358&lt;=$NS$91),IF($NP$91="Single_Point",IF(358=$NR$91,$NN$91,0),IF($NP$91="Bell_Curve",$NN$91*(358-$NR$91+1)*($NS$91-358+1)/$NU$91,$NN$91/$NT$91)),0)</f>
        <v/>
      </c>
      <c r="MY91" s="402">
        <f>IF(AND(359&gt;=$NR$91,359&lt;=$NS$91),IF($NP$91="Single_Point",IF(359=$NR$91,$NN$91,0),IF($NP$91="Bell_Curve",$NN$91*(359-$NR$91+1)*($NS$91-359+1)/$NU$91,$NN$91/$NT$91)),0)</f>
        <v/>
      </c>
      <c r="MZ91" s="402">
        <f>IF(AND(360&gt;=$NR$91,360&lt;=$NS$91),IF($NP$91="Single_Point",IF(360=$NR$91,$NN$91,0),IF($NP$91="Bell_Curve",$NN$91*(360-$NR$91+1)*($NS$91-360+1)/$NU$91,$NN$91/$NT$91)),0)</f>
        <v/>
      </c>
      <c r="NA91" s="402">
        <f>IF(AND(361&gt;=$NR$91,361&lt;=$NS$91),IF($NP$91="Single_Point",IF(361=$NR$91,$NN$91,0),IF($NP$91="Bell_Curve",$NN$91*(361-$NR$91+1)*($NS$91-361+1)/$NU$91,$NN$91/$NT$91)),0)</f>
        <v/>
      </c>
      <c r="NB91" s="402">
        <f>IF(AND(362&gt;=$NR$91,362&lt;=$NS$91),IF($NP$91="Single_Point",IF(362=$NR$91,$NN$91,0),IF($NP$91="Bell_Curve",$NN$91*(362-$NR$91+1)*($NS$91-362+1)/$NU$91,$NN$91/$NT$91)),0)</f>
        <v/>
      </c>
      <c r="NC91" s="402">
        <f>IF(AND(363&gt;=$NR$91,363&lt;=$NS$91),IF($NP$91="Single_Point",IF(363=$NR$91,$NN$91,0),IF($NP$91="Bell_Curve",$NN$91*(363-$NR$91+1)*($NS$91-363+1)/$NU$91,$NN$91/$NT$91)),0)</f>
        <v/>
      </c>
      <c r="ND91" s="402">
        <f>IF(AND(364&gt;=$NR$91,364&lt;=$NS$91),IF($NP$91="Single_Point",IF(364=$NR$91,$NN$91,0),IF($NP$91="Bell_Curve",$NN$91*(364-$NR$91+1)*($NS$91-364+1)/$NU$91,$NN$91/$NT$91)),0)</f>
        <v/>
      </c>
      <c r="NE91" s="402">
        <f>IF(AND(365&gt;=$NR$91,365&lt;=$NS$91),IF($NP$91="Single_Point",IF(365=$NR$91,$NN$91,0),IF($NP$91="Bell_Curve",$NN$91*(365-$NR$91+1)*($NS$91-365+1)/$NU$91,$NN$91/$NT$91)),0)</f>
        <v/>
      </c>
      <c r="NF91" s="402">
        <f>IF(AND(366&gt;=$NR$91,366&lt;=$NS$91),IF($NP$91="Single_Point",IF(366=$NR$91,$NN$91,0),IF($NP$91="Bell_Curve",$NN$91*(366-$NR$91+1)*($NS$91-366+1)/$NU$91,$NN$91/$NT$91)),0)</f>
        <v/>
      </c>
      <c r="NG91" s="402">
        <f>IF(AND(367&gt;=$NR$91,367&lt;=$NS$91),IF($NP$91="Single_Point",IF(367=$NR$91,$NN$91,0),IF($NP$91="Bell_Curve",$NN$91*(367-$NR$91+1)*($NS$91-367+1)/$NU$91,$NN$91/$NT$91)),0)</f>
        <v/>
      </c>
      <c r="NH91" s="402">
        <f>IF(AND(368&gt;=$NR$91,368&lt;=$NS$91),IF($NP$91="Single_Point",IF(368=$NR$91,$NN$91,0),IF($NP$91="Bell_Curve",$NN$91*(368-$NR$91+1)*($NS$91-368+1)/$NU$91,$NN$91/$NT$91)),0)</f>
        <v/>
      </c>
      <c r="NI91" s="402">
        <f>IF(AND(369&gt;=$NR$91,369&lt;=$NS$91),IF($NP$91="Single_Point",IF(369=$NR$91,$NN$91,0),IF($NP$91="Bell_Curve",$NN$91*(369-$NR$91+1)*($NS$91-369+1)/$NU$91,$NN$91/$NT$91)),0)</f>
        <v/>
      </c>
      <c r="NJ91" s="402">
        <f>IF(AND(370&gt;=$NR$91,370&lt;=$NS$91),IF($NP$91="Single_Point",IF(370=$NR$91,$NN$91,0),IF($NP$91="Bell_Curve",$NN$91*(370-$NR$91+1)*($NS$91-370+1)/$NU$91,$NN$91/$NT$91)),0)</f>
        <v/>
      </c>
      <c r="NK91" s="402">
        <f>IF(AND(371&gt;=$NR$91,371&lt;=$NS$91),IF($NP$91="Single_Point",IF(371=$NR$91,$NN$91,0),IF($NP$91="Bell_Curve",$NN$91*(371-$NR$91+1)*($NS$91-371+1)/$NU$91,$NN$91/$NT$91)),0)</f>
        <v/>
      </c>
      <c r="NL91" s="402">
        <f>IF(AND(372&gt;=$NR$91,372&lt;=$NS$91),IF($NP$91="Single_Point",IF(372=$NR$91,$NN$91,0),IF($NP$91="Bell_Curve",$NN$91*(372-$NR$91+1)*($NS$91-372+1)/$NU$91,$NN$91/$NT$91)),0)</f>
        <v/>
      </c>
      <c r="NM91">
        <f>Budget!C90</f>
        <v/>
      </c>
      <c r="NN91">
        <f>Budget!J90</f>
        <v/>
      </c>
      <c r="NO91">
        <f>Budget!G90</f>
        <v/>
      </c>
      <c r="NP91">
        <f>Budget!H90</f>
        <v/>
      </c>
      <c r="NQ91">
        <f>Budget!I90</f>
        <v/>
      </c>
      <c r="NR91">
        <f>MAX(1,MIN(372,INDEX(MilestoneStart,MATCH(NO91,MilestoneNames,0))+NQ91))</f>
        <v/>
      </c>
      <c r="NS91">
        <f>MAX(NR91,MIN(372,INDEX(MilestoneEnd,MATCH(NO91,MilestoneNames,0))+NQ91))</f>
        <v/>
      </c>
      <c r="NT91">
        <f>NS91-NR91+1</f>
        <v/>
      </c>
      <c r="NU91">
        <f>NT91*(NT91+1)*(NT91+2)/6</f>
        <v/>
      </c>
    </row>
    <row r="92">
      <c r="B92" s="316">
        <f>Budget!B91</f>
        <v/>
      </c>
      <c r="D92" s="402">
        <f>SUM(E92:NL92)</f>
        <v/>
      </c>
      <c r="E92" s="402">
        <f>IF(AND(1&gt;=$NR$92,1&lt;=$NS$92),IF($NP$92="Single_Point",IF(1=$NR$92,$NN$92,0),IF($NP$92="Bell_Curve",$NN$92*(1-$NR$92+1)*($NS$92-1+1)/$NU$92,$NN$92/$NT$92)),0)</f>
        <v/>
      </c>
      <c r="F92" s="402">
        <f>IF(AND(2&gt;=$NR$92,2&lt;=$NS$92),IF($NP$92="Single_Point",IF(2=$NR$92,$NN$92,0),IF($NP$92="Bell_Curve",$NN$92*(2-$NR$92+1)*($NS$92-2+1)/$NU$92,$NN$92/$NT$92)),0)</f>
        <v/>
      </c>
      <c r="G92" s="402">
        <f>IF(AND(3&gt;=$NR$92,3&lt;=$NS$92),IF($NP$92="Single_Point",IF(3=$NR$92,$NN$92,0),IF($NP$92="Bell_Curve",$NN$92*(3-$NR$92+1)*($NS$92-3+1)/$NU$92,$NN$92/$NT$92)),0)</f>
        <v/>
      </c>
      <c r="H92" s="402">
        <f>IF(AND(4&gt;=$NR$92,4&lt;=$NS$92),IF($NP$92="Single_Point",IF(4=$NR$92,$NN$92,0),IF($NP$92="Bell_Curve",$NN$92*(4-$NR$92+1)*($NS$92-4+1)/$NU$92,$NN$92/$NT$92)),0)</f>
        <v/>
      </c>
      <c r="I92" s="402">
        <f>IF(AND(5&gt;=$NR$92,5&lt;=$NS$92),IF($NP$92="Single_Point",IF(5=$NR$92,$NN$92,0),IF($NP$92="Bell_Curve",$NN$92*(5-$NR$92+1)*($NS$92-5+1)/$NU$92,$NN$92/$NT$92)),0)</f>
        <v/>
      </c>
      <c r="J92" s="402">
        <f>IF(AND(6&gt;=$NR$92,6&lt;=$NS$92),IF($NP$92="Single_Point",IF(6=$NR$92,$NN$92,0),IF($NP$92="Bell_Curve",$NN$92*(6-$NR$92+1)*($NS$92-6+1)/$NU$92,$NN$92/$NT$92)),0)</f>
        <v/>
      </c>
      <c r="K92" s="402">
        <f>IF(AND(7&gt;=$NR$92,7&lt;=$NS$92),IF($NP$92="Single_Point",IF(7=$NR$92,$NN$92,0),IF($NP$92="Bell_Curve",$NN$92*(7-$NR$92+1)*($NS$92-7+1)/$NU$92,$NN$92/$NT$92)),0)</f>
        <v/>
      </c>
      <c r="L92" s="402">
        <f>IF(AND(8&gt;=$NR$92,8&lt;=$NS$92),IF($NP$92="Single_Point",IF(8=$NR$92,$NN$92,0),IF($NP$92="Bell_Curve",$NN$92*(8-$NR$92+1)*($NS$92-8+1)/$NU$92,$NN$92/$NT$92)),0)</f>
        <v/>
      </c>
      <c r="M92" s="402">
        <f>IF(AND(9&gt;=$NR$92,9&lt;=$NS$92),IF($NP$92="Single_Point",IF(9=$NR$92,$NN$92,0),IF($NP$92="Bell_Curve",$NN$92*(9-$NR$92+1)*($NS$92-9+1)/$NU$92,$NN$92/$NT$92)),0)</f>
        <v/>
      </c>
      <c r="N92" s="402">
        <f>IF(AND(10&gt;=$NR$92,10&lt;=$NS$92),IF($NP$92="Single_Point",IF(10=$NR$92,$NN$92,0),IF($NP$92="Bell_Curve",$NN$92*(10-$NR$92+1)*($NS$92-10+1)/$NU$92,$NN$92/$NT$92)),0)</f>
        <v/>
      </c>
      <c r="O92" s="402">
        <f>IF(AND(11&gt;=$NR$92,11&lt;=$NS$92),IF($NP$92="Single_Point",IF(11=$NR$92,$NN$92,0),IF($NP$92="Bell_Curve",$NN$92*(11-$NR$92+1)*($NS$92-11+1)/$NU$92,$NN$92/$NT$92)),0)</f>
        <v/>
      </c>
      <c r="P92" s="402">
        <f>IF(AND(12&gt;=$NR$92,12&lt;=$NS$92),IF($NP$92="Single_Point",IF(12=$NR$92,$NN$92,0),IF($NP$92="Bell_Curve",$NN$92*(12-$NR$92+1)*($NS$92-12+1)/$NU$92,$NN$92/$NT$92)),0)</f>
        <v/>
      </c>
      <c r="Q92" s="402">
        <f>IF(AND(13&gt;=$NR$92,13&lt;=$NS$92),IF($NP$92="Single_Point",IF(13=$NR$92,$NN$92,0),IF($NP$92="Bell_Curve",$NN$92*(13-$NR$92+1)*($NS$92-13+1)/$NU$92,$NN$92/$NT$92)),0)</f>
        <v/>
      </c>
      <c r="R92" s="402">
        <f>IF(AND(14&gt;=$NR$92,14&lt;=$NS$92),IF($NP$92="Single_Point",IF(14=$NR$92,$NN$92,0),IF($NP$92="Bell_Curve",$NN$92*(14-$NR$92+1)*($NS$92-14+1)/$NU$92,$NN$92/$NT$92)),0)</f>
        <v/>
      </c>
      <c r="S92" s="402">
        <f>IF(AND(15&gt;=$NR$92,15&lt;=$NS$92),IF($NP$92="Single_Point",IF(15=$NR$92,$NN$92,0),IF($NP$92="Bell_Curve",$NN$92*(15-$NR$92+1)*($NS$92-15+1)/$NU$92,$NN$92/$NT$92)),0)</f>
        <v/>
      </c>
      <c r="T92" s="402">
        <f>IF(AND(16&gt;=$NR$92,16&lt;=$NS$92),IF($NP$92="Single_Point",IF(16=$NR$92,$NN$92,0),IF($NP$92="Bell_Curve",$NN$92*(16-$NR$92+1)*($NS$92-16+1)/$NU$92,$NN$92/$NT$92)),0)</f>
        <v/>
      </c>
      <c r="U92" s="402">
        <f>IF(AND(17&gt;=$NR$92,17&lt;=$NS$92),IF($NP$92="Single_Point",IF(17=$NR$92,$NN$92,0),IF($NP$92="Bell_Curve",$NN$92*(17-$NR$92+1)*($NS$92-17+1)/$NU$92,$NN$92/$NT$92)),0)</f>
        <v/>
      </c>
      <c r="V92" s="402">
        <f>IF(AND(18&gt;=$NR$92,18&lt;=$NS$92),IF($NP$92="Single_Point",IF(18=$NR$92,$NN$92,0),IF($NP$92="Bell_Curve",$NN$92*(18-$NR$92+1)*($NS$92-18+1)/$NU$92,$NN$92/$NT$92)),0)</f>
        <v/>
      </c>
      <c r="W92" s="402">
        <f>IF(AND(19&gt;=$NR$92,19&lt;=$NS$92),IF($NP$92="Single_Point",IF(19=$NR$92,$NN$92,0),IF($NP$92="Bell_Curve",$NN$92*(19-$NR$92+1)*($NS$92-19+1)/$NU$92,$NN$92/$NT$92)),0)</f>
        <v/>
      </c>
      <c r="X92" s="402">
        <f>IF(AND(20&gt;=$NR$92,20&lt;=$NS$92),IF($NP$92="Single_Point",IF(20=$NR$92,$NN$92,0),IF($NP$92="Bell_Curve",$NN$92*(20-$NR$92+1)*($NS$92-20+1)/$NU$92,$NN$92/$NT$92)),0)</f>
        <v/>
      </c>
      <c r="Y92" s="402">
        <f>IF(AND(21&gt;=$NR$92,21&lt;=$NS$92),IF($NP$92="Single_Point",IF(21=$NR$92,$NN$92,0),IF($NP$92="Bell_Curve",$NN$92*(21-$NR$92+1)*($NS$92-21+1)/$NU$92,$NN$92/$NT$92)),0)</f>
        <v/>
      </c>
      <c r="Z92" s="402">
        <f>IF(AND(22&gt;=$NR$92,22&lt;=$NS$92),IF($NP$92="Single_Point",IF(22=$NR$92,$NN$92,0),IF($NP$92="Bell_Curve",$NN$92*(22-$NR$92+1)*($NS$92-22+1)/$NU$92,$NN$92/$NT$92)),0)</f>
        <v/>
      </c>
      <c r="AA92" s="402">
        <f>IF(AND(23&gt;=$NR$92,23&lt;=$NS$92),IF($NP$92="Single_Point",IF(23=$NR$92,$NN$92,0),IF($NP$92="Bell_Curve",$NN$92*(23-$NR$92+1)*($NS$92-23+1)/$NU$92,$NN$92/$NT$92)),0)</f>
        <v/>
      </c>
      <c r="AB92" s="402">
        <f>IF(AND(24&gt;=$NR$92,24&lt;=$NS$92),IF($NP$92="Single_Point",IF(24=$NR$92,$NN$92,0),IF($NP$92="Bell_Curve",$NN$92*(24-$NR$92+1)*($NS$92-24+1)/$NU$92,$NN$92/$NT$92)),0)</f>
        <v/>
      </c>
      <c r="AC92" s="402">
        <f>IF(AND(25&gt;=$NR$92,25&lt;=$NS$92),IF($NP$92="Single_Point",IF(25=$NR$92,$NN$92,0),IF($NP$92="Bell_Curve",$NN$92*(25-$NR$92+1)*($NS$92-25+1)/$NU$92,$NN$92/$NT$92)),0)</f>
        <v/>
      </c>
      <c r="AD92" s="402">
        <f>IF(AND(26&gt;=$NR$92,26&lt;=$NS$92),IF($NP$92="Single_Point",IF(26=$NR$92,$NN$92,0),IF($NP$92="Bell_Curve",$NN$92*(26-$NR$92+1)*($NS$92-26+1)/$NU$92,$NN$92/$NT$92)),0)</f>
        <v/>
      </c>
      <c r="AE92" s="402">
        <f>IF(AND(27&gt;=$NR$92,27&lt;=$NS$92),IF($NP$92="Single_Point",IF(27=$NR$92,$NN$92,0),IF($NP$92="Bell_Curve",$NN$92*(27-$NR$92+1)*($NS$92-27+1)/$NU$92,$NN$92/$NT$92)),0)</f>
        <v/>
      </c>
      <c r="AF92" s="402">
        <f>IF(AND(28&gt;=$NR$92,28&lt;=$NS$92),IF($NP$92="Single_Point",IF(28=$NR$92,$NN$92,0),IF($NP$92="Bell_Curve",$NN$92*(28-$NR$92+1)*($NS$92-28+1)/$NU$92,$NN$92/$NT$92)),0)</f>
        <v/>
      </c>
      <c r="AG92" s="402">
        <f>IF(AND(29&gt;=$NR$92,29&lt;=$NS$92),IF($NP$92="Single_Point",IF(29=$NR$92,$NN$92,0),IF($NP$92="Bell_Curve",$NN$92*(29-$NR$92+1)*($NS$92-29+1)/$NU$92,$NN$92/$NT$92)),0)</f>
        <v/>
      </c>
      <c r="AH92" s="402">
        <f>IF(AND(30&gt;=$NR$92,30&lt;=$NS$92),IF($NP$92="Single_Point",IF(30=$NR$92,$NN$92,0),IF($NP$92="Bell_Curve",$NN$92*(30-$NR$92+1)*($NS$92-30+1)/$NU$92,$NN$92/$NT$92)),0)</f>
        <v/>
      </c>
      <c r="AI92" s="402">
        <f>IF(AND(31&gt;=$NR$92,31&lt;=$NS$92),IF($NP$92="Single_Point",IF(31=$NR$92,$NN$92,0),IF($NP$92="Bell_Curve",$NN$92*(31-$NR$92+1)*($NS$92-31+1)/$NU$92,$NN$92/$NT$92)),0)</f>
        <v/>
      </c>
      <c r="AJ92" s="402">
        <f>IF(AND(32&gt;=$NR$92,32&lt;=$NS$92),IF($NP$92="Single_Point",IF(32=$NR$92,$NN$92,0),IF($NP$92="Bell_Curve",$NN$92*(32-$NR$92+1)*($NS$92-32+1)/$NU$92,$NN$92/$NT$92)),0)</f>
        <v/>
      </c>
      <c r="AK92" s="402">
        <f>IF(AND(33&gt;=$NR$92,33&lt;=$NS$92),IF($NP$92="Single_Point",IF(33=$NR$92,$NN$92,0),IF($NP$92="Bell_Curve",$NN$92*(33-$NR$92+1)*($NS$92-33+1)/$NU$92,$NN$92/$NT$92)),0)</f>
        <v/>
      </c>
      <c r="AL92" s="402">
        <f>IF(AND(34&gt;=$NR$92,34&lt;=$NS$92),IF($NP$92="Single_Point",IF(34=$NR$92,$NN$92,0),IF($NP$92="Bell_Curve",$NN$92*(34-$NR$92+1)*($NS$92-34+1)/$NU$92,$NN$92/$NT$92)),0)</f>
        <v/>
      </c>
      <c r="AM92" s="402">
        <f>IF(AND(35&gt;=$NR$92,35&lt;=$NS$92),IF($NP$92="Single_Point",IF(35=$NR$92,$NN$92,0),IF($NP$92="Bell_Curve",$NN$92*(35-$NR$92+1)*($NS$92-35+1)/$NU$92,$NN$92/$NT$92)),0)</f>
        <v/>
      </c>
      <c r="AN92" s="402">
        <f>IF(AND(36&gt;=$NR$92,36&lt;=$NS$92),IF($NP$92="Single_Point",IF(36=$NR$92,$NN$92,0),IF($NP$92="Bell_Curve",$NN$92*(36-$NR$92+1)*($NS$92-36+1)/$NU$92,$NN$92/$NT$92)),0)</f>
        <v/>
      </c>
      <c r="AO92" s="402">
        <f>IF(AND(37&gt;=$NR$92,37&lt;=$NS$92),IF($NP$92="Single_Point",IF(37=$NR$92,$NN$92,0),IF($NP$92="Bell_Curve",$NN$92*(37-$NR$92+1)*($NS$92-37+1)/$NU$92,$NN$92/$NT$92)),0)</f>
        <v/>
      </c>
      <c r="AP92" s="402">
        <f>IF(AND(38&gt;=$NR$92,38&lt;=$NS$92),IF($NP$92="Single_Point",IF(38=$NR$92,$NN$92,0),IF($NP$92="Bell_Curve",$NN$92*(38-$NR$92+1)*($NS$92-38+1)/$NU$92,$NN$92/$NT$92)),0)</f>
        <v/>
      </c>
      <c r="AQ92" s="402">
        <f>IF(AND(39&gt;=$NR$92,39&lt;=$NS$92),IF($NP$92="Single_Point",IF(39=$NR$92,$NN$92,0),IF($NP$92="Bell_Curve",$NN$92*(39-$NR$92+1)*($NS$92-39+1)/$NU$92,$NN$92/$NT$92)),0)</f>
        <v/>
      </c>
      <c r="AR92" s="402">
        <f>IF(AND(40&gt;=$NR$92,40&lt;=$NS$92),IF($NP$92="Single_Point",IF(40=$NR$92,$NN$92,0),IF($NP$92="Bell_Curve",$NN$92*(40-$NR$92+1)*($NS$92-40+1)/$NU$92,$NN$92/$NT$92)),0)</f>
        <v/>
      </c>
      <c r="AS92" s="402">
        <f>IF(AND(41&gt;=$NR$92,41&lt;=$NS$92),IF($NP$92="Single_Point",IF(41=$NR$92,$NN$92,0),IF($NP$92="Bell_Curve",$NN$92*(41-$NR$92+1)*($NS$92-41+1)/$NU$92,$NN$92/$NT$92)),0)</f>
        <v/>
      </c>
      <c r="AT92" s="402">
        <f>IF(AND(42&gt;=$NR$92,42&lt;=$NS$92),IF($NP$92="Single_Point",IF(42=$NR$92,$NN$92,0),IF($NP$92="Bell_Curve",$NN$92*(42-$NR$92+1)*($NS$92-42+1)/$NU$92,$NN$92/$NT$92)),0)</f>
        <v/>
      </c>
      <c r="AU92" s="402">
        <f>IF(AND(43&gt;=$NR$92,43&lt;=$NS$92),IF($NP$92="Single_Point",IF(43=$NR$92,$NN$92,0),IF($NP$92="Bell_Curve",$NN$92*(43-$NR$92+1)*($NS$92-43+1)/$NU$92,$NN$92/$NT$92)),0)</f>
        <v/>
      </c>
      <c r="AV92" s="402">
        <f>IF(AND(44&gt;=$NR$92,44&lt;=$NS$92),IF($NP$92="Single_Point",IF(44=$NR$92,$NN$92,0),IF($NP$92="Bell_Curve",$NN$92*(44-$NR$92+1)*($NS$92-44+1)/$NU$92,$NN$92/$NT$92)),0)</f>
        <v/>
      </c>
      <c r="AW92" s="402">
        <f>IF(AND(45&gt;=$NR$92,45&lt;=$NS$92),IF($NP$92="Single_Point",IF(45=$NR$92,$NN$92,0),IF($NP$92="Bell_Curve",$NN$92*(45-$NR$92+1)*($NS$92-45+1)/$NU$92,$NN$92/$NT$92)),0)</f>
        <v/>
      </c>
      <c r="AX92" s="402">
        <f>IF(AND(46&gt;=$NR$92,46&lt;=$NS$92),IF($NP$92="Single_Point",IF(46=$NR$92,$NN$92,0),IF($NP$92="Bell_Curve",$NN$92*(46-$NR$92+1)*($NS$92-46+1)/$NU$92,$NN$92/$NT$92)),0)</f>
        <v/>
      </c>
      <c r="AY92" s="402">
        <f>IF(AND(47&gt;=$NR$92,47&lt;=$NS$92),IF($NP$92="Single_Point",IF(47=$NR$92,$NN$92,0),IF($NP$92="Bell_Curve",$NN$92*(47-$NR$92+1)*($NS$92-47+1)/$NU$92,$NN$92/$NT$92)),0)</f>
        <v/>
      </c>
      <c r="AZ92" s="402">
        <f>IF(AND(48&gt;=$NR$92,48&lt;=$NS$92),IF($NP$92="Single_Point",IF(48=$NR$92,$NN$92,0),IF($NP$92="Bell_Curve",$NN$92*(48-$NR$92+1)*($NS$92-48+1)/$NU$92,$NN$92/$NT$92)),0)</f>
        <v/>
      </c>
      <c r="BA92" s="402">
        <f>IF(AND(49&gt;=$NR$92,49&lt;=$NS$92),IF($NP$92="Single_Point",IF(49=$NR$92,$NN$92,0),IF($NP$92="Bell_Curve",$NN$92*(49-$NR$92+1)*($NS$92-49+1)/$NU$92,$NN$92/$NT$92)),0)</f>
        <v/>
      </c>
      <c r="BB92" s="402">
        <f>IF(AND(50&gt;=$NR$92,50&lt;=$NS$92),IF($NP$92="Single_Point",IF(50=$NR$92,$NN$92,0),IF($NP$92="Bell_Curve",$NN$92*(50-$NR$92+1)*($NS$92-50+1)/$NU$92,$NN$92/$NT$92)),0)</f>
        <v/>
      </c>
      <c r="BC92" s="402">
        <f>IF(AND(51&gt;=$NR$92,51&lt;=$NS$92),IF($NP$92="Single_Point",IF(51=$NR$92,$NN$92,0),IF($NP$92="Bell_Curve",$NN$92*(51-$NR$92+1)*($NS$92-51+1)/$NU$92,$NN$92/$NT$92)),0)</f>
        <v/>
      </c>
      <c r="BD92" s="402">
        <f>IF(AND(52&gt;=$NR$92,52&lt;=$NS$92),IF($NP$92="Single_Point",IF(52=$NR$92,$NN$92,0),IF($NP$92="Bell_Curve",$NN$92*(52-$NR$92+1)*($NS$92-52+1)/$NU$92,$NN$92/$NT$92)),0)</f>
        <v/>
      </c>
      <c r="BE92" s="402">
        <f>IF(AND(53&gt;=$NR$92,53&lt;=$NS$92),IF($NP$92="Single_Point",IF(53=$NR$92,$NN$92,0),IF($NP$92="Bell_Curve",$NN$92*(53-$NR$92+1)*($NS$92-53+1)/$NU$92,$NN$92/$NT$92)),0)</f>
        <v/>
      </c>
      <c r="BF92" s="402">
        <f>IF(AND(54&gt;=$NR$92,54&lt;=$NS$92),IF($NP$92="Single_Point",IF(54=$NR$92,$NN$92,0),IF($NP$92="Bell_Curve",$NN$92*(54-$NR$92+1)*($NS$92-54+1)/$NU$92,$NN$92/$NT$92)),0)</f>
        <v/>
      </c>
      <c r="BG92" s="402">
        <f>IF(AND(55&gt;=$NR$92,55&lt;=$NS$92),IF($NP$92="Single_Point",IF(55=$NR$92,$NN$92,0),IF($NP$92="Bell_Curve",$NN$92*(55-$NR$92+1)*($NS$92-55+1)/$NU$92,$NN$92/$NT$92)),0)</f>
        <v/>
      </c>
      <c r="BH92" s="402">
        <f>IF(AND(56&gt;=$NR$92,56&lt;=$NS$92),IF($NP$92="Single_Point",IF(56=$NR$92,$NN$92,0),IF($NP$92="Bell_Curve",$NN$92*(56-$NR$92+1)*($NS$92-56+1)/$NU$92,$NN$92/$NT$92)),0)</f>
        <v/>
      </c>
      <c r="BI92" s="402">
        <f>IF(AND(57&gt;=$NR$92,57&lt;=$NS$92),IF($NP$92="Single_Point",IF(57=$NR$92,$NN$92,0),IF($NP$92="Bell_Curve",$NN$92*(57-$NR$92+1)*($NS$92-57+1)/$NU$92,$NN$92/$NT$92)),0)</f>
        <v/>
      </c>
      <c r="BJ92" s="402">
        <f>IF(AND(58&gt;=$NR$92,58&lt;=$NS$92),IF($NP$92="Single_Point",IF(58=$NR$92,$NN$92,0),IF($NP$92="Bell_Curve",$NN$92*(58-$NR$92+1)*($NS$92-58+1)/$NU$92,$NN$92/$NT$92)),0)</f>
        <v/>
      </c>
      <c r="BK92" s="402">
        <f>IF(AND(59&gt;=$NR$92,59&lt;=$NS$92),IF($NP$92="Single_Point",IF(59=$NR$92,$NN$92,0),IF($NP$92="Bell_Curve",$NN$92*(59-$NR$92+1)*($NS$92-59+1)/$NU$92,$NN$92/$NT$92)),0)</f>
        <v/>
      </c>
      <c r="BL92" s="402">
        <f>IF(AND(60&gt;=$NR$92,60&lt;=$NS$92),IF($NP$92="Single_Point",IF(60=$NR$92,$NN$92,0),IF($NP$92="Bell_Curve",$NN$92*(60-$NR$92+1)*($NS$92-60+1)/$NU$92,$NN$92/$NT$92)),0)</f>
        <v/>
      </c>
      <c r="BM92" s="402">
        <f>IF(AND(61&gt;=$NR$92,61&lt;=$NS$92),IF($NP$92="Single_Point",IF(61=$NR$92,$NN$92,0),IF($NP$92="Bell_Curve",$NN$92*(61-$NR$92+1)*($NS$92-61+1)/$NU$92,$NN$92/$NT$92)),0)</f>
        <v/>
      </c>
      <c r="BN92" s="402">
        <f>IF(AND(62&gt;=$NR$92,62&lt;=$NS$92),IF($NP$92="Single_Point",IF(62=$NR$92,$NN$92,0),IF($NP$92="Bell_Curve",$NN$92*(62-$NR$92+1)*($NS$92-62+1)/$NU$92,$NN$92/$NT$92)),0)</f>
        <v/>
      </c>
      <c r="BO92" s="402">
        <f>IF(AND(63&gt;=$NR$92,63&lt;=$NS$92),IF($NP$92="Single_Point",IF(63=$NR$92,$NN$92,0),IF($NP$92="Bell_Curve",$NN$92*(63-$NR$92+1)*($NS$92-63+1)/$NU$92,$NN$92/$NT$92)),0)</f>
        <v/>
      </c>
      <c r="BP92" s="402">
        <f>IF(AND(64&gt;=$NR$92,64&lt;=$NS$92),IF($NP$92="Single_Point",IF(64=$NR$92,$NN$92,0),IF($NP$92="Bell_Curve",$NN$92*(64-$NR$92+1)*($NS$92-64+1)/$NU$92,$NN$92/$NT$92)),0)</f>
        <v/>
      </c>
      <c r="BQ92" s="402">
        <f>IF(AND(65&gt;=$NR$92,65&lt;=$NS$92),IF($NP$92="Single_Point",IF(65=$NR$92,$NN$92,0),IF($NP$92="Bell_Curve",$NN$92*(65-$NR$92+1)*($NS$92-65+1)/$NU$92,$NN$92/$NT$92)),0)</f>
        <v/>
      </c>
      <c r="BR92" s="402">
        <f>IF(AND(66&gt;=$NR$92,66&lt;=$NS$92),IF($NP$92="Single_Point",IF(66=$NR$92,$NN$92,0),IF($NP$92="Bell_Curve",$NN$92*(66-$NR$92+1)*($NS$92-66+1)/$NU$92,$NN$92/$NT$92)),0)</f>
        <v/>
      </c>
      <c r="BS92" s="402">
        <f>IF(AND(67&gt;=$NR$92,67&lt;=$NS$92),IF($NP$92="Single_Point",IF(67=$NR$92,$NN$92,0),IF($NP$92="Bell_Curve",$NN$92*(67-$NR$92+1)*($NS$92-67+1)/$NU$92,$NN$92/$NT$92)),0)</f>
        <v/>
      </c>
      <c r="BT92" s="402">
        <f>IF(AND(68&gt;=$NR$92,68&lt;=$NS$92),IF($NP$92="Single_Point",IF(68=$NR$92,$NN$92,0),IF($NP$92="Bell_Curve",$NN$92*(68-$NR$92+1)*($NS$92-68+1)/$NU$92,$NN$92/$NT$92)),0)</f>
        <v/>
      </c>
      <c r="BU92" s="402">
        <f>IF(AND(69&gt;=$NR$92,69&lt;=$NS$92),IF($NP$92="Single_Point",IF(69=$NR$92,$NN$92,0),IF($NP$92="Bell_Curve",$NN$92*(69-$NR$92+1)*($NS$92-69+1)/$NU$92,$NN$92/$NT$92)),0)</f>
        <v/>
      </c>
      <c r="BV92" s="402">
        <f>IF(AND(70&gt;=$NR$92,70&lt;=$NS$92),IF($NP$92="Single_Point",IF(70=$NR$92,$NN$92,0),IF($NP$92="Bell_Curve",$NN$92*(70-$NR$92+1)*($NS$92-70+1)/$NU$92,$NN$92/$NT$92)),0)</f>
        <v/>
      </c>
      <c r="BW92" s="402">
        <f>IF(AND(71&gt;=$NR$92,71&lt;=$NS$92),IF($NP$92="Single_Point",IF(71=$NR$92,$NN$92,0),IF($NP$92="Bell_Curve",$NN$92*(71-$NR$92+1)*($NS$92-71+1)/$NU$92,$NN$92/$NT$92)),0)</f>
        <v/>
      </c>
      <c r="BX92" s="402">
        <f>IF(AND(72&gt;=$NR$92,72&lt;=$NS$92),IF($NP$92="Single_Point",IF(72=$NR$92,$NN$92,0),IF($NP$92="Bell_Curve",$NN$92*(72-$NR$92+1)*($NS$92-72+1)/$NU$92,$NN$92/$NT$92)),0)</f>
        <v/>
      </c>
      <c r="BY92" s="402">
        <f>IF(AND(73&gt;=$NR$92,73&lt;=$NS$92),IF($NP$92="Single_Point",IF(73=$NR$92,$NN$92,0),IF($NP$92="Bell_Curve",$NN$92*(73-$NR$92+1)*($NS$92-73+1)/$NU$92,$NN$92/$NT$92)),0)</f>
        <v/>
      </c>
      <c r="BZ92" s="402">
        <f>IF(AND(74&gt;=$NR$92,74&lt;=$NS$92),IF($NP$92="Single_Point",IF(74=$NR$92,$NN$92,0),IF($NP$92="Bell_Curve",$NN$92*(74-$NR$92+1)*($NS$92-74+1)/$NU$92,$NN$92/$NT$92)),0)</f>
        <v/>
      </c>
      <c r="CA92" s="402">
        <f>IF(AND(75&gt;=$NR$92,75&lt;=$NS$92),IF($NP$92="Single_Point",IF(75=$NR$92,$NN$92,0),IF($NP$92="Bell_Curve",$NN$92*(75-$NR$92+1)*($NS$92-75+1)/$NU$92,$NN$92/$NT$92)),0)</f>
        <v/>
      </c>
      <c r="CB92" s="402">
        <f>IF(AND(76&gt;=$NR$92,76&lt;=$NS$92),IF($NP$92="Single_Point",IF(76=$NR$92,$NN$92,0),IF($NP$92="Bell_Curve",$NN$92*(76-$NR$92+1)*($NS$92-76+1)/$NU$92,$NN$92/$NT$92)),0)</f>
        <v/>
      </c>
      <c r="CC92" s="402">
        <f>IF(AND(77&gt;=$NR$92,77&lt;=$NS$92),IF($NP$92="Single_Point",IF(77=$NR$92,$NN$92,0),IF($NP$92="Bell_Curve",$NN$92*(77-$NR$92+1)*($NS$92-77+1)/$NU$92,$NN$92/$NT$92)),0)</f>
        <v/>
      </c>
      <c r="CD92" s="402">
        <f>IF(AND(78&gt;=$NR$92,78&lt;=$NS$92),IF($NP$92="Single_Point",IF(78=$NR$92,$NN$92,0),IF($NP$92="Bell_Curve",$NN$92*(78-$NR$92+1)*($NS$92-78+1)/$NU$92,$NN$92/$NT$92)),0)</f>
        <v/>
      </c>
      <c r="CE92" s="402">
        <f>IF(AND(79&gt;=$NR$92,79&lt;=$NS$92),IF($NP$92="Single_Point",IF(79=$NR$92,$NN$92,0),IF($NP$92="Bell_Curve",$NN$92*(79-$NR$92+1)*($NS$92-79+1)/$NU$92,$NN$92/$NT$92)),0)</f>
        <v/>
      </c>
      <c r="CF92" s="402">
        <f>IF(AND(80&gt;=$NR$92,80&lt;=$NS$92),IF($NP$92="Single_Point",IF(80=$NR$92,$NN$92,0),IF($NP$92="Bell_Curve",$NN$92*(80-$NR$92+1)*($NS$92-80+1)/$NU$92,$NN$92/$NT$92)),0)</f>
        <v/>
      </c>
      <c r="CG92" s="402">
        <f>IF(AND(81&gt;=$NR$92,81&lt;=$NS$92),IF($NP$92="Single_Point",IF(81=$NR$92,$NN$92,0),IF($NP$92="Bell_Curve",$NN$92*(81-$NR$92+1)*($NS$92-81+1)/$NU$92,$NN$92/$NT$92)),0)</f>
        <v/>
      </c>
      <c r="CH92" s="402">
        <f>IF(AND(82&gt;=$NR$92,82&lt;=$NS$92),IF($NP$92="Single_Point",IF(82=$NR$92,$NN$92,0),IF($NP$92="Bell_Curve",$NN$92*(82-$NR$92+1)*($NS$92-82+1)/$NU$92,$NN$92/$NT$92)),0)</f>
        <v/>
      </c>
      <c r="CI92" s="402">
        <f>IF(AND(83&gt;=$NR$92,83&lt;=$NS$92),IF($NP$92="Single_Point",IF(83=$NR$92,$NN$92,0),IF($NP$92="Bell_Curve",$NN$92*(83-$NR$92+1)*($NS$92-83+1)/$NU$92,$NN$92/$NT$92)),0)</f>
        <v/>
      </c>
      <c r="CJ92" s="402">
        <f>IF(AND(84&gt;=$NR$92,84&lt;=$NS$92),IF($NP$92="Single_Point",IF(84=$NR$92,$NN$92,0),IF($NP$92="Bell_Curve",$NN$92*(84-$NR$92+1)*($NS$92-84+1)/$NU$92,$NN$92/$NT$92)),0)</f>
        <v/>
      </c>
      <c r="CK92" s="402">
        <f>IF(AND(85&gt;=$NR$92,85&lt;=$NS$92),IF($NP$92="Single_Point",IF(85=$NR$92,$NN$92,0),IF($NP$92="Bell_Curve",$NN$92*(85-$NR$92+1)*($NS$92-85+1)/$NU$92,$NN$92/$NT$92)),0)</f>
        <v/>
      </c>
      <c r="CL92" s="402">
        <f>IF(AND(86&gt;=$NR$92,86&lt;=$NS$92),IF($NP$92="Single_Point",IF(86=$NR$92,$NN$92,0),IF($NP$92="Bell_Curve",$NN$92*(86-$NR$92+1)*($NS$92-86+1)/$NU$92,$NN$92/$NT$92)),0)</f>
        <v/>
      </c>
      <c r="CM92" s="402">
        <f>IF(AND(87&gt;=$NR$92,87&lt;=$NS$92),IF($NP$92="Single_Point",IF(87=$NR$92,$NN$92,0),IF($NP$92="Bell_Curve",$NN$92*(87-$NR$92+1)*($NS$92-87+1)/$NU$92,$NN$92/$NT$92)),0)</f>
        <v/>
      </c>
      <c r="CN92" s="402">
        <f>IF(AND(88&gt;=$NR$92,88&lt;=$NS$92),IF($NP$92="Single_Point",IF(88=$NR$92,$NN$92,0),IF($NP$92="Bell_Curve",$NN$92*(88-$NR$92+1)*($NS$92-88+1)/$NU$92,$NN$92/$NT$92)),0)</f>
        <v/>
      </c>
      <c r="CO92" s="402">
        <f>IF(AND(89&gt;=$NR$92,89&lt;=$NS$92),IF($NP$92="Single_Point",IF(89=$NR$92,$NN$92,0),IF($NP$92="Bell_Curve",$NN$92*(89-$NR$92+1)*($NS$92-89+1)/$NU$92,$NN$92/$NT$92)),0)</f>
        <v/>
      </c>
      <c r="CP92" s="402">
        <f>IF(AND(90&gt;=$NR$92,90&lt;=$NS$92),IF($NP$92="Single_Point",IF(90=$NR$92,$NN$92,0),IF($NP$92="Bell_Curve",$NN$92*(90-$NR$92+1)*($NS$92-90+1)/$NU$92,$NN$92/$NT$92)),0)</f>
        <v/>
      </c>
      <c r="CQ92" s="402">
        <f>IF(AND(91&gt;=$NR$92,91&lt;=$NS$92),IF($NP$92="Single_Point",IF(91=$NR$92,$NN$92,0),IF($NP$92="Bell_Curve",$NN$92*(91-$NR$92+1)*($NS$92-91+1)/$NU$92,$NN$92/$NT$92)),0)</f>
        <v/>
      </c>
      <c r="CR92" s="402">
        <f>IF(AND(92&gt;=$NR$92,92&lt;=$NS$92),IF($NP$92="Single_Point",IF(92=$NR$92,$NN$92,0),IF($NP$92="Bell_Curve",$NN$92*(92-$NR$92+1)*($NS$92-92+1)/$NU$92,$NN$92/$NT$92)),0)</f>
        <v/>
      </c>
      <c r="CS92" s="402">
        <f>IF(AND(93&gt;=$NR$92,93&lt;=$NS$92),IF($NP$92="Single_Point",IF(93=$NR$92,$NN$92,0),IF($NP$92="Bell_Curve",$NN$92*(93-$NR$92+1)*($NS$92-93+1)/$NU$92,$NN$92/$NT$92)),0)</f>
        <v/>
      </c>
      <c r="CT92" s="402">
        <f>IF(AND(94&gt;=$NR$92,94&lt;=$NS$92),IF($NP$92="Single_Point",IF(94=$NR$92,$NN$92,0),IF($NP$92="Bell_Curve",$NN$92*(94-$NR$92+1)*($NS$92-94+1)/$NU$92,$NN$92/$NT$92)),0)</f>
        <v/>
      </c>
      <c r="CU92" s="402">
        <f>IF(AND(95&gt;=$NR$92,95&lt;=$NS$92),IF($NP$92="Single_Point",IF(95=$NR$92,$NN$92,0),IF($NP$92="Bell_Curve",$NN$92*(95-$NR$92+1)*($NS$92-95+1)/$NU$92,$NN$92/$NT$92)),0)</f>
        <v/>
      </c>
      <c r="CV92" s="402">
        <f>IF(AND(96&gt;=$NR$92,96&lt;=$NS$92),IF($NP$92="Single_Point",IF(96=$NR$92,$NN$92,0),IF($NP$92="Bell_Curve",$NN$92*(96-$NR$92+1)*($NS$92-96+1)/$NU$92,$NN$92/$NT$92)),0)</f>
        <v/>
      </c>
      <c r="CW92" s="402">
        <f>IF(AND(97&gt;=$NR$92,97&lt;=$NS$92),IF($NP$92="Single_Point",IF(97=$NR$92,$NN$92,0),IF($NP$92="Bell_Curve",$NN$92*(97-$NR$92+1)*($NS$92-97+1)/$NU$92,$NN$92/$NT$92)),0)</f>
        <v/>
      </c>
      <c r="CX92" s="402">
        <f>IF(AND(98&gt;=$NR$92,98&lt;=$NS$92),IF($NP$92="Single_Point",IF(98=$NR$92,$NN$92,0),IF($NP$92="Bell_Curve",$NN$92*(98-$NR$92+1)*($NS$92-98+1)/$NU$92,$NN$92/$NT$92)),0)</f>
        <v/>
      </c>
      <c r="CY92" s="402">
        <f>IF(AND(99&gt;=$NR$92,99&lt;=$NS$92),IF($NP$92="Single_Point",IF(99=$NR$92,$NN$92,0),IF($NP$92="Bell_Curve",$NN$92*(99-$NR$92+1)*($NS$92-99+1)/$NU$92,$NN$92/$NT$92)),0)</f>
        <v/>
      </c>
      <c r="CZ92" s="402">
        <f>IF(AND(100&gt;=$NR$92,100&lt;=$NS$92),IF($NP$92="Single_Point",IF(100=$NR$92,$NN$92,0),IF($NP$92="Bell_Curve",$NN$92*(100-$NR$92+1)*($NS$92-100+1)/$NU$92,$NN$92/$NT$92)),0)</f>
        <v/>
      </c>
      <c r="DA92" s="402">
        <f>IF(AND(101&gt;=$NR$92,101&lt;=$NS$92),IF($NP$92="Single_Point",IF(101=$NR$92,$NN$92,0),IF($NP$92="Bell_Curve",$NN$92*(101-$NR$92+1)*($NS$92-101+1)/$NU$92,$NN$92/$NT$92)),0)</f>
        <v/>
      </c>
      <c r="DB92" s="402">
        <f>IF(AND(102&gt;=$NR$92,102&lt;=$NS$92),IF($NP$92="Single_Point",IF(102=$NR$92,$NN$92,0),IF($NP$92="Bell_Curve",$NN$92*(102-$NR$92+1)*($NS$92-102+1)/$NU$92,$NN$92/$NT$92)),0)</f>
        <v/>
      </c>
      <c r="DC92" s="402">
        <f>IF(AND(103&gt;=$NR$92,103&lt;=$NS$92),IF($NP$92="Single_Point",IF(103=$NR$92,$NN$92,0),IF($NP$92="Bell_Curve",$NN$92*(103-$NR$92+1)*($NS$92-103+1)/$NU$92,$NN$92/$NT$92)),0)</f>
        <v/>
      </c>
      <c r="DD92" s="402">
        <f>IF(AND(104&gt;=$NR$92,104&lt;=$NS$92),IF($NP$92="Single_Point",IF(104=$NR$92,$NN$92,0),IF($NP$92="Bell_Curve",$NN$92*(104-$NR$92+1)*($NS$92-104+1)/$NU$92,$NN$92/$NT$92)),0)</f>
        <v/>
      </c>
      <c r="DE92" s="402">
        <f>IF(AND(105&gt;=$NR$92,105&lt;=$NS$92),IF($NP$92="Single_Point",IF(105=$NR$92,$NN$92,0),IF($NP$92="Bell_Curve",$NN$92*(105-$NR$92+1)*($NS$92-105+1)/$NU$92,$NN$92/$NT$92)),0)</f>
        <v/>
      </c>
      <c r="DF92" s="402">
        <f>IF(AND(106&gt;=$NR$92,106&lt;=$NS$92),IF($NP$92="Single_Point",IF(106=$NR$92,$NN$92,0),IF($NP$92="Bell_Curve",$NN$92*(106-$NR$92+1)*($NS$92-106+1)/$NU$92,$NN$92/$NT$92)),0)</f>
        <v/>
      </c>
      <c r="DG92" s="402">
        <f>IF(AND(107&gt;=$NR$92,107&lt;=$NS$92),IF($NP$92="Single_Point",IF(107=$NR$92,$NN$92,0),IF($NP$92="Bell_Curve",$NN$92*(107-$NR$92+1)*($NS$92-107+1)/$NU$92,$NN$92/$NT$92)),0)</f>
        <v/>
      </c>
      <c r="DH92" s="402">
        <f>IF(AND(108&gt;=$NR$92,108&lt;=$NS$92),IF($NP$92="Single_Point",IF(108=$NR$92,$NN$92,0),IF($NP$92="Bell_Curve",$NN$92*(108-$NR$92+1)*($NS$92-108+1)/$NU$92,$NN$92/$NT$92)),0)</f>
        <v/>
      </c>
      <c r="DI92" s="402">
        <f>IF(AND(109&gt;=$NR$92,109&lt;=$NS$92),IF($NP$92="Single_Point",IF(109=$NR$92,$NN$92,0),IF($NP$92="Bell_Curve",$NN$92*(109-$NR$92+1)*($NS$92-109+1)/$NU$92,$NN$92/$NT$92)),0)</f>
        <v/>
      </c>
      <c r="DJ92" s="402">
        <f>IF(AND(110&gt;=$NR$92,110&lt;=$NS$92),IF($NP$92="Single_Point",IF(110=$NR$92,$NN$92,0),IF($NP$92="Bell_Curve",$NN$92*(110-$NR$92+1)*($NS$92-110+1)/$NU$92,$NN$92/$NT$92)),0)</f>
        <v/>
      </c>
      <c r="DK92" s="402">
        <f>IF(AND(111&gt;=$NR$92,111&lt;=$NS$92),IF($NP$92="Single_Point",IF(111=$NR$92,$NN$92,0),IF($NP$92="Bell_Curve",$NN$92*(111-$NR$92+1)*($NS$92-111+1)/$NU$92,$NN$92/$NT$92)),0)</f>
        <v/>
      </c>
      <c r="DL92" s="402">
        <f>IF(AND(112&gt;=$NR$92,112&lt;=$NS$92),IF($NP$92="Single_Point",IF(112=$NR$92,$NN$92,0),IF($NP$92="Bell_Curve",$NN$92*(112-$NR$92+1)*($NS$92-112+1)/$NU$92,$NN$92/$NT$92)),0)</f>
        <v/>
      </c>
      <c r="DM92" s="402">
        <f>IF(AND(113&gt;=$NR$92,113&lt;=$NS$92),IF($NP$92="Single_Point",IF(113=$NR$92,$NN$92,0),IF($NP$92="Bell_Curve",$NN$92*(113-$NR$92+1)*($NS$92-113+1)/$NU$92,$NN$92/$NT$92)),0)</f>
        <v/>
      </c>
      <c r="DN92" s="402">
        <f>IF(AND(114&gt;=$NR$92,114&lt;=$NS$92),IF($NP$92="Single_Point",IF(114=$NR$92,$NN$92,0),IF($NP$92="Bell_Curve",$NN$92*(114-$NR$92+1)*($NS$92-114+1)/$NU$92,$NN$92/$NT$92)),0)</f>
        <v/>
      </c>
      <c r="DO92" s="402">
        <f>IF(AND(115&gt;=$NR$92,115&lt;=$NS$92),IF($NP$92="Single_Point",IF(115=$NR$92,$NN$92,0),IF($NP$92="Bell_Curve",$NN$92*(115-$NR$92+1)*($NS$92-115+1)/$NU$92,$NN$92/$NT$92)),0)</f>
        <v/>
      </c>
      <c r="DP92" s="402">
        <f>IF(AND(116&gt;=$NR$92,116&lt;=$NS$92),IF($NP$92="Single_Point",IF(116=$NR$92,$NN$92,0),IF($NP$92="Bell_Curve",$NN$92*(116-$NR$92+1)*($NS$92-116+1)/$NU$92,$NN$92/$NT$92)),0)</f>
        <v/>
      </c>
      <c r="DQ92" s="402">
        <f>IF(AND(117&gt;=$NR$92,117&lt;=$NS$92),IF($NP$92="Single_Point",IF(117=$NR$92,$NN$92,0),IF($NP$92="Bell_Curve",$NN$92*(117-$NR$92+1)*($NS$92-117+1)/$NU$92,$NN$92/$NT$92)),0)</f>
        <v/>
      </c>
      <c r="DR92" s="402">
        <f>IF(AND(118&gt;=$NR$92,118&lt;=$NS$92),IF($NP$92="Single_Point",IF(118=$NR$92,$NN$92,0),IF($NP$92="Bell_Curve",$NN$92*(118-$NR$92+1)*($NS$92-118+1)/$NU$92,$NN$92/$NT$92)),0)</f>
        <v/>
      </c>
      <c r="DS92" s="402">
        <f>IF(AND(119&gt;=$NR$92,119&lt;=$NS$92),IF($NP$92="Single_Point",IF(119=$NR$92,$NN$92,0),IF($NP$92="Bell_Curve",$NN$92*(119-$NR$92+1)*($NS$92-119+1)/$NU$92,$NN$92/$NT$92)),0)</f>
        <v/>
      </c>
      <c r="DT92" s="402">
        <f>IF(AND(120&gt;=$NR$92,120&lt;=$NS$92),IF($NP$92="Single_Point",IF(120=$NR$92,$NN$92,0),IF($NP$92="Bell_Curve",$NN$92*(120-$NR$92+1)*($NS$92-120+1)/$NU$92,$NN$92/$NT$92)),0)</f>
        <v/>
      </c>
      <c r="DU92" s="402">
        <f>IF(AND(121&gt;=$NR$92,121&lt;=$NS$92),IF($NP$92="Single_Point",IF(121=$NR$92,$NN$92,0),IF($NP$92="Bell_Curve",$NN$92*(121-$NR$92+1)*($NS$92-121+1)/$NU$92,$NN$92/$NT$92)),0)</f>
        <v/>
      </c>
      <c r="DV92" s="402">
        <f>IF(AND(122&gt;=$NR$92,122&lt;=$NS$92),IF($NP$92="Single_Point",IF(122=$NR$92,$NN$92,0),IF($NP$92="Bell_Curve",$NN$92*(122-$NR$92+1)*($NS$92-122+1)/$NU$92,$NN$92/$NT$92)),0)</f>
        <v/>
      </c>
      <c r="DW92" s="402">
        <f>IF(AND(123&gt;=$NR$92,123&lt;=$NS$92),IF($NP$92="Single_Point",IF(123=$NR$92,$NN$92,0),IF($NP$92="Bell_Curve",$NN$92*(123-$NR$92+1)*($NS$92-123+1)/$NU$92,$NN$92/$NT$92)),0)</f>
        <v/>
      </c>
      <c r="DX92" s="402">
        <f>IF(AND(124&gt;=$NR$92,124&lt;=$NS$92),IF($NP$92="Single_Point",IF(124=$NR$92,$NN$92,0),IF($NP$92="Bell_Curve",$NN$92*(124-$NR$92+1)*($NS$92-124+1)/$NU$92,$NN$92/$NT$92)),0)</f>
        <v/>
      </c>
      <c r="DY92" s="402">
        <f>IF(AND(125&gt;=$NR$92,125&lt;=$NS$92),IF($NP$92="Single_Point",IF(125=$NR$92,$NN$92,0),IF($NP$92="Bell_Curve",$NN$92*(125-$NR$92+1)*($NS$92-125+1)/$NU$92,$NN$92/$NT$92)),0)</f>
        <v/>
      </c>
      <c r="DZ92" s="402">
        <f>IF(AND(126&gt;=$NR$92,126&lt;=$NS$92),IF($NP$92="Single_Point",IF(126=$NR$92,$NN$92,0),IF($NP$92="Bell_Curve",$NN$92*(126-$NR$92+1)*($NS$92-126+1)/$NU$92,$NN$92/$NT$92)),0)</f>
        <v/>
      </c>
      <c r="EA92" s="402">
        <f>IF(AND(127&gt;=$NR$92,127&lt;=$NS$92),IF($NP$92="Single_Point",IF(127=$NR$92,$NN$92,0),IF($NP$92="Bell_Curve",$NN$92*(127-$NR$92+1)*($NS$92-127+1)/$NU$92,$NN$92/$NT$92)),0)</f>
        <v/>
      </c>
      <c r="EB92" s="402">
        <f>IF(AND(128&gt;=$NR$92,128&lt;=$NS$92),IF($NP$92="Single_Point",IF(128=$NR$92,$NN$92,0),IF($NP$92="Bell_Curve",$NN$92*(128-$NR$92+1)*($NS$92-128+1)/$NU$92,$NN$92/$NT$92)),0)</f>
        <v/>
      </c>
      <c r="EC92" s="402">
        <f>IF(AND(129&gt;=$NR$92,129&lt;=$NS$92),IF($NP$92="Single_Point",IF(129=$NR$92,$NN$92,0),IF($NP$92="Bell_Curve",$NN$92*(129-$NR$92+1)*($NS$92-129+1)/$NU$92,$NN$92/$NT$92)),0)</f>
        <v/>
      </c>
      <c r="ED92" s="402">
        <f>IF(AND(130&gt;=$NR$92,130&lt;=$NS$92),IF($NP$92="Single_Point",IF(130=$NR$92,$NN$92,0),IF($NP$92="Bell_Curve",$NN$92*(130-$NR$92+1)*($NS$92-130+1)/$NU$92,$NN$92/$NT$92)),0)</f>
        <v/>
      </c>
      <c r="EE92" s="402">
        <f>IF(AND(131&gt;=$NR$92,131&lt;=$NS$92),IF($NP$92="Single_Point",IF(131=$NR$92,$NN$92,0),IF($NP$92="Bell_Curve",$NN$92*(131-$NR$92+1)*($NS$92-131+1)/$NU$92,$NN$92/$NT$92)),0)</f>
        <v/>
      </c>
      <c r="EF92" s="402">
        <f>IF(AND(132&gt;=$NR$92,132&lt;=$NS$92),IF($NP$92="Single_Point",IF(132=$NR$92,$NN$92,0),IF($NP$92="Bell_Curve",$NN$92*(132-$NR$92+1)*($NS$92-132+1)/$NU$92,$NN$92/$NT$92)),0)</f>
        <v/>
      </c>
      <c r="EG92" s="402">
        <f>IF(AND(133&gt;=$NR$92,133&lt;=$NS$92),IF($NP$92="Single_Point",IF(133=$NR$92,$NN$92,0),IF($NP$92="Bell_Curve",$NN$92*(133-$NR$92+1)*($NS$92-133+1)/$NU$92,$NN$92/$NT$92)),0)</f>
        <v/>
      </c>
      <c r="EH92" s="402">
        <f>IF(AND(134&gt;=$NR$92,134&lt;=$NS$92),IF($NP$92="Single_Point",IF(134=$NR$92,$NN$92,0),IF($NP$92="Bell_Curve",$NN$92*(134-$NR$92+1)*($NS$92-134+1)/$NU$92,$NN$92/$NT$92)),0)</f>
        <v/>
      </c>
      <c r="EI92" s="402">
        <f>IF(AND(135&gt;=$NR$92,135&lt;=$NS$92),IF($NP$92="Single_Point",IF(135=$NR$92,$NN$92,0),IF($NP$92="Bell_Curve",$NN$92*(135-$NR$92+1)*($NS$92-135+1)/$NU$92,$NN$92/$NT$92)),0)</f>
        <v/>
      </c>
      <c r="EJ92" s="402">
        <f>IF(AND(136&gt;=$NR$92,136&lt;=$NS$92),IF($NP$92="Single_Point",IF(136=$NR$92,$NN$92,0),IF($NP$92="Bell_Curve",$NN$92*(136-$NR$92+1)*($NS$92-136+1)/$NU$92,$NN$92/$NT$92)),0)</f>
        <v/>
      </c>
      <c r="EK92" s="402">
        <f>IF(AND(137&gt;=$NR$92,137&lt;=$NS$92),IF($NP$92="Single_Point",IF(137=$NR$92,$NN$92,0),IF($NP$92="Bell_Curve",$NN$92*(137-$NR$92+1)*($NS$92-137+1)/$NU$92,$NN$92/$NT$92)),0)</f>
        <v/>
      </c>
      <c r="EL92" s="402">
        <f>IF(AND(138&gt;=$NR$92,138&lt;=$NS$92),IF($NP$92="Single_Point",IF(138=$NR$92,$NN$92,0),IF($NP$92="Bell_Curve",$NN$92*(138-$NR$92+1)*($NS$92-138+1)/$NU$92,$NN$92/$NT$92)),0)</f>
        <v/>
      </c>
      <c r="EM92" s="402">
        <f>IF(AND(139&gt;=$NR$92,139&lt;=$NS$92),IF($NP$92="Single_Point",IF(139=$NR$92,$NN$92,0),IF($NP$92="Bell_Curve",$NN$92*(139-$NR$92+1)*($NS$92-139+1)/$NU$92,$NN$92/$NT$92)),0)</f>
        <v/>
      </c>
      <c r="EN92" s="402">
        <f>IF(AND(140&gt;=$NR$92,140&lt;=$NS$92),IF($NP$92="Single_Point",IF(140=$NR$92,$NN$92,0),IF($NP$92="Bell_Curve",$NN$92*(140-$NR$92+1)*($NS$92-140+1)/$NU$92,$NN$92/$NT$92)),0)</f>
        <v/>
      </c>
      <c r="EO92" s="402">
        <f>IF(AND(141&gt;=$NR$92,141&lt;=$NS$92),IF($NP$92="Single_Point",IF(141=$NR$92,$NN$92,0),IF($NP$92="Bell_Curve",$NN$92*(141-$NR$92+1)*($NS$92-141+1)/$NU$92,$NN$92/$NT$92)),0)</f>
        <v/>
      </c>
      <c r="EP92" s="402">
        <f>IF(AND(142&gt;=$NR$92,142&lt;=$NS$92),IF($NP$92="Single_Point",IF(142=$NR$92,$NN$92,0),IF($NP$92="Bell_Curve",$NN$92*(142-$NR$92+1)*($NS$92-142+1)/$NU$92,$NN$92/$NT$92)),0)</f>
        <v/>
      </c>
      <c r="EQ92" s="402">
        <f>IF(AND(143&gt;=$NR$92,143&lt;=$NS$92),IF($NP$92="Single_Point",IF(143=$NR$92,$NN$92,0),IF($NP$92="Bell_Curve",$NN$92*(143-$NR$92+1)*($NS$92-143+1)/$NU$92,$NN$92/$NT$92)),0)</f>
        <v/>
      </c>
      <c r="ER92" s="402">
        <f>IF(AND(144&gt;=$NR$92,144&lt;=$NS$92),IF($NP$92="Single_Point",IF(144=$NR$92,$NN$92,0),IF($NP$92="Bell_Curve",$NN$92*(144-$NR$92+1)*($NS$92-144+1)/$NU$92,$NN$92/$NT$92)),0)</f>
        <v/>
      </c>
      <c r="ES92" s="402">
        <f>IF(AND(145&gt;=$NR$92,145&lt;=$NS$92),IF($NP$92="Single_Point",IF(145=$NR$92,$NN$92,0),IF($NP$92="Bell_Curve",$NN$92*(145-$NR$92+1)*($NS$92-145+1)/$NU$92,$NN$92/$NT$92)),0)</f>
        <v/>
      </c>
      <c r="ET92" s="402">
        <f>IF(AND(146&gt;=$NR$92,146&lt;=$NS$92),IF($NP$92="Single_Point",IF(146=$NR$92,$NN$92,0),IF($NP$92="Bell_Curve",$NN$92*(146-$NR$92+1)*($NS$92-146+1)/$NU$92,$NN$92/$NT$92)),0)</f>
        <v/>
      </c>
      <c r="EU92" s="402">
        <f>IF(AND(147&gt;=$NR$92,147&lt;=$NS$92),IF($NP$92="Single_Point",IF(147=$NR$92,$NN$92,0),IF($NP$92="Bell_Curve",$NN$92*(147-$NR$92+1)*($NS$92-147+1)/$NU$92,$NN$92/$NT$92)),0)</f>
        <v/>
      </c>
      <c r="EV92" s="402">
        <f>IF(AND(148&gt;=$NR$92,148&lt;=$NS$92),IF($NP$92="Single_Point",IF(148=$NR$92,$NN$92,0),IF($NP$92="Bell_Curve",$NN$92*(148-$NR$92+1)*($NS$92-148+1)/$NU$92,$NN$92/$NT$92)),0)</f>
        <v/>
      </c>
      <c r="EW92" s="402">
        <f>IF(AND(149&gt;=$NR$92,149&lt;=$NS$92),IF($NP$92="Single_Point",IF(149=$NR$92,$NN$92,0),IF($NP$92="Bell_Curve",$NN$92*(149-$NR$92+1)*($NS$92-149+1)/$NU$92,$NN$92/$NT$92)),0)</f>
        <v/>
      </c>
      <c r="EX92" s="402">
        <f>IF(AND(150&gt;=$NR$92,150&lt;=$NS$92),IF($NP$92="Single_Point",IF(150=$NR$92,$NN$92,0),IF($NP$92="Bell_Curve",$NN$92*(150-$NR$92+1)*($NS$92-150+1)/$NU$92,$NN$92/$NT$92)),0)</f>
        <v/>
      </c>
      <c r="EY92" s="402">
        <f>IF(AND(151&gt;=$NR$92,151&lt;=$NS$92),IF($NP$92="Single_Point",IF(151=$NR$92,$NN$92,0),IF($NP$92="Bell_Curve",$NN$92*(151-$NR$92+1)*($NS$92-151+1)/$NU$92,$NN$92/$NT$92)),0)</f>
        <v/>
      </c>
      <c r="EZ92" s="402">
        <f>IF(AND(152&gt;=$NR$92,152&lt;=$NS$92),IF($NP$92="Single_Point",IF(152=$NR$92,$NN$92,0),IF($NP$92="Bell_Curve",$NN$92*(152-$NR$92+1)*($NS$92-152+1)/$NU$92,$NN$92/$NT$92)),0)</f>
        <v/>
      </c>
      <c r="FA92" s="402">
        <f>IF(AND(153&gt;=$NR$92,153&lt;=$NS$92),IF($NP$92="Single_Point",IF(153=$NR$92,$NN$92,0),IF($NP$92="Bell_Curve",$NN$92*(153-$NR$92+1)*($NS$92-153+1)/$NU$92,$NN$92/$NT$92)),0)</f>
        <v/>
      </c>
      <c r="FB92" s="402">
        <f>IF(AND(154&gt;=$NR$92,154&lt;=$NS$92),IF($NP$92="Single_Point",IF(154=$NR$92,$NN$92,0),IF($NP$92="Bell_Curve",$NN$92*(154-$NR$92+1)*($NS$92-154+1)/$NU$92,$NN$92/$NT$92)),0)</f>
        <v/>
      </c>
      <c r="FC92" s="402">
        <f>IF(AND(155&gt;=$NR$92,155&lt;=$NS$92),IF($NP$92="Single_Point",IF(155=$NR$92,$NN$92,0),IF($NP$92="Bell_Curve",$NN$92*(155-$NR$92+1)*($NS$92-155+1)/$NU$92,$NN$92/$NT$92)),0)</f>
        <v/>
      </c>
      <c r="FD92" s="402">
        <f>IF(AND(156&gt;=$NR$92,156&lt;=$NS$92),IF($NP$92="Single_Point",IF(156=$NR$92,$NN$92,0),IF($NP$92="Bell_Curve",$NN$92*(156-$NR$92+1)*($NS$92-156+1)/$NU$92,$NN$92/$NT$92)),0)</f>
        <v/>
      </c>
      <c r="FE92" s="402">
        <f>IF(AND(157&gt;=$NR$92,157&lt;=$NS$92),IF($NP$92="Single_Point",IF(157=$NR$92,$NN$92,0),IF($NP$92="Bell_Curve",$NN$92*(157-$NR$92+1)*($NS$92-157+1)/$NU$92,$NN$92/$NT$92)),0)</f>
        <v/>
      </c>
      <c r="FF92" s="402">
        <f>IF(AND(158&gt;=$NR$92,158&lt;=$NS$92),IF($NP$92="Single_Point",IF(158=$NR$92,$NN$92,0),IF($NP$92="Bell_Curve",$NN$92*(158-$NR$92+1)*($NS$92-158+1)/$NU$92,$NN$92/$NT$92)),0)</f>
        <v/>
      </c>
      <c r="FG92" s="402">
        <f>IF(AND(159&gt;=$NR$92,159&lt;=$NS$92),IF($NP$92="Single_Point",IF(159=$NR$92,$NN$92,0),IF($NP$92="Bell_Curve",$NN$92*(159-$NR$92+1)*($NS$92-159+1)/$NU$92,$NN$92/$NT$92)),0)</f>
        <v/>
      </c>
      <c r="FH92" s="402">
        <f>IF(AND(160&gt;=$NR$92,160&lt;=$NS$92),IF($NP$92="Single_Point",IF(160=$NR$92,$NN$92,0),IF($NP$92="Bell_Curve",$NN$92*(160-$NR$92+1)*($NS$92-160+1)/$NU$92,$NN$92/$NT$92)),0)</f>
        <v/>
      </c>
      <c r="FI92" s="402">
        <f>IF(AND(161&gt;=$NR$92,161&lt;=$NS$92),IF($NP$92="Single_Point",IF(161=$NR$92,$NN$92,0),IF($NP$92="Bell_Curve",$NN$92*(161-$NR$92+1)*($NS$92-161+1)/$NU$92,$NN$92/$NT$92)),0)</f>
        <v/>
      </c>
      <c r="FJ92" s="402">
        <f>IF(AND(162&gt;=$NR$92,162&lt;=$NS$92),IF($NP$92="Single_Point",IF(162=$NR$92,$NN$92,0),IF($NP$92="Bell_Curve",$NN$92*(162-$NR$92+1)*($NS$92-162+1)/$NU$92,$NN$92/$NT$92)),0)</f>
        <v/>
      </c>
      <c r="FK92" s="402">
        <f>IF(AND(163&gt;=$NR$92,163&lt;=$NS$92),IF($NP$92="Single_Point",IF(163=$NR$92,$NN$92,0),IF($NP$92="Bell_Curve",$NN$92*(163-$NR$92+1)*($NS$92-163+1)/$NU$92,$NN$92/$NT$92)),0)</f>
        <v/>
      </c>
      <c r="FL92" s="402">
        <f>IF(AND(164&gt;=$NR$92,164&lt;=$NS$92),IF($NP$92="Single_Point",IF(164=$NR$92,$NN$92,0),IF($NP$92="Bell_Curve",$NN$92*(164-$NR$92+1)*($NS$92-164+1)/$NU$92,$NN$92/$NT$92)),0)</f>
        <v/>
      </c>
      <c r="FM92" s="402">
        <f>IF(AND(165&gt;=$NR$92,165&lt;=$NS$92),IF($NP$92="Single_Point",IF(165=$NR$92,$NN$92,0),IF($NP$92="Bell_Curve",$NN$92*(165-$NR$92+1)*($NS$92-165+1)/$NU$92,$NN$92/$NT$92)),0)</f>
        <v/>
      </c>
      <c r="FN92" s="402">
        <f>IF(AND(166&gt;=$NR$92,166&lt;=$NS$92),IF($NP$92="Single_Point",IF(166=$NR$92,$NN$92,0),IF($NP$92="Bell_Curve",$NN$92*(166-$NR$92+1)*($NS$92-166+1)/$NU$92,$NN$92/$NT$92)),0)</f>
        <v/>
      </c>
      <c r="FO92" s="402">
        <f>IF(AND(167&gt;=$NR$92,167&lt;=$NS$92),IF($NP$92="Single_Point",IF(167=$NR$92,$NN$92,0),IF($NP$92="Bell_Curve",$NN$92*(167-$NR$92+1)*($NS$92-167+1)/$NU$92,$NN$92/$NT$92)),0)</f>
        <v/>
      </c>
      <c r="FP92" s="402">
        <f>IF(AND(168&gt;=$NR$92,168&lt;=$NS$92),IF($NP$92="Single_Point",IF(168=$NR$92,$NN$92,0),IF($NP$92="Bell_Curve",$NN$92*(168-$NR$92+1)*($NS$92-168+1)/$NU$92,$NN$92/$NT$92)),0)</f>
        <v/>
      </c>
      <c r="FQ92" s="402">
        <f>IF(AND(169&gt;=$NR$92,169&lt;=$NS$92),IF($NP$92="Single_Point",IF(169=$NR$92,$NN$92,0),IF($NP$92="Bell_Curve",$NN$92*(169-$NR$92+1)*($NS$92-169+1)/$NU$92,$NN$92/$NT$92)),0)</f>
        <v/>
      </c>
      <c r="FR92" s="402">
        <f>IF(AND(170&gt;=$NR$92,170&lt;=$NS$92),IF($NP$92="Single_Point",IF(170=$NR$92,$NN$92,0),IF($NP$92="Bell_Curve",$NN$92*(170-$NR$92+1)*($NS$92-170+1)/$NU$92,$NN$92/$NT$92)),0)</f>
        <v/>
      </c>
      <c r="FS92" s="402">
        <f>IF(AND(171&gt;=$NR$92,171&lt;=$NS$92),IF($NP$92="Single_Point",IF(171=$NR$92,$NN$92,0),IF($NP$92="Bell_Curve",$NN$92*(171-$NR$92+1)*($NS$92-171+1)/$NU$92,$NN$92/$NT$92)),0)</f>
        <v/>
      </c>
      <c r="FT92" s="402">
        <f>IF(AND(172&gt;=$NR$92,172&lt;=$NS$92),IF($NP$92="Single_Point",IF(172=$NR$92,$NN$92,0),IF($NP$92="Bell_Curve",$NN$92*(172-$NR$92+1)*($NS$92-172+1)/$NU$92,$NN$92/$NT$92)),0)</f>
        <v/>
      </c>
      <c r="FU92" s="402">
        <f>IF(AND(173&gt;=$NR$92,173&lt;=$NS$92),IF($NP$92="Single_Point",IF(173=$NR$92,$NN$92,0),IF($NP$92="Bell_Curve",$NN$92*(173-$NR$92+1)*($NS$92-173+1)/$NU$92,$NN$92/$NT$92)),0)</f>
        <v/>
      </c>
      <c r="FV92" s="402">
        <f>IF(AND(174&gt;=$NR$92,174&lt;=$NS$92),IF($NP$92="Single_Point",IF(174=$NR$92,$NN$92,0),IF($NP$92="Bell_Curve",$NN$92*(174-$NR$92+1)*($NS$92-174+1)/$NU$92,$NN$92/$NT$92)),0)</f>
        <v/>
      </c>
      <c r="FW92" s="402">
        <f>IF(AND(175&gt;=$NR$92,175&lt;=$NS$92),IF($NP$92="Single_Point",IF(175=$NR$92,$NN$92,0),IF($NP$92="Bell_Curve",$NN$92*(175-$NR$92+1)*($NS$92-175+1)/$NU$92,$NN$92/$NT$92)),0)</f>
        <v/>
      </c>
      <c r="FX92" s="402">
        <f>IF(AND(176&gt;=$NR$92,176&lt;=$NS$92),IF($NP$92="Single_Point",IF(176=$NR$92,$NN$92,0),IF($NP$92="Bell_Curve",$NN$92*(176-$NR$92+1)*($NS$92-176+1)/$NU$92,$NN$92/$NT$92)),0)</f>
        <v/>
      </c>
      <c r="FY92" s="402">
        <f>IF(AND(177&gt;=$NR$92,177&lt;=$NS$92),IF($NP$92="Single_Point",IF(177=$NR$92,$NN$92,0),IF($NP$92="Bell_Curve",$NN$92*(177-$NR$92+1)*($NS$92-177+1)/$NU$92,$NN$92/$NT$92)),0)</f>
        <v/>
      </c>
      <c r="FZ92" s="402">
        <f>IF(AND(178&gt;=$NR$92,178&lt;=$NS$92),IF($NP$92="Single_Point",IF(178=$NR$92,$NN$92,0),IF($NP$92="Bell_Curve",$NN$92*(178-$NR$92+1)*($NS$92-178+1)/$NU$92,$NN$92/$NT$92)),0)</f>
        <v/>
      </c>
      <c r="GA92" s="402">
        <f>IF(AND(179&gt;=$NR$92,179&lt;=$NS$92),IF($NP$92="Single_Point",IF(179=$NR$92,$NN$92,0),IF($NP$92="Bell_Curve",$NN$92*(179-$NR$92+1)*($NS$92-179+1)/$NU$92,$NN$92/$NT$92)),0)</f>
        <v/>
      </c>
      <c r="GB92" s="402">
        <f>IF(AND(180&gt;=$NR$92,180&lt;=$NS$92),IF($NP$92="Single_Point",IF(180=$NR$92,$NN$92,0),IF($NP$92="Bell_Curve",$NN$92*(180-$NR$92+1)*($NS$92-180+1)/$NU$92,$NN$92/$NT$92)),0)</f>
        <v/>
      </c>
      <c r="GC92" s="402">
        <f>IF(AND(181&gt;=$NR$92,181&lt;=$NS$92),IF($NP$92="Single_Point",IF(181=$NR$92,$NN$92,0),IF($NP$92="Bell_Curve",$NN$92*(181-$NR$92+1)*($NS$92-181+1)/$NU$92,$NN$92/$NT$92)),0)</f>
        <v/>
      </c>
      <c r="GD92" s="402">
        <f>IF(AND(182&gt;=$NR$92,182&lt;=$NS$92),IF($NP$92="Single_Point",IF(182=$NR$92,$NN$92,0),IF($NP$92="Bell_Curve",$NN$92*(182-$NR$92+1)*($NS$92-182+1)/$NU$92,$NN$92/$NT$92)),0)</f>
        <v/>
      </c>
      <c r="GE92" s="402">
        <f>IF(AND(183&gt;=$NR$92,183&lt;=$NS$92),IF($NP$92="Single_Point",IF(183=$NR$92,$NN$92,0),IF($NP$92="Bell_Curve",$NN$92*(183-$NR$92+1)*($NS$92-183+1)/$NU$92,$NN$92/$NT$92)),0)</f>
        <v/>
      </c>
      <c r="GF92" s="402">
        <f>IF(AND(184&gt;=$NR$92,184&lt;=$NS$92),IF($NP$92="Single_Point",IF(184=$NR$92,$NN$92,0),IF($NP$92="Bell_Curve",$NN$92*(184-$NR$92+1)*($NS$92-184+1)/$NU$92,$NN$92/$NT$92)),0)</f>
        <v/>
      </c>
      <c r="GG92" s="402">
        <f>IF(AND(185&gt;=$NR$92,185&lt;=$NS$92),IF($NP$92="Single_Point",IF(185=$NR$92,$NN$92,0),IF($NP$92="Bell_Curve",$NN$92*(185-$NR$92+1)*($NS$92-185+1)/$NU$92,$NN$92/$NT$92)),0)</f>
        <v/>
      </c>
      <c r="GH92" s="402">
        <f>IF(AND(186&gt;=$NR$92,186&lt;=$NS$92),IF($NP$92="Single_Point",IF(186=$NR$92,$NN$92,0),IF($NP$92="Bell_Curve",$NN$92*(186-$NR$92+1)*($NS$92-186+1)/$NU$92,$NN$92/$NT$92)),0)</f>
        <v/>
      </c>
      <c r="GI92" s="402">
        <f>IF(AND(187&gt;=$NR$92,187&lt;=$NS$92),IF($NP$92="Single_Point",IF(187=$NR$92,$NN$92,0),IF($NP$92="Bell_Curve",$NN$92*(187-$NR$92+1)*($NS$92-187+1)/$NU$92,$NN$92/$NT$92)),0)</f>
        <v/>
      </c>
      <c r="GJ92" s="402">
        <f>IF(AND(188&gt;=$NR$92,188&lt;=$NS$92),IF($NP$92="Single_Point",IF(188=$NR$92,$NN$92,0),IF($NP$92="Bell_Curve",$NN$92*(188-$NR$92+1)*($NS$92-188+1)/$NU$92,$NN$92/$NT$92)),0)</f>
        <v/>
      </c>
      <c r="GK92" s="402">
        <f>IF(AND(189&gt;=$NR$92,189&lt;=$NS$92),IF($NP$92="Single_Point",IF(189=$NR$92,$NN$92,0),IF($NP$92="Bell_Curve",$NN$92*(189-$NR$92+1)*($NS$92-189+1)/$NU$92,$NN$92/$NT$92)),0)</f>
        <v/>
      </c>
      <c r="GL92" s="402">
        <f>IF(AND(190&gt;=$NR$92,190&lt;=$NS$92),IF($NP$92="Single_Point",IF(190=$NR$92,$NN$92,0),IF($NP$92="Bell_Curve",$NN$92*(190-$NR$92+1)*($NS$92-190+1)/$NU$92,$NN$92/$NT$92)),0)</f>
        <v/>
      </c>
      <c r="GM92" s="402">
        <f>IF(AND(191&gt;=$NR$92,191&lt;=$NS$92),IF($NP$92="Single_Point",IF(191=$NR$92,$NN$92,0),IF($NP$92="Bell_Curve",$NN$92*(191-$NR$92+1)*($NS$92-191+1)/$NU$92,$NN$92/$NT$92)),0)</f>
        <v/>
      </c>
      <c r="GN92" s="402">
        <f>IF(AND(192&gt;=$NR$92,192&lt;=$NS$92),IF($NP$92="Single_Point",IF(192=$NR$92,$NN$92,0),IF($NP$92="Bell_Curve",$NN$92*(192-$NR$92+1)*($NS$92-192+1)/$NU$92,$NN$92/$NT$92)),0)</f>
        <v/>
      </c>
      <c r="GO92" s="402">
        <f>IF(AND(193&gt;=$NR$92,193&lt;=$NS$92),IF($NP$92="Single_Point",IF(193=$NR$92,$NN$92,0),IF($NP$92="Bell_Curve",$NN$92*(193-$NR$92+1)*($NS$92-193+1)/$NU$92,$NN$92/$NT$92)),0)</f>
        <v/>
      </c>
      <c r="GP92" s="402">
        <f>IF(AND(194&gt;=$NR$92,194&lt;=$NS$92),IF($NP$92="Single_Point",IF(194=$NR$92,$NN$92,0),IF($NP$92="Bell_Curve",$NN$92*(194-$NR$92+1)*($NS$92-194+1)/$NU$92,$NN$92/$NT$92)),0)</f>
        <v/>
      </c>
      <c r="GQ92" s="402">
        <f>IF(AND(195&gt;=$NR$92,195&lt;=$NS$92),IF($NP$92="Single_Point",IF(195=$NR$92,$NN$92,0),IF($NP$92="Bell_Curve",$NN$92*(195-$NR$92+1)*($NS$92-195+1)/$NU$92,$NN$92/$NT$92)),0)</f>
        <v/>
      </c>
      <c r="GR92" s="402">
        <f>IF(AND(196&gt;=$NR$92,196&lt;=$NS$92),IF($NP$92="Single_Point",IF(196=$NR$92,$NN$92,0),IF($NP$92="Bell_Curve",$NN$92*(196-$NR$92+1)*($NS$92-196+1)/$NU$92,$NN$92/$NT$92)),0)</f>
        <v/>
      </c>
      <c r="GS92" s="402">
        <f>IF(AND(197&gt;=$NR$92,197&lt;=$NS$92),IF($NP$92="Single_Point",IF(197=$NR$92,$NN$92,0),IF($NP$92="Bell_Curve",$NN$92*(197-$NR$92+1)*($NS$92-197+1)/$NU$92,$NN$92/$NT$92)),0)</f>
        <v/>
      </c>
      <c r="GT92" s="402">
        <f>IF(AND(198&gt;=$NR$92,198&lt;=$NS$92),IF($NP$92="Single_Point",IF(198=$NR$92,$NN$92,0),IF($NP$92="Bell_Curve",$NN$92*(198-$NR$92+1)*($NS$92-198+1)/$NU$92,$NN$92/$NT$92)),0)</f>
        <v/>
      </c>
      <c r="GU92" s="402">
        <f>IF(AND(199&gt;=$NR$92,199&lt;=$NS$92),IF($NP$92="Single_Point",IF(199=$NR$92,$NN$92,0),IF($NP$92="Bell_Curve",$NN$92*(199-$NR$92+1)*($NS$92-199+1)/$NU$92,$NN$92/$NT$92)),0)</f>
        <v/>
      </c>
      <c r="GV92" s="402">
        <f>IF(AND(200&gt;=$NR$92,200&lt;=$NS$92),IF($NP$92="Single_Point",IF(200=$NR$92,$NN$92,0),IF($NP$92="Bell_Curve",$NN$92*(200-$NR$92+1)*($NS$92-200+1)/$NU$92,$NN$92/$NT$92)),0)</f>
        <v/>
      </c>
      <c r="GW92" s="402">
        <f>IF(AND(201&gt;=$NR$92,201&lt;=$NS$92),IF($NP$92="Single_Point",IF(201=$NR$92,$NN$92,0),IF($NP$92="Bell_Curve",$NN$92*(201-$NR$92+1)*($NS$92-201+1)/$NU$92,$NN$92/$NT$92)),0)</f>
        <v/>
      </c>
      <c r="GX92" s="402">
        <f>IF(AND(202&gt;=$NR$92,202&lt;=$NS$92),IF($NP$92="Single_Point",IF(202=$NR$92,$NN$92,0),IF($NP$92="Bell_Curve",$NN$92*(202-$NR$92+1)*($NS$92-202+1)/$NU$92,$NN$92/$NT$92)),0)</f>
        <v/>
      </c>
      <c r="GY92" s="402">
        <f>IF(AND(203&gt;=$NR$92,203&lt;=$NS$92),IF($NP$92="Single_Point",IF(203=$NR$92,$NN$92,0),IF($NP$92="Bell_Curve",$NN$92*(203-$NR$92+1)*($NS$92-203+1)/$NU$92,$NN$92/$NT$92)),0)</f>
        <v/>
      </c>
      <c r="GZ92" s="402">
        <f>IF(AND(204&gt;=$NR$92,204&lt;=$NS$92),IF($NP$92="Single_Point",IF(204=$NR$92,$NN$92,0),IF($NP$92="Bell_Curve",$NN$92*(204-$NR$92+1)*($NS$92-204+1)/$NU$92,$NN$92/$NT$92)),0)</f>
        <v/>
      </c>
      <c r="HA92" s="402">
        <f>IF(AND(205&gt;=$NR$92,205&lt;=$NS$92),IF($NP$92="Single_Point",IF(205=$NR$92,$NN$92,0),IF($NP$92="Bell_Curve",$NN$92*(205-$NR$92+1)*($NS$92-205+1)/$NU$92,$NN$92/$NT$92)),0)</f>
        <v/>
      </c>
      <c r="HB92" s="402">
        <f>IF(AND(206&gt;=$NR$92,206&lt;=$NS$92),IF($NP$92="Single_Point",IF(206=$NR$92,$NN$92,0),IF($NP$92="Bell_Curve",$NN$92*(206-$NR$92+1)*($NS$92-206+1)/$NU$92,$NN$92/$NT$92)),0)</f>
        <v/>
      </c>
      <c r="HC92" s="402">
        <f>IF(AND(207&gt;=$NR$92,207&lt;=$NS$92),IF($NP$92="Single_Point",IF(207=$NR$92,$NN$92,0),IF($NP$92="Bell_Curve",$NN$92*(207-$NR$92+1)*($NS$92-207+1)/$NU$92,$NN$92/$NT$92)),0)</f>
        <v/>
      </c>
      <c r="HD92" s="402">
        <f>IF(AND(208&gt;=$NR$92,208&lt;=$NS$92),IF($NP$92="Single_Point",IF(208=$NR$92,$NN$92,0),IF($NP$92="Bell_Curve",$NN$92*(208-$NR$92+1)*($NS$92-208+1)/$NU$92,$NN$92/$NT$92)),0)</f>
        <v/>
      </c>
      <c r="HE92" s="402">
        <f>IF(AND(209&gt;=$NR$92,209&lt;=$NS$92),IF($NP$92="Single_Point",IF(209=$NR$92,$NN$92,0),IF($NP$92="Bell_Curve",$NN$92*(209-$NR$92+1)*($NS$92-209+1)/$NU$92,$NN$92/$NT$92)),0)</f>
        <v/>
      </c>
      <c r="HF92" s="402">
        <f>IF(AND(210&gt;=$NR$92,210&lt;=$NS$92),IF($NP$92="Single_Point",IF(210=$NR$92,$NN$92,0),IF($NP$92="Bell_Curve",$NN$92*(210-$NR$92+1)*($NS$92-210+1)/$NU$92,$NN$92/$NT$92)),0)</f>
        <v/>
      </c>
      <c r="HG92" s="402">
        <f>IF(AND(211&gt;=$NR$92,211&lt;=$NS$92),IF($NP$92="Single_Point",IF(211=$NR$92,$NN$92,0),IF($NP$92="Bell_Curve",$NN$92*(211-$NR$92+1)*($NS$92-211+1)/$NU$92,$NN$92/$NT$92)),0)</f>
        <v/>
      </c>
      <c r="HH92" s="402">
        <f>IF(AND(212&gt;=$NR$92,212&lt;=$NS$92),IF($NP$92="Single_Point",IF(212=$NR$92,$NN$92,0),IF($NP$92="Bell_Curve",$NN$92*(212-$NR$92+1)*($NS$92-212+1)/$NU$92,$NN$92/$NT$92)),0)</f>
        <v/>
      </c>
      <c r="HI92" s="402">
        <f>IF(AND(213&gt;=$NR$92,213&lt;=$NS$92),IF($NP$92="Single_Point",IF(213=$NR$92,$NN$92,0),IF($NP$92="Bell_Curve",$NN$92*(213-$NR$92+1)*($NS$92-213+1)/$NU$92,$NN$92/$NT$92)),0)</f>
        <v/>
      </c>
      <c r="HJ92" s="402">
        <f>IF(AND(214&gt;=$NR$92,214&lt;=$NS$92),IF($NP$92="Single_Point",IF(214=$NR$92,$NN$92,0),IF($NP$92="Bell_Curve",$NN$92*(214-$NR$92+1)*($NS$92-214+1)/$NU$92,$NN$92/$NT$92)),0)</f>
        <v/>
      </c>
      <c r="HK92" s="402">
        <f>IF(AND(215&gt;=$NR$92,215&lt;=$NS$92),IF($NP$92="Single_Point",IF(215=$NR$92,$NN$92,0),IF($NP$92="Bell_Curve",$NN$92*(215-$NR$92+1)*($NS$92-215+1)/$NU$92,$NN$92/$NT$92)),0)</f>
        <v/>
      </c>
      <c r="HL92" s="402">
        <f>IF(AND(216&gt;=$NR$92,216&lt;=$NS$92),IF($NP$92="Single_Point",IF(216=$NR$92,$NN$92,0),IF($NP$92="Bell_Curve",$NN$92*(216-$NR$92+1)*($NS$92-216+1)/$NU$92,$NN$92/$NT$92)),0)</f>
        <v/>
      </c>
      <c r="HM92" s="402">
        <f>IF(AND(217&gt;=$NR$92,217&lt;=$NS$92),IF($NP$92="Single_Point",IF(217=$NR$92,$NN$92,0),IF($NP$92="Bell_Curve",$NN$92*(217-$NR$92+1)*($NS$92-217+1)/$NU$92,$NN$92/$NT$92)),0)</f>
        <v/>
      </c>
      <c r="HN92" s="402">
        <f>IF(AND(218&gt;=$NR$92,218&lt;=$NS$92),IF($NP$92="Single_Point",IF(218=$NR$92,$NN$92,0),IF($NP$92="Bell_Curve",$NN$92*(218-$NR$92+1)*($NS$92-218+1)/$NU$92,$NN$92/$NT$92)),0)</f>
        <v/>
      </c>
      <c r="HO92" s="402">
        <f>IF(AND(219&gt;=$NR$92,219&lt;=$NS$92),IF($NP$92="Single_Point",IF(219=$NR$92,$NN$92,0),IF($NP$92="Bell_Curve",$NN$92*(219-$NR$92+1)*($NS$92-219+1)/$NU$92,$NN$92/$NT$92)),0)</f>
        <v/>
      </c>
      <c r="HP92" s="402">
        <f>IF(AND(220&gt;=$NR$92,220&lt;=$NS$92),IF($NP$92="Single_Point",IF(220=$NR$92,$NN$92,0),IF($NP$92="Bell_Curve",$NN$92*(220-$NR$92+1)*($NS$92-220+1)/$NU$92,$NN$92/$NT$92)),0)</f>
        <v/>
      </c>
      <c r="HQ92" s="402">
        <f>IF(AND(221&gt;=$NR$92,221&lt;=$NS$92),IF($NP$92="Single_Point",IF(221=$NR$92,$NN$92,0),IF($NP$92="Bell_Curve",$NN$92*(221-$NR$92+1)*($NS$92-221+1)/$NU$92,$NN$92/$NT$92)),0)</f>
        <v/>
      </c>
      <c r="HR92" s="402">
        <f>IF(AND(222&gt;=$NR$92,222&lt;=$NS$92),IF($NP$92="Single_Point",IF(222=$NR$92,$NN$92,0),IF($NP$92="Bell_Curve",$NN$92*(222-$NR$92+1)*($NS$92-222+1)/$NU$92,$NN$92/$NT$92)),0)</f>
        <v/>
      </c>
      <c r="HS92" s="402">
        <f>IF(AND(223&gt;=$NR$92,223&lt;=$NS$92),IF($NP$92="Single_Point",IF(223=$NR$92,$NN$92,0),IF($NP$92="Bell_Curve",$NN$92*(223-$NR$92+1)*($NS$92-223+1)/$NU$92,$NN$92/$NT$92)),0)</f>
        <v/>
      </c>
      <c r="HT92" s="402">
        <f>IF(AND(224&gt;=$NR$92,224&lt;=$NS$92),IF($NP$92="Single_Point",IF(224=$NR$92,$NN$92,0),IF($NP$92="Bell_Curve",$NN$92*(224-$NR$92+1)*($NS$92-224+1)/$NU$92,$NN$92/$NT$92)),0)</f>
        <v/>
      </c>
      <c r="HU92" s="402">
        <f>IF(AND(225&gt;=$NR$92,225&lt;=$NS$92),IF($NP$92="Single_Point",IF(225=$NR$92,$NN$92,0),IF($NP$92="Bell_Curve",$NN$92*(225-$NR$92+1)*($NS$92-225+1)/$NU$92,$NN$92/$NT$92)),0)</f>
        <v/>
      </c>
      <c r="HV92" s="402">
        <f>IF(AND(226&gt;=$NR$92,226&lt;=$NS$92),IF($NP$92="Single_Point",IF(226=$NR$92,$NN$92,0),IF($NP$92="Bell_Curve",$NN$92*(226-$NR$92+1)*($NS$92-226+1)/$NU$92,$NN$92/$NT$92)),0)</f>
        <v/>
      </c>
      <c r="HW92" s="402">
        <f>IF(AND(227&gt;=$NR$92,227&lt;=$NS$92),IF($NP$92="Single_Point",IF(227=$NR$92,$NN$92,0),IF($NP$92="Bell_Curve",$NN$92*(227-$NR$92+1)*($NS$92-227+1)/$NU$92,$NN$92/$NT$92)),0)</f>
        <v/>
      </c>
      <c r="HX92" s="402">
        <f>IF(AND(228&gt;=$NR$92,228&lt;=$NS$92),IF($NP$92="Single_Point",IF(228=$NR$92,$NN$92,0),IF($NP$92="Bell_Curve",$NN$92*(228-$NR$92+1)*($NS$92-228+1)/$NU$92,$NN$92/$NT$92)),0)</f>
        <v/>
      </c>
      <c r="HY92" s="402">
        <f>IF(AND(229&gt;=$NR$92,229&lt;=$NS$92),IF($NP$92="Single_Point",IF(229=$NR$92,$NN$92,0),IF($NP$92="Bell_Curve",$NN$92*(229-$NR$92+1)*($NS$92-229+1)/$NU$92,$NN$92/$NT$92)),0)</f>
        <v/>
      </c>
      <c r="HZ92" s="402">
        <f>IF(AND(230&gt;=$NR$92,230&lt;=$NS$92),IF($NP$92="Single_Point",IF(230=$NR$92,$NN$92,0),IF($NP$92="Bell_Curve",$NN$92*(230-$NR$92+1)*($NS$92-230+1)/$NU$92,$NN$92/$NT$92)),0)</f>
        <v/>
      </c>
      <c r="IA92" s="402">
        <f>IF(AND(231&gt;=$NR$92,231&lt;=$NS$92),IF($NP$92="Single_Point",IF(231=$NR$92,$NN$92,0),IF($NP$92="Bell_Curve",$NN$92*(231-$NR$92+1)*($NS$92-231+1)/$NU$92,$NN$92/$NT$92)),0)</f>
        <v/>
      </c>
      <c r="IB92" s="402">
        <f>IF(AND(232&gt;=$NR$92,232&lt;=$NS$92),IF($NP$92="Single_Point",IF(232=$NR$92,$NN$92,0),IF($NP$92="Bell_Curve",$NN$92*(232-$NR$92+1)*($NS$92-232+1)/$NU$92,$NN$92/$NT$92)),0)</f>
        <v/>
      </c>
      <c r="IC92" s="402">
        <f>IF(AND(233&gt;=$NR$92,233&lt;=$NS$92),IF($NP$92="Single_Point",IF(233=$NR$92,$NN$92,0),IF($NP$92="Bell_Curve",$NN$92*(233-$NR$92+1)*($NS$92-233+1)/$NU$92,$NN$92/$NT$92)),0)</f>
        <v/>
      </c>
      <c r="ID92" s="402">
        <f>IF(AND(234&gt;=$NR$92,234&lt;=$NS$92),IF($NP$92="Single_Point",IF(234=$NR$92,$NN$92,0),IF($NP$92="Bell_Curve",$NN$92*(234-$NR$92+1)*($NS$92-234+1)/$NU$92,$NN$92/$NT$92)),0)</f>
        <v/>
      </c>
      <c r="IE92" s="402">
        <f>IF(AND(235&gt;=$NR$92,235&lt;=$NS$92),IF($NP$92="Single_Point",IF(235=$NR$92,$NN$92,0),IF($NP$92="Bell_Curve",$NN$92*(235-$NR$92+1)*($NS$92-235+1)/$NU$92,$NN$92/$NT$92)),0)</f>
        <v/>
      </c>
      <c r="IF92" s="402">
        <f>IF(AND(236&gt;=$NR$92,236&lt;=$NS$92),IF($NP$92="Single_Point",IF(236=$NR$92,$NN$92,0),IF($NP$92="Bell_Curve",$NN$92*(236-$NR$92+1)*($NS$92-236+1)/$NU$92,$NN$92/$NT$92)),0)</f>
        <v/>
      </c>
      <c r="IG92" s="402">
        <f>IF(AND(237&gt;=$NR$92,237&lt;=$NS$92),IF($NP$92="Single_Point",IF(237=$NR$92,$NN$92,0),IF($NP$92="Bell_Curve",$NN$92*(237-$NR$92+1)*($NS$92-237+1)/$NU$92,$NN$92/$NT$92)),0)</f>
        <v/>
      </c>
      <c r="IH92" s="402">
        <f>IF(AND(238&gt;=$NR$92,238&lt;=$NS$92),IF($NP$92="Single_Point",IF(238=$NR$92,$NN$92,0),IF($NP$92="Bell_Curve",$NN$92*(238-$NR$92+1)*($NS$92-238+1)/$NU$92,$NN$92/$NT$92)),0)</f>
        <v/>
      </c>
      <c r="II92" s="402">
        <f>IF(AND(239&gt;=$NR$92,239&lt;=$NS$92),IF($NP$92="Single_Point",IF(239=$NR$92,$NN$92,0),IF($NP$92="Bell_Curve",$NN$92*(239-$NR$92+1)*($NS$92-239+1)/$NU$92,$NN$92/$NT$92)),0)</f>
        <v/>
      </c>
      <c r="IJ92" s="402">
        <f>IF(AND(240&gt;=$NR$92,240&lt;=$NS$92),IF($NP$92="Single_Point",IF(240=$NR$92,$NN$92,0),IF($NP$92="Bell_Curve",$NN$92*(240-$NR$92+1)*($NS$92-240+1)/$NU$92,$NN$92/$NT$92)),0)</f>
        <v/>
      </c>
      <c r="IK92" s="402">
        <f>IF(AND(241&gt;=$NR$92,241&lt;=$NS$92),IF($NP$92="Single_Point",IF(241=$NR$92,$NN$92,0),IF($NP$92="Bell_Curve",$NN$92*(241-$NR$92+1)*($NS$92-241+1)/$NU$92,$NN$92/$NT$92)),0)</f>
        <v/>
      </c>
      <c r="IL92" s="402">
        <f>IF(AND(242&gt;=$NR$92,242&lt;=$NS$92),IF($NP$92="Single_Point",IF(242=$NR$92,$NN$92,0),IF($NP$92="Bell_Curve",$NN$92*(242-$NR$92+1)*($NS$92-242+1)/$NU$92,$NN$92/$NT$92)),0)</f>
        <v/>
      </c>
      <c r="IM92" s="402">
        <f>IF(AND(243&gt;=$NR$92,243&lt;=$NS$92),IF($NP$92="Single_Point",IF(243=$NR$92,$NN$92,0),IF($NP$92="Bell_Curve",$NN$92*(243-$NR$92+1)*($NS$92-243+1)/$NU$92,$NN$92/$NT$92)),0)</f>
        <v/>
      </c>
      <c r="IN92" s="402">
        <f>IF(AND(244&gt;=$NR$92,244&lt;=$NS$92),IF($NP$92="Single_Point",IF(244=$NR$92,$NN$92,0),IF($NP$92="Bell_Curve",$NN$92*(244-$NR$92+1)*($NS$92-244+1)/$NU$92,$NN$92/$NT$92)),0)</f>
        <v/>
      </c>
      <c r="IO92" s="402">
        <f>IF(AND(245&gt;=$NR$92,245&lt;=$NS$92),IF($NP$92="Single_Point",IF(245=$NR$92,$NN$92,0),IF($NP$92="Bell_Curve",$NN$92*(245-$NR$92+1)*($NS$92-245+1)/$NU$92,$NN$92/$NT$92)),0)</f>
        <v/>
      </c>
      <c r="IP92" s="402">
        <f>IF(AND(246&gt;=$NR$92,246&lt;=$NS$92),IF($NP$92="Single_Point",IF(246=$NR$92,$NN$92,0),IF($NP$92="Bell_Curve",$NN$92*(246-$NR$92+1)*($NS$92-246+1)/$NU$92,$NN$92/$NT$92)),0)</f>
        <v/>
      </c>
      <c r="IQ92" s="402">
        <f>IF(AND(247&gt;=$NR$92,247&lt;=$NS$92),IF($NP$92="Single_Point",IF(247=$NR$92,$NN$92,0),IF($NP$92="Bell_Curve",$NN$92*(247-$NR$92+1)*($NS$92-247+1)/$NU$92,$NN$92/$NT$92)),0)</f>
        <v/>
      </c>
      <c r="IR92" s="402">
        <f>IF(AND(248&gt;=$NR$92,248&lt;=$NS$92),IF($NP$92="Single_Point",IF(248=$NR$92,$NN$92,0),IF($NP$92="Bell_Curve",$NN$92*(248-$NR$92+1)*($NS$92-248+1)/$NU$92,$NN$92/$NT$92)),0)</f>
        <v/>
      </c>
      <c r="IS92" s="402">
        <f>IF(AND(249&gt;=$NR$92,249&lt;=$NS$92),IF($NP$92="Single_Point",IF(249=$NR$92,$NN$92,0),IF($NP$92="Bell_Curve",$NN$92*(249-$NR$92+1)*($NS$92-249+1)/$NU$92,$NN$92/$NT$92)),0)</f>
        <v/>
      </c>
      <c r="IT92" s="402">
        <f>IF(AND(250&gt;=$NR$92,250&lt;=$NS$92),IF($NP$92="Single_Point",IF(250=$NR$92,$NN$92,0),IF($NP$92="Bell_Curve",$NN$92*(250-$NR$92+1)*($NS$92-250+1)/$NU$92,$NN$92/$NT$92)),0)</f>
        <v/>
      </c>
      <c r="IU92" s="402">
        <f>IF(AND(251&gt;=$NR$92,251&lt;=$NS$92),IF($NP$92="Single_Point",IF(251=$NR$92,$NN$92,0),IF($NP$92="Bell_Curve",$NN$92*(251-$NR$92+1)*($NS$92-251+1)/$NU$92,$NN$92/$NT$92)),0)</f>
        <v/>
      </c>
      <c r="IV92" s="402">
        <f>IF(AND(252&gt;=$NR$92,252&lt;=$NS$92),IF($NP$92="Single_Point",IF(252=$NR$92,$NN$92,0),IF($NP$92="Bell_Curve",$NN$92*(252-$NR$92+1)*($NS$92-252+1)/$NU$92,$NN$92/$NT$92)),0)</f>
        <v/>
      </c>
      <c r="IW92" s="402">
        <f>IF(AND(253&gt;=$NR$92,253&lt;=$NS$92),IF($NP$92="Single_Point",IF(253=$NR$92,$NN$92,0),IF($NP$92="Bell_Curve",$NN$92*(253-$NR$92+1)*($NS$92-253+1)/$NU$92,$NN$92/$NT$92)),0)</f>
        <v/>
      </c>
      <c r="IX92" s="402">
        <f>IF(AND(254&gt;=$NR$92,254&lt;=$NS$92),IF($NP$92="Single_Point",IF(254=$NR$92,$NN$92,0),IF($NP$92="Bell_Curve",$NN$92*(254-$NR$92+1)*($NS$92-254+1)/$NU$92,$NN$92/$NT$92)),0)</f>
        <v/>
      </c>
      <c r="IY92" s="402">
        <f>IF(AND(255&gt;=$NR$92,255&lt;=$NS$92),IF($NP$92="Single_Point",IF(255=$NR$92,$NN$92,0),IF($NP$92="Bell_Curve",$NN$92*(255-$NR$92+1)*($NS$92-255+1)/$NU$92,$NN$92/$NT$92)),0)</f>
        <v/>
      </c>
      <c r="IZ92" s="402">
        <f>IF(AND(256&gt;=$NR$92,256&lt;=$NS$92),IF($NP$92="Single_Point",IF(256=$NR$92,$NN$92,0),IF($NP$92="Bell_Curve",$NN$92*(256-$NR$92+1)*($NS$92-256+1)/$NU$92,$NN$92/$NT$92)),0)</f>
        <v/>
      </c>
      <c r="JA92" s="402">
        <f>IF(AND(257&gt;=$NR$92,257&lt;=$NS$92),IF($NP$92="Single_Point",IF(257=$NR$92,$NN$92,0),IF($NP$92="Bell_Curve",$NN$92*(257-$NR$92+1)*($NS$92-257+1)/$NU$92,$NN$92/$NT$92)),0)</f>
        <v/>
      </c>
      <c r="JB92" s="402">
        <f>IF(AND(258&gt;=$NR$92,258&lt;=$NS$92),IF($NP$92="Single_Point",IF(258=$NR$92,$NN$92,0),IF($NP$92="Bell_Curve",$NN$92*(258-$NR$92+1)*($NS$92-258+1)/$NU$92,$NN$92/$NT$92)),0)</f>
        <v/>
      </c>
      <c r="JC92" s="402">
        <f>IF(AND(259&gt;=$NR$92,259&lt;=$NS$92),IF($NP$92="Single_Point",IF(259=$NR$92,$NN$92,0),IF($NP$92="Bell_Curve",$NN$92*(259-$NR$92+1)*($NS$92-259+1)/$NU$92,$NN$92/$NT$92)),0)</f>
        <v/>
      </c>
      <c r="JD92" s="402">
        <f>IF(AND(260&gt;=$NR$92,260&lt;=$NS$92),IF($NP$92="Single_Point",IF(260=$NR$92,$NN$92,0),IF($NP$92="Bell_Curve",$NN$92*(260-$NR$92+1)*($NS$92-260+1)/$NU$92,$NN$92/$NT$92)),0)</f>
        <v/>
      </c>
      <c r="JE92" s="402">
        <f>IF(AND(261&gt;=$NR$92,261&lt;=$NS$92),IF($NP$92="Single_Point",IF(261=$NR$92,$NN$92,0),IF($NP$92="Bell_Curve",$NN$92*(261-$NR$92+1)*($NS$92-261+1)/$NU$92,$NN$92/$NT$92)),0)</f>
        <v/>
      </c>
      <c r="JF92" s="402">
        <f>IF(AND(262&gt;=$NR$92,262&lt;=$NS$92),IF($NP$92="Single_Point",IF(262=$NR$92,$NN$92,0),IF($NP$92="Bell_Curve",$NN$92*(262-$NR$92+1)*($NS$92-262+1)/$NU$92,$NN$92/$NT$92)),0)</f>
        <v/>
      </c>
      <c r="JG92" s="402">
        <f>IF(AND(263&gt;=$NR$92,263&lt;=$NS$92),IF($NP$92="Single_Point",IF(263=$NR$92,$NN$92,0),IF($NP$92="Bell_Curve",$NN$92*(263-$NR$92+1)*($NS$92-263+1)/$NU$92,$NN$92/$NT$92)),0)</f>
        <v/>
      </c>
      <c r="JH92" s="402">
        <f>IF(AND(264&gt;=$NR$92,264&lt;=$NS$92),IF($NP$92="Single_Point",IF(264=$NR$92,$NN$92,0),IF($NP$92="Bell_Curve",$NN$92*(264-$NR$92+1)*($NS$92-264+1)/$NU$92,$NN$92/$NT$92)),0)</f>
        <v/>
      </c>
      <c r="JI92" s="402">
        <f>IF(AND(265&gt;=$NR$92,265&lt;=$NS$92),IF($NP$92="Single_Point",IF(265=$NR$92,$NN$92,0),IF($NP$92="Bell_Curve",$NN$92*(265-$NR$92+1)*($NS$92-265+1)/$NU$92,$NN$92/$NT$92)),0)</f>
        <v/>
      </c>
      <c r="JJ92" s="402">
        <f>IF(AND(266&gt;=$NR$92,266&lt;=$NS$92),IF($NP$92="Single_Point",IF(266=$NR$92,$NN$92,0),IF($NP$92="Bell_Curve",$NN$92*(266-$NR$92+1)*($NS$92-266+1)/$NU$92,$NN$92/$NT$92)),0)</f>
        <v/>
      </c>
      <c r="JK92" s="402">
        <f>IF(AND(267&gt;=$NR$92,267&lt;=$NS$92),IF($NP$92="Single_Point",IF(267=$NR$92,$NN$92,0),IF($NP$92="Bell_Curve",$NN$92*(267-$NR$92+1)*($NS$92-267+1)/$NU$92,$NN$92/$NT$92)),0)</f>
        <v/>
      </c>
      <c r="JL92" s="402">
        <f>IF(AND(268&gt;=$NR$92,268&lt;=$NS$92),IF($NP$92="Single_Point",IF(268=$NR$92,$NN$92,0),IF($NP$92="Bell_Curve",$NN$92*(268-$NR$92+1)*($NS$92-268+1)/$NU$92,$NN$92/$NT$92)),0)</f>
        <v/>
      </c>
      <c r="JM92" s="402">
        <f>IF(AND(269&gt;=$NR$92,269&lt;=$NS$92),IF($NP$92="Single_Point",IF(269=$NR$92,$NN$92,0),IF($NP$92="Bell_Curve",$NN$92*(269-$NR$92+1)*($NS$92-269+1)/$NU$92,$NN$92/$NT$92)),0)</f>
        <v/>
      </c>
      <c r="JN92" s="402">
        <f>IF(AND(270&gt;=$NR$92,270&lt;=$NS$92),IF($NP$92="Single_Point",IF(270=$NR$92,$NN$92,0),IF($NP$92="Bell_Curve",$NN$92*(270-$NR$92+1)*($NS$92-270+1)/$NU$92,$NN$92/$NT$92)),0)</f>
        <v/>
      </c>
      <c r="JO92" s="402">
        <f>IF(AND(271&gt;=$NR$92,271&lt;=$NS$92),IF($NP$92="Single_Point",IF(271=$NR$92,$NN$92,0),IF($NP$92="Bell_Curve",$NN$92*(271-$NR$92+1)*($NS$92-271+1)/$NU$92,$NN$92/$NT$92)),0)</f>
        <v/>
      </c>
      <c r="JP92" s="402">
        <f>IF(AND(272&gt;=$NR$92,272&lt;=$NS$92),IF($NP$92="Single_Point",IF(272=$NR$92,$NN$92,0),IF($NP$92="Bell_Curve",$NN$92*(272-$NR$92+1)*($NS$92-272+1)/$NU$92,$NN$92/$NT$92)),0)</f>
        <v/>
      </c>
      <c r="JQ92" s="402">
        <f>IF(AND(273&gt;=$NR$92,273&lt;=$NS$92),IF($NP$92="Single_Point",IF(273=$NR$92,$NN$92,0),IF($NP$92="Bell_Curve",$NN$92*(273-$NR$92+1)*($NS$92-273+1)/$NU$92,$NN$92/$NT$92)),0)</f>
        <v/>
      </c>
      <c r="JR92" s="402">
        <f>IF(AND(274&gt;=$NR$92,274&lt;=$NS$92),IF($NP$92="Single_Point",IF(274=$NR$92,$NN$92,0),IF($NP$92="Bell_Curve",$NN$92*(274-$NR$92+1)*($NS$92-274+1)/$NU$92,$NN$92/$NT$92)),0)</f>
        <v/>
      </c>
      <c r="JS92" s="402">
        <f>IF(AND(275&gt;=$NR$92,275&lt;=$NS$92),IF($NP$92="Single_Point",IF(275=$NR$92,$NN$92,0),IF($NP$92="Bell_Curve",$NN$92*(275-$NR$92+1)*($NS$92-275+1)/$NU$92,$NN$92/$NT$92)),0)</f>
        <v/>
      </c>
      <c r="JT92" s="402">
        <f>IF(AND(276&gt;=$NR$92,276&lt;=$NS$92),IF($NP$92="Single_Point",IF(276=$NR$92,$NN$92,0),IF($NP$92="Bell_Curve",$NN$92*(276-$NR$92+1)*($NS$92-276+1)/$NU$92,$NN$92/$NT$92)),0)</f>
        <v/>
      </c>
      <c r="JU92" s="402">
        <f>IF(AND(277&gt;=$NR$92,277&lt;=$NS$92),IF($NP$92="Single_Point",IF(277=$NR$92,$NN$92,0),IF($NP$92="Bell_Curve",$NN$92*(277-$NR$92+1)*($NS$92-277+1)/$NU$92,$NN$92/$NT$92)),0)</f>
        <v/>
      </c>
      <c r="JV92" s="402">
        <f>IF(AND(278&gt;=$NR$92,278&lt;=$NS$92),IF($NP$92="Single_Point",IF(278=$NR$92,$NN$92,0),IF($NP$92="Bell_Curve",$NN$92*(278-$NR$92+1)*($NS$92-278+1)/$NU$92,$NN$92/$NT$92)),0)</f>
        <v/>
      </c>
      <c r="JW92" s="402">
        <f>IF(AND(279&gt;=$NR$92,279&lt;=$NS$92),IF($NP$92="Single_Point",IF(279=$NR$92,$NN$92,0),IF($NP$92="Bell_Curve",$NN$92*(279-$NR$92+1)*($NS$92-279+1)/$NU$92,$NN$92/$NT$92)),0)</f>
        <v/>
      </c>
      <c r="JX92" s="402">
        <f>IF(AND(280&gt;=$NR$92,280&lt;=$NS$92),IF($NP$92="Single_Point",IF(280=$NR$92,$NN$92,0),IF($NP$92="Bell_Curve",$NN$92*(280-$NR$92+1)*($NS$92-280+1)/$NU$92,$NN$92/$NT$92)),0)</f>
        <v/>
      </c>
      <c r="JY92" s="402">
        <f>IF(AND(281&gt;=$NR$92,281&lt;=$NS$92),IF($NP$92="Single_Point",IF(281=$NR$92,$NN$92,0),IF($NP$92="Bell_Curve",$NN$92*(281-$NR$92+1)*($NS$92-281+1)/$NU$92,$NN$92/$NT$92)),0)</f>
        <v/>
      </c>
      <c r="JZ92" s="402">
        <f>IF(AND(282&gt;=$NR$92,282&lt;=$NS$92),IF($NP$92="Single_Point",IF(282=$NR$92,$NN$92,0),IF($NP$92="Bell_Curve",$NN$92*(282-$NR$92+1)*($NS$92-282+1)/$NU$92,$NN$92/$NT$92)),0)</f>
        <v/>
      </c>
      <c r="KA92" s="402">
        <f>IF(AND(283&gt;=$NR$92,283&lt;=$NS$92),IF($NP$92="Single_Point",IF(283=$NR$92,$NN$92,0),IF($NP$92="Bell_Curve",$NN$92*(283-$NR$92+1)*($NS$92-283+1)/$NU$92,$NN$92/$NT$92)),0)</f>
        <v/>
      </c>
      <c r="KB92" s="402">
        <f>IF(AND(284&gt;=$NR$92,284&lt;=$NS$92),IF($NP$92="Single_Point",IF(284=$NR$92,$NN$92,0),IF($NP$92="Bell_Curve",$NN$92*(284-$NR$92+1)*($NS$92-284+1)/$NU$92,$NN$92/$NT$92)),0)</f>
        <v/>
      </c>
      <c r="KC92" s="402">
        <f>IF(AND(285&gt;=$NR$92,285&lt;=$NS$92),IF($NP$92="Single_Point",IF(285=$NR$92,$NN$92,0),IF($NP$92="Bell_Curve",$NN$92*(285-$NR$92+1)*($NS$92-285+1)/$NU$92,$NN$92/$NT$92)),0)</f>
        <v/>
      </c>
      <c r="KD92" s="402">
        <f>IF(AND(286&gt;=$NR$92,286&lt;=$NS$92),IF($NP$92="Single_Point",IF(286=$NR$92,$NN$92,0),IF($NP$92="Bell_Curve",$NN$92*(286-$NR$92+1)*($NS$92-286+1)/$NU$92,$NN$92/$NT$92)),0)</f>
        <v/>
      </c>
      <c r="KE92" s="402">
        <f>IF(AND(287&gt;=$NR$92,287&lt;=$NS$92),IF($NP$92="Single_Point",IF(287=$NR$92,$NN$92,0),IF($NP$92="Bell_Curve",$NN$92*(287-$NR$92+1)*($NS$92-287+1)/$NU$92,$NN$92/$NT$92)),0)</f>
        <v/>
      </c>
      <c r="KF92" s="402">
        <f>IF(AND(288&gt;=$NR$92,288&lt;=$NS$92),IF($NP$92="Single_Point",IF(288=$NR$92,$NN$92,0),IF($NP$92="Bell_Curve",$NN$92*(288-$NR$92+1)*($NS$92-288+1)/$NU$92,$NN$92/$NT$92)),0)</f>
        <v/>
      </c>
      <c r="KG92" s="402">
        <f>IF(AND(289&gt;=$NR$92,289&lt;=$NS$92),IF($NP$92="Single_Point",IF(289=$NR$92,$NN$92,0),IF($NP$92="Bell_Curve",$NN$92*(289-$NR$92+1)*($NS$92-289+1)/$NU$92,$NN$92/$NT$92)),0)</f>
        <v/>
      </c>
      <c r="KH92" s="402">
        <f>IF(AND(290&gt;=$NR$92,290&lt;=$NS$92),IF($NP$92="Single_Point",IF(290=$NR$92,$NN$92,0),IF($NP$92="Bell_Curve",$NN$92*(290-$NR$92+1)*($NS$92-290+1)/$NU$92,$NN$92/$NT$92)),0)</f>
        <v/>
      </c>
      <c r="KI92" s="402">
        <f>IF(AND(291&gt;=$NR$92,291&lt;=$NS$92),IF($NP$92="Single_Point",IF(291=$NR$92,$NN$92,0),IF($NP$92="Bell_Curve",$NN$92*(291-$NR$92+1)*($NS$92-291+1)/$NU$92,$NN$92/$NT$92)),0)</f>
        <v/>
      </c>
      <c r="KJ92" s="402">
        <f>IF(AND(292&gt;=$NR$92,292&lt;=$NS$92),IF($NP$92="Single_Point",IF(292=$NR$92,$NN$92,0),IF($NP$92="Bell_Curve",$NN$92*(292-$NR$92+1)*($NS$92-292+1)/$NU$92,$NN$92/$NT$92)),0)</f>
        <v/>
      </c>
      <c r="KK92" s="402">
        <f>IF(AND(293&gt;=$NR$92,293&lt;=$NS$92),IF($NP$92="Single_Point",IF(293=$NR$92,$NN$92,0),IF($NP$92="Bell_Curve",$NN$92*(293-$NR$92+1)*($NS$92-293+1)/$NU$92,$NN$92/$NT$92)),0)</f>
        <v/>
      </c>
      <c r="KL92" s="402">
        <f>IF(AND(294&gt;=$NR$92,294&lt;=$NS$92),IF($NP$92="Single_Point",IF(294=$NR$92,$NN$92,0),IF($NP$92="Bell_Curve",$NN$92*(294-$NR$92+1)*($NS$92-294+1)/$NU$92,$NN$92/$NT$92)),0)</f>
        <v/>
      </c>
      <c r="KM92" s="402">
        <f>IF(AND(295&gt;=$NR$92,295&lt;=$NS$92),IF($NP$92="Single_Point",IF(295=$NR$92,$NN$92,0),IF($NP$92="Bell_Curve",$NN$92*(295-$NR$92+1)*($NS$92-295+1)/$NU$92,$NN$92/$NT$92)),0)</f>
        <v/>
      </c>
      <c r="KN92" s="402">
        <f>IF(AND(296&gt;=$NR$92,296&lt;=$NS$92),IF($NP$92="Single_Point",IF(296=$NR$92,$NN$92,0),IF($NP$92="Bell_Curve",$NN$92*(296-$NR$92+1)*($NS$92-296+1)/$NU$92,$NN$92/$NT$92)),0)</f>
        <v/>
      </c>
      <c r="KO92" s="402">
        <f>IF(AND(297&gt;=$NR$92,297&lt;=$NS$92),IF($NP$92="Single_Point",IF(297=$NR$92,$NN$92,0),IF($NP$92="Bell_Curve",$NN$92*(297-$NR$92+1)*($NS$92-297+1)/$NU$92,$NN$92/$NT$92)),0)</f>
        <v/>
      </c>
      <c r="KP92" s="402">
        <f>IF(AND(298&gt;=$NR$92,298&lt;=$NS$92),IF($NP$92="Single_Point",IF(298=$NR$92,$NN$92,0),IF($NP$92="Bell_Curve",$NN$92*(298-$NR$92+1)*($NS$92-298+1)/$NU$92,$NN$92/$NT$92)),0)</f>
        <v/>
      </c>
      <c r="KQ92" s="402">
        <f>IF(AND(299&gt;=$NR$92,299&lt;=$NS$92),IF($NP$92="Single_Point",IF(299=$NR$92,$NN$92,0),IF($NP$92="Bell_Curve",$NN$92*(299-$NR$92+1)*($NS$92-299+1)/$NU$92,$NN$92/$NT$92)),0)</f>
        <v/>
      </c>
      <c r="KR92" s="402">
        <f>IF(AND(300&gt;=$NR$92,300&lt;=$NS$92),IF($NP$92="Single_Point",IF(300=$NR$92,$NN$92,0),IF($NP$92="Bell_Curve",$NN$92*(300-$NR$92+1)*($NS$92-300+1)/$NU$92,$NN$92/$NT$92)),0)</f>
        <v/>
      </c>
      <c r="KS92" s="402">
        <f>IF(AND(301&gt;=$NR$92,301&lt;=$NS$92),IF($NP$92="Single_Point",IF(301=$NR$92,$NN$92,0),IF($NP$92="Bell_Curve",$NN$92*(301-$NR$92+1)*($NS$92-301+1)/$NU$92,$NN$92/$NT$92)),0)</f>
        <v/>
      </c>
      <c r="KT92" s="402">
        <f>IF(AND(302&gt;=$NR$92,302&lt;=$NS$92),IF($NP$92="Single_Point",IF(302=$NR$92,$NN$92,0),IF($NP$92="Bell_Curve",$NN$92*(302-$NR$92+1)*($NS$92-302+1)/$NU$92,$NN$92/$NT$92)),0)</f>
        <v/>
      </c>
      <c r="KU92" s="402">
        <f>IF(AND(303&gt;=$NR$92,303&lt;=$NS$92),IF($NP$92="Single_Point",IF(303=$NR$92,$NN$92,0),IF($NP$92="Bell_Curve",$NN$92*(303-$NR$92+1)*($NS$92-303+1)/$NU$92,$NN$92/$NT$92)),0)</f>
        <v/>
      </c>
      <c r="KV92" s="402">
        <f>IF(AND(304&gt;=$NR$92,304&lt;=$NS$92),IF($NP$92="Single_Point",IF(304=$NR$92,$NN$92,0),IF($NP$92="Bell_Curve",$NN$92*(304-$NR$92+1)*($NS$92-304+1)/$NU$92,$NN$92/$NT$92)),0)</f>
        <v/>
      </c>
      <c r="KW92" s="402">
        <f>IF(AND(305&gt;=$NR$92,305&lt;=$NS$92),IF($NP$92="Single_Point",IF(305=$NR$92,$NN$92,0),IF($NP$92="Bell_Curve",$NN$92*(305-$NR$92+1)*($NS$92-305+1)/$NU$92,$NN$92/$NT$92)),0)</f>
        <v/>
      </c>
      <c r="KX92" s="402">
        <f>IF(AND(306&gt;=$NR$92,306&lt;=$NS$92),IF($NP$92="Single_Point",IF(306=$NR$92,$NN$92,0),IF($NP$92="Bell_Curve",$NN$92*(306-$NR$92+1)*($NS$92-306+1)/$NU$92,$NN$92/$NT$92)),0)</f>
        <v/>
      </c>
      <c r="KY92" s="402">
        <f>IF(AND(307&gt;=$NR$92,307&lt;=$NS$92),IF($NP$92="Single_Point",IF(307=$NR$92,$NN$92,0),IF($NP$92="Bell_Curve",$NN$92*(307-$NR$92+1)*($NS$92-307+1)/$NU$92,$NN$92/$NT$92)),0)</f>
        <v/>
      </c>
      <c r="KZ92" s="402">
        <f>IF(AND(308&gt;=$NR$92,308&lt;=$NS$92),IF($NP$92="Single_Point",IF(308=$NR$92,$NN$92,0),IF($NP$92="Bell_Curve",$NN$92*(308-$NR$92+1)*($NS$92-308+1)/$NU$92,$NN$92/$NT$92)),0)</f>
        <v/>
      </c>
      <c r="LA92" s="402">
        <f>IF(AND(309&gt;=$NR$92,309&lt;=$NS$92),IF($NP$92="Single_Point",IF(309=$NR$92,$NN$92,0),IF($NP$92="Bell_Curve",$NN$92*(309-$NR$92+1)*($NS$92-309+1)/$NU$92,$NN$92/$NT$92)),0)</f>
        <v/>
      </c>
      <c r="LB92" s="402">
        <f>IF(AND(310&gt;=$NR$92,310&lt;=$NS$92),IF($NP$92="Single_Point",IF(310=$NR$92,$NN$92,0),IF($NP$92="Bell_Curve",$NN$92*(310-$NR$92+1)*($NS$92-310+1)/$NU$92,$NN$92/$NT$92)),0)</f>
        <v/>
      </c>
      <c r="LC92" s="402">
        <f>IF(AND(311&gt;=$NR$92,311&lt;=$NS$92),IF($NP$92="Single_Point",IF(311=$NR$92,$NN$92,0),IF($NP$92="Bell_Curve",$NN$92*(311-$NR$92+1)*($NS$92-311+1)/$NU$92,$NN$92/$NT$92)),0)</f>
        <v/>
      </c>
      <c r="LD92" s="402">
        <f>IF(AND(312&gt;=$NR$92,312&lt;=$NS$92),IF($NP$92="Single_Point",IF(312=$NR$92,$NN$92,0),IF($NP$92="Bell_Curve",$NN$92*(312-$NR$92+1)*($NS$92-312+1)/$NU$92,$NN$92/$NT$92)),0)</f>
        <v/>
      </c>
      <c r="LE92" s="402">
        <f>IF(AND(313&gt;=$NR$92,313&lt;=$NS$92),IF($NP$92="Single_Point",IF(313=$NR$92,$NN$92,0),IF($NP$92="Bell_Curve",$NN$92*(313-$NR$92+1)*($NS$92-313+1)/$NU$92,$NN$92/$NT$92)),0)</f>
        <v/>
      </c>
      <c r="LF92" s="402">
        <f>IF(AND(314&gt;=$NR$92,314&lt;=$NS$92),IF($NP$92="Single_Point",IF(314=$NR$92,$NN$92,0),IF($NP$92="Bell_Curve",$NN$92*(314-$NR$92+1)*($NS$92-314+1)/$NU$92,$NN$92/$NT$92)),0)</f>
        <v/>
      </c>
      <c r="LG92" s="402">
        <f>IF(AND(315&gt;=$NR$92,315&lt;=$NS$92),IF($NP$92="Single_Point",IF(315=$NR$92,$NN$92,0),IF($NP$92="Bell_Curve",$NN$92*(315-$NR$92+1)*($NS$92-315+1)/$NU$92,$NN$92/$NT$92)),0)</f>
        <v/>
      </c>
      <c r="LH92" s="402">
        <f>IF(AND(316&gt;=$NR$92,316&lt;=$NS$92),IF($NP$92="Single_Point",IF(316=$NR$92,$NN$92,0),IF($NP$92="Bell_Curve",$NN$92*(316-$NR$92+1)*($NS$92-316+1)/$NU$92,$NN$92/$NT$92)),0)</f>
        <v/>
      </c>
      <c r="LI92" s="402">
        <f>IF(AND(317&gt;=$NR$92,317&lt;=$NS$92),IF($NP$92="Single_Point",IF(317=$NR$92,$NN$92,0),IF($NP$92="Bell_Curve",$NN$92*(317-$NR$92+1)*($NS$92-317+1)/$NU$92,$NN$92/$NT$92)),0)</f>
        <v/>
      </c>
      <c r="LJ92" s="402">
        <f>IF(AND(318&gt;=$NR$92,318&lt;=$NS$92),IF($NP$92="Single_Point",IF(318=$NR$92,$NN$92,0),IF($NP$92="Bell_Curve",$NN$92*(318-$NR$92+1)*($NS$92-318+1)/$NU$92,$NN$92/$NT$92)),0)</f>
        <v/>
      </c>
      <c r="LK92" s="402">
        <f>IF(AND(319&gt;=$NR$92,319&lt;=$NS$92),IF($NP$92="Single_Point",IF(319=$NR$92,$NN$92,0),IF($NP$92="Bell_Curve",$NN$92*(319-$NR$92+1)*($NS$92-319+1)/$NU$92,$NN$92/$NT$92)),0)</f>
        <v/>
      </c>
      <c r="LL92" s="402">
        <f>IF(AND(320&gt;=$NR$92,320&lt;=$NS$92),IF($NP$92="Single_Point",IF(320=$NR$92,$NN$92,0),IF($NP$92="Bell_Curve",$NN$92*(320-$NR$92+1)*($NS$92-320+1)/$NU$92,$NN$92/$NT$92)),0)</f>
        <v/>
      </c>
      <c r="LM92" s="402">
        <f>IF(AND(321&gt;=$NR$92,321&lt;=$NS$92),IF($NP$92="Single_Point",IF(321=$NR$92,$NN$92,0),IF($NP$92="Bell_Curve",$NN$92*(321-$NR$92+1)*($NS$92-321+1)/$NU$92,$NN$92/$NT$92)),0)</f>
        <v/>
      </c>
      <c r="LN92" s="402">
        <f>IF(AND(322&gt;=$NR$92,322&lt;=$NS$92),IF($NP$92="Single_Point",IF(322=$NR$92,$NN$92,0),IF($NP$92="Bell_Curve",$NN$92*(322-$NR$92+1)*($NS$92-322+1)/$NU$92,$NN$92/$NT$92)),0)</f>
        <v/>
      </c>
      <c r="LO92" s="402">
        <f>IF(AND(323&gt;=$NR$92,323&lt;=$NS$92),IF($NP$92="Single_Point",IF(323=$NR$92,$NN$92,0),IF($NP$92="Bell_Curve",$NN$92*(323-$NR$92+1)*($NS$92-323+1)/$NU$92,$NN$92/$NT$92)),0)</f>
        <v/>
      </c>
      <c r="LP92" s="402">
        <f>IF(AND(324&gt;=$NR$92,324&lt;=$NS$92),IF($NP$92="Single_Point",IF(324=$NR$92,$NN$92,0),IF($NP$92="Bell_Curve",$NN$92*(324-$NR$92+1)*($NS$92-324+1)/$NU$92,$NN$92/$NT$92)),0)</f>
        <v/>
      </c>
      <c r="LQ92" s="402">
        <f>IF(AND(325&gt;=$NR$92,325&lt;=$NS$92),IF($NP$92="Single_Point",IF(325=$NR$92,$NN$92,0),IF($NP$92="Bell_Curve",$NN$92*(325-$NR$92+1)*($NS$92-325+1)/$NU$92,$NN$92/$NT$92)),0)</f>
        <v/>
      </c>
      <c r="LR92" s="402">
        <f>IF(AND(326&gt;=$NR$92,326&lt;=$NS$92),IF($NP$92="Single_Point",IF(326=$NR$92,$NN$92,0),IF($NP$92="Bell_Curve",$NN$92*(326-$NR$92+1)*($NS$92-326+1)/$NU$92,$NN$92/$NT$92)),0)</f>
        <v/>
      </c>
      <c r="LS92" s="402">
        <f>IF(AND(327&gt;=$NR$92,327&lt;=$NS$92),IF($NP$92="Single_Point",IF(327=$NR$92,$NN$92,0),IF($NP$92="Bell_Curve",$NN$92*(327-$NR$92+1)*($NS$92-327+1)/$NU$92,$NN$92/$NT$92)),0)</f>
        <v/>
      </c>
      <c r="LT92" s="402">
        <f>IF(AND(328&gt;=$NR$92,328&lt;=$NS$92),IF($NP$92="Single_Point",IF(328=$NR$92,$NN$92,0),IF($NP$92="Bell_Curve",$NN$92*(328-$NR$92+1)*($NS$92-328+1)/$NU$92,$NN$92/$NT$92)),0)</f>
        <v/>
      </c>
      <c r="LU92" s="402">
        <f>IF(AND(329&gt;=$NR$92,329&lt;=$NS$92),IF($NP$92="Single_Point",IF(329=$NR$92,$NN$92,0),IF($NP$92="Bell_Curve",$NN$92*(329-$NR$92+1)*($NS$92-329+1)/$NU$92,$NN$92/$NT$92)),0)</f>
        <v/>
      </c>
      <c r="LV92" s="402">
        <f>IF(AND(330&gt;=$NR$92,330&lt;=$NS$92),IF($NP$92="Single_Point",IF(330=$NR$92,$NN$92,0),IF($NP$92="Bell_Curve",$NN$92*(330-$NR$92+1)*($NS$92-330+1)/$NU$92,$NN$92/$NT$92)),0)</f>
        <v/>
      </c>
      <c r="LW92" s="402">
        <f>IF(AND(331&gt;=$NR$92,331&lt;=$NS$92),IF($NP$92="Single_Point",IF(331=$NR$92,$NN$92,0),IF($NP$92="Bell_Curve",$NN$92*(331-$NR$92+1)*($NS$92-331+1)/$NU$92,$NN$92/$NT$92)),0)</f>
        <v/>
      </c>
      <c r="LX92" s="402">
        <f>IF(AND(332&gt;=$NR$92,332&lt;=$NS$92),IF($NP$92="Single_Point",IF(332=$NR$92,$NN$92,0),IF($NP$92="Bell_Curve",$NN$92*(332-$NR$92+1)*($NS$92-332+1)/$NU$92,$NN$92/$NT$92)),0)</f>
        <v/>
      </c>
      <c r="LY92" s="402">
        <f>IF(AND(333&gt;=$NR$92,333&lt;=$NS$92),IF($NP$92="Single_Point",IF(333=$NR$92,$NN$92,0),IF($NP$92="Bell_Curve",$NN$92*(333-$NR$92+1)*($NS$92-333+1)/$NU$92,$NN$92/$NT$92)),0)</f>
        <v/>
      </c>
      <c r="LZ92" s="402">
        <f>IF(AND(334&gt;=$NR$92,334&lt;=$NS$92),IF($NP$92="Single_Point",IF(334=$NR$92,$NN$92,0),IF($NP$92="Bell_Curve",$NN$92*(334-$NR$92+1)*($NS$92-334+1)/$NU$92,$NN$92/$NT$92)),0)</f>
        <v/>
      </c>
      <c r="MA92" s="402">
        <f>IF(AND(335&gt;=$NR$92,335&lt;=$NS$92),IF($NP$92="Single_Point",IF(335=$NR$92,$NN$92,0),IF($NP$92="Bell_Curve",$NN$92*(335-$NR$92+1)*($NS$92-335+1)/$NU$92,$NN$92/$NT$92)),0)</f>
        <v/>
      </c>
      <c r="MB92" s="402">
        <f>IF(AND(336&gt;=$NR$92,336&lt;=$NS$92),IF($NP$92="Single_Point",IF(336=$NR$92,$NN$92,0),IF($NP$92="Bell_Curve",$NN$92*(336-$NR$92+1)*($NS$92-336+1)/$NU$92,$NN$92/$NT$92)),0)</f>
        <v/>
      </c>
      <c r="MC92" s="402">
        <f>IF(AND(337&gt;=$NR$92,337&lt;=$NS$92),IF($NP$92="Single_Point",IF(337=$NR$92,$NN$92,0),IF($NP$92="Bell_Curve",$NN$92*(337-$NR$92+1)*($NS$92-337+1)/$NU$92,$NN$92/$NT$92)),0)</f>
        <v/>
      </c>
      <c r="MD92" s="402">
        <f>IF(AND(338&gt;=$NR$92,338&lt;=$NS$92),IF($NP$92="Single_Point",IF(338=$NR$92,$NN$92,0),IF($NP$92="Bell_Curve",$NN$92*(338-$NR$92+1)*($NS$92-338+1)/$NU$92,$NN$92/$NT$92)),0)</f>
        <v/>
      </c>
      <c r="ME92" s="402">
        <f>IF(AND(339&gt;=$NR$92,339&lt;=$NS$92),IF($NP$92="Single_Point",IF(339=$NR$92,$NN$92,0),IF($NP$92="Bell_Curve",$NN$92*(339-$NR$92+1)*($NS$92-339+1)/$NU$92,$NN$92/$NT$92)),0)</f>
        <v/>
      </c>
      <c r="MF92" s="402">
        <f>IF(AND(340&gt;=$NR$92,340&lt;=$NS$92),IF($NP$92="Single_Point",IF(340=$NR$92,$NN$92,0),IF($NP$92="Bell_Curve",$NN$92*(340-$NR$92+1)*($NS$92-340+1)/$NU$92,$NN$92/$NT$92)),0)</f>
        <v/>
      </c>
      <c r="MG92" s="402">
        <f>IF(AND(341&gt;=$NR$92,341&lt;=$NS$92),IF($NP$92="Single_Point",IF(341=$NR$92,$NN$92,0),IF($NP$92="Bell_Curve",$NN$92*(341-$NR$92+1)*($NS$92-341+1)/$NU$92,$NN$92/$NT$92)),0)</f>
        <v/>
      </c>
      <c r="MH92" s="402">
        <f>IF(AND(342&gt;=$NR$92,342&lt;=$NS$92),IF($NP$92="Single_Point",IF(342=$NR$92,$NN$92,0),IF($NP$92="Bell_Curve",$NN$92*(342-$NR$92+1)*($NS$92-342+1)/$NU$92,$NN$92/$NT$92)),0)</f>
        <v/>
      </c>
      <c r="MI92" s="402">
        <f>IF(AND(343&gt;=$NR$92,343&lt;=$NS$92),IF($NP$92="Single_Point",IF(343=$NR$92,$NN$92,0),IF($NP$92="Bell_Curve",$NN$92*(343-$NR$92+1)*($NS$92-343+1)/$NU$92,$NN$92/$NT$92)),0)</f>
        <v/>
      </c>
      <c r="MJ92" s="402">
        <f>IF(AND(344&gt;=$NR$92,344&lt;=$NS$92),IF($NP$92="Single_Point",IF(344=$NR$92,$NN$92,0),IF($NP$92="Bell_Curve",$NN$92*(344-$NR$92+1)*($NS$92-344+1)/$NU$92,$NN$92/$NT$92)),0)</f>
        <v/>
      </c>
      <c r="MK92" s="402">
        <f>IF(AND(345&gt;=$NR$92,345&lt;=$NS$92),IF($NP$92="Single_Point",IF(345=$NR$92,$NN$92,0),IF($NP$92="Bell_Curve",$NN$92*(345-$NR$92+1)*($NS$92-345+1)/$NU$92,$NN$92/$NT$92)),0)</f>
        <v/>
      </c>
      <c r="ML92" s="402">
        <f>IF(AND(346&gt;=$NR$92,346&lt;=$NS$92),IF($NP$92="Single_Point",IF(346=$NR$92,$NN$92,0),IF($NP$92="Bell_Curve",$NN$92*(346-$NR$92+1)*($NS$92-346+1)/$NU$92,$NN$92/$NT$92)),0)</f>
        <v/>
      </c>
      <c r="MM92" s="402">
        <f>IF(AND(347&gt;=$NR$92,347&lt;=$NS$92),IF($NP$92="Single_Point",IF(347=$NR$92,$NN$92,0),IF($NP$92="Bell_Curve",$NN$92*(347-$NR$92+1)*($NS$92-347+1)/$NU$92,$NN$92/$NT$92)),0)</f>
        <v/>
      </c>
      <c r="MN92" s="402">
        <f>IF(AND(348&gt;=$NR$92,348&lt;=$NS$92),IF($NP$92="Single_Point",IF(348=$NR$92,$NN$92,0),IF($NP$92="Bell_Curve",$NN$92*(348-$NR$92+1)*($NS$92-348+1)/$NU$92,$NN$92/$NT$92)),0)</f>
        <v/>
      </c>
      <c r="MO92" s="402">
        <f>IF(AND(349&gt;=$NR$92,349&lt;=$NS$92),IF($NP$92="Single_Point",IF(349=$NR$92,$NN$92,0),IF($NP$92="Bell_Curve",$NN$92*(349-$NR$92+1)*($NS$92-349+1)/$NU$92,$NN$92/$NT$92)),0)</f>
        <v/>
      </c>
      <c r="MP92" s="402">
        <f>IF(AND(350&gt;=$NR$92,350&lt;=$NS$92),IF($NP$92="Single_Point",IF(350=$NR$92,$NN$92,0),IF($NP$92="Bell_Curve",$NN$92*(350-$NR$92+1)*($NS$92-350+1)/$NU$92,$NN$92/$NT$92)),0)</f>
        <v/>
      </c>
      <c r="MQ92" s="402">
        <f>IF(AND(351&gt;=$NR$92,351&lt;=$NS$92),IF($NP$92="Single_Point",IF(351=$NR$92,$NN$92,0),IF($NP$92="Bell_Curve",$NN$92*(351-$NR$92+1)*($NS$92-351+1)/$NU$92,$NN$92/$NT$92)),0)</f>
        <v/>
      </c>
      <c r="MR92" s="402">
        <f>IF(AND(352&gt;=$NR$92,352&lt;=$NS$92),IF($NP$92="Single_Point",IF(352=$NR$92,$NN$92,0),IF($NP$92="Bell_Curve",$NN$92*(352-$NR$92+1)*($NS$92-352+1)/$NU$92,$NN$92/$NT$92)),0)</f>
        <v/>
      </c>
      <c r="MS92" s="402">
        <f>IF(AND(353&gt;=$NR$92,353&lt;=$NS$92),IF($NP$92="Single_Point",IF(353=$NR$92,$NN$92,0),IF($NP$92="Bell_Curve",$NN$92*(353-$NR$92+1)*($NS$92-353+1)/$NU$92,$NN$92/$NT$92)),0)</f>
        <v/>
      </c>
      <c r="MT92" s="402">
        <f>IF(AND(354&gt;=$NR$92,354&lt;=$NS$92),IF($NP$92="Single_Point",IF(354=$NR$92,$NN$92,0),IF($NP$92="Bell_Curve",$NN$92*(354-$NR$92+1)*($NS$92-354+1)/$NU$92,$NN$92/$NT$92)),0)</f>
        <v/>
      </c>
      <c r="MU92" s="402">
        <f>IF(AND(355&gt;=$NR$92,355&lt;=$NS$92),IF($NP$92="Single_Point",IF(355=$NR$92,$NN$92,0),IF($NP$92="Bell_Curve",$NN$92*(355-$NR$92+1)*($NS$92-355+1)/$NU$92,$NN$92/$NT$92)),0)</f>
        <v/>
      </c>
      <c r="MV92" s="402">
        <f>IF(AND(356&gt;=$NR$92,356&lt;=$NS$92),IF($NP$92="Single_Point",IF(356=$NR$92,$NN$92,0),IF($NP$92="Bell_Curve",$NN$92*(356-$NR$92+1)*($NS$92-356+1)/$NU$92,$NN$92/$NT$92)),0)</f>
        <v/>
      </c>
      <c r="MW92" s="402">
        <f>IF(AND(357&gt;=$NR$92,357&lt;=$NS$92),IF($NP$92="Single_Point",IF(357=$NR$92,$NN$92,0),IF($NP$92="Bell_Curve",$NN$92*(357-$NR$92+1)*($NS$92-357+1)/$NU$92,$NN$92/$NT$92)),0)</f>
        <v/>
      </c>
      <c r="MX92" s="402">
        <f>IF(AND(358&gt;=$NR$92,358&lt;=$NS$92),IF($NP$92="Single_Point",IF(358=$NR$92,$NN$92,0),IF($NP$92="Bell_Curve",$NN$92*(358-$NR$92+1)*($NS$92-358+1)/$NU$92,$NN$92/$NT$92)),0)</f>
        <v/>
      </c>
      <c r="MY92" s="402">
        <f>IF(AND(359&gt;=$NR$92,359&lt;=$NS$92),IF($NP$92="Single_Point",IF(359=$NR$92,$NN$92,0),IF($NP$92="Bell_Curve",$NN$92*(359-$NR$92+1)*($NS$92-359+1)/$NU$92,$NN$92/$NT$92)),0)</f>
        <v/>
      </c>
      <c r="MZ92" s="402">
        <f>IF(AND(360&gt;=$NR$92,360&lt;=$NS$92),IF($NP$92="Single_Point",IF(360=$NR$92,$NN$92,0),IF($NP$92="Bell_Curve",$NN$92*(360-$NR$92+1)*($NS$92-360+1)/$NU$92,$NN$92/$NT$92)),0)</f>
        <v/>
      </c>
      <c r="NA92" s="402">
        <f>IF(AND(361&gt;=$NR$92,361&lt;=$NS$92),IF($NP$92="Single_Point",IF(361=$NR$92,$NN$92,0),IF($NP$92="Bell_Curve",$NN$92*(361-$NR$92+1)*($NS$92-361+1)/$NU$92,$NN$92/$NT$92)),0)</f>
        <v/>
      </c>
      <c r="NB92" s="402">
        <f>IF(AND(362&gt;=$NR$92,362&lt;=$NS$92),IF($NP$92="Single_Point",IF(362=$NR$92,$NN$92,0),IF($NP$92="Bell_Curve",$NN$92*(362-$NR$92+1)*($NS$92-362+1)/$NU$92,$NN$92/$NT$92)),0)</f>
        <v/>
      </c>
      <c r="NC92" s="402">
        <f>IF(AND(363&gt;=$NR$92,363&lt;=$NS$92),IF($NP$92="Single_Point",IF(363=$NR$92,$NN$92,0),IF($NP$92="Bell_Curve",$NN$92*(363-$NR$92+1)*($NS$92-363+1)/$NU$92,$NN$92/$NT$92)),0)</f>
        <v/>
      </c>
      <c r="ND92" s="402">
        <f>IF(AND(364&gt;=$NR$92,364&lt;=$NS$92),IF($NP$92="Single_Point",IF(364=$NR$92,$NN$92,0),IF($NP$92="Bell_Curve",$NN$92*(364-$NR$92+1)*($NS$92-364+1)/$NU$92,$NN$92/$NT$92)),0)</f>
        <v/>
      </c>
      <c r="NE92" s="402">
        <f>IF(AND(365&gt;=$NR$92,365&lt;=$NS$92),IF($NP$92="Single_Point",IF(365=$NR$92,$NN$92,0),IF($NP$92="Bell_Curve",$NN$92*(365-$NR$92+1)*($NS$92-365+1)/$NU$92,$NN$92/$NT$92)),0)</f>
        <v/>
      </c>
      <c r="NF92" s="402">
        <f>IF(AND(366&gt;=$NR$92,366&lt;=$NS$92),IF($NP$92="Single_Point",IF(366=$NR$92,$NN$92,0),IF($NP$92="Bell_Curve",$NN$92*(366-$NR$92+1)*($NS$92-366+1)/$NU$92,$NN$92/$NT$92)),0)</f>
        <v/>
      </c>
      <c r="NG92" s="402">
        <f>IF(AND(367&gt;=$NR$92,367&lt;=$NS$92),IF($NP$92="Single_Point",IF(367=$NR$92,$NN$92,0),IF($NP$92="Bell_Curve",$NN$92*(367-$NR$92+1)*($NS$92-367+1)/$NU$92,$NN$92/$NT$92)),0)</f>
        <v/>
      </c>
      <c r="NH92" s="402">
        <f>IF(AND(368&gt;=$NR$92,368&lt;=$NS$92),IF($NP$92="Single_Point",IF(368=$NR$92,$NN$92,0),IF($NP$92="Bell_Curve",$NN$92*(368-$NR$92+1)*($NS$92-368+1)/$NU$92,$NN$92/$NT$92)),0)</f>
        <v/>
      </c>
      <c r="NI92" s="402">
        <f>IF(AND(369&gt;=$NR$92,369&lt;=$NS$92),IF($NP$92="Single_Point",IF(369=$NR$92,$NN$92,0),IF($NP$92="Bell_Curve",$NN$92*(369-$NR$92+1)*($NS$92-369+1)/$NU$92,$NN$92/$NT$92)),0)</f>
        <v/>
      </c>
      <c r="NJ92" s="402">
        <f>IF(AND(370&gt;=$NR$92,370&lt;=$NS$92),IF($NP$92="Single_Point",IF(370=$NR$92,$NN$92,0),IF($NP$92="Bell_Curve",$NN$92*(370-$NR$92+1)*($NS$92-370+1)/$NU$92,$NN$92/$NT$92)),0)</f>
        <v/>
      </c>
      <c r="NK92" s="402">
        <f>IF(AND(371&gt;=$NR$92,371&lt;=$NS$92),IF($NP$92="Single_Point",IF(371=$NR$92,$NN$92,0),IF($NP$92="Bell_Curve",$NN$92*(371-$NR$92+1)*($NS$92-371+1)/$NU$92,$NN$92/$NT$92)),0)</f>
        <v/>
      </c>
      <c r="NL92" s="402">
        <f>IF(AND(372&gt;=$NR$92,372&lt;=$NS$92),IF($NP$92="Single_Point",IF(372=$NR$92,$NN$92,0),IF($NP$92="Bell_Curve",$NN$92*(372-$NR$92+1)*($NS$92-372+1)/$NU$92,$NN$92/$NT$92)),0)</f>
        <v/>
      </c>
      <c r="NM92">
        <f>Budget!C91</f>
        <v/>
      </c>
      <c r="NN92">
        <f>Budget!J91</f>
        <v/>
      </c>
      <c r="NO92">
        <f>Budget!G91</f>
        <v/>
      </c>
      <c r="NP92">
        <f>Budget!H91</f>
        <v/>
      </c>
      <c r="NQ92">
        <f>Budget!I91</f>
        <v/>
      </c>
      <c r="NR92">
        <f>MAX(1,MIN(372,INDEX(MilestoneStart,MATCH(NO92,MilestoneNames,0))+NQ92))</f>
        <v/>
      </c>
      <c r="NS92">
        <f>MAX(NR92,MIN(372,INDEX(MilestoneEnd,MATCH(NO92,MilestoneNames,0))+NQ92))</f>
        <v/>
      </c>
      <c r="NT92">
        <f>NS92-NR92+1</f>
        <v/>
      </c>
      <c r="NU92">
        <f>NT92*(NT92+1)*(NT92+2)/6</f>
        <v/>
      </c>
    </row>
    <row r="93">
      <c r="B93" s="316">
        <f>Budget!B92</f>
        <v/>
      </c>
      <c r="D93" s="402">
        <f>SUM(E93:NL93)</f>
        <v/>
      </c>
      <c r="E93" s="402">
        <f>IF(AND(1&gt;=$NR$93,1&lt;=$NS$93),IF($NP$93="Single_Point",IF(1=$NR$93,$NN$93,0),IF($NP$93="Bell_Curve",$NN$93*(1-$NR$93+1)*($NS$93-1+1)/$NU$93,$NN$93/$NT$93)),0)</f>
        <v/>
      </c>
      <c r="F93" s="402">
        <f>IF(AND(2&gt;=$NR$93,2&lt;=$NS$93),IF($NP$93="Single_Point",IF(2=$NR$93,$NN$93,0),IF($NP$93="Bell_Curve",$NN$93*(2-$NR$93+1)*($NS$93-2+1)/$NU$93,$NN$93/$NT$93)),0)</f>
        <v/>
      </c>
      <c r="G93" s="402">
        <f>IF(AND(3&gt;=$NR$93,3&lt;=$NS$93),IF($NP$93="Single_Point",IF(3=$NR$93,$NN$93,0),IF($NP$93="Bell_Curve",$NN$93*(3-$NR$93+1)*($NS$93-3+1)/$NU$93,$NN$93/$NT$93)),0)</f>
        <v/>
      </c>
      <c r="H93" s="402">
        <f>IF(AND(4&gt;=$NR$93,4&lt;=$NS$93),IF($NP$93="Single_Point",IF(4=$NR$93,$NN$93,0),IF($NP$93="Bell_Curve",$NN$93*(4-$NR$93+1)*($NS$93-4+1)/$NU$93,$NN$93/$NT$93)),0)</f>
        <v/>
      </c>
      <c r="I93" s="402">
        <f>IF(AND(5&gt;=$NR$93,5&lt;=$NS$93),IF($NP$93="Single_Point",IF(5=$NR$93,$NN$93,0),IF($NP$93="Bell_Curve",$NN$93*(5-$NR$93+1)*($NS$93-5+1)/$NU$93,$NN$93/$NT$93)),0)</f>
        <v/>
      </c>
      <c r="J93" s="402">
        <f>IF(AND(6&gt;=$NR$93,6&lt;=$NS$93),IF($NP$93="Single_Point",IF(6=$NR$93,$NN$93,0),IF($NP$93="Bell_Curve",$NN$93*(6-$NR$93+1)*($NS$93-6+1)/$NU$93,$NN$93/$NT$93)),0)</f>
        <v/>
      </c>
      <c r="K93" s="402">
        <f>IF(AND(7&gt;=$NR$93,7&lt;=$NS$93),IF($NP$93="Single_Point",IF(7=$NR$93,$NN$93,0),IF($NP$93="Bell_Curve",$NN$93*(7-$NR$93+1)*($NS$93-7+1)/$NU$93,$NN$93/$NT$93)),0)</f>
        <v/>
      </c>
      <c r="L93" s="402">
        <f>IF(AND(8&gt;=$NR$93,8&lt;=$NS$93),IF($NP$93="Single_Point",IF(8=$NR$93,$NN$93,0),IF($NP$93="Bell_Curve",$NN$93*(8-$NR$93+1)*($NS$93-8+1)/$NU$93,$NN$93/$NT$93)),0)</f>
        <v/>
      </c>
      <c r="M93" s="402">
        <f>IF(AND(9&gt;=$NR$93,9&lt;=$NS$93),IF($NP$93="Single_Point",IF(9=$NR$93,$NN$93,0),IF($NP$93="Bell_Curve",$NN$93*(9-$NR$93+1)*($NS$93-9+1)/$NU$93,$NN$93/$NT$93)),0)</f>
        <v/>
      </c>
      <c r="N93" s="402">
        <f>IF(AND(10&gt;=$NR$93,10&lt;=$NS$93),IF($NP$93="Single_Point",IF(10=$NR$93,$NN$93,0),IF($NP$93="Bell_Curve",$NN$93*(10-$NR$93+1)*($NS$93-10+1)/$NU$93,$NN$93/$NT$93)),0)</f>
        <v/>
      </c>
      <c r="O93" s="402">
        <f>IF(AND(11&gt;=$NR$93,11&lt;=$NS$93),IF($NP$93="Single_Point",IF(11=$NR$93,$NN$93,0),IF($NP$93="Bell_Curve",$NN$93*(11-$NR$93+1)*($NS$93-11+1)/$NU$93,$NN$93/$NT$93)),0)</f>
        <v/>
      </c>
      <c r="P93" s="402">
        <f>IF(AND(12&gt;=$NR$93,12&lt;=$NS$93),IF($NP$93="Single_Point",IF(12=$NR$93,$NN$93,0),IF($NP$93="Bell_Curve",$NN$93*(12-$NR$93+1)*($NS$93-12+1)/$NU$93,$NN$93/$NT$93)),0)</f>
        <v/>
      </c>
      <c r="Q93" s="402">
        <f>IF(AND(13&gt;=$NR$93,13&lt;=$NS$93),IF($NP$93="Single_Point",IF(13=$NR$93,$NN$93,0),IF($NP$93="Bell_Curve",$NN$93*(13-$NR$93+1)*($NS$93-13+1)/$NU$93,$NN$93/$NT$93)),0)</f>
        <v/>
      </c>
      <c r="R93" s="402">
        <f>IF(AND(14&gt;=$NR$93,14&lt;=$NS$93),IF($NP$93="Single_Point",IF(14=$NR$93,$NN$93,0),IF($NP$93="Bell_Curve",$NN$93*(14-$NR$93+1)*($NS$93-14+1)/$NU$93,$NN$93/$NT$93)),0)</f>
        <v/>
      </c>
      <c r="S93" s="402">
        <f>IF(AND(15&gt;=$NR$93,15&lt;=$NS$93),IF($NP$93="Single_Point",IF(15=$NR$93,$NN$93,0),IF($NP$93="Bell_Curve",$NN$93*(15-$NR$93+1)*($NS$93-15+1)/$NU$93,$NN$93/$NT$93)),0)</f>
        <v/>
      </c>
      <c r="T93" s="402">
        <f>IF(AND(16&gt;=$NR$93,16&lt;=$NS$93),IF($NP$93="Single_Point",IF(16=$NR$93,$NN$93,0),IF($NP$93="Bell_Curve",$NN$93*(16-$NR$93+1)*($NS$93-16+1)/$NU$93,$NN$93/$NT$93)),0)</f>
        <v/>
      </c>
      <c r="U93" s="402">
        <f>IF(AND(17&gt;=$NR$93,17&lt;=$NS$93),IF($NP$93="Single_Point",IF(17=$NR$93,$NN$93,0),IF($NP$93="Bell_Curve",$NN$93*(17-$NR$93+1)*($NS$93-17+1)/$NU$93,$NN$93/$NT$93)),0)</f>
        <v/>
      </c>
      <c r="V93" s="402">
        <f>IF(AND(18&gt;=$NR$93,18&lt;=$NS$93),IF($NP$93="Single_Point",IF(18=$NR$93,$NN$93,0),IF($NP$93="Bell_Curve",$NN$93*(18-$NR$93+1)*($NS$93-18+1)/$NU$93,$NN$93/$NT$93)),0)</f>
        <v/>
      </c>
      <c r="W93" s="402">
        <f>IF(AND(19&gt;=$NR$93,19&lt;=$NS$93),IF($NP$93="Single_Point",IF(19=$NR$93,$NN$93,0),IF($NP$93="Bell_Curve",$NN$93*(19-$NR$93+1)*($NS$93-19+1)/$NU$93,$NN$93/$NT$93)),0)</f>
        <v/>
      </c>
      <c r="X93" s="402">
        <f>IF(AND(20&gt;=$NR$93,20&lt;=$NS$93),IF($NP$93="Single_Point",IF(20=$NR$93,$NN$93,0),IF($NP$93="Bell_Curve",$NN$93*(20-$NR$93+1)*($NS$93-20+1)/$NU$93,$NN$93/$NT$93)),0)</f>
        <v/>
      </c>
      <c r="Y93" s="402">
        <f>IF(AND(21&gt;=$NR$93,21&lt;=$NS$93),IF($NP$93="Single_Point",IF(21=$NR$93,$NN$93,0),IF($NP$93="Bell_Curve",$NN$93*(21-$NR$93+1)*($NS$93-21+1)/$NU$93,$NN$93/$NT$93)),0)</f>
        <v/>
      </c>
      <c r="Z93" s="402">
        <f>IF(AND(22&gt;=$NR$93,22&lt;=$NS$93),IF($NP$93="Single_Point",IF(22=$NR$93,$NN$93,0),IF($NP$93="Bell_Curve",$NN$93*(22-$NR$93+1)*($NS$93-22+1)/$NU$93,$NN$93/$NT$93)),0)</f>
        <v/>
      </c>
      <c r="AA93" s="402">
        <f>IF(AND(23&gt;=$NR$93,23&lt;=$NS$93),IF($NP$93="Single_Point",IF(23=$NR$93,$NN$93,0),IF($NP$93="Bell_Curve",$NN$93*(23-$NR$93+1)*($NS$93-23+1)/$NU$93,$NN$93/$NT$93)),0)</f>
        <v/>
      </c>
      <c r="AB93" s="402">
        <f>IF(AND(24&gt;=$NR$93,24&lt;=$NS$93),IF($NP$93="Single_Point",IF(24=$NR$93,$NN$93,0),IF($NP$93="Bell_Curve",$NN$93*(24-$NR$93+1)*($NS$93-24+1)/$NU$93,$NN$93/$NT$93)),0)</f>
        <v/>
      </c>
      <c r="AC93" s="402">
        <f>IF(AND(25&gt;=$NR$93,25&lt;=$NS$93),IF($NP$93="Single_Point",IF(25=$NR$93,$NN$93,0),IF($NP$93="Bell_Curve",$NN$93*(25-$NR$93+1)*($NS$93-25+1)/$NU$93,$NN$93/$NT$93)),0)</f>
        <v/>
      </c>
      <c r="AD93" s="402">
        <f>IF(AND(26&gt;=$NR$93,26&lt;=$NS$93),IF($NP$93="Single_Point",IF(26=$NR$93,$NN$93,0),IF($NP$93="Bell_Curve",$NN$93*(26-$NR$93+1)*($NS$93-26+1)/$NU$93,$NN$93/$NT$93)),0)</f>
        <v/>
      </c>
      <c r="AE93" s="402">
        <f>IF(AND(27&gt;=$NR$93,27&lt;=$NS$93),IF($NP$93="Single_Point",IF(27=$NR$93,$NN$93,0),IF($NP$93="Bell_Curve",$NN$93*(27-$NR$93+1)*($NS$93-27+1)/$NU$93,$NN$93/$NT$93)),0)</f>
        <v/>
      </c>
      <c r="AF93" s="402">
        <f>IF(AND(28&gt;=$NR$93,28&lt;=$NS$93),IF($NP$93="Single_Point",IF(28=$NR$93,$NN$93,0),IF($NP$93="Bell_Curve",$NN$93*(28-$NR$93+1)*($NS$93-28+1)/$NU$93,$NN$93/$NT$93)),0)</f>
        <v/>
      </c>
      <c r="AG93" s="402">
        <f>IF(AND(29&gt;=$NR$93,29&lt;=$NS$93),IF($NP$93="Single_Point",IF(29=$NR$93,$NN$93,0),IF($NP$93="Bell_Curve",$NN$93*(29-$NR$93+1)*($NS$93-29+1)/$NU$93,$NN$93/$NT$93)),0)</f>
        <v/>
      </c>
      <c r="AH93" s="402">
        <f>IF(AND(30&gt;=$NR$93,30&lt;=$NS$93),IF($NP$93="Single_Point",IF(30=$NR$93,$NN$93,0),IF($NP$93="Bell_Curve",$NN$93*(30-$NR$93+1)*($NS$93-30+1)/$NU$93,$NN$93/$NT$93)),0)</f>
        <v/>
      </c>
      <c r="AI93" s="402">
        <f>IF(AND(31&gt;=$NR$93,31&lt;=$NS$93),IF($NP$93="Single_Point",IF(31=$NR$93,$NN$93,0),IF($NP$93="Bell_Curve",$NN$93*(31-$NR$93+1)*($NS$93-31+1)/$NU$93,$NN$93/$NT$93)),0)</f>
        <v/>
      </c>
      <c r="AJ93" s="402">
        <f>IF(AND(32&gt;=$NR$93,32&lt;=$NS$93),IF($NP$93="Single_Point",IF(32=$NR$93,$NN$93,0),IF($NP$93="Bell_Curve",$NN$93*(32-$NR$93+1)*($NS$93-32+1)/$NU$93,$NN$93/$NT$93)),0)</f>
        <v/>
      </c>
      <c r="AK93" s="402">
        <f>IF(AND(33&gt;=$NR$93,33&lt;=$NS$93),IF($NP$93="Single_Point",IF(33=$NR$93,$NN$93,0),IF($NP$93="Bell_Curve",$NN$93*(33-$NR$93+1)*($NS$93-33+1)/$NU$93,$NN$93/$NT$93)),0)</f>
        <v/>
      </c>
      <c r="AL93" s="402">
        <f>IF(AND(34&gt;=$NR$93,34&lt;=$NS$93),IF($NP$93="Single_Point",IF(34=$NR$93,$NN$93,0),IF($NP$93="Bell_Curve",$NN$93*(34-$NR$93+1)*($NS$93-34+1)/$NU$93,$NN$93/$NT$93)),0)</f>
        <v/>
      </c>
      <c r="AM93" s="402">
        <f>IF(AND(35&gt;=$NR$93,35&lt;=$NS$93),IF($NP$93="Single_Point",IF(35=$NR$93,$NN$93,0),IF($NP$93="Bell_Curve",$NN$93*(35-$NR$93+1)*($NS$93-35+1)/$NU$93,$NN$93/$NT$93)),0)</f>
        <v/>
      </c>
      <c r="AN93" s="402">
        <f>IF(AND(36&gt;=$NR$93,36&lt;=$NS$93),IF($NP$93="Single_Point",IF(36=$NR$93,$NN$93,0),IF($NP$93="Bell_Curve",$NN$93*(36-$NR$93+1)*($NS$93-36+1)/$NU$93,$NN$93/$NT$93)),0)</f>
        <v/>
      </c>
      <c r="AO93" s="402">
        <f>IF(AND(37&gt;=$NR$93,37&lt;=$NS$93),IF($NP$93="Single_Point",IF(37=$NR$93,$NN$93,0),IF($NP$93="Bell_Curve",$NN$93*(37-$NR$93+1)*($NS$93-37+1)/$NU$93,$NN$93/$NT$93)),0)</f>
        <v/>
      </c>
      <c r="AP93" s="402">
        <f>IF(AND(38&gt;=$NR$93,38&lt;=$NS$93),IF($NP$93="Single_Point",IF(38=$NR$93,$NN$93,0),IF($NP$93="Bell_Curve",$NN$93*(38-$NR$93+1)*($NS$93-38+1)/$NU$93,$NN$93/$NT$93)),0)</f>
        <v/>
      </c>
      <c r="AQ93" s="402">
        <f>IF(AND(39&gt;=$NR$93,39&lt;=$NS$93),IF($NP$93="Single_Point",IF(39=$NR$93,$NN$93,0),IF($NP$93="Bell_Curve",$NN$93*(39-$NR$93+1)*($NS$93-39+1)/$NU$93,$NN$93/$NT$93)),0)</f>
        <v/>
      </c>
      <c r="AR93" s="402">
        <f>IF(AND(40&gt;=$NR$93,40&lt;=$NS$93),IF($NP$93="Single_Point",IF(40=$NR$93,$NN$93,0),IF($NP$93="Bell_Curve",$NN$93*(40-$NR$93+1)*($NS$93-40+1)/$NU$93,$NN$93/$NT$93)),0)</f>
        <v/>
      </c>
      <c r="AS93" s="402">
        <f>IF(AND(41&gt;=$NR$93,41&lt;=$NS$93),IF($NP$93="Single_Point",IF(41=$NR$93,$NN$93,0),IF($NP$93="Bell_Curve",$NN$93*(41-$NR$93+1)*($NS$93-41+1)/$NU$93,$NN$93/$NT$93)),0)</f>
        <v/>
      </c>
      <c r="AT93" s="402">
        <f>IF(AND(42&gt;=$NR$93,42&lt;=$NS$93),IF($NP$93="Single_Point",IF(42=$NR$93,$NN$93,0),IF($NP$93="Bell_Curve",$NN$93*(42-$NR$93+1)*($NS$93-42+1)/$NU$93,$NN$93/$NT$93)),0)</f>
        <v/>
      </c>
      <c r="AU93" s="402">
        <f>IF(AND(43&gt;=$NR$93,43&lt;=$NS$93),IF($NP$93="Single_Point",IF(43=$NR$93,$NN$93,0),IF($NP$93="Bell_Curve",$NN$93*(43-$NR$93+1)*($NS$93-43+1)/$NU$93,$NN$93/$NT$93)),0)</f>
        <v/>
      </c>
      <c r="AV93" s="402">
        <f>IF(AND(44&gt;=$NR$93,44&lt;=$NS$93),IF($NP$93="Single_Point",IF(44=$NR$93,$NN$93,0),IF($NP$93="Bell_Curve",$NN$93*(44-$NR$93+1)*($NS$93-44+1)/$NU$93,$NN$93/$NT$93)),0)</f>
        <v/>
      </c>
      <c r="AW93" s="402">
        <f>IF(AND(45&gt;=$NR$93,45&lt;=$NS$93),IF($NP$93="Single_Point",IF(45=$NR$93,$NN$93,0),IF($NP$93="Bell_Curve",$NN$93*(45-$NR$93+1)*($NS$93-45+1)/$NU$93,$NN$93/$NT$93)),0)</f>
        <v/>
      </c>
      <c r="AX93" s="402">
        <f>IF(AND(46&gt;=$NR$93,46&lt;=$NS$93),IF($NP$93="Single_Point",IF(46=$NR$93,$NN$93,0),IF($NP$93="Bell_Curve",$NN$93*(46-$NR$93+1)*($NS$93-46+1)/$NU$93,$NN$93/$NT$93)),0)</f>
        <v/>
      </c>
      <c r="AY93" s="402">
        <f>IF(AND(47&gt;=$NR$93,47&lt;=$NS$93),IF($NP$93="Single_Point",IF(47=$NR$93,$NN$93,0),IF($NP$93="Bell_Curve",$NN$93*(47-$NR$93+1)*($NS$93-47+1)/$NU$93,$NN$93/$NT$93)),0)</f>
        <v/>
      </c>
      <c r="AZ93" s="402">
        <f>IF(AND(48&gt;=$NR$93,48&lt;=$NS$93),IF($NP$93="Single_Point",IF(48=$NR$93,$NN$93,0),IF($NP$93="Bell_Curve",$NN$93*(48-$NR$93+1)*($NS$93-48+1)/$NU$93,$NN$93/$NT$93)),0)</f>
        <v/>
      </c>
      <c r="BA93" s="402">
        <f>IF(AND(49&gt;=$NR$93,49&lt;=$NS$93),IF($NP$93="Single_Point",IF(49=$NR$93,$NN$93,0),IF($NP$93="Bell_Curve",$NN$93*(49-$NR$93+1)*($NS$93-49+1)/$NU$93,$NN$93/$NT$93)),0)</f>
        <v/>
      </c>
      <c r="BB93" s="402">
        <f>IF(AND(50&gt;=$NR$93,50&lt;=$NS$93),IF($NP$93="Single_Point",IF(50=$NR$93,$NN$93,0),IF($NP$93="Bell_Curve",$NN$93*(50-$NR$93+1)*($NS$93-50+1)/$NU$93,$NN$93/$NT$93)),0)</f>
        <v/>
      </c>
      <c r="BC93" s="402">
        <f>IF(AND(51&gt;=$NR$93,51&lt;=$NS$93),IF($NP$93="Single_Point",IF(51=$NR$93,$NN$93,0),IF($NP$93="Bell_Curve",$NN$93*(51-$NR$93+1)*($NS$93-51+1)/$NU$93,$NN$93/$NT$93)),0)</f>
        <v/>
      </c>
      <c r="BD93" s="402">
        <f>IF(AND(52&gt;=$NR$93,52&lt;=$NS$93),IF($NP$93="Single_Point",IF(52=$NR$93,$NN$93,0),IF($NP$93="Bell_Curve",$NN$93*(52-$NR$93+1)*($NS$93-52+1)/$NU$93,$NN$93/$NT$93)),0)</f>
        <v/>
      </c>
      <c r="BE93" s="402">
        <f>IF(AND(53&gt;=$NR$93,53&lt;=$NS$93),IF($NP$93="Single_Point",IF(53=$NR$93,$NN$93,0),IF($NP$93="Bell_Curve",$NN$93*(53-$NR$93+1)*($NS$93-53+1)/$NU$93,$NN$93/$NT$93)),0)</f>
        <v/>
      </c>
      <c r="BF93" s="402">
        <f>IF(AND(54&gt;=$NR$93,54&lt;=$NS$93),IF($NP$93="Single_Point",IF(54=$NR$93,$NN$93,0),IF($NP$93="Bell_Curve",$NN$93*(54-$NR$93+1)*($NS$93-54+1)/$NU$93,$NN$93/$NT$93)),0)</f>
        <v/>
      </c>
      <c r="BG93" s="402">
        <f>IF(AND(55&gt;=$NR$93,55&lt;=$NS$93),IF($NP$93="Single_Point",IF(55=$NR$93,$NN$93,0),IF($NP$93="Bell_Curve",$NN$93*(55-$NR$93+1)*($NS$93-55+1)/$NU$93,$NN$93/$NT$93)),0)</f>
        <v/>
      </c>
      <c r="BH93" s="402">
        <f>IF(AND(56&gt;=$NR$93,56&lt;=$NS$93),IF($NP$93="Single_Point",IF(56=$NR$93,$NN$93,0),IF($NP$93="Bell_Curve",$NN$93*(56-$NR$93+1)*($NS$93-56+1)/$NU$93,$NN$93/$NT$93)),0)</f>
        <v/>
      </c>
      <c r="BI93" s="402">
        <f>IF(AND(57&gt;=$NR$93,57&lt;=$NS$93),IF($NP$93="Single_Point",IF(57=$NR$93,$NN$93,0),IF($NP$93="Bell_Curve",$NN$93*(57-$NR$93+1)*($NS$93-57+1)/$NU$93,$NN$93/$NT$93)),0)</f>
        <v/>
      </c>
      <c r="BJ93" s="402">
        <f>IF(AND(58&gt;=$NR$93,58&lt;=$NS$93),IF($NP$93="Single_Point",IF(58=$NR$93,$NN$93,0),IF($NP$93="Bell_Curve",$NN$93*(58-$NR$93+1)*($NS$93-58+1)/$NU$93,$NN$93/$NT$93)),0)</f>
        <v/>
      </c>
      <c r="BK93" s="402">
        <f>IF(AND(59&gt;=$NR$93,59&lt;=$NS$93),IF($NP$93="Single_Point",IF(59=$NR$93,$NN$93,0),IF($NP$93="Bell_Curve",$NN$93*(59-$NR$93+1)*($NS$93-59+1)/$NU$93,$NN$93/$NT$93)),0)</f>
        <v/>
      </c>
      <c r="BL93" s="402">
        <f>IF(AND(60&gt;=$NR$93,60&lt;=$NS$93),IF($NP$93="Single_Point",IF(60=$NR$93,$NN$93,0),IF($NP$93="Bell_Curve",$NN$93*(60-$NR$93+1)*($NS$93-60+1)/$NU$93,$NN$93/$NT$93)),0)</f>
        <v/>
      </c>
      <c r="BM93" s="402">
        <f>IF(AND(61&gt;=$NR$93,61&lt;=$NS$93),IF($NP$93="Single_Point",IF(61=$NR$93,$NN$93,0),IF($NP$93="Bell_Curve",$NN$93*(61-$NR$93+1)*($NS$93-61+1)/$NU$93,$NN$93/$NT$93)),0)</f>
        <v/>
      </c>
      <c r="BN93" s="402">
        <f>IF(AND(62&gt;=$NR$93,62&lt;=$NS$93),IF($NP$93="Single_Point",IF(62=$NR$93,$NN$93,0),IF($NP$93="Bell_Curve",$NN$93*(62-$NR$93+1)*($NS$93-62+1)/$NU$93,$NN$93/$NT$93)),0)</f>
        <v/>
      </c>
      <c r="BO93" s="402">
        <f>IF(AND(63&gt;=$NR$93,63&lt;=$NS$93),IF($NP$93="Single_Point",IF(63=$NR$93,$NN$93,0),IF($NP$93="Bell_Curve",$NN$93*(63-$NR$93+1)*($NS$93-63+1)/$NU$93,$NN$93/$NT$93)),0)</f>
        <v/>
      </c>
      <c r="BP93" s="402">
        <f>IF(AND(64&gt;=$NR$93,64&lt;=$NS$93),IF($NP$93="Single_Point",IF(64=$NR$93,$NN$93,0),IF($NP$93="Bell_Curve",$NN$93*(64-$NR$93+1)*($NS$93-64+1)/$NU$93,$NN$93/$NT$93)),0)</f>
        <v/>
      </c>
      <c r="BQ93" s="402">
        <f>IF(AND(65&gt;=$NR$93,65&lt;=$NS$93),IF($NP$93="Single_Point",IF(65=$NR$93,$NN$93,0),IF($NP$93="Bell_Curve",$NN$93*(65-$NR$93+1)*($NS$93-65+1)/$NU$93,$NN$93/$NT$93)),0)</f>
        <v/>
      </c>
      <c r="BR93" s="402">
        <f>IF(AND(66&gt;=$NR$93,66&lt;=$NS$93),IF($NP$93="Single_Point",IF(66=$NR$93,$NN$93,0),IF($NP$93="Bell_Curve",$NN$93*(66-$NR$93+1)*($NS$93-66+1)/$NU$93,$NN$93/$NT$93)),0)</f>
        <v/>
      </c>
      <c r="BS93" s="402">
        <f>IF(AND(67&gt;=$NR$93,67&lt;=$NS$93),IF($NP$93="Single_Point",IF(67=$NR$93,$NN$93,0),IF($NP$93="Bell_Curve",$NN$93*(67-$NR$93+1)*($NS$93-67+1)/$NU$93,$NN$93/$NT$93)),0)</f>
        <v/>
      </c>
      <c r="BT93" s="402">
        <f>IF(AND(68&gt;=$NR$93,68&lt;=$NS$93),IF($NP$93="Single_Point",IF(68=$NR$93,$NN$93,0),IF($NP$93="Bell_Curve",$NN$93*(68-$NR$93+1)*($NS$93-68+1)/$NU$93,$NN$93/$NT$93)),0)</f>
        <v/>
      </c>
      <c r="BU93" s="402">
        <f>IF(AND(69&gt;=$NR$93,69&lt;=$NS$93),IF($NP$93="Single_Point",IF(69=$NR$93,$NN$93,0),IF($NP$93="Bell_Curve",$NN$93*(69-$NR$93+1)*($NS$93-69+1)/$NU$93,$NN$93/$NT$93)),0)</f>
        <v/>
      </c>
      <c r="BV93" s="402">
        <f>IF(AND(70&gt;=$NR$93,70&lt;=$NS$93),IF($NP$93="Single_Point",IF(70=$NR$93,$NN$93,0),IF($NP$93="Bell_Curve",$NN$93*(70-$NR$93+1)*($NS$93-70+1)/$NU$93,$NN$93/$NT$93)),0)</f>
        <v/>
      </c>
      <c r="BW93" s="402">
        <f>IF(AND(71&gt;=$NR$93,71&lt;=$NS$93),IF($NP$93="Single_Point",IF(71=$NR$93,$NN$93,0),IF($NP$93="Bell_Curve",$NN$93*(71-$NR$93+1)*($NS$93-71+1)/$NU$93,$NN$93/$NT$93)),0)</f>
        <v/>
      </c>
      <c r="BX93" s="402">
        <f>IF(AND(72&gt;=$NR$93,72&lt;=$NS$93),IF($NP$93="Single_Point",IF(72=$NR$93,$NN$93,0),IF($NP$93="Bell_Curve",$NN$93*(72-$NR$93+1)*($NS$93-72+1)/$NU$93,$NN$93/$NT$93)),0)</f>
        <v/>
      </c>
      <c r="BY93" s="402">
        <f>IF(AND(73&gt;=$NR$93,73&lt;=$NS$93),IF($NP$93="Single_Point",IF(73=$NR$93,$NN$93,0),IF($NP$93="Bell_Curve",$NN$93*(73-$NR$93+1)*($NS$93-73+1)/$NU$93,$NN$93/$NT$93)),0)</f>
        <v/>
      </c>
      <c r="BZ93" s="402">
        <f>IF(AND(74&gt;=$NR$93,74&lt;=$NS$93),IF($NP$93="Single_Point",IF(74=$NR$93,$NN$93,0),IF($NP$93="Bell_Curve",$NN$93*(74-$NR$93+1)*($NS$93-74+1)/$NU$93,$NN$93/$NT$93)),0)</f>
        <v/>
      </c>
      <c r="CA93" s="402">
        <f>IF(AND(75&gt;=$NR$93,75&lt;=$NS$93),IF($NP$93="Single_Point",IF(75=$NR$93,$NN$93,0),IF($NP$93="Bell_Curve",$NN$93*(75-$NR$93+1)*($NS$93-75+1)/$NU$93,$NN$93/$NT$93)),0)</f>
        <v/>
      </c>
      <c r="CB93" s="402">
        <f>IF(AND(76&gt;=$NR$93,76&lt;=$NS$93),IF($NP$93="Single_Point",IF(76=$NR$93,$NN$93,0),IF($NP$93="Bell_Curve",$NN$93*(76-$NR$93+1)*($NS$93-76+1)/$NU$93,$NN$93/$NT$93)),0)</f>
        <v/>
      </c>
      <c r="CC93" s="402">
        <f>IF(AND(77&gt;=$NR$93,77&lt;=$NS$93),IF($NP$93="Single_Point",IF(77=$NR$93,$NN$93,0),IF($NP$93="Bell_Curve",$NN$93*(77-$NR$93+1)*($NS$93-77+1)/$NU$93,$NN$93/$NT$93)),0)</f>
        <v/>
      </c>
      <c r="CD93" s="402">
        <f>IF(AND(78&gt;=$NR$93,78&lt;=$NS$93),IF($NP$93="Single_Point",IF(78=$NR$93,$NN$93,0),IF($NP$93="Bell_Curve",$NN$93*(78-$NR$93+1)*($NS$93-78+1)/$NU$93,$NN$93/$NT$93)),0)</f>
        <v/>
      </c>
      <c r="CE93" s="402">
        <f>IF(AND(79&gt;=$NR$93,79&lt;=$NS$93),IF($NP$93="Single_Point",IF(79=$NR$93,$NN$93,0),IF($NP$93="Bell_Curve",$NN$93*(79-$NR$93+1)*($NS$93-79+1)/$NU$93,$NN$93/$NT$93)),0)</f>
        <v/>
      </c>
      <c r="CF93" s="402">
        <f>IF(AND(80&gt;=$NR$93,80&lt;=$NS$93),IF($NP$93="Single_Point",IF(80=$NR$93,$NN$93,0),IF($NP$93="Bell_Curve",$NN$93*(80-$NR$93+1)*($NS$93-80+1)/$NU$93,$NN$93/$NT$93)),0)</f>
        <v/>
      </c>
      <c r="CG93" s="402">
        <f>IF(AND(81&gt;=$NR$93,81&lt;=$NS$93),IF($NP$93="Single_Point",IF(81=$NR$93,$NN$93,0),IF($NP$93="Bell_Curve",$NN$93*(81-$NR$93+1)*($NS$93-81+1)/$NU$93,$NN$93/$NT$93)),0)</f>
        <v/>
      </c>
      <c r="CH93" s="402">
        <f>IF(AND(82&gt;=$NR$93,82&lt;=$NS$93),IF($NP$93="Single_Point",IF(82=$NR$93,$NN$93,0),IF($NP$93="Bell_Curve",$NN$93*(82-$NR$93+1)*($NS$93-82+1)/$NU$93,$NN$93/$NT$93)),0)</f>
        <v/>
      </c>
      <c r="CI93" s="402">
        <f>IF(AND(83&gt;=$NR$93,83&lt;=$NS$93),IF($NP$93="Single_Point",IF(83=$NR$93,$NN$93,0),IF($NP$93="Bell_Curve",$NN$93*(83-$NR$93+1)*($NS$93-83+1)/$NU$93,$NN$93/$NT$93)),0)</f>
        <v/>
      </c>
      <c r="CJ93" s="402">
        <f>IF(AND(84&gt;=$NR$93,84&lt;=$NS$93),IF($NP$93="Single_Point",IF(84=$NR$93,$NN$93,0),IF($NP$93="Bell_Curve",$NN$93*(84-$NR$93+1)*($NS$93-84+1)/$NU$93,$NN$93/$NT$93)),0)</f>
        <v/>
      </c>
      <c r="CK93" s="402">
        <f>IF(AND(85&gt;=$NR$93,85&lt;=$NS$93),IF($NP$93="Single_Point",IF(85=$NR$93,$NN$93,0),IF($NP$93="Bell_Curve",$NN$93*(85-$NR$93+1)*($NS$93-85+1)/$NU$93,$NN$93/$NT$93)),0)</f>
        <v/>
      </c>
      <c r="CL93" s="402">
        <f>IF(AND(86&gt;=$NR$93,86&lt;=$NS$93),IF($NP$93="Single_Point",IF(86=$NR$93,$NN$93,0),IF($NP$93="Bell_Curve",$NN$93*(86-$NR$93+1)*($NS$93-86+1)/$NU$93,$NN$93/$NT$93)),0)</f>
        <v/>
      </c>
      <c r="CM93" s="402">
        <f>IF(AND(87&gt;=$NR$93,87&lt;=$NS$93),IF($NP$93="Single_Point",IF(87=$NR$93,$NN$93,0),IF($NP$93="Bell_Curve",$NN$93*(87-$NR$93+1)*($NS$93-87+1)/$NU$93,$NN$93/$NT$93)),0)</f>
        <v/>
      </c>
      <c r="CN93" s="402">
        <f>IF(AND(88&gt;=$NR$93,88&lt;=$NS$93),IF($NP$93="Single_Point",IF(88=$NR$93,$NN$93,0),IF($NP$93="Bell_Curve",$NN$93*(88-$NR$93+1)*($NS$93-88+1)/$NU$93,$NN$93/$NT$93)),0)</f>
        <v/>
      </c>
      <c r="CO93" s="402">
        <f>IF(AND(89&gt;=$NR$93,89&lt;=$NS$93),IF($NP$93="Single_Point",IF(89=$NR$93,$NN$93,0),IF($NP$93="Bell_Curve",$NN$93*(89-$NR$93+1)*($NS$93-89+1)/$NU$93,$NN$93/$NT$93)),0)</f>
        <v/>
      </c>
      <c r="CP93" s="402">
        <f>IF(AND(90&gt;=$NR$93,90&lt;=$NS$93),IF($NP$93="Single_Point",IF(90=$NR$93,$NN$93,0),IF($NP$93="Bell_Curve",$NN$93*(90-$NR$93+1)*($NS$93-90+1)/$NU$93,$NN$93/$NT$93)),0)</f>
        <v/>
      </c>
      <c r="CQ93" s="402">
        <f>IF(AND(91&gt;=$NR$93,91&lt;=$NS$93),IF($NP$93="Single_Point",IF(91=$NR$93,$NN$93,0),IF($NP$93="Bell_Curve",$NN$93*(91-$NR$93+1)*($NS$93-91+1)/$NU$93,$NN$93/$NT$93)),0)</f>
        <v/>
      </c>
      <c r="CR93" s="402">
        <f>IF(AND(92&gt;=$NR$93,92&lt;=$NS$93),IF($NP$93="Single_Point",IF(92=$NR$93,$NN$93,0),IF($NP$93="Bell_Curve",$NN$93*(92-$NR$93+1)*($NS$93-92+1)/$NU$93,$NN$93/$NT$93)),0)</f>
        <v/>
      </c>
      <c r="CS93" s="402">
        <f>IF(AND(93&gt;=$NR$93,93&lt;=$NS$93),IF($NP$93="Single_Point",IF(93=$NR$93,$NN$93,0),IF($NP$93="Bell_Curve",$NN$93*(93-$NR$93+1)*($NS$93-93+1)/$NU$93,$NN$93/$NT$93)),0)</f>
        <v/>
      </c>
      <c r="CT93" s="402">
        <f>IF(AND(94&gt;=$NR$93,94&lt;=$NS$93),IF($NP$93="Single_Point",IF(94=$NR$93,$NN$93,0),IF($NP$93="Bell_Curve",$NN$93*(94-$NR$93+1)*($NS$93-94+1)/$NU$93,$NN$93/$NT$93)),0)</f>
        <v/>
      </c>
      <c r="CU93" s="402">
        <f>IF(AND(95&gt;=$NR$93,95&lt;=$NS$93),IF($NP$93="Single_Point",IF(95=$NR$93,$NN$93,0),IF($NP$93="Bell_Curve",$NN$93*(95-$NR$93+1)*($NS$93-95+1)/$NU$93,$NN$93/$NT$93)),0)</f>
        <v/>
      </c>
      <c r="CV93" s="402">
        <f>IF(AND(96&gt;=$NR$93,96&lt;=$NS$93),IF($NP$93="Single_Point",IF(96=$NR$93,$NN$93,0),IF($NP$93="Bell_Curve",$NN$93*(96-$NR$93+1)*($NS$93-96+1)/$NU$93,$NN$93/$NT$93)),0)</f>
        <v/>
      </c>
      <c r="CW93" s="402">
        <f>IF(AND(97&gt;=$NR$93,97&lt;=$NS$93),IF($NP$93="Single_Point",IF(97=$NR$93,$NN$93,0),IF($NP$93="Bell_Curve",$NN$93*(97-$NR$93+1)*($NS$93-97+1)/$NU$93,$NN$93/$NT$93)),0)</f>
        <v/>
      </c>
      <c r="CX93" s="402">
        <f>IF(AND(98&gt;=$NR$93,98&lt;=$NS$93),IF($NP$93="Single_Point",IF(98=$NR$93,$NN$93,0),IF($NP$93="Bell_Curve",$NN$93*(98-$NR$93+1)*($NS$93-98+1)/$NU$93,$NN$93/$NT$93)),0)</f>
        <v/>
      </c>
      <c r="CY93" s="402">
        <f>IF(AND(99&gt;=$NR$93,99&lt;=$NS$93),IF($NP$93="Single_Point",IF(99=$NR$93,$NN$93,0),IF($NP$93="Bell_Curve",$NN$93*(99-$NR$93+1)*($NS$93-99+1)/$NU$93,$NN$93/$NT$93)),0)</f>
        <v/>
      </c>
      <c r="CZ93" s="402">
        <f>IF(AND(100&gt;=$NR$93,100&lt;=$NS$93),IF($NP$93="Single_Point",IF(100=$NR$93,$NN$93,0),IF($NP$93="Bell_Curve",$NN$93*(100-$NR$93+1)*($NS$93-100+1)/$NU$93,$NN$93/$NT$93)),0)</f>
        <v/>
      </c>
      <c r="DA93" s="402">
        <f>IF(AND(101&gt;=$NR$93,101&lt;=$NS$93),IF($NP$93="Single_Point",IF(101=$NR$93,$NN$93,0),IF($NP$93="Bell_Curve",$NN$93*(101-$NR$93+1)*($NS$93-101+1)/$NU$93,$NN$93/$NT$93)),0)</f>
        <v/>
      </c>
      <c r="DB93" s="402">
        <f>IF(AND(102&gt;=$NR$93,102&lt;=$NS$93),IF($NP$93="Single_Point",IF(102=$NR$93,$NN$93,0),IF($NP$93="Bell_Curve",$NN$93*(102-$NR$93+1)*($NS$93-102+1)/$NU$93,$NN$93/$NT$93)),0)</f>
        <v/>
      </c>
      <c r="DC93" s="402">
        <f>IF(AND(103&gt;=$NR$93,103&lt;=$NS$93),IF($NP$93="Single_Point",IF(103=$NR$93,$NN$93,0),IF($NP$93="Bell_Curve",$NN$93*(103-$NR$93+1)*($NS$93-103+1)/$NU$93,$NN$93/$NT$93)),0)</f>
        <v/>
      </c>
      <c r="DD93" s="402">
        <f>IF(AND(104&gt;=$NR$93,104&lt;=$NS$93),IF($NP$93="Single_Point",IF(104=$NR$93,$NN$93,0),IF($NP$93="Bell_Curve",$NN$93*(104-$NR$93+1)*($NS$93-104+1)/$NU$93,$NN$93/$NT$93)),0)</f>
        <v/>
      </c>
      <c r="DE93" s="402">
        <f>IF(AND(105&gt;=$NR$93,105&lt;=$NS$93),IF($NP$93="Single_Point",IF(105=$NR$93,$NN$93,0),IF($NP$93="Bell_Curve",$NN$93*(105-$NR$93+1)*($NS$93-105+1)/$NU$93,$NN$93/$NT$93)),0)</f>
        <v/>
      </c>
      <c r="DF93" s="402">
        <f>IF(AND(106&gt;=$NR$93,106&lt;=$NS$93),IF($NP$93="Single_Point",IF(106=$NR$93,$NN$93,0),IF($NP$93="Bell_Curve",$NN$93*(106-$NR$93+1)*($NS$93-106+1)/$NU$93,$NN$93/$NT$93)),0)</f>
        <v/>
      </c>
      <c r="DG93" s="402">
        <f>IF(AND(107&gt;=$NR$93,107&lt;=$NS$93),IF($NP$93="Single_Point",IF(107=$NR$93,$NN$93,0),IF($NP$93="Bell_Curve",$NN$93*(107-$NR$93+1)*($NS$93-107+1)/$NU$93,$NN$93/$NT$93)),0)</f>
        <v/>
      </c>
      <c r="DH93" s="402">
        <f>IF(AND(108&gt;=$NR$93,108&lt;=$NS$93),IF($NP$93="Single_Point",IF(108=$NR$93,$NN$93,0),IF($NP$93="Bell_Curve",$NN$93*(108-$NR$93+1)*($NS$93-108+1)/$NU$93,$NN$93/$NT$93)),0)</f>
        <v/>
      </c>
      <c r="DI93" s="402">
        <f>IF(AND(109&gt;=$NR$93,109&lt;=$NS$93),IF($NP$93="Single_Point",IF(109=$NR$93,$NN$93,0),IF($NP$93="Bell_Curve",$NN$93*(109-$NR$93+1)*($NS$93-109+1)/$NU$93,$NN$93/$NT$93)),0)</f>
        <v/>
      </c>
      <c r="DJ93" s="402">
        <f>IF(AND(110&gt;=$NR$93,110&lt;=$NS$93),IF($NP$93="Single_Point",IF(110=$NR$93,$NN$93,0),IF($NP$93="Bell_Curve",$NN$93*(110-$NR$93+1)*($NS$93-110+1)/$NU$93,$NN$93/$NT$93)),0)</f>
        <v/>
      </c>
      <c r="DK93" s="402">
        <f>IF(AND(111&gt;=$NR$93,111&lt;=$NS$93),IF($NP$93="Single_Point",IF(111=$NR$93,$NN$93,0),IF($NP$93="Bell_Curve",$NN$93*(111-$NR$93+1)*($NS$93-111+1)/$NU$93,$NN$93/$NT$93)),0)</f>
        <v/>
      </c>
      <c r="DL93" s="402">
        <f>IF(AND(112&gt;=$NR$93,112&lt;=$NS$93),IF($NP$93="Single_Point",IF(112=$NR$93,$NN$93,0),IF($NP$93="Bell_Curve",$NN$93*(112-$NR$93+1)*($NS$93-112+1)/$NU$93,$NN$93/$NT$93)),0)</f>
        <v/>
      </c>
      <c r="DM93" s="402">
        <f>IF(AND(113&gt;=$NR$93,113&lt;=$NS$93),IF($NP$93="Single_Point",IF(113=$NR$93,$NN$93,0),IF($NP$93="Bell_Curve",$NN$93*(113-$NR$93+1)*($NS$93-113+1)/$NU$93,$NN$93/$NT$93)),0)</f>
        <v/>
      </c>
      <c r="DN93" s="402">
        <f>IF(AND(114&gt;=$NR$93,114&lt;=$NS$93),IF($NP$93="Single_Point",IF(114=$NR$93,$NN$93,0),IF($NP$93="Bell_Curve",$NN$93*(114-$NR$93+1)*($NS$93-114+1)/$NU$93,$NN$93/$NT$93)),0)</f>
        <v/>
      </c>
      <c r="DO93" s="402">
        <f>IF(AND(115&gt;=$NR$93,115&lt;=$NS$93),IF($NP$93="Single_Point",IF(115=$NR$93,$NN$93,0),IF($NP$93="Bell_Curve",$NN$93*(115-$NR$93+1)*($NS$93-115+1)/$NU$93,$NN$93/$NT$93)),0)</f>
        <v/>
      </c>
      <c r="DP93" s="402">
        <f>IF(AND(116&gt;=$NR$93,116&lt;=$NS$93),IF($NP$93="Single_Point",IF(116=$NR$93,$NN$93,0),IF($NP$93="Bell_Curve",$NN$93*(116-$NR$93+1)*($NS$93-116+1)/$NU$93,$NN$93/$NT$93)),0)</f>
        <v/>
      </c>
      <c r="DQ93" s="402">
        <f>IF(AND(117&gt;=$NR$93,117&lt;=$NS$93),IF($NP$93="Single_Point",IF(117=$NR$93,$NN$93,0),IF($NP$93="Bell_Curve",$NN$93*(117-$NR$93+1)*($NS$93-117+1)/$NU$93,$NN$93/$NT$93)),0)</f>
        <v/>
      </c>
      <c r="DR93" s="402">
        <f>IF(AND(118&gt;=$NR$93,118&lt;=$NS$93),IF($NP$93="Single_Point",IF(118=$NR$93,$NN$93,0),IF($NP$93="Bell_Curve",$NN$93*(118-$NR$93+1)*($NS$93-118+1)/$NU$93,$NN$93/$NT$93)),0)</f>
        <v/>
      </c>
      <c r="DS93" s="402">
        <f>IF(AND(119&gt;=$NR$93,119&lt;=$NS$93),IF($NP$93="Single_Point",IF(119=$NR$93,$NN$93,0),IF($NP$93="Bell_Curve",$NN$93*(119-$NR$93+1)*($NS$93-119+1)/$NU$93,$NN$93/$NT$93)),0)</f>
        <v/>
      </c>
      <c r="DT93" s="402">
        <f>IF(AND(120&gt;=$NR$93,120&lt;=$NS$93),IF($NP$93="Single_Point",IF(120=$NR$93,$NN$93,0),IF($NP$93="Bell_Curve",$NN$93*(120-$NR$93+1)*($NS$93-120+1)/$NU$93,$NN$93/$NT$93)),0)</f>
        <v/>
      </c>
      <c r="DU93" s="402">
        <f>IF(AND(121&gt;=$NR$93,121&lt;=$NS$93),IF($NP$93="Single_Point",IF(121=$NR$93,$NN$93,0),IF($NP$93="Bell_Curve",$NN$93*(121-$NR$93+1)*($NS$93-121+1)/$NU$93,$NN$93/$NT$93)),0)</f>
        <v/>
      </c>
      <c r="DV93" s="402">
        <f>IF(AND(122&gt;=$NR$93,122&lt;=$NS$93),IF($NP$93="Single_Point",IF(122=$NR$93,$NN$93,0),IF($NP$93="Bell_Curve",$NN$93*(122-$NR$93+1)*($NS$93-122+1)/$NU$93,$NN$93/$NT$93)),0)</f>
        <v/>
      </c>
      <c r="DW93" s="402">
        <f>IF(AND(123&gt;=$NR$93,123&lt;=$NS$93),IF($NP$93="Single_Point",IF(123=$NR$93,$NN$93,0),IF($NP$93="Bell_Curve",$NN$93*(123-$NR$93+1)*($NS$93-123+1)/$NU$93,$NN$93/$NT$93)),0)</f>
        <v/>
      </c>
      <c r="DX93" s="402">
        <f>IF(AND(124&gt;=$NR$93,124&lt;=$NS$93),IF($NP$93="Single_Point",IF(124=$NR$93,$NN$93,0),IF($NP$93="Bell_Curve",$NN$93*(124-$NR$93+1)*($NS$93-124+1)/$NU$93,$NN$93/$NT$93)),0)</f>
        <v/>
      </c>
      <c r="DY93" s="402">
        <f>IF(AND(125&gt;=$NR$93,125&lt;=$NS$93),IF($NP$93="Single_Point",IF(125=$NR$93,$NN$93,0),IF($NP$93="Bell_Curve",$NN$93*(125-$NR$93+1)*($NS$93-125+1)/$NU$93,$NN$93/$NT$93)),0)</f>
        <v/>
      </c>
      <c r="DZ93" s="402">
        <f>IF(AND(126&gt;=$NR$93,126&lt;=$NS$93),IF($NP$93="Single_Point",IF(126=$NR$93,$NN$93,0),IF($NP$93="Bell_Curve",$NN$93*(126-$NR$93+1)*($NS$93-126+1)/$NU$93,$NN$93/$NT$93)),0)</f>
        <v/>
      </c>
      <c r="EA93" s="402">
        <f>IF(AND(127&gt;=$NR$93,127&lt;=$NS$93),IF($NP$93="Single_Point",IF(127=$NR$93,$NN$93,0),IF($NP$93="Bell_Curve",$NN$93*(127-$NR$93+1)*($NS$93-127+1)/$NU$93,$NN$93/$NT$93)),0)</f>
        <v/>
      </c>
      <c r="EB93" s="402">
        <f>IF(AND(128&gt;=$NR$93,128&lt;=$NS$93),IF($NP$93="Single_Point",IF(128=$NR$93,$NN$93,0),IF($NP$93="Bell_Curve",$NN$93*(128-$NR$93+1)*($NS$93-128+1)/$NU$93,$NN$93/$NT$93)),0)</f>
        <v/>
      </c>
      <c r="EC93" s="402">
        <f>IF(AND(129&gt;=$NR$93,129&lt;=$NS$93),IF($NP$93="Single_Point",IF(129=$NR$93,$NN$93,0),IF($NP$93="Bell_Curve",$NN$93*(129-$NR$93+1)*($NS$93-129+1)/$NU$93,$NN$93/$NT$93)),0)</f>
        <v/>
      </c>
      <c r="ED93" s="402">
        <f>IF(AND(130&gt;=$NR$93,130&lt;=$NS$93),IF($NP$93="Single_Point",IF(130=$NR$93,$NN$93,0),IF($NP$93="Bell_Curve",$NN$93*(130-$NR$93+1)*($NS$93-130+1)/$NU$93,$NN$93/$NT$93)),0)</f>
        <v/>
      </c>
      <c r="EE93" s="402">
        <f>IF(AND(131&gt;=$NR$93,131&lt;=$NS$93),IF($NP$93="Single_Point",IF(131=$NR$93,$NN$93,0),IF($NP$93="Bell_Curve",$NN$93*(131-$NR$93+1)*($NS$93-131+1)/$NU$93,$NN$93/$NT$93)),0)</f>
        <v/>
      </c>
      <c r="EF93" s="402">
        <f>IF(AND(132&gt;=$NR$93,132&lt;=$NS$93),IF($NP$93="Single_Point",IF(132=$NR$93,$NN$93,0),IF($NP$93="Bell_Curve",$NN$93*(132-$NR$93+1)*($NS$93-132+1)/$NU$93,$NN$93/$NT$93)),0)</f>
        <v/>
      </c>
      <c r="EG93" s="402">
        <f>IF(AND(133&gt;=$NR$93,133&lt;=$NS$93),IF($NP$93="Single_Point",IF(133=$NR$93,$NN$93,0),IF($NP$93="Bell_Curve",$NN$93*(133-$NR$93+1)*($NS$93-133+1)/$NU$93,$NN$93/$NT$93)),0)</f>
        <v/>
      </c>
      <c r="EH93" s="402">
        <f>IF(AND(134&gt;=$NR$93,134&lt;=$NS$93),IF($NP$93="Single_Point",IF(134=$NR$93,$NN$93,0),IF($NP$93="Bell_Curve",$NN$93*(134-$NR$93+1)*($NS$93-134+1)/$NU$93,$NN$93/$NT$93)),0)</f>
        <v/>
      </c>
      <c r="EI93" s="402">
        <f>IF(AND(135&gt;=$NR$93,135&lt;=$NS$93),IF($NP$93="Single_Point",IF(135=$NR$93,$NN$93,0),IF($NP$93="Bell_Curve",$NN$93*(135-$NR$93+1)*($NS$93-135+1)/$NU$93,$NN$93/$NT$93)),0)</f>
        <v/>
      </c>
      <c r="EJ93" s="402">
        <f>IF(AND(136&gt;=$NR$93,136&lt;=$NS$93),IF($NP$93="Single_Point",IF(136=$NR$93,$NN$93,0),IF($NP$93="Bell_Curve",$NN$93*(136-$NR$93+1)*($NS$93-136+1)/$NU$93,$NN$93/$NT$93)),0)</f>
        <v/>
      </c>
      <c r="EK93" s="402">
        <f>IF(AND(137&gt;=$NR$93,137&lt;=$NS$93),IF($NP$93="Single_Point",IF(137=$NR$93,$NN$93,0),IF($NP$93="Bell_Curve",$NN$93*(137-$NR$93+1)*($NS$93-137+1)/$NU$93,$NN$93/$NT$93)),0)</f>
        <v/>
      </c>
      <c r="EL93" s="402">
        <f>IF(AND(138&gt;=$NR$93,138&lt;=$NS$93),IF($NP$93="Single_Point",IF(138=$NR$93,$NN$93,0),IF($NP$93="Bell_Curve",$NN$93*(138-$NR$93+1)*($NS$93-138+1)/$NU$93,$NN$93/$NT$93)),0)</f>
        <v/>
      </c>
      <c r="EM93" s="402">
        <f>IF(AND(139&gt;=$NR$93,139&lt;=$NS$93),IF($NP$93="Single_Point",IF(139=$NR$93,$NN$93,0),IF($NP$93="Bell_Curve",$NN$93*(139-$NR$93+1)*($NS$93-139+1)/$NU$93,$NN$93/$NT$93)),0)</f>
        <v/>
      </c>
      <c r="EN93" s="402">
        <f>IF(AND(140&gt;=$NR$93,140&lt;=$NS$93),IF($NP$93="Single_Point",IF(140=$NR$93,$NN$93,0),IF($NP$93="Bell_Curve",$NN$93*(140-$NR$93+1)*($NS$93-140+1)/$NU$93,$NN$93/$NT$93)),0)</f>
        <v/>
      </c>
      <c r="EO93" s="402">
        <f>IF(AND(141&gt;=$NR$93,141&lt;=$NS$93),IF($NP$93="Single_Point",IF(141=$NR$93,$NN$93,0),IF($NP$93="Bell_Curve",$NN$93*(141-$NR$93+1)*($NS$93-141+1)/$NU$93,$NN$93/$NT$93)),0)</f>
        <v/>
      </c>
      <c r="EP93" s="402">
        <f>IF(AND(142&gt;=$NR$93,142&lt;=$NS$93),IF($NP$93="Single_Point",IF(142=$NR$93,$NN$93,0),IF($NP$93="Bell_Curve",$NN$93*(142-$NR$93+1)*($NS$93-142+1)/$NU$93,$NN$93/$NT$93)),0)</f>
        <v/>
      </c>
      <c r="EQ93" s="402">
        <f>IF(AND(143&gt;=$NR$93,143&lt;=$NS$93),IF($NP$93="Single_Point",IF(143=$NR$93,$NN$93,0),IF($NP$93="Bell_Curve",$NN$93*(143-$NR$93+1)*($NS$93-143+1)/$NU$93,$NN$93/$NT$93)),0)</f>
        <v/>
      </c>
      <c r="ER93" s="402">
        <f>IF(AND(144&gt;=$NR$93,144&lt;=$NS$93),IF($NP$93="Single_Point",IF(144=$NR$93,$NN$93,0),IF($NP$93="Bell_Curve",$NN$93*(144-$NR$93+1)*($NS$93-144+1)/$NU$93,$NN$93/$NT$93)),0)</f>
        <v/>
      </c>
      <c r="ES93" s="402">
        <f>IF(AND(145&gt;=$NR$93,145&lt;=$NS$93),IF($NP$93="Single_Point",IF(145=$NR$93,$NN$93,0),IF($NP$93="Bell_Curve",$NN$93*(145-$NR$93+1)*($NS$93-145+1)/$NU$93,$NN$93/$NT$93)),0)</f>
        <v/>
      </c>
      <c r="ET93" s="402">
        <f>IF(AND(146&gt;=$NR$93,146&lt;=$NS$93),IF($NP$93="Single_Point",IF(146=$NR$93,$NN$93,0),IF($NP$93="Bell_Curve",$NN$93*(146-$NR$93+1)*($NS$93-146+1)/$NU$93,$NN$93/$NT$93)),0)</f>
        <v/>
      </c>
      <c r="EU93" s="402">
        <f>IF(AND(147&gt;=$NR$93,147&lt;=$NS$93),IF($NP$93="Single_Point",IF(147=$NR$93,$NN$93,0),IF($NP$93="Bell_Curve",$NN$93*(147-$NR$93+1)*($NS$93-147+1)/$NU$93,$NN$93/$NT$93)),0)</f>
        <v/>
      </c>
      <c r="EV93" s="402">
        <f>IF(AND(148&gt;=$NR$93,148&lt;=$NS$93),IF($NP$93="Single_Point",IF(148=$NR$93,$NN$93,0),IF($NP$93="Bell_Curve",$NN$93*(148-$NR$93+1)*($NS$93-148+1)/$NU$93,$NN$93/$NT$93)),0)</f>
        <v/>
      </c>
      <c r="EW93" s="402">
        <f>IF(AND(149&gt;=$NR$93,149&lt;=$NS$93),IF($NP$93="Single_Point",IF(149=$NR$93,$NN$93,0),IF($NP$93="Bell_Curve",$NN$93*(149-$NR$93+1)*($NS$93-149+1)/$NU$93,$NN$93/$NT$93)),0)</f>
        <v/>
      </c>
      <c r="EX93" s="402">
        <f>IF(AND(150&gt;=$NR$93,150&lt;=$NS$93),IF($NP$93="Single_Point",IF(150=$NR$93,$NN$93,0),IF($NP$93="Bell_Curve",$NN$93*(150-$NR$93+1)*($NS$93-150+1)/$NU$93,$NN$93/$NT$93)),0)</f>
        <v/>
      </c>
      <c r="EY93" s="402">
        <f>IF(AND(151&gt;=$NR$93,151&lt;=$NS$93),IF($NP$93="Single_Point",IF(151=$NR$93,$NN$93,0),IF($NP$93="Bell_Curve",$NN$93*(151-$NR$93+1)*($NS$93-151+1)/$NU$93,$NN$93/$NT$93)),0)</f>
        <v/>
      </c>
      <c r="EZ93" s="402">
        <f>IF(AND(152&gt;=$NR$93,152&lt;=$NS$93),IF($NP$93="Single_Point",IF(152=$NR$93,$NN$93,0),IF($NP$93="Bell_Curve",$NN$93*(152-$NR$93+1)*($NS$93-152+1)/$NU$93,$NN$93/$NT$93)),0)</f>
        <v/>
      </c>
      <c r="FA93" s="402">
        <f>IF(AND(153&gt;=$NR$93,153&lt;=$NS$93),IF($NP$93="Single_Point",IF(153=$NR$93,$NN$93,0),IF($NP$93="Bell_Curve",$NN$93*(153-$NR$93+1)*($NS$93-153+1)/$NU$93,$NN$93/$NT$93)),0)</f>
        <v/>
      </c>
      <c r="FB93" s="402">
        <f>IF(AND(154&gt;=$NR$93,154&lt;=$NS$93),IF($NP$93="Single_Point",IF(154=$NR$93,$NN$93,0),IF($NP$93="Bell_Curve",$NN$93*(154-$NR$93+1)*($NS$93-154+1)/$NU$93,$NN$93/$NT$93)),0)</f>
        <v/>
      </c>
      <c r="FC93" s="402">
        <f>IF(AND(155&gt;=$NR$93,155&lt;=$NS$93),IF($NP$93="Single_Point",IF(155=$NR$93,$NN$93,0),IF($NP$93="Bell_Curve",$NN$93*(155-$NR$93+1)*($NS$93-155+1)/$NU$93,$NN$93/$NT$93)),0)</f>
        <v/>
      </c>
      <c r="FD93" s="402">
        <f>IF(AND(156&gt;=$NR$93,156&lt;=$NS$93),IF($NP$93="Single_Point",IF(156=$NR$93,$NN$93,0),IF($NP$93="Bell_Curve",$NN$93*(156-$NR$93+1)*($NS$93-156+1)/$NU$93,$NN$93/$NT$93)),0)</f>
        <v/>
      </c>
      <c r="FE93" s="402">
        <f>IF(AND(157&gt;=$NR$93,157&lt;=$NS$93),IF($NP$93="Single_Point",IF(157=$NR$93,$NN$93,0),IF($NP$93="Bell_Curve",$NN$93*(157-$NR$93+1)*($NS$93-157+1)/$NU$93,$NN$93/$NT$93)),0)</f>
        <v/>
      </c>
      <c r="FF93" s="402">
        <f>IF(AND(158&gt;=$NR$93,158&lt;=$NS$93),IF($NP$93="Single_Point",IF(158=$NR$93,$NN$93,0),IF($NP$93="Bell_Curve",$NN$93*(158-$NR$93+1)*($NS$93-158+1)/$NU$93,$NN$93/$NT$93)),0)</f>
        <v/>
      </c>
      <c r="FG93" s="402">
        <f>IF(AND(159&gt;=$NR$93,159&lt;=$NS$93),IF($NP$93="Single_Point",IF(159=$NR$93,$NN$93,0),IF($NP$93="Bell_Curve",$NN$93*(159-$NR$93+1)*($NS$93-159+1)/$NU$93,$NN$93/$NT$93)),0)</f>
        <v/>
      </c>
      <c r="FH93" s="402">
        <f>IF(AND(160&gt;=$NR$93,160&lt;=$NS$93),IF($NP$93="Single_Point",IF(160=$NR$93,$NN$93,0),IF($NP$93="Bell_Curve",$NN$93*(160-$NR$93+1)*($NS$93-160+1)/$NU$93,$NN$93/$NT$93)),0)</f>
        <v/>
      </c>
      <c r="FI93" s="402">
        <f>IF(AND(161&gt;=$NR$93,161&lt;=$NS$93),IF($NP$93="Single_Point",IF(161=$NR$93,$NN$93,0),IF($NP$93="Bell_Curve",$NN$93*(161-$NR$93+1)*($NS$93-161+1)/$NU$93,$NN$93/$NT$93)),0)</f>
        <v/>
      </c>
      <c r="FJ93" s="402">
        <f>IF(AND(162&gt;=$NR$93,162&lt;=$NS$93),IF($NP$93="Single_Point",IF(162=$NR$93,$NN$93,0),IF($NP$93="Bell_Curve",$NN$93*(162-$NR$93+1)*($NS$93-162+1)/$NU$93,$NN$93/$NT$93)),0)</f>
        <v/>
      </c>
      <c r="FK93" s="402">
        <f>IF(AND(163&gt;=$NR$93,163&lt;=$NS$93),IF($NP$93="Single_Point",IF(163=$NR$93,$NN$93,0),IF($NP$93="Bell_Curve",$NN$93*(163-$NR$93+1)*($NS$93-163+1)/$NU$93,$NN$93/$NT$93)),0)</f>
        <v/>
      </c>
      <c r="FL93" s="402">
        <f>IF(AND(164&gt;=$NR$93,164&lt;=$NS$93),IF($NP$93="Single_Point",IF(164=$NR$93,$NN$93,0),IF($NP$93="Bell_Curve",$NN$93*(164-$NR$93+1)*($NS$93-164+1)/$NU$93,$NN$93/$NT$93)),0)</f>
        <v/>
      </c>
      <c r="FM93" s="402">
        <f>IF(AND(165&gt;=$NR$93,165&lt;=$NS$93),IF($NP$93="Single_Point",IF(165=$NR$93,$NN$93,0),IF($NP$93="Bell_Curve",$NN$93*(165-$NR$93+1)*($NS$93-165+1)/$NU$93,$NN$93/$NT$93)),0)</f>
        <v/>
      </c>
      <c r="FN93" s="402">
        <f>IF(AND(166&gt;=$NR$93,166&lt;=$NS$93),IF($NP$93="Single_Point",IF(166=$NR$93,$NN$93,0),IF($NP$93="Bell_Curve",$NN$93*(166-$NR$93+1)*($NS$93-166+1)/$NU$93,$NN$93/$NT$93)),0)</f>
        <v/>
      </c>
      <c r="FO93" s="402">
        <f>IF(AND(167&gt;=$NR$93,167&lt;=$NS$93),IF($NP$93="Single_Point",IF(167=$NR$93,$NN$93,0),IF($NP$93="Bell_Curve",$NN$93*(167-$NR$93+1)*($NS$93-167+1)/$NU$93,$NN$93/$NT$93)),0)</f>
        <v/>
      </c>
      <c r="FP93" s="402">
        <f>IF(AND(168&gt;=$NR$93,168&lt;=$NS$93),IF($NP$93="Single_Point",IF(168=$NR$93,$NN$93,0),IF($NP$93="Bell_Curve",$NN$93*(168-$NR$93+1)*($NS$93-168+1)/$NU$93,$NN$93/$NT$93)),0)</f>
        <v/>
      </c>
      <c r="FQ93" s="402">
        <f>IF(AND(169&gt;=$NR$93,169&lt;=$NS$93),IF($NP$93="Single_Point",IF(169=$NR$93,$NN$93,0),IF($NP$93="Bell_Curve",$NN$93*(169-$NR$93+1)*($NS$93-169+1)/$NU$93,$NN$93/$NT$93)),0)</f>
        <v/>
      </c>
      <c r="FR93" s="402">
        <f>IF(AND(170&gt;=$NR$93,170&lt;=$NS$93),IF($NP$93="Single_Point",IF(170=$NR$93,$NN$93,0),IF($NP$93="Bell_Curve",$NN$93*(170-$NR$93+1)*($NS$93-170+1)/$NU$93,$NN$93/$NT$93)),0)</f>
        <v/>
      </c>
      <c r="FS93" s="402">
        <f>IF(AND(171&gt;=$NR$93,171&lt;=$NS$93),IF($NP$93="Single_Point",IF(171=$NR$93,$NN$93,0),IF($NP$93="Bell_Curve",$NN$93*(171-$NR$93+1)*($NS$93-171+1)/$NU$93,$NN$93/$NT$93)),0)</f>
        <v/>
      </c>
      <c r="FT93" s="402">
        <f>IF(AND(172&gt;=$NR$93,172&lt;=$NS$93),IF($NP$93="Single_Point",IF(172=$NR$93,$NN$93,0),IF($NP$93="Bell_Curve",$NN$93*(172-$NR$93+1)*($NS$93-172+1)/$NU$93,$NN$93/$NT$93)),0)</f>
        <v/>
      </c>
      <c r="FU93" s="402">
        <f>IF(AND(173&gt;=$NR$93,173&lt;=$NS$93),IF($NP$93="Single_Point",IF(173=$NR$93,$NN$93,0),IF($NP$93="Bell_Curve",$NN$93*(173-$NR$93+1)*($NS$93-173+1)/$NU$93,$NN$93/$NT$93)),0)</f>
        <v/>
      </c>
      <c r="FV93" s="402">
        <f>IF(AND(174&gt;=$NR$93,174&lt;=$NS$93),IF($NP$93="Single_Point",IF(174=$NR$93,$NN$93,0),IF($NP$93="Bell_Curve",$NN$93*(174-$NR$93+1)*($NS$93-174+1)/$NU$93,$NN$93/$NT$93)),0)</f>
        <v/>
      </c>
      <c r="FW93" s="402">
        <f>IF(AND(175&gt;=$NR$93,175&lt;=$NS$93),IF($NP$93="Single_Point",IF(175=$NR$93,$NN$93,0),IF($NP$93="Bell_Curve",$NN$93*(175-$NR$93+1)*($NS$93-175+1)/$NU$93,$NN$93/$NT$93)),0)</f>
        <v/>
      </c>
      <c r="FX93" s="402">
        <f>IF(AND(176&gt;=$NR$93,176&lt;=$NS$93),IF($NP$93="Single_Point",IF(176=$NR$93,$NN$93,0),IF($NP$93="Bell_Curve",$NN$93*(176-$NR$93+1)*($NS$93-176+1)/$NU$93,$NN$93/$NT$93)),0)</f>
        <v/>
      </c>
      <c r="FY93" s="402">
        <f>IF(AND(177&gt;=$NR$93,177&lt;=$NS$93),IF($NP$93="Single_Point",IF(177=$NR$93,$NN$93,0),IF($NP$93="Bell_Curve",$NN$93*(177-$NR$93+1)*($NS$93-177+1)/$NU$93,$NN$93/$NT$93)),0)</f>
        <v/>
      </c>
      <c r="FZ93" s="402">
        <f>IF(AND(178&gt;=$NR$93,178&lt;=$NS$93),IF($NP$93="Single_Point",IF(178=$NR$93,$NN$93,0),IF($NP$93="Bell_Curve",$NN$93*(178-$NR$93+1)*($NS$93-178+1)/$NU$93,$NN$93/$NT$93)),0)</f>
        <v/>
      </c>
      <c r="GA93" s="402">
        <f>IF(AND(179&gt;=$NR$93,179&lt;=$NS$93),IF($NP$93="Single_Point",IF(179=$NR$93,$NN$93,0),IF($NP$93="Bell_Curve",$NN$93*(179-$NR$93+1)*($NS$93-179+1)/$NU$93,$NN$93/$NT$93)),0)</f>
        <v/>
      </c>
      <c r="GB93" s="402">
        <f>IF(AND(180&gt;=$NR$93,180&lt;=$NS$93),IF($NP$93="Single_Point",IF(180=$NR$93,$NN$93,0),IF($NP$93="Bell_Curve",$NN$93*(180-$NR$93+1)*($NS$93-180+1)/$NU$93,$NN$93/$NT$93)),0)</f>
        <v/>
      </c>
      <c r="GC93" s="402">
        <f>IF(AND(181&gt;=$NR$93,181&lt;=$NS$93),IF($NP$93="Single_Point",IF(181=$NR$93,$NN$93,0),IF($NP$93="Bell_Curve",$NN$93*(181-$NR$93+1)*($NS$93-181+1)/$NU$93,$NN$93/$NT$93)),0)</f>
        <v/>
      </c>
      <c r="GD93" s="402">
        <f>IF(AND(182&gt;=$NR$93,182&lt;=$NS$93),IF($NP$93="Single_Point",IF(182=$NR$93,$NN$93,0),IF($NP$93="Bell_Curve",$NN$93*(182-$NR$93+1)*($NS$93-182+1)/$NU$93,$NN$93/$NT$93)),0)</f>
        <v/>
      </c>
      <c r="GE93" s="402">
        <f>IF(AND(183&gt;=$NR$93,183&lt;=$NS$93),IF($NP$93="Single_Point",IF(183=$NR$93,$NN$93,0),IF($NP$93="Bell_Curve",$NN$93*(183-$NR$93+1)*($NS$93-183+1)/$NU$93,$NN$93/$NT$93)),0)</f>
        <v/>
      </c>
      <c r="GF93" s="402">
        <f>IF(AND(184&gt;=$NR$93,184&lt;=$NS$93),IF($NP$93="Single_Point",IF(184=$NR$93,$NN$93,0),IF($NP$93="Bell_Curve",$NN$93*(184-$NR$93+1)*($NS$93-184+1)/$NU$93,$NN$93/$NT$93)),0)</f>
        <v/>
      </c>
      <c r="GG93" s="402">
        <f>IF(AND(185&gt;=$NR$93,185&lt;=$NS$93),IF($NP$93="Single_Point",IF(185=$NR$93,$NN$93,0),IF($NP$93="Bell_Curve",$NN$93*(185-$NR$93+1)*($NS$93-185+1)/$NU$93,$NN$93/$NT$93)),0)</f>
        <v/>
      </c>
      <c r="GH93" s="402">
        <f>IF(AND(186&gt;=$NR$93,186&lt;=$NS$93),IF($NP$93="Single_Point",IF(186=$NR$93,$NN$93,0),IF($NP$93="Bell_Curve",$NN$93*(186-$NR$93+1)*($NS$93-186+1)/$NU$93,$NN$93/$NT$93)),0)</f>
        <v/>
      </c>
      <c r="GI93" s="402">
        <f>IF(AND(187&gt;=$NR$93,187&lt;=$NS$93),IF($NP$93="Single_Point",IF(187=$NR$93,$NN$93,0),IF($NP$93="Bell_Curve",$NN$93*(187-$NR$93+1)*($NS$93-187+1)/$NU$93,$NN$93/$NT$93)),0)</f>
        <v/>
      </c>
      <c r="GJ93" s="402">
        <f>IF(AND(188&gt;=$NR$93,188&lt;=$NS$93),IF($NP$93="Single_Point",IF(188=$NR$93,$NN$93,0),IF($NP$93="Bell_Curve",$NN$93*(188-$NR$93+1)*($NS$93-188+1)/$NU$93,$NN$93/$NT$93)),0)</f>
        <v/>
      </c>
      <c r="GK93" s="402">
        <f>IF(AND(189&gt;=$NR$93,189&lt;=$NS$93),IF($NP$93="Single_Point",IF(189=$NR$93,$NN$93,0),IF($NP$93="Bell_Curve",$NN$93*(189-$NR$93+1)*($NS$93-189+1)/$NU$93,$NN$93/$NT$93)),0)</f>
        <v/>
      </c>
      <c r="GL93" s="402">
        <f>IF(AND(190&gt;=$NR$93,190&lt;=$NS$93),IF($NP$93="Single_Point",IF(190=$NR$93,$NN$93,0),IF($NP$93="Bell_Curve",$NN$93*(190-$NR$93+1)*($NS$93-190+1)/$NU$93,$NN$93/$NT$93)),0)</f>
        <v/>
      </c>
      <c r="GM93" s="402">
        <f>IF(AND(191&gt;=$NR$93,191&lt;=$NS$93),IF($NP$93="Single_Point",IF(191=$NR$93,$NN$93,0),IF($NP$93="Bell_Curve",$NN$93*(191-$NR$93+1)*($NS$93-191+1)/$NU$93,$NN$93/$NT$93)),0)</f>
        <v/>
      </c>
      <c r="GN93" s="402">
        <f>IF(AND(192&gt;=$NR$93,192&lt;=$NS$93),IF($NP$93="Single_Point",IF(192=$NR$93,$NN$93,0),IF($NP$93="Bell_Curve",$NN$93*(192-$NR$93+1)*($NS$93-192+1)/$NU$93,$NN$93/$NT$93)),0)</f>
        <v/>
      </c>
      <c r="GO93" s="402">
        <f>IF(AND(193&gt;=$NR$93,193&lt;=$NS$93),IF($NP$93="Single_Point",IF(193=$NR$93,$NN$93,0),IF($NP$93="Bell_Curve",$NN$93*(193-$NR$93+1)*($NS$93-193+1)/$NU$93,$NN$93/$NT$93)),0)</f>
        <v/>
      </c>
      <c r="GP93" s="402">
        <f>IF(AND(194&gt;=$NR$93,194&lt;=$NS$93),IF($NP$93="Single_Point",IF(194=$NR$93,$NN$93,0),IF($NP$93="Bell_Curve",$NN$93*(194-$NR$93+1)*($NS$93-194+1)/$NU$93,$NN$93/$NT$93)),0)</f>
        <v/>
      </c>
      <c r="GQ93" s="402">
        <f>IF(AND(195&gt;=$NR$93,195&lt;=$NS$93),IF($NP$93="Single_Point",IF(195=$NR$93,$NN$93,0),IF($NP$93="Bell_Curve",$NN$93*(195-$NR$93+1)*($NS$93-195+1)/$NU$93,$NN$93/$NT$93)),0)</f>
        <v/>
      </c>
      <c r="GR93" s="402">
        <f>IF(AND(196&gt;=$NR$93,196&lt;=$NS$93),IF($NP$93="Single_Point",IF(196=$NR$93,$NN$93,0),IF($NP$93="Bell_Curve",$NN$93*(196-$NR$93+1)*($NS$93-196+1)/$NU$93,$NN$93/$NT$93)),0)</f>
        <v/>
      </c>
      <c r="GS93" s="402">
        <f>IF(AND(197&gt;=$NR$93,197&lt;=$NS$93),IF($NP$93="Single_Point",IF(197=$NR$93,$NN$93,0),IF($NP$93="Bell_Curve",$NN$93*(197-$NR$93+1)*($NS$93-197+1)/$NU$93,$NN$93/$NT$93)),0)</f>
        <v/>
      </c>
      <c r="GT93" s="402">
        <f>IF(AND(198&gt;=$NR$93,198&lt;=$NS$93),IF($NP$93="Single_Point",IF(198=$NR$93,$NN$93,0),IF($NP$93="Bell_Curve",$NN$93*(198-$NR$93+1)*($NS$93-198+1)/$NU$93,$NN$93/$NT$93)),0)</f>
        <v/>
      </c>
      <c r="GU93" s="402">
        <f>IF(AND(199&gt;=$NR$93,199&lt;=$NS$93),IF($NP$93="Single_Point",IF(199=$NR$93,$NN$93,0),IF($NP$93="Bell_Curve",$NN$93*(199-$NR$93+1)*($NS$93-199+1)/$NU$93,$NN$93/$NT$93)),0)</f>
        <v/>
      </c>
      <c r="GV93" s="402">
        <f>IF(AND(200&gt;=$NR$93,200&lt;=$NS$93),IF($NP$93="Single_Point",IF(200=$NR$93,$NN$93,0),IF($NP$93="Bell_Curve",$NN$93*(200-$NR$93+1)*($NS$93-200+1)/$NU$93,$NN$93/$NT$93)),0)</f>
        <v/>
      </c>
      <c r="GW93" s="402">
        <f>IF(AND(201&gt;=$NR$93,201&lt;=$NS$93),IF($NP$93="Single_Point",IF(201=$NR$93,$NN$93,0),IF($NP$93="Bell_Curve",$NN$93*(201-$NR$93+1)*($NS$93-201+1)/$NU$93,$NN$93/$NT$93)),0)</f>
        <v/>
      </c>
      <c r="GX93" s="402">
        <f>IF(AND(202&gt;=$NR$93,202&lt;=$NS$93),IF($NP$93="Single_Point",IF(202=$NR$93,$NN$93,0),IF($NP$93="Bell_Curve",$NN$93*(202-$NR$93+1)*($NS$93-202+1)/$NU$93,$NN$93/$NT$93)),0)</f>
        <v/>
      </c>
      <c r="GY93" s="402">
        <f>IF(AND(203&gt;=$NR$93,203&lt;=$NS$93),IF($NP$93="Single_Point",IF(203=$NR$93,$NN$93,0),IF($NP$93="Bell_Curve",$NN$93*(203-$NR$93+1)*($NS$93-203+1)/$NU$93,$NN$93/$NT$93)),0)</f>
        <v/>
      </c>
      <c r="GZ93" s="402">
        <f>IF(AND(204&gt;=$NR$93,204&lt;=$NS$93),IF($NP$93="Single_Point",IF(204=$NR$93,$NN$93,0),IF($NP$93="Bell_Curve",$NN$93*(204-$NR$93+1)*($NS$93-204+1)/$NU$93,$NN$93/$NT$93)),0)</f>
        <v/>
      </c>
      <c r="HA93" s="402">
        <f>IF(AND(205&gt;=$NR$93,205&lt;=$NS$93),IF($NP$93="Single_Point",IF(205=$NR$93,$NN$93,0),IF($NP$93="Bell_Curve",$NN$93*(205-$NR$93+1)*($NS$93-205+1)/$NU$93,$NN$93/$NT$93)),0)</f>
        <v/>
      </c>
      <c r="HB93" s="402">
        <f>IF(AND(206&gt;=$NR$93,206&lt;=$NS$93),IF($NP$93="Single_Point",IF(206=$NR$93,$NN$93,0),IF($NP$93="Bell_Curve",$NN$93*(206-$NR$93+1)*($NS$93-206+1)/$NU$93,$NN$93/$NT$93)),0)</f>
        <v/>
      </c>
      <c r="HC93" s="402">
        <f>IF(AND(207&gt;=$NR$93,207&lt;=$NS$93),IF($NP$93="Single_Point",IF(207=$NR$93,$NN$93,0),IF($NP$93="Bell_Curve",$NN$93*(207-$NR$93+1)*($NS$93-207+1)/$NU$93,$NN$93/$NT$93)),0)</f>
        <v/>
      </c>
      <c r="HD93" s="402">
        <f>IF(AND(208&gt;=$NR$93,208&lt;=$NS$93),IF($NP$93="Single_Point",IF(208=$NR$93,$NN$93,0),IF($NP$93="Bell_Curve",$NN$93*(208-$NR$93+1)*($NS$93-208+1)/$NU$93,$NN$93/$NT$93)),0)</f>
        <v/>
      </c>
      <c r="HE93" s="402">
        <f>IF(AND(209&gt;=$NR$93,209&lt;=$NS$93),IF($NP$93="Single_Point",IF(209=$NR$93,$NN$93,0),IF($NP$93="Bell_Curve",$NN$93*(209-$NR$93+1)*($NS$93-209+1)/$NU$93,$NN$93/$NT$93)),0)</f>
        <v/>
      </c>
      <c r="HF93" s="402">
        <f>IF(AND(210&gt;=$NR$93,210&lt;=$NS$93),IF($NP$93="Single_Point",IF(210=$NR$93,$NN$93,0),IF($NP$93="Bell_Curve",$NN$93*(210-$NR$93+1)*($NS$93-210+1)/$NU$93,$NN$93/$NT$93)),0)</f>
        <v/>
      </c>
      <c r="HG93" s="402">
        <f>IF(AND(211&gt;=$NR$93,211&lt;=$NS$93),IF($NP$93="Single_Point",IF(211=$NR$93,$NN$93,0),IF($NP$93="Bell_Curve",$NN$93*(211-$NR$93+1)*($NS$93-211+1)/$NU$93,$NN$93/$NT$93)),0)</f>
        <v/>
      </c>
      <c r="HH93" s="402">
        <f>IF(AND(212&gt;=$NR$93,212&lt;=$NS$93),IF($NP$93="Single_Point",IF(212=$NR$93,$NN$93,0),IF($NP$93="Bell_Curve",$NN$93*(212-$NR$93+1)*($NS$93-212+1)/$NU$93,$NN$93/$NT$93)),0)</f>
        <v/>
      </c>
      <c r="HI93" s="402">
        <f>IF(AND(213&gt;=$NR$93,213&lt;=$NS$93),IF($NP$93="Single_Point",IF(213=$NR$93,$NN$93,0),IF($NP$93="Bell_Curve",$NN$93*(213-$NR$93+1)*($NS$93-213+1)/$NU$93,$NN$93/$NT$93)),0)</f>
        <v/>
      </c>
      <c r="HJ93" s="402">
        <f>IF(AND(214&gt;=$NR$93,214&lt;=$NS$93),IF($NP$93="Single_Point",IF(214=$NR$93,$NN$93,0),IF($NP$93="Bell_Curve",$NN$93*(214-$NR$93+1)*($NS$93-214+1)/$NU$93,$NN$93/$NT$93)),0)</f>
        <v/>
      </c>
      <c r="HK93" s="402">
        <f>IF(AND(215&gt;=$NR$93,215&lt;=$NS$93),IF($NP$93="Single_Point",IF(215=$NR$93,$NN$93,0),IF($NP$93="Bell_Curve",$NN$93*(215-$NR$93+1)*($NS$93-215+1)/$NU$93,$NN$93/$NT$93)),0)</f>
        <v/>
      </c>
      <c r="HL93" s="402">
        <f>IF(AND(216&gt;=$NR$93,216&lt;=$NS$93),IF($NP$93="Single_Point",IF(216=$NR$93,$NN$93,0),IF($NP$93="Bell_Curve",$NN$93*(216-$NR$93+1)*($NS$93-216+1)/$NU$93,$NN$93/$NT$93)),0)</f>
        <v/>
      </c>
      <c r="HM93" s="402">
        <f>IF(AND(217&gt;=$NR$93,217&lt;=$NS$93),IF($NP$93="Single_Point",IF(217=$NR$93,$NN$93,0),IF($NP$93="Bell_Curve",$NN$93*(217-$NR$93+1)*($NS$93-217+1)/$NU$93,$NN$93/$NT$93)),0)</f>
        <v/>
      </c>
      <c r="HN93" s="402">
        <f>IF(AND(218&gt;=$NR$93,218&lt;=$NS$93),IF($NP$93="Single_Point",IF(218=$NR$93,$NN$93,0),IF($NP$93="Bell_Curve",$NN$93*(218-$NR$93+1)*($NS$93-218+1)/$NU$93,$NN$93/$NT$93)),0)</f>
        <v/>
      </c>
      <c r="HO93" s="402">
        <f>IF(AND(219&gt;=$NR$93,219&lt;=$NS$93),IF($NP$93="Single_Point",IF(219=$NR$93,$NN$93,0),IF($NP$93="Bell_Curve",$NN$93*(219-$NR$93+1)*($NS$93-219+1)/$NU$93,$NN$93/$NT$93)),0)</f>
        <v/>
      </c>
      <c r="HP93" s="402">
        <f>IF(AND(220&gt;=$NR$93,220&lt;=$NS$93),IF($NP$93="Single_Point",IF(220=$NR$93,$NN$93,0),IF($NP$93="Bell_Curve",$NN$93*(220-$NR$93+1)*($NS$93-220+1)/$NU$93,$NN$93/$NT$93)),0)</f>
        <v/>
      </c>
      <c r="HQ93" s="402">
        <f>IF(AND(221&gt;=$NR$93,221&lt;=$NS$93),IF($NP$93="Single_Point",IF(221=$NR$93,$NN$93,0),IF($NP$93="Bell_Curve",$NN$93*(221-$NR$93+1)*($NS$93-221+1)/$NU$93,$NN$93/$NT$93)),0)</f>
        <v/>
      </c>
      <c r="HR93" s="402">
        <f>IF(AND(222&gt;=$NR$93,222&lt;=$NS$93),IF($NP$93="Single_Point",IF(222=$NR$93,$NN$93,0),IF($NP$93="Bell_Curve",$NN$93*(222-$NR$93+1)*($NS$93-222+1)/$NU$93,$NN$93/$NT$93)),0)</f>
        <v/>
      </c>
      <c r="HS93" s="402">
        <f>IF(AND(223&gt;=$NR$93,223&lt;=$NS$93),IF($NP$93="Single_Point",IF(223=$NR$93,$NN$93,0),IF($NP$93="Bell_Curve",$NN$93*(223-$NR$93+1)*($NS$93-223+1)/$NU$93,$NN$93/$NT$93)),0)</f>
        <v/>
      </c>
      <c r="HT93" s="402">
        <f>IF(AND(224&gt;=$NR$93,224&lt;=$NS$93),IF($NP$93="Single_Point",IF(224=$NR$93,$NN$93,0),IF($NP$93="Bell_Curve",$NN$93*(224-$NR$93+1)*($NS$93-224+1)/$NU$93,$NN$93/$NT$93)),0)</f>
        <v/>
      </c>
      <c r="HU93" s="402">
        <f>IF(AND(225&gt;=$NR$93,225&lt;=$NS$93),IF($NP$93="Single_Point",IF(225=$NR$93,$NN$93,0),IF($NP$93="Bell_Curve",$NN$93*(225-$NR$93+1)*($NS$93-225+1)/$NU$93,$NN$93/$NT$93)),0)</f>
        <v/>
      </c>
      <c r="HV93" s="402">
        <f>IF(AND(226&gt;=$NR$93,226&lt;=$NS$93),IF($NP$93="Single_Point",IF(226=$NR$93,$NN$93,0),IF($NP$93="Bell_Curve",$NN$93*(226-$NR$93+1)*($NS$93-226+1)/$NU$93,$NN$93/$NT$93)),0)</f>
        <v/>
      </c>
      <c r="HW93" s="402">
        <f>IF(AND(227&gt;=$NR$93,227&lt;=$NS$93),IF($NP$93="Single_Point",IF(227=$NR$93,$NN$93,0),IF($NP$93="Bell_Curve",$NN$93*(227-$NR$93+1)*($NS$93-227+1)/$NU$93,$NN$93/$NT$93)),0)</f>
        <v/>
      </c>
      <c r="HX93" s="402">
        <f>IF(AND(228&gt;=$NR$93,228&lt;=$NS$93),IF($NP$93="Single_Point",IF(228=$NR$93,$NN$93,0),IF($NP$93="Bell_Curve",$NN$93*(228-$NR$93+1)*($NS$93-228+1)/$NU$93,$NN$93/$NT$93)),0)</f>
        <v/>
      </c>
      <c r="HY93" s="402">
        <f>IF(AND(229&gt;=$NR$93,229&lt;=$NS$93),IF($NP$93="Single_Point",IF(229=$NR$93,$NN$93,0),IF($NP$93="Bell_Curve",$NN$93*(229-$NR$93+1)*($NS$93-229+1)/$NU$93,$NN$93/$NT$93)),0)</f>
        <v/>
      </c>
      <c r="HZ93" s="402">
        <f>IF(AND(230&gt;=$NR$93,230&lt;=$NS$93),IF($NP$93="Single_Point",IF(230=$NR$93,$NN$93,0),IF($NP$93="Bell_Curve",$NN$93*(230-$NR$93+1)*($NS$93-230+1)/$NU$93,$NN$93/$NT$93)),0)</f>
        <v/>
      </c>
      <c r="IA93" s="402">
        <f>IF(AND(231&gt;=$NR$93,231&lt;=$NS$93),IF($NP$93="Single_Point",IF(231=$NR$93,$NN$93,0),IF($NP$93="Bell_Curve",$NN$93*(231-$NR$93+1)*($NS$93-231+1)/$NU$93,$NN$93/$NT$93)),0)</f>
        <v/>
      </c>
      <c r="IB93" s="402">
        <f>IF(AND(232&gt;=$NR$93,232&lt;=$NS$93),IF($NP$93="Single_Point",IF(232=$NR$93,$NN$93,0),IF($NP$93="Bell_Curve",$NN$93*(232-$NR$93+1)*($NS$93-232+1)/$NU$93,$NN$93/$NT$93)),0)</f>
        <v/>
      </c>
      <c r="IC93" s="402">
        <f>IF(AND(233&gt;=$NR$93,233&lt;=$NS$93),IF($NP$93="Single_Point",IF(233=$NR$93,$NN$93,0),IF($NP$93="Bell_Curve",$NN$93*(233-$NR$93+1)*($NS$93-233+1)/$NU$93,$NN$93/$NT$93)),0)</f>
        <v/>
      </c>
      <c r="ID93" s="402">
        <f>IF(AND(234&gt;=$NR$93,234&lt;=$NS$93),IF($NP$93="Single_Point",IF(234=$NR$93,$NN$93,0),IF($NP$93="Bell_Curve",$NN$93*(234-$NR$93+1)*($NS$93-234+1)/$NU$93,$NN$93/$NT$93)),0)</f>
        <v/>
      </c>
      <c r="IE93" s="402">
        <f>IF(AND(235&gt;=$NR$93,235&lt;=$NS$93),IF($NP$93="Single_Point",IF(235=$NR$93,$NN$93,0),IF($NP$93="Bell_Curve",$NN$93*(235-$NR$93+1)*($NS$93-235+1)/$NU$93,$NN$93/$NT$93)),0)</f>
        <v/>
      </c>
      <c r="IF93" s="402">
        <f>IF(AND(236&gt;=$NR$93,236&lt;=$NS$93),IF($NP$93="Single_Point",IF(236=$NR$93,$NN$93,0),IF($NP$93="Bell_Curve",$NN$93*(236-$NR$93+1)*($NS$93-236+1)/$NU$93,$NN$93/$NT$93)),0)</f>
        <v/>
      </c>
      <c r="IG93" s="402">
        <f>IF(AND(237&gt;=$NR$93,237&lt;=$NS$93),IF($NP$93="Single_Point",IF(237=$NR$93,$NN$93,0),IF($NP$93="Bell_Curve",$NN$93*(237-$NR$93+1)*($NS$93-237+1)/$NU$93,$NN$93/$NT$93)),0)</f>
        <v/>
      </c>
      <c r="IH93" s="402">
        <f>IF(AND(238&gt;=$NR$93,238&lt;=$NS$93),IF($NP$93="Single_Point",IF(238=$NR$93,$NN$93,0),IF($NP$93="Bell_Curve",$NN$93*(238-$NR$93+1)*($NS$93-238+1)/$NU$93,$NN$93/$NT$93)),0)</f>
        <v/>
      </c>
      <c r="II93" s="402">
        <f>IF(AND(239&gt;=$NR$93,239&lt;=$NS$93),IF($NP$93="Single_Point",IF(239=$NR$93,$NN$93,0),IF($NP$93="Bell_Curve",$NN$93*(239-$NR$93+1)*($NS$93-239+1)/$NU$93,$NN$93/$NT$93)),0)</f>
        <v/>
      </c>
      <c r="IJ93" s="402">
        <f>IF(AND(240&gt;=$NR$93,240&lt;=$NS$93),IF($NP$93="Single_Point",IF(240=$NR$93,$NN$93,0),IF($NP$93="Bell_Curve",$NN$93*(240-$NR$93+1)*($NS$93-240+1)/$NU$93,$NN$93/$NT$93)),0)</f>
        <v/>
      </c>
      <c r="IK93" s="402">
        <f>IF(AND(241&gt;=$NR$93,241&lt;=$NS$93),IF($NP$93="Single_Point",IF(241=$NR$93,$NN$93,0),IF($NP$93="Bell_Curve",$NN$93*(241-$NR$93+1)*($NS$93-241+1)/$NU$93,$NN$93/$NT$93)),0)</f>
        <v/>
      </c>
      <c r="IL93" s="402">
        <f>IF(AND(242&gt;=$NR$93,242&lt;=$NS$93),IF($NP$93="Single_Point",IF(242=$NR$93,$NN$93,0),IF($NP$93="Bell_Curve",$NN$93*(242-$NR$93+1)*($NS$93-242+1)/$NU$93,$NN$93/$NT$93)),0)</f>
        <v/>
      </c>
      <c r="IM93" s="402">
        <f>IF(AND(243&gt;=$NR$93,243&lt;=$NS$93),IF($NP$93="Single_Point",IF(243=$NR$93,$NN$93,0),IF($NP$93="Bell_Curve",$NN$93*(243-$NR$93+1)*($NS$93-243+1)/$NU$93,$NN$93/$NT$93)),0)</f>
        <v/>
      </c>
      <c r="IN93" s="402">
        <f>IF(AND(244&gt;=$NR$93,244&lt;=$NS$93),IF($NP$93="Single_Point",IF(244=$NR$93,$NN$93,0),IF($NP$93="Bell_Curve",$NN$93*(244-$NR$93+1)*($NS$93-244+1)/$NU$93,$NN$93/$NT$93)),0)</f>
        <v/>
      </c>
      <c r="IO93" s="402">
        <f>IF(AND(245&gt;=$NR$93,245&lt;=$NS$93),IF($NP$93="Single_Point",IF(245=$NR$93,$NN$93,0),IF($NP$93="Bell_Curve",$NN$93*(245-$NR$93+1)*($NS$93-245+1)/$NU$93,$NN$93/$NT$93)),0)</f>
        <v/>
      </c>
      <c r="IP93" s="402">
        <f>IF(AND(246&gt;=$NR$93,246&lt;=$NS$93),IF($NP$93="Single_Point",IF(246=$NR$93,$NN$93,0),IF($NP$93="Bell_Curve",$NN$93*(246-$NR$93+1)*($NS$93-246+1)/$NU$93,$NN$93/$NT$93)),0)</f>
        <v/>
      </c>
      <c r="IQ93" s="402">
        <f>IF(AND(247&gt;=$NR$93,247&lt;=$NS$93),IF($NP$93="Single_Point",IF(247=$NR$93,$NN$93,0),IF($NP$93="Bell_Curve",$NN$93*(247-$NR$93+1)*($NS$93-247+1)/$NU$93,$NN$93/$NT$93)),0)</f>
        <v/>
      </c>
      <c r="IR93" s="402">
        <f>IF(AND(248&gt;=$NR$93,248&lt;=$NS$93),IF($NP$93="Single_Point",IF(248=$NR$93,$NN$93,0),IF($NP$93="Bell_Curve",$NN$93*(248-$NR$93+1)*($NS$93-248+1)/$NU$93,$NN$93/$NT$93)),0)</f>
        <v/>
      </c>
      <c r="IS93" s="402">
        <f>IF(AND(249&gt;=$NR$93,249&lt;=$NS$93),IF($NP$93="Single_Point",IF(249=$NR$93,$NN$93,0),IF($NP$93="Bell_Curve",$NN$93*(249-$NR$93+1)*($NS$93-249+1)/$NU$93,$NN$93/$NT$93)),0)</f>
        <v/>
      </c>
      <c r="IT93" s="402">
        <f>IF(AND(250&gt;=$NR$93,250&lt;=$NS$93),IF($NP$93="Single_Point",IF(250=$NR$93,$NN$93,0),IF($NP$93="Bell_Curve",$NN$93*(250-$NR$93+1)*($NS$93-250+1)/$NU$93,$NN$93/$NT$93)),0)</f>
        <v/>
      </c>
      <c r="IU93" s="402">
        <f>IF(AND(251&gt;=$NR$93,251&lt;=$NS$93),IF($NP$93="Single_Point",IF(251=$NR$93,$NN$93,0),IF($NP$93="Bell_Curve",$NN$93*(251-$NR$93+1)*($NS$93-251+1)/$NU$93,$NN$93/$NT$93)),0)</f>
        <v/>
      </c>
      <c r="IV93" s="402">
        <f>IF(AND(252&gt;=$NR$93,252&lt;=$NS$93),IF($NP$93="Single_Point",IF(252=$NR$93,$NN$93,0),IF($NP$93="Bell_Curve",$NN$93*(252-$NR$93+1)*($NS$93-252+1)/$NU$93,$NN$93/$NT$93)),0)</f>
        <v/>
      </c>
      <c r="IW93" s="402">
        <f>IF(AND(253&gt;=$NR$93,253&lt;=$NS$93),IF($NP$93="Single_Point",IF(253=$NR$93,$NN$93,0),IF($NP$93="Bell_Curve",$NN$93*(253-$NR$93+1)*($NS$93-253+1)/$NU$93,$NN$93/$NT$93)),0)</f>
        <v/>
      </c>
      <c r="IX93" s="402">
        <f>IF(AND(254&gt;=$NR$93,254&lt;=$NS$93),IF($NP$93="Single_Point",IF(254=$NR$93,$NN$93,0),IF($NP$93="Bell_Curve",$NN$93*(254-$NR$93+1)*($NS$93-254+1)/$NU$93,$NN$93/$NT$93)),0)</f>
        <v/>
      </c>
      <c r="IY93" s="402">
        <f>IF(AND(255&gt;=$NR$93,255&lt;=$NS$93),IF($NP$93="Single_Point",IF(255=$NR$93,$NN$93,0),IF($NP$93="Bell_Curve",$NN$93*(255-$NR$93+1)*($NS$93-255+1)/$NU$93,$NN$93/$NT$93)),0)</f>
        <v/>
      </c>
      <c r="IZ93" s="402">
        <f>IF(AND(256&gt;=$NR$93,256&lt;=$NS$93),IF($NP$93="Single_Point",IF(256=$NR$93,$NN$93,0),IF($NP$93="Bell_Curve",$NN$93*(256-$NR$93+1)*($NS$93-256+1)/$NU$93,$NN$93/$NT$93)),0)</f>
        <v/>
      </c>
      <c r="JA93" s="402">
        <f>IF(AND(257&gt;=$NR$93,257&lt;=$NS$93),IF($NP$93="Single_Point",IF(257=$NR$93,$NN$93,0),IF($NP$93="Bell_Curve",$NN$93*(257-$NR$93+1)*($NS$93-257+1)/$NU$93,$NN$93/$NT$93)),0)</f>
        <v/>
      </c>
      <c r="JB93" s="402">
        <f>IF(AND(258&gt;=$NR$93,258&lt;=$NS$93),IF($NP$93="Single_Point",IF(258=$NR$93,$NN$93,0),IF($NP$93="Bell_Curve",$NN$93*(258-$NR$93+1)*($NS$93-258+1)/$NU$93,$NN$93/$NT$93)),0)</f>
        <v/>
      </c>
      <c r="JC93" s="402">
        <f>IF(AND(259&gt;=$NR$93,259&lt;=$NS$93),IF($NP$93="Single_Point",IF(259=$NR$93,$NN$93,0),IF($NP$93="Bell_Curve",$NN$93*(259-$NR$93+1)*($NS$93-259+1)/$NU$93,$NN$93/$NT$93)),0)</f>
        <v/>
      </c>
      <c r="JD93" s="402">
        <f>IF(AND(260&gt;=$NR$93,260&lt;=$NS$93),IF($NP$93="Single_Point",IF(260=$NR$93,$NN$93,0),IF($NP$93="Bell_Curve",$NN$93*(260-$NR$93+1)*($NS$93-260+1)/$NU$93,$NN$93/$NT$93)),0)</f>
        <v/>
      </c>
      <c r="JE93" s="402">
        <f>IF(AND(261&gt;=$NR$93,261&lt;=$NS$93),IF($NP$93="Single_Point",IF(261=$NR$93,$NN$93,0),IF($NP$93="Bell_Curve",$NN$93*(261-$NR$93+1)*($NS$93-261+1)/$NU$93,$NN$93/$NT$93)),0)</f>
        <v/>
      </c>
      <c r="JF93" s="402">
        <f>IF(AND(262&gt;=$NR$93,262&lt;=$NS$93),IF($NP$93="Single_Point",IF(262=$NR$93,$NN$93,0),IF($NP$93="Bell_Curve",$NN$93*(262-$NR$93+1)*($NS$93-262+1)/$NU$93,$NN$93/$NT$93)),0)</f>
        <v/>
      </c>
      <c r="JG93" s="402">
        <f>IF(AND(263&gt;=$NR$93,263&lt;=$NS$93),IF($NP$93="Single_Point",IF(263=$NR$93,$NN$93,0),IF($NP$93="Bell_Curve",$NN$93*(263-$NR$93+1)*($NS$93-263+1)/$NU$93,$NN$93/$NT$93)),0)</f>
        <v/>
      </c>
      <c r="JH93" s="402">
        <f>IF(AND(264&gt;=$NR$93,264&lt;=$NS$93),IF($NP$93="Single_Point",IF(264=$NR$93,$NN$93,0),IF($NP$93="Bell_Curve",$NN$93*(264-$NR$93+1)*($NS$93-264+1)/$NU$93,$NN$93/$NT$93)),0)</f>
        <v/>
      </c>
      <c r="JI93" s="402">
        <f>IF(AND(265&gt;=$NR$93,265&lt;=$NS$93),IF($NP$93="Single_Point",IF(265=$NR$93,$NN$93,0),IF($NP$93="Bell_Curve",$NN$93*(265-$NR$93+1)*($NS$93-265+1)/$NU$93,$NN$93/$NT$93)),0)</f>
        <v/>
      </c>
      <c r="JJ93" s="402">
        <f>IF(AND(266&gt;=$NR$93,266&lt;=$NS$93),IF($NP$93="Single_Point",IF(266=$NR$93,$NN$93,0),IF($NP$93="Bell_Curve",$NN$93*(266-$NR$93+1)*($NS$93-266+1)/$NU$93,$NN$93/$NT$93)),0)</f>
        <v/>
      </c>
      <c r="JK93" s="402">
        <f>IF(AND(267&gt;=$NR$93,267&lt;=$NS$93),IF($NP$93="Single_Point",IF(267=$NR$93,$NN$93,0),IF($NP$93="Bell_Curve",$NN$93*(267-$NR$93+1)*($NS$93-267+1)/$NU$93,$NN$93/$NT$93)),0)</f>
        <v/>
      </c>
      <c r="JL93" s="402">
        <f>IF(AND(268&gt;=$NR$93,268&lt;=$NS$93),IF($NP$93="Single_Point",IF(268=$NR$93,$NN$93,0),IF($NP$93="Bell_Curve",$NN$93*(268-$NR$93+1)*($NS$93-268+1)/$NU$93,$NN$93/$NT$93)),0)</f>
        <v/>
      </c>
      <c r="JM93" s="402">
        <f>IF(AND(269&gt;=$NR$93,269&lt;=$NS$93),IF($NP$93="Single_Point",IF(269=$NR$93,$NN$93,0),IF($NP$93="Bell_Curve",$NN$93*(269-$NR$93+1)*($NS$93-269+1)/$NU$93,$NN$93/$NT$93)),0)</f>
        <v/>
      </c>
      <c r="JN93" s="402">
        <f>IF(AND(270&gt;=$NR$93,270&lt;=$NS$93),IF($NP$93="Single_Point",IF(270=$NR$93,$NN$93,0),IF($NP$93="Bell_Curve",$NN$93*(270-$NR$93+1)*($NS$93-270+1)/$NU$93,$NN$93/$NT$93)),0)</f>
        <v/>
      </c>
      <c r="JO93" s="402">
        <f>IF(AND(271&gt;=$NR$93,271&lt;=$NS$93),IF($NP$93="Single_Point",IF(271=$NR$93,$NN$93,0),IF($NP$93="Bell_Curve",$NN$93*(271-$NR$93+1)*($NS$93-271+1)/$NU$93,$NN$93/$NT$93)),0)</f>
        <v/>
      </c>
      <c r="JP93" s="402">
        <f>IF(AND(272&gt;=$NR$93,272&lt;=$NS$93),IF($NP$93="Single_Point",IF(272=$NR$93,$NN$93,0),IF($NP$93="Bell_Curve",$NN$93*(272-$NR$93+1)*($NS$93-272+1)/$NU$93,$NN$93/$NT$93)),0)</f>
        <v/>
      </c>
      <c r="JQ93" s="402">
        <f>IF(AND(273&gt;=$NR$93,273&lt;=$NS$93),IF($NP$93="Single_Point",IF(273=$NR$93,$NN$93,0),IF($NP$93="Bell_Curve",$NN$93*(273-$NR$93+1)*($NS$93-273+1)/$NU$93,$NN$93/$NT$93)),0)</f>
        <v/>
      </c>
      <c r="JR93" s="402">
        <f>IF(AND(274&gt;=$NR$93,274&lt;=$NS$93),IF($NP$93="Single_Point",IF(274=$NR$93,$NN$93,0),IF($NP$93="Bell_Curve",$NN$93*(274-$NR$93+1)*($NS$93-274+1)/$NU$93,$NN$93/$NT$93)),0)</f>
        <v/>
      </c>
      <c r="JS93" s="402">
        <f>IF(AND(275&gt;=$NR$93,275&lt;=$NS$93),IF($NP$93="Single_Point",IF(275=$NR$93,$NN$93,0),IF($NP$93="Bell_Curve",$NN$93*(275-$NR$93+1)*($NS$93-275+1)/$NU$93,$NN$93/$NT$93)),0)</f>
        <v/>
      </c>
      <c r="JT93" s="402">
        <f>IF(AND(276&gt;=$NR$93,276&lt;=$NS$93),IF($NP$93="Single_Point",IF(276=$NR$93,$NN$93,0),IF($NP$93="Bell_Curve",$NN$93*(276-$NR$93+1)*($NS$93-276+1)/$NU$93,$NN$93/$NT$93)),0)</f>
        <v/>
      </c>
      <c r="JU93" s="402">
        <f>IF(AND(277&gt;=$NR$93,277&lt;=$NS$93),IF($NP$93="Single_Point",IF(277=$NR$93,$NN$93,0),IF($NP$93="Bell_Curve",$NN$93*(277-$NR$93+1)*($NS$93-277+1)/$NU$93,$NN$93/$NT$93)),0)</f>
        <v/>
      </c>
      <c r="JV93" s="402">
        <f>IF(AND(278&gt;=$NR$93,278&lt;=$NS$93),IF($NP$93="Single_Point",IF(278=$NR$93,$NN$93,0),IF($NP$93="Bell_Curve",$NN$93*(278-$NR$93+1)*($NS$93-278+1)/$NU$93,$NN$93/$NT$93)),0)</f>
        <v/>
      </c>
      <c r="JW93" s="402">
        <f>IF(AND(279&gt;=$NR$93,279&lt;=$NS$93),IF($NP$93="Single_Point",IF(279=$NR$93,$NN$93,0),IF($NP$93="Bell_Curve",$NN$93*(279-$NR$93+1)*($NS$93-279+1)/$NU$93,$NN$93/$NT$93)),0)</f>
        <v/>
      </c>
      <c r="JX93" s="402">
        <f>IF(AND(280&gt;=$NR$93,280&lt;=$NS$93),IF($NP$93="Single_Point",IF(280=$NR$93,$NN$93,0),IF($NP$93="Bell_Curve",$NN$93*(280-$NR$93+1)*($NS$93-280+1)/$NU$93,$NN$93/$NT$93)),0)</f>
        <v/>
      </c>
      <c r="JY93" s="402">
        <f>IF(AND(281&gt;=$NR$93,281&lt;=$NS$93),IF($NP$93="Single_Point",IF(281=$NR$93,$NN$93,0),IF($NP$93="Bell_Curve",$NN$93*(281-$NR$93+1)*($NS$93-281+1)/$NU$93,$NN$93/$NT$93)),0)</f>
        <v/>
      </c>
      <c r="JZ93" s="402">
        <f>IF(AND(282&gt;=$NR$93,282&lt;=$NS$93),IF($NP$93="Single_Point",IF(282=$NR$93,$NN$93,0),IF($NP$93="Bell_Curve",$NN$93*(282-$NR$93+1)*($NS$93-282+1)/$NU$93,$NN$93/$NT$93)),0)</f>
        <v/>
      </c>
      <c r="KA93" s="402">
        <f>IF(AND(283&gt;=$NR$93,283&lt;=$NS$93),IF($NP$93="Single_Point",IF(283=$NR$93,$NN$93,0),IF($NP$93="Bell_Curve",$NN$93*(283-$NR$93+1)*($NS$93-283+1)/$NU$93,$NN$93/$NT$93)),0)</f>
        <v/>
      </c>
      <c r="KB93" s="402">
        <f>IF(AND(284&gt;=$NR$93,284&lt;=$NS$93),IF($NP$93="Single_Point",IF(284=$NR$93,$NN$93,0),IF($NP$93="Bell_Curve",$NN$93*(284-$NR$93+1)*($NS$93-284+1)/$NU$93,$NN$93/$NT$93)),0)</f>
        <v/>
      </c>
      <c r="KC93" s="402">
        <f>IF(AND(285&gt;=$NR$93,285&lt;=$NS$93),IF($NP$93="Single_Point",IF(285=$NR$93,$NN$93,0),IF($NP$93="Bell_Curve",$NN$93*(285-$NR$93+1)*($NS$93-285+1)/$NU$93,$NN$93/$NT$93)),0)</f>
        <v/>
      </c>
      <c r="KD93" s="402">
        <f>IF(AND(286&gt;=$NR$93,286&lt;=$NS$93),IF($NP$93="Single_Point",IF(286=$NR$93,$NN$93,0),IF($NP$93="Bell_Curve",$NN$93*(286-$NR$93+1)*($NS$93-286+1)/$NU$93,$NN$93/$NT$93)),0)</f>
        <v/>
      </c>
      <c r="KE93" s="402">
        <f>IF(AND(287&gt;=$NR$93,287&lt;=$NS$93),IF($NP$93="Single_Point",IF(287=$NR$93,$NN$93,0),IF($NP$93="Bell_Curve",$NN$93*(287-$NR$93+1)*($NS$93-287+1)/$NU$93,$NN$93/$NT$93)),0)</f>
        <v/>
      </c>
      <c r="KF93" s="402">
        <f>IF(AND(288&gt;=$NR$93,288&lt;=$NS$93),IF($NP$93="Single_Point",IF(288=$NR$93,$NN$93,0),IF($NP$93="Bell_Curve",$NN$93*(288-$NR$93+1)*($NS$93-288+1)/$NU$93,$NN$93/$NT$93)),0)</f>
        <v/>
      </c>
      <c r="KG93" s="402">
        <f>IF(AND(289&gt;=$NR$93,289&lt;=$NS$93),IF($NP$93="Single_Point",IF(289=$NR$93,$NN$93,0),IF($NP$93="Bell_Curve",$NN$93*(289-$NR$93+1)*($NS$93-289+1)/$NU$93,$NN$93/$NT$93)),0)</f>
        <v/>
      </c>
      <c r="KH93" s="402">
        <f>IF(AND(290&gt;=$NR$93,290&lt;=$NS$93),IF($NP$93="Single_Point",IF(290=$NR$93,$NN$93,0),IF($NP$93="Bell_Curve",$NN$93*(290-$NR$93+1)*($NS$93-290+1)/$NU$93,$NN$93/$NT$93)),0)</f>
        <v/>
      </c>
      <c r="KI93" s="402">
        <f>IF(AND(291&gt;=$NR$93,291&lt;=$NS$93),IF($NP$93="Single_Point",IF(291=$NR$93,$NN$93,0),IF($NP$93="Bell_Curve",$NN$93*(291-$NR$93+1)*($NS$93-291+1)/$NU$93,$NN$93/$NT$93)),0)</f>
        <v/>
      </c>
      <c r="KJ93" s="402">
        <f>IF(AND(292&gt;=$NR$93,292&lt;=$NS$93),IF($NP$93="Single_Point",IF(292=$NR$93,$NN$93,0),IF($NP$93="Bell_Curve",$NN$93*(292-$NR$93+1)*($NS$93-292+1)/$NU$93,$NN$93/$NT$93)),0)</f>
        <v/>
      </c>
      <c r="KK93" s="402">
        <f>IF(AND(293&gt;=$NR$93,293&lt;=$NS$93),IF($NP$93="Single_Point",IF(293=$NR$93,$NN$93,0),IF($NP$93="Bell_Curve",$NN$93*(293-$NR$93+1)*($NS$93-293+1)/$NU$93,$NN$93/$NT$93)),0)</f>
        <v/>
      </c>
      <c r="KL93" s="402">
        <f>IF(AND(294&gt;=$NR$93,294&lt;=$NS$93),IF($NP$93="Single_Point",IF(294=$NR$93,$NN$93,0),IF($NP$93="Bell_Curve",$NN$93*(294-$NR$93+1)*($NS$93-294+1)/$NU$93,$NN$93/$NT$93)),0)</f>
        <v/>
      </c>
      <c r="KM93" s="402">
        <f>IF(AND(295&gt;=$NR$93,295&lt;=$NS$93),IF($NP$93="Single_Point",IF(295=$NR$93,$NN$93,0),IF($NP$93="Bell_Curve",$NN$93*(295-$NR$93+1)*($NS$93-295+1)/$NU$93,$NN$93/$NT$93)),0)</f>
        <v/>
      </c>
      <c r="KN93" s="402">
        <f>IF(AND(296&gt;=$NR$93,296&lt;=$NS$93),IF($NP$93="Single_Point",IF(296=$NR$93,$NN$93,0),IF($NP$93="Bell_Curve",$NN$93*(296-$NR$93+1)*($NS$93-296+1)/$NU$93,$NN$93/$NT$93)),0)</f>
        <v/>
      </c>
      <c r="KO93" s="402">
        <f>IF(AND(297&gt;=$NR$93,297&lt;=$NS$93),IF($NP$93="Single_Point",IF(297=$NR$93,$NN$93,0),IF($NP$93="Bell_Curve",$NN$93*(297-$NR$93+1)*($NS$93-297+1)/$NU$93,$NN$93/$NT$93)),0)</f>
        <v/>
      </c>
      <c r="KP93" s="402">
        <f>IF(AND(298&gt;=$NR$93,298&lt;=$NS$93),IF($NP$93="Single_Point",IF(298=$NR$93,$NN$93,0),IF($NP$93="Bell_Curve",$NN$93*(298-$NR$93+1)*($NS$93-298+1)/$NU$93,$NN$93/$NT$93)),0)</f>
        <v/>
      </c>
      <c r="KQ93" s="402">
        <f>IF(AND(299&gt;=$NR$93,299&lt;=$NS$93),IF($NP$93="Single_Point",IF(299=$NR$93,$NN$93,0),IF($NP$93="Bell_Curve",$NN$93*(299-$NR$93+1)*($NS$93-299+1)/$NU$93,$NN$93/$NT$93)),0)</f>
        <v/>
      </c>
      <c r="KR93" s="402">
        <f>IF(AND(300&gt;=$NR$93,300&lt;=$NS$93),IF($NP$93="Single_Point",IF(300=$NR$93,$NN$93,0),IF($NP$93="Bell_Curve",$NN$93*(300-$NR$93+1)*($NS$93-300+1)/$NU$93,$NN$93/$NT$93)),0)</f>
        <v/>
      </c>
      <c r="KS93" s="402">
        <f>IF(AND(301&gt;=$NR$93,301&lt;=$NS$93),IF($NP$93="Single_Point",IF(301=$NR$93,$NN$93,0),IF($NP$93="Bell_Curve",$NN$93*(301-$NR$93+1)*($NS$93-301+1)/$NU$93,$NN$93/$NT$93)),0)</f>
        <v/>
      </c>
      <c r="KT93" s="402">
        <f>IF(AND(302&gt;=$NR$93,302&lt;=$NS$93),IF($NP$93="Single_Point",IF(302=$NR$93,$NN$93,0),IF($NP$93="Bell_Curve",$NN$93*(302-$NR$93+1)*($NS$93-302+1)/$NU$93,$NN$93/$NT$93)),0)</f>
        <v/>
      </c>
      <c r="KU93" s="402">
        <f>IF(AND(303&gt;=$NR$93,303&lt;=$NS$93),IF($NP$93="Single_Point",IF(303=$NR$93,$NN$93,0),IF($NP$93="Bell_Curve",$NN$93*(303-$NR$93+1)*($NS$93-303+1)/$NU$93,$NN$93/$NT$93)),0)</f>
        <v/>
      </c>
      <c r="KV93" s="402">
        <f>IF(AND(304&gt;=$NR$93,304&lt;=$NS$93),IF($NP$93="Single_Point",IF(304=$NR$93,$NN$93,0),IF($NP$93="Bell_Curve",$NN$93*(304-$NR$93+1)*($NS$93-304+1)/$NU$93,$NN$93/$NT$93)),0)</f>
        <v/>
      </c>
      <c r="KW93" s="402">
        <f>IF(AND(305&gt;=$NR$93,305&lt;=$NS$93),IF($NP$93="Single_Point",IF(305=$NR$93,$NN$93,0),IF($NP$93="Bell_Curve",$NN$93*(305-$NR$93+1)*($NS$93-305+1)/$NU$93,$NN$93/$NT$93)),0)</f>
        <v/>
      </c>
      <c r="KX93" s="402">
        <f>IF(AND(306&gt;=$NR$93,306&lt;=$NS$93),IF($NP$93="Single_Point",IF(306=$NR$93,$NN$93,0),IF($NP$93="Bell_Curve",$NN$93*(306-$NR$93+1)*($NS$93-306+1)/$NU$93,$NN$93/$NT$93)),0)</f>
        <v/>
      </c>
      <c r="KY93" s="402">
        <f>IF(AND(307&gt;=$NR$93,307&lt;=$NS$93),IF($NP$93="Single_Point",IF(307=$NR$93,$NN$93,0),IF($NP$93="Bell_Curve",$NN$93*(307-$NR$93+1)*($NS$93-307+1)/$NU$93,$NN$93/$NT$93)),0)</f>
        <v/>
      </c>
      <c r="KZ93" s="402">
        <f>IF(AND(308&gt;=$NR$93,308&lt;=$NS$93),IF($NP$93="Single_Point",IF(308=$NR$93,$NN$93,0),IF($NP$93="Bell_Curve",$NN$93*(308-$NR$93+1)*($NS$93-308+1)/$NU$93,$NN$93/$NT$93)),0)</f>
        <v/>
      </c>
      <c r="LA93" s="402">
        <f>IF(AND(309&gt;=$NR$93,309&lt;=$NS$93),IF($NP$93="Single_Point",IF(309=$NR$93,$NN$93,0),IF($NP$93="Bell_Curve",$NN$93*(309-$NR$93+1)*($NS$93-309+1)/$NU$93,$NN$93/$NT$93)),0)</f>
        <v/>
      </c>
      <c r="LB93" s="402">
        <f>IF(AND(310&gt;=$NR$93,310&lt;=$NS$93),IF($NP$93="Single_Point",IF(310=$NR$93,$NN$93,0),IF($NP$93="Bell_Curve",$NN$93*(310-$NR$93+1)*($NS$93-310+1)/$NU$93,$NN$93/$NT$93)),0)</f>
        <v/>
      </c>
      <c r="LC93" s="402">
        <f>IF(AND(311&gt;=$NR$93,311&lt;=$NS$93),IF($NP$93="Single_Point",IF(311=$NR$93,$NN$93,0),IF($NP$93="Bell_Curve",$NN$93*(311-$NR$93+1)*($NS$93-311+1)/$NU$93,$NN$93/$NT$93)),0)</f>
        <v/>
      </c>
      <c r="LD93" s="402">
        <f>IF(AND(312&gt;=$NR$93,312&lt;=$NS$93),IF($NP$93="Single_Point",IF(312=$NR$93,$NN$93,0),IF($NP$93="Bell_Curve",$NN$93*(312-$NR$93+1)*($NS$93-312+1)/$NU$93,$NN$93/$NT$93)),0)</f>
        <v/>
      </c>
      <c r="LE93" s="402">
        <f>IF(AND(313&gt;=$NR$93,313&lt;=$NS$93),IF($NP$93="Single_Point",IF(313=$NR$93,$NN$93,0),IF($NP$93="Bell_Curve",$NN$93*(313-$NR$93+1)*($NS$93-313+1)/$NU$93,$NN$93/$NT$93)),0)</f>
        <v/>
      </c>
      <c r="LF93" s="402">
        <f>IF(AND(314&gt;=$NR$93,314&lt;=$NS$93),IF($NP$93="Single_Point",IF(314=$NR$93,$NN$93,0),IF($NP$93="Bell_Curve",$NN$93*(314-$NR$93+1)*($NS$93-314+1)/$NU$93,$NN$93/$NT$93)),0)</f>
        <v/>
      </c>
      <c r="LG93" s="402">
        <f>IF(AND(315&gt;=$NR$93,315&lt;=$NS$93),IF($NP$93="Single_Point",IF(315=$NR$93,$NN$93,0),IF($NP$93="Bell_Curve",$NN$93*(315-$NR$93+1)*($NS$93-315+1)/$NU$93,$NN$93/$NT$93)),0)</f>
        <v/>
      </c>
      <c r="LH93" s="402">
        <f>IF(AND(316&gt;=$NR$93,316&lt;=$NS$93),IF($NP$93="Single_Point",IF(316=$NR$93,$NN$93,0),IF($NP$93="Bell_Curve",$NN$93*(316-$NR$93+1)*($NS$93-316+1)/$NU$93,$NN$93/$NT$93)),0)</f>
        <v/>
      </c>
      <c r="LI93" s="402">
        <f>IF(AND(317&gt;=$NR$93,317&lt;=$NS$93),IF($NP$93="Single_Point",IF(317=$NR$93,$NN$93,0),IF($NP$93="Bell_Curve",$NN$93*(317-$NR$93+1)*($NS$93-317+1)/$NU$93,$NN$93/$NT$93)),0)</f>
        <v/>
      </c>
      <c r="LJ93" s="402">
        <f>IF(AND(318&gt;=$NR$93,318&lt;=$NS$93),IF($NP$93="Single_Point",IF(318=$NR$93,$NN$93,0),IF($NP$93="Bell_Curve",$NN$93*(318-$NR$93+1)*($NS$93-318+1)/$NU$93,$NN$93/$NT$93)),0)</f>
        <v/>
      </c>
      <c r="LK93" s="402">
        <f>IF(AND(319&gt;=$NR$93,319&lt;=$NS$93),IF($NP$93="Single_Point",IF(319=$NR$93,$NN$93,0),IF($NP$93="Bell_Curve",$NN$93*(319-$NR$93+1)*($NS$93-319+1)/$NU$93,$NN$93/$NT$93)),0)</f>
        <v/>
      </c>
      <c r="LL93" s="402">
        <f>IF(AND(320&gt;=$NR$93,320&lt;=$NS$93),IF($NP$93="Single_Point",IF(320=$NR$93,$NN$93,0),IF($NP$93="Bell_Curve",$NN$93*(320-$NR$93+1)*($NS$93-320+1)/$NU$93,$NN$93/$NT$93)),0)</f>
        <v/>
      </c>
      <c r="LM93" s="402">
        <f>IF(AND(321&gt;=$NR$93,321&lt;=$NS$93),IF($NP$93="Single_Point",IF(321=$NR$93,$NN$93,0),IF($NP$93="Bell_Curve",$NN$93*(321-$NR$93+1)*($NS$93-321+1)/$NU$93,$NN$93/$NT$93)),0)</f>
        <v/>
      </c>
      <c r="LN93" s="402">
        <f>IF(AND(322&gt;=$NR$93,322&lt;=$NS$93),IF($NP$93="Single_Point",IF(322=$NR$93,$NN$93,0),IF($NP$93="Bell_Curve",$NN$93*(322-$NR$93+1)*($NS$93-322+1)/$NU$93,$NN$93/$NT$93)),0)</f>
        <v/>
      </c>
      <c r="LO93" s="402">
        <f>IF(AND(323&gt;=$NR$93,323&lt;=$NS$93),IF($NP$93="Single_Point",IF(323=$NR$93,$NN$93,0),IF($NP$93="Bell_Curve",$NN$93*(323-$NR$93+1)*($NS$93-323+1)/$NU$93,$NN$93/$NT$93)),0)</f>
        <v/>
      </c>
      <c r="LP93" s="402">
        <f>IF(AND(324&gt;=$NR$93,324&lt;=$NS$93),IF($NP$93="Single_Point",IF(324=$NR$93,$NN$93,0),IF($NP$93="Bell_Curve",$NN$93*(324-$NR$93+1)*($NS$93-324+1)/$NU$93,$NN$93/$NT$93)),0)</f>
        <v/>
      </c>
      <c r="LQ93" s="402">
        <f>IF(AND(325&gt;=$NR$93,325&lt;=$NS$93),IF($NP$93="Single_Point",IF(325=$NR$93,$NN$93,0),IF($NP$93="Bell_Curve",$NN$93*(325-$NR$93+1)*($NS$93-325+1)/$NU$93,$NN$93/$NT$93)),0)</f>
        <v/>
      </c>
      <c r="LR93" s="402">
        <f>IF(AND(326&gt;=$NR$93,326&lt;=$NS$93),IF($NP$93="Single_Point",IF(326=$NR$93,$NN$93,0),IF($NP$93="Bell_Curve",$NN$93*(326-$NR$93+1)*($NS$93-326+1)/$NU$93,$NN$93/$NT$93)),0)</f>
        <v/>
      </c>
      <c r="LS93" s="402">
        <f>IF(AND(327&gt;=$NR$93,327&lt;=$NS$93),IF($NP$93="Single_Point",IF(327=$NR$93,$NN$93,0),IF($NP$93="Bell_Curve",$NN$93*(327-$NR$93+1)*($NS$93-327+1)/$NU$93,$NN$93/$NT$93)),0)</f>
        <v/>
      </c>
      <c r="LT93" s="402">
        <f>IF(AND(328&gt;=$NR$93,328&lt;=$NS$93),IF($NP$93="Single_Point",IF(328=$NR$93,$NN$93,0),IF($NP$93="Bell_Curve",$NN$93*(328-$NR$93+1)*($NS$93-328+1)/$NU$93,$NN$93/$NT$93)),0)</f>
        <v/>
      </c>
      <c r="LU93" s="402">
        <f>IF(AND(329&gt;=$NR$93,329&lt;=$NS$93),IF($NP$93="Single_Point",IF(329=$NR$93,$NN$93,0),IF($NP$93="Bell_Curve",$NN$93*(329-$NR$93+1)*($NS$93-329+1)/$NU$93,$NN$93/$NT$93)),0)</f>
        <v/>
      </c>
      <c r="LV93" s="402">
        <f>IF(AND(330&gt;=$NR$93,330&lt;=$NS$93),IF($NP$93="Single_Point",IF(330=$NR$93,$NN$93,0),IF($NP$93="Bell_Curve",$NN$93*(330-$NR$93+1)*($NS$93-330+1)/$NU$93,$NN$93/$NT$93)),0)</f>
        <v/>
      </c>
      <c r="LW93" s="402">
        <f>IF(AND(331&gt;=$NR$93,331&lt;=$NS$93),IF($NP$93="Single_Point",IF(331=$NR$93,$NN$93,0),IF($NP$93="Bell_Curve",$NN$93*(331-$NR$93+1)*($NS$93-331+1)/$NU$93,$NN$93/$NT$93)),0)</f>
        <v/>
      </c>
      <c r="LX93" s="402">
        <f>IF(AND(332&gt;=$NR$93,332&lt;=$NS$93),IF($NP$93="Single_Point",IF(332=$NR$93,$NN$93,0),IF($NP$93="Bell_Curve",$NN$93*(332-$NR$93+1)*($NS$93-332+1)/$NU$93,$NN$93/$NT$93)),0)</f>
        <v/>
      </c>
      <c r="LY93" s="402">
        <f>IF(AND(333&gt;=$NR$93,333&lt;=$NS$93),IF($NP$93="Single_Point",IF(333=$NR$93,$NN$93,0),IF($NP$93="Bell_Curve",$NN$93*(333-$NR$93+1)*($NS$93-333+1)/$NU$93,$NN$93/$NT$93)),0)</f>
        <v/>
      </c>
      <c r="LZ93" s="402">
        <f>IF(AND(334&gt;=$NR$93,334&lt;=$NS$93),IF($NP$93="Single_Point",IF(334=$NR$93,$NN$93,0),IF($NP$93="Bell_Curve",$NN$93*(334-$NR$93+1)*($NS$93-334+1)/$NU$93,$NN$93/$NT$93)),0)</f>
        <v/>
      </c>
      <c r="MA93" s="402">
        <f>IF(AND(335&gt;=$NR$93,335&lt;=$NS$93),IF($NP$93="Single_Point",IF(335=$NR$93,$NN$93,0),IF($NP$93="Bell_Curve",$NN$93*(335-$NR$93+1)*($NS$93-335+1)/$NU$93,$NN$93/$NT$93)),0)</f>
        <v/>
      </c>
      <c r="MB93" s="402">
        <f>IF(AND(336&gt;=$NR$93,336&lt;=$NS$93),IF($NP$93="Single_Point",IF(336=$NR$93,$NN$93,0),IF($NP$93="Bell_Curve",$NN$93*(336-$NR$93+1)*($NS$93-336+1)/$NU$93,$NN$93/$NT$93)),0)</f>
        <v/>
      </c>
      <c r="MC93" s="402">
        <f>IF(AND(337&gt;=$NR$93,337&lt;=$NS$93),IF($NP$93="Single_Point",IF(337=$NR$93,$NN$93,0),IF($NP$93="Bell_Curve",$NN$93*(337-$NR$93+1)*($NS$93-337+1)/$NU$93,$NN$93/$NT$93)),0)</f>
        <v/>
      </c>
      <c r="MD93" s="402">
        <f>IF(AND(338&gt;=$NR$93,338&lt;=$NS$93),IF($NP$93="Single_Point",IF(338=$NR$93,$NN$93,0),IF($NP$93="Bell_Curve",$NN$93*(338-$NR$93+1)*($NS$93-338+1)/$NU$93,$NN$93/$NT$93)),0)</f>
        <v/>
      </c>
      <c r="ME93" s="402">
        <f>IF(AND(339&gt;=$NR$93,339&lt;=$NS$93),IF($NP$93="Single_Point",IF(339=$NR$93,$NN$93,0),IF($NP$93="Bell_Curve",$NN$93*(339-$NR$93+1)*($NS$93-339+1)/$NU$93,$NN$93/$NT$93)),0)</f>
        <v/>
      </c>
      <c r="MF93" s="402">
        <f>IF(AND(340&gt;=$NR$93,340&lt;=$NS$93),IF($NP$93="Single_Point",IF(340=$NR$93,$NN$93,0),IF($NP$93="Bell_Curve",$NN$93*(340-$NR$93+1)*($NS$93-340+1)/$NU$93,$NN$93/$NT$93)),0)</f>
        <v/>
      </c>
      <c r="MG93" s="402">
        <f>IF(AND(341&gt;=$NR$93,341&lt;=$NS$93),IF($NP$93="Single_Point",IF(341=$NR$93,$NN$93,0),IF($NP$93="Bell_Curve",$NN$93*(341-$NR$93+1)*($NS$93-341+1)/$NU$93,$NN$93/$NT$93)),0)</f>
        <v/>
      </c>
      <c r="MH93" s="402">
        <f>IF(AND(342&gt;=$NR$93,342&lt;=$NS$93),IF($NP$93="Single_Point",IF(342=$NR$93,$NN$93,0),IF($NP$93="Bell_Curve",$NN$93*(342-$NR$93+1)*($NS$93-342+1)/$NU$93,$NN$93/$NT$93)),0)</f>
        <v/>
      </c>
      <c r="MI93" s="402">
        <f>IF(AND(343&gt;=$NR$93,343&lt;=$NS$93),IF($NP$93="Single_Point",IF(343=$NR$93,$NN$93,0),IF($NP$93="Bell_Curve",$NN$93*(343-$NR$93+1)*($NS$93-343+1)/$NU$93,$NN$93/$NT$93)),0)</f>
        <v/>
      </c>
      <c r="MJ93" s="402">
        <f>IF(AND(344&gt;=$NR$93,344&lt;=$NS$93),IF($NP$93="Single_Point",IF(344=$NR$93,$NN$93,0),IF($NP$93="Bell_Curve",$NN$93*(344-$NR$93+1)*($NS$93-344+1)/$NU$93,$NN$93/$NT$93)),0)</f>
        <v/>
      </c>
      <c r="MK93" s="402">
        <f>IF(AND(345&gt;=$NR$93,345&lt;=$NS$93),IF($NP$93="Single_Point",IF(345=$NR$93,$NN$93,0),IF($NP$93="Bell_Curve",$NN$93*(345-$NR$93+1)*($NS$93-345+1)/$NU$93,$NN$93/$NT$93)),0)</f>
        <v/>
      </c>
      <c r="ML93" s="402">
        <f>IF(AND(346&gt;=$NR$93,346&lt;=$NS$93),IF($NP$93="Single_Point",IF(346=$NR$93,$NN$93,0),IF($NP$93="Bell_Curve",$NN$93*(346-$NR$93+1)*($NS$93-346+1)/$NU$93,$NN$93/$NT$93)),0)</f>
        <v/>
      </c>
      <c r="MM93" s="402">
        <f>IF(AND(347&gt;=$NR$93,347&lt;=$NS$93),IF($NP$93="Single_Point",IF(347=$NR$93,$NN$93,0),IF($NP$93="Bell_Curve",$NN$93*(347-$NR$93+1)*($NS$93-347+1)/$NU$93,$NN$93/$NT$93)),0)</f>
        <v/>
      </c>
      <c r="MN93" s="402">
        <f>IF(AND(348&gt;=$NR$93,348&lt;=$NS$93),IF($NP$93="Single_Point",IF(348=$NR$93,$NN$93,0),IF($NP$93="Bell_Curve",$NN$93*(348-$NR$93+1)*($NS$93-348+1)/$NU$93,$NN$93/$NT$93)),0)</f>
        <v/>
      </c>
      <c r="MO93" s="402">
        <f>IF(AND(349&gt;=$NR$93,349&lt;=$NS$93),IF($NP$93="Single_Point",IF(349=$NR$93,$NN$93,0),IF($NP$93="Bell_Curve",$NN$93*(349-$NR$93+1)*($NS$93-349+1)/$NU$93,$NN$93/$NT$93)),0)</f>
        <v/>
      </c>
      <c r="MP93" s="402">
        <f>IF(AND(350&gt;=$NR$93,350&lt;=$NS$93),IF($NP$93="Single_Point",IF(350=$NR$93,$NN$93,0),IF($NP$93="Bell_Curve",$NN$93*(350-$NR$93+1)*($NS$93-350+1)/$NU$93,$NN$93/$NT$93)),0)</f>
        <v/>
      </c>
      <c r="MQ93" s="402">
        <f>IF(AND(351&gt;=$NR$93,351&lt;=$NS$93),IF($NP$93="Single_Point",IF(351=$NR$93,$NN$93,0),IF($NP$93="Bell_Curve",$NN$93*(351-$NR$93+1)*($NS$93-351+1)/$NU$93,$NN$93/$NT$93)),0)</f>
        <v/>
      </c>
      <c r="MR93" s="402">
        <f>IF(AND(352&gt;=$NR$93,352&lt;=$NS$93),IF($NP$93="Single_Point",IF(352=$NR$93,$NN$93,0),IF($NP$93="Bell_Curve",$NN$93*(352-$NR$93+1)*($NS$93-352+1)/$NU$93,$NN$93/$NT$93)),0)</f>
        <v/>
      </c>
      <c r="MS93" s="402">
        <f>IF(AND(353&gt;=$NR$93,353&lt;=$NS$93),IF($NP$93="Single_Point",IF(353=$NR$93,$NN$93,0),IF($NP$93="Bell_Curve",$NN$93*(353-$NR$93+1)*($NS$93-353+1)/$NU$93,$NN$93/$NT$93)),0)</f>
        <v/>
      </c>
      <c r="MT93" s="402">
        <f>IF(AND(354&gt;=$NR$93,354&lt;=$NS$93),IF($NP$93="Single_Point",IF(354=$NR$93,$NN$93,0),IF($NP$93="Bell_Curve",$NN$93*(354-$NR$93+1)*($NS$93-354+1)/$NU$93,$NN$93/$NT$93)),0)</f>
        <v/>
      </c>
      <c r="MU93" s="402">
        <f>IF(AND(355&gt;=$NR$93,355&lt;=$NS$93),IF($NP$93="Single_Point",IF(355=$NR$93,$NN$93,0),IF($NP$93="Bell_Curve",$NN$93*(355-$NR$93+1)*($NS$93-355+1)/$NU$93,$NN$93/$NT$93)),0)</f>
        <v/>
      </c>
      <c r="MV93" s="402">
        <f>IF(AND(356&gt;=$NR$93,356&lt;=$NS$93),IF($NP$93="Single_Point",IF(356=$NR$93,$NN$93,0),IF($NP$93="Bell_Curve",$NN$93*(356-$NR$93+1)*($NS$93-356+1)/$NU$93,$NN$93/$NT$93)),0)</f>
        <v/>
      </c>
      <c r="MW93" s="402">
        <f>IF(AND(357&gt;=$NR$93,357&lt;=$NS$93),IF($NP$93="Single_Point",IF(357=$NR$93,$NN$93,0),IF($NP$93="Bell_Curve",$NN$93*(357-$NR$93+1)*($NS$93-357+1)/$NU$93,$NN$93/$NT$93)),0)</f>
        <v/>
      </c>
      <c r="MX93" s="402">
        <f>IF(AND(358&gt;=$NR$93,358&lt;=$NS$93),IF($NP$93="Single_Point",IF(358=$NR$93,$NN$93,0),IF($NP$93="Bell_Curve",$NN$93*(358-$NR$93+1)*($NS$93-358+1)/$NU$93,$NN$93/$NT$93)),0)</f>
        <v/>
      </c>
      <c r="MY93" s="402">
        <f>IF(AND(359&gt;=$NR$93,359&lt;=$NS$93),IF($NP$93="Single_Point",IF(359=$NR$93,$NN$93,0),IF($NP$93="Bell_Curve",$NN$93*(359-$NR$93+1)*($NS$93-359+1)/$NU$93,$NN$93/$NT$93)),0)</f>
        <v/>
      </c>
      <c r="MZ93" s="402">
        <f>IF(AND(360&gt;=$NR$93,360&lt;=$NS$93),IF($NP$93="Single_Point",IF(360=$NR$93,$NN$93,0),IF($NP$93="Bell_Curve",$NN$93*(360-$NR$93+1)*($NS$93-360+1)/$NU$93,$NN$93/$NT$93)),0)</f>
        <v/>
      </c>
      <c r="NA93" s="402">
        <f>IF(AND(361&gt;=$NR$93,361&lt;=$NS$93),IF($NP$93="Single_Point",IF(361=$NR$93,$NN$93,0),IF($NP$93="Bell_Curve",$NN$93*(361-$NR$93+1)*($NS$93-361+1)/$NU$93,$NN$93/$NT$93)),0)</f>
        <v/>
      </c>
      <c r="NB93" s="402">
        <f>IF(AND(362&gt;=$NR$93,362&lt;=$NS$93),IF($NP$93="Single_Point",IF(362=$NR$93,$NN$93,0),IF($NP$93="Bell_Curve",$NN$93*(362-$NR$93+1)*($NS$93-362+1)/$NU$93,$NN$93/$NT$93)),0)</f>
        <v/>
      </c>
      <c r="NC93" s="402">
        <f>IF(AND(363&gt;=$NR$93,363&lt;=$NS$93),IF($NP$93="Single_Point",IF(363=$NR$93,$NN$93,0),IF($NP$93="Bell_Curve",$NN$93*(363-$NR$93+1)*($NS$93-363+1)/$NU$93,$NN$93/$NT$93)),0)</f>
        <v/>
      </c>
      <c r="ND93" s="402">
        <f>IF(AND(364&gt;=$NR$93,364&lt;=$NS$93),IF($NP$93="Single_Point",IF(364=$NR$93,$NN$93,0),IF($NP$93="Bell_Curve",$NN$93*(364-$NR$93+1)*($NS$93-364+1)/$NU$93,$NN$93/$NT$93)),0)</f>
        <v/>
      </c>
      <c r="NE93" s="402">
        <f>IF(AND(365&gt;=$NR$93,365&lt;=$NS$93),IF($NP$93="Single_Point",IF(365=$NR$93,$NN$93,0),IF($NP$93="Bell_Curve",$NN$93*(365-$NR$93+1)*($NS$93-365+1)/$NU$93,$NN$93/$NT$93)),0)</f>
        <v/>
      </c>
      <c r="NF93" s="402">
        <f>IF(AND(366&gt;=$NR$93,366&lt;=$NS$93),IF($NP$93="Single_Point",IF(366=$NR$93,$NN$93,0),IF($NP$93="Bell_Curve",$NN$93*(366-$NR$93+1)*($NS$93-366+1)/$NU$93,$NN$93/$NT$93)),0)</f>
        <v/>
      </c>
      <c r="NG93" s="402">
        <f>IF(AND(367&gt;=$NR$93,367&lt;=$NS$93),IF($NP$93="Single_Point",IF(367=$NR$93,$NN$93,0),IF($NP$93="Bell_Curve",$NN$93*(367-$NR$93+1)*($NS$93-367+1)/$NU$93,$NN$93/$NT$93)),0)</f>
        <v/>
      </c>
      <c r="NH93" s="402">
        <f>IF(AND(368&gt;=$NR$93,368&lt;=$NS$93),IF($NP$93="Single_Point",IF(368=$NR$93,$NN$93,0),IF($NP$93="Bell_Curve",$NN$93*(368-$NR$93+1)*($NS$93-368+1)/$NU$93,$NN$93/$NT$93)),0)</f>
        <v/>
      </c>
      <c r="NI93" s="402">
        <f>IF(AND(369&gt;=$NR$93,369&lt;=$NS$93),IF($NP$93="Single_Point",IF(369=$NR$93,$NN$93,0),IF($NP$93="Bell_Curve",$NN$93*(369-$NR$93+1)*($NS$93-369+1)/$NU$93,$NN$93/$NT$93)),0)</f>
        <v/>
      </c>
      <c r="NJ93" s="402">
        <f>IF(AND(370&gt;=$NR$93,370&lt;=$NS$93),IF($NP$93="Single_Point",IF(370=$NR$93,$NN$93,0),IF($NP$93="Bell_Curve",$NN$93*(370-$NR$93+1)*($NS$93-370+1)/$NU$93,$NN$93/$NT$93)),0)</f>
        <v/>
      </c>
      <c r="NK93" s="402">
        <f>IF(AND(371&gt;=$NR$93,371&lt;=$NS$93),IF($NP$93="Single_Point",IF(371=$NR$93,$NN$93,0),IF($NP$93="Bell_Curve",$NN$93*(371-$NR$93+1)*($NS$93-371+1)/$NU$93,$NN$93/$NT$93)),0)</f>
        <v/>
      </c>
      <c r="NL93" s="402">
        <f>IF(AND(372&gt;=$NR$93,372&lt;=$NS$93),IF($NP$93="Single_Point",IF(372=$NR$93,$NN$93,0),IF($NP$93="Bell_Curve",$NN$93*(372-$NR$93+1)*($NS$93-372+1)/$NU$93,$NN$93/$NT$93)),0)</f>
        <v/>
      </c>
      <c r="NM93">
        <f>Budget!C92</f>
        <v/>
      </c>
      <c r="NN93">
        <f>Budget!J92</f>
        <v/>
      </c>
      <c r="NO93">
        <f>Budget!G92</f>
        <v/>
      </c>
      <c r="NP93">
        <f>Budget!H92</f>
        <v/>
      </c>
      <c r="NQ93">
        <f>Budget!I92</f>
        <v/>
      </c>
      <c r="NR93">
        <f>MAX(1,MIN(372,INDEX(MilestoneStart,MATCH(NO93,MilestoneNames,0))+NQ93))</f>
        <v/>
      </c>
      <c r="NS93">
        <f>MAX(NR93,MIN(372,INDEX(MilestoneEnd,MATCH(NO93,MilestoneNames,0))+NQ93))</f>
        <v/>
      </c>
      <c r="NT93">
        <f>NS93-NR93+1</f>
        <v/>
      </c>
      <c r="NU93">
        <f>NT93*(NT93+1)*(NT93+2)/6</f>
        <v/>
      </c>
    </row>
    <row r="94">
      <c r="B94" s="316">
        <f>Budget!B93</f>
        <v/>
      </c>
      <c r="D94" s="402">
        <f>SUM(E94:NL94)</f>
        <v/>
      </c>
      <c r="E94" s="402">
        <f>IF(AND(1&gt;=$NR$94,1&lt;=$NS$94),IF($NP$94="Single_Point",IF(1=$NR$94,$NN$94,0),IF($NP$94="Bell_Curve",$NN$94*(1-$NR$94+1)*($NS$94-1+1)/$NU$94,$NN$94/$NT$94)),0)</f>
        <v/>
      </c>
      <c r="F94" s="402">
        <f>IF(AND(2&gt;=$NR$94,2&lt;=$NS$94),IF($NP$94="Single_Point",IF(2=$NR$94,$NN$94,0),IF($NP$94="Bell_Curve",$NN$94*(2-$NR$94+1)*($NS$94-2+1)/$NU$94,$NN$94/$NT$94)),0)</f>
        <v/>
      </c>
      <c r="G94" s="402">
        <f>IF(AND(3&gt;=$NR$94,3&lt;=$NS$94),IF($NP$94="Single_Point",IF(3=$NR$94,$NN$94,0),IF($NP$94="Bell_Curve",$NN$94*(3-$NR$94+1)*($NS$94-3+1)/$NU$94,$NN$94/$NT$94)),0)</f>
        <v/>
      </c>
      <c r="H94" s="402">
        <f>IF(AND(4&gt;=$NR$94,4&lt;=$NS$94),IF($NP$94="Single_Point",IF(4=$NR$94,$NN$94,0),IF($NP$94="Bell_Curve",$NN$94*(4-$NR$94+1)*($NS$94-4+1)/$NU$94,$NN$94/$NT$94)),0)</f>
        <v/>
      </c>
      <c r="I94" s="402">
        <f>IF(AND(5&gt;=$NR$94,5&lt;=$NS$94),IF($NP$94="Single_Point",IF(5=$NR$94,$NN$94,0),IF($NP$94="Bell_Curve",$NN$94*(5-$NR$94+1)*($NS$94-5+1)/$NU$94,$NN$94/$NT$94)),0)</f>
        <v/>
      </c>
      <c r="J94" s="402">
        <f>IF(AND(6&gt;=$NR$94,6&lt;=$NS$94),IF($NP$94="Single_Point",IF(6=$NR$94,$NN$94,0),IF($NP$94="Bell_Curve",$NN$94*(6-$NR$94+1)*($NS$94-6+1)/$NU$94,$NN$94/$NT$94)),0)</f>
        <v/>
      </c>
      <c r="K94" s="402">
        <f>IF(AND(7&gt;=$NR$94,7&lt;=$NS$94),IF($NP$94="Single_Point",IF(7=$NR$94,$NN$94,0),IF($NP$94="Bell_Curve",$NN$94*(7-$NR$94+1)*($NS$94-7+1)/$NU$94,$NN$94/$NT$94)),0)</f>
        <v/>
      </c>
      <c r="L94" s="402">
        <f>IF(AND(8&gt;=$NR$94,8&lt;=$NS$94),IF($NP$94="Single_Point",IF(8=$NR$94,$NN$94,0),IF($NP$94="Bell_Curve",$NN$94*(8-$NR$94+1)*($NS$94-8+1)/$NU$94,$NN$94/$NT$94)),0)</f>
        <v/>
      </c>
      <c r="M94" s="402">
        <f>IF(AND(9&gt;=$NR$94,9&lt;=$NS$94),IF($NP$94="Single_Point",IF(9=$NR$94,$NN$94,0),IF($NP$94="Bell_Curve",$NN$94*(9-$NR$94+1)*($NS$94-9+1)/$NU$94,$NN$94/$NT$94)),0)</f>
        <v/>
      </c>
      <c r="N94" s="402">
        <f>IF(AND(10&gt;=$NR$94,10&lt;=$NS$94),IF($NP$94="Single_Point",IF(10=$NR$94,$NN$94,0),IF($NP$94="Bell_Curve",$NN$94*(10-$NR$94+1)*($NS$94-10+1)/$NU$94,$NN$94/$NT$94)),0)</f>
        <v/>
      </c>
      <c r="O94" s="402">
        <f>IF(AND(11&gt;=$NR$94,11&lt;=$NS$94),IF($NP$94="Single_Point",IF(11=$NR$94,$NN$94,0),IF($NP$94="Bell_Curve",$NN$94*(11-$NR$94+1)*($NS$94-11+1)/$NU$94,$NN$94/$NT$94)),0)</f>
        <v/>
      </c>
      <c r="P94" s="402">
        <f>IF(AND(12&gt;=$NR$94,12&lt;=$NS$94),IF($NP$94="Single_Point",IF(12=$NR$94,$NN$94,0),IF($NP$94="Bell_Curve",$NN$94*(12-$NR$94+1)*($NS$94-12+1)/$NU$94,$NN$94/$NT$94)),0)</f>
        <v/>
      </c>
      <c r="Q94" s="402">
        <f>IF(AND(13&gt;=$NR$94,13&lt;=$NS$94),IF($NP$94="Single_Point",IF(13=$NR$94,$NN$94,0),IF($NP$94="Bell_Curve",$NN$94*(13-$NR$94+1)*($NS$94-13+1)/$NU$94,$NN$94/$NT$94)),0)</f>
        <v/>
      </c>
      <c r="R94" s="402">
        <f>IF(AND(14&gt;=$NR$94,14&lt;=$NS$94),IF($NP$94="Single_Point",IF(14=$NR$94,$NN$94,0),IF($NP$94="Bell_Curve",$NN$94*(14-$NR$94+1)*($NS$94-14+1)/$NU$94,$NN$94/$NT$94)),0)</f>
        <v/>
      </c>
      <c r="S94" s="402">
        <f>IF(AND(15&gt;=$NR$94,15&lt;=$NS$94),IF($NP$94="Single_Point",IF(15=$NR$94,$NN$94,0),IF($NP$94="Bell_Curve",$NN$94*(15-$NR$94+1)*($NS$94-15+1)/$NU$94,$NN$94/$NT$94)),0)</f>
        <v/>
      </c>
      <c r="T94" s="402">
        <f>IF(AND(16&gt;=$NR$94,16&lt;=$NS$94),IF($NP$94="Single_Point",IF(16=$NR$94,$NN$94,0),IF($NP$94="Bell_Curve",$NN$94*(16-$NR$94+1)*($NS$94-16+1)/$NU$94,$NN$94/$NT$94)),0)</f>
        <v/>
      </c>
      <c r="U94" s="402">
        <f>IF(AND(17&gt;=$NR$94,17&lt;=$NS$94),IF($NP$94="Single_Point",IF(17=$NR$94,$NN$94,0),IF($NP$94="Bell_Curve",$NN$94*(17-$NR$94+1)*($NS$94-17+1)/$NU$94,$NN$94/$NT$94)),0)</f>
        <v/>
      </c>
      <c r="V94" s="402">
        <f>IF(AND(18&gt;=$NR$94,18&lt;=$NS$94),IF($NP$94="Single_Point",IF(18=$NR$94,$NN$94,0),IF($NP$94="Bell_Curve",$NN$94*(18-$NR$94+1)*($NS$94-18+1)/$NU$94,$NN$94/$NT$94)),0)</f>
        <v/>
      </c>
      <c r="W94" s="402">
        <f>IF(AND(19&gt;=$NR$94,19&lt;=$NS$94),IF($NP$94="Single_Point",IF(19=$NR$94,$NN$94,0),IF($NP$94="Bell_Curve",$NN$94*(19-$NR$94+1)*($NS$94-19+1)/$NU$94,$NN$94/$NT$94)),0)</f>
        <v/>
      </c>
      <c r="X94" s="402">
        <f>IF(AND(20&gt;=$NR$94,20&lt;=$NS$94),IF($NP$94="Single_Point",IF(20=$NR$94,$NN$94,0),IF($NP$94="Bell_Curve",$NN$94*(20-$NR$94+1)*($NS$94-20+1)/$NU$94,$NN$94/$NT$94)),0)</f>
        <v/>
      </c>
      <c r="Y94" s="402">
        <f>IF(AND(21&gt;=$NR$94,21&lt;=$NS$94),IF($NP$94="Single_Point",IF(21=$NR$94,$NN$94,0),IF($NP$94="Bell_Curve",$NN$94*(21-$NR$94+1)*($NS$94-21+1)/$NU$94,$NN$94/$NT$94)),0)</f>
        <v/>
      </c>
      <c r="Z94" s="402">
        <f>IF(AND(22&gt;=$NR$94,22&lt;=$NS$94),IF($NP$94="Single_Point",IF(22=$NR$94,$NN$94,0),IF($NP$94="Bell_Curve",$NN$94*(22-$NR$94+1)*($NS$94-22+1)/$NU$94,$NN$94/$NT$94)),0)</f>
        <v/>
      </c>
      <c r="AA94" s="402">
        <f>IF(AND(23&gt;=$NR$94,23&lt;=$NS$94),IF($NP$94="Single_Point",IF(23=$NR$94,$NN$94,0),IF($NP$94="Bell_Curve",$NN$94*(23-$NR$94+1)*($NS$94-23+1)/$NU$94,$NN$94/$NT$94)),0)</f>
        <v/>
      </c>
      <c r="AB94" s="402">
        <f>IF(AND(24&gt;=$NR$94,24&lt;=$NS$94),IF($NP$94="Single_Point",IF(24=$NR$94,$NN$94,0),IF($NP$94="Bell_Curve",$NN$94*(24-$NR$94+1)*($NS$94-24+1)/$NU$94,$NN$94/$NT$94)),0)</f>
        <v/>
      </c>
      <c r="AC94" s="402">
        <f>IF(AND(25&gt;=$NR$94,25&lt;=$NS$94),IF($NP$94="Single_Point",IF(25=$NR$94,$NN$94,0),IF($NP$94="Bell_Curve",$NN$94*(25-$NR$94+1)*($NS$94-25+1)/$NU$94,$NN$94/$NT$94)),0)</f>
        <v/>
      </c>
      <c r="AD94" s="402">
        <f>IF(AND(26&gt;=$NR$94,26&lt;=$NS$94),IF($NP$94="Single_Point",IF(26=$NR$94,$NN$94,0),IF($NP$94="Bell_Curve",$NN$94*(26-$NR$94+1)*($NS$94-26+1)/$NU$94,$NN$94/$NT$94)),0)</f>
        <v/>
      </c>
      <c r="AE94" s="402">
        <f>IF(AND(27&gt;=$NR$94,27&lt;=$NS$94),IF($NP$94="Single_Point",IF(27=$NR$94,$NN$94,0),IF($NP$94="Bell_Curve",$NN$94*(27-$NR$94+1)*($NS$94-27+1)/$NU$94,$NN$94/$NT$94)),0)</f>
        <v/>
      </c>
      <c r="AF94" s="402">
        <f>IF(AND(28&gt;=$NR$94,28&lt;=$NS$94),IF($NP$94="Single_Point",IF(28=$NR$94,$NN$94,0),IF($NP$94="Bell_Curve",$NN$94*(28-$NR$94+1)*($NS$94-28+1)/$NU$94,$NN$94/$NT$94)),0)</f>
        <v/>
      </c>
      <c r="AG94" s="402">
        <f>IF(AND(29&gt;=$NR$94,29&lt;=$NS$94),IF($NP$94="Single_Point",IF(29=$NR$94,$NN$94,0),IF($NP$94="Bell_Curve",$NN$94*(29-$NR$94+1)*($NS$94-29+1)/$NU$94,$NN$94/$NT$94)),0)</f>
        <v/>
      </c>
      <c r="AH94" s="402">
        <f>IF(AND(30&gt;=$NR$94,30&lt;=$NS$94),IF($NP$94="Single_Point",IF(30=$NR$94,$NN$94,0),IF($NP$94="Bell_Curve",$NN$94*(30-$NR$94+1)*($NS$94-30+1)/$NU$94,$NN$94/$NT$94)),0)</f>
        <v/>
      </c>
      <c r="AI94" s="402">
        <f>IF(AND(31&gt;=$NR$94,31&lt;=$NS$94),IF($NP$94="Single_Point",IF(31=$NR$94,$NN$94,0),IF($NP$94="Bell_Curve",$NN$94*(31-$NR$94+1)*($NS$94-31+1)/$NU$94,$NN$94/$NT$94)),0)</f>
        <v/>
      </c>
      <c r="AJ94" s="402">
        <f>IF(AND(32&gt;=$NR$94,32&lt;=$NS$94),IF($NP$94="Single_Point",IF(32=$NR$94,$NN$94,0),IF($NP$94="Bell_Curve",$NN$94*(32-$NR$94+1)*($NS$94-32+1)/$NU$94,$NN$94/$NT$94)),0)</f>
        <v/>
      </c>
      <c r="AK94" s="402">
        <f>IF(AND(33&gt;=$NR$94,33&lt;=$NS$94),IF($NP$94="Single_Point",IF(33=$NR$94,$NN$94,0),IF($NP$94="Bell_Curve",$NN$94*(33-$NR$94+1)*($NS$94-33+1)/$NU$94,$NN$94/$NT$94)),0)</f>
        <v/>
      </c>
      <c r="AL94" s="402">
        <f>IF(AND(34&gt;=$NR$94,34&lt;=$NS$94),IF($NP$94="Single_Point",IF(34=$NR$94,$NN$94,0),IF($NP$94="Bell_Curve",$NN$94*(34-$NR$94+1)*($NS$94-34+1)/$NU$94,$NN$94/$NT$94)),0)</f>
        <v/>
      </c>
      <c r="AM94" s="402">
        <f>IF(AND(35&gt;=$NR$94,35&lt;=$NS$94),IF($NP$94="Single_Point",IF(35=$NR$94,$NN$94,0),IF($NP$94="Bell_Curve",$NN$94*(35-$NR$94+1)*($NS$94-35+1)/$NU$94,$NN$94/$NT$94)),0)</f>
        <v/>
      </c>
      <c r="AN94" s="402">
        <f>IF(AND(36&gt;=$NR$94,36&lt;=$NS$94),IF($NP$94="Single_Point",IF(36=$NR$94,$NN$94,0),IF($NP$94="Bell_Curve",$NN$94*(36-$NR$94+1)*($NS$94-36+1)/$NU$94,$NN$94/$NT$94)),0)</f>
        <v/>
      </c>
      <c r="AO94" s="402">
        <f>IF(AND(37&gt;=$NR$94,37&lt;=$NS$94),IF($NP$94="Single_Point",IF(37=$NR$94,$NN$94,0),IF($NP$94="Bell_Curve",$NN$94*(37-$NR$94+1)*($NS$94-37+1)/$NU$94,$NN$94/$NT$94)),0)</f>
        <v/>
      </c>
      <c r="AP94" s="402">
        <f>IF(AND(38&gt;=$NR$94,38&lt;=$NS$94),IF($NP$94="Single_Point",IF(38=$NR$94,$NN$94,0),IF($NP$94="Bell_Curve",$NN$94*(38-$NR$94+1)*($NS$94-38+1)/$NU$94,$NN$94/$NT$94)),0)</f>
        <v/>
      </c>
      <c r="AQ94" s="402">
        <f>IF(AND(39&gt;=$NR$94,39&lt;=$NS$94),IF($NP$94="Single_Point",IF(39=$NR$94,$NN$94,0),IF($NP$94="Bell_Curve",$NN$94*(39-$NR$94+1)*($NS$94-39+1)/$NU$94,$NN$94/$NT$94)),0)</f>
        <v/>
      </c>
      <c r="AR94" s="402">
        <f>IF(AND(40&gt;=$NR$94,40&lt;=$NS$94),IF($NP$94="Single_Point",IF(40=$NR$94,$NN$94,0),IF($NP$94="Bell_Curve",$NN$94*(40-$NR$94+1)*($NS$94-40+1)/$NU$94,$NN$94/$NT$94)),0)</f>
        <v/>
      </c>
      <c r="AS94" s="402">
        <f>IF(AND(41&gt;=$NR$94,41&lt;=$NS$94),IF($NP$94="Single_Point",IF(41=$NR$94,$NN$94,0),IF($NP$94="Bell_Curve",$NN$94*(41-$NR$94+1)*($NS$94-41+1)/$NU$94,$NN$94/$NT$94)),0)</f>
        <v/>
      </c>
      <c r="AT94" s="402">
        <f>IF(AND(42&gt;=$NR$94,42&lt;=$NS$94),IF($NP$94="Single_Point",IF(42=$NR$94,$NN$94,0),IF($NP$94="Bell_Curve",$NN$94*(42-$NR$94+1)*($NS$94-42+1)/$NU$94,$NN$94/$NT$94)),0)</f>
        <v/>
      </c>
      <c r="AU94" s="402">
        <f>IF(AND(43&gt;=$NR$94,43&lt;=$NS$94),IF($NP$94="Single_Point",IF(43=$NR$94,$NN$94,0),IF($NP$94="Bell_Curve",$NN$94*(43-$NR$94+1)*($NS$94-43+1)/$NU$94,$NN$94/$NT$94)),0)</f>
        <v/>
      </c>
      <c r="AV94" s="402">
        <f>IF(AND(44&gt;=$NR$94,44&lt;=$NS$94),IF($NP$94="Single_Point",IF(44=$NR$94,$NN$94,0),IF($NP$94="Bell_Curve",$NN$94*(44-$NR$94+1)*($NS$94-44+1)/$NU$94,$NN$94/$NT$94)),0)</f>
        <v/>
      </c>
      <c r="AW94" s="402">
        <f>IF(AND(45&gt;=$NR$94,45&lt;=$NS$94),IF($NP$94="Single_Point",IF(45=$NR$94,$NN$94,0),IF($NP$94="Bell_Curve",$NN$94*(45-$NR$94+1)*($NS$94-45+1)/$NU$94,$NN$94/$NT$94)),0)</f>
        <v/>
      </c>
      <c r="AX94" s="402">
        <f>IF(AND(46&gt;=$NR$94,46&lt;=$NS$94),IF($NP$94="Single_Point",IF(46=$NR$94,$NN$94,0),IF($NP$94="Bell_Curve",$NN$94*(46-$NR$94+1)*($NS$94-46+1)/$NU$94,$NN$94/$NT$94)),0)</f>
        <v/>
      </c>
      <c r="AY94" s="402">
        <f>IF(AND(47&gt;=$NR$94,47&lt;=$NS$94),IF($NP$94="Single_Point",IF(47=$NR$94,$NN$94,0),IF($NP$94="Bell_Curve",$NN$94*(47-$NR$94+1)*($NS$94-47+1)/$NU$94,$NN$94/$NT$94)),0)</f>
        <v/>
      </c>
      <c r="AZ94" s="402">
        <f>IF(AND(48&gt;=$NR$94,48&lt;=$NS$94),IF($NP$94="Single_Point",IF(48=$NR$94,$NN$94,0),IF($NP$94="Bell_Curve",$NN$94*(48-$NR$94+1)*($NS$94-48+1)/$NU$94,$NN$94/$NT$94)),0)</f>
        <v/>
      </c>
      <c r="BA94" s="402">
        <f>IF(AND(49&gt;=$NR$94,49&lt;=$NS$94),IF($NP$94="Single_Point",IF(49=$NR$94,$NN$94,0),IF($NP$94="Bell_Curve",$NN$94*(49-$NR$94+1)*($NS$94-49+1)/$NU$94,$NN$94/$NT$94)),0)</f>
        <v/>
      </c>
      <c r="BB94" s="402">
        <f>IF(AND(50&gt;=$NR$94,50&lt;=$NS$94),IF($NP$94="Single_Point",IF(50=$NR$94,$NN$94,0),IF($NP$94="Bell_Curve",$NN$94*(50-$NR$94+1)*($NS$94-50+1)/$NU$94,$NN$94/$NT$94)),0)</f>
        <v/>
      </c>
      <c r="BC94" s="402">
        <f>IF(AND(51&gt;=$NR$94,51&lt;=$NS$94),IF($NP$94="Single_Point",IF(51=$NR$94,$NN$94,0),IF($NP$94="Bell_Curve",$NN$94*(51-$NR$94+1)*($NS$94-51+1)/$NU$94,$NN$94/$NT$94)),0)</f>
        <v/>
      </c>
      <c r="BD94" s="402">
        <f>IF(AND(52&gt;=$NR$94,52&lt;=$NS$94),IF($NP$94="Single_Point",IF(52=$NR$94,$NN$94,0),IF($NP$94="Bell_Curve",$NN$94*(52-$NR$94+1)*($NS$94-52+1)/$NU$94,$NN$94/$NT$94)),0)</f>
        <v/>
      </c>
      <c r="BE94" s="402">
        <f>IF(AND(53&gt;=$NR$94,53&lt;=$NS$94),IF($NP$94="Single_Point",IF(53=$NR$94,$NN$94,0),IF($NP$94="Bell_Curve",$NN$94*(53-$NR$94+1)*($NS$94-53+1)/$NU$94,$NN$94/$NT$94)),0)</f>
        <v/>
      </c>
      <c r="BF94" s="402">
        <f>IF(AND(54&gt;=$NR$94,54&lt;=$NS$94),IF($NP$94="Single_Point",IF(54=$NR$94,$NN$94,0),IF($NP$94="Bell_Curve",$NN$94*(54-$NR$94+1)*($NS$94-54+1)/$NU$94,$NN$94/$NT$94)),0)</f>
        <v/>
      </c>
      <c r="BG94" s="402">
        <f>IF(AND(55&gt;=$NR$94,55&lt;=$NS$94),IF($NP$94="Single_Point",IF(55=$NR$94,$NN$94,0),IF($NP$94="Bell_Curve",$NN$94*(55-$NR$94+1)*($NS$94-55+1)/$NU$94,$NN$94/$NT$94)),0)</f>
        <v/>
      </c>
      <c r="BH94" s="402">
        <f>IF(AND(56&gt;=$NR$94,56&lt;=$NS$94),IF($NP$94="Single_Point",IF(56=$NR$94,$NN$94,0),IF($NP$94="Bell_Curve",$NN$94*(56-$NR$94+1)*($NS$94-56+1)/$NU$94,$NN$94/$NT$94)),0)</f>
        <v/>
      </c>
      <c r="BI94" s="402">
        <f>IF(AND(57&gt;=$NR$94,57&lt;=$NS$94),IF($NP$94="Single_Point",IF(57=$NR$94,$NN$94,0),IF($NP$94="Bell_Curve",$NN$94*(57-$NR$94+1)*($NS$94-57+1)/$NU$94,$NN$94/$NT$94)),0)</f>
        <v/>
      </c>
      <c r="BJ94" s="402">
        <f>IF(AND(58&gt;=$NR$94,58&lt;=$NS$94),IF($NP$94="Single_Point",IF(58=$NR$94,$NN$94,0),IF($NP$94="Bell_Curve",$NN$94*(58-$NR$94+1)*($NS$94-58+1)/$NU$94,$NN$94/$NT$94)),0)</f>
        <v/>
      </c>
      <c r="BK94" s="402">
        <f>IF(AND(59&gt;=$NR$94,59&lt;=$NS$94),IF($NP$94="Single_Point",IF(59=$NR$94,$NN$94,0),IF($NP$94="Bell_Curve",$NN$94*(59-$NR$94+1)*($NS$94-59+1)/$NU$94,$NN$94/$NT$94)),0)</f>
        <v/>
      </c>
      <c r="BL94" s="402">
        <f>IF(AND(60&gt;=$NR$94,60&lt;=$NS$94),IF($NP$94="Single_Point",IF(60=$NR$94,$NN$94,0),IF($NP$94="Bell_Curve",$NN$94*(60-$NR$94+1)*($NS$94-60+1)/$NU$94,$NN$94/$NT$94)),0)</f>
        <v/>
      </c>
      <c r="BM94" s="402">
        <f>IF(AND(61&gt;=$NR$94,61&lt;=$NS$94),IF($NP$94="Single_Point",IF(61=$NR$94,$NN$94,0),IF($NP$94="Bell_Curve",$NN$94*(61-$NR$94+1)*($NS$94-61+1)/$NU$94,$NN$94/$NT$94)),0)</f>
        <v/>
      </c>
      <c r="BN94" s="402">
        <f>IF(AND(62&gt;=$NR$94,62&lt;=$NS$94),IF($NP$94="Single_Point",IF(62=$NR$94,$NN$94,0),IF($NP$94="Bell_Curve",$NN$94*(62-$NR$94+1)*($NS$94-62+1)/$NU$94,$NN$94/$NT$94)),0)</f>
        <v/>
      </c>
      <c r="BO94" s="402">
        <f>IF(AND(63&gt;=$NR$94,63&lt;=$NS$94),IF($NP$94="Single_Point",IF(63=$NR$94,$NN$94,0),IF($NP$94="Bell_Curve",$NN$94*(63-$NR$94+1)*($NS$94-63+1)/$NU$94,$NN$94/$NT$94)),0)</f>
        <v/>
      </c>
      <c r="BP94" s="402">
        <f>IF(AND(64&gt;=$NR$94,64&lt;=$NS$94),IF($NP$94="Single_Point",IF(64=$NR$94,$NN$94,0),IF($NP$94="Bell_Curve",$NN$94*(64-$NR$94+1)*($NS$94-64+1)/$NU$94,$NN$94/$NT$94)),0)</f>
        <v/>
      </c>
      <c r="BQ94" s="402">
        <f>IF(AND(65&gt;=$NR$94,65&lt;=$NS$94),IF($NP$94="Single_Point",IF(65=$NR$94,$NN$94,0),IF($NP$94="Bell_Curve",$NN$94*(65-$NR$94+1)*($NS$94-65+1)/$NU$94,$NN$94/$NT$94)),0)</f>
        <v/>
      </c>
      <c r="BR94" s="402">
        <f>IF(AND(66&gt;=$NR$94,66&lt;=$NS$94),IF($NP$94="Single_Point",IF(66=$NR$94,$NN$94,0),IF($NP$94="Bell_Curve",$NN$94*(66-$NR$94+1)*($NS$94-66+1)/$NU$94,$NN$94/$NT$94)),0)</f>
        <v/>
      </c>
      <c r="BS94" s="402">
        <f>IF(AND(67&gt;=$NR$94,67&lt;=$NS$94),IF($NP$94="Single_Point",IF(67=$NR$94,$NN$94,0),IF($NP$94="Bell_Curve",$NN$94*(67-$NR$94+1)*($NS$94-67+1)/$NU$94,$NN$94/$NT$94)),0)</f>
        <v/>
      </c>
      <c r="BT94" s="402">
        <f>IF(AND(68&gt;=$NR$94,68&lt;=$NS$94),IF($NP$94="Single_Point",IF(68=$NR$94,$NN$94,0),IF($NP$94="Bell_Curve",$NN$94*(68-$NR$94+1)*($NS$94-68+1)/$NU$94,$NN$94/$NT$94)),0)</f>
        <v/>
      </c>
      <c r="BU94" s="402">
        <f>IF(AND(69&gt;=$NR$94,69&lt;=$NS$94),IF($NP$94="Single_Point",IF(69=$NR$94,$NN$94,0),IF($NP$94="Bell_Curve",$NN$94*(69-$NR$94+1)*($NS$94-69+1)/$NU$94,$NN$94/$NT$94)),0)</f>
        <v/>
      </c>
      <c r="BV94" s="402">
        <f>IF(AND(70&gt;=$NR$94,70&lt;=$NS$94),IF($NP$94="Single_Point",IF(70=$NR$94,$NN$94,0),IF($NP$94="Bell_Curve",$NN$94*(70-$NR$94+1)*($NS$94-70+1)/$NU$94,$NN$94/$NT$94)),0)</f>
        <v/>
      </c>
      <c r="BW94" s="402">
        <f>IF(AND(71&gt;=$NR$94,71&lt;=$NS$94),IF($NP$94="Single_Point",IF(71=$NR$94,$NN$94,0),IF($NP$94="Bell_Curve",$NN$94*(71-$NR$94+1)*($NS$94-71+1)/$NU$94,$NN$94/$NT$94)),0)</f>
        <v/>
      </c>
      <c r="BX94" s="402">
        <f>IF(AND(72&gt;=$NR$94,72&lt;=$NS$94),IF($NP$94="Single_Point",IF(72=$NR$94,$NN$94,0),IF($NP$94="Bell_Curve",$NN$94*(72-$NR$94+1)*($NS$94-72+1)/$NU$94,$NN$94/$NT$94)),0)</f>
        <v/>
      </c>
      <c r="BY94" s="402">
        <f>IF(AND(73&gt;=$NR$94,73&lt;=$NS$94),IF($NP$94="Single_Point",IF(73=$NR$94,$NN$94,0),IF($NP$94="Bell_Curve",$NN$94*(73-$NR$94+1)*($NS$94-73+1)/$NU$94,$NN$94/$NT$94)),0)</f>
        <v/>
      </c>
      <c r="BZ94" s="402">
        <f>IF(AND(74&gt;=$NR$94,74&lt;=$NS$94),IF($NP$94="Single_Point",IF(74=$NR$94,$NN$94,0),IF($NP$94="Bell_Curve",$NN$94*(74-$NR$94+1)*($NS$94-74+1)/$NU$94,$NN$94/$NT$94)),0)</f>
        <v/>
      </c>
      <c r="CA94" s="402">
        <f>IF(AND(75&gt;=$NR$94,75&lt;=$NS$94),IF($NP$94="Single_Point",IF(75=$NR$94,$NN$94,0),IF($NP$94="Bell_Curve",$NN$94*(75-$NR$94+1)*($NS$94-75+1)/$NU$94,$NN$94/$NT$94)),0)</f>
        <v/>
      </c>
      <c r="CB94" s="402">
        <f>IF(AND(76&gt;=$NR$94,76&lt;=$NS$94),IF($NP$94="Single_Point",IF(76=$NR$94,$NN$94,0),IF($NP$94="Bell_Curve",$NN$94*(76-$NR$94+1)*($NS$94-76+1)/$NU$94,$NN$94/$NT$94)),0)</f>
        <v/>
      </c>
      <c r="CC94" s="402">
        <f>IF(AND(77&gt;=$NR$94,77&lt;=$NS$94),IF($NP$94="Single_Point",IF(77=$NR$94,$NN$94,0),IF($NP$94="Bell_Curve",$NN$94*(77-$NR$94+1)*($NS$94-77+1)/$NU$94,$NN$94/$NT$94)),0)</f>
        <v/>
      </c>
      <c r="CD94" s="402">
        <f>IF(AND(78&gt;=$NR$94,78&lt;=$NS$94),IF($NP$94="Single_Point",IF(78=$NR$94,$NN$94,0),IF($NP$94="Bell_Curve",$NN$94*(78-$NR$94+1)*($NS$94-78+1)/$NU$94,$NN$94/$NT$94)),0)</f>
        <v/>
      </c>
      <c r="CE94" s="402">
        <f>IF(AND(79&gt;=$NR$94,79&lt;=$NS$94),IF($NP$94="Single_Point",IF(79=$NR$94,$NN$94,0),IF($NP$94="Bell_Curve",$NN$94*(79-$NR$94+1)*($NS$94-79+1)/$NU$94,$NN$94/$NT$94)),0)</f>
        <v/>
      </c>
      <c r="CF94" s="402">
        <f>IF(AND(80&gt;=$NR$94,80&lt;=$NS$94),IF($NP$94="Single_Point",IF(80=$NR$94,$NN$94,0),IF($NP$94="Bell_Curve",$NN$94*(80-$NR$94+1)*($NS$94-80+1)/$NU$94,$NN$94/$NT$94)),0)</f>
        <v/>
      </c>
      <c r="CG94" s="402">
        <f>IF(AND(81&gt;=$NR$94,81&lt;=$NS$94),IF($NP$94="Single_Point",IF(81=$NR$94,$NN$94,0),IF($NP$94="Bell_Curve",$NN$94*(81-$NR$94+1)*($NS$94-81+1)/$NU$94,$NN$94/$NT$94)),0)</f>
        <v/>
      </c>
      <c r="CH94" s="402">
        <f>IF(AND(82&gt;=$NR$94,82&lt;=$NS$94),IF($NP$94="Single_Point",IF(82=$NR$94,$NN$94,0),IF($NP$94="Bell_Curve",$NN$94*(82-$NR$94+1)*($NS$94-82+1)/$NU$94,$NN$94/$NT$94)),0)</f>
        <v/>
      </c>
      <c r="CI94" s="402">
        <f>IF(AND(83&gt;=$NR$94,83&lt;=$NS$94),IF($NP$94="Single_Point",IF(83=$NR$94,$NN$94,0),IF($NP$94="Bell_Curve",$NN$94*(83-$NR$94+1)*($NS$94-83+1)/$NU$94,$NN$94/$NT$94)),0)</f>
        <v/>
      </c>
      <c r="CJ94" s="402">
        <f>IF(AND(84&gt;=$NR$94,84&lt;=$NS$94),IF($NP$94="Single_Point",IF(84=$NR$94,$NN$94,0),IF($NP$94="Bell_Curve",$NN$94*(84-$NR$94+1)*($NS$94-84+1)/$NU$94,$NN$94/$NT$94)),0)</f>
        <v/>
      </c>
      <c r="CK94" s="402">
        <f>IF(AND(85&gt;=$NR$94,85&lt;=$NS$94),IF($NP$94="Single_Point",IF(85=$NR$94,$NN$94,0),IF($NP$94="Bell_Curve",$NN$94*(85-$NR$94+1)*($NS$94-85+1)/$NU$94,$NN$94/$NT$94)),0)</f>
        <v/>
      </c>
      <c r="CL94" s="402">
        <f>IF(AND(86&gt;=$NR$94,86&lt;=$NS$94),IF($NP$94="Single_Point",IF(86=$NR$94,$NN$94,0),IF($NP$94="Bell_Curve",$NN$94*(86-$NR$94+1)*($NS$94-86+1)/$NU$94,$NN$94/$NT$94)),0)</f>
        <v/>
      </c>
      <c r="CM94" s="402">
        <f>IF(AND(87&gt;=$NR$94,87&lt;=$NS$94),IF($NP$94="Single_Point",IF(87=$NR$94,$NN$94,0),IF($NP$94="Bell_Curve",$NN$94*(87-$NR$94+1)*($NS$94-87+1)/$NU$94,$NN$94/$NT$94)),0)</f>
        <v/>
      </c>
      <c r="CN94" s="402">
        <f>IF(AND(88&gt;=$NR$94,88&lt;=$NS$94),IF($NP$94="Single_Point",IF(88=$NR$94,$NN$94,0),IF($NP$94="Bell_Curve",$NN$94*(88-$NR$94+1)*($NS$94-88+1)/$NU$94,$NN$94/$NT$94)),0)</f>
        <v/>
      </c>
      <c r="CO94" s="402">
        <f>IF(AND(89&gt;=$NR$94,89&lt;=$NS$94),IF($NP$94="Single_Point",IF(89=$NR$94,$NN$94,0),IF($NP$94="Bell_Curve",$NN$94*(89-$NR$94+1)*($NS$94-89+1)/$NU$94,$NN$94/$NT$94)),0)</f>
        <v/>
      </c>
      <c r="CP94" s="402">
        <f>IF(AND(90&gt;=$NR$94,90&lt;=$NS$94),IF($NP$94="Single_Point",IF(90=$NR$94,$NN$94,0),IF($NP$94="Bell_Curve",$NN$94*(90-$NR$94+1)*($NS$94-90+1)/$NU$94,$NN$94/$NT$94)),0)</f>
        <v/>
      </c>
      <c r="CQ94" s="402">
        <f>IF(AND(91&gt;=$NR$94,91&lt;=$NS$94),IF($NP$94="Single_Point",IF(91=$NR$94,$NN$94,0),IF($NP$94="Bell_Curve",$NN$94*(91-$NR$94+1)*($NS$94-91+1)/$NU$94,$NN$94/$NT$94)),0)</f>
        <v/>
      </c>
      <c r="CR94" s="402">
        <f>IF(AND(92&gt;=$NR$94,92&lt;=$NS$94),IF($NP$94="Single_Point",IF(92=$NR$94,$NN$94,0),IF($NP$94="Bell_Curve",$NN$94*(92-$NR$94+1)*($NS$94-92+1)/$NU$94,$NN$94/$NT$94)),0)</f>
        <v/>
      </c>
      <c r="CS94" s="402">
        <f>IF(AND(93&gt;=$NR$94,93&lt;=$NS$94),IF($NP$94="Single_Point",IF(93=$NR$94,$NN$94,0),IF($NP$94="Bell_Curve",$NN$94*(93-$NR$94+1)*($NS$94-93+1)/$NU$94,$NN$94/$NT$94)),0)</f>
        <v/>
      </c>
      <c r="CT94" s="402">
        <f>IF(AND(94&gt;=$NR$94,94&lt;=$NS$94),IF($NP$94="Single_Point",IF(94=$NR$94,$NN$94,0),IF($NP$94="Bell_Curve",$NN$94*(94-$NR$94+1)*($NS$94-94+1)/$NU$94,$NN$94/$NT$94)),0)</f>
        <v/>
      </c>
      <c r="CU94" s="402">
        <f>IF(AND(95&gt;=$NR$94,95&lt;=$NS$94),IF($NP$94="Single_Point",IF(95=$NR$94,$NN$94,0),IF($NP$94="Bell_Curve",$NN$94*(95-$NR$94+1)*($NS$94-95+1)/$NU$94,$NN$94/$NT$94)),0)</f>
        <v/>
      </c>
      <c r="CV94" s="402">
        <f>IF(AND(96&gt;=$NR$94,96&lt;=$NS$94),IF($NP$94="Single_Point",IF(96=$NR$94,$NN$94,0),IF($NP$94="Bell_Curve",$NN$94*(96-$NR$94+1)*($NS$94-96+1)/$NU$94,$NN$94/$NT$94)),0)</f>
        <v/>
      </c>
      <c r="CW94" s="402">
        <f>IF(AND(97&gt;=$NR$94,97&lt;=$NS$94),IF($NP$94="Single_Point",IF(97=$NR$94,$NN$94,0),IF($NP$94="Bell_Curve",$NN$94*(97-$NR$94+1)*($NS$94-97+1)/$NU$94,$NN$94/$NT$94)),0)</f>
        <v/>
      </c>
      <c r="CX94" s="402">
        <f>IF(AND(98&gt;=$NR$94,98&lt;=$NS$94),IF($NP$94="Single_Point",IF(98=$NR$94,$NN$94,0),IF($NP$94="Bell_Curve",$NN$94*(98-$NR$94+1)*($NS$94-98+1)/$NU$94,$NN$94/$NT$94)),0)</f>
        <v/>
      </c>
      <c r="CY94" s="402">
        <f>IF(AND(99&gt;=$NR$94,99&lt;=$NS$94),IF($NP$94="Single_Point",IF(99=$NR$94,$NN$94,0),IF($NP$94="Bell_Curve",$NN$94*(99-$NR$94+1)*($NS$94-99+1)/$NU$94,$NN$94/$NT$94)),0)</f>
        <v/>
      </c>
      <c r="CZ94" s="402">
        <f>IF(AND(100&gt;=$NR$94,100&lt;=$NS$94),IF($NP$94="Single_Point",IF(100=$NR$94,$NN$94,0),IF($NP$94="Bell_Curve",$NN$94*(100-$NR$94+1)*($NS$94-100+1)/$NU$94,$NN$94/$NT$94)),0)</f>
        <v/>
      </c>
      <c r="DA94" s="402">
        <f>IF(AND(101&gt;=$NR$94,101&lt;=$NS$94),IF($NP$94="Single_Point",IF(101=$NR$94,$NN$94,0),IF($NP$94="Bell_Curve",$NN$94*(101-$NR$94+1)*($NS$94-101+1)/$NU$94,$NN$94/$NT$94)),0)</f>
        <v/>
      </c>
      <c r="DB94" s="402">
        <f>IF(AND(102&gt;=$NR$94,102&lt;=$NS$94),IF($NP$94="Single_Point",IF(102=$NR$94,$NN$94,0),IF($NP$94="Bell_Curve",$NN$94*(102-$NR$94+1)*($NS$94-102+1)/$NU$94,$NN$94/$NT$94)),0)</f>
        <v/>
      </c>
      <c r="DC94" s="402">
        <f>IF(AND(103&gt;=$NR$94,103&lt;=$NS$94),IF($NP$94="Single_Point",IF(103=$NR$94,$NN$94,0),IF($NP$94="Bell_Curve",$NN$94*(103-$NR$94+1)*($NS$94-103+1)/$NU$94,$NN$94/$NT$94)),0)</f>
        <v/>
      </c>
      <c r="DD94" s="402">
        <f>IF(AND(104&gt;=$NR$94,104&lt;=$NS$94),IF($NP$94="Single_Point",IF(104=$NR$94,$NN$94,0),IF($NP$94="Bell_Curve",$NN$94*(104-$NR$94+1)*($NS$94-104+1)/$NU$94,$NN$94/$NT$94)),0)</f>
        <v/>
      </c>
      <c r="DE94" s="402">
        <f>IF(AND(105&gt;=$NR$94,105&lt;=$NS$94),IF($NP$94="Single_Point",IF(105=$NR$94,$NN$94,0),IF($NP$94="Bell_Curve",$NN$94*(105-$NR$94+1)*($NS$94-105+1)/$NU$94,$NN$94/$NT$94)),0)</f>
        <v/>
      </c>
      <c r="DF94" s="402">
        <f>IF(AND(106&gt;=$NR$94,106&lt;=$NS$94),IF($NP$94="Single_Point",IF(106=$NR$94,$NN$94,0),IF($NP$94="Bell_Curve",$NN$94*(106-$NR$94+1)*($NS$94-106+1)/$NU$94,$NN$94/$NT$94)),0)</f>
        <v/>
      </c>
      <c r="DG94" s="402">
        <f>IF(AND(107&gt;=$NR$94,107&lt;=$NS$94),IF($NP$94="Single_Point",IF(107=$NR$94,$NN$94,0),IF($NP$94="Bell_Curve",$NN$94*(107-$NR$94+1)*($NS$94-107+1)/$NU$94,$NN$94/$NT$94)),0)</f>
        <v/>
      </c>
      <c r="DH94" s="402">
        <f>IF(AND(108&gt;=$NR$94,108&lt;=$NS$94),IF($NP$94="Single_Point",IF(108=$NR$94,$NN$94,0),IF($NP$94="Bell_Curve",$NN$94*(108-$NR$94+1)*($NS$94-108+1)/$NU$94,$NN$94/$NT$94)),0)</f>
        <v/>
      </c>
      <c r="DI94" s="402">
        <f>IF(AND(109&gt;=$NR$94,109&lt;=$NS$94),IF($NP$94="Single_Point",IF(109=$NR$94,$NN$94,0),IF($NP$94="Bell_Curve",$NN$94*(109-$NR$94+1)*($NS$94-109+1)/$NU$94,$NN$94/$NT$94)),0)</f>
        <v/>
      </c>
      <c r="DJ94" s="402">
        <f>IF(AND(110&gt;=$NR$94,110&lt;=$NS$94),IF($NP$94="Single_Point",IF(110=$NR$94,$NN$94,0),IF($NP$94="Bell_Curve",$NN$94*(110-$NR$94+1)*($NS$94-110+1)/$NU$94,$NN$94/$NT$94)),0)</f>
        <v/>
      </c>
      <c r="DK94" s="402">
        <f>IF(AND(111&gt;=$NR$94,111&lt;=$NS$94),IF($NP$94="Single_Point",IF(111=$NR$94,$NN$94,0),IF($NP$94="Bell_Curve",$NN$94*(111-$NR$94+1)*($NS$94-111+1)/$NU$94,$NN$94/$NT$94)),0)</f>
        <v/>
      </c>
      <c r="DL94" s="402">
        <f>IF(AND(112&gt;=$NR$94,112&lt;=$NS$94),IF($NP$94="Single_Point",IF(112=$NR$94,$NN$94,0),IF($NP$94="Bell_Curve",$NN$94*(112-$NR$94+1)*($NS$94-112+1)/$NU$94,$NN$94/$NT$94)),0)</f>
        <v/>
      </c>
      <c r="DM94" s="402">
        <f>IF(AND(113&gt;=$NR$94,113&lt;=$NS$94),IF($NP$94="Single_Point",IF(113=$NR$94,$NN$94,0),IF($NP$94="Bell_Curve",$NN$94*(113-$NR$94+1)*($NS$94-113+1)/$NU$94,$NN$94/$NT$94)),0)</f>
        <v/>
      </c>
      <c r="DN94" s="402">
        <f>IF(AND(114&gt;=$NR$94,114&lt;=$NS$94),IF($NP$94="Single_Point",IF(114=$NR$94,$NN$94,0),IF($NP$94="Bell_Curve",$NN$94*(114-$NR$94+1)*($NS$94-114+1)/$NU$94,$NN$94/$NT$94)),0)</f>
        <v/>
      </c>
      <c r="DO94" s="402">
        <f>IF(AND(115&gt;=$NR$94,115&lt;=$NS$94),IF($NP$94="Single_Point",IF(115=$NR$94,$NN$94,0),IF($NP$94="Bell_Curve",$NN$94*(115-$NR$94+1)*($NS$94-115+1)/$NU$94,$NN$94/$NT$94)),0)</f>
        <v/>
      </c>
      <c r="DP94" s="402">
        <f>IF(AND(116&gt;=$NR$94,116&lt;=$NS$94),IF($NP$94="Single_Point",IF(116=$NR$94,$NN$94,0),IF($NP$94="Bell_Curve",$NN$94*(116-$NR$94+1)*($NS$94-116+1)/$NU$94,$NN$94/$NT$94)),0)</f>
        <v/>
      </c>
      <c r="DQ94" s="402">
        <f>IF(AND(117&gt;=$NR$94,117&lt;=$NS$94),IF($NP$94="Single_Point",IF(117=$NR$94,$NN$94,0),IF($NP$94="Bell_Curve",$NN$94*(117-$NR$94+1)*($NS$94-117+1)/$NU$94,$NN$94/$NT$94)),0)</f>
        <v/>
      </c>
      <c r="DR94" s="402">
        <f>IF(AND(118&gt;=$NR$94,118&lt;=$NS$94),IF($NP$94="Single_Point",IF(118=$NR$94,$NN$94,0),IF($NP$94="Bell_Curve",$NN$94*(118-$NR$94+1)*($NS$94-118+1)/$NU$94,$NN$94/$NT$94)),0)</f>
        <v/>
      </c>
      <c r="DS94" s="402">
        <f>IF(AND(119&gt;=$NR$94,119&lt;=$NS$94),IF($NP$94="Single_Point",IF(119=$NR$94,$NN$94,0),IF($NP$94="Bell_Curve",$NN$94*(119-$NR$94+1)*($NS$94-119+1)/$NU$94,$NN$94/$NT$94)),0)</f>
        <v/>
      </c>
      <c r="DT94" s="402">
        <f>IF(AND(120&gt;=$NR$94,120&lt;=$NS$94),IF($NP$94="Single_Point",IF(120=$NR$94,$NN$94,0),IF($NP$94="Bell_Curve",$NN$94*(120-$NR$94+1)*($NS$94-120+1)/$NU$94,$NN$94/$NT$94)),0)</f>
        <v/>
      </c>
      <c r="DU94" s="402">
        <f>IF(AND(121&gt;=$NR$94,121&lt;=$NS$94),IF($NP$94="Single_Point",IF(121=$NR$94,$NN$94,0),IF($NP$94="Bell_Curve",$NN$94*(121-$NR$94+1)*($NS$94-121+1)/$NU$94,$NN$94/$NT$94)),0)</f>
        <v/>
      </c>
      <c r="DV94" s="402">
        <f>IF(AND(122&gt;=$NR$94,122&lt;=$NS$94),IF($NP$94="Single_Point",IF(122=$NR$94,$NN$94,0),IF($NP$94="Bell_Curve",$NN$94*(122-$NR$94+1)*($NS$94-122+1)/$NU$94,$NN$94/$NT$94)),0)</f>
        <v/>
      </c>
      <c r="DW94" s="402">
        <f>IF(AND(123&gt;=$NR$94,123&lt;=$NS$94),IF($NP$94="Single_Point",IF(123=$NR$94,$NN$94,0),IF($NP$94="Bell_Curve",$NN$94*(123-$NR$94+1)*($NS$94-123+1)/$NU$94,$NN$94/$NT$94)),0)</f>
        <v/>
      </c>
      <c r="DX94" s="402">
        <f>IF(AND(124&gt;=$NR$94,124&lt;=$NS$94),IF($NP$94="Single_Point",IF(124=$NR$94,$NN$94,0),IF($NP$94="Bell_Curve",$NN$94*(124-$NR$94+1)*($NS$94-124+1)/$NU$94,$NN$94/$NT$94)),0)</f>
        <v/>
      </c>
      <c r="DY94" s="402">
        <f>IF(AND(125&gt;=$NR$94,125&lt;=$NS$94),IF($NP$94="Single_Point",IF(125=$NR$94,$NN$94,0),IF($NP$94="Bell_Curve",$NN$94*(125-$NR$94+1)*($NS$94-125+1)/$NU$94,$NN$94/$NT$94)),0)</f>
        <v/>
      </c>
      <c r="DZ94" s="402">
        <f>IF(AND(126&gt;=$NR$94,126&lt;=$NS$94),IF($NP$94="Single_Point",IF(126=$NR$94,$NN$94,0),IF($NP$94="Bell_Curve",$NN$94*(126-$NR$94+1)*($NS$94-126+1)/$NU$94,$NN$94/$NT$94)),0)</f>
        <v/>
      </c>
      <c r="EA94" s="402">
        <f>IF(AND(127&gt;=$NR$94,127&lt;=$NS$94),IF($NP$94="Single_Point",IF(127=$NR$94,$NN$94,0),IF($NP$94="Bell_Curve",$NN$94*(127-$NR$94+1)*($NS$94-127+1)/$NU$94,$NN$94/$NT$94)),0)</f>
        <v/>
      </c>
      <c r="EB94" s="402">
        <f>IF(AND(128&gt;=$NR$94,128&lt;=$NS$94),IF($NP$94="Single_Point",IF(128=$NR$94,$NN$94,0),IF($NP$94="Bell_Curve",$NN$94*(128-$NR$94+1)*($NS$94-128+1)/$NU$94,$NN$94/$NT$94)),0)</f>
        <v/>
      </c>
      <c r="EC94" s="402">
        <f>IF(AND(129&gt;=$NR$94,129&lt;=$NS$94),IF($NP$94="Single_Point",IF(129=$NR$94,$NN$94,0),IF($NP$94="Bell_Curve",$NN$94*(129-$NR$94+1)*($NS$94-129+1)/$NU$94,$NN$94/$NT$94)),0)</f>
        <v/>
      </c>
      <c r="ED94" s="402">
        <f>IF(AND(130&gt;=$NR$94,130&lt;=$NS$94),IF($NP$94="Single_Point",IF(130=$NR$94,$NN$94,0),IF($NP$94="Bell_Curve",$NN$94*(130-$NR$94+1)*($NS$94-130+1)/$NU$94,$NN$94/$NT$94)),0)</f>
        <v/>
      </c>
      <c r="EE94" s="402">
        <f>IF(AND(131&gt;=$NR$94,131&lt;=$NS$94),IF($NP$94="Single_Point",IF(131=$NR$94,$NN$94,0),IF($NP$94="Bell_Curve",$NN$94*(131-$NR$94+1)*($NS$94-131+1)/$NU$94,$NN$94/$NT$94)),0)</f>
        <v/>
      </c>
      <c r="EF94" s="402">
        <f>IF(AND(132&gt;=$NR$94,132&lt;=$NS$94),IF($NP$94="Single_Point",IF(132=$NR$94,$NN$94,0),IF($NP$94="Bell_Curve",$NN$94*(132-$NR$94+1)*($NS$94-132+1)/$NU$94,$NN$94/$NT$94)),0)</f>
        <v/>
      </c>
      <c r="EG94" s="402">
        <f>IF(AND(133&gt;=$NR$94,133&lt;=$NS$94),IF($NP$94="Single_Point",IF(133=$NR$94,$NN$94,0),IF($NP$94="Bell_Curve",$NN$94*(133-$NR$94+1)*($NS$94-133+1)/$NU$94,$NN$94/$NT$94)),0)</f>
        <v/>
      </c>
      <c r="EH94" s="402">
        <f>IF(AND(134&gt;=$NR$94,134&lt;=$NS$94),IF($NP$94="Single_Point",IF(134=$NR$94,$NN$94,0),IF($NP$94="Bell_Curve",$NN$94*(134-$NR$94+1)*($NS$94-134+1)/$NU$94,$NN$94/$NT$94)),0)</f>
        <v/>
      </c>
      <c r="EI94" s="402">
        <f>IF(AND(135&gt;=$NR$94,135&lt;=$NS$94),IF($NP$94="Single_Point",IF(135=$NR$94,$NN$94,0),IF($NP$94="Bell_Curve",$NN$94*(135-$NR$94+1)*($NS$94-135+1)/$NU$94,$NN$94/$NT$94)),0)</f>
        <v/>
      </c>
      <c r="EJ94" s="402">
        <f>IF(AND(136&gt;=$NR$94,136&lt;=$NS$94),IF($NP$94="Single_Point",IF(136=$NR$94,$NN$94,0),IF($NP$94="Bell_Curve",$NN$94*(136-$NR$94+1)*($NS$94-136+1)/$NU$94,$NN$94/$NT$94)),0)</f>
        <v/>
      </c>
      <c r="EK94" s="402">
        <f>IF(AND(137&gt;=$NR$94,137&lt;=$NS$94),IF($NP$94="Single_Point",IF(137=$NR$94,$NN$94,0),IF($NP$94="Bell_Curve",$NN$94*(137-$NR$94+1)*($NS$94-137+1)/$NU$94,$NN$94/$NT$94)),0)</f>
        <v/>
      </c>
      <c r="EL94" s="402">
        <f>IF(AND(138&gt;=$NR$94,138&lt;=$NS$94),IF($NP$94="Single_Point",IF(138=$NR$94,$NN$94,0),IF($NP$94="Bell_Curve",$NN$94*(138-$NR$94+1)*($NS$94-138+1)/$NU$94,$NN$94/$NT$94)),0)</f>
        <v/>
      </c>
      <c r="EM94" s="402">
        <f>IF(AND(139&gt;=$NR$94,139&lt;=$NS$94),IF($NP$94="Single_Point",IF(139=$NR$94,$NN$94,0),IF($NP$94="Bell_Curve",$NN$94*(139-$NR$94+1)*($NS$94-139+1)/$NU$94,$NN$94/$NT$94)),0)</f>
        <v/>
      </c>
      <c r="EN94" s="402">
        <f>IF(AND(140&gt;=$NR$94,140&lt;=$NS$94),IF($NP$94="Single_Point",IF(140=$NR$94,$NN$94,0),IF($NP$94="Bell_Curve",$NN$94*(140-$NR$94+1)*($NS$94-140+1)/$NU$94,$NN$94/$NT$94)),0)</f>
        <v/>
      </c>
      <c r="EO94" s="402">
        <f>IF(AND(141&gt;=$NR$94,141&lt;=$NS$94),IF($NP$94="Single_Point",IF(141=$NR$94,$NN$94,0),IF($NP$94="Bell_Curve",$NN$94*(141-$NR$94+1)*($NS$94-141+1)/$NU$94,$NN$94/$NT$94)),0)</f>
        <v/>
      </c>
      <c r="EP94" s="402">
        <f>IF(AND(142&gt;=$NR$94,142&lt;=$NS$94),IF($NP$94="Single_Point",IF(142=$NR$94,$NN$94,0),IF($NP$94="Bell_Curve",$NN$94*(142-$NR$94+1)*($NS$94-142+1)/$NU$94,$NN$94/$NT$94)),0)</f>
        <v/>
      </c>
      <c r="EQ94" s="402">
        <f>IF(AND(143&gt;=$NR$94,143&lt;=$NS$94),IF($NP$94="Single_Point",IF(143=$NR$94,$NN$94,0),IF($NP$94="Bell_Curve",$NN$94*(143-$NR$94+1)*($NS$94-143+1)/$NU$94,$NN$94/$NT$94)),0)</f>
        <v/>
      </c>
      <c r="ER94" s="402">
        <f>IF(AND(144&gt;=$NR$94,144&lt;=$NS$94),IF($NP$94="Single_Point",IF(144=$NR$94,$NN$94,0),IF($NP$94="Bell_Curve",$NN$94*(144-$NR$94+1)*($NS$94-144+1)/$NU$94,$NN$94/$NT$94)),0)</f>
        <v/>
      </c>
      <c r="ES94" s="402">
        <f>IF(AND(145&gt;=$NR$94,145&lt;=$NS$94),IF($NP$94="Single_Point",IF(145=$NR$94,$NN$94,0),IF($NP$94="Bell_Curve",$NN$94*(145-$NR$94+1)*($NS$94-145+1)/$NU$94,$NN$94/$NT$94)),0)</f>
        <v/>
      </c>
      <c r="ET94" s="402">
        <f>IF(AND(146&gt;=$NR$94,146&lt;=$NS$94),IF($NP$94="Single_Point",IF(146=$NR$94,$NN$94,0),IF($NP$94="Bell_Curve",$NN$94*(146-$NR$94+1)*($NS$94-146+1)/$NU$94,$NN$94/$NT$94)),0)</f>
        <v/>
      </c>
      <c r="EU94" s="402">
        <f>IF(AND(147&gt;=$NR$94,147&lt;=$NS$94),IF($NP$94="Single_Point",IF(147=$NR$94,$NN$94,0),IF($NP$94="Bell_Curve",$NN$94*(147-$NR$94+1)*($NS$94-147+1)/$NU$94,$NN$94/$NT$94)),0)</f>
        <v/>
      </c>
      <c r="EV94" s="402">
        <f>IF(AND(148&gt;=$NR$94,148&lt;=$NS$94),IF($NP$94="Single_Point",IF(148=$NR$94,$NN$94,0),IF($NP$94="Bell_Curve",$NN$94*(148-$NR$94+1)*($NS$94-148+1)/$NU$94,$NN$94/$NT$94)),0)</f>
        <v/>
      </c>
      <c r="EW94" s="402">
        <f>IF(AND(149&gt;=$NR$94,149&lt;=$NS$94),IF($NP$94="Single_Point",IF(149=$NR$94,$NN$94,0),IF($NP$94="Bell_Curve",$NN$94*(149-$NR$94+1)*($NS$94-149+1)/$NU$94,$NN$94/$NT$94)),0)</f>
        <v/>
      </c>
      <c r="EX94" s="402">
        <f>IF(AND(150&gt;=$NR$94,150&lt;=$NS$94),IF($NP$94="Single_Point",IF(150=$NR$94,$NN$94,0),IF($NP$94="Bell_Curve",$NN$94*(150-$NR$94+1)*($NS$94-150+1)/$NU$94,$NN$94/$NT$94)),0)</f>
        <v/>
      </c>
      <c r="EY94" s="402">
        <f>IF(AND(151&gt;=$NR$94,151&lt;=$NS$94),IF($NP$94="Single_Point",IF(151=$NR$94,$NN$94,0),IF($NP$94="Bell_Curve",$NN$94*(151-$NR$94+1)*($NS$94-151+1)/$NU$94,$NN$94/$NT$94)),0)</f>
        <v/>
      </c>
      <c r="EZ94" s="402">
        <f>IF(AND(152&gt;=$NR$94,152&lt;=$NS$94),IF($NP$94="Single_Point",IF(152=$NR$94,$NN$94,0),IF($NP$94="Bell_Curve",$NN$94*(152-$NR$94+1)*($NS$94-152+1)/$NU$94,$NN$94/$NT$94)),0)</f>
        <v/>
      </c>
      <c r="FA94" s="402">
        <f>IF(AND(153&gt;=$NR$94,153&lt;=$NS$94),IF($NP$94="Single_Point",IF(153=$NR$94,$NN$94,0),IF($NP$94="Bell_Curve",$NN$94*(153-$NR$94+1)*($NS$94-153+1)/$NU$94,$NN$94/$NT$94)),0)</f>
        <v/>
      </c>
      <c r="FB94" s="402">
        <f>IF(AND(154&gt;=$NR$94,154&lt;=$NS$94),IF($NP$94="Single_Point",IF(154=$NR$94,$NN$94,0),IF($NP$94="Bell_Curve",$NN$94*(154-$NR$94+1)*($NS$94-154+1)/$NU$94,$NN$94/$NT$94)),0)</f>
        <v/>
      </c>
      <c r="FC94" s="402">
        <f>IF(AND(155&gt;=$NR$94,155&lt;=$NS$94),IF($NP$94="Single_Point",IF(155=$NR$94,$NN$94,0),IF($NP$94="Bell_Curve",$NN$94*(155-$NR$94+1)*($NS$94-155+1)/$NU$94,$NN$94/$NT$94)),0)</f>
        <v/>
      </c>
      <c r="FD94" s="402">
        <f>IF(AND(156&gt;=$NR$94,156&lt;=$NS$94),IF($NP$94="Single_Point",IF(156=$NR$94,$NN$94,0),IF($NP$94="Bell_Curve",$NN$94*(156-$NR$94+1)*($NS$94-156+1)/$NU$94,$NN$94/$NT$94)),0)</f>
        <v/>
      </c>
      <c r="FE94" s="402">
        <f>IF(AND(157&gt;=$NR$94,157&lt;=$NS$94),IF($NP$94="Single_Point",IF(157=$NR$94,$NN$94,0),IF($NP$94="Bell_Curve",$NN$94*(157-$NR$94+1)*($NS$94-157+1)/$NU$94,$NN$94/$NT$94)),0)</f>
        <v/>
      </c>
      <c r="FF94" s="402">
        <f>IF(AND(158&gt;=$NR$94,158&lt;=$NS$94),IF($NP$94="Single_Point",IF(158=$NR$94,$NN$94,0),IF($NP$94="Bell_Curve",$NN$94*(158-$NR$94+1)*($NS$94-158+1)/$NU$94,$NN$94/$NT$94)),0)</f>
        <v/>
      </c>
      <c r="FG94" s="402">
        <f>IF(AND(159&gt;=$NR$94,159&lt;=$NS$94),IF($NP$94="Single_Point",IF(159=$NR$94,$NN$94,0),IF($NP$94="Bell_Curve",$NN$94*(159-$NR$94+1)*($NS$94-159+1)/$NU$94,$NN$94/$NT$94)),0)</f>
        <v/>
      </c>
      <c r="FH94" s="402">
        <f>IF(AND(160&gt;=$NR$94,160&lt;=$NS$94),IF($NP$94="Single_Point",IF(160=$NR$94,$NN$94,0),IF($NP$94="Bell_Curve",$NN$94*(160-$NR$94+1)*($NS$94-160+1)/$NU$94,$NN$94/$NT$94)),0)</f>
        <v/>
      </c>
      <c r="FI94" s="402">
        <f>IF(AND(161&gt;=$NR$94,161&lt;=$NS$94),IF($NP$94="Single_Point",IF(161=$NR$94,$NN$94,0),IF($NP$94="Bell_Curve",$NN$94*(161-$NR$94+1)*($NS$94-161+1)/$NU$94,$NN$94/$NT$94)),0)</f>
        <v/>
      </c>
      <c r="FJ94" s="402">
        <f>IF(AND(162&gt;=$NR$94,162&lt;=$NS$94),IF($NP$94="Single_Point",IF(162=$NR$94,$NN$94,0),IF($NP$94="Bell_Curve",$NN$94*(162-$NR$94+1)*($NS$94-162+1)/$NU$94,$NN$94/$NT$94)),0)</f>
        <v/>
      </c>
      <c r="FK94" s="402">
        <f>IF(AND(163&gt;=$NR$94,163&lt;=$NS$94),IF($NP$94="Single_Point",IF(163=$NR$94,$NN$94,0),IF($NP$94="Bell_Curve",$NN$94*(163-$NR$94+1)*($NS$94-163+1)/$NU$94,$NN$94/$NT$94)),0)</f>
        <v/>
      </c>
      <c r="FL94" s="402">
        <f>IF(AND(164&gt;=$NR$94,164&lt;=$NS$94),IF($NP$94="Single_Point",IF(164=$NR$94,$NN$94,0),IF($NP$94="Bell_Curve",$NN$94*(164-$NR$94+1)*($NS$94-164+1)/$NU$94,$NN$94/$NT$94)),0)</f>
        <v/>
      </c>
      <c r="FM94" s="402">
        <f>IF(AND(165&gt;=$NR$94,165&lt;=$NS$94),IF($NP$94="Single_Point",IF(165=$NR$94,$NN$94,0),IF($NP$94="Bell_Curve",$NN$94*(165-$NR$94+1)*($NS$94-165+1)/$NU$94,$NN$94/$NT$94)),0)</f>
        <v/>
      </c>
      <c r="FN94" s="402">
        <f>IF(AND(166&gt;=$NR$94,166&lt;=$NS$94),IF($NP$94="Single_Point",IF(166=$NR$94,$NN$94,0),IF($NP$94="Bell_Curve",$NN$94*(166-$NR$94+1)*($NS$94-166+1)/$NU$94,$NN$94/$NT$94)),0)</f>
        <v/>
      </c>
      <c r="FO94" s="402">
        <f>IF(AND(167&gt;=$NR$94,167&lt;=$NS$94),IF($NP$94="Single_Point",IF(167=$NR$94,$NN$94,0),IF($NP$94="Bell_Curve",$NN$94*(167-$NR$94+1)*($NS$94-167+1)/$NU$94,$NN$94/$NT$94)),0)</f>
        <v/>
      </c>
      <c r="FP94" s="402">
        <f>IF(AND(168&gt;=$NR$94,168&lt;=$NS$94),IF($NP$94="Single_Point",IF(168=$NR$94,$NN$94,0),IF($NP$94="Bell_Curve",$NN$94*(168-$NR$94+1)*($NS$94-168+1)/$NU$94,$NN$94/$NT$94)),0)</f>
        <v/>
      </c>
      <c r="FQ94" s="402">
        <f>IF(AND(169&gt;=$NR$94,169&lt;=$NS$94),IF($NP$94="Single_Point",IF(169=$NR$94,$NN$94,0),IF($NP$94="Bell_Curve",$NN$94*(169-$NR$94+1)*($NS$94-169+1)/$NU$94,$NN$94/$NT$94)),0)</f>
        <v/>
      </c>
      <c r="FR94" s="402">
        <f>IF(AND(170&gt;=$NR$94,170&lt;=$NS$94),IF($NP$94="Single_Point",IF(170=$NR$94,$NN$94,0),IF($NP$94="Bell_Curve",$NN$94*(170-$NR$94+1)*($NS$94-170+1)/$NU$94,$NN$94/$NT$94)),0)</f>
        <v/>
      </c>
      <c r="FS94" s="402">
        <f>IF(AND(171&gt;=$NR$94,171&lt;=$NS$94),IF($NP$94="Single_Point",IF(171=$NR$94,$NN$94,0),IF($NP$94="Bell_Curve",$NN$94*(171-$NR$94+1)*($NS$94-171+1)/$NU$94,$NN$94/$NT$94)),0)</f>
        <v/>
      </c>
      <c r="FT94" s="402">
        <f>IF(AND(172&gt;=$NR$94,172&lt;=$NS$94),IF($NP$94="Single_Point",IF(172=$NR$94,$NN$94,0),IF($NP$94="Bell_Curve",$NN$94*(172-$NR$94+1)*($NS$94-172+1)/$NU$94,$NN$94/$NT$94)),0)</f>
        <v/>
      </c>
      <c r="FU94" s="402">
        <f>IF(AND(173&gt;=$NR$94,173&lt;=$NS$94),IF($NP$94="Single_Point",IF(173=$NR$94,$NN$94,0),IF($NP$94="Bell_Curve",$NN$94*(173-$NR$94+1)*($NS$94-173+1)/$NU$94,$NN$94/$NT$94)),0)</f>
        <v/>
      </c>
      <c r="FV94" s="402">
        <f>IF(AND(174&gt;=$NR$94,174&lt;=$NS$94),IF($NP$94="Single_Point",IF(174=$NR$94,$NN$94,0),IF($NP$94="Bell_Curve",$NN$94*(174-$NR$94+1)*($NS$94-174+1)/$NU$94,$NN$94/$NT$94)),0)</f>
        <v/>
      </c>
      <c r="FW94" s="402">
        <f>IF(AND(175&gt;=$NR$94,175&lt;=$NS$94),IF($NP$94="Single_Point",IF(175=$NR$94,$NN$94,0),IF($NP$94="Bell_Curve",$NN$94*(175-$NR$94+1)*($NS$94-175+1)/$NU$94,$NN$94/$NT$94)),0)</f>
        <v/>
      </c>
      <c r="FX94" s="402">
        <f>IF(AND(176&gt;=$NR$94,176&lt;=$NS$94),IF($NP$94="Single_Point",IF(176=$NR$94,$NN$94,0),IF($NP$94="Bell_Curve",$NN$94*(176-$NR$94+1)*($NS$94-176+1)/$NU$94,$NN$94/$NT$94)),0)</f>
        <v/>
      </c>
      <c r="FY94" s="402">
        <f>IF(AND(177&gt;=$NR$94,177&lt;=$NS$94),IF($NP$94="Single_Point",IF(177=$NR$94,$NN$94,0),IF($NP$94="Bell_Curve",$NN$94*(177-$NR$94+1)*($NS$94-177+1)/$NU$94,$NN$94/$NT$94)),0)</f>
        <v/>
      </c>
      <c r="FZ94" s="402">
        <f>IF(AND(178&gt;=$NR$94,178&lt;=$NS$94),IF($NP$94="Single_Point",IF(178=$NR$94,$NN$94,0),IF($NP$94="Bell_Curve",$NN$94*(178-$NR$94+1)*($NS$94-178+1)/$NU$94,$NN$94/$NT$94)),0)</f>
        <v/>
      </c>
      <c r="GA94" s="402">
        <f>IF(AND(179&gt;=$NR$94,179&lt;=$NS$94),IF($NP$94="Single_Point",IF(179=$NR$94,$NN$94,0),IF($NP$94="Bell_Curve",$NN$94*(179-$NR$94+1)*($NS$94-179+1)/$NU$94,$NN$94/$NT$94)),0)</f>
        <v/>
      </c>
      <c r="GB94" s="402">
        <f>IF(AND(180&gt;=$NR$94,180&lt;=$NS$94),IF($NP$94="Single_Point",IF(180=$NR$94,$NN$94,0),IF($NP$94="Bell_Curve",$NN$94*(180-$NR$94+1)*($NS$94-180+1)/$NU$94,$NN$94/$NT$94)),0)</f>
        <v/>
      </c>
      <c r="GC94" s="402">
        <f>IF(AND(181&gt;=$NR$94,181&lt;=$NS$94),IF($NP$94="Single_Point",IF(181=$NR$94,$NN$94,0),IF($NP$94="Bell_Curve",$NN$94*(181-$NR$94+1)*($NS$94-181+1)/$NU$94,$NN$94/$NT$94)),0)</f>
        <v/>
      </c>
      <c r="GD94" s="402">
        <f>IF(AND(182&gt;=$NR$94,182&lt;=$NS$94),IF($NP$94="Single_Point",IF(182=$NR$94,$NN$94,0),IF($NP$94="Bell_Curve",$NN$94*(182-$NR$94+1)*($NS$94-182+1)/$NU$94,$NN$94/$NT$94)),0)</f>
        <v/>
      </c>
      <c r="GE94" s="402">
        <f>IF(AND(183&gt;=$NR$94,183&lt;=$NS$94),IF($NP$94="Single_Point",IF(183=$NR$94,$NN$94,0),IF($NP$94="Bell_Curve",$NN$94*(183-$NR$94+1)*($NS$94-183+1)/$NU$94,$NN$94/$NT$94)),0)</f>
        <v/>
      </c>
      <c r="GF94" s="402">
        <f>IF(AND(184&gt;=$NR$94,184&lt;=$NS$94),IF($NP$94="Single_Point",IF(184=$NR$94,$NN$94,0),IF($NP$94="Bell_Curve",$NN$94*(184-$NR$94+1)*($NS$94-184+1)/$NU$94,$NN$94/$NT$94)),0)</f>
        <v/>
      </c>
      <c r="GG94" s="402">
        <f>IF(AND(185&gt;=$NR$94,185&lt;=$NS$94),IF($NP$94="Single_Point",IF(185=$NR$94,$NN$94,0),IF($NP$94="Bell_Curve",$NN$94*(185-$NR$94+1)*($NS$94-185+1)/$NU$94,$NN$94/$NT$94)),0)</f>
        <v/>
      </c>
      <c r="GH94" s="402">
        <f>IF(AND(186&gt;=$NR$94,186&lt;=$NS$94),IF($NP$94="Single_Point",IF(186=$NR$94,$NN$94,0),IF($NP$94="Bell_Curve",$NN$94*(186-$NR$94+1)*($NS$94-186+1)/$NU$94,$NN$94/$NT$94)),0)</f>
        <v/>
      </c>
      <c r="GI94" s="402">
        <f>IF(AND(187&gt;=$NR$94,187&lt;=$NS$94),IF($NP$94="Single_Point",IF(187=$NR$94,$NN$94,0),IF($NP$94="Bell_Curve",$NN$94*(187-$NR$94+1)*($NS$94-187+1)/$NU$94,$NN$94/$NT$94)),0)</f>
        <v/>
      </c>
      <c r="GJ94" s="402">
        <f>IF(AND(188&gt;=$NR$94,188&lt;=$NS$94),IF($NP$94="Single_Point",IF(188=$NR$94,$NN$94,0),IF($NP$94="Bell_Curve",$NN$94*(188-$NR$94+1)*($NS$94-188+1)/$NU$94,$NN$94/$NT$94)),0)</f>
        <v/>
      </c>
      <c r="GK94" s="402">
        <f>IF(AND(189&gt;=$NR$94,189&lt;=$NS$94),IF($NP$94="Single_Point",IF(189=$NR$94,$NN$94,0),IF($NP$94="Bell_Curve",$NN$94*(189-$NR$94+1)*($NS$94-189+1)/$NU$94,$NN$94/$NT$94)),0)</f>
        <v/>
      </c>
      <c r="GL94" s="402">
        <f>IF(AND(190&gt;=$NR$94,190&lt;=$NS$94),IF($NP$94="Single_Point",IF(190=$NR$94,$NN$94,0),IF($NP$94="Bell_Curve",$NN$94*(190-$NR$94+1)*($NS$94-190+1)/$NU$94,$NN$94/$NT$94)),0)</f>
        <v/>
      </c>
      <c r="GM94" s="402">
        <f>IF(AND(191&gt;=$NR$94,191&lt;=$NS$94),IF($NP$94="Single_Point",IF(191=$NR$94,$NN$94,0),IF($NP$94="Bell_Curve",$NN$94*(191-$NR$94+1)*($NS$94-191+1)/$NU$94,$NN$94/$NT$94)),0)</f>
        <v/>
      </c>
      <c r="GN94" s="402">
        <f>IF(AND(192&gt;=$NR$94,192&lt;=$NS$94),IF($NP$94="Single_Point",IF(192=$NR$94,$NN$94,0),IF($NP$94="Bell_Curve",$NN$94*(192-$NR$94+1)*($NS$94-192+1)/$NU$94,$NN$94/$NT$94)),0)</f>
        <v/>
      </c>
      <c r="GO94" s="402">
        <f>IF(AND(193&gt;=$NR$94,193&lt;=$NS$94),IF($NP$94="Single_Point",IF(193=$NR$94,$NN$94,0),IF($NP$94="Bell_Curve",$NN$94*(193-$NR$94+1)*($NS$94-193+1)/$NU$94,$NN$94/$NT$94)),0)</f>
        <v/>
      </c>
      <c r="GP94" s="402">
        <f>IF(AND(194&gt;=$NR$94,194&lt;=$NS$94),IF($NP$94="Single_Point",IF(194=$NR$94,$NN$94,0),IF($NP$94="Bell_Curve",$NN$94*(194-$NR$94+1)*($NS$94-194+1)/$NU$94,$NN$94/$NT$94)),0)</f>
        <v/>
      </c>
      <c r="GQ94" s="402">
        <f>IF(AND(195&gt;=$NR$94,195&lt;=$NS$94),IF($NP$94="Single_Point",IF(195=$NR$94,$NN$94,0),IF($NP$94="Bell_Curve",$NN$94*(195-$NR$94+1)*($NS$94-195+1)/$NU$94,$NN$94/$NT$94)),0)</f>
        <v/>
      </c>
      <c r="GR94" s="402">
        <f>IF(AND(196&gt;=$NR$94,196&lt;=$NS$94),IF($NP$94="Single_Point",IF(196=$NR$94,$NN$94,0),IF($NP$94="Bell_Curve",$NN$94*(196-$NR$94+1)*($NS$94-196+1)/$NU$94,$NN$94/$NT$94)),0)</f>
        <v/>
      </c>
      <c r="GS94" s="402">
        <f>IF(AND(197&gt;=$NR$94,197&lt;=$NS$94),IF($NP$94="Single_Point",IF(197=$NR$94,$NN$94,0),IF($NP$94="Bell_Curve",$NN$94*(197-$NR$94+1)*($NS$94-197+1)/$NU$94,$NN$94/$NT$94)),0)</f>
        <v/>
      </c>
      <c r="GT94" s="402">
        <f>IF(AND(198&gt;=$NR$94,198&lt;=$NS$94),IF($NP$94="Single_Point",IF(198=$NR$94,$NN$94,0),IF($NP$94="Bell_Curve",$NN$94*(198-$NR$94+1)*($NS$94-198+1)/$NU$94,$NN$94/$NT$94)),0)</f>
        <v/>
      </c>
      <c r="GU94" s="402">
        <f>IF(AND(199&gt;=$NR$94,199&lt;=$NS$94),IF($NP$94="Single_Point",IF(199=$NR$94,$NN$94,0),IF($NP$94="Bell_Curve",$NN$94*(199-$NR$94+1)*($NS$94-199+1)/$NU$94,$NN$94/$NT$94)),0)</f>
        <v/>
      </c>
      <c r="GV94" s="402">
        <f>IF(AND(200&gt;=$NR$94,200&lt;=$NS$94),IF($NP$94="Single_Point",IF(200=$NR$94,$NN$94,0),IF($NP$94="Bell_Curve",$NN$94*(200-$NR$94+1)*($NS$94-200+1)/$NU$94,$NN$94/$NT$94)),0)</f>
        <v/>
      </c>
      <c r="GW94" s="402">
        <f>IF(AND(201&gt;=$NR$94,201&lt;=$NS$94),IF($NP$94="Single_Point",IF(201=$NR$94,$NN$94,0),IF($NP$94="Bell_Curve",$NN$94*(201-$NR$94+1)*($NS$94-201+1)/$NU$94,$NN$94/$NT$94)),0)</f>
        <v/>
      </c>
      <c r="GX94" s="402">
        <f>IF(AND(202&gt;=$NR$94,202&lt;=$NS$94),IF($NP$94="Single_Point",IF(202=$NR$94,$NN$94,0),IF($NP$94="Bell_Curve",$NN$94*(202-$NR$94+1)*($NS$94-202+1)/$NU$94,$NN$94/$NT$94)),0)</f>
        <v/>
      </c>
      <c r="GY94" s="402">
        <f>IF(AND(203&gt;=$NR$94,203&lt;=$NS$94),IF($NP$94="Single_Point",IF(203=$NR$94,$NN$94,0),IF($NP$94="Bell_Curve",$NN$94*(203-$NR$94+1)*($NS$94-203+1)/$NU$94,$NN$94/$NT$94)),0)</f>
        <v/>
      </c>
      <c r="GZ94" s="402">
        <f>IF(AND(204&gt;=$NR$94,204&lt;=$NS$94),IF($NP$94="Single_Point",IF(204=$NR$94,$NN$94,0),IF($NP$94="Bell_Curve",$NN$94*(204-$NR$94+1)*($NS$94-204+1)/$NU$94,$NN$94/$NT$94)),0)</f>
        <v/>
      </c>
      <c r="HA94" s="402">
        <f>IF(AND(205&gt;=$NR$94,205&lt;=$NS$94),IF($NP$94="Single_Point",IF(205=$NR$94,$NN$94,0),IF($NP$94="Bell_Curve",$NN$94*(205-$NR$94+1)*($NS$94-205+1)/$NU$94,$NN$94/$NT$94)),0)</f>
        <v/>
      </c>
      <c r="HB94" s="402">
        <f>IF(AND(206&gt;=$NR$94,206&lt;=$NS$94),IF($NP$94="Single_Point",IF(206=$NR$94,$NN$94,0),IF($NP$94="Bell_Curve",$NN$94*(206-$NR$94+1)*($NS$94-206+1)/$NU$94,$NN$94/$NT$94)),0)</f>
        <v/>
      </c>
      <c r="HC94" s="402">
        <f>IF(AND(207&gt;=$NR$94,207&lt;=$NS$94),IF($NP$94="Single_Point",IF(207=$NR$94,$NN$94,0),IF($NP$94="Bell_Curve",$NN$94*(207-$NR$94+1)*($NS$94-207+1)/$NU$94,$NN$94/$NT$94)),0)</f>
        <v/>
      </c>
      <c r="HD94" s="402">
        <f>IF(AND(208&gt;=$NR$94,208&lt;=$NS$94),IF($NP$94="Single_Point",IF(208=$NR$94,$NN$94,0),IF($NP$94="Bell_Curve",$NN$94*(208-$NR$94+1)*($NS$94-208+1)/$NU$94,$NN$94/$NT$94)),0)</f>
        <v/>
      </c>
      <c r="HE94" s="402">
        <f>IF(AND(209&gt;=$NR$94,209&lt;=$NS$94),IF($NP$94="Single_Point",IF(209=$NR$94,$NN$94,0),IF($NP$94="Bell_Curve",$NN$94*(209-$NR$94+1)*($NS$94-209+1)/$NU$94,$NN$94/$NT$94)),0)</f>
        <v/>
      </c>
      <c r="HF94" s="402">
        <f>IF(AND(210&gt;=$NR$94,210&lt;=$NS$94),IF($NP$94="Single_Point",IF(210=$NR$94,$NN$94,0),IF($NP$94="Bell_Curve",$NN$94*(210-$NR$94+1)*($NS$94-210+1)/$NU$94,$NN$94/$NT$94)),0)</f>
        <v/>
      </c>
      <c r="HG94" s="402">
        <f>IF(AND(211&gt;=$NR$94,211&lt;=$NS$94),IF($NP$94="Single_Point",IF(211=$NR$94,$NN$94,0),IF($NP$94="Bell_Curve",$NN$94*(211-$NR$94+1)*($NS$94-211+1)/$NU$94,$NN$94/$NT$94)),0)</f>
        <v/>
      </c>
      <c r="HH94" s="402">
        <f>IF(AND(212&gt;=$NR$94,212&lt;=$NS$94),IF($NP$94="Single_Point",IF(212=$NR$94,$NN$94,0),IF($NP$94="Bell_Curve",$NN$94*(212-$NR$94+1)*($NS$94-212+1)/$NU$94,$NN$94/$NT$94)),0)</f>
        <v/>
      </c>
      <c r="HI94" s="402">
        <f>IF(AND(213&gt;=$NR$94,213&lt;=$NS$94),IF($NP$94="Single_Point",IF(213=$NR$94,$NN$94,0),IF($NP$94="Bell_Curve",$NN$94*(213-$NR$94+1)*($NS$94-213+1)/$NU$94,$NN$94/$NT$94)),0)</f>
        <v/>
      </c>
      <c r="HJ94" s="402">
        <f>IF(AND(214&gt;=$NR$94,214&lt;=$NS$94),IF($NP$94="Single_Point",IF(214=$NR$94,$NN$94,0),IF($NP$94="Bell_Curve",$NN$94*(214-$NR$94+1)*($NS$94-214+1)/$NU$94,$NN$94/$NT$94)),0)</f>
        <v/>
      </c>
      <c r="HK94" s="402">
        <f>IF(AND(215&gt;=$NR$94,215&lt;=$NS$94),IF($NP$94="Single_Point",IF(215=$NR$94,$NN$94,0),IF($NP$94="Bell_Curve",$NN$94*(215-$NR$94+1)*($NS$94-215+1)/$NU$94,$NN$94/$NT$94)),0)</f>
        <v/>
      </c>
      <c r="HL94" s="402">
        <f>IF(AND(216&gt;=$NR$94,216&lt;=$NS$94),IF($NP$94="Single_Point",IF(216=$NR$94,$NN$94,0),IF($NP$94="Bell_Curve",$NN$94*(216-$NR$94+1)*($NS$94-216+1)/$NU$94,$NN$94/$NT$94)),0)</f>
        <v/>
      </c>
      <c r="HM94" s="402">
        <f>IF(AND(217&gt;=$NR$94,217&lt;=$NS$94),IF($NP$94="Single_Point",IF(217=$NR$94,$NN$94,0),IF($NP$94="Bell_Curve",$NN$94*(217-$NR$94+1)*($NS$94-217+1)/$NU$94,$NN$94/$NT$94)),0)</f>
        <v/>
      </c>
      <c r="HN94" s="402">
        <f>IF(AND(218&gt;=$NR$94,218&lt;=$NS$94),IF($NP$94="Single_Point",IF(218=$NR$94,$NN$94,0),IF($NP$94="Bell_Curve",$NN$94*(218-$NR$94+1)*($NS$94-218+1)/$NU$94,$NN$94/$NT$94)),0)</f>
        <v/>
      </c>
      <c r="HO94" s="402">
        <f>IF(AND(219&gt;=$NR$94,219&lt;=$NS$94),IF($NP$94="Single_Point",IF(219=$NR$94,$NN$94,0),IF($NP$94="Bell_Curve",$NN$94*(219-$NR$94+1)*($NS$94-219+1)/$NU$94,$NN$94/$NT$94)),0)</f>
        <v/>
      </c>
      <c r="HP94" s="402">
        <f>IF(AND(220&gt;=$NR$94,220&lt;=$NS$94),IF($NP$94="Single_Point",IF(220=$NR$94,$NN$94,0),IF($NP$94="Bell_Curve",$NN$94*(220-$NR$94+1)*($NS$94-220+1)/$NU$94,$NN$94/$NT$94)),0)</f>
        <v/>
      </c>
      <c r="HQ94" s="402">
        <f>IF(AND(221&gt;=$NR$94,221&lt;=$NS$94),IF($NP$94="Single_Point",IF(221=$NR$94,$NN$94,0),IF($NP$94="Bell_Curve",$NN$94*(221-$NR$94+1)*($NS$94-221+1)/$NU$94,$NN$94/$NT$94)),0)</f>
        <v/>
      </c>
      <c r="HR94" s="402">
        <f>IF(AND(222&gt;=$NR$94,222&lt;=$NS$94),IF($NP$94="Single_Point",IF(222=$NR$94,$NN$94,0),IF($NP$94="Bell_Curve",$NN$94*(222-$NR$94+1)*($NS$94-222+1)/$NU$94,$NN$94/$NT$94)),0)</f>
        <v/>
      </c>
      <c r="HS94" s="402">
        <f>IF(AND(223&gt;=$NR$94,223&lt;=$NS$94),IF($NP$94="Single_Point",IF(223=$NR$94,$NN$94,0),IF($NP$94="Bell_Curve",$NN$94*(223-$NR$94+1)*($NS$94-223+1)/$NU$94,$NN$94/$NT$94)),0)</f>
        <v/>
      </c>
      <c r="HT94" s="402">
        <f>IF(AND(224&gt;=$NR$94,224&lt;=$NS$94),IF($NP$94="Single_Point",IF(224=$NR$94,$NN$94,0),IF($NP$94="Bell_Curve",$NN$94*(224-$NR$94+1)*($NS$94-224+1)/$NU$94,$NN$94/$NT$94)),0)</f>
        <v/>
      </c>
      <c r="HU94" s="402">
        <f>IF(AND(225&gt;=$NR$94,225&lt;=$NS$94),IF($NP$94="Single_Point",IF(225=$NR$94,$NN$94,0),IF($NP$94="Bell_Curve",$NN$94*(225-$NR$94+1)*($NS$94-225+1)/$NU$94,$NN$94/$NT$94)),0)</f>
        <v/>
      </c>
      <c r="HV94" s="402">
        <f>IF(AND(226&gt;=$NR$94,226&lt;=$NS$94),IF($NP$94="Single_Point",IF(226=$NR$94,$NN$94,0),IF($NP$94="Bell_Curve",$NN$94*(226-$NR$94+1)*($NS$94-226+1)/$NU$94,$NN$94/$NT$94)),0)</f>
        <v/>
      </c>
      <c r="HW94" s="402">
        <f>IF(AND(227&gt;=$NR$94,227&lt;=$NS$94),IF($NP$94="Single_Point",IF(227=$NR$94,$NN$94,0),IF($NP$94="Bell_Curve",$NN$94*(227-$NR$94+1)*($NS$94-227+1)/$NU$94,$NN$94/$NT$94)),0)</f>
        <v/>
      </c>
      <c r="HX94" s="402">
        <f>IF(AND(228&gt;=$NR$94,228&lt;=$NS$94),IF($NP$94="Single_Point",IF(228=$NR$94,$NN$94,0),IF($NP$94="Bell_Curve",$NN$94*(228-$NR$94+1)*($NS$94-228+1)/$NU$94,$NN$94/$NT$94)),0)</f>
        <v/>
      </c>
      <c r="HY94" s="402">
        <f>IF(AND(229&gt;=$NR$94,229&lt;=$NS$94),IF($NP$94="Single_Point",IF(229=$NR$94,$NN$94,0),IF($NP$94="Bell_Curve",$NN$94*(229-$NR$94+1)*($NS$94-229+1)/$NU$94,$NN$94/$NT$94)),0)</f>
        <v/>
      </c>
      <c r="HZ94" s="402">
        <f>IF(AND(230&gt;=$NR$94,230&lt;=$NS$94),IF($NP$94="Single_Point",IF(230=$NR$94,$NN$94,0),IF($NP$94="Bell_Curve",$NN$94*(230-$NR$94+1)*($NS$94-230+1)/$NU$94,$NN$94/$NT$94)),0)</f>
        <v/>
      </c>
      <c r="IA94" s="402">
        <f>IF(AND(231&gt;=$NR$94,231&lt;=$NS$94),IF($NP$94="Single_Point",IF(231=$NR$94,$NN$94,0),IF($NP$94="Bell_Curve",$NN$94*(231-$NR$94+1)*($NS$94-231+1)/$NU$94,$NN$94/$NT$94)),0)</f>
        <v/>
      </c>
      <c r="IB94" s="402">
        <f>IF(AND(232&gt;=$NR$94,232&lt;=$NS$94),IF($NP$94="Single_Point",IF(232=$NR$94,$NN$94,0),IF($NP$94="Bell_Curve",$NN$94*(232-$NR$94+1)*($NS$94-232+1)/$NU$94,$NN$94/$NT$94)),0)</f>
        <v/>
      </c>
      <c r="IC94" s="402">
        <f>IF(AND(233&gt;=$NR$94,233&lt;=$NS$94),IF($NP$94="Single_Point",IF(233=$NR$94,$NN$94,0),IF($NP$94="Bell_Curve",$NN$94*(233-$NR$94+1)*($NS$94-233+1)/$NU$94,$NN$94/$NT$94)),0)</f>
        <v/>
      </c>
      <c r="ID94" s="402">
        <f>IF(AND(234&gt;=$NR$94,234&lt;=$NS$94),IF($NP$94="Single_Point",IF(234=$NR$94,$NN$94,0),IF($NP$94="Bell_Curve",$NN$94*(234-$NR$94+1)*($NS$94-234+1)/$NU$94,$NN$94/$NT$94)),0)</f>
        <v/>
      </c>
      <c r="IE94" s="402">
        <f>IF(AND(235&gt;=$NR$94,235&lt;=$NS$94),IF($NP$94="Single_Point",IF(235=$NR$94,$NN$94,0),IF($NP$94="Bell_Curve",$NN$94*(235-$NR$94+1)*($NS$94-235+1)/$NU$94,$NN$94/$NT$94)),0)</f>
        <v/>
      </c>
      <c r="IF94" s="402">
        <f>IF(AND(236&gt;=$NR$94,236&lt;=$NS$94),IF($NP$94="Single_Point",IF(236=$NR$94,$NN$94,0),IF($NP$94="Bell_Curve",$NN$94*(236-$NR$94+1)*($NS$94-236+1)/$NU$94,$NN$94/$NT$94)),0)</f>
        <v/>
      </c>
      <c r="IG94" s="402">
        <f>IF(AND(237&gt;=$NR$94,237&lt;=$NS$94),IF($NP$94="Single_Point",IF(237=$NR$94,$NN$94,0),IF($NP$94="Bell_Curve",$NN$94*(237-$NR$94+1)*($NS$94-237+1)/$NU$94,$NN$94/$NT$94)),0)</f>
        <v/>
      </c>
      <c r="IH94" s="402">
        <f>IF(AND(238&gt;=$NR$94,238&lt;=$NS$94),IF($NP$94="Single_Point",IF(238=$NR$94,$NN$94,0),IF($NP$94="Bell_Curve",$NN$94*(238-$NR$94+1)*($NS$94-238+1)/$NU$94,$NN$94/$NT$94)),0)</f>
        <v/>
      </c>
      <c r="II94" s="402">
        <f>IF(AND(239&gt;=$NR$94,239&lt;=$NS$94),IF($NP$94="Single_Point",IF(239=$NR$94,$NN$94,0),IF($NP$94="Bell_Curve",$NN$94*(239-$NR$94+1)*($NS$94-239+1)/$NU$94,$NN$94/$NT$94)),0)</f>
        <v/>
      </c>
      <c r="IJ94" s="402">
        <f>IF(AND(240&gt;=$NR$94,240&lt;=$NS$94),IF($NP$94="Single_Point",IF(240=$NR$94,$NN$94,0),IF($NP$94="Bell_Curve",$NN$94*(240-$NR$94+1)*($NS$94-240+1)/$NU$94,$NN$94/$NT$94)),0)</f>
        <v/>
      </c>
      <c r="IK94" s="402">
        <f>IF(AND(241&gt;=$NR$94,241&lt;=$NS$94),IF($NP$94="Single_Point",IF(241=$NR$94,$NN$94,0),IF($NP$94="Bell_Curve",$NN$94*(241-$NR$94+1)*($NS$94-241+1)/$NU$94,$NN$94/$NT$94)),0)</f>
        <v/>
      </c>
      <c r="IL94" s="402">
        <f>IF(AND(242&gt;=$NR$94,242&lt;=$NS$94),IF($NP$94="Single_Point",IF(242=$NR$94,$NN$94,0),IF($NP$94="Bell_Curve",$NN$94*(242-$NR$94+1)*($NS$94-242+1)/$NU$94,$NN$94/$NT$94)),0)</f>
        <v/>
      </c>
      <c r="IM94" s="402">
        <f>IF(AND(243&gt;=$NR$94,243&lt;=$NS$94),IF($NP$94="Single_Point",IF(243=$NR$94,$NN$94,0),IF($NP$94="Bell_Curve",$NN$94*(243-$NR$94+1)*($NS$94-243+1)/$NU$94,$NN$94/$NT$94)),0)</f>
        <v/>
      </c>
      <c r="IN94" s="402">
        <f>IF(AND(244&gt;=$NR$94,244&lt;=$NS$94),IF($NP$94="Single_Point",IF(244=$NR$94,$NN$94,0),IF($NP$94="Bell_Curve",$NN$94*(244-$NR$94+1)*($NS$94-244+1)/$NU$94,$NN$94/$NT$94)),0)</f>
        <v/>
      </c>
      <c r="IO94" s="402">
        <f>IF(AND(245&gt;=$NR$94,245&lt;=$NS$94),IF($NP$94="Single_Point",IF(245=$NR$94,$NN$94,0),IF($NP$94="Bell_Curve",$NN$94*(245-$NR$94+1)*($NS$94-245+1)/$NU$94,$NN$94/$NT$94)),0)</f>
        <v/>
      </c>
      <c r="IP94" s="402">
        <f>IF(AND(246&gt;=$NR$94,246&lt;=$NS$94),IF($NP$94="Single_Point",IF(246=$NR$94,$NN$94,0),IF($NP$94="Bell_Curve",$NN$94*(246-$NR$94+1)*($NS$94-246+1)/$NU$94,$NN$94/$NT$94)),0)</f>
        <v/>
      </c>
      <c r="IQ94" s="402">
        <f>IF(AND(247&gt;=$NR$94,247&lt;=$NS$94),IF($NP$94="Single_Point",IF(247=$NR$94,$NN$94,0),IF($NP$94="Bell_Curve",$NN$94*(247-$NR$94+1)*($NS$94-247+1)/$NU$94,$NN$94/$NT$94)),0)</f>
        <v/>
      </c>
      <c r="IR94" s="402">
        <f>IF(AND(248&gt;=$NR$94,248&lt;=$NS$94),IF($NP$94="Single_Point",IF(248=$NR$94,$NN$94,0),IF($NP$94="Bell_Curve",$NN$94*(248-$NR$94+1)*($NS$94-248+1)/$NU$94,$NN$94/$NT$94)),0)</f>
        <v/>
      </c>
      <c r="IS94" s="402">
        <f>IF(AND(249&gt;=$NR$94,249&lt;=$NS$94),IF($NP$94="Single_Point",IF(249=$NR$94,$NN$94,0),IF($NP$94="Bell_Curve",$NN$94*(249-$NR$94+1)*($NS$94-249+1)/$NU$94,$NN$94/$NT$94)),0)</f>
        <v/>
      </c>
      <c r="IT94" s="402">
        <f>IF(AND(250&gt;=$NR$94,250&lt;=$NS$94),IF($NP$94="Single_Point",IF(250=$NR$94,$NN$94,0),IF($NP$94="Bell_Curve",$NN$94*(250-$NR$94+1)*($NS$94-250+1)/$NU$94,$NN$94/$NT$94)),0)</f>
        <v/>
      </c>
      <c r="IU94" s="402">
        <f>IF(AND(251&gt;=$NR$94,251&lt;=$NS$94),IF($NP$94="Single_Point",IF(251=$NR$94,$NN$94,0),IF($NP$94="Bell_Curve",$NN$94*(251-$NR$94+1)*($NS$94-251+1)/$NU$94,$NN$94/$NT$94)),0)</f>
        <v/>
      </c>
      <c r="IV94" s="402">
        <f>IF(AND(252&gt;=$NR$94,252&lt;=$NS$94),IF($NP$94="Single_Point",IF(252=$NR$94,$NN$94,0),IF($NP$94="Bell_Curve",$NN$94*(252-$NR$94+1)*($NS$94-252+1)/$NU$94,$NN$94/$NT$94)),0)</f>
        <v/>
      </c>
      <c r="IW94" s="402">
        <f>IF(AND(253&gt;=$NR$94,253&lt;=$NS$94),IF($NP$94="Single_Point",IF(253=$NR$94,$NN$94,0),IF($NP$94="Bell_Curve",$NN$94*(253-$NR$94+1)*($NS$94-253+1)/$NU$94,$NN$94/$NT$94)),0)</f>
        <v/>
      </c>
      <c r="IX94" s="402">
        <f>IF(AND(254&gt;=$NR$94,254&lt;=$NS$94),IF($NP$94="Single_Point",IF(254=$NR$94,$NN$94,0),IF($NP$94="Bell_Curve",$NN$94*(254-$NR$94+1)*($NS$94-254+1)/$NU$94,$NN$94/$NT$94)),0)</f>
        <v/>
      </c>
      <c r="IY94" s="402">
        <f>IF(AND(255&gt;=$NR$94,255&lt;=$NS$94),IF($NP$94="Single_Point",IF(255=$NR$94,$NN$94,0),IF($NP$94="Bell_Curve",$NN$94*(255-$NR$94+1)*($NS$94-255+1)/$NU$94,$NN$94/$NT$94)),0)</f>
        <v/>
      </c>
      <c r="IZ94" s="402">
        <f>IF(AND(256&gt;=$NR$94,256&lt;=$NS$94),IF($NP$94="Single_Point",IF(256=$NR$94,$NN$94,0),IF($NP$94="Bell_Curve",$NN$94*(256-$NR$94+1)*($NS$94-256+1)/$NU$94,$NN$94/$NT$94)),0)</f>
        <v/>
      </c>
      <c r="JA94" s="402">
        <f>IF(AND(257&gt;=$NR$94,257&lt;=$NS$94),IF($NP$94="Single_Point",IF(257=$NR$94,$NN$94,0),IF($NP$94="Bell_Curve",$NN$94*(257-$NR$94+1)*($NS$94-257+1)/$NU$94,$NN$94/$NT$94)),0)</f>
        <v/>
      </c>
      <c r="JB94" s="402">
        <f>IF(AND(258&gt;=$NR$94,258&lt;=$NS$94),IF($NP$94="Single_Point",IF(258=$NR$94,$NN$94,0),IF($NP$94="Bell_Curve",$NN$94*(258-$NR$94+1)*($NS$94-258+1)/$NU$94,$NN$94/$NT$94)),0)</f>
        <v/>
      </c>
      <c r="JC94" s="402">
        <f>IF(AND(259&gt;=$NR$94,259&lt;=$NS$94),IF($NP$94="Single_Point",IF(259=$NR$94,$NN$94,0),IF($NP$94="Bell_Curve",$NN$94*(259-$NR$94+1)*($NS$94-259+1)/$NU$94,$NN$94/$NT$94)),0)</f>
        <v/>
      </c>
      <c r="JD94" s="402">
        <f>IF(AND(260&gt;=$NR$94,260&lt;=$NS$94),IF($NP$94="Single_Point",IF(260=$NR$94,$NN$94,0),IF($NP$94="Bell_Curve",$NN$94*(260-$NR$94+1)*($NS$94-260+1)/$NU$94,$NN$94/$NT$94)),0)</f>
        <v/>
      </c>
      <c r="JE94" s="402">
        <f>IF(AND(261&gt;=$NR$94,261&lt;=$NS$94),IF($NP$94="Single_Point",IF(261=$NR$94,$NN$94,0),IF($NP$94="Bell_Curve",$NN$94*(261-$NR$94+1)*($NS$94-261+1)/$NU$94,$NN$94/$NT$94)),0)</f>
        <v/>
      </c>
      <c r="JF94" s="402">
        <f>IF(AND(262&gt;=$NR$94,262&lt;=$NS$94),IF($NP$94="Single_Point",IF(262=$NR$94,$NN$94,0),IF($NP$94="Bell_Curve",$NN$94*(262-$NR$94+1)*($NS$94-262+1)/$NU$94,$NN$94/$NT$94)),0)</f>
        <v/>
      </c>
      <c r="JG94" s="402">
        <f>IF(AND(263&gt;=$NR$94,263&lt;=$NS$94),IF($NP$94="Single_Point",IF(263=$NR$94,$NN$94,0),IF($NP$94="Bell_Curve",$NN$94*(263-$NR$94+1)*($NS$94-263+1)/$NU$94,$NN$94/$NT$94)),0)</f>
        <v/>
      </c>
      <c r="JH94" s="402">
        <f>IF(AND(264&gt;=$NR$94,264&lt;=$NS$94),IF($NP$94="Single_Point",IF(264=$NR$94,$NN$94,0),IF($NP$94="Bell_Curve",$NN$94*(264-$NR$94+1)*($NS$94-264+1)/$NU$94,$NN$94/$NT$94)),0)</f>
        <v/>
      </c>
      <c r="JI94" s="402">
        <f>IF(AND(265&gt;=$NR$94,265&lt;=$NS$94),IF($NP$94="Single_Point",IF(265=$NR$94,$NN$94,0),IF($NP$94="Bell_Curve",$NN$94*(265-$NR$94+1)*($NS$94-265+1)/$NU$94,$NN$94/$NT$94)),0)</f>
        <v/>
      </c>
      <c r="JJ94" s="402">
        <f>IF(AND(266&gt;=$NR$94,266&lt;=$NS$94),IF($NP$94="Single_Point",IF(266=$NR$94,$NN$94,0),IF($NP$94="Bell_Curve",$NN$94*(266-$NR$94+1)*($NS$94-266+1)/$NU$94,$NN$94/$NT$94)),0)</f>
        <v/>
      </c>
      <c r="JK94" s="402">
        <f>IF(AND(267&gt;=$NR$94,267&lt;=$NS$94),IF($NP$94="Single_Point",IF(267=$NR$94,$NN$94,0),IF($NP$94="Bell_Curve",$NN$94*(267-$NR$94+1)*($NS$94-267+1)/$NU$94,$NN$94/$NT$94)),0)</f>
        <v/>
      </c>
      <c r="JL94" s="402">
        <f>IF(AND(268&gt;=$NR$94,268&lt;=$NS$94),IF($NP$94="Single_Point",IF(268=$NR$94,$NN$94,0),IF($NP$94="Bell_Curve",$NN$94*(268-$NR$94+1)*($NS$94-268+1)/$NU$94,$NN$94/$NT$94)),0)</f>
        <v/>
      </c>
      <c r="JM94" s="402">
        <f>IF(AND(269&gt;=$NR$94,269&lt;=$NS$94),IF($NP$94="Single_Point",IF(269=$NR$94,$NN$94,0),IF($NP$94="Bell_Curve",$NN$94*(269-$NR$94+1)*($NS$94-269+1)/$NU$94,$NN$94/$NT$94)),0)</f>
        <v/>
      </c>
      <c r="JN94" s="402">
        <f>IF(AND(270&gt;=$NR$94,270&lt;=$NS$94),IF($NP$94="Single_Point",IF(270=$NR$94,$NN$94,0),IF($NP$94="Bell_Curve",$NN$94*(270-$NR$94+1)*($NS$94-270+1)/$NU$94,$NN$94/$NT$94)),0)</f>
        <v/>
      </c>
      <c r="JO94" s="402">
        <f>IF(AND(271&gt;=$NR$94,271&lt;=$NS$94),IF($NP$94="Single_Point",IF(271=$NR$94,$NN$94,0),IF($NP$94="Bell_Curve",$NN$94*(271-$NR$94+1)*($NS$94-271+1)/$NU$94,$NN$94/$NT$94)),0)</f>
        <v/>
      </c>
      <c r="JP94" s="402">
        <f>IF(AND(272&gt;=$NR$94,272&lt;=$NS$94),IF($NP$94="Single_Point",IF(272=$NR$94,$NN$94,0),IF($NP$94="Bell_Curve",$NN$94*(272-$NR$94+1)*($NS$94-272+1)/$NU$94,$NN$94/$NT$94)),0)</f>
        <v/>
      </c>
      <c r="JQ94" s="402">
        <f>IF(AND(273&gt;=$NR$94,273&lt;=$NS$94),IF($NP$94="Single_Point",IF(273=$NR$94,$NN$94,0),IF($NP$94="Bell_Curve",$NN$94*(273-$NR$94+1)*($NS$94-273+1)/$NU$94,$NN$94/$NT$94)),0)</f>
        <v/>
      </c>
      <c r="JR94" s="402">
        <f>IF(AND(274&gt;=$NR$94,274&lt;=$NS$94),IF($NP$94="Single_Point",IF(274=$NR$94,$NN$94,0),IF($NP$94="Bell_Curve",$NN$94*(274-$NR$94+1)*($NS$94-274+1)/$NU$94,$NN$94/$NT$94)),0)</f>
        <v/>
      </c>
      <c r="JS94" s="402">
        <f>IF(AND(275&gt;=$NR$94,275&lt;=$NS$94),IF($NP$94="Single_Point",IF(275=$NR$94,$NN$94,0),IF($NP$94="Bell_Curve",$NN$94*(275-$NR$94+1)*($NS$94-275+1)/$NU$94,$NN$94/$NT$94)),0)</f>
        <v/>
      </c>
      <c r="JT94" s="402">
        <f>IF(AND(276&gt;=$NR$94,276&lt;=$NS$94),IF($NP$94="Single_Point",IF(276=$NR$94,$NN$94,0),IF($NP$94="Bell_Curve",$NN$94*(276-$NR$94+1)*($NS$94-276+1)/$NU$94,$NN$94/$NT$94)),0)</f>
        <v/>
      </c>
      <c r="JU94" s="402">
        <f>IF(AND(277&gt;=$NR$94,277&lt;=$NS$94),IF($NP$94="Single_Point",IF(277=$NR$94,$NN$94,0),IF($NP$94="Bell_Curve",$NN$94*(277-$NR$94+1)*($NS$94-277+1)/$NU$94,$NN$94/$NT$94)),0)</f>
        <v/>
      </c>
      <c r="JV94" s="402">
        <f>IF(AND(278&gt;=$NR$94,278&lt;=$NS$94),IF($NP$94="Single_Point",IF(278=$NR$94,$NN$94,0),IF($NP$94="Bell_Curve",$NN$94*(278-$NR$94+1)*($NS$94-278+1)/$NU$94,$NN$94/$NT$94)),0)</f>
        <v/>
      </c>
      <c r="JW94" s="402">
        <f>IF(AND(279&gt;=$NR$94,279&lt;=$NS$94),IF($NP$94="Single_Point",IF(279=$NR$94,$NN$94,0),IF($NP$94="Bell_Curve",$NN$94*(279-$NR$94+1)*($NS$94-279+1)/$NU$94,$NN$94/$NT$94)),0)</f>
        <v/>
      </c>
      <c r="JX94" s="402">
        <f>IF(AND(280&gt;=$NR$94,280&lt;=$NS$94),IF($NP$94="Single_Point",IF(280=$NR$94,$NN$94,0),IF($NP$94="Bell_Curve",$NN$94*(280-$NR$94+1)*($NS$94-280+1)/$NU$94,$NN$94/$NT$94)),0)</f>
        <v/>
      </c>
      <c r="JY94" s="402">
        <f>IF(AND(281&gt;=$NR$94,281&lt;=$NS$94),IF($NP$94="Single_Point",IF(281=$NR$94,$NN$94,0),IF($NP$94="Bell_Curve",$NN$94*(281-$NR$94+1)*($NS$94-281+1)/$NU$94,$NN$94/$NT$94)),0)</f>
        <v/>
      </c>
      <c r="JZ94" s="402">
        <f>IF(AND(282&gt;=$NR$94,282&lt;=$NS$94),IF($NP$94="Single_Point",IF(282=$NR$94,$NN$94,0),IF($NP$94="Bell_Curve",$NN$94*(282-$NR$94+1)*($NS$94-282+1)/$NU$94,$NN$94/$NT$94)),0)</f>
        <v/>
      </c>
      <c r="KA94" s="402">
        <f>IF(AND(283&gt;=$NR$94,283&lt;=$NS$94),IF($NP$94="Single_Point",IF(283=$NR$94,$NN$94,0),IF($NP$94="Bell_Curve",$NN$94*(283-$NR$94+1)*($NS$94-283+1)/$NU$94,$NN$94/$NT$94)),0)</f>
        <v/>
      </c>
      <c r="KB94" s="402">
        <f>IF(AND(284&gt;=$NR$94,284&lt;=$NS$94),IF($NP$94="Single_Point",IF(284=$NR$94,$NN$94,0),IF($NP$94="Bell_Curve",$NN$94*(284-$NR$94+1)*($NS$94-284+1)/$NU$94,$NN$94/$NT$94)),0)</f>
        <v/>
      </c>
      <c r="KC94" s="402">
        <f>IF(AND(285&gt;=$NR$94,285&lt;=$NS$94),IF($NP$94="Single_Point",IF(285=$NR$94,$NN$94,0),IF($NP$94="Bell_Curve",$NN$94*(285-$NR$94+1)*($NS$94-285+1)/$NU$94,$NN$94/$NT$94)),0)</f>
        <v/>
      </c>
      <c r="KD94" s="402">
        <f>IF(AND(286&gt;=$NR$94,286&lt;=$NS$94),IF($NP$94="Single_Point",IF(286=$NR$94,$NN$94,0),IF($NP$94="Bell_Curve",$NN$94*(286-$NR$94+1)*($NS$94-286+1)/$NU$94,$NN$94/$NT$94)),0)</f>
        <v/>
      </c>
      <c r="KE94" s="402">
        <f>IF(AND(287&gt;=$NR$94,287&lt;=$NS$94),IF($NP$94="Single_Point",IF(287=$NR$94,$NN$94,0),IF($NP$94="Bell_Curve",$NN$94*(287-$NR$94+1)*($NS$94-287+1)/$NU$94,$NN$94/$NT$94)),0)</f>
        <v/>
      </c>
      <c r="KF94" s="402">
        <f>IF(AND(288&gt;=$NR$94,288&lt;=$NS$94),IF($NP$94="Single_Point",IF(288=$NR$94,$NN$94,0),IF($NP$94="Bell_Curve",$NN$94*(288-$NR$94+1)*($NS$94-288+1)/$NU$94,$NN$94/$NT$94)),0)</f>
        <v/>
      </c>
      <c r="KG94" s="402">
        <f>IF(AND(289&gt;=$NR$94,289&lt;=$NS$94),IF($NP$94="Single_Point",IF(289=$NR$94,$NN$94,0),IF($NP$94="Bell_Curve",$NN$94*(289-$NR$94+1)*($NS$94-289+1)/$NU$94,$NN$94/$NT$94)),0)</f>
        <v/>
      </c>
      <c r="KH94" s="402">
        <f>IF(AND(290&gt;=$NR$94,290&lt;=$NS$94),IF($NP$94="Single_Point",IF(290=$NR$94,$NN$94,0),IF($NP$94="Bell_Curve",$NN$94*(290-$NR$94+1)*($NS$94-290+1)/$NU$94,$NN$94/$NT$94)),0)</f>
        <v/>
      </c>
      <c r="KI94" s="402">
        <f>IF(AND(291&gt;=$NR$94,291&lt;=$NS$94),IF($NP$94="Single_Point",IF(291=$NR$94,$NN$94,0),IF($NP$94="Bell_Curve",$NN$94*(291-$NR$94+1)*($NS$94-291+1)/$NU$94,$NN$94/$NT$94)),0)</f>
        <v/>
      </c>
      <c r="KJ94" s="402">
        <f>IF(AND(292&gt;=$NR$94,292&lt;=$NS$94),IF($NP$94="Single_Point",IF(292=$NR$94,$NN$94,0),IF($NP$94="Bell_Curve",$NN$94*(292-$NR$94+1)*($NS$94-292+1)/$NU$94,$NN$94/$NT$94)),0)</f>
        <v/>
      </c>
      <c r="KK94" s="402">
        <f>IF(AND(293&gt;=$NR$94,293&lt;=$NS$94),IF($NP$94="Single_Point",IF(293=$NR$94,$NN$94,0),IF($NP$94="Bell_Curve",$NN$94*(293-$NR$94+1)*($NS$94-293+1)/$NU$94,$NN$94/$NT$94)),0)</f>
        <v/>
      </c>
      <c r="KL94" s="402">
        <f>IF(AND(294&gt;=$NR$94,294&lt;=$NS$94),IF($NP$94="Single_Point",IF(294=$NR$94,$NN$94,0),IF($NP$94="Bell_Curve",$NN$94*(294-$NR$94+1)*($NS$94-294+1)/$NU$94,$NN$94/$NT$94)),0)</f>
        <v/>
      </c>
      <c r="KM94" s="402">
        <f>IF(AND(295&gt;=$NR$94,295&lt;=$NS$94),IF($NP$94="Single_Point",IF(295=$NR$94,$NN$94,0),IF($NP$94="Bell_Curve",$NN$94*(295-$NR$94+1)*($NS$94-295+1)/$NU$94,$NN$94/$NT$94)),0)</f>
        <v/>
      </c>
      <c r="KN94" s="402">
        <f>IF(AND(296&gt;=$NR$94,296&lt;=$NS$94),IF($NP$94="Single_Point",IF(296=$NR$94,$NN$94,0),IF($NP$94="Bell_Curve",$NN$94*(296-$NR$94+1)*($NS$94-296+1)/$NU$94,$NN$94/$NT$94)),0)</f>
        <v/>
      </c>
      <c r="KO94" s="402">
        <f>IF(AND(297&gt;=$NR$94,297&lt;=$NS$94),IF($NP$94="Single_Point",IF(297=$NR$94,$NN$94,0),IF($NP$94="Bell_Curve",$NN$94*(297-$NR$94+1)*($NS$94-297+1)/$NU$94,$NN$94/$NT$94)),0)</f>
        <v/>
      </c>
      <c r="KP94" s="402">
        <f>IF(AND(298&gt;=$NR$94,298&lt;=$NS$94),IF($NP$94="Single_Point",IF(298=$NR$94,$NN$94,0),IF($NP$94="Bell_Curve",$NN$94*(298-$NR$94+1)*($NS$94-298+1)/$NU$94,$NN$94/$NT$94)),0)</f>
        <v/>
      </c>
      <c r="KQ94" s="402">
        <f>IF(AND(299&gt;=$NR$94,299&lt;=$NS$94),IF($NP$94="Single_Point",IF(299=$NR$94,$NN$94,0),IF($NP$94="Bell_Curve",$NN$94*(299-$NR$94+1)*($NS$94-299+1)/$NU$94,$NN$94/$NT$94)),0)</f>
        <v/>
      </c>
      <c r="KR94" s="402">
        <f>IF(AND(300&gt;=$NR$94,300&lt;=$NS$94),IF($NP$94="Single_Point",IF(300=$NR$94,$NN$94,0),IF($NP$94="Bell_Curve",$NN$94*(300-$NR$94+1)*($NS$94-300+1)/$NU$94,$NN$94/$NT$94)),0)</f>
        <v/>
      </c>
      <c r="KS94" s="402">
        <f>IF(AND(301&gt;=$NR$94,301&lt;=$NS$94),IF($NP$94="Single_Point",IF(301=$NR$94,$NN$94,0),IF($NP$94="Bell_Curve",$NN$94*(301-$NR$94+1)*($NS$94-301+1)/$NU$94,$NN$94/$NT$94)),0)</f>
        <v/>
      </c>
      <c r="KT94" s="402">
        <f>IF(AND(302&gt;=$NR$94,302&lt;=$NS$94),IF($NP$94="Single_Point",IF(302=$NR$94,$NN$94,0),IF($NP$94="Bell_Curve",$NN$94*(302-$NR$94+1)*($NS$94-302+1)/$NU$94,$NN$94/$NT$94)),0)</f>
        <v/>
      </c>
      <c r="KU94" s="402">
        <f>IF(AND(303&gt;=$NR$94,303&lt;=$NS$94),IF($NP$94="Single_Point",IF(303=$NR$94,$NN$94,0),IF($NP$94="Bell_Curve",$NN$94*(303-$NR$94+1)*($NS$94-303+1)/$NU$94,$NN$94/$NT$94)),0)</f>
        <v/>
      </c>
      <c r="KV94" s="402">
        <f>IF(AND(304&gt;=$NR$94,304&lt;=$NS$94),IF($NP$94="Single_Point",IF(304=$NR$94,$NN$94,0),IF($NP$94="Bell_Curve",$NN$94*(304-$NR$94+1)*($NS$94-304+1)/$NU$94,$NN$94/$NT$94)),0)</f>
        <v/>
      </c>
      <c r="KW94" s="402">
        <f>IF(AND(305&gt;=$NR$94,305&lt;=$NS$94),IF($NP$94="Single_Point",IF(305=$NR$94,$NN$94,0),IF($NP$94="Bell_Curve",$NN$94*(305-$NR$94+1)*($NS$94-305+1)/$NU$94,$NN$94/$NT$94)),0)</f>
        <v/>
      </c>
      <c r="KX94" s="402">
        <f>IF(AND(306&gt;=$NR$94,306&lt;=$NS$94),IF($NP$94="Single_Point",IF(306=$NR$94,$NN$94,0),IF($NP$94="Bell_Curve",$NN$94*(306-$NR$94+1)*($NS$94-306+1)/$NU$94,$NN$94/$NT$94)),0)</f>
        <v/>
      </c>
      <c r="KY94" s="402">
        <f>IF(AND(307&gt;=$NR$94,307&lt;=$NS$94),IF($NP$94="Single_Point",IF(307=$NR$94,$NN$94,0),IF($NP$94="Bell_Curve",$NN$94*(307-$NR$94+1)*($NS$94-307+1)/$NU$94,$NN$94/$NT$94)),0)</f>
        <v/>
      </c>
      <c r="KZ94" s="402">
        <f>IF(AND(308&gt;=$NR$94,308&lt;=$NS$94),IF($NP$94="Single_Point",IF(308=$NR$94,$NN$94,0),IF($NP$94="Bell_Curve",$NN$94*(308-$NR$94+1)*($NS$94-308+1)/$NU$94,$NN$94/$NT$94)),0)</f>
        <v/>
      </c>
      <c r="LA94" s="402">
        <f>IF(AND(309&gt;=$NR$94,309&lt;=$NS$94),IF($NP$94="Single_Point",IF(309=$NR$94,$NN$94,0),IF($NP$94="Bell_Curve",$NN$94*(309-$NR$94+1)*($NS$94-309+1)/$NU$94,$NN$94/$NT$94)),0)</f>
        <v/>
      </c>
      <c r="LB94" s="402">
        <f>IF(AND(310&gt;=$NR$94,310&lt;=$NS$94),IF($NP$94="Single_Point",IF(310=$NR$94,$NN$94,0),IF($NP$94="Bell_Curve",$NN$94*(310-$NR$94+1)*($NS$94-310+1)/$NU$94,$NN$94/$NT$94)),0)</f>
        <v/>
      </c>
      <c r="LC94" s="402">
        <f>IF(AND(311&gt;=$NR$94,311&lt;=$NS$94),IF($NP$94="Single_Point",IF(311=$NR$94,$NN$94,0),IF($NP$94="Bell_Curve",$NN$94*(311-$NR$94+1)*($NS$94-311+1)/$NU$94,$NN$94/$NT$94)),0)</f>
        <v/>
      </c>
      <c r="LD94" s="402">
        <f>IF(AND(312&gt;=$NR$94,312&lt;=$NS$94),IF($NP$94="Single_Point",IF(312=$NR$94,$NN$94,0),IF($NP$94="Bell_Curve",$NN$94*(312-$NR$94+1)*($NS$94-312+1)/$NU$94,$NN$94/$NT$94)),0)</f>
        <v/>
      </c>
      <c r="LE94" s="402">
        <f>IF(AND(313&gt;=$NR$94,313&lt;=$NS$94),IF($NP$94="Single_Point",IF(313=$NR$94,$NN$94,0),IF($NP$94="Bell_Curve",$NN$94*(313-$NR$94+1)*($NS$94-313+1)/$NU$94,$NN$94/$NT$94)),0)</f>
        <v/>
      </c>
      <c r="LF94" s="402">
        <f>IF(AND(314&gt;=$NR$94,314&lt;=$NS$94),IF($NP$94="Single_Point",IF(314=$NR$94,$NN$94,0),IF($NP$94="Bell_Curve",$NN$94*(314-$NR$94+1)*($NS$94-314+1)/$NU$94,$NN$94/$NT$94)),0)</f>
        <v/>
      </c>
      <c r="LG94" s="402">
        <f>IF(AND(315&gt;=$NR$94,315&lt;=$NS$94),IF($NP$94="Single_Point",IF(315=$NR$94,$NN$94,0),IF($NP$94="Bell_Curve",$NN$94*(315-$NR$94+1)*($NS$94-315+1)/$NU$94,$NN$94/$NT$94)),0)</f>
        <v/>
      </c>
      <c r="LH94" s="402">
        <f>IF(AND(316&gt;=$NR$94,316&lt;=$NS$94),IF($NP$94="Single_Point",IF(316=$NR$94,$NN$94,0),IF($NP$94="Bell_Curve",$NN$94*(316-$NR$94+1)*($NS$94-316+1)/$NU$94,$NN$94/$NT$94)),0)</f>
        <v/>
      </c>
      <c r="LI94" s="402">
        <f>IF(AND(317&gt;=$NR$94,317&lt;=$NS$94),IF($NP$94="Single_Point",IF(317=$NR$94,$NN$94,0),IF($NP$94="Bell_Curve",$NN$94*(317-$NR$94+1)*($NS$94-317+1)/$NU$94,$NN$94/$NT$94)),0)</f>
        <v/>
      </c>
      <c r="LJ94" s="402">
        <f>IF(AND(318&gt;=$NR$94,318&lt;=$NS$94),IF($NP$94="Single_Point",IF(318=$NR$94,$NN$94,0),IF($NP$94="Bell_Curve",$NN$94*(318-$NR$94+1)*($NS$94-318+1)/$NU$94,$NN$94/$NT$94)),0)</f>
        <v/>
      </c>
      <c r="LK94" s="402">
        <f>IF(AND(319&gt;=$NR$94,319&lt;=$NS$94),IF($NP$94="Single_Point",IF(319=$NR$94,$NN$94,0),IF($NP$94="Bell_Curve",$NN$94*(319-$NR$94+1)*($NS$94-319+1)/$NU$94,$NN$94/$NT$94)),0)</f>
        <v/>
      </c>
      <c r="LL94" s="402">
        <f>IF(AND(320&gt;=$NR$94,320&lt;=$NS$94),IF($NP$94="Single_Point",IF(320=$NR$94,$NN$94,0),IF($NP$94="Bell_Curve",$NN$94*(320-$NR$94+1)*($NS$94-320+1)/$NU$94,$NN$94/$NT$94)),0)</f>
        <v/>
      </c>
      <c r="LM94" s="402">
        <f>IF(AND(321&gt;=$NR$94,321&lt;=$NS$94),IF($NP$94="Single_Point",IF(321=$NR$94,$NN$94,0),IF($NP$94="Bell_Curve",$NN$94*(321-$NR$94+1)*($NS$94-321+1)/$NU$94,$NN$94/$NT$94)),0)</f>
        <v/>
      </c>
      <c r="LN94" s="402">
        <f>IF(AND(322&gt;=$NR$94,322&lt;=$NS$94),IF($NP$94="Single_Point",IF(322=$NR$94,$NN$94,0),IF($NP$94="Bell_Curve",$NN$94*(322-$NR$94+1)*($NS$94-322+1)/$NU$94,$NN$94/$NT$94)),0)</f>
        <v/>
      </c>
      <c r="LO94" s="402">
        <f>IF(AND(323&gt;=$NR$94,323&lt;=$NS$94),IF($NP$94="Single_Point",IF(323=$NR$94,$NN$94,0),IF($NP$94="Bell_Curve",$NN$94*(323-$NR$94+1)*($NS$94-323+1)/$NU$94,$NN$94/$NT$94)),0)</f>
        <v/>
      </c>
      <c r="LP94" s="402">
        <f>IF(AND(324&gt;=$NR$94,324&lt;=$NS$94),IF($NP$94="Single_Point",IF(324=$NR$94,$NN$94,0),IF($NP$94="Bell_Curve",$NN$94*(324-$NR$94+1)*($NS$94-324+1)/$NU$94,$NN$94/$NT$94)),0)</f>
        <v/>
      </c>
      <c r="LQ94" s="402">
        <f>IF(AND(325&gt;=$NR$94,325&lt;=$NS$94),IF($NP$94="Single_Point",IF(325=$NR$94,$NN$94,0),IF($NP$94="Bell_Curve",$NN$94*(325-$NR$94+1)*($NS$94-325+1)/$NU$94,$NN$94/$NT$94)),0)</f>
        <v/>
      </c>
      <c r="LR94" s="402">
        <f>IF(AND(326&gt;=$NR$94,326&lt;=$NS$94),IF($NP$94="Single_Point",IF(326=$NR$94,$NN$94,0),IF($NP$94="Bell_Curve",$NN$94*(326-$NR$94+1)*($NS$94-326+1)/$NU$94,$NN$94/$NT$94)),0)</f>
        <v/>
      </c>
      <c r="LS94" s="402">
        <f>IF(AND(327&gt;=$NR$94,327&lt;=$NS$94),IF($NP$94="Single_Point",IF(327=$NR$94,$NN$94,0),IF($NP$94="Bell_Curve",$NN$94*(327-$NR$94+1)*($NS$94-327+1)/$NU$94,$NN$94/$NT$94)),0)</f>
        <v/>
      </c>
      <c r="LT94" s="402">
        <f>IF(AND(328&gt;=$NR$94,328&lt;=$NS$94),IF($NP$94="Single_Point",IF(328=$NR$94,$NN$94,0),IF($NP$94="Bell_Curve",$NN$94*(328-$NR$94+1)*($NS$94-328+1)/$NU$94,$NN$94/$NT$94)),0)</f>
        <v/>
      </c>
      <c r="LU94" s="402">
        <f>IF(AND(329&gt;=$NR$94,329&lt;=$NS$94),IF($NP$94="Single_Point",IF(329=$NR$94,$NN$94,0),IF($NP$94="Bell_Curve",$NN$94*(329-$NR$94+1)*($NS$94-329+1)/$NU$94,$NN$94/$NT$94)),0)</f>
        <v/>
      </c>
      <c r="LV94" s="402">
        <f>IF(AND(330&gt;=$NR$94,330&lt;=$NS$94),IF($NP$94="Single_Point",IF(330=$NR$94,$NN$94,0),IF($NP$94="Bell_Curve",$NN$94*(330-$NR$94+1)*($NS$94-330+1)/$NU$94,$NN$94/$NT$94)),0)</f>
        <v/>
      </c>
      <c r="LW94" s="402">
        <f>IF(AND(331&gt;=$NR$94,331&lt;=$NS$94),IF($NP$94="Single_Point",IF(331=$NR$94,$NN$94,0),IF($NP$94="Bell_Curve",$NN$94*(331-$NR$94+1)*($NS$94-331+1)/$NU$94,$NN$94/$NT$94)),0)</f>
        <v/>
      </c>
      <c r="LX94" s="402">
        <f>IF(AND(332&gt;=$NR$94,332&lt;=$NS$94),IF($NP$94="Single_Point",IF(332=$NR$94,$NN$94,0),IF($NP$94="Bell_Curve",$NN$94*(332-$NR$94+1)*($NS$94-332+1)/$NU$94,$NN$94/$NT$94)),0)</f>
        <v/>
      </c>
      <c r="LY94" s="402">
        <f>IF(AND(333&gt;=$NR$94,333&lt;=$NS$94),IF($NP$94="Single_Point",IF(333=$NR$94,$NN$94,0),IF($NP$94="Bell_Curve",$NN$94*(333-$NR$94+1)*($NS$94-333+1)/$NU$94,$NN$94/$NT$94)),0)</f>
        <v/>
      </c>
      <c r="LZ94" s="402">
        <f>IF(AND(334&gt;=$NR$94,334&lt;=$NS$94),IF($NP$94="Single_Point",IF(334=$NR$94,$NN$94,0),IF($NP$94="Bell_Curve",$NN$94*(334-$NR$94+1)*($NS$94-334+1)/$NU$94,$NN$94/$NT$94)),0)</f>
        <v/>
      </c>
      <c r="MA94" s="402">
        <f>IF(AND(335&gt;=$NR$94,335&lt;=$NS$94),IF($NP$94="Single_Point",IF(335=$NR$94,$NN$94,0),IF($NP$94="Bell_Curve",$NN$94*(335-$NR$94+1)*($NS$94-335+1)/$NU$94,$NN$94/$NT$94)),0)</f>
        <v/>
      </c>
      <c r="MB94" s="402">
        <f>IF(AND(336&gt;=$NR$94,336&lt;=$NS$94),IF($NP$94="Single_Point",IF(336=$NR$94,$NN$94,0),IF($NP$94="Bell_Curve",$NN$94*(336-$NR$94+1)*($NS$94-336+1)/$NU$94,$NN$94/$NT$94)),0)</f>
        <v/>
      </c>
      <c r="MC94" s="402">
        <f>IF(AND(337&gt;=$NR$94,337&lt;=$NS$94),IF($NP$94="Single_Point",IF(337=$NR$94,$NN$94,0),IF($NP$94="Bell_Curve",$NN$94*(337-$NR$94+1)*($NS$94-337+1)/$NU$94,$NN$94/$NT$94)),0)</f>
        <v/>
      </c>
      <c r="MD94" s="402">
        <f>IF(AND(338&gt;=$NR$94,338&lt;=$NS$94),IF($NP$94="Single_Point",IF(338=$NR$94,$NN$94,0),IF($NP$94="Bell_Curve",$NN$94*(338-$NR$94+1)*($NS$94-338+1)/$NU$94,$NN$94/$NT$94)),0)</f>
        <v/>
      </c>
      <c r="ME94" s="402">
        <f>IF(AND(339&gt;=$NR$94,339&lt;=$NS$94),IF($NP$94="Single_Point",IF(339=$NR$94,$NN$94,0),IF($NP$94="Bell_Curve",$NN$94*(339-$NR$94+1)*($NS$94-339+1)/$NU$94,$NN$94/$NT$94)),0)</f>
        <v/>
      </c>
      <c r="MF94" s="402">
        <f>IF(AND(340&gt;=$NR$94,340&lt;=$NS$94),IF($NP$94="Single_Point",IF(340=$NR$94,$NN$94,0),IF($NP$94="Bell_Curve",$NN$94*(340-$NR$94+1)*($NS$94-340+1)/$NU$94,$NN$94/$NT$94)),0)</f>
        <v/>
      </c>
      <c r="MG94" s="402">
        <f>IF(AND(341&gt;=$NR$94,341&lt;=$NS$94),IF($NP$94="Single_Point",IF(341=$NR$94,$NN$94,0),IF($NP$94="Bell_Curve",$NN$94*(341-$NR$94+1)*($NS$94-341+1)/$NU$94,$NN$94/$NT$94)),0)</f>
        <v/>
      </c>
      <c r="MH94" s="402">
        <f>IF(AND(342&gt;=$NR$94,342&lt;=$NS$94),IF($NP$94="Single_Point",IF(342=$NR$94,$NN$94,0),IF($NP$94="Bell_Curve",$NN$94*(342-$NR$94+1)*($NS$94-342+1)/$NU$94,$NN$94/$NT$94)),0)</f>
        <v/>
      </c>
      <c r="MI94" s="402">
        <f>IF(AND(343&gt;=$NR$94,343&lt;=$NS$94),IF($NP$94="Single_Point",IF(343=$NR$94,$NN$94,0),IF($NP$94="Bell_Curve",$NN$94*(343-$NR$94+1)*($NS$94-343+1)/$NU$94,$NN$94/$NT$94)),0)</f>
        <v/>
      </c>
      <c r="MJ94" s="402">
        <f>IF(AND(344&gt;=$NR$94,344&lt;=$NS$94),IF($NP$94="Single_Point",IF(344=$NR$94,$NN$94,0),IF($NP$94="Bell_Curve",$NN$94*(344-$NR$94+1)*($NS$94-344+1)/$NU$94,$NN$94/$NT$94)),0)</f>
        <v/>
      </c>
      <c r="MK94" s="402">
        <f>IF(AND(345&gt;=$NR$94,345&lt;=$NS$94),IF($NP$94="Single_Point",IF(345=$NR$94,$NN$94,0),IF($NP$94="Bell_Curve",$NN$94*(345-$NR$94+1)*($NS$94-345+1)/$NU$94,$NN$94/$NT$94)),0)</f>
        <v/>
      </c>
      <c r="ML94" s="402">
        <f>IF(AND(346&gt;=$NR$94,346&lt;=$NS$94),IF($NP$94="Single_Point",IF(346=$NR$94,$NN$94,0),IF($NP$94="Bell_Curve",$NN$94*(346-$NR$94+1)*($NS$94-346+1)/$NU$94,$NN$94/$NT$94)),0)</f>
        <v/>
      </c>
      <c r="MM94" s="402">
        <f>IF(AND(347&gt;=$NR$94,347&lt;=$NS$94),IF($NP$94="Single_Point",IF(347=$NR$94,$NN$94,0),IF($NP$94="Bell_Curve",$NN$94*(347-$NR$94+1)*($NS$94-347+1)/$NU$94,$NN$94/$NT$94)),0)</f>
        <v/>
      </c>
      <c r="MN94" s="402">
        <f>IF(AND(348&gt;=$NR$94,348&lt;=$NS$94),IF($NP$94="Single_Point",IF(348=$NR$94,$NN$94,0),IF($NP$94="Bell_Curve",$NN$94*(348-$NR$94+1)*($NS$94-348+1)/$NU$94,$NN$94/$NT$94)),0)</f>
        <v/>
      </c>
      <c r="MO94" s="402">
        <f>IF(AND(349&gt;=$NR$94,349&lt;=$NS$94),IF($NP$94="Single_Point",IF(349=$NR$94,$NN$94,0),IF($NP$94="Bell_Curve",$NN$94*(349-$NR$94+1)*($NS$94-349+1)/$NU$94,$NN$94/$NT$94)),0)</f>
        <v/>
      </c>
      <c r="MP94" s="402">
        <f>IF(AND(350&gt;=$NR$94,350&lt;=$NS$94),IF($NP$94="Single_Point",IF(350=$NR$94,$NN$94,0),IF($NP$94="Bell_Curve",$NN$94*(350-$NR$94+1)*($NS$94-350+1)/$NU$94,$NN$94/$NT$94)),0)</f>
        <v/>
      </c>
      <c r="MQ94" s="402">
        <f>IF(AND(351&gt;=$NR$94,351&lt;=$NS$94),IF($NP$94="Single_Point",IF(351=$NR$94,$NN$94,0),IF($NP$94="Bell_Curve",$NN$94*(351-$NR$94+1)*($NS$94-351+1)/$NU$94,$NN$94/$NT$94)),0)</f>
        <v/>
      </c>
      <c r="MR94" s="402">
        <f>IF(AND(352&gt;=$NR$94,352&lt;=$NS$94),IF($NP$94="Single_Point",IF(352=$NR$94,$NN$94,0),IF($NP$94="Bell_Curve",$NN$94*(352-$NR$94+1)*($NS$94-352+1)/$NU$94,$NN$94/$NT$94)),0)</f>
        <v/>
      </c>
      <c r="MS94" s="402">
        <f>IF(AND(353&gt;=$NR$94,353&lt;=$NS$94),IF($NP$94="Single_Point",IF(353=$NR$94,$NN$94,0),IF($NP$94="Bell_Curve",$NN$94*(353-$NR$94+1)*($NS$94-353+1)/$NU$94,$NN$94/$NT$94)),0)</f>
        <v/>
      </c>
      <c r="MT94" s="402">
        <f>IF(AND(354&gt;=$NR$94,354&lt;=$NS$94),IF($NP$94="Single_Point",IF(354=$NR$94,$NN$94,0),IF($NP$94="Bell_Curve",$NN$94*(354-$NR$94+1)*($NS$94-354+1)/$NU$94,$NN$94/$NT$94)),0)</f>
        <v/>
      </c>
      <c r="MU94" s="402">
        <f>IF(AND(355&gt;=$NR$94,355&lt;=$NS$94),IF($NP$94="Single_Point",IF(355=$NR$94,$NN$94,0),IF($NP$94="Bell_Curve",$NN$94*(355-$NR$94+1)*($NS$94-355+1)/$NU$94,$NN$94/$NT$94)),0)</f>
        <v/>
      </c>
      <c r="MV94" s="402">
        <f>IF(AND(356&gt;=$NR$94,356&lt;=$NS$94),IF($NP$94="Single_Point",IF(356=$NR$94,$NN$94,0),IF($NP$94="Bell_Curve",$NN$94*(356-$NR$94+1)*($NS$94-356+1)/$NU$94,$NN$94/$NT$94)),0)</f>
        <v/>
      </c>
      <c r="MW94" s="402">
        <f>IF(AND(357&gt;=$NR$94,357&lt;=$NS$94),IF($NP$94="Single_Point",IF(357=$NR$94,$NN$94,0),IF($NP$94="Bell_Curve",$NN$94*(357-$NR$94+1)*($NS$94-357+1)/$NU$94,$NN$94/$NT$94)),0)</f>
        <v/>
      </c>
      <c r="MX94" s="402">
        <f>IF(AND(358&gt;=$NR$94,358&lt;=$NS$94),IF($NP$94="Single_Point",IF(358=$NR$94,$NN$94,0),IF($NP$94="Bell_Curve",$NN$94*(358-$NR$94+1)*($NS$94-358+1)/$NU$94,$NN$94/$NT$94)),0)</f>
        <v/>
      </c>
      <c r="MY94" s="402">
        <f>IF(AND(359&gt;=$NR$94,359&lt;=$NS$94),IF($NP$94="Single_Point",IF(359=$NR$94,$NN$94,0),IF($NP$94="Bell_Curve",$NN$94*(359-$NR$94+1)*($NS$94-359+1)/$NU$94,$NN$94/$NT$94)),0)</f>
        <v/>
      </c>
      <c r="MZ94" s="402">
        <f>IF(AND(360&gt;=$NR$94,360&lt;=$NS$94),IF($NP$94="Single_Point",IF(360=$NR$94,$NN$94,0),IF($NP$94="Bell_Curve",$NN$94*(360-$NR$94+1)*($NS$94-360+1)/$NU$94,$NN$94/$NT$94)),0)</f>
        <v/>
      </c>
      <c r="NA94" s="402">
        <f>IF(AND(361&gt;=$NR$94,361&lt;=$NS$94),IF($NP$94="Single_Point",IF(361=$NR$94,$NN$94,0),IF($NP$94="Bell_Curve",$NN$94*(361-$NR$94+1)*($NS$94-361+1)/$NU$94,$NN$94/$NT$94)),0)</f>
        <v/>
      </c>
      <c r="NB94" s="402">
        <f>IF(AND(362&gt;=$NR$94,362&lt;=$NS$94),IF($NP$94="Single_Point",IF(362=$NR$94,$NN$94,0),IF($NP$94="Bell_Curve",$NN$94*(362-$NR$94+1)*($NS$94-362+1)/$NU$94,$NN$94/$NT$94)),0)</f>
        <v/>
      </c>
      <c r="NC94" s="402">
        <f>IF(AND(363&gt;=$NR$94,363&lt;=$NS$94),IF($NP$94="Single_Point",IF(363=$NR$94,$NN$94,0),IF($NP$94="Bell_Curve",$NN$94*(363-$NR$94+1)*($NS$94-363+1)/$NU$94,$NN$94/$NT$94)),0)</f>
        <v/>
      </c>
      <c r="ND94" s="402">
        <f>IF(AND(364&gt;=$NR$94,364&lt;=$NS$94),IF($NP$94="Single_Point",IF(364=$NR$94,$NN$94,0),IF($NP$94="Bell_Curve",$NN$94*(364-$NR$94+1)*($NS$94-364+1)/$NU$94,$NN$94/$NT$94)),0)</f>
        <v/>
      </c>
      <c r="NE94" s="402">
        <f>IF(AND(365&gt;=$NR$94,365&lt;=$NS$94),IF($NP$94="Single_Point",IF(365=$NR$94,$NN$94,0),IF($NP$94="Bell_Curve",$NN$94*(365-$NR$94+1)*($NS$94-365+1)/$NU$94,$NN$94/$NT$94)),0)</f>
        <v/>
      </c>
      <c r="NF94" s="402">
        <f>IF(AND(366&gt;=$NR$94,366&lt;=$NS$94),IF($NP$94="Single_Point",IF(366=$NR$94,$NN$94,0),IF($NP$94="Bell_Curve",$NN$94*(366-$NR$94+1)*($NS$94-366+1)/$NU$94,$NN$94/$NT$94)),0)</f>
        <v/>
      </c>
      <c r="NG94" s="402">
        <f>IF(AND(367&gt;=$NR$94,367&lt;=$NS$94),IF($NP$94="Single_Point",IF(367=$NR$94,$NN$94,0),IF($NP$94="Bell_Curve",$NN$94*(367-$NR$94+1)*($NS$94-367+1)/$NU$94,$NN$94/$NT$94)),0)</f>
        <v/>
      </c>
      <c r="NH94" s="402">
        <f>IF(AND(368&gt;=$NR$94,368&lt;=$NS$94),IF($NP$94="Single_Point",IF(368=$NR$94,$NN$94,0),IF($NP$94="Bell_Curve",$NN$94*(368-$NR$94+1)*($NS$94-368+1)/$NU$94,$NN$94/$NT$94)),0)</f>
        <v/>
      </c>
      <c r="NI94" s="402">
        <f>IF(AND(369&gt;=$NR$94,369&lt;=$NS$94),IF($NP$94="Single_Point",IF(369=$NR$94,$NN$94,0),IF($NP$94="Bell_Curve",$NN$94*(369-$NR$94+1)*($NS$94-369+1)/$NU$94,$NN$94/$NT$94)),0)</f>
        <v/>
      </c>
      <c r="NJ94" s="402">
        <f>IF(AND(370&gt;=$NR$94,370&lt;=$NS$94),IF($NP$94="Single_Point",IF(370=$NR$94,$NN$94,0),IF($NP$94="Bell_Curve",$NN$94*(370-$NR$94+1)*($NS$94-370+1)/$NU$94,$NN$94/$NT$94)),0)</f>
        <v/>
      </c>
      <c r="NK94" s="402">
        <f>IF(AND(371&gt;=$NR$94,371&lt;=$NS$94),IF($NP$94="Single_Point",IF(371=$NR$94,$NN$94,0),IF($NP$94="Bell_Curve",$NN$94*(371-$NR$94+1)*($NS$94-371+1)/$NU$94,$NN$94/$NT$94)),0)</f>
        <v/>
      </c>
      <c r="NL94" s="402">
        <f>IF(AND(372&gt;=$NR$94,372&lt;=$NS$94),IF($NP$94="Single_Point",IF(372=$NR$94,$NN$94,0),IF($NP$94="Bell_Curve",$NN$94*(372-$NR$94+1)*($NS$94-372+1)/$NU$94,$NN$94/$NT$94)),0)</f>
        <v/>
      </c>
      <c r="NM94">
        <f>Budget!C93</f>
        <v/>
      </c>
      <c r="NN94">
        <f>Budget!J93</f>
        <v/>
      </c>
      <c r="NO94">
        <f>Budget!G93</f>
        <v/>
      </c>
      <c r="NP94">
        <f>Budget!H93</f>
        <v/>
      </c>
      <c r="NQ94">
        <f>Budget!I93</f>
        <v/>
      </c>
      <c r="NR94">
        <f>MAX(1,MIN(372,INDEX(MilestoneStart,MATCH(NO94,MilestoneNames,0))+NQ94))</f>
        <v/>
      </c>
      <c r="NS94">
        <f>MAX(NR94,MIN(372,INDEX(MilestoneEnd,MATCH(NO94,MilestoneNames,0))+NQ94))</f>
        <v/>
      </c>
      <c r="NT94">
        <f>NS94-NR94+1</f>
        <v/>
      </c>
      <c r="NU94">
        <f>NT94*(NT94+1)*(NT94+2)/6</f>
        <v/>
      </c>
    </row>
    <row r="95">
      <c r="B95" s="316">
        <f>Budget!B94</f>
        <v/>
      </c>
      <c r="D95" s="402">
        <f>SUM(E95:NL95)</f>
        <v/>
      </c>
      <c r="E95" s="402">
        <f>IF(AND(1&gt;=$NR$95,1&lt;=$NS$95),IF($NP$95="Single_Point",IF(1=$NR$95,$NN$95,0),IF($NP$95="Bell_Curve",$NN$95*(1-$NR$95+1)*($NS$95-1+1)/$NU$95,$NN$95/$NT$95)),0)</f>
        <v/>
      </c>
      <c r="F95" s="402">
        <f>IF(AND(2&gt;=$NR$95,2&lt;=$NS$95),IF($NP$95="Single_Point",IF(2=$NR$95,$NN$95,0),IF($NP$95="Bell_Curve",$NN$95*(2-$NR$95+1)*($NS$95-2+1)/$NU$95,$NN$95/$NT$95)),0)</f>
        <v/>
      </c>
      <c r="G95" s="402">
        <f>IF(AND(3&gt;=$NR$95,3&lt;=$NS$95),IF($NP$95="Single_Point",IF(3=$NR$95,$NN$95,0),IF($NP$95="Bell_Curve",$NN$95*(3-$NR$95+1)*($NS$95-3+1)/$NU$95,$NN$95/$NT$95)),0)</f>
        <v/>
      </c>
      <c r="H95" s="402">
        <f>IF(AND(4&gt;=$NR$95,4&lt;=$NS$95),IF($NP$95="Single_Point",IF(4=$NR$95,$NN$95,0),IF($NP$95="Bell_Curve",$NN$95*(4-$NR$95+1)*($NS$95-4+1)/$NU$95,$NN$95/$NT$95)),0)</f>
        <v/>
      </c>
      <c r="I95" s="402">
        <f>IF(AND(5&gt;=$NR$95,5&lt;=$NS$95),IF($NP$95="Single_Point",IF(5=$NR$95,$NN$95,0),IF($NP$95="Bell_Curve",$NN$95*(5-$NR$95+1)*($NS$95-5+1)/$NU$95,$NN$95/$NT$95)),0)</f>
        <v/>
      </c>
      <c r="J95" s="402">
        <f>IF(AND(6&gt;=$NR$95,6&lt;=$NS$95),IF($NP$95="Single_Point",IF(6=$NR$95,$NN$95,0),IF($NP$95="Bell_Curve",$NN$95*(6-$NR$95+1)*($NS$95-6+1)/$NU$95,$NN$95/$NT$95)),0)</f>
        <v/>
      </c>
      <c r="K95" s="402">
        <f>IF(AND(7&gt;=$NR$95,7&lt;=$NS$95),IF($NP$95="Single_Point",IF(7=$NR$95,$NN$95,0),IF($NP$95="Bell_Curve",$NN$95*(7-$NR$95+1)*($NS$95-7+1)/$NU$95,$NN$95/$NT$95)),0)</f>
        <v/>
      </c>
      <c r="L95" s="402">
        <f>IF(AND(8&gt;=$NR$95,8&lt;=$NS$95),IF($NP$95="Single_Point",IF(8=$NR$95,$NN$95,0),IF($NP$95="Bell_Curve",$NN$95*(8-$NR$95+1)*($NS$95-8+1)/$NU$95,$NN$95/$NT$95)),0)</f>
        <v/>
      </c>
      <c r="M95" s="402">
        <f>IF(AND(9&gt;=$NR$95,9&lt;=$NS$95),IF($NP$95="Single_Point",IF(9=$NR$95,$NN$95,0),IF($NP$95="Bell_Curve",$NN$95*(9-$NR$95+1)*($NS$95-9+1)/$NU$95,$NN$95/$NT$95)),0)</f>
        <v/>
      </c>
      <c r="N95" s="402">
        <f>IF(AND(10&gt;=$NR$95,10&lt;=$NS$95),IF($NP$95="Single_Point",IF(10=$NR$95,$NN$95,0),IF($NP$95="Bell_Curve",$NN$95*(10-$NR$95+1)*($NS$95-10+1)/$NU$95,$NN$95/$NT$95)),0)</f>
        <v/>
      </c>
      <c r="O95" s="402">
        <f>IF(AND(11&gt;=$NR$95,11&lt;=$NS$95),IF($NP$95="Single_Point",IF(11=$NR$95,$NN$95,0),IF($NP$95="Bell_Curve",$NN$95*(11-$NR$95+1)*($NS$95-11+1)/$NU$95,$NN$95/$NT$95)),0)</f>
        <v/>
      </c>
      <c r="P95" s="402">
        <f>IF(AND(12&gt;=$NR$95,12&lt;=$NS$95),IF($NP$95="Single_Point",IF(12=$NR$95,$NN$95,0),IF($NP$95="Bell_Curve",$NN$95*(12-$NR$95+1)*($NS$95-12+1)/$NU$95,$NN$95/$NT$95)),0)</f>
        <v/>
      </c>
      <c r="Q95" s="402">
        <f>IF(AND(13&gt;=$NR$95,13&lt;=$NS$95),IF($NP$95="Single_Point",IF(13=$NR$95,$NN$95,0),IF($NP$95="Bell_Curve",$NN$95*(13-$NR$95+1)*($NS$95-13+1)/$NU$95,$NN$95/$NT$95)),0)</f>
        <v/>
      </c>
      <c r="R95" s="402">
        <f>IF(AND(14&gt;=$NR$95,14&lt;=$NS$95),IF($NP$95="Single_Point",IF(14=$NR$95,$NN$95,0),IF($NP$95="Bell_Curve",$NN$95*(14-$NR$95+1)*($NS$95-14+1)/$NU$95,$NN$95/$NT$95)),0)</f>
        <v/>
      </c>
      <c r="S95" s="402">
        <f>IF(AND(15&gt;=$NR$95,15&lt;=$NS$95),IF($NP$95="Single_Point",IF(15=$NR$95,$NN$95,0),IF($NP$95="Bell_Curve",$NN$95*(15-$NR$95+1)*($NS$95-15+1)/$NU$95,$NN$95/$NT$95)),0)</f>
        <v/>
      </c>
      <c r="T95" s="402">
        <f>IF(AND(16&gt;=$NR$95,16&lt;=$NS$95),IF($NP$95="Single_Point",IF(16=$NR$95,$NN$95,0),IF($NP$95="Bell_Curve",$NN$95*(16-$NR$95+1)*($NS$95-16+1)/$NU$95,$NN$95/$NT$95)),0)</f>
        <v/>
      </c>
      <c r="U95" s="402">
        <f>IF(AND(17&gt;=$NR$95,17&lt;=$NS$95),IF($NP$95="Single_Point",IF(17=$NR$95,$NN$95,0),IF($NP$95="Bell_Curve",$NN$95*(17-$NR$95+1)*($NS$95-17+1)/$NU$95,$NN$95/$NT$95)),0)</f>
        <v/>
      </c>
      <c r="V95" s="402">
        <f>IF(AND(18&gt;=$NR$95,18&lt;=$NS$95),IF($NP$95="Single_Point",IF(18=$NR$95,$NN$95,0),IF($NP$95="Bell_Curve",$NN$95*(18-$NR$95+1)*($NS$95-18+1)/$NU$95,$NN$95/$NT$95)),0)</f>
        <v/>
      </c>
      <c r="W95" s="402">
        <f>IF(AND(19&gt;=$NR$95,19&lt;=$NS$95),IF($NP$95="Single_Point",IF(19=$NR$95,$NN$95,0),IF($NP$95="Bell_Curve",$NN$95*(19-$NR$95+1)*($NS$95-19+1)/$NU$95,$NN$95/$NT$95)),0)</f>
        <v/>
      </c>
      <c r="X95" s="402">
        <f>IF(AND(20&gt;=$NR$95,20&lt;=$NS$95),IF($NP$95="Single_Point",IF(20=$NR$95,$NN$95,0),IF($NP$95="Bell_Curve",$NN$95*(20-$NR$95+1)*($NS$95-20+1)/$NU$95,$NN$95/$NT$95)),0)</f>
        <v/>
      </c>
      <c r="Y95" s="402">
        <f>IF(AND(21&gt;=$NR$95,21&lt;=$NS$95),IF($NP$95="Single_Point",IF(21=$NR$95,$NN$95,0),IF($NP$95="Bell_Curve",$NN$95*(21-$NR$95+1)*($NS$95-21+1)/$NU$95,$NN$95/$NT$95)),0)</f>
        <v/>
      </c>
      <c r="Z95" s="402">
        <f>IF(AND(22&gt;=$NR$95,22&lt;=$NS$95),IF($NP$95="Single_Point",IF(22=$NR$95,$NN$95,0),IF($NP$95="Bell_Curve",$NN$95*(22-$NR$95+1)*($NS$95-22+1)/$NU$95,$NN$95/$NT$95)),0)</f>
        <v/>
      </c>
      <c r="AA95" s="402">
        <f>IF(AND(23&gt;=$NR$95,23&lt;=$NS$95),IF($NP$95="Single_Point",IF(23=$NR$95,$NN$95,0),IF($NP$95="Bell_Curve",$NN$95*(23-$NR$95+1)*($NS$95-23+1)/$NU$95,$NN$95/$NT$95)),0)</f>
        <v/>
      </c>
      <c r="AB95" s="402">
        <f>IF(AND(24&gt;=$NR$95,24&lt;=$NS$95),IF($NP$95="Single_Point",IF(24=$NR$95,$NN$95,0),IF($NP$95="Bell_Curve",$NN$95*(24-$NR$95+1)*($NS$95-24+1)/$NU$95,$NN$95/$NT$95)),0)</f>
        <v/>
      </c>
      <c r="AC95" s="402">
        <f>IF(AND(25&gt;=$NR$95,25&lt;=$NS$95),IF($NP$95="Single_Point",IF(25=$NR$95,$NN$95,0),IF($NP$95="Bell_Curve",$NN$95*(25-$NR$95+1)*($NS$95-25+1)/$NU$95,$NN$95/$NT$95)),0)</f>
        <v/>
      </c>
      <c r="AD95" s="402">
        <f>IF(AND(26&gt;=$NR$95,26&lt;=$NS$95),IF($NP$95="Single_Point",IF(26=$NR$95,$NN$95,0),IF($NP$95="Bell_Curve",$NN$95*(26-$NR$95+1)*($NS$95-26+1)/$NU$95,$NN$95/$NT$95)),0)</f>
        <v/>
      </c>
      <c r="AE95" s="402">
        <f>IF(AND(27&gt;=$NR$95,27&lt;=$NS$95),IF($NP$95="Single_Point",IF(27=$NR$95,$NN$95,0),IF($NP$95="Bell_Curve",$NN$95*(27-$NR$95+1)*($NS$95-27+1)/$NU$95,$NN$95/$NT$95)),0)</f>
        <v/>
      </c>
      <c r="AF95" s="402">
        <f>IF(AND(28&gt;=$NR$95,28&lt;=$NS$95),IF($NP$95="Single_Point",IF(28=$NR$95,$NN$95,0),IF($NP$95="Bell_Curve",$NN$95*(28-$NR$95+1)*($NS$95-28+1)/$NU$95,$NN$95/$NT$95)),0)</f>
        <v/>
      </c>
      <c r="AG95" s="402">
        <f>IF(AND(29&gt;=$NR$95,29&lt;=$NS$95),IF($NP$95="Single_Point",IF(29=$NR$95,$NN$95,0),IF($NP$95="Bell_Curve",$NN$95*(29-$NR$95+1)*($NS$95-29+1)/$NU$95,$NN$95/$NT$95)),0)</f>
        <v/>
      </c>
      <c r="AH95" s="402">
        <f>IF(AND(30&gt;=$NR$95,30&lt;=$NS$95),IF($NP$95="Single_Point",IF(30=$NR$95,$NN$95,0),IF($NP$95="Bell_Curve",$NN$95*(30-$NR$95+1)*($NS$95-30+1)/$NU$95,$NN$95/$NT$95)),0)</f>
        <v/>
      </c>
      <c r="AI95" s="402">
        <f>IF(AND(31&gt;=$NR$95,31&lt;=$NS$95),IF($NP$95="Single_Point",IF(31=$NR$95,$NN$95,0),IF($NP$95="Bell_Curve",$NN$95*(31-$NR$95+1)*($NS$95-31+1)/$NU$95,$NN$95/$NT$95)),0)</f>
        <v/>
      </c>
      <c r="AJ95" s="402">
        <f>IF(AND(32&gt;=$NR$95,32&lt;=$NS$95),IF($NP$95="Single_Point",IF(32=$NR$95,$NN$95,0),IF($NP$95="Bell_Curve",$NN$95*(32-$NR$95+1)*($NS$95-32+1)/$NU$95,$NN$95/$NT$95)),0)</f>
        <v/>
      </c>
      <c r="AK95" s="402">
        <f>IF(AND(33&gt;=$NR$95,33&lt;=$NS$95),IF($NP$95="Single_Point",IF(33=$NR$95,$NN$95,0),IF($NP$95="Bell_Curve",$NN$95*(33-$NR$95+1)*($NS$95-33+1)/$NU$95,$NN$95/$NT$95)),0)</f>
        <v/>
      </c>
      <c r="AL95" s="402">
        <f>IF(AND(34&gt;=$NR$95,34&lt;=$NS$95),IF($NP$95="Single_Point",IF(34=$NR$95,$NN$95,0),IF($NP$95="Bell_Curve",$NN$95*(34-$NR$95+1)*($NS$95-34+1)/$NU$95,$NN$95/$NT$95)),0)</f>
        <v/>
      </c>
      <c r="AM95" s="402">
        <f>IF(AND(35&gt;=$NR$95,35&lt;=$NS$95),IF($NP$95="Single_Point",IF(35=$NR$95,$NN$95,0),IF($NP$95="Bell_Curve",$NN$95*(35-$NR$95+1)*($NS$95-35+1)/$NU$95,$NN$95/$NT$95)),0)</f>
        <v/>
      </c>
      <c r="AN95" s="402">
        <f>IF(AND(36&gt;=$NR$95,36&lt;=$NS$95),IF($NP$95="Single_Point",IF(36=$NR$95,$NN$95,0),IF($NP$95="Bell_Curve",$NN$95*(36-$NR$95+1)*($NS$95-36+1)/$NU$95,$NN$95/$NT$95)),0)</f>
        <v/>
      </c>
      <c r="AO95" s="402">
        <f>IF(AND(37&gt;=$NR$95,37&lt;=$NS$95),IF($NP$95="Single_Point",IF(37=$NR$95,$NN$95,0),IF($NP$95="Bell_Curve",$NN$95*(37-$NR$95+1)*($NS$95-37+1)/$NU$95,$NN$95/$NT$95)),0)</f>
        <v/>
      </c>
      <c r="AP95" s="402">
        <f>IF(AND(38&gt;=$NR$95,38&lt;=$NS$95),IF($NP$95="Single_Point",IF(38=$NR$95,$NN$95,0),IF($NP$95="Bell_Curve",$NN$95*(38-$NR$95+1)*($NS$95-38+1)/$NU$95,$NN$95/$NT$95)),0)</f>
        <v/>
      </c>
      <c r="AQ95" s="402">
        <f>IF(AND(39&gt;=$NR$95,39&lt;=$NS$95),IF($NP$95="Single_Point",IF(39=$NR$95,$NN$95,0),IF($NP$95="Bell_Curve",$NN$95*(39-$NR$95+1)*($NS$95-39+1)/$NU$95,$NN$95/$NT$95)),0)</f>
        <v/>
      </c>
      <c r="AR95" s="402">
        <f>IF(AND(40&gt;=$NR$95,40&lt;=$NS$95),IF($NP$95="Single_Point",IF(40=$NR$95,$NN$95,0),IF($NP$95="Bell_Curve",$NN$95*(40-$NR$95+1)*($NS$95-40+1)/$NU$95,$NN$95/$NT$95)),0)</f>
        <v/>
      </c>
      <c r="AS95" s="402">
        <f>IF(AND(41&gt;=$NR$95,41&lt;=$NS$95),IF($NP$95="Single_Point",IF(41=$NR$95,$NN$95,0),IF($NP$95="Bell_Curve",$NN$95*(41-$NR$95+1)*($NS$95-41+1)/$NU$95,$NN$95/$NT$95)),0)</f>
        <v/>
      </c>
      <c r="AT95" s="402">
        <f>IF(AND(42&gt;=$NR$95,42&lt;=$NS$95),IF($NP$95="Single_Point",IF(42=$NR$95,$NN$95,0),IF($NP$95="Bell_Curve",$NN$95*(42-$NR$95+1)*($NS$95-42+1)/$NU$95,$NN$95/$NT$95)),0)</f>
        <v/>
      </c>
      <c r="AU95" s="402">
        <f>IF(AND(43&gt;=$NR$95,43&lt;=$NS$95),IF($NP$95="Single_Point",IF(43=$NR$95,$NN$95,0),IF($NP$95="Bell_Curve",$NN$95*(43-$NR$95+1)*($NS$95-43+1)/$NU$95,$NN$95/$NT$95)),0)</f>
        <v/>
      </c>
      <c r="AV95" s="402">
        <f>IF(AND(44&gt;=$NR$95,44&lt;=$NS$95),IF($NP$95="Single_Point",IF(44=$NR$95,$NN$95,0),IF($NP$95="Bell_Curve",$NN$95*(44-$NR$95+1)*($NS$95-44+1)/$NU$95,$NN$95/$NT$95)),0)</f>
        <v/>
      </c>
      <c r="AW95" s="402">
        <f>IF(AND(45&gt;=$NR$95,45&lt;=$NS$95),IF($NP$95="Single_Point",IF(45=$NR$95,$NN$95,0),IF($NP$95="Bell_Curve",$NN$95*(45-$NR$95+1)*($NS$95-45+1)/$NU$95,$NN$95/$NT$95)),0)</f>
        <v/>
      </c>
      <c r="AX95" s="402">
        <f>IF(AND(46&gt;=$NR$95,46&lt;=$NS$95),IF($NP$95="Single_Point",IF(46=$NR$95,$NN$95,0),IF($NP$95="Bell_Curve",$NN$95*(46-$NR$95+1)*($NS$95-46+1)/$NU$95,$NN$95/$NT$95)),0)</f>
        <v/>
      </c>
      <c r="AY95" s="402">
        <f>IF(AND(47&gt;=$NR$95,47&lt;=$NS$95),IF($NP$95="Single_Point",IF(47=$NR$95,$NN$95,0),IF($NP$95="Bell_Curve",$NN$95*(47-$NR$95+1)*($NS$95-47+1)/$NU$95,$NN$95/$NT$95)),0)</f>
        <v/>
      </c>
      <c r="AZ95" s="402">
        <f>IF(AND(48&gt;=$NR$95,48&lt;=$NS$95),IF($NP$95="Single_Point",IF(48=$NR$95,$NN$95,0),IF($NP$95="Bell_Curve",$NN$95*(48-$NR$95+1)*($NS$95-48+1)/$NU$95,$NN$95/$NT$95)),0)</f>
        <v/>
      </c>
      <c r="BA95" s="402">
        <f>IF(AND(49&gt;=$NR$95,49&lt;=$NS$95),IF($NP$95="Single_Point",IF(49=$NR$95,$NN$95,0),IF($NP$95="Bell_Curve",$NN$95*(49-$NR$95+1)*($NS$95-49+1)/$NU$95,$NN$95/$NT$95)),0)</f>
        <v/>
      </c>
      <c r="BB95" s="402">
        <f>IF(AND(50&gt;=$NR$95,50&lt;=$NS$95),IF($NP$95="Single_Point",IF(50=$NR$95,$NN$95,0),IF($NP$95="Bell_Curve",$NN$95*(50-$NR$95+1)*($NS$95-50+1)/$NU$95,$NN$95/$NT$95)),0)</f>
        <v/>
      </c>
      <c r="BC95" s="402">
        <f>IF(AND(51&gt;=$NR$95,51&lt;=$NS$95),IF($NP$95="Single_Point",IF(51=$NR$95,$NN$95,0),IF($NP$95="Bell_Curve",$NN$95*(51-$NR$95+1)*($NS$95-51+1)/$NU$95,$NN$95/$NT$95)),0)</f>
        <v/>
      </c>
      <c r="BD95" s="402">
        <f>IF(AND(52&gt;=$NR$95,52&lt;=$NS$95),IF($NP$95="Single_Point",IF(52=$NR$95,$NN$95,0),IF($NP$95="Bell_Curve",$NN$95*(52-$NR$95+1)*($NS$95-52+1)/$NU$95,$NN$95/$NT$95)),0)</f>
        <v/>
      </c>
      <c r="BE95" s="402">
        <f>IF(AND(53&gt;=$NR$95,53&lt;=$NS$95),IF($NP$95="Single_Point",IF(53=$NR$95,$NN$95,0),IF($NP$95="Bell_Curve",$NN$95*(53-$NR$95+1)*($NS$95-53+1)/$NU$95,$NN$95/$NT$95)),0)</f>
        <v/>
      </c>
      <c r="BF95" s="402">
        <f>IF(AND(54&gt;=$NR$95,54&lt;=$NS$95),IF($NP$95="Single_Point",IF(54=$NR$95,$NN$95,0),IF($NP$95="Bell_Curve",$NN$95*(54-$NR$95+1)*($NS$95-54+1)/$NU$95,$NN$95/$NT$95)),0)</f>
        <v/>
      </c>
      <c r="BG95" s="402">
        <f>IF(AND(55&gt;=$NR$95,55&lt;=$NS$95),IF($NP$95="Single_Point",IF(55=$NR$95,$NN$95,0),IF($NP$95="Bell_Curve",$NN$95*(55-$NR$95+1)*($NS$95-55+1)/$NU$95,$NN$95/$NT$95)),0)</f>
        <v/>
      </c>
      <c r="BH95" s="402">
        <f>IF(AND(56&gt;=$NR$95,56&lt;=$NS$95),IF($NP$95="Single_Point",IF(56=$NR$95,$NN$95,0),IF($NP$95="Bell_Curve",$NN$95*(56-$NR$95+1)*($NS$95-56+1)/$NU$95,$NN$95/$NT$95)),0)</f>
        <v/>
      </c>
      <c r="BI95" s="402">
        <f>IF(AND(57&gt;=$NR$95,57&lt;=$NS$95),IF($NP$95="Single_Point",IF(57=$NR$95,$NN$95,0),IF($NP$95="Bell_Curve",$NN$95*(57-$NR$95+1)*($NS$95-57+1)/$NU$95,$NN$95/$NT$95)),0)</f>
        <v/>
      </c>
      <c r="BJ95" s="402">
        <f>IF(AND(58&gt;=$NR$95,58&lt;=$NS$95),IF($NP$95="Single_Point",IF(58=$NR$95,$NN$95,0),IF($NP$95="Bell_Curve",$NN$95*(58-$NR$95+1)*($NS$95-58+1)/$NU$95,$NN$95/$NT$95)),0)</f>
        <v/>
      </c>
      <c r="BK95" s="402">
        <f>IF(AND(59&gt;=$NR$95,59&lt;=$NS$95),IF($NP$95="Single_Point",IF(59=$NR$95,$NN$95,0),IF($NP$95="Bell_Curve",$NN$95*(59-$NR$95+1)*($NS$95-59+1)/$NU$95,$NN$95/$NT$95)),0)</f>
        <v/>
      </c>
      <c r="BL95" s="402">
        <f>IF(AND(60&gt;=$NR$95,60&lt;=$NS$95),IF($NP$95="Single_Point",IF(60=$NR$95,$NN$95,0),IF($NP$95="Bell_Curve",$NN$95*(60-$NR$95+1)*($NS$95-60+1)/$NU$95,$NN$95/$NT$95)),0)</f>
        <v/>
      </c>
      <c r="BM95" s="402">
        <f>IF(AND(61&gt;=$NR$95,61&lt;=$NS$95),IF($NP$95="Single_Point",IF(61=$NR$95,$NN$95,0),IF($NP$95="Bell_Curve",$NN$95*(61-$NR$95+1)*($NS$95-61+1)/$NU$95,$NN$95/$NT$95)),0)</f>
        <v/>
      </c>
      <c r="BN95" s="402">
        <f>IF(AND(62&gt;=$NR$95,62&lt;=$NS$95),IF($NP$95="Single_Point",IF(62=$NR$95,$NN$95,0),IF($NP$95="Bell_Curve",$NN$95*(62-$NR$95+1)*($NS$95-62+1)/$NU$95,$NN$95/$NT$95)),0)</f>
        <v/>
      </c>
      <c r="BO95" s="402">
        <f>IF(AND(63&gt;=$NR$95,63&lt;=$NS$95),IF($NP$95="Single_Point",IF(63=$NR$95,$NN$95,0),IF($NP$95="Bell_Curve",$NN$95*(63-$NR$95+1)*($NS$95-63+1)/$NU$95,$NN$95/$NT$95)),0)</f>
        <v/>
      </c>
      <c r="BP95" s="402">
        <f>IF(AND(64&gt;=$NR$95,64&lt;=$NS$95),IF($NP$95="Single_Point",IF(64=$NR$95,$NN$95,0),IF($NP$95="Bell_Curve",$NN$95*(64-$NR$95+1)*($NS$95-64+1)/$NU$95,$NN$95/$NT$95)),0)</f>
        <v/>
      </c>
      <c r="BQ95" s="402">
        <f>IF(AND(65&gt;=$NR$95,65&lt;=$NS$95),IF($NP$95="Single_Point",IF(65=$NR$95,$NN$95,0),IF($NP$95="Bell_Curve",$NN$95*(65-$NR$95+1)*($NS$95-65+1)/$NU$95,$NN$95/$NT$95)),0)</f>
        <v/>
      </c>
      <c r="BR95" s="402">
        <f>IF(AND(66&gt;=$NR$95,66&lt;=$NS$95),IF($NP$95="Single_Point",IF(66=$NR$95,$NN$95,0),IF($NP$95="Bell_Curve",$NN$95*(66-$NR$95+1)*($NS$95-66+1)/$NU$95,$NN$95/$NT$95)),0)</f>
        <v/>
      </c>
      <c r="BS95" s="402">
        <f>IF(AND(67&gt;=$NR$95,67&lt;=$NS$95),IF($NP$95="Single_Point",IF(67=$NR$95,$NN$95,0),IF($NP$95="Bell_Curve",$NN$95*(67-$NR$95+1)*($NS$95-67+1)/$NU$95,$NN$95/$NT$95)),0)</f>
        <v/>
      </c>
      <c r="BT95" s="402">
        <f>IF(AND(68&gt;=$NR$95,68&lt;=$NS$95),IF($NP$95="Single_Point",IF(68=$NR$95,$NN$95,0),IF($NP$95="Bell_Curve",$NN$95*(68-$NR$95+1)*($NS$95-68+1)/$NU$95,$NN$95/$NT$95)),0)</f>
        <v/>
      </c>
      <c r="BU95" s="402">
        <f>IF(AND(69&gt;=$NR$95,69&lt;=$NS$95),IF($NP$95="Single_Point",IF(69=$NR$95,$NN$95,0),IF($NP$95="Bell_Curve",$NN$95*(69-$NR$95+1)*($NS$95-69+1)/$NU$95,$NN$95/$NT$95)),0)</f>
        <v/>
      </c>
      <c r="BV95" s="402">
        <f>IF(AND(70&gt;=$NR$95,70&lt;=$NS$95),IF($NP$95="Single_Point",IF(70=$NR$95,$NN$95,0),IF($NP$95="Bell_Curve",$NN$95*(70-$NR$95+1)*($NS$95-70+1)/$NU$95,$NN$95/$NT$95)),0)</f>
        <v/>
      </c>
      <c r="BW95" s="402">
        <f>IF(AND(71&gt;=$NR$95,71&lt;=$NS$95),IF($NP$95="Single_Point",IF(71=$NR$95,$NN$95,0),IF($NP$95="Bell_Curve",$NN$95*(71-$NR$95+1)*($NS$95-71+1)/$NU$95,$NN$95/$NT$95)),0)</f>
        <v/>
      </c>
      <c r="BX95" s="402">
        <f>IF(AND(72&gt;=$NR$95,72&lt;=$NS$95),IF($NP$95="Single_Point",IF(72=$NR$95,$NN$95,0),IF($NP$95="Bell_Curve",$NN$95*(72-$NR$95+1)*($NS$95-72+1)/$NU$95,$NN$95/$NT$95)),0)</f>
        <v/>
      </c>
      <c r="BY95" s="402">
        <f>IF(AND(73&gt;=$NR$95,73&lt;=$NS$95),IF($NP$95="Single_Point",IF(73=$NR$95,$NN$95,0),IF($NP$95="Bell_Curve",$NN$95*(73-$NR$95+1)*($NS$95-73+1)/$NU$95,$NN$95/$NT$95)),0)</f>
        <v/>
      </c>
      <c r="BZ95" s="402">
        <f>IF(AND(74&gt;=$NR$95,74&lt;=$NS$95),IF($NP$95="Single_Point",IF(74=$NR$95,$NN$95,0),IF($NP$95="Bell_Curve",$NN$95*(74-$NR$95+1)*($NS$95-74+1)/$NU$95,$NN$95/$NT$95)),0)</f>
        <v/>
      </c>
      <c r="CA95" s="402">
        <f>IF(AND(75&gt;=$NR$95,75&lt;=$NS$95),IF($NP$95="Single_Point",IF(75=$NR$95,$NN$95,0),IF($NP$95="Bell_Curve",$NN$95*(75-$NR$95+1)*($NS$95-75+1)/$NU$95,$NN$95/$NT$95)),0)</f>
        <v/>
      </c>
      <c r="CB95" s="402">
        <f>IF(AND(76&gt;=$NR$95,76&lt;=$NS$95),IF($NP$95="Single_Point",IF(76=$NR$95,$NN$95,0),IF($NP$95="Bell_Curve",$NN$95*(76-$NR$95+1)*($NS$95-76+1)/$NU$95,$NN$95/$NT$95)),0)</f>
        <v/>
      </c>
      <c r="CC95" s="402">
        <f>IF(AND(77&gt;=$NR$95,77&lt;=$NS$95),IF($NP$95="Single_Point",IF(77=$NR$95,$NN$95,0),IF($NP$95="Bell_Curve",$NN$95*(77-$NR$95+1)*($NS$95-77+1)/$NU$95,$NN$95/$NT$95)),0)</f>
        <v/>
      </c>
      <c r="CD95" s="402">
        <f>IF(AND(78&gt;=$NR$95,78&lt;=$NS$95),IF($NP$95="Single_Point",IF(78=$NR$95,$NN$95,0),IF($NP$95="Bell_Curve",$NN$95*(78-$NR$95+1)*($NS$95-78+1)/$NU$95,$NN$95/$NT$95)),0)</f>
        <v/>
      </c>
      <c r="CE95" s="402">
        <f>IF(AND(79&gt;=$NR$95,79&lt;=$NS$95),IF($NP$95="Single_Point",IF(79=$NR$95,$NN$95,0),IF($NP$95="Bell_Curve",$NN$95*(79-$NR$95+1)*($NS$95-79+1)/$NU$95,$NN$95/$NT$95)),0)</f>
        <v/>
      </c>
      <c r="CF95" s="402">
        <f>IF(AND(80&gt;=$NR$95,80&lt;=$NS$95),IF($NP$95="Single_Point",IF(80=$NR$95,$NN$95,0),IF($NP$95="Bell_Curve",$NN$95*(80-$NR$95+1)*($NS$95-80+1)/$NU$95,$NN$95/$NT$95)),0)</f>
        <v/>
      </c>
      <c r="CG95" s="402">
        <f>IF(AND(81&gt;=$NR$95,81&lt;=$NS$95),IF($NP$95="Single_Point",IF(81=$NR$95,$NN$95,0),IF($NP$95="Bell_Curve",$NN$95*(81-$NR$95+1)*($NS$95-81+1)/$NU$95,$NN$95/$NT$95)),0)</f>
        <v/>
      </c>
      <c r="CH95" s="402">
        <f>IF(AND(82&gt;=$NR$95,82&lt;=$NS$95),IF($NP$95="Single_Point",IF(82=$NR$95,$NN$95,0),IF($NP$95="Bell_Curve",$NN$95*(82-$NR$95+1)*($NS$95-82+1)/$NU$95,$NN$95/$NT$95)),0)</f>
        <v/>
      </c>
      <c r="CI95" s="402">
        <f>IF(AND(83&gt;=$NR$95,83&lt;=$NS$95),IF($NP$95="Single_Point",IF(83=$NR$95,$NN$95,0),IF($NP$95="Bell_Curve",$NN$95*(83-$NR$95+1)*($NS$95-83+1)/$NU$95,$NN$95/$NT$95)),0)</f>
        <v/>
      </c>
      <c r="CJ95" s="402">
        <f>IF(AND(84&gt;=$NR$95,84&lt;=$NS$95),IF($NP$95="Single_Point",IF(84=$NR$95,$NN$95,0),IF($NP$95="Bell_Curve",$NN$95*(84-$NR$95+1)*($NS$95-84+1)/$NU$95,$NN$95/$NT$95)),0)</f>
        <v/>
      </c>
      <c r="CK95" s="402">
        <f>IF(AND(85&gt;=$NR$95,85&lt;=$NS$95),IF($NP$95="Single_Point",IF(85=$NR$95,$NN$95,0),IF($NP$95="Bell_Curve",$NN$95*(85-$NR$95+1)*($NS$95-85+1)/$NU$95,$NN$95/$NT$95)),0)</f>
        <v/>
      </c>
      <c r="CL95" s="402">
        <f>IF(AND(86&gt;=$NR$95,86&lt;=$NS$95),IF($NP$95="Single_Point",IF(86=$NR$95,$NN$95,0),IF($NP$95="Bell_Curve",$NN$95*(86-$NR$95+1)*($NS$95-86+1)/$NU$95,$NN$95/$NT$95)),0)</f>
        <v/>
      </c>
      <c r="CM95" s="402">
        <f>IF(AND(87&gt;=$NR$95,87&lt;=$NS$95),IF($NP$95="Single_Point",IF(87=$NR$95,$NN$95,0),IF($NP$95="Bell_Curve",$NN$95*(87-$NR$95+1)*($NS$95-87+1)/$NU$95,$NN$95/$NT$95)),0)</f>
        <v/>
      </c>
      <c r="CN95" s="402">
        <f>IF(AND(88&gt;=$NR$95,88&lt;=$NS$95),IF($NP$95="Single_Point",IF(88=$NR$95,$NN$95,0),IF($NP$95="Bell_Curve",$NN$95*(88-$NR$95+1)*($NS$95-88+1)/$NU$95,$NN$95/$NT$95)),0)</f>
        <v/>
      </c>
      <c r="CO95" s="402">
        <f>IF(AND(89&gt;=$NR$95,89&lt;=$NS$95),IF($NP$95="Single_Point",IF(89=$NR$95,$NN$95,0),IF($NP$95="Bell_Curve",$NN$95*(89-$NR$95+1)*($NS$95-89+1)/$NU$95,$NN$95/$NT$95)),0)</f>
        <v/>
      </c>
      <c r="CP95" s="402">
        <f>IF(AND(90&gt;=$NR$95,90&lt;=$NS$95),IF($NP$95="Single_Point",IF(90=$NR$95,$NN$95,0),IF($NP$95="Bell_Curve",$NN$95*(90-$NR$95+1)*($NS$95-90+1)/$NU$95,$NN$95/$NT$95)),0)</f>
        <v/>
      </c>
      <c r="CQ95" s="402">
        <f>IF(AND(91&gt;=$NR$95,91&lt;=$NS$95),IF($NP$95="Single_Point",IF(91=$NR$95,$NN$95,0),IF($NP$95="Bell_Curve",$NN$95*(91-$NR$95+1)*($NS$95-91+1)/$NU$95,$NN$95/$NT$95)),0)</f>
        <v/>
      </c>
      <c r="CR95" s="402">
        <f>IF(AND(92&gt;=$NR$95,92&lt;=$NS$95),IF($NP$95="Single_Point",IF(92=$NR$95,$NN$95,0),IF($NP$95="Bell_Curve",$NN$95*(92-$NR$95+1)*($NS$95-92+1)/$NU$95,$NN$95/$NT$95)),0)</f>
        <v/>
      </c>
      <c r="CS95" s="402">
        <f>IF(AND(93&gt;=$NR$95,93&lt;=$NS$95),IF($NP$95="Single_Point",IF(93=$NR$95,$NN$95,0),IF($NP$95="Bell_Curve",$NN$95*(93-$NR$95+1)*($NS$95-93+1)/$NU$95,$NN$95/$NT$95)),0)</f>
        <v/>
      </c>
      <c r="CT95" s="402">
        <f>IF(AND(94&gt;=$NR$95,94&lt;=$NS$95),IF($NP$95="Single_Point",IF(94=$NR$95,$NN$95,0),IF($NP$95="Bell_Curve",$NN$95*(94-$NR$95+1)*($NS$95-94+1)/$NU$95,$NN$95/$NT$95)),0)</f>
        <v/>
      </c>
      <c r="CU95" s="402">
        <f>IF(AND(95&gt;=$NR$95,95&lt;=$NS$95),IF($NP$95="Single_Point",IF(95=$NR$95,$NN$95,0),IF($NP$95="Bell_Curve",$NN$95*(95-$NR$95+1)*($NS$95-95+1)/$NU$95,$NN$95/$NT$95)),0)</f>
        <v/>
      </c>
      <c r="CV95" s="402">
        <f>IF(AND(96&gt;=$NR$95,96&lt;=$NS$95),IF($NP$95="Single_Point",IF(96=$NR$95,$NN$95,0),IF($NP$95="Bell_Curve",$NN$95*(96-$NR$95+1)*($NS$95-96+1)/$NU$95,$NN$95/$NT$95)),0)</f>
        <v/>
      </c>
      <c r="CW95" s="402">
        <f>IF(AND(97&gt;=$NR$95,97&lt;=$NS$95),IF($NP$95="Single_Point",IF(97=$NR$95,$NN$95,0),IF($NP$95="Bell_Curve",$NN$95*(97-$NR$95+1)*($NS$95-97+1)/$NU$95,$NN$95/$NT$95)),0)</f>
        <v/>
      </c>
      <c r="CX95" s="402">
        <f>IF(AND(98&gt;=$NR$95,98&lt;=$NS$95),IF($NP$95="Single_Point",IF(98=$NR$95,$NN$95,0),IF($NP$95="Bell_Curve",$NN$95*(98-$NR$95+1)*($NS$95-98+1)/$NU$95,$NN$95/$NT$95)),0)</f>
        <v/>
      </c>
      <c r="CY95" s="402">
        <f>IF(AND(99&gt;=$NR$95,99&lt;=$NS$95),IF($NP$95="Single_Point",IF(99=$NR$95,$NN$95,0),IF($NP$95="Bell_Curve",$NN$95*(99-$NR$95+1)*($NS$95-99+1)/$NU$95,$NN$95/$NT$95)),0)</f>
        <v/>
      </c>
      <c r="CZ95" s="402">
        <f>IF(AND(100&gt;=$NR$95,100&lt;=$NS$95),IF($NP$95="Single_Point",IF(100=$NR$95,$NN$95,0),IF($NP$95="Bell_Curve",$NN$95*(100-$NR$95+1)*($NS$95-100+1)/$NU$95,$NN$95/$NT$95)),0)</f>
        <v/>
      </c>
      <c r="DA95" s="402">
        <f>IF(AND(101&gt;=$NR$95,101&lt;=$NS$95),IF($NP$95="Single_Point",IF(101=$NR$95,$NN$95,0),IF($NP$95="Bell_Curve",$NN$95*(101-$NR$95+1)*($NS$95-101+1)/$NU$95,$NN$95/$NT$95)),0)</f>
        <v/>
      </c>
      <c r="DB95" s="402">
        <f>IF(AND(102&gt;=$NR$95,102&lt;=$NS$95),IF($NP$95="Single_Point",IF(102=$NR$95,$NN$95,0),IF($NP$95="Bell_Curve",$NN$95*(102-$NR$95+1)*($NS$95-102+1)/$NU$95,$NN$95/$NT$95)),0)</f>
        <v/>
      </c>
      <c r="DC95" s="402">
        <f>IF(AND(103&gt;=$NR$95,103&lt;=$NS$95),IF($NP$95="Single_Point",IF(103=$NR$95,$NN$95,0),IF($NP$95="Bell_Curve",$NN$95*(103-$NR$95+1)*($NS$95-103+1)/$NU$95,$NN$95/$NT$95)),0)</f>
        <v/>
      </c>
      <c r="DD95" s="402">
        <f>IF(AND(104&gt;=$NR$95,104&lt;=$NS$95),IF($NP$95="Single_Point",IF(104=$NR$95,$NN$95,0),IF($NP$95="Bell_Curve",$NN$95*(104-$NR$95+1)*($NS$95-104+1)/$NU$95,$NN$95/$NT$95)),0)</f>
        <v/>
      </c>
      <c r="DE95" s="402">
        <f>IF(AND(105&gt;=$NR$95,105&lt;=$NS$95),IF($NP$95="Single_Point",IF(105=$NR$95,$NN$95,0),IF($NP$95="Bell_Curve",$NN$95*(105-$NR$95+1)*($NS$95-105+1)/$NU$95,$NN$95/$NT$95)),0)</f>
        <v/>
      </c>
      <c r="DF95" s="402">
        <f>IF(AND(106&gt;=$NR$95,106&lt;=$NS$95),IF($NP$95="Single_Point",IF(106=$NR$95,$NN$95,0),IF($NP$95="Bell_Curve",$NN$95*(106-$NR$95+1)*($NS$95-106+1)/$NU$95,$NN$95/$NT$95)),0)</f>
        <v/>
      </c>
      <c r="DG95" s="402">
        <f>IF(AND(107&gt;=$NR$95,107&lt;=$NS$95),IF($NP$95="Single_Point",IF(107=$NR$95,$NN$95,0),IF($NP$95="Bell_Curve",$NN$95*(107-$NR$95+1)*($NS$95-107+1)/$NU$95,$NN$95/$NT$95)),0)</f>
        <v/>
      </c>
      <c r="DH95" s="402">
        <f>IF(AND(108&gt;=$NR$95,108&lt;=$NS$95),IF($NP$95="Single_Point",IF(108=$NR$95,$NN$95,0),IF($NP$95="Bell_Curve",$NN$95*(108-$NR$95+1)*($NS$95-108+1)/$NU$95,$NN$95/$NT$95)),0)</f>
        <v/>
      </c>
      <c r="DI95" s="402">
        <f>IF(AND(109&gt;=$NR$95,109&lt;=$NS$95),IF($NP$95="Single_Point",IF(109=$NR$95,$NN$95,0),IF($NP$95="Bell_Curve",$NN$95*(109-$NR$95+1)*($NS$95-109+1)/$NU$95,$NN$95/$NT$95)),0)</f>
        <v/>
      </c>
      <c r="DJ95" s="402">
        <f>IF(AND(110&gt;=$NR$95,110&lt;=$NS$95),IF($NP$95="Single_Point",IF(110=$NR$95,$NN$95,0),IF($NP$95="Bell_Curve",$NN$95*(110-$NR$95+1)*($NS$95-110+1)/$NU$95,$NN$95/$NT$95)),0)</f>
        <v/>
      </c>
      <c r="DK95" s="402">
        <f>IF(AND(111&gt;=$NR$95,111&lt;=$NS$95),IF($NP$95="Single_Point",IF(111=$NR$95,$NN$95,0),IF($NP$95="Bell_Curve",$NN$95*(111-$NR$95+1)*($NS$95-111+1)/$NU$95,$NN$95/$NT$95)),0)</f>
        <v/>
      </c>
      <c r="DL95" s="402">
        <f>IF(AND(112&gt;=$NR$95,112&lt;=$NS$95),IF($NP$95="Single_Point",IF(112=$NR$95,$NN$95,0),IF($NP$95="Bell_Curve",$NN$95*(112-$NR$95+1)*($NS$95-112+1)/$NU$95,$NN$95/$NT$95)),0)</f>
        <v/>
      </c>
      <c r="DM95" s="402">
        <f>IF(AND(113&gt;=$NR$95,113&lt;=$NS$95),IF($NP$95="Single_Point",IF(113=$NR$95,$NN$95,0),IF($NP$95="Bell_Curve",$NN$95*(113-$NR$95+1)*($NS$95-113+1)/$NU$95,$NN$95/$NT$95)),0)</f>
        <v/>
      </c>
      <c r="DN95" s="402">
        <f>IF(AND(114&gt;=$NR$95,114&lt;=$NS$95),IF($NP$95="Single_Point",IF(114=$NR$95,$NN$95,0),IF($NP$95="Bell_Curve",$NN$95*(114-$NR$95+1)*($NS$95-114+1)/$NU$95,$NN$95/$NT$95)),0)</f>
        <v/>
      </c>
      <c r="DO95" s="402">
        <f>IF(AND(115&gt;=$NR$95,115&lt;=$NS$95),IF($NP$95="Single_Point",IF(115=$NR$95,$NN$95,0),IF($NP$95="Bell_Curve",$NN$95*(115-$NR$95+1)*($NS$95-115+1)/$NU$95,$NN$95/$NT$95)),0)</f>
        <v/>
      </c>
      <c r="DP95" s="402">
        <f>IF(AND(116&gt;=$NR$95,116&lt;=$NS$95),IF($NP$95="Single_Point",IF(116=$NR$95,$NN$95,0),IF($NP$95="Bell_Curve",$NN$95*(116-$NR$95+1)*($NS$95-116+1)/$NU$95,$NN$95/$NT$95)),0)</f>
        <v/>
      </c>
      <c r="DQ95" s="402">
        <f>IF(AND(117&gt;=$NR$95,117&lt;=$NS$95),IF($NP$95="Single_Point",IF(117=$NR$95,$NN$95,0),IF($NP$95="Bell_Curve",$NN$95*(117-$NR$95+1)*($NS$95-117+1)/$NU$95,$NN$95/$NT$95)),0)</f>
        <v/>
      </c>
      <c r="DR95" s="402">
        <f>IF(AND(118&gt;=$NR$95,118&lt;=$NS$95),IF($NP$95="Single_Point",IF(118=$NR$95,$NN$95,0),IF($NP$95="Bell_Curve",$NN$95*(118-$NR$95+1)*($NS$95-118+1)/$NU$95,$NN$95/$NT$95)),0)</f>
        <v/>
      </c>
      <c r="DS95" s="402">
        <f>IF(AND(119&gt;=$NR$95,119&lt;=$NS$95),IF($NP$95="Single_Point",IF(119=$NR$95,$NN$95,0),IF($NP$95="Bell_Curve",$NN$95*(119-$NR$95+1)*($NS$95-119+1)/$NU$95,$NN$95/$NT$95)),0)</f>
        <v/>
      </c>
      <c r="DT95" s="402">
        <f>IF(AND(120&gt;=$NR$95,120&lt;=$NS$95),IF($NP$95="Single_Point",IF(120=$NR$95,$NN$95,0),IF($NP$95="Bell_Curve",$NN$95*(120-$NR$95+1)*($NS$95-120+1)/$NU$95,$NN$95/$NT$95)),0)</f>
        <v/>
      </c>
      <c r="DU95" s="402">
        <f>IF(AND(121&gt;=$NR$95,121&lt;=$NS$95),IF($NP$95="Single_Point",IF(121=$NR$95,$NN$95,0),IF($NP$95="Bell_Curve",$NN$95*(121-$NR$95+1)*($NS$95-121+1)/$NU$95,$NN$95/$NT$95)),0)</f>
        <v/>
      </c>
      <c r="DV95" s="402">
        <f>IF(AND(122&gt;=$NR$95,122&lt;=$NS$95),IF($NP$95="Single_Point",IF(122=$NR$95,$NN$95,0),IF($NP$95="Bell_Curve",$NN$95*(122-$NR$95+1)*($NS$95-122+1)/$NU$95,$NN$95/$NT$95)),0)</f>
        <v/>
      </c>
      <c r="DW95" s="402">
        <f>IF(AND(123&gt;=$NR$95,123&lt;=$NS$95),IF($NP$95="Single_Point",IF(123=$NR$95,$NN$95,0),IF($NP$95="Bell_Curve",$NN$95*(123-$NR$95+1)*($NS$95-123+1)/$NU$95,$NN$95/$NT$95)),0)</f>
        <v/>
      </c>
      <c r="DX95" s="402">
        <f>IF(AND(124&gt;=$NR$95,124&lt;=$NS$95),IF($NP$95="Single_Point",IF(124=$NR$95,$NN$95,0),IF($NP$95="Bell_Curve",$NN$95*(124-$NR$95+1)*($NS$95-124+1)/$NU$95,$NN$95/$NT$95)),0)</f>
        <v/>
      </c>
      <c r="DY95" s="402">
        <f>IF(AND(125&gt;=$NR$95,125&lt;=$NS$95),IF($NP$95="Single_Point",IF(125=$NR$95,$NN$95,0),IF($NP$95="Bell_Curve",$NN$95*(125-$NR$95+1)*($NS$95-125+1)/$NU$95,$NN$95/$NT$95)),0)</f>
        <v/>
      </c>
      <c r="DZ95" s="402">
        <f>IF(AND(126&gt;=$NR$95,126&lt;=$NS$95),IF($NP$95="Single_Point",IF(126=$NR$95,$NN$95,0),IF($NP$95="Bell_Curve",$NN$95*(126-$NR$95+1)*($NS$95-126+1)/$NU$95,$NN$95/$NT$95)),0)</f>
        <v/>
      </c>
      <c r="EA95" s="402">
        <f>IF(AND(127&gt;=$NR$95,127&lt;=$NS$95),IF($NP$95="Single_Point",IF(127=$NR$95,$NN$95,0),IF($NP$95="Bell_Curve",$NN$95*(127-$NR$95+1)*($NS$95-127+1)/$NU$95,$NN$95/$NT$95)),0)</f>
        <v/>
      </c>
      <c r="EB95" s="402">
        <f>IF(AND(128&gt;=$NR$95,128&lt;=$NS$95),IF($NP$95="Single_Point",IF(128=$NR$95,$NN$95,0),IF($NP$95="Bell_Curve",$NN$95*(128-$NR$95+1)*($NS$95-128+1)/$NU$95,$NN$95/$NT$95)),0)</f>
        <v/>
      </c>
      <c r="EC95" s="402">
        <f>IF(AND(129&gt;=$NR$95,129&lt;=$NS$95),IF($NP$95="Single_Point",IF(129=$NR$95,$NN$95,0),IF($NP$95="Bell_Curve",$NN$95*(129-$NR$95+1)*($NS$95-129+1)/$NU$95,$NN$95/$NT$95)),0)</f>
        <v/>
      </c>
      <c r="ED95" s="402">
        <f>IF(AND(130&gt;=$NR$95,130&lt;=$NS$95),IF($NP$95="Single_Point",IF(130=$NR$95,$NN$95,0),IF($NP$95="Bell_Curve",$NN$95*(130-$NR$95+1)*($NS$95-130+1)/$NU$95,$NN$95/$NT$95)),0)</f>
        <v/>
      </c>
      <c r="EE95" s="402">
        <f>IF(AND(131&gt;=$NR$95,131&lt;=$NS$95),IF($NP$95="Single_Point",IF(131=$NR$95,$NN$95,0),IF($NP$95="Bell_Curve",$NN$95*(131-$NR$95+1)*($NS$95-131+1)/$NU$95,$NN$95/$NT$95)),0)</f>
        <v/>
      </c>
      <c r="EF95" s="402">
        <f>IF(AND(132&gt;=$NR$95,132&lt;=$NS$95),IF($NP$95="Single_Point",IF(132=$NR$95,$NN$95,0),IF($NP$95="Bell_Curve",$NN$95*(132-$NR$95+1)*($NS$95-132+1)/$NU$95,$NN$95/$NT$95)),0)</f>
        <v/>
      </c>
      <c r="EG95" s="402">
        <f>IF(AND(133&gt;=$NR$95,133&lt;=$NS$95),IF($NP$95="Single_Point",IF(133=$NR$95,$NN$95,0),IF($NP$95="Bell_Curve",$NN$95*(133-$NR$95+1)*($NS$95-133+1)/$NU$95,$NN$95/$NT$95)),0)</f>
        <v/>
      </c>
      <c r="EH95" s="402">
        <f>IF(AND(134&gt;=$NR$95,134&lt;=$NS$95),IF($NP$95="Single_Point",IF(134=$NR$95,$NN$95,0),IF($NP$95="Bell_Curve",$NN$95*(134-$NR$95+1)*($NS$95-134+1)/$NU$95,$NN$95/$NT$95)),0)</f>
        <v/>
      </c>
      <c r="EI95" s="402">
        <f>IF(AND(135&gt;=$NR$95,135&lt;=$NS$95),IF($NP$95="Single_Point",IF(135=$NR$95,$NN$95,0),IF($NP$95="Bell_Curve",$NN$95*(135-$NR$95+1)*($NS$95-135+1)/$NU$95,$NN$95/$NT$95)),0)</f>
        <v/>
      </c>
      <c r="EJ95" s="402">
        <f>IF(AND(136&gt;=$NR$95,136&lt;=$NS$95),IF($NP$95="Single_Point",IF(136=$NR$95,$NN$95,0),IF($NP$95="Bell_Curve",$NN$95*(136-$NR$95+1)*($NS$95-136+1)/$NU$95,$NN$95/$NT$95)),0)</f>
        <v/>
      </c>
      <c r="EK95" s="402">
        <f>IF(AND(137&gt;=$NR$95,137&lt;=$NS$95),IF($NP$95="Single_Point",IF(137=$NR$95,$NN$95,0),IF($NP$95="Bell_Curve",$NN$95*(137-$NR$95+1)*($NS$95-137+1)/$NU$95,$NN$95/$NT$95)),0)</f>
        <v/>
      </c>
      <c r="EL95" s="402">
        <f>IF(AND(138&gt;=$NR$95,138&lt;=$NS$95),IF($NP$95="Single_Point",IF(138=$NR$95,$NN$95,0),IF($NP$95="Bell_Curve",$NN$95*(138-$NR$95+1)*($NS$95-138+1)/$NU$95,$NN$95/$NT$95)),0)</f>
        <v/>
      </c>
      <c r="EM95" s="402">
        <f>IF(AND(139&gt;=$NR$95,139&lt;=$NS$95),IF($NP$95="Single_Point",IF(139=$NR$95,$NN$95,0),IF($NP$95="Bell_Curve",$NN$95*(139-$NR$95+1)*($NS$95-139+1)/$NU$95,$NN$95/$NT$95)),0)</f>
        <v/>
      </c>
      <c r="EN95" s="402">
        <f>IF(AND(140&gt;=$NR$95,140&lt;=$NS$95),IF($NP$95="Single_Point",IF(140=$NR$95,$NN$95,0),IF($NP$95="Bell_Curve",$NN$95*(140-$NR$95+1)*($NS$95-140+1)/$NU$95,$NN$95/$NT$95)),0)</f>
        <v/>
      </c>
      <c r="EO95" s="402">
        <f>IF(AND(141&gt;=$NR$95,141&lt;=$NS$95),IF($NP$95="Single_Point",IF(141=$NR$95,$NN$95,0),IF($NP$95="Bell_Curve",$NN$95*(141-$NR$95+1)*($NS$95-141+1)/$NU$95,$NN$95/$NT$95)),0)</f>
        <v/>
      </c>
      <c r="EP95" s="402">
        <f>IF(AND(142&gt;=$NR$95,142&lt;=$NS$95),IF($NP$95="Single_Point",IF(142=$NR$95,$NN$95,0),IF($NP$95="Bell_Curve",$NN$95*(142-$NR$95+1)*($NS$95-142+1)/$NU$95,$NN$95/$NT$95)),0)</f>
        <v/>
      </c>
      <c r="EQ95" s="402">
        <f>IF(AND(143&gt;=$NR$95,143&lt;=$NS$95),IF($NP$95="Single_Point",IF(143=$NR$95,$NN$95,0),IF($NP$95="Bell_Curve",$NN$95*(143-$NR$95+1)*($NS$95-143+1)/$NU$95,$NN$95/$NT$95)),0)</f>
        <v/>
      </c>
      <c r="ER95" s="402">
        <f>IF(AND(144&gt;=$NR$95,144&lt;=$NS$95),IF($NP$95="Single_Point",IF(144=$NR$95,$NN$95,0),IF($NP$95="Bell_Curve",$NN$95*(144-$NR$95+1)*($NS$95-144+1)/$NU$95,$NN$95/$NT$95)),0)</f>
        <v/>
      </c>
      <c r="ES95" s="402">
        <f>IF(AND(145&gt;=$NR$95,145&lt;=$NS$95),IF($NP$95="Single_Point",IF(145=$NR$95,$NN$95,0),IF($NP$95="Bell_Curve",$NN$95*(145-$NR$95+1)*($NS$95-145+1)/$NU$95,$NN$95/$NT$95)),0)</f>
        <v/>
      </c>
      <c r="ET95" s="402">
        <f>IF(AND(146&gt;=$NR$95,146&lt;=$NS$95),IF($NP$95="Single_Point",IF(146=$NR$95,$NN$95,0),IF($NP$95="Bell_Curve",$NN$95*(146-$NR$95+1)*($NS$95-146+1)/$NU$95,$NN$95/$NT$95)),0)</f>
        <v/>
      </c>
      <c r="EU95" s="402">
        <f>IF(AND(147&gt;=$NR$95,147&lt;=$NS$95),IF($NP$95="Single_Point",IF(147=$NR$95,$NN$95,0),IF($NP$95="Bell_Curve",$NN$95*(147-$NR$95+1)*($NS$95-147+1)/$NU$95,$NN$95/$NT$95)),0)</f>
        <v/>
      </c>
      <c r="EV95" s="402">
        <f>IF(AND(148&gt;=$NR$95,148&lt;=$NS$95),IF($NP$95="Single_Point",IF(148=$NR$95,$NN$95,0),IF($NP$95="Bell_Curve",$NN$95*(148-$NR$95+1)*($NS$95-148+1)/$NU$95,$NN$95/$NT$95)),0)</f>
        <v/>
      </c>
      <c r="EW95" s="402">
        <f>IF(AND(149&gt;=$NR$95,149&lt;=$NS$95),IF($NP$95="Single_Point",IF(149=$NR$95,$NN$95,0),IF($NP$95="Bell_Curve",$NN$95*(149-$NR$95+1)*($NS$95-149+1)/$NU$95,$NN$95/$NT$95)),0)</f>
        <v/>
      </c>
      <c r="EX95" s="402">
        <f>IF(AND(150&gt;=$NR$95,150&lt;=$NS$95),IF($NP$95="Single_Point",IF(150=$NR$95,$NN$95,0),IF($NP$95="Bell_Curve",$NN$95*(150-$NR$95+1)*($NS$95-150+1)/$NU$95,$NN$95/$NT$95)),0)</f>
        <v/>
      </c>
      <c r="EY95" s="402">
        <f>IF(AND(151&gt;=$NR$95,151&lt;=$NS$95),IF($NP$95="Single_Point",IF(151=$NR$95,$NN$95,0),IF($NP$95="Bell_Curve",$NN$95*(151-$NR$95+1)*($NS$95-151+1)/$NU$95,$NN$95/$NT$95)),0)</f>
        <v/>
      </c>
      <c r="EZ95" s="402">
        <f>IF(AND(152&gt;=$NR$95,152&lt;=$NS$95),IF($NP$95="Single_Point",IF(152=$NR$95,$NN$95,0),IF($NP$95="Bell_Curve",$NN$95*(152-$NR$95+1)*($NS$95-152+1)/$NU$95,$NN$95/$NT$95)),0)</f>
        <v/>
      </c>
      <c r="FA95" s="402">
        <f>IF(AND(153&gt;=$NR$95,153&lt;=$NS$95),IF($NP$95="Single_Point",IF(153=$NR$95,$NN$95,0),IF($NP$95="Bell_Curve",$NN$95*(153-$NR$95+1)*($NS$95-153+1)/$NU$95,$NN$95/$NT$95)),0)</f>
        <v/>
      </c>
      <c r="FB95" s="402">
        <f>IF(AND(154&gt;=$NR$95,154&lt;=$NS$95),IF($NP$95="Single_Point",IF(154=$NR$95,$NN$95,0),IF($NP$95="Bell_Curve",$NN$95*(154-$NR$95+1)*($NS$95-154+1)/$NU$95,$NN$95/$NT$95)),0)</f>
        <v/>
      </c>
      <c r="FC95" s="402">
        <f>IF(AND(155&gt;=$NR$95,155&lt;=$NS$95),IF($NP$95="Single_Point",IF(155=$NR$95,$NN$95,0),IF($NP$95="Bell_Curve",$NN$95*(155-$NR$95+1)*($NS$95-155+1)/$NU$95,$NN$95/$NT$95)),0)</f>
        <v/>
      </c>
      <c r="FD95" s="402">
        <f>IF(AND(156&gt;=$NR$95,156&lt;=$NS$95),IF($NP$95="Single_Point",IF(156=$NR$95,$NN$95,0),IF($NP$95="Bell_Curve",$NN$95*(156-$NR$95+1)*($NS$95-156+1)/$NU$95,$NN$95/$NT$95)),0)</f>
        <v/>
      </c>
      <c r="FE95" s="402">
        <f>IF(AND(157&gt;=$NR$95,157&lt;=$NS$95),IF($NP$95="Single_Point",IF(157=$NR$95,$NN$95,0),IF($NP$95="Bell_Curve",$NN$95*(157-$NR$95+1)*($NS$95-157+1)/$NU$95,$NN$95/$NT$95)),0)</f>
        <v/>
      </c>
      <c r="FF95" s="402">
        <f>IF(AND(158&gt;=$NR$95,158&lt;=$NS$95),IF($NP$95="Single_Point",IF(158=$NR$95,$NN$95,0),IF($NP$95="Bell_Curve",$NN$95*(158-$NR$95+1)*($NS$95-158+1)/$NU$95,$NN$95/$NT$95)),0)</f>
        <v/>
      </c>
      <c r="FG95" s="402">
        <f>IF(AND(159&gt;=$NR$95,159&lt;=$NS$95),IF($NP$95="Single_Point",IF(159=$NR$95,$NN$95,0),IF($NP$95="Bell_Curve",$NN$95*(159-$NR$95+1)*($NS$95-159+1)/$NU$95,$NN$95/$NT$95)),0)</f>
        <v/>
      </c>
      <c r="FH95" s="402">
        <f>IF(AND(160&gt;=$NR$95,160&lt;=$NS$95),IF($NP$95="Single_Point",IF(160=$NR$95,$NN$95,0),IF($NP$95="Bell_Curve",$NN$95*(160-$NR$95+1)*($NS$95-160+1)/$NU$95,$NN$95/$NT$95)),0)</f>
        <v/>
      </c>
      <c r="FI95" s="402">
        <f>IF(AND(161&gt;=$NR$95,161&lt;=$NS$95),IF($NP$95="Single_Point",IF(161=$NR$95,$NN$95,0),IF($NP$95="Bell_Curve",$NN$95*(161-$NR$95+1)*($NS$95-161+1)/$NU$95,$NN$95/$NT$95)),0)</f>
        <v/>
      </c>
      <c r="FJ95" s="402">
        <f>IF(AND(162&gt;=$NR$95,162&lt;=$NS$95),IF($NP$95="Single_Point",IF(162=$NR$95,$NN$95,0),IF($NP$95="Bell_Curve",$NN$95*(162-$NR$95+1)*($NS$95-162+1)/$NU$95,$NN$95/$NT$95)),0)</f>
        <v/>
      </c>
      <c r="FK95" s="402">
        <f>IF(AND(163&gt;=$NR$95,163&lt;=$NS$95),IF($NP$95="Single_Point",IF(163=$NR$95,$NN$95,0),IF($NP$95="Bell_Curve",$NN$95*(163-$NR$95+1)*($NS$95-163+1)/$NU$95,$NN$95/$NT$95)),0)</f>
        <v/>
      </c>
      <c r="FL95" s="402">
        <f>IF(AND(164&gt;=$NR$95,164&lt;=$NS$95),IF($NP$95="Single_Point",IF(164=$NR$95,$NN$95,0),IF($NP$95="Bell_Curve",$NN$95*(164-$NR$95+1)*($NS$95-164+1)/$NU$95,$NN$95/$NT$95)),0)</f>
        <v/>
      </c>
      <c r="FM95" s="402">
        <f>IF(AND(165&gt;=$NR$95,165&lt;=$NS$95),IF($NP$95="Single_Point",IF(165=$NR$95,$NN$95,0),IF($NP$95="Bell_Curve",$NN$95*(165-$NR$95+1)*($NS$95-165+1)/$NU$95,$NN$95/$NT$95)),0)</f>
        <v/>
      </c>
      <c r="FN95" s="402">
        <f>IF(AND(166&gt;=$NR$95,166&lt;=$NS$95),IF($NP$95="Single_Point",IF(166=$NR$95,$NN$95,0),IF($NP$95="Bell_Curve",$NN$95*(166-$NR$95+1)*($NS$95-166+1)/$NU$95,$NN$95/$NT$95)),0)</f>
        <v/>
      </c>
      <c r="FO95" s="402">
        <f>IF(AND(167&gt;=$NR$95,167&lt;=$NS$95),IF($NP$95="Single_Point",IF(167=$NR$95,$NN$95,0),IF($NP$95="Bell_Curve",$NN$95*(167-$NR$95+1)*($NS$95-167+1)/$NU$95,$NN$95/$NT$95)),0)</f>
        <v/>
      </c>
      <c r="FP95" s="402">
        <f>IF(AND(168&gt;=$NR$95,168&lt;=$NS$95),IF($NP$95="Single_Point",IF(168=$NR$95,$NN$95,0),IF($NP$95="Bell_Curve",$NN$95*(168-$NR$95+1)*($NS$95-168+1)/$NU$95,$NN$95/$NT$95)),0)</f>
        <v/>
      </c>
      <c r="FQ95" s="402">
        <f>IF(AND(169&gt;=$NR$95,169&lt;=$NS$95),IF($NP$95="Single_Point",IF(169=$NR$95,$NN$95,0),IF($NP$95="Bell_Curve",$NN$95*(169-$NR$95+1)*($NS$95-169+1)/$NU$95,$NN$95/$NT$95)),0)</f>
        <v/>
      </c>
      <c r="FR95" s="402">
        <f>IF(AND(170&gt;=$NR$95,170&lt;=$NS$95),IF($NP$95="Single_Point",IF(170=$NR$95,$NN$95,0),IF($NP$95="Bell_Curve",$NN$95*(170-$NR$95+1)*($NS$95-170+1)/$NU$95,$NN$95/$NT$95)),0)</f>
        <v/>
      </c>
      <c r="FS95" s="402">
        <f>IF(AND(171&gt;=$NR$95,171&lt;=$NS$95),IF($NP$95="Single_Point",IF(171=$NR$95,$NN$95,0),IF($NP$95="Bell_Curve",$NN$95*(171-$NR$95+1)*($NS$95-171+1)/$NU$95,$NN$95/$NT$95)),0)</f>
        <v/>
      </c>
      <c r="FT95" s="402">
        <f>IF(AND(172&gt;=$NR$95,172&lt;=$NS$95),IF($NP$95="Single_Point",IF(172=$NR$95,$NN$95,0),IF($NP$95="Bell_Curve",$NN$95*(172-$NR$95+1)*($NS$95-172+1)/$NU$95,$NN$95/$NT$95)),0)</f>
        <v/>
      </c>
      <c r="FU95" s="402">
        <f>IF(AND(173&gt;=$NR$95,173&lt;=$NS$95),IF($NP$95="Single_Point",IF(173=$NR$95,$NN$95,0),IF($NP$95="Bell_Curve",$NN$95*(173-$NR$95+1)*($NS$95-173+1)/$NU$95,$NN$95/$NT$95)),0)</f>
        <v/>
      </c>
      <c r="FV95" s="402">
        <f>IF(AND(174&gt;=$NR$95,174&lt;=$NS$95),IF($NP$95="Single_Point",IF(174=$NR$95,$NN$95,0),IF($NP$95="Bell_Curve",$NN$95*(174-$NR$95+1)*($NS$95-174+1)/$NU$95,$NN$95/$NT$95)),0)</f>
        <v/>
      </c>
      <c r="FW95" s="402">
        <f>IF(AND(175&gt;=$NR$95,175&lt;=$NS$95),IF($NP$95="Single_Point",IF(175=$NR$95,$NN$95,0),IF($NP$95="Bell_Curve",$NN$95*(175-$NR$95+1)*($NS$95-175+1)/$NU$95,$NN$95/$NT$95)),0)</f>
        <v/>
      </c>
      <c r="FX95" s="402">
        <f>IF(AND(176&gt;=$NR$95,176&lt;=$NS$95),IF($NP$95="Single_Point",IF(176=$NR$95,$NN$95,0),IF($NP$95="Bell_Curve",$NN$95*(176-$NR$95+1)*($NS$95-176+1)/$NU$95,$NN$95/$NT$95)),0)</f>
        <v/>
      </c>
      <c r="FY95" s="402">
        <f>IF(AND(177&gt;=$NR$95,177&lt;=$NS$95),IF($NP$95="Single_Point",IF(177=$NR$95,$NN$95,0),IF($NP$95="Bell_Curve",$NN$95*(177-$NR$95+1)*($NS$95-177+1)/$NU$95,$NN$95/$NT$95)),0)</f>
        <v/>
      </c>
      <c r="FZ95" s="402">
        <f>IF(AND(178&gt;=$NR$95,178&lt;=$NS$95),IF($NP$95="Single_Point",IF(178=$NR$95,$NN$95,0),IF($NP$95="Bell_Curve",$NN$95*(178-$NR$95+1)*($NS$95-178+1)/$NU$95,$NN$95/$NT$95)),0)</f>
        <v/>
      </c>
      <c r="GA95" s="402">
        <f>IF(AND(179&gt;=$NR$95,179&lt;=$NS$95),IF($NP$95="Single_Point",IF(179=$NR$95,$NN$95,0),IF($NP$95="Bell_Curve",$NN$95*(179-$NR$95+1)*($NS$95-179+1)/$NU$95,$NN$95/$NT$95)),0)</f>
        <v/>
      </c>
      <c r="GB95" s="402">
        <f>IF(AND(180&gt;=$NR$95,180&lt;=$NS$95),IF($NP$95="Single_Point",IF(180=$NR$95,$NN$95,0),IF($NP$95="Bell_Curve",$NN$95*(180-$NR$95+1)*($NS$95-180+1)/$NU$95,$NN$95/$NT$95)),0)</f>
        <v/>
      </c>
      <c r="GC95" s="402">
        <f>IF(AND(181&gt;=$NR$95,181&lt;=$NS$95),IF($NP$95="Single_Point",IF(181=$NR$95,$NN$95,0),IF($NP$95="Bell_Curve",$NN$95*(181-$NR$95+1)*($NS$95-181+1)/$NU$95,$NN$95/$NT$95)),0)</f>
        <v/>
      </c>
      <c r="GD95" s="402">
        <f>IF(AND(182&gt;=$NR$95,182&lt;=$NS$95),IF($NP$95="Single_Point",IF(182=$NR$95,$NN$95,0),IF($NP$95="Bell_Curve",$NN$95*(182-$NR$95+1)*($NS$95-182+1)/$NU$95,$NN$95/$NT$95)),0)</f>
        <v/>
      </c>
      <c r="GE95" s="402">
        <f>IF(AND(183&gt;=$NR$95,183&lt;=$NS$95),IF($NP$95="Single_Point",IF(183=$NR$95,$NN$95,0),IF($NP$95="Bell_Curve",$NN$95*(183-$NR$95+1)*($NS$95-183+1)/$NU$95,$NN$95/$NT$95)),0)</f>
        <v/>
      </c>
      <c r="GF95" s="402">
        <f>IF(AND(184&gt;=$NR$95,184&lt;=$NS$95),IF($NP$95="Single_Point",IF(184=$NR$95,$NN$95,0),IF($NP$95="Bell_Curve",$NN$95*(184-$NR$95+1)*($NS$95-184+1)/$NU$95,$NN$95/$NT$95)),0)</f>
        <v/>
      </c>
      <c r="GG95" s="402">
        <f>IF(AND(185&gt;=$NR$95,185&lt;=$NS$95),IF($NP$95="Single_Point",IF(185=$NR$95,$NN$95,0),IF($NP$95="Bell_Curve",$NN$95*(185-$NR$95+1)*($NS$95-185+1)/$NU$95,$NN$95/$NT$95)),0)</f>
        <v/>
      </c>
      <c r="GH95" s="402">
        <f>IF(AND(186&gt;=$NR$95,186&lt;=$NS$95),IF($NP$95="Single_Point",IF(186=$NR$95,$NN$95,0),IF($NP$95="Bell_Curve",$NN$95*(186-$NR$95+1)*($NS$95-186+1)/$NU$95,$NN$95/$NT$95)),0)</f>
        <v/>
      </c>
      <c r="GI95" s="402">
        <f>IF(AND(187&gt;=$NR$95,187&lt;=$NS$95),IF($NP$95="Single_Point",IF(187=$NR$95,$NN$95,0),IF($NP$95="Bell_Curve",$NN$95*(187-$NR$95+1)*($NS$95-187+1)/$NU$95,$NN$95/$NT$95)),0)</f>
        <v/>
      </c>
      <c r="GJ95" s="402">
        <f>IF(AND(188&gt;=$NR$95,188&lt;=$NS$95),IF($NP$95="Single_Point",IF(188=$NR$95,$NN$95,0),IF($NP$95="Bell_Curve",$NN$95*(188-$NR$95+1)*($NS$95-188+1)/$NU$95,$NN$95/$NT$95)),0)</f>
        <v/>
      </c>
      <c r="GK95" s="402">
        <f>IF(AND(189&gt;=$NR$95,189&lt;=$NS$95),IF($NP$95="Single_Point",IF(189=$NR$95,$NN$95,0),IF($NP$95="Bell_Curve",$NN$95*(189-$NR$95+1)*($NS$95-189+1)/$NU$95,$NN$95/$NT$95)),0)</f>
        <v/>
      </c>
      <c r="GL95" s="402">
        <f>IF(AND(190&gt;=$NR$95,190&lt;=$NS$95),IF($NP$95="Single_Point",IF(190=$NR$95,$NN$95,0),IF($NP$95="Bell_Curve",$NN$95*(190-$NR$95+1)*($NS$95-190+1)/$NU$95,$NN$95/$NT$95)),0)</f>
        <v/>
      </c>
      <c r="GM95" s="402">
        <f>IF(AND(191&gt;=$NR$95,191&lt;=$NS$95),IF($NP$95="Single_Point",IF(191=$NR$95,$NN$95,0),IF($NP$95="Bell_Curve",$NN$95*(191-$NR$95+1)*($NS$95-191+1)/$NU$95,$NN$95/$NT$95)),0)</f>
        <v/>
      </c>
      <c r="GN95" s="402">
        <f>IF(AND(192&gt;=$NR$95,192&lt;=$NS$95),IF($NP$95="Single_Point",IF(192=$NR$95,$NN$95,0),IF($NP$95="Bell_Curve",$NN$95*(192-$NR$95+1)*($NS$95-192+1)/$NU$95,$NN$95/$NT$95)),0)</f>
        <v/>
      </c>
      <c r="GO95" s="402">
        <f>IF(AND(193&gt;=$NR$95,193&lt;=$NS$95),IF($NP$95="Single_Point",IF(193=$NR$95,$NN$95,0),IF($NP$95="Bell_Curve",$NN$95*(193-$NR$95+1)*($NS$95-193+1)/$NU$95,$NN$95/$NT$95)),0)</f>
        <v/>
      </c>
      <c r="GP95" s="402">
        <f>IF(AND(194&gt;=$NR$95,194&lt;=$NS$95),IF($NP$95="Single_Point",IF(194=$NR$95,$NN$95,0),IF($NP$95="Bell_Curve",$NN$95*(194-$NR$95+1)*($NS$95-194+1)/$NU$95,$NN$95/$NT$95)),0)</f>
        <v/>
      </c>
      <c r="GQ95" s="402">
        <f>IF(AND(195&gt;=$NR$95,195&lt;=$NS$95),IF($NP$95="Single_Point",IF(195=$NR$95,$NN$95,0),IF($NP$95="Bell_Curve",$NN$95*(195-$NR$95+1)*($NS$95-195+1)/$NU$95,$NN$95/$NT$95)),0)</f>
        <v/>
      </c>
      <c r="GR95" s="402">
        <f>IF(AND(196&gt;=$NR$95,196&lt;=$NS$95),IF($NP$95="Single_Point",IF(196=$NR$95,$NN$95,0),IF($NP$95="Bell_Curve",$NN$95*(196-$NR$95+1)*($NS$95-196+1)/$NU$95,$NN$95/$NT$95)),0)</f>
        <v/>
      </c>
      <c r="GS95" s="402">
        <f>IF(AND(197&gt;=$NR$95,197&lt;=$NS$95),IF($NP$95="Single_Point",IF(197=$NR$95,$NN$95,0),IF($NP$95="Bell_Curve",$NN$95*(197-$NR$95+1)*($NS$95-197+1)/$NU$95,$NN$95/$NT$95)),0)</f>
        <v/>
      </c>
      <c r="GT95" s="402">
        <f>IF(AND(198&gt;=$NR$95,198&lt;=$NS$95),IF($NP$95="Single_Point",IF(198=$NR$95,$NN$95,0),IF($NP$95="Bell_Curve",$NN$95*(198-$NR$95+1)*($NS$95-198+1)/$NU$95,$NN$95/$NT$95)),0)</f>
        <v/>
      </c>
      <c r="GU95" s="402">
        <f>IF(AND(199&gt;=$NR$95,199&lt;=$NS$95),IF($NP$95="Single_Point",IF(199=$NR$95,$NN$95,0),IF($NP$95="Bell_Curve",$NN$95*(199-$NR$95+1)*($NS$95-199+1)/$NU$95,$NN$95/$NT$95)),0)</f>
        <v/>
      </c>
      <c r="GV95" s="402">
        <f>IF(AND(200&gt;=$NR$95,200&lt;=$NS$95),IF($NP$95="Single_Point",IF(200=$NR$95,$NN$95,0),IF($NP$95="Bell_Curve",$NN$95*(200-$NR$95+1)*($NS$95-200+1)/$NU$95,$NN$95/$NT$95)),0)</f>
        <v/>
      </c>
      <c r="GW95" s="402">
        <f>IF(AND(201&gt;=$NR$95,201&lt;=$NS$95),IF($NP$95="Single_Point",IF(201=$NR$95,$NN$95,0),IF($NP$95="Bell_Curve",$NN$95*(201-$NR$95+1)*($NS$95-201+1)/$NU$95,$NN$95/$NT$95)),0)</f>
        <v/>
      </c>
      <c r="GX95" s="402">
        <f>IF(AND(202&gt;=$NR$95,202&lt;=$NS$95),IF($NP$95="Single_Point",IF(202=$NR$95,$NN$95,0),IF($NP$95="Bell_Curve",$NN$95*(202-$NR$95+1)*($NS$95-202+1)/$NU$95,$NN$95/$NT$95)),0)</f>
        <v/>
      </c>
      <c r="GY95" s="402">
        <f>IF(AND(203&gt;=$NR$95,203&lt;=$NS$95),IF($NP$95="Single_Point",IF(203=$NR$95,$NN$95,0),IF($NP$95="Bell_Curve",$NN$95*(203-$NR$95+1)*($NS$95-203+1)/$NU$95,$NN$95/$NT$95)),0)</f>
        <v/>
      </c>
      <c r="GZ95" s="402">
        <f>IF(AND(204&gt;=$NR$95,204&lt;=$NS$95),IF($NP$95="Single_Point",IF(204=$NR$95,$NN$95,0),IF($NP$95="Bell_Curve",$NN$95*(204-$NR$95+1)*($NS$95-204+1)/$NU$95,$NN$95/$NT$95)),0)</f>
        <v/>
      </c>
      <c r="HA95" s="402">
        <f>IF(AND(205&gt;=$NR$95,205&lt;=$NS$95),IF($NP$95="Single_Point",IF(205=$NR$95,$NN$95,0),IF($NP$95="Bell_Curve",$NN$95*(205-$NR$95+1)*($NS$95-205+1)/$NU$95,$NN$95/$NT$95)),0)</f>
        <v/>
      </c>
      <c r="HB95" s="402">
        <f>IF(AND(206&gt;=$NR$95,206&lt;=$NS$95),IF($NP$95="Single_Point",IF(206=$NR$95,$NN$95,0),IF($NP$95="Bell_Curve",$NN$95*(206-$NR$95+1)*($NS$95-206+1)/$NU$95,$NN$95/$NT$95)),0)</f>
        <v/>
      </c>
      <c r="HC95" s="402">
        <f>IF(AND(207&gt;=$NR$95,207&lt;=$NS$95),IF($NP$95="Single_Point",IF(207=$NR$95,$NN$95,0),IF($NP$95="Bell_Curve",$NN$95*(207-$NR$95+1)*($NS$95-207+1)/$NU$95,$NN$95/$NT$95)),0)</f>
        <v/>
      </c>
      <c r="HD95" s="402">
        <f>IF(AND(208&gt;=$NR$95,208&lt;=$NS$95),IF($NP$95="Single_Point",IF(208=$NR$95,$NN$95,0),IF($NP$95="Bell_Curve",$NN$95*(208-$NR$95+1)*($NS$95-208+1)/$NU$95,$NN$95/$NT$95)),0)</f>
        <v/>
      </c>
      <c r="HE95" s="402">
        <f>IF(AND(209&gt;=$NR$95,209&lt;=$NS$95),IF($NP$95="Single_Point",IF(209=$NR$95,$NN$95,0),IF($NP$95="Bell_Curve",$NN$95*(209-$NR$95+1)*($NS$95-209+1)/$NU$95,$NN$95/$NT$95)),0)</f>
        <v/>
      </c>
      <c r="HF95" s="402">
        <f>IF(AND(210&gt;=$NR$95,210&lt;=$NS$95),IF($NP$95="Single_Point",IF(210=$NR$95,$NN$95,0),IF($NP$95="Bell_Curve",$NN$95*(210-$NR$95+1)*($NS$95-210+1)/$NU$95,$NN$95/$NT$95)),0)</f>
        <v/>
      </c>
      <c r="HG95" s="402">
        <f>IF(AND(211&gt;=$NR$95,211&lt;=$NS$95),IF($NP$95="Single_Point",IF(211=$NR$95,$NN$95,0),IF($NP$95="Bell_Curve",$NN$95*(211-$NR$95+1)*($NS$95-211+1)/$NU$95,$NN$95/$NT$95)),0)</f>
        <v/>
      </c>
      <c r="HH95" s="402">
        <f>IF(AND(212&gt;=$NR$95,212&lt;=$NS$95),IF($NP$95="Single_Point",IF(212=$NR$95,$NN$95,0),IF($NP$95="Bell_Curve",$NN$95*(212-$NR$95+1)*($NS$95-212+1)/$NU$95,$NN$95/$NT$95)),0)</f>
        <v/>
      </c>
      <c r="HI95" s="402">
        <f>IF(AND(213&gt;=$NR$95,213&lt;=$NS$95),IF($NP$95="Single_Point",IF(213=$NR$95,$NN$95,0),IF($NP$95="Bell_Curve",$NN$95*(213-$NR$95+1)*($NS$95-213+1)/$NU$95,$NN$95/$NT$95)),0)</f>
        <v/>
      </c>
      <c r="HJ95" s="402">
        <f>IF(AND(214&gt;=$NR$95,214&lt;=$NS$95),IF($NP$95="Single_Point",IF(214=$NR$95,$NN$95,0),IF($NP$95="Bell_Curve",$NN$95*(214-$NR$95+1)*($NS$95-214+1)/$NU$95,$NN$95/$NT$95)),0)</f>
        <v/>
      </c>
      <c r="HK95" s="402">
        <f>IF(AND(215&gt;=$NR$95,215&lt;=$NS$95),IF($NP$95="Single_Point",IF(215=$NR$95,$NN$95,0),IF($NP$95="Bell_Curve",$NN$95*(215-$NR$95+1)*($NS$95-215+1)/$NU$95,$NN$95/$NT$95)),0)</f>
        <v/>
      </c>
      <c r="HL95" s="402">
        <f>IF(AND(216&gt;=$NR$95,216&lt;=$NS$95),IF($NP$95="Single_Point",IF(216=$NR$95,$NN$95,0),IF($NP$95="Bell_Curve",$NN$95*(216-$NR$95+1)*($NS$95-216+1)/$NU$95,$NN$95/$NT$95)),0)</f>
        <v/>
      </c>
      <c r="HM95" s="402">
        <f>IF(AND(217&gt;=$NR$95,217&lt;=$NS$95),IF($NP$95="Single_Point",IF(217=$NR$95,$NN$95,0),IF($NP$95="Bell_Curve",$NN$95*(217-$NR$95+1)*($NS$95-217+1)/$NU$95,$NN$95/$NT$95)),0)</f>
        <v/>
      </c>
      <c r="HN95" s="402">
        <f>IF(AND(218&gt;=$NR$95,218&lt;=$NS$95),IF($NP$95="Single_Point",IF(218=$NR$95,$NN$95,0),IF($NP$95="Bell_Curve",$NN$95*(218-$NR$95+1)*($NS$95-218+1)/$NU$95,$NN$95/$NT$95)),0)</f>
        <v/>
      </c>
      <c r="HO95" s="402">
        <f>IF(AND(219&gt;=$NR$95,219&lt;=$NS$95),IF($NP$95="Single_Point",IF(219=$NR$95,$NN$95,0),IF($NP$95="Bell_Curve",$NN$95*(219-$NR$95+1)*($NS$95-219+1)/$NU$95,$NN$95/$NT$95)),0)</f>
        <v/>
      </c>
      <c r="HP95" s="402">
        <f>IF(AND(220&gt;=$NR$95,220&lt;=$NS$95),IF($NP$95="Single_Point",IF(220=$NR$95,$NN$95,0),IF($NP$95="Bell_Curve",$NN$95*(220-$NR$95+1)*($NS$95-220+1)/$NU$95,$NN$95/$NT$95)),0)</f>
        <v/>
      </c>
      <c r="HQ95" s="402">
        <f>IF(AND(221&gt;=$NR$95,221&lt;=$NS$95),IF($NP$95="Single_Point",IF(221=$NR$95,$NN$95,0),IF($NP$95="Bell_Curve",$NN$95*(221-$NR$95+1)*($NS$95-221+1)/$NU$95,$NN$95/$NT$95)),0)</f>
        <v/>
      </c>
      <c r="HR95" s="402">
        <f>IF(AND(222&gt;=$NR$95,222&lt;=$NS$95),IF($NP$95="Single_Point",IF(222=$NR$95,$NN$95,0),IF($NP$95="Bell_Curve",$NN$95*(222-$NR$95+1)*($NS$95-222+1)/$NU$95,$NN$95/$NT$95)),0)</f>
        <v/>
      </c>
      <c r="HS95" s="402">
        <f>IF(AND(223&gt;=$NR$95,223&lt;=$NS$95),IF($NP$95="Single_Point",IF(223=$NR$95,$NN$95,0),IF($NP$95="Bell_Curve",$NN$95*(223-$NR$95+1)*($NS$95-223+1)/$NU$95,$NN$95/$NT$95)),0)</f>
        <v/>
      </c>
      <c r="HT95" s="402">
        <f>IF(AND(224&gt;=$NR$95,224&lt;=$NS$95),IF($NP$95="Single_Point",IF(224=$NR$95,$NN$95,0),IF($NP$95="Bell_Curve",$NN$95*(224-$NR$95+1)*($NS$95-224+1)/$NU$95,$NN$95/$NT$95)),0)</f>
        <v/>
      </c>
      <c r="HU95" s="402">
        <f>IF(AND(225&gt;=$NR$95,225&lt;=$NS$95),IF($NP$95="Single_Point",IF(225=$NR$95,$NN$95,0),IF($NP$95="Bell_Curve",$NN$95*(225-$NR$95+1)*($NS$95-225+1)/$NU$95,$NN$95/$NT$95)),0)</f>
        <v/>
      </c>
      <c r="HV95" s="402">
        <f>IF(AND(226&gt;=$NR$95,226&lt;=$NS$95),IF($NP$95="Single_Point",IF(226=$NR$95,$NN$95,0),IF($NP$95="Bell_Curve",$NN$95*(226-$NR$95+1)*($NS$95-226+1)/$NU$95,$NN$95/$NT$95)),0)</f>
        <v/>
      </c>
      <c r="HW95" s="402">
        <f>IF(AND(227&gt;=$NR$95,227&lt;=$NS$95),IF($NP$95="Single_Point",IF(227=$NR$95,$NN$95,0),IF($NP$95="Bell_Curve",$NN$95*(227-$NR$95+1)*($NS$95-227+1)/$NU$95,$NN$95/$NT$95)),0)</f>
        <v/>
      </c>
      <c r="HX95" s="402">
        <f>IF(AND(228&gt;=$NR$95,228&lt;=$NS$95),IF($NP$95="Single_Point",IF(228=$NR$95,$NN$95,0),IF($NP$95="Bell_Curve",$NN$95*(228-$NR$95+1)*($NS$95-228+1)/$NU$95,$NN$95/$NT$95)),0)</f>
        <v/>
      </c>
      <c r="HY95" s="402">
        <f>IF(AND(229&gt;=$NR$95,229&lt;=$NS$95),IF($NP$95="Single_Point",IF(229=$NR$95,$NN$95,0),IF($NP$95="Bell_Curve",$NN$95*(229-$NR$95+1)*($NS$95-229+1)/$NU$95,$NN$95/$NT$95)),0)</f>
        <v/>
      </c>
      <c r="HZ95" s="402">
        <f>IF(AND(230&gt;=$NR$95,230&lt;=$NS$95),IF($NP$95="Single_Point",IF(230=$NR$95,$NN$95,0),IF($NP$95="Bell_Curve",$NN$95*(230-$NR$95+1)*($NS$95-230+1)/$NU$95,$NN$95/$NT$95)),0)</f>
        <v/>
      </c>
      <c r="IA95" s="402">
        <f>IF(AND(231&gt;=$NR$95,231&lt;=$NS$95),IF($NP$95="Single_Point",IF(231=$NR$95,$NN$95,0),IF($NP$95="Bell_Curve",$NN$95*(231-$NR$95+1)*($NS$95-231+1)/$NU$95,$NN$95/$NT$95)),0)</f>
        <v/>
      </c>
      <c r="IB95" s="402">
        <f>IF(AND(232&gt;=$NR$95,232&lt;=$NS$95),IF($NP$95="Single_Point",IF(232=$NR$95,$NN$95,0),IF($NP$95="Bell_Curve",$NN$95*(232-$NR$95+1)*($NS$95-232+1)/$NU$95,$NN$95/$NT$95)),0)</f>
        <v/>
      </c>
      <c r="IC95" s="402">
        <f>IF(AND(233&gt;=$NR$95,233&lt;=$NS$95),IF($NP$95="Single_Point",IF(233=$NR$95,$NN$95,0),IF($NP$95="Bell_Curve",$NN$95*(233-$NR$95+1)*($NS$95-233+1)/$NU$95,$NN$95/$NT$95)),0)</f>
        <v/>
      </c>
      <c r="ID95" s="402">
        <f>IF(AND(234&gt;=$NR$95,234&lt;=$NS$95),IF($NP$95="Single_Point",IF(234=$NR$95,$NN$95,0),IF($NP$95="Bell_Curve",$NN$95*(234-$NR$95+1)*($NS$95-234+1)/$NU$95,$NN$95/$NT$95)),0)</f>
        <v/>
      </c>
      <c r="IE95" s="402">
        <f>IF(AND(235&gt;=$NR$95,235&lt;=$NS$95),IF($NP$95="Single_Point",IF(235=$NR$95,$NN$95,0),IF($NP$95="Bell_Curve",$NN$95*(235-$NR$95+1)*($NS$95-235+1)/$NU$95,$NN$95/$NT$95)),0)</f>
        <v/>
      </c>
      <c r="IF95" s="402">
        <f>IF(AND(236&gt;=$NR$95,236&lt;=$NS$95),IF($NP$95="Single_Point",IF(236=$NR$95,$NN$95,0),IF($NP$95="Bell_Curve",$NN$95*(236-$NR$95+1)*($NS$95-236+1)/$NU$95,$NN$95/$NT$95)),0)</f>
        <v/>
      </c>
      <c r="IG95" s="402">
        <f>IF(AND(237&gt;=$NR$95,237&lt;=$NS$95),IF($NP$95="Single_Point",IF(237=$NR$95,$NN$95,0),IF($NP$95="Bell_Curve",$NN$95*(237-$NR$95+1)*($NS$95-237+1)/$NU$95,$NN$95/$NT$95)),0)</f>
        <v/>
      </c>
      <c r="IH95" s="402">
        <f>IF(AND(238&gt;=$NR$95,238&lt;=$NS$95),IF($NP$95="Single_Point",IF(238=$NR$95,$NN$95,0),IF($NP$95="Bell_Curve",$NN$95*(238-$NR$95+1)*($NS$95-238+1)/$NU$95,$NN$95/$NT$95)),0)</f>
        <v/>
      </c>
      <c r="II95" s="402">
        <f>IF(AND(239&gt;=$NR$95,239&lt;=$NS$95),IF($NP$95="Single_Point",IF(239=$NR$95,$NN$95,0),IF($NP$95="Bell_Curve",$NN$95*(239-$NR$95+1)*($NS$95-239+1)/$NU$95,$NN$95/$NT$95)),0)</f>
        <v/>
      </c>
      <c r="IJ95" s="402">
        <f>IF(AND(240&gt;=$NR$95,240&lt;=$NS$95),IF($NP$95="Single_Point",IF(240=$NR$95,$NN$95,0),IF($NP$95="Bell_Curve",$NN$95*(240-$NR$95+1)*($NS$95-240+1)/$NU$95,$NN$95/$NT$95)),0)</f>
        <v/>
      </c>
      <c r="IK95" s="402">
        <f>IF(AND(241&gt;=$NR$95,241&lt;=$NS$95),IF($NP$95="Single_Point",IF(241=$NR$95,$NN$95,0),IF($NP$95="Bell_Curve",$NN$95*(241-$NR$95+1)*($NS$95-241+1)/$NU$95,$NN$95/$NT$95)),0)</f>
        <v/>
      </c>
      <c r="IL95" s="402">
        <f>IF(AND(242&gt;=$NR$95,242&lt;=$NS$95),IF($NP$95="Single_Point",IF(242=$NR$95,$NN$95,0),IF($NP$95="Bell_Curve",$NN$95*(242-$NR$95+1)*($NS$95-242+1)/$NU$95,$NN$95/$NT$95)),0)</f>
        <v/>
      </c>
      <c r="IM95" s="402">
        <f>IF(AND(243&gt;=$NR$95,243&lt;=$NS$95),IF($NP$95="Single_Point",IF(243=$NR$95,$NN$95,0),IF($NP$95="Bell_Curve",$NN$95*(243-$NR$95+1)*($NS$95-243+1)/$NU$95,$NN$95/$NT$95)),0)</f>
        <v/>
      </c>
      <c r="IN95" s="402">
        <f>IF(AND(244&gt;=$NR$95,244&lt;=$NS$95),IF($NP$95="Single_Point",IF(244=$NR$95,$NN$95,0),IF($NP$95="Bell_Curve",$NN$95*(244-$NR$95+1)*($NS$95-244+1)/$NU$95,$NN$95/$NT$95)),0)</f>
        <v/>
      </c>
      <c r="IO95" s="402">
        <f>IF(AND(245&gt;=$NR$95,245&lt;=$NS$95),IF($NP$95="Single_Point",IF(245=$NR$95,$NN$95,0),IF($NP$95="Bell_Curve",$NN$95*(245-$NR$95+1)*($NS$95-245+1)/$NU$95,$NN$95/$NT$95)),0)</f>
        <v/>
      </c>
      <c r="IP95" s="402">
        <f>IF(AND(246&gt;=$NR$95,246&lt;=$NS$95),IF($NP$95="Single_Point",IF(246=$NR$95,$NN$95,0),IF($NP$95="Bell_Curve",$NN$95*(246-$NR$95+1)*($NS$95-246+1)/$NU$95,$NN$95/$NT$95)),0)</f>
        <v/>
      </c>
      <c r="IQ95" s="402">
        <f>IF(AND(247&gt;=$NR$95,247&lt;=$NS$95),IF($NP$95="Single_Point",IF(247=$NR$95,$NN$95,0),IF($NP$95="Bell_Curve",$NN$95*(247-$NR$95+1)*($NS$95-247+1)/$NU$95,$NN$95/$NT$95)),0)</f>
        <v/>
      </c>
      <c r="IR95" s="402">
        <f>IF(AND(248&gt;=$NR$95,248&lt;=$NS$95),IF($NP$95="Single_Point",IF(248=$NR$95,$NN$95,0),IF($NP$95="Bell_Curve",$NN$95*(248-$NR$95+1)*($NS$95-248+1)/$NU$95,$NN$95/$NT$95)),0)</f>
        <v/>
      </c>
      <c r="IS95" s="402">
        <f>IF(AND(249&gt;=$NR$95,249&lt;=$NS$95),IF($NP$95="Single_Point",IF(249=$NR$95,$NN$95,0),IF($NP$95="Bell_Curve",$NN$95*(249-$NR$95+1)*($NS$95-249+1)/$NU$95,$NN$95/$NT$95)),0)</f>
        <v/>
      </c>
      <c r="IT95" s="402">
        <f>IF(AND(250&gt;=$NR$95,250&lt;=$NS$95),IF($NP$95="Single_Point",IF(250=$NR$95,$NN$95,0),IF($NP$95="Bell_Curve",$NN$95*(250-$NR$95+1)*($NS$95-250+1)/$NU$95,$NN$95/$NT$95)),0)</f>
        <v/>
      </c>
      <c r="IU95" s="402">
        <f>IF(AND(251&gt;=$NR$95,251&lt;=$NS$95),IF($NP$95="Single_Point",IF(251=$NR$95,$NN$95,0),IF($NP$95="Bell_Curve",$NN$95*(251-$NR$95+1)*($NS$95-251+1)/$NU$95,$NN$95/$NT$95)),0)</f>
        <v/>
      </c>
      <c r="IV95" s="402">
        <f>IF(AND(252&gt;=$NR$95,252&lt;=$NS$95),IF($NP$95="Single_Point",IF(252=$NR$95,$NN$95,0),IF($NP$95="Bell_Curve",$NN$95*(252-$NR$95+1)*($NS$95-252+1)/$NU$95,$NN$95/$NT$95)),0)</f>
        <v/>
      </c>
      <c r="IW95" s="402">
        <f>IF(AND(253&gt;=$NR$95,253&lt;=$NS$95),IF($NP$95="Single_Point",IF(253=$NR$95,$NN$95,0),IF($NP$95="Bell_Curve",$NN$95*(253-$NR$95+1)*($NS$95-253+1)/$NU$95,$NN$95/$NT$95)),0)</f>
        <v/>
      </c>
      <c r="IX95" s="402">
        <f>IF(AND(254&gt;=$NR$95,254&lt;=$NS$95),IF($NP$95="Single_Point",IF(254=$NR$95,$NN$95,0),IF($NP$95="Bell_Curve",$NN$95*(254-$NR$95+1)*($NS$95-254+1)/$NU$95,$NN$95/$NT$95)),0)</f>
        <v/>
      </c>
      <c r="IY95" s="402">
        <f>IF(AND(255&gt;=$NR$95,255&lt;=$NS$95),IF($NP$95="Single_Point",IF(255=$NR$95,$NN$95,0),IF($NP$95="Bell_Curve",$NN$95*(255-$NR$95+1)*($NS$95-255+1)/$NU$95,$NN$95/$NT$95)),0)</f>
        <v/>
      </c>
      <c r="IZ95" s="402">
        <f>IF(AND(256&gt;=$NR$95,256&lt;=$NS$95),IF($NP$95="Single_Point",IF(256=$NR$95,$NN$95,0),IF($NP$95="Bell_Curve",$NN$95*(256-$NR$95+1)*($NS$95-256+1)/$NU$95,$NN$95/$NT$95)),0)</f>
        <v/>
      </c>
      <c r="JA95" s="402">
        <f>IF(AND(257&gt;=$NR$95,257&lt;=$NS$95),IF($NP$95="Single_Point",IF(257=$NR$95,$NN$95,0),IF($NP$95="Bell_Curve",$NN$95*(257-$NR$95+1)*($NS$95-257+1)/$NU$95,$NN$95/$NT$95)),0)</f>
        <v/>
      </c>
      <c r="JB95" s="402">
        <f>IF(AND(258&gt;=$NR$95,258&lt;=$NS$95),IF($NP$95="Single_Point",IF(258=$NR$95,$NN$95,0),IF($NP$95="Bell_Curve",$NN$95*(258-$NR$95+1)*($NS$95-258+1)/$NU$95,$NN$95/$NT$95)),0)</f>
        <v/>
      </c>
      <c r="JC95" s="402">
        <f>IF(AND(259&gt;=$NR$95,259&lt;=$NS$95),IF($NP$95="Single_Point",IF(259=$NR$95,$NN$95,0),IF($NP$95="Bell_Curve",$NN$95*(259-$NR$95+1)*($NS$95-259+1)/$NU$95,$NN$95/$NT$95)),0)</f>
        <v/>
      </c>
      <c r="JD95" s="402">
        <f>IF(AND(260&gt;=$NR$95,260&lt;=$NS$95),IF($NP$95="Single_Point",IF(260=$NR$95,$NN$95,0),IF($NP$95="Bell_Curve",$NN$95*(260-$NR$95+1)*($NS$95-260+1)/$NU$95,$NN$95/$NT$95)),0)</f>
        <v/>
      </c>
      <c r="JE95" s="402">
        <f>IF(AND(261&gt;=$NR$95,261&lt;=$NS$95),IF($NP$95="Single_Point",IF(261=$NR$95,$NN$95,0),IF($NP$95="Bell_Curve",$NN$95*(261-$NR$95+1)*($NS$95-261+1)/$NU$95,$NN$95/$NT$95)),0)</f>
        <v/>
      </c>
      <c r="JF95" s="402">
        <f>IF(AND(262&gt;=$NR$95,262&lt;=$NS$95),IF($NP$95="Single_Point",IF(262=$NR$95,$NN$95,0),IF($NP$95="Bell_Curve",$NN$95*(262-$NR$95+1)*($NS$95-262+1)/$NU$95,$NN$95/$NT$95)),0)</f>
        <v/>
      </c>
      <c r="JG95" s="402">
        <f>IF(AND(263&gt;=$NR$95,263&lt;=$NS$95),IF($NP$95="Single_Point",IF(263=$NR$95,$NN$95,0),IF($NP$95="Bell_Curve",$NN$95*(263-$NR$95+1)*($NS$95-263+1)/$NU$95,$NN$95/$NT$95)),0)</f>
        <v/>
      </c>
      <c r="JH95" s="402">
        <f>IF(AND(264&gt;=$NR$95,264&lt;=$NS$95),IF($NP$95="Single_Point",IF(264=$NR$95,$NN$95,0),IF($NP$95="Bell_Curve",$NN$95*(264-$NR$95+1)*($NS$95-264+1)/$NU$95,$NN$95/$NT$95)),0)</f>
        <v/>
      </c>
      <c r="JI95" s="402">
        <f>IF(AND(265&gt;=$NR$95,265&lt;=$NS$95),IF($NP$95="Single_Point",IF(265=$NR$95,$NN$95,0),IF($NP$95="Bell_Curve",$NN$95*(265-$NR$95+1)*($NS$95-265+1)/$NU$95,$NN$95/$NT$95)),0)</f>
        <v/>
      </c>
      <c r="JJ95" s="402">
        <f>IF(AND(266&gt;=$NR$95,266&lt;=$NS$95),IF($NP$95="Single_Point",IF(266=$NR$95,$NN$95,0),IF($NP$95="Bell_Curve",$NN$95*(266-$NR$95+1)*($NS$95-266+1)/$NU$95,$NN$95/$NT$95)),0)</f>
        <v/>
      </c>
      <c r="JK95" s="402">
        <f>IF(AND(267&gt;=$NR$95,267&lt;=$NS$95),IF($NP$95="Single_Point",IF(267=$NR$95,$NN$95,0),IF($NP$95="Bell_Curve",$NN$95*(267-$NR$95+1)*($NS$95-267+1)/$NU$95,$NN$95/$NT$95)),0)</f>
        <v/>
      </c>
      <c r="JL95" s="402">
        <f>IF(AND(268&gt;=$NR$95,268&lt;=$NS$95),IF($NP$95="Single_Point",IF(268=$NR$95,$NN$95,0),IF($NP$95="Bell_Curve",$NN$95*(268-$NR$95+1)*($NS$95-268+1)/$NU$95,$NN$95/$NT$95)),0)</f>
        <v/>
      </c>
      <c r="JM95" s="402">
        <f>IF(AND(269&gt;=$NR$95,269&lt;=$NS$95),IF($NP$95="Single_Point",IF(269=$NR$95,$NN$95,0),IF($NP$95="Bell_Curve",$NN$95*(269-$NR$95+1)*($NS$95-269+1)/$NU$95,$NN$95/$NT$95)),0)</f>
        <v/>
      </c>
      <c r="JN95" s="402">
        <f>IF(AND(270&gt;=$NR$95,270&lt;=$NS$95),IF($NP$95="Single_Point",IF(270=$NR$95,$NN$95,0),IF($NP$95="Bell_Curve",$NN$95*(270-$NR$95+1)*($NS$95-270+1)/$NU$95,$NN$95/$NT$95)),0)</f>
        <v/>
      </c>
      <c r="JO95" s="402">
        <f>IF(AND(271&gt;=$NR$95,271&lt;=$NS$95),IF($NP$95="Single_Point",IF(271=$NR$95,$NN$95,0),IF($NP$95="Bell_Curve",$NN$95*(271-$NR$95+1)*($NS$95-271+1)/$NU$95,$NN$95/$NT$95)),0)</f>
        <v/>
      </c>
      <c r="JP95" s="402">
        <f>IF(AND(272&gt;=$NR$95,272&lt;=$NS$95),IF($NP$95="Single_Point",IF(272=$NR$95,$NN$95,0),IF($NP$95="Bell_Curve",$NN$95*(272-$NR$95+1)*($NS$95-272+1)/$NU$95,$NN$95/$NT$95)),0)</f>
        <v/>
      </c>
      <c r="JQ95" s="402">
        <f>IF(AND(273&gt;=$NR$95,273&lt;=$NS$95),IF($NP$95="Single_Point",IF(273=$NR$95,$NN$95,0),IF($NP$95="Bell_Curve",$NN$95*(273-$NR$95+1)*($NS$95-273+1)/$NU$95,$NN$95/$NT$95)),0)</f>
        <v/>
      </c>
      <c r="JR95" s="402">
        <f>IF(AND(274&gt;=$NR$95,274&lt;=$NS$95),IF($NP$95="Single_Point",IF(274=$NR$95,$NN$95,0),IF($NP$95="Bell_Curve",$NN$95*(274-$NR$95+1)*($NS$95-274+1)/$NU$95,$NN$95/$NT$95)),0)</f>
        <v/>
      </c>
      <c r="JS95" s="402">
        <f>IF(AND(275&gt;=$NR$95,275&lt;=$NS$95),IF($NP$95="Single_Point",IF(275=$NR$95,$NN$95,0),IF($NP$95="Bell_Curve",$NN$95*(275-$NR$95+1)*($NS$95-275+1)/$NU$95,$NN$95/$NT$95)),0)</f>
        <v/>
      </c>
      <c r="JT95" s="402">
        <f>IF(AND(276&gt;=$NR$95,276&lt;=$NS$95),IF($NP$95="Single_Point",IF(276=$NR$95,$NN$95,0),IF($NP$95="Bell_Curve",$NN$95*(276-$NR$95+1)*($NS$95-276+1)/$NU$95,$NN$95/$NT$95)),0)</f>
        <v/>
      </c>
      <c r="JU95" s="402">
        <f>IF(AND(277&gt;=$NR$95,277&lt;=$NS$95),IF($NP$95="Single_Point",IF(277=$NR$95,$NN$95,0),IF($NP$95="Bell_Curve",$NN$95*(277-$NR$95+1)*($NS$95-277+1)/$NU$95,$NN$95/$NT$95)),0)</f>
        <v/>
      </c>
      <c r="JV95" s="402">
        <f>IF(AND(278&gt;=$NR$95,278&lt;=$NS$95),IF($NP$95="Single_Point",IF(278=$NR$95,$NN$95,0),IF($NP$95="Bell_Curve",$NN$95*(278-$NR$95+1)*($NS$95-278+1)/$NU$95,$NN$95/$NT$95)),0)</f>
        <v/>
      </c>
      <c r="JW95" s="402">
        <f>IF(AND(279&gt;=$NR$95,279&lt;=$NS$95),IF($NP$95="Single_Point",IF(279=$NR$95,$NN$95,0),IF($NP$95="Bell_Curve",$NN$95*(279-$NR$95+1)*($NS$95-279+1)/$NU$95,$NN$95/$NT$95)),0)</f>
        <v/>
      </c>
      <c r="JX95" s="402">
        <f>IF(AND(280&gt;=$NR$95,280&lt;=$NS$95),IF($NP$95="Single_Point",IF(280=$NR$95,$NN$95,0),IF($NP$95="Bell_Curve",$NN$95*(280-$NR$95+1)*($NS$95-280+1)/$NU$95,$NN$95/$NT$95)),0)</f>
        <v/>
      </c>
      <c r="JY95" s="402">
        <f>IF(AND(281&gt;=$NR$95,281&lt;=$NS$95),IF($NP$95="Single_Point",IF(281=$NR$95,$NN$95,0),IF($NP$95="Bell_Curve",$NN$95*(281-$NR$95+1)*($NS$95-281+1)/$NU$95,$NN$95/$NT$95)),0)</f>
        <v/>
      </c>
      <c r="JZ95" s="402">
        <f>IF(AND(282&gt;=$NR$95,282&lt;=$NS$95),IF($NP$95="Single_Point",IF(282=$NR$95,$NN$95,0),IF($NP$95="Bell_Curve",$NN$95*(282-$NR$95+1)*($NS$95-282+1)/$NU$95,$NN$95/$NT$95)),0)</f>
        <v/>
      </c>
      <c r="KA95" s="402">
        <f>IF(AND(283&gt;=$NR$95,283&lt;=$NS$95),IF($NP$95="Single_Point",IF(283=$NR$95,$NN$95,0),IF($NP$95="Bell_Curve",$NN$95*(283-$NR$95+1)*($NS$95-283+1)/$NU$95,$NN$95/$NT$95)),0)</f>
        <v/>
      </c>
      <c r="KB95" s="402">
        <f>IF(AND(284&gt;=$NR$95,284&lt;=$NS$95),IF($NP$95="Single_Point",IF(284=$NR$95,$NN$95,0),IF($NP$95="Bell_Curve",$NN$95*(284-$NR$95+1)*($NS$95-284+1)/$NU$95,$NN$95/$NT$95)),0)</f>
        <v/>
      </c>
      <c r="KC95" s="402">
        <f>IF(AND(285&gt;=$NR$95,285&lt;=$NS$95),IF($NP$95="Single_Point",IF(285=$NR$95,$NN$95,0),IF($NP$95="Bell_Curve",$NN$95*(285-$NR$95+1)*($NS$95-285+1)/$NU$95,$NN$95/$NT$95)),0)</f>
        <v/>
      </c>
      <c r="KD95" s="402">
        <f>IF(AND(286&gt;=$NR$95,286&lt;=$NS$95),IF($NP$95="Single_Point",IF(286=$NR$95,$NN$95,0),IF($NP$95="Bell_Curve",$NN$95*(286-$NR$95+1)*($NS$95-286+1)/$NU$95,$NN$95/$NT$95)),0)</f>
        <v/>
      </c>
      <c r="KE95" s="402">
        <f>IF(AND(287&gt;=$NR$95,287&lt;=$NS$95),IF($NP$95="Single_Point",IF(287=$NR$95,$NN$95,0),IF($NP$95="Bell_Curve",$NN$95*(287-$NR$95+1)*($NS$95-287+1)/$NU$95,$NN$95/$NT$95)),0)</f>
        <v/>
      </c>
      <c r="KF95" s="402">
        <f>IF(AND(288&gt;=$NR$95,288&lt;=$NS$95),IF($NP$95="Single_Point",IF(288=$NR$95,$NN$95,0),IF($NP$95="Bell_Curve",$NN$95*(288-$NR$95+1)*($NS$95-288+1)/$NU$95,$NN$95/$NT$95)),0)</f>
        <v/>
      </c>
      <c r="KG95" s="402">
        <f>IF(AND(289&gt;=$NR$95,289&lt;=$NS$95),IF($NP$95="Single_Point",IF(289=$NR$95,$NN$95,0),IF($NP$95="Bell_Curve",$NN$95*(289-$NR$95+1)*($NS$95-289+1)/$NU$95,$NN$95/$NT$95)),0)</f>
        <v/>
      </c>
      <c r="KH95" s="402">
        <f>IF(AND(290&gt;=$NR$95,290&lt;=$NS$95),IF($NP$95="Single_Point",IF(290=$NR$95,$NN$95,0),IF($NP$95="Bell_Curve",$NN$95*(290-$NR$95+1)*($NS$95-290+1)/$NU$95,$NN$95/$NT$95)),0)</f>
        <v/>
      </c>
      <c r="KI95" s="402">
        <f>IF(AND(291&gt;=$NR$95,291&lt;=$NS$95),IF($NP$95="Single_Point",IF(291=$NR$95,$NN$95,0),IF($NP$95="Bell_Curve",$NN$95*(291-$NR$95+1)*($NS$95-291+1)/$NU$95,$NN$95/$NT$95)),0)</f>
        <v/>
      </c>
      <c r="KJ95" s="402">
        <f>IF(AND(292&gt;=$NR$95,292&lt;=$NS$95),IF($NP$95="Single_Point",IF(292=$NR$95,$NN$95,0),IF($NP$95="Bell_Curve",$NN$95*(292-$NR$95+1)*($NS$95-292+1)/$NU$95,$NN$95/$NT$95)),0)</f>
        <v/>
      </c>
      <c r="KK95" s="402">
        <f>IF(AND(293&gt;=$NR$95,293&lt;=$NS$95),IF($NP$95="Single_Point",IF(293=$NR$95,$NN$95,0),IF($NP$95="Bell_Curve",$NN$95*(293-$NR$95+1)*($NS$95-293+1)/$NU$95,$NN$95/$NT$95)),0)</f>
        <v/>
      </c>
      <c r="KL95" s="402">
        <f>IF(AND(294&gt;=$NR$95,294&lt;=$NS$95),IF($NP$95="Single_Point",IF(294=$NR$95,$NN$95,0),IF($NP$95="Bell_Curve",$NN$95*(294-$NR$95+1)*($NS$95-294+1)/$NU$95,$NN$95/$NT$95)),0)</f>
        <v/>
      </c>
      <c r="KM95" s="402">
        <f>IF(AND(295&gt;=$NR$95,295&lt;=$NS$95),IF($NP$95="Single_Point",IF(295=$NR$95,$NN$95,0),IF($NP$95="Bell_Curve",$NN$95*(295-$NR$95+1)*($NS$95-295+1)/$NU$95,$NN$95/$NT$95)),0)</f>
        <v/>
      </c>
      <c r="KN95" s="402">
        <f>IF(AND(296&gt;=$NR$95,296&lt;=$NS$95),IF($NP$95="Single_Point",IF(296=$NR$95,$NN$95,0),IF($NP$95="Bell_Curve",$NN$95*(296-$NR$95+1)*($NS$95-296+1)/$NU$95,$NN$95/$NT$95)),0)</f>
        <v/>
      </c>
      <c r="KO95" s="402">
        <f>IF(AND(297&gt;=$NR$95,297&lt;=$NS$95),IF($NP$95="Single_Point",IF(297=$NR$95,$NN$95,0),IF($NP$95="Bell_Curve",$NN$95*(297-$NR$95+1)*($NS$95-297+1)/$NU$95,$NN$95/$NT$95)),0)</f>
        <v/>
      </c>
      <c r="KP95" s="402">
        <f>IF(AND(298&gt;=$NR$95,298&lt;=$NS$95),IF($NP$95="Single_Point",IF(298=$NR$95,$NN$95,0),IF($NP$95="Bell_Curve",$NN$95*(298-$NR$95+1)*($NS$95-298+1)/$NU$95,$NN$95/$NT$95)),0)</f>
        <v/>
      </c>
      <c r="KQ95" s="402">
        <f>IF(AND(299&gt;=$NR$95,299&lt;=$NS$95),IF($NP$95="Single_Point",IF(299=$NR$95,$NN$95,0),IF($NP$95="Bell_Curve",$NN$95*(299-$NR$95+1)*($NS$95-299+1)/$NU$95,$NN$95/$NT$95)),0)</f>
        <v/>
      </c>
      <c r="KR95" s="402">
        <f>IF(AND(300&gt;=$NR$95,300&lt;=$NS$95),IF($NP$95="Single_Point",IF(300=$NR$95,$NN$95,0),IF($NP$95="Bell_Curve",$NN$95*(300-$NR$95+1)*($NS$95-300+1)/$NU$95,$NN$95/$NT$95)),0)</f>
        <v/>
      </c>
      <c r="KS95" s="402">
        <f>IF(AND(301&gt;=$NR$95,301&lt;=$NS$95),IF($NP$95="Single_Point",IF(301=$NR$95,$NN$95,0),IF($NP$95="Bell_Curve",$NN$95*(301-$NR$95+1)*($NS$95-301+1)/$NU$95,$NN$95/$NT$95)),0)</f>
        <v/>
      </c>
      <c r="KT95" s="402">
        <f>IF(AND(302&gt;=$NR$95,302&lt;=$NS$95),IF($NP$95="Single_Point",IF(302=$NR$95,$NN$95,0),IF($NP$95="Bell_Curve",$NN$95*(302-$NR$95+1)*($NS$95-302+1)/$NU$95,$NN$95/$NT$95)),0)</f>
        <v/>
      </c>
      <c r="KU95" s="402">
        <f>IF(AND(303&gt;=$NR$95,303&lt;=$NS$95),IF($NP$95="Single_Point",IF(303=$NR$95,$NN$95,0),IF($NP$95="Bell_Curve",$NN$95*(303-$NR$95+1)*($NS$95-303+1)/$NU$95,$NN$95/$NT$95)),0)</f>
        <v/>
      </c>
      <c r="KV95" s="402">
        <f>IF(AND(304&gt;=$NR$95,304&lt;=$NS$95),IF($NP$95="Single_Point",IF(304=$NR$95,$NN$95,0),IF($NP$95="Bell_Curve",$NN$95*(304-$NR$95+1)*($NS$95-304+1)/$NU$95,$NN$95/$NT$95)),0)</f>
        <v/>
      </c>
      <c r="KW95" s="402">
        <f>IF(AND(305&gt;=$NR$95,305&lt;=$NS$95),IF($NP$95="Single_Point",IF(305=$NR$95,$NN$95,0),IF($NP$95="Bell_Curve",$NN$95*(305-$NR$95+1)*($NS$95-305+1)/$NU$95,$NN$95/$NT$95)),0)</f>
        <v/>
      </c>
      <c r="KX95" s="402">
        <f>IF(AND(306&gt;=$NR$95,306&lt;=$NS$95),IF($NP$95="Single_Point",IF(306=$NR$95,$NN$95,0),IF($NP$95="Bell_Curve",$NN$95*(306-$NR$95+1)*($NS$95-306+1)/$NU$95,$NN$95/$NT$95)),0)</f>
        <v/>
      </c>
      <c r="KY95" s="402">
        <f>IF(AND(307&gt;=$NR$95,307&lt;=$NS$95),IF($NP$95="Single_Point",IF(307=$NR$95,$NN$95,0),IF($NP$95="Bell_Curve",$NN$95*(307-$NR$95+1)*($NS$95-307+1)/$NU$95,$NN$95/$NT$95)),0)</f>
        <v/>
      </c>
      <c r="KZ95" s="402">
        <f>IF(AND(308&gt;=$NR$95,308&lt;=$NS$95),IF($NP$95="Single_Point",IF(308=$NR$95,$NN$95,0),IF($NP$95="Bell_Curve",$NN$95*(308-$NR$95+1)*($NS$95-308+1)/$NU$95,$NN$95/$NT$95)),0)</f>
        <v/>
      </c>
      <c r="LA95" s="402">
        <f>IF(AND(309&gt;=$NR$95,309&lt;=$NS$95),IF($NP$95="Single_Point",IF(309=$NR$95,$NN$95,0),IF($NP$95="Bell_Curve",$NN$95*(309-$NR$95+1)*($NS$95-309+1)/$NU$95,$NN$95/$NT$95)),0)</f>
        <v/>
      </c>
      <c r="LB95" s="402">
        <f>IF(AND(310&gt;=$NR$95,310&lt;=$NS$95),IF($NP$95="Single_Point",IF(310=$NR$95,$NN$95,0),IF($NP$95="Bell_Curve",$NN$95*(310-$NR$95+1)*($NS$95-310+1)/$NU$95,$NN$95/$NT$95)),0)</f>
        <v/>
      </c>
      <c r="LC95" s="402">
        <f>IF(AND(311&gt;=$NR$95,311&lt;=$NS$95),IF($NP$95="Single_Point",IF(311=$NR$95,$NN$95,0),IF($NP$95="Bell_Curve",$NN$95*(311-$NR$95+1)*($NS$95-311+1)/$NU$95,$NN$95/$NT$95)),0)</f>
        <v/>
      </c>
      <c r="LD95" s="402">
        <f>IF(AND(312&gt;=$NR$95,312&lt;=$NS$95),IF($NP$95="Single_Point",IF(312=$NR$95,$NN$95,0),IF($NP$95="Bell_Curve",$NN$95*(312-$NR$95+1)*($NS$95-312+1)/$NU$95,$NN$95/$NT$95)),0)</f>
        <v/>
      </c>
      <c r="LE95" s="402">
        <f>IF(AND(313&gt;=$NR$95,313&lt;=$NS$95),IF($NP$95="Single_Point",IF(313=$NR$95,$NN$95,0),IF($NP$95="Bell_Curve",$NN$95*(313-$NR$95+1)*($NS$95-313+1)/$NU$95,$NN$95/$NT$95)),0)</f>
        <v/>
      </c>
      <c r="LF95" s="402">
        <f>IF(AND(314&gt;=$NR$95,314&lt;=$NS$95),IF($NP$95="Single_Point",IF(314=$NR$95,$NN$95,0),IF($NP$95="Bell_Curve",$NN$95*(314-$NR$95+1)*($NS$95-314+1)/$NU$95,$NN$95/$NT$95)),0)</f>
        <v/>
      </c>
      <c r="LG95" s="402">
        <f>IF(AND(315&gt;=$NR$95,315&lt;=$NS$95),IF($NP$95="Single_Point",IF(315=$NR$95,$NN$95,0),IF($NP$95="Bell_Curve",$NN$95*(315-$NR$95+1)*($NS$95-315+1)/$NU$95,$NN$95/$NT$95)),0)</f>
        <v/>
      </c>
      <c r="LH95" s="402">
        <f>IF(AND(316&gt;=$NR$95,316&lt;=$NS$95),IF($NP$95="Single_Point",IF(316=$NR$95,$NN$95,0),IF($NP$95="Bell_Curve",$NN$95*(316-$NR$95+1)*($NS$95-316+1)/$NU$95,$NN$95/$NT$95)),0)</f>
        <v/>
      </c>
      <c r="LI95" s="402">
        <f>IF(AND(317&gt;=$NR$95,317&lt;=$NS$95),IF($NP$95="Single_Point",IF(317=$NR$95,$NN$95,0),IF($NP$95="Bell_Curve",$NN$95*(317-$NR$95+1)*($NS$95-317+1)/$NU$95,$NN$95/$NT$95)),0)</f>
        <v/>
      </c>
      <c r="LJ95" s="402">
        <f>IF(AND(318&gt;=$NR$95,318&lt;=$NS$95),IF($NP$95="Single_Point",IF(318=$NR$95,$NN$95,0),IF($NP$95="Bell_Curve",$NN$95*(318-$NR$95+1)*($NS$95-318+1)/$NU$95,$NN$95/$NT$95)),0)</f>
        <v/>
      </c>
      <c r="LK95" s="402">
        <f>IF(AND(319&gt;=$NR$95,319&lt;=$NS$95),IF($NP$95="Single_Point",IF(319=$NR$95,$NN$95,0),IF($NP$95="Bell_Curve",$NN$95*(319-$NR$95+1)*($NS$95-319+1)/$NU$95,$NN$95/$NT$95)),0)</f>
        <v/>
      </c>
      <c r="LL95" s="402">
        <f>IF(AND(320&gt;=$NR$95,320&lt;=$NS$95),IF($NP$95="Single_Point",IF(320=$NR$95,$NN$95,0),IF($NP$95="Bell_Curve",$NN$95*(320-$NR$95+1)*($NS$95-320+1)/$NU$95,$NN$95/$NT$95)),0)</f>
        <v/>
      </c>
      <c r="LM95" s="402">
        <f>IF(AND(321&gt;=$NR$95,321&lt;=$NS$95),IF($NP$95="Single_Point",IF(321=$NR$95,$NN$95,0),IF($NP$95="Bell_Curve",$NN$95*(321-$NR$95+1)*($NS$95-321+1)/$NU$95,$NN$95/$NT$95)),0)</f>
        <v/>
      </c>
      <c r="LN95" s="402">
        <f>IF(AND(322&gt;=$NR$95,322&lt;=$NS$95),IF($NP$95="Single_Point",IF(322=$NR$95,$NN$95,0),IF($NP$95="Bell_Curve",$NN$95*(322-$NR$95+1)*($NS$95-322+1)/$NU$95,$NN$95/$NT$95)),0)</f>
        <v/>
      </c>
      <c r="LO95" s="402">
        <f>IF(AND(323&gt;=$NR$95,323&lt;=$NS$95),IF($NP$95="Single_Point",IF(323=$NR$95,$NN$95,0),IF($NP$95="Bell_Curve",$NN$95*(323-$NR$95+1)*($NS$95-323+1)/$NU$95,$NN$95/$NT$95)),0)</f>
        <v/>
      </c>
      <c r="LP95" s="402">
        <f>IF(AND(324&gt;=$NR$95,324&lt;=$NS$95),IF($NP$95="Single_Point",IF(324=$NR$95,$NN$95,0),IF($NP$95="Bell_Curve",$NN$95*(324-$NR$95+1)*($NS$95-324+1)/$NU$95,$NN$95/$NT$95)),0)</f>
        <v/>
      </c>
      <c r="LQ95" s="402">
        <f>IF(AND(325&gt;=$NR$95,325&lt;=$NS$95),IF($NP$95="Single_Point",IF(325=$NR$95,$NN$95,0),IF($NP$95="Bell_Curve",$NN$95*(325-$NR$95+1)*($NS$95-325+1)/$NU$95,$NN$95/$NT$95)),0)</f>
        <v/>
      </c>
      <c r="LR95" s="402">
        <f>IF(AND(326&gt;=$NR$95,326&lt;=$NS$95),IF($NP$95="Single_Point",IF(326=$NR$95,$NN$95,0),IF($NP$95="Bell_Curve",$NN$95*(326-$NR$95+1)*($NS$95-326+1)/$NU$95,$NN$95/$NT$95)),0)</f>
        <v/>
      </c>
      <c r="LS95" s="402">
        <f>IF(AND(327&gt;=$NR$95,327&lt;=$NS$95),IF($NP$95="Single_Point",IF(327=$NR$95,$NN$95,0),IF($NP$95="Bell_Curve",$NN$95*(327-$NR$95+1)*($NS$95-327+1)/$NU$95,$NN$95/$NT$95)),0)</f>
        <v/>
      </c>
      <c r="LT95" s="402">
        <f>IF(AND(328&gt;=$NR$95,328&lt;=$NS$95),IF($NP$95="Single_Point",IF(328=$NR$95,$NN$95,0),IF($NP$95="Bell_Curve",$NN$95*(328-$NR$95+1)*($NS$95-328+1)/$NU$95,$NN$95/$NT$95)),0)</f>
        <v/>
      </c>
      <c r="LU95" s="402">
        <f>IF(AND(329&gt;=$NR$95,329&lt;=$NS$95),IF($NP$95="Single_Point",IF(329=$NR$95,$NN$95,0),IF($NP$95="Bell_Curve",$NN$95*(329-$NR$95+1)*($NS$95-329+1)/$NU$95,$NN$95/$NT$95)),0)</f>
        <v/>
      </c>
      <c r="LV95" s="402">
        <f>IF(AND(330&gt;=$NR$95,330&lt;=$NS$95),IF($NP$95="Single_Point",IF(330=$NR$95,$NN$95,0),IF($NP$95="Bell_Curve",$NN$95*(330-$NR$95+1)*($NS$95-330+1)/$NU$95,$NN$95/$NT$95)),0)</f>
        <v/>
      </c>
      <c r="LW95" s="402">
        <f>IF(AND(331&gt;=$NR$95,331&lt;=$NS$95),IF($NP$95="Single_Point",IF(331=$NR$95,$NN$95,0),IF($NP$95="Bell_Curve",$NN$95*(331-$NR$95+1)*($NS$95-331+1)/$NU$95,$NN$95/$NT$95)),0)</f>
        <v/>
      </c>
      <c r="LX95" s="402">
        <f>IF(AND(332&gt;=$NR$95,332&lt;=$NS$95),IF($NP$95="Single_Point",IF(332=$NR$95,$NN$95,0),IF($NP$95="Bell_Curve",$NN$95*(332-$NR$95+1)*($NS$95-332+1)/$NU$95,$NN$95/$NT$95)),0)</f>
        <v/>
      </c>
      <c r="LY95" s="402">
        <f>IF(AND(333&gt;=$NR$95,333&lt;=$NS$95),IF($NP$95="Single_Point",IF(333=$NR$95,$NN$95,0),IF($NP$95="Bell_Curve",$NN$95*(333-$NR$95+1)*($NS$95-333+1)/$NU$95,$NN$95/$NT$95)),0)</f>
        <v/>
      </c>
      <c r="LZ95" s="402">
        <f>IF(AND(334&gt;=$NR$95,334&lt;=$NS$95),IF($NP$95="Single_Point",IF(334=$NR$95,$NN$95,0),IF($NP$95="Bell_Curve",$NN$95*(334-$NR$95+1)*($NS$95-334+1)/$NU$95,$NN$95/$NT$95)),0)</f>
        <v/>
      </c>
      <c r="MA95" s="402">
        <f>IF(AND(335&gt;=$NR$95,335&lt;=$NS$95),IF($NP$95="Single_Point",IF(335=$NR$95,$NN$95,0),IF($NP$95="Bell_Curve",$NN$95*(335-$NR$95+1)*($NS$95-335+1)/$NU$95,$NN$95/$NT$95)),0)</f>
        <v/>
      </c>
      <c r="MB95" s="402">
        <f>IF(AND(336&gt;=$NR$95,336&lt;=$NS$95),IF($NP$95="Single_Point",IF(336=$NR$95,$NN$95,0),IF($NP$95="Bell_Curve",$NN$95*(336-$NR$95+1)*($NS$95-336+1)/$NU$95,$NN$95/$NT$95)),0)</f>
        <v/>
      </c>
      <c r="MC95" s="402">
        <f>IF(AND(337&gt;=$NR$95,337&lt;=$NS$95),IF($NP$95="Single_Point",IF(337=$NR$95,$NN$95,0),IF($NP$95="Bell_Curve",$NN$95*(337-$NR$95+1)*($NS$95-337+1)/$NU$95,$NN$95/$NT$95)),0)</f>
        <v/>
      </c>
      <c r="MD95" s="402">
        <f>IF(AND(338&gt;=$NR$95,338&lt;=$NS$95),IF($NP$95="Single_Point",IF(338=$NR$95,$NN$95,0),IF($NP$95="Bell_Curve",$NN$95*(338-$NR$95+1)*($NS$95-338+1)/$NU$95,$NN$95/$NT$95)),0)</f>
        <v/>
      </c>
      <c r="ME95" s="402">
        <f>IF(AND(339&gt;=$NR$95,339&lt;=$NS$95),IF($NP$95="Single_Point",IF(339=$NR$95,$NN$95,0),IF($NP$95="Bell_Curve",$NN$95*(339-$NR$95+1)*($NS$95-339+1)/$NU$95,$NN$95/$NT$95)),0)</f>
        <v/>
      </c>
      <c r="MF95" s="402">
        <f>IF(AND(340&gt;=$NR$95,340&lt;=$NS$95),IF($NP$95="Single_Point",IF(340=$NR$95,$NN$95,0),IF($NP$95="Bell_Curve",$NN$95*(340-$NR$95+1)*($NS$95-340+1)/$NU$95,$NN$95/$NT$95)),0)</f>
        <v/>
      </c>
      <c r="MG95" s="402">
        <f>IF(AND(341&gt;=$NR$95,341&lt;=$NS$95),IF($NP$95="Single_Point",IF(341=$NR$95,$NN$95,0),IF($NP$95="Bell_Curve",$NN$95*(341-$NR$95+1)*($NS$95-341+1)/$NU$95,$NN$95/$NT$95)),0)</f>
        <v/>
      </c>
      <c r="MH95" s="402">
        <f>IF(AND(342&gt;=$NR$95,342&lt;=$NS$95),IF($NP$95="Single_Point",IF(342=$NR$95,$NN$95,0),IF($NP$95="Bell_Curve",$NN$95*(342-$NR$95+1)*($NS$95-342+1)/$NU$95,$NN$95/$NT$95)),0)</f>
        <v/>
      </c>
      <c r="MI95" s="402">
        <f>IF(AND(343&gt;=$NR$95,343&lt;=$NS$95),IF($NP$95="Single_Point",IF(343=$NR$95,$NN$95,0),IF($NP$95="Bell_Curve",$NN$95*(343-$NR$95+1)*($NS$95-343+1)/$NU$95,$NN$95/$NT$95)),0)</f>
        <v/>
      </c>
      <c r="MJ95" s="402">
        <f>IF(AND(344&gt;=$NR$95,344&lt;=$NS$95),IF($NP$95="Single_Point",IF(344=$NR$95,$NN$95,0),IF($NP$95="Bell_Curve",$NN$95*(344-$NR$95+1)*($NS$95-344+1)/$NU$95,$NN$95/$NT$95)),0)</f>
        <v/>
      </c>
      <c r="MK95" s="402">
        <f>IF(AND(345&gt;=$NR$95,345&lt;=$NS$95),IF($NP$95="Single_Point",IF(345=$NR$95,$NN$95,0),IF($NP$95="Bell_Curve",$NN$95*(345-$NR$95+1)*($NS$95-345+1)/$NU$95,$NN$95/$NT$95)),0)</f>
        <v/>
      </c>
      <c r="ML95" s="402">
        <f>IF(AND(346&gt;=$NR$95,346&lt;=$NS$95),IF($NP$95="Single_Point",IF(346=$NR$95,$NN$95,0),IF($NP$95="Bell_Curve",$NN$95*(346-$NR$95+1)*($NS$95-346+1)/$NU$95,$NN$95/$NT$95)),0)</f>
        <v/>
      </c>
      <c r="MM95" s="402">
        <f>IF(AND(347&gt;=$NR$95,347&lt;=$NS$95),IF($NP$95="Single_Point",IF(347=$NR$95,$NN$95,0),IF($NP$95="Bell_Curve",$NN$95*(347-$NR$95+1)*($NS$95-347+1)/$NU$95,$NN$95/$NT$95)),0)</f>
        <v/>
      </c>
      <c r="MN95" s="402">
        <f>IF(AND(348&gt;=$NR$95,348&lt;=$NS$95),IF($NP$95="Single_Point",IF(348=$NR$95,$NN$95,0),IF($NP$95="Bell_Curve",$NN$95*(348-$NR$95+1)*($NS$95-348+1)/$NU$95,$NN$95/$NT$95)),0)</f>
        <v/>
      </c>
      <c r="MO95" s="402">
        <f>IF(AND(349&gt;=$NR$95,349&lt;=$NS$95),IF($NP$95="Single_Point",IF(349=$NR$95,$NN$95,0),IF($NP$95="Bell_Curve",$NN$95*(349-$NR$95+1)*($NS$95-349+1)/$NU$95,$NN$95/$NT$95)),0)</f>
        <v/>
      </c>
      <c r="MP95" s="402">
        <f>IF(AND(350&gt;=$NR$95,350&lt;=$NS$95),IF($NP$95="Single_Point",IF(350=$NR$95,$NN$95,0),IF($NP$95="Bell_Curve",$NN$95*(350-$NR$95+1)*($NS$95-350+1)/$NU$95,$NN$95/$NT$95)),0)</f>
        <v/>
      </c>
      <c r="MQ95" s="402">
        <f>IF(AND(351&gt;=$NR$95,351&lt;=$NS$95),IF($NP$95="Single_Point",IF(351=$NR$95,$NN$95,0),IF($NP$95="Bell_Curve",$NN$95*(351-$NR$95+1)*($NS$95-351+1)/$NU$95,$NN$95/$NT$95)),0)</f>
        <v/>
      </c>
      <c r="MR95" s="402">
        <f>IF(AND(352&gt;=$NR$95,352&lt;=$NS$95),IF($NP$95="Single_Point",IF(352=$NR$95,$NN$95,0),IF($NP$95="Bell_Curve",$NN$95*(352-$NR$95+1)*($NS$95-352+1)/$NU$95,$NN$95/$NT$95)),0)</f>
        <v/>
      </c>
      <c r="MS95" s="402">
        <f>IF(AND(353&gt;=$NR$95,353&lt;=$NS$95),IF($NP$95="Single_Point",IF(353=$NR$95,$NN$95,0),IF($NP$95="Bell_Curve",$NN$95*(353-$NR$95+1)*($NS$95-353+1)/$NU$95,$NN$95/$NT$95)),0)</f>
        <v/>
      </c>
      <c r="MT95" s="402">
        <f>IF(AND(354&gt;=$NR$95,354&lt;=$NS$95),IF($NP$95="Single_Point",IF(354=$NR$95,$NN$95,0),IF($NP$95="Bell_Curve",$NN$95*(354-$NR$95+1)*($NS$95-354+1)/$NU$95,$NN$95/$NT$95)),0)</f>
        <v/>
      </c>
      <c r="MU95" s="402">
        <f>IF(AND(355&gt;=$NR$95,355&lt;=$NS$95),IF($NP$95="Single_Point",IF(355=$NR$95,$NN$95,0),IF($NP$95="Bell_Curve",$NN$95*(355-$NR$95+1)*($NS$95-355+1)/$NU$95,$NN$95/$NT$95)),0)</f>
        <v/>
      </c>
      <c r="MV95" s="402">
        <f>IF(AND(356&gt;=$NR$95,356&lt;=$NS$95),IF($NP$95="Single_Point",IF(356=$NR$95,$NN$95,0),IF($NP$95="Bell_Curve",$NN$95*(356-$NR$95+1)*($NS$95-356+1)/$NU$95,$NN$95/$NT$95)),0)</f>
        <v/>
      </c>
      <c r="MW95" s="402">
        <f>IF(AND(357&gt;=$NR$95,357&lt;=$NS$95),IF($NP$95="Single_Point",IF(357=$NR$95,$NN$95,0),IF($NP$95="Bell_Curve",$NN$95*(357-$NR$95+1)*($NS$95-357+1)/$NU$95,$NN$95/$NT$95)),0)</f>
        <v/>
      </c>
      <c r="MX95" s="402">
        <f>IF(AND(358&gt;=$NR$95,358&lt;=$NS$95),IF($NP$95="Single_Point",IF(358=$NR$95,$NN$95,0),IF($NP$95="Bell_Curve",$NN$95*(358-$NR$95+1)*($NS$95-358+1)/$NU$95,$NN$95/$NT$95)),0)</f>
        <v/>
      </c>
      <c r="MY95" s="402">
        <f>IF(AND(359&gt;=$NR$95,359&lt;=$NS$95),IF($NP$95="Single_Point",IF(359=$NR$95,$NN$95,0),IF($NP$95="Bell_Curve",$NN$95*(359-$NR$95+1)*($NS$95-359+1)/$NU$95,$NN$95/$NT$95)),0)</f>
        <v/>
      </c>
      <c r="MZ95" s="402">
        <f>IF(AND(360&gt;=$NR$95,360&lt;=$NS$95),IF($NP$95="Single_Point",IF(360=$NR$95,$NN$95,0),IF($NP$95="Bell_Curve",$NN$95*(360-$NR$95+1)*($NS$95-360+1)/$NU$95,$NN$95/$NT$95)),0)</f>
        <v/>
      </c>
      <c r="NA95" s="402">
        <f>IF(AND(361&gt;=$NR$95,361&lt;=$NS$95),IF($NP$95="Single_Point",IF(361=$NR$95,$NN$95,0),IF($NP$95="Bell_Curve",$NN$95*(361-$NR$95+1)*($NS$95-361+1)/$NU$95,$NN$95/$NT$95)),0)</f>
        <v/>
      </c>
      <c r="NB95" s="402">
        <f>IF(AND(362&gt;=$NR$95,362&lt;=$NS$95),IF($NP$95="Single_Point",IF(362=$NR$95,$NN$95,0),IF($NP$95="Bell_Curve",$NN$95*(362-$NR$95+1)*($NS$95-362+1)/$NU$95,$NN$95/$NT$95)),0)</f>
        <v/>
      </c>
      <c r="NC95" s="402">
        <f>IF(AND(363&gt;=$NR$95,363&lt;=$NS$95),IF($NP$95="Single_Point",IF(363=$NR$95,$NN$95,0),IF($NP$95="Bell_Curve",$NN$95*(363-$NR$95+1)*($NS$95-363+1)/$NU$95,$NN$95/$NT$95)),0)</f>
        <v/>
      </c>
      <c r="ND95" s="402">
        <f>IF(AND(364&gt;=$NR$95,364&lt;=$NS$95),IF($NP$95="Single_Point",IF(364=$NR$95,$NN$95,0),IF($NP$95="Bell_Curve",$NN$95*(364-$NR$95+1)*($NS$95-364+1)/$NU$95,$NN$95/$NT$95)),0)</f>
        <v/>
      </c>
      <c r="NE95" s="402">
        <f>IF(AND(365&gt;=$NR$95,365&lt;=$NS$95),IF($NP$95="Single_Point",IF(365=$NR$95,$NN$95,0),IF($NP$95="Bell_Curve",$NN$95*(365-$NR$95+1)*($NS$95-365+1)/$NU$95,$NN$95/$NT$95)),0)</f>
        <v/>
      </c>
      <c r="NF95" s="402">
        <f>IF(AND(366&gt;=$NR$95,366&lt;=$NS$95),IF($NP$95="Single_Point",IF(366=$NR$95,$NN$95,0),IF($NP$95="Bell_Curve",$NN$95*(366-$NR$95+1)*($NS$95-366+1)/$NU$95,$NN$95/$NT$95)),0)</f>
        <v/>
      </c>
      <c r="NG95" s="402">
        <f>IF(AND(367&gt;=$NR$95,367&lt;=$NS$95),IF($NP$95="Single_Point",IF(367=$NR$95,$NN$95,0),IF($NP$95="Bell_Curve",$NN$95*(367-$NR$95+1)*($NS$95-367+1)/$NU$95,$NN$95/$NT$95)),0)</f>
        <v/>
      </c>
      <c r="NH95" s="402">
        <f>IF(AND(368&gt;=$NR$95,368&lt;=$NS$95),IF($NP$95="Single_Point",IF(368=$NR$95,$NN$95,0),IF($NP$95="Bell_Curve",$NN$95*(368-$NR$95+1)*($NS$95-368+1)/$NU$95,$NN$95/$NT$95)),0)</f>
        <v/>
      </c>
      <c r="NI95" s="402">
        <f>IF(AND(369&gt;=$NR$95,369&lt;=$NS$95),IF($NP$95="Single_Point",IF(369=$NR$95,$NN$95,0),IF($NP$95="Bell_Curve",$NN$95*(369-$NR$95+1)*($NS$95-369+1)/$NU$95,$NN$95/$NT$95)),0)</f>
        <v/>
      </c>
      <c r="NJ95" s="402">
        <f>IF(AND(370&gt;=$NR$95,370&lt;=$NS$95),IF($NP$95="Single_Point",IF(370=$NR$95,$NN$95,0),IF($NP$95="Bell_Curve",$NN$95*(370-$NR$95+1)*($NS$95-370+1)/$NU$95,$NN$95/$NT$95)),0)</f>
        <v/>
      </c>
      <c r="NK95" s="402">
        <f>IF(AND(371&gt;=$NR$95,371&lt;=$NS$95),IF($NP$95="Single_Point",IF(371=$NR$95,$NN$95,0),IF($NP$95="Bell_Curve",$NN$95*(371-$NR$95+1)*($NS$95-371+1)/$NU$95,$NN$95/$NT$95)),0)</f>
        <v/>
      </c>
      <c r="NL95" s="402">
        <f>IF(AND(372&gt;=$NR$95,372&lt;=$NS$95),IF($NP$95="Single_Point",IF(372=$NR$95,$NN$95,0),IF($NP$95="Bell_Curve",$NN$95*(372-$NR$95+1)*($NS$95-372+1)/$NU$95,$NN$95/$NT$95)),0)</f>
        <v/>
      </c>
      <c r="NM95">
        <f>Budget!C94</f>
        <v/>
      </c>
      <c r="NN95">
        <f>Budget!J94</f>
        <v/>
      </c>
      <c r="NO95">
        <f>Budget!G94</f>
        <v/>
      </c>
      <c r="NP95">
        <f>Budget!H94</f>
        <v/>
      </c>
      <c r="NQ95">
        <f>Budget!I94</f>
        <v/>
      </c>
      <c r="NR95">
        <f>MAX(1,MIN(372,INDEX(MilestoneStart,MATCH(NO95,MilestoneNames,0))+NQ95))</f>
        <v/>
      </c>
      <c r="NS95">
        <f>MAX(NR95,MIN(372,INDEX(MilestoneEnd,MATCH(NO95,MilestoneNames,0))+NQ95))</f>
        <v/>
      </c>
      <c r="NT95">
        <f>NS95-NR95+1</f>
        <v/>
      </c>
      <c r="NU95">
        <f>NT95*(NT95+1)*(NT95+2)/6</f>
        <v/>
      </c>
    </row>
    <row r="96">
      <c r="B96" s="316">
        <f>Budget!B95</f>
        <v/>
      </c>
      <c r="D96" s="402">
        <f>SUM(E96:NL96)</f>
        <v/>
      </c>
      <c r="E96" s="402">
        <f>IF(AND(1&gt;=$NR$96,1&lt;=$NS$96),IF($NP$96="Single_Point",IF(1=$NR$96,$NN$96,0),IF($NP$96="Bell_Curve",$NN$96*(1-$NR$96+1)*($NS$96-1+1)/$NU$96,$NN$96/$NT$96)),0)</f>
        <v/>
      </c>
      <c r="F96" s="402">
        <f>IF(AND(2&gt;=$NR$96,2&lt;=$NS$96),IF($NP$96="Single_Point",IF(2=$NR$96,$NN$96,0),IF($NP$96="Bell_Curve",$NN$96*(2-$NR$96+1)*($NS$96-2+1)/$NU$96,$NN$96/$NT$96)),0)</f>
        <v/>
      </c>
      <c r="G96" s="402">
        <f>IF(AND(3&gt;=$NR$96,3&lt;=$NS$96),IF($NP$96="Single_Point",IF(3=$NR$96,$NN$96,0),IF($NP$96="Bell_Curve",$NN$96*(3-$NR$96+1)*($NS$96-3+1)/$NU$96,$NN$96/$NT$96)),0)</f>
        <v/>
      </c>
      <c r="H96" s="402">
        <f>IF(AND(4&gt;=$NR$96,4&lt;=$NS$96),IF($NP$96="Single_Point",IF(4=$NR$96,$NN$96,0),IF($NP$96="Bell_Curve",$NN$96*(4-$NR$96+1)*($NS$96-4+1)/$NU$96,$NN$96/$NT$96)),0)</f>
        <v/>
      </c>
      <c r="I96" s="402">
        <f>IF(AND(5&gt;=$NR$96,5&lt;=$NS$96),IF($NP$96="Single_Point",IF(5=$NR$96,$NN$96,0),IF($NP$96="Bell_Curve",$NN$96*(5-$NR$96+1)*($NS$96-5+1)/$NU$96,$NN$96/$NT$96)),0)</f>
        <v/>
      </c>
      <c r="J96" s="402">
        <f>IF(AND(6&gt;=$NR$96,6&lt;=$NS$96),IF($NP$96="Single_Point",IF(6=$NR$96,$NN$96,0),IF($NP$96="Bell_Curve",$NN$96*(6-$NR$96+1)*($NS$96-6+1)/$NU$96,$NN$96/$NT$96)),0)</f>
        <v/>
      </c>
      <c r="K96" s="402">
        <f>IF(AND(7&gt;=$NR$96,7&lt;=$NS$96),IF($NP$96="Single_Point",IF(7=$NR$96,$NN$96,0),IF($NP$96="Bell_Curve",$NN$96*(7-$NR$96+1)*($NS$96-7+1)/$NU$96,$NN$96/$NT$96)),0)</f>
        <v/>
      </c>
      <c r="L96" s="402">
        <f>IF(AND(8&gt;=$NR$96,8&lt;=$NS$96),IF($NP$96="Single_Point",IF(8=$NR$96,$NN$96,0),IF($NP$96="Bell_Curve",$NN$96*(8-$NR$96+1)*($NS$96-8+1)/$NU$96,$NN$96/$NT$96)),0)</f>
        <v/>
      </c>
      <c r="M96" s="402">
        <f>IF(AND(9&gt;=$NR$96,9&lt;=$NS$96),IF($NP$96="Single_Point",IF(9=$NR$96,$NN$96,0),IF($NP$96="Bell_Curve",$NN$96*(9-$NR$96+1)*($NS$96-9+1)/$NU$96,$NN$96/$NT$96)),0)</f>
        <v/>
      </c>
      <c r="N96" s="402">
        <f>IF(AND(10&gt;=$NR$96,10&lt;=$NS$96),IF($NP$96="Single_Point",IF(10=$NR$96,$NN$96,0),IF($NP$96="Bell_Curve",$NN$96*(10-$NR$96+1)*($NS$96-10+1)/$NU$96,$NN$96/$NT$96)),0)</f>
        <v/>
      </c>
      <c r="O96" s="402">
        <f>IF(AND(11&gt;=$NR$96,11&lt;=$NS$96),IF($NP$96="Single_Point",IF(11=$NR$96,$NN$96,0),IF($NP$96="Bell_Curve",$NN$96*(11-$NR$96+1)*($NS$96-11+1)/$NU$96,$NN$96/$NT$96)),0)</f>
        <v/>
      </c>
      <c r="P96" s="402">
        <f>IF(AND(12&gt;=$NR$96,12&lt;=$NS$96),IF($NP$96="Single_Point",IF(12=$NR$96,$NN$96,0),IF($NP$96="Bell_Curve",$NN$96*(12-$NR$96+1)*($NS$96-12+1)/$NU$96,$NN$96/$NT$96)),0)</f>
        <v/>
      </c>
      <c r="Q96" s="402">
        <f>IF(AND(13&gt;=$NR$96,13&lt;=$NS$96),IF($NP$96="Single_Point",IF(13=$NR$96,$NN$96,0),IF($NP$96="Bell_Curve",$NN$96*(13-$NR$96+1)*($NS$96-13+1)/$NU$96,$NN$96/$NT$96)),0)</f>
        <v/>
      </c>
      <c r="R96" s="402">
        <f>IF(AND(14&gt;=$NR$96,14&lt;=$NS$96),IF($NP$96="Single_Point",IF(14=$NR$96,$NN$96,0),IF($NP$96="Bell_Curve",$NN$96*(14-$NR$96+1)*($NS$96-14+1)/$NU$96,$NN$96/$NT$96)),0)</f>
        <v/>
      </c>
      <c r="S96" s="402">
        <f>IF(AND(15&gt;=$NR$96,15&lt;=$NS$96),IF($NP$96="Single_Point",IF(15=$NR$96,$NN$96,0),IF($NP$96="Bell_Curve",$NN$96*(15-$NR$96+1)*($NS$96-15+1)/$NU$96,$NN$96/$NT$96)),0)</f>
        <v/>
      </c>
      <c r="T96" s="402">
        <f>IF(AND(16&gt;=$NR$96,16&lt;=$NS$96),IF($NP$96="Single_Point",IF(16=$NR$96,$NN$96,0),IF($NP$96="Bell_Curve",$NN$96*(16-$NR$96+1)*($NS$96-16+1)/$NU$96,$NN$96/$NT$96)),0)</f>
        <v/>
      </c>
      <c r="U96" s="402">
        <f>IF(AND(17&gt;=$NR$96,17&lt;=$NS$96),IF($NP$96="Single_Point",IF(17=$NR$96,$NN$96,0),IF($NP$96="Bell_Curve",$NN$96*(17-$NR$96+1)*($NS$96-17+1)/$NU$96,$NN$96/$NT$96)),0)</f>
        <v/>
      </c>
      <c r="V96" s="402">
        <f>IF(AND(18&gt;=$NR$96,18&lt;=$NS$96),IF($NP$96="Single_Point",IF(18=$NR$96,$NN$96,0),IF($NP$96="Bell_Curve",$NN$96*(18-$NR$96+1)*($NS$96-18+1)/$NU$96,$NN$96/$NT$96)),0)</f>
        <v/>
      </c>
      <c r="W96" s="402">
        <f>IF(AND(19&gt;=$NR$96,19&lt;=$NS$96),IF($NP$96="Single_Point",IF(19=$NR$96,$NN$96,0),IF($NP$96="Bell_Curve",$NN$96*(19-$NR$96+1)*($NS$96-19+1)/$NU$96,$NN$96/$NT$96)),0)</f>
        <v/>
      </c>
      <c r="X96" s="402">
        <f>IF(AND(20&gt;=$NR$96,20&lt;=$NS$96),IF($NP$96="Single_Point",IF(20=$NR$96,$NN$96,0),IF($NP$96="Bell_Curve",$NN$96*(20-$NR$96+1)*($NS$96-20+1)/$NU$96,$NN$96/$NT$96)),0)</f>
        <v/>
      </c>
      <c r="Y96" s="402">
        <f>IF(AND(21&gt;=$NR$96,21&lt;=$NS$96),IF($NP$96="Single_Point",IF(21=$NR$96,$NN$96,0),IF($NP$96="Bell_Curve",$NN$96*(21-$NR$96+1)*($NS$96-21+1)/$NU$96,$NN$96/$NT$96)),0)</f>
        <v/>
      </c>
      <c r="Z96" s="402">
        <f>IF(AND(22&gt;=$NR$96,22&lt;=$NS$96),IF($NP$96="Single_Point",IF(22=$NR$96,$NN$96,0),IF($NP$96="Bell_Curve",$NN$96*(22-$NR$96+1)*($NS$96-22+1)/$NU$96,$NN$96/$NT$96)),0)</f>
        <v/>
      </c>
      <c r="AA96" s="402">
        <f>IF(AND(23&gt;=$NR$96,23&lt;=$NS$96),IF($NP$96="Single_Point",IF(23=$NR$96,$NN$96,0),IF($NP$96="Bell_Curve",$NN$96*(23-$NR$96+1)*($NS$96-23+1)/$NU$96,$NN$96/$NT$96)),0)</f>
        <v/>
      </c>
      <c r="AB96" s="402">
        <f>IF(AND(24&gt;=$NR$96,24&lt;=$NS$96),IF($NP$96="Single_Point",IF(24=$NR$96,$NN$96,0),IF($NP$96="Bell_Curve",$NN$96*(24-$NR$96+1)*($NS$96-24+1)/$NU$96,$NN$96/$NT$96)),0)</f>
        <v/>
      </c>
      <c r="AC96" s="402">
        <f>IF(AND(25&gt;=$NR$96,25&lt;=$NS$96),IF($NP$96="Single_Point",IF(25=$NR$96,$NN$96,0),IF($NP$96="Bell_Curve",$NN$96*(25-$NR$96+1)*($NS$96-25+1)/$NU$96,$NN$96/$NT$96)),0)</f>
        <v/>
      </c>
      <c r="AD96" s="402">
        <f>IF(AND(26&gt;=$NR$96,26&lt;=$NS$96),IF($NP$96="Single_Point",IF(26=$NR$96,$NN$96,0),IF($NP$96="Bell_Curve",$NN$96*(26-$NR$96+1)*($NS$96-26+1)/$NU$96,$NN$96/$NT$96)),0)</f>
        <v/>
      </c>
      <c r="AE96" s="402">
        <f>IF(AND(27&gt;=$NR$96,27&lt;=$NS$96),IF($NP$96="Single_Point",IF(27=$NR$96,$NN$96,0),IF($NP$96="Bell_Curve",$NN$96*(27-$NR$96+1)*($NS$96-27+1)/$NU$96,$NN$96/$NT$96)),0)</f>
        <v/>
      </c>
      <c r="AF96" s="402">
        <f>IF(AND(28&gt;=$NR$96,28&lt;=$NS$96),IF($NP$96="Single_Point",IF(28=$NR$96,$NN$96,0),IF($NP$96="Bell_Curve",$NN$96*(28-$NR$96+1)*($NS$96-28+1)/$NU$96,$NN$96/$NT$96)),0)</f>
        <v/>
      </c>
      <c r="AG96" s="402">
        <f>IF(AND(29&gt;=$NR$96,29&lt;=$NS$96),IF($NP$96="Single_Point",IF(29=$NR$96,$NN$96,0),IF($NP$96="Bell_Curve",$NN$96*(29-$NR$96+1)*($NS$96-29+1)/$NU$96,$NN$96/$NT$96)),0)</f>
        <v/>
      </c>
      <c r="AH96" s="402">
        <f>IF(AND(30&gt;=$NR$96,30&lt;=$NS$96),IF($NP$96="Single_Point",IF(30=$NR$96,$NN$96,0),IF($NP$96="Bell_Curve",$NN$96*(30-$NR$96+1)*($NS$96-30+1)/$NU$96,$NN$96/$NT$96)),0)</f>
        <v/>
      </c>
      <c r="AI96" s="402">
        <f>IF(AND(31&gt;=$NR$96,31&lt;=$NS$96),IF($NP$96="Single_Point",IF(31=$NR$96,$NN$96,0),IF($NP$96="Bell_Curve",$NN$96*(31-$NR$96+1)*($NS$96-31+1)/$NU$96,$NN$96/$NT$96)),0)</f>
        <v/>
      </c>
      <c r="AJ96" s="402">
        <f>IF(AND(32&gt;=$NR$96,32&lt;=$NS$96),IF($NP$96="Single_Point",IF(32=$NR$96,$NN$96,0),IF($NP$96="Bell_Curve",$NN$96*(32-$NR$96+1)*($NS$96-32+1)/$NU$96,$NN$96/$NT$96)),0)</f>
        <v/>
      </c>
      <c r="AK96" s="402">
        <f>IF(AND(33&gt;=$NR$96,33&lt;=$NS$96),IF($NP$96="Single_Point",IF(33=$NR$96,$NN$96,0),IF($NP$96="Bell_Curve",$NN$96*(33-$NR$96+1)*($NS$96-33+1)/$NU$96,$NN$96/$NT$96)),0)</f>
        <v/>
      </c>
      <c r="AL96" s="402">
        <f>IF(AND(34&gt;=$NR$96,34&lt;=$NS$96),IF($NP$96="Single_Point",IF(34=$NR$96,$NN$96,0),IF($NP$96="Bell_Curve",$NN$96*(34-$NR$96+1)*($NS$96-34+1)/$NU$96,$NN$96/$NT$96)),0)</f>
        <v/>
      </c>
      <c r="AM96" s="402">
        <f>IF(AND(35&gt;=$NR$96,35&lt;=$NS$96),IF($NP$96="Single_Point",IF(35=$NR$96,$NN$96,0),IF($NP$96="Bell_Curve",$NN$96*(35-$NR$96+1)*($NS$96-35+1)/$NU$96,$NN$96/$NT$96)),0)</f>
        <v/>
      </c>
      <c r="AN96" s="402">
        <f>IF(AND(36&gt;=$NR$96,36&lt;=$NS$96),IF($NP$96="Single_Point",IF(36=$NR$96,$NN$96,0),IF($NP$96="Bell_Curve",$NN$96*(36-$NR$96+1)*($NS$96-36+1)/$NU$96,$NN$96/$NT$96)),0)</f>
        <v/>
      </c>
      <c r="AO96" s="402">
        <f>IF(AND(37&gt;=$NR$96,37&lt;=$NS$96),IF($NP$96="Single_Point",IF(37=$NR$96,$NN$96,0),IF($NP$96="Bell_Curve",$NN$96*(37-$NR$96+1)*($NS$96-37+1)/$NU$96,$NN$96/$NT$96)),0)</f>
        <v/>
      </c>
      <c r="AP96" s="402">
        <f>IF(AND(38&gt;=$NR$96,38&lt;=$NS$96),IF($NP$96="Single_Point",IF(38=$NR$96,$NN$96,0),IF($NP$96="Bell_Curve",$NN$96*(38-$NR$96+1)*($NS$96-38+1)/$NU$96,$NN$96/$NT$96)),0)</f>
        <v/>
      </c>
      <c r="AQ96" s="402">
        <f>IF(AND(39&gt;=$NR$96,39&lt;=$NS$96),IF($NP$96="Single_Point",IF(39=$NR$96,$NN$96,0),IF($NP$96="Bell_Curve",$NN$96*(39-$NR$96+1)*($NS$96-39+1)/$NU$96,$NN$96/$NT$96)),0)</f>
        <v/>
      </c>
      <c r="AR96" s="402">
        <f>IF(AND(40&gt;=$NR$96,40&lt;=$NS$96),IF($NP$96="Single_Point",IF(40=$NR$96,$NN$96,0),IF($NP$96="Bell_Curve",$NN$96*(40-$NR$96+1)*($NS$96-40+1)/$NU$96,$NN$96/$NT$96)),0)</f>
        <v/>
      </c>
      <c r="AS96" s="402">
        <f>IF(AND(41&gt;=$NR$96,41&lt;=$NS$96),IF($NP$96="Single_Point",IF(41=$NR$96,$NN$96,0),IF($NP$96="Bell_Curve",$NN$96*(41-$NR$96+1)*($NS$96-41+1)/$NU$96,$NN$96/$NT$96)),0)</f>
        <v/>
      </c>
      <c r="AT96" s="402">
        <f>IF(AND(42&gt;=$NR$96,42&lt;=$NS$96),IF($NP$96="Single_Point",IF(42=$NR$96,$NN$96,0),IF($NP$96="Bell_Curve",$NN$96*(42-$NR$96+1)*($NS$96-42+1)/$NU$96,$NN$96/$NT$96)),0)</f>
        <v/>
      </c>
      <c r="AU96" s="402">
        <f>IF(AND(43&gt;=$NR$96,43&lt;=$NS$96),IF($NP$96="Single_Point",IF(43=$NR$96,$NN$96,0),IF($NP$96="Bell_Curve",$NN$96*(43-$NR$96+1)*($NS$96-43+1)/$NU$96,$NN$96/$NT$96)),0)</f>
        <v/>
      </c>
      <c r="AV96" s="402">
        <f>IF(AND(44&gt;=$NR$96,44&lt;=$NS$96),IF($NP$96="Single_Point",IF(44=$NR$96,$NN$96,0),IF($NP$96="Bell_Curve",$NN$96*(44-$NR$96+1)*($NS$96-44+1)/$NU$96,$NN$96/$NT$96)),0)</f>
        <v/>
      </c>
      <c r="AW96" s="402">
        <f>IF(AND(45&gt;=$NR$96,45&lt;=$NS$96),IF($NP$96="Single_Point",IF(45=$NR$96,$NN$96,0),IF($NP$96="Bell_Curve",$NN$96*(45-$NR$96+1)*($NS$96-45+1)/$NU$96,$NN$96/$NT$96)),0)</f>
        <v/>
      </c>
      <c r="AX96" s="402">
        <f>IF(AND(46&gt;=$NR$96,46&lt;=$NS$96),IF($NP$96="Single_Point",IF(46=$NR$96,$NN$96,0),IF($NP$96="Bell_Curve",$NN$96*(46-$NR$96+1)*($NS$96-46+1)/$NU$96,$NN$96/$NT$96)),0)</f>
        <v/>
      </c>
      <c r="AY96" s="402">
        <f>IF(AND(47&gt;=$NR$96,47&lt;=$NS$96),IF($NP$96="Single_Point",IF(47=$NR$96,$NN$96,0),IF($NP$96="Bell_Curve",$NN$96*(47-$NR$96+1)*($NS$96-47+1)/$NU$96,$NN$96/$NT$96)),0)</f>
        <v/>
      </c>
      <c r="AZ96" s="402">
        <f>IF(AND(48&gt;=$NR$96,48&lt;=$NS$96),IF($NP$96="Single_Point",IF(48=$NR$96,$NN$96,0),IF($NP$96="Bell_Curve",$NN$96*(48-$NR$96+1)*($NS$96-48+1)/$NU$96,$NN$96/$NT$96)),0)</f>
        <v/>
      </c>
      <c r="BA96" s="402">
        <f>IF(AND(49&gt;=$NR$96,49&lt;=$NS$96),IF($NP$96="Single_Point",IF(49=$NR$96,$NN$96,0),IF($NP$96="Bell_Curve",$NN$96*(49-$NR$96+1)*($NS$96-49+1)/$NU$96,$NN$96/$NT$96)),0)</f>
        <v/>
      </c>
      <c r="BB96" s="402">
        <f>IF(AND(50&gt;=$NR$96,50&lt;=$NS$96),IF($NP$96="Single_Point",IF(50=$NR$96,$NN$96,0),IF($NP$96="Bell_Curve",$NN$96*(50-$NR$96+1)*($NS$96-50+1)/$NU$96,$NN$96/$NT$96)),0)</f>
        <v/>
      </c>
      <c r="BC96" s="402">
        <f>IF(AND(51&gt;=$NR$96,51&lt;=$NS$96),IF($NP$96="Single_Point",IF(51=$NR$96,$NN$96,0),IF($NP$96="Bell_Curve",$NN$96*(51-$NR$96+1)*($NS$96-51+1)/$NU$96,$NN$96/$NT$96)),0)</f>
        <v/>
      </c>
      <c r="BD96" s="402">
        <f>IF(AND(52&gt;=$NR$96,52&lt;=$NS$96),IF($NP$96="Single_Point",IF(52=$NR$96,$NN$96,0),IF($NP$96="Bell_Curve",$NN$96*(52-$NR$96+1)*($NS$96-52+1)/$NU$96,$NN$96/$NT$96)),0)</f>
        <v/>
      </c>
      <c r="BE96" s="402">
        <f>IF(AND(53&gt;=$NR$96,53&lt;=$NS$96),IF($NP$96="Single_Point",IF(53=$NR$96,$NN$96,0),IF($NP$96="Bell_Curve",$NN$96*(53-$NR$96+1)*($NS$96-53+1)/$NU$96,$NN$96/$NT$96)),0)</f>
        <v/>
      </c>
      <c r="BF96" s="402">
        <f>IF(AND(54&gt;=$NR$96,54&lt;=$NS$96),IF($NP$96="Single_Point",IF(54=$NR$96,$NN$96,0),IF($NP$96="Bell_Curve",$NN$96*(54-$NR$96+1)*($NS$96-54+1)/$NU$96,$NN$96/$NT$96)),0)</f>
        <v/>
      </c>
      <c r="BG96" s="402">
        <f>IF(AND(55&gt;=$NR$96,55&lt;=$NS$96),IF($NP$96="Single_Point",IF(55=$NR$96,$NN$96,0),IF($NP$96="Bell_Curve",$NN$96*(55-$NR$96+1)*($NS$96-55+1)/$NU$96,$NN$96/$NT$96)),0)</f>
        <v/>
      </c>
      <c r="BH96" s="402">
        <f>IF(AND(56&gt;=$NR$96,56&lt;=$NS$96),IF($NP$96="Single_Point",IF(56=$NR$96,$NN$96,0),IF($NP$96="Bell_Curve",$NN$96*(56-$NR$96+1)*($NS$96-56+1)/$NU$96,$NN$96/$NT$96)),0)</f>
        <v/>
      </c>
      <c r="BI96" s="402">
        <f>IF(AND(57&gt;=$NR$96,57&lt;=$NS$96),IF($NP$96="Single_Point",IF(57=$NR$96,$NN$96,0),IF($NP$96="Bell_Curve",$NN$96*(57-$NR$96+1)*($NS$96-57+1)/$NU$96,$NN$96/$NT$96)),0)</f>
        <v/>
      </c>
      <c r="BJ96" s="402">
        <f>IF(AND(58&gt;=$NR$96,58&lt;=$NS$96),IF($NP$96="Single_Point",IF(58=$NR$96,$NN$96,0),IF($NP$96="Bell_Curve",$NN$96*(58-$NR$96+1)*($NS$96-58+1)/$NU$96,$NN$96/$NT$96)),0)</f>
        <v/>
      </c>
      <c r="BK96" s="402">
        <f>IF(AND(59&gt;=$NR$96,59&lt;=$NS$96),IF($NP$96="Single_Point",IF(59=$NR$96,$NN$96,0),IF($NP$96="Bell_Curve",$NN$96*(59-$NR$96+1)*($NS$96-59+1)/$NU$96,$NN$96/$NT$96)),0)</f>
        <v/>
      </c>
      <c r="BL96" s="402">
        <f>IF(AND(60&gt;=$NR$96,60&lt;=$NS$96),IF($NP$96="Single_Point",IF(60=$NR$96,$NN$96,0),IF($NP$96="Bell_Curve",$NN$96*(60-$NR$96+1)*($NS$96-60+1)/$NU$96,$NN$96/$NT$96)),0)</f>
        <v/>
      </c>
      <c r="BM96" s="402">
        <f>IF(AND(61&gt;=$NR$96,61&lt;=$NS$96),IF($NP$96="Single_Point",IF(61=$NR$96,$NN$96,0),IF($NP$96="Bell_Curve",$NN$96*(61-$NR$96+1)*($NS$96-61+1)/$NU$96,$NN$96/$NT$96)),0)</f>
        <v/>
      </c>
      <c r="BN96" s="402">
        <f>IF(AND(62&gt;=$NR$96,62&lt;=$NS$96),IF($NP$96="Single_Point",IF(62=$NR$96,$NN$96,0),IF($NP$96="Bell_Curve",$NN$96*(62-$NR$96+1)*($NS$96-62+1)/$NU$96,$NN$96/$NT$96)),0)</f>
        <v/>
      </c>
      <c r="BO96" s="402">
        <f>IF(AND(63&gt;=$NR$96,63&lt;=$NS$96),IF($NP$96="Single_Point",IF(63=$NR$96,$NN$96,0),IF($NP$96="Bell_Curve",$NN$96*(63-$NR$96+1)*($NS$96-63+1)/$NU$96,$NN$96/$NT$96)),0)</f>
        <v/>
      </c>
      <c r="BP96" s="402">
        <f>IF(AND(64&gt;=$NR$96,64&lt;=$NS$96),IF($NP$96="Single_Point",IF(64=$NR$96,$NN$96,0),IF($NP$96="Bell_Curve",$NN$96*(64-$NR$96+1)*($NS$96-64+1)/$NU$96,$NN$96/$NT$96)),0)</f>
        <v/>
      </c>
      <c r="BQ96" s="402">
        <f>IF(AND(65&gt;=$NR$96,65&lt;=$NS$96),IF($NP$96="Single_Point",IF(65=$NR$96,$NN$96,0),IF($NP$96="Bell_Curve",$NN$96*(65-$NR$96+1)*($NS$96-65+1)/$NU$96,$NN$96/$NT$96)),0)</f>
        <v/>
      </c>
      <c r="BR96" s="402">
        <f>IF(AND(66&gt;=$NR$96,66&lt;=$NS$96),IF($NP$96="Single_Point",IF(66=$NR$96,$NN$96,0),IF($NP$96="Bell_Curve",$NN$96*(66-$NR$96+1)*($NS$96-66+1)/$NU$96,$NN$96/$NT$96)),0)</f>
        <v/>
      </c>
      <c r="BS96" s="402">
        <f>IF(AND(67&gt;=$NR$96,67&lt;=$NS$96),IF($NP$96="Single_Point",IF(67=$NR$96,$NN$96,0),IF($NP$96="Bell_Curve",$NN$96*(67-$NR$96+1)*($NS$96-67+1)/$NU$96,$NN$96/$NT$96)),0)</f>
        <v/>
      </c>
      <c r="BT96" s="402">
        <f>IF(AND(68&gt;=$NR$96,68&lt;=$NS$96),IF($NP$96="Single_Point",IF(68=$NR$96,$NN$96,0),IF($NP$96="Bell_Curve",$NN$96*(68-$NR$96+1)*($NS$96-68+1)/$NU$96,$NN$96/$NT$96)),0)</f>
        <v/>
      </c>
      <c r="BU96" s="402">
        <f>IF(AND(69&gt;=$NR$96,69&lt;=$NS$96),IF($NP$96="Single_Point",IF(69=$NR$96,$NN$96,0),IF($NP$96="Bell_Curve",$NN$96*(69-$NR$96+1)*($NS$96-69+1)/$NU$96,$NN$96/$NT$96)),0)</f>
        <v/>
      </c>
      <c r="BV96" s="402">
        <f>IF(AND(70&gt;=$NR$96,70&lt;=$NS$96),IF($NP$96="Single_Point",IF(70=$NR$96,$NN$96,0),IF($NP$96="Bell_Curve",$NN$96*(70-$NR$96+1)*($NS$96-70+1)/$NU$96,$NN$96/$NT$96)),0)</f>
        <v/>
      </c>
      <c r="BW96" s="402">
        <f>IF(AND(71&gt;=$NR$96,71&lt;=$NS$96),IF($NP$96="Single_Point",IF(71=$NR$96,$NN$96,0),IF($NP$96="Bell_Curve",$NN$96*(71-$NR$96+1)*($NS$96-71+1)/$NU$96,$NN$96/$NT$96)),0)</f>
        <v/>
      </c>
      <c r="BX96" s="402">
        <f>IF(AND(72&gt;=$NR$96,72&lt;=$NS$96),IF($NP$96="Single_Point",IF(72=$NR$96,$NN$96,0),IF($NP$96="Bell_Curve",$NN$96*(72-$NR$96+1)*($NS$96-72+1)/$NU$96,$NN$96/$NT$96)),0)</f>
        <v/>
      </c>
      <c r="BY96" s="402">
        <f>IF(AND(73&gt;=$NR$96,73&lt;=$NS$96),IF($NP$96="Single_Point",IF(73=$NR$96,$NN$96,0),IF($NP$96="Bell_Curve",$NN$96*(73-$NR$96+1)*($NS$96-73+1)/$NU$96,$NN$96/$NT$96)),0)</f>
        <v/>
      </c>
      <c r="BZ96" s="402">
        <f>IF(AND(74&gt;=$NR$96,74&lt;=$NS$96),IF($NP$96="Single_Point",IF(74=$NR$96,$NN$96,0),IF($NP$96="Bell_Curve",$NN$96*(74-$NR$96+1)*($NS$96-74+1)/$NU$96,$NN$96/$NT$96)),0)</f>
        <v/>
      </c>
      <c r="CA96" s="402">
        <f>IF(AND(75&gt;=$NR$96,75&lt;=$NS$96),IF($NP$96="Single_Point",IF(75=$NR$96,$NN$96,0),IF($NP$96="Bell_Curve",$NN$96*(75-$NR$96+1)*($NS$96-75+1)/$NU$96,$NN$96/$NT$96)),0)</f>
        <v/>
      </c>
      <c r="CB96" s="402">
        <f>IF(AND(76&gt;=$NR$96,76&lt;=$NS$96),IF($NP$96="Single_Point",IF(76=$NR$96,$NN$96,0),IF($NP$96="Bell_Curve",$NN$96*(76-$NR$96+1)*($NS$96-76+1)/$NU$96,$NN$96/$NT$96)),0)</f>
        <v/>
      </c>
      <c r="CC96" s="402">
        <f>IF(AND(77&gt;=$NR$96,77&lt;=$NS$96),IF($NP$96="Single_Point",IF(77=$NR$96,$NN$96,0),IF($NP$96="Bell_Curve",$NN$96*(77-$NR$96+1)*($NS$96-77+1)/$NU$96,$NN$96/$NT$96)),0)</f>
        <v/>
      </c>
      <c r="CD96" s="402">
        <f>IF(AND(78&gt;=$NR$96,78&lt;=$NS$96),IF($NP$96="Single_Point",IF(78=$NR$96,$NN$96,0),IF($NP$96="Bell_Curve",$NN$96*(78-$NR$96+1)*($NS$96-78+1)/$NU$96,$NN$96/$NT$96)),0)</f>
        <v/>
      </c>
      <c r="CE96" s="402">
        <f>IF(AND(79&gt;=$NR$96,79&lt;=$NS$96),IF($NP$96="Single_Point",IF(79=$NR$96,$NN$96,0),IF($NP$96="Bell_Curve",$NN$96*(79-$NR$96+1)*($NS$96-79+1)/$NU$96,$NN$96/$NT$96)),0)</f>
        <v/>
      </c>
      <c r="CF96" s="402">
        <f>IF(AND(80&gt;=$NR$96,80&lt;=$NS$96),IF($NP$96="Single_Point",IF(80=$NR$96,$NN$96,0),IF($NP$96="Bell_Curve",$NN$96*(80-$NR$96+1)*($NS$96-80+1)/$NU$96,$NN$96/$NT$96)),0)</f>
        <v/>
      </c>
      <c r="CG96" s="402">
        <f>IF(AND(81&gt;=$NR$96,81&lt;=$NS$96),IF($NP$96="Single_Point",IF(81=$NR$96,$NN$96,0),IF($NP$96="Bell_Curve",$NN$96*(81-$NR$96+1)*($NS$96-81+1)/$NU$96,$NN$96/$NT$96)),0)</f>
        <v/>
      </c>
      <c r="CH96" s="402">
        <f>IF(AND(82&gt;=$NR$96,82&lt;=$NS$96),IF($NP$96="Single_Point",IF(82=$NR$96,$NN$96,0),IF($NP$96="Bell_Curve",$NN$96*(82-$NR$96+1)*($NS$96-82+1)/$NU$96,$NN$96/$NT$96)),0)</f>
        <v/>
      </c>
      <c r="CI96" s="402">
        <f>IF(AND(83&gt;=$NR$96,83&lt;=$NS$96),IF($NP$96="Single_Point",IF(83=$NR$96,$NN$96,0),IF($NP$96="Bell_Curve",$NN$96*(83-$NR$96+1)*($NS$96-83+1)/$NU$96,$NN$96/$NT$96)),0)</f>
        <v/>
      </c>
      <c r="CJ96" s="402">
        <f>IF(AND(84&gt;=$NR$96,84&lt;=$NS$96),IF($NP$96="Single_Point",IF(84=$NR$96,$NN$96,0),IF($NP$96="Bell_Curve",$NN$96*(84-$NR$96+1)*($NS$96-84+1)/$NU$96,$NN$96/$NT$96)),0)</f>
        <v/>
      </c>
      <c r="CK96" s="402">
        <f>IF(AND(85&gt;=$NR$96,85&lt;=$NS$96),IF($NP$96="Single_Point",IF(85=$NR$96,$NN$96,0),IF($NP$96="Bell_Curve",$NN$96*(85-$NR$96+1)*($NS$96-85+1)/$NU$96,$NN$96/$NT$96)),0)</f>
        <v/>
      </c>
      <c r="CL96" s="402">
        <f>IF(AND(86&gt;=$NR$96,86&lt;=$NS$96),IF($NP$96="Single_Point",IF(86=$NR$96,$NN$96,0),IF($NP$96="Bell_Curve",$NN$96*(86-$NR$96+1)*($NS$96-86+1)/$NU$96,$NN$96/$NT$96)),0)</f>
        <v/>
      </c>
      <c r="CM96" s="402">
        <f>IF(AND(87&gt;=$NR$96,87&lt;=$NS$96),IF($NP$96="Single_Point",IF(87=$NR$96,$NN$96,0),IF($NP$96="Bell_Curve",$NN$96*(87-$NR$96+1)*($NS$96-87+1)/$NU$96,$NN$96/$NT$96)),0)</f>
        <v/>
      </c>
      <c r="CN96" s="402">
        <f>IF(AND(88&gt;=$NR$96,88&lt;=$NS$96),IF($NP$96="Single_Point",IF(88=$NR$96,$NN$96,0),IF($NP$96="Bell_Curve",$NN$96*(88-$NR$96+1)*($NS$96-88+1)/$NU$96,$NN$96/$NT$96)),0)</f>
        <v/>
      </c>
      <c r="CO96" s="402">
        <f>IF(AND(89&gt;=$NR$96,89&lt;=$NS$96),IF($NP$96="Single_Point",IF(89=$NR$96,$NN$96,0),IF($NP$96="Bell_Curve",$NN$96*(89-$NR$96+1)*($NS$96-89+1)/$NU$96,$NN$96/$NT$96)),0)</f>
        <v/>
      </c>
      <c r="CP96" s="402">
        <f>IF(AND(90&gt;=$NR$96,90&lt;=$NS$96),IF($NP$96="Single_Point",IF(90=$NR$96,$NN$96,0),IF($NP$96="Bell_Curve",$NN$96*(90-$NR$96+1)*($NS$96-90+1)/$NU$96,$NN$96/$NT$96)),0)</f>
        <v/>
      </c>
      <c r="CQ96" s="402">
        <f>IF(AND(91&gt;=$NR$96,91&lt;=$NS$96),IF($NP$96="Single_Point",IF(91=$NR$96,$NN$96,0),IF($NP$96="Bell_Curve",$NN$96*(91-$NR$96+1)*($NS$96-91+1)/$NU$96,$NN$96/$NT$96)),0)</f>
        <v/>
      </c>
      <c r="CR96" s="402">
        <f>IF(AND(92&gt;=$NR$96,92&lt;=$NS$96),IF($NP$96="Single_Point",IF(92=$NR$96,$NN$96,0),IF($NP$96="Bell_Curve",$NN$96*(92-$NR$96+1)*($NS$96-92+1)/$NU$96,$NN$96/$NT$96)),0)</f>
        <v/>
      </c>
      <c r="CS96" s="402">
        <f>IF(AND(93&gt;=$NR$96,93&lt;=$NS$96),IF($NP$96="Single_Point",IF(93=$NR$96,$NN$96,0),IF($NP$96="Bell_Curve",$NN$96*(93-$NR$96+1)*($NS$96-93+1)/$NU$96,$NN$96/$NT$96)),0)</f>
        <v/>
      </c>
      <c r="CT96" s="402">
        <f>IF(AND(94&gt;=$NR$96,94&lt;=$NS$96),IF($NP$96="Single_Point",IF(94=$NR$96,$NN$96,0),IF($NP$96="Bell_Curve",$NN$96*(94-$NR$96+1)*($NS$96-94+1)/$NU$96,$NN$96/$NT$96)),0)</f>
        <v/>
      </c>
      <c r="CU96" s="402">
        <f>IF(AND(95&gt;=$NR$96,95&lt;=$NS$96),IF($NP$96="Single_Point",IF(95=$NR$96,$NN$96,0),IF($NP$96="Bell_Curve",$NN$96*(95-$NR$96+1)*($NS$96-95+1)/$NU$96,$NN$96/$NT$96)),0)</f>
        <v/>
      </c>
      <c r="CV96" s="402">
        <f>IF(AND(96&gt;=$NR$96,96&lt;=$NS$96),IF($NP$96="Single_Point",IF(96=$NR$96,$NN$96,0),IF($NP$96="Bell_Curve",$NN$96*(96-$NR$96+1)*($NS$96-96+1)/$NU$96,$NN$96/$NT$96)),0)</f>
        <v/>
      </c>
      <c r="CW96" s="402">
        <f>IF(AND(97&gt;=$NR$96,97&lt;=$NS$96),IF($NP$96="Single_Point",IF(97=$NR$96,$NN$96,0),IF($NP$96="Bell_Curve",$NN$96*(97-$NR$96+1)*($NS$96-97+1)/$NU$96,$NN$96/$NT$96)),0)</f>
        <v/>
      </c>
      <c r="CX96" s="402">
        <f>IF(AND(98&gt;=$NR$96,98&lt;=$NS$96),IF($NP$96="Single_Point",IF(98=$NR$96,$NN$96,0),IF($NP$96="Bell_Curve",$NN$96*(98-$NR$96+1)*($NS$96-98+1)/$NU$96,$NN$96/$NT$96)),0)</f>
        <v/>
      </c>
      <c r="CY96" s="402">
        <f>IF(AND(99&gt;=$NR$96,99&lt;=$NS$96),IF($NP$96="Single_Point",IF(99=$NR$96,$NN$96,0),IF($NP$96="Bell_Curve",$NN$96*(99-$NR$96+1)*($NS$96-99+1)/$NU$96,$NN$96/$NT$96)),0)</f>
        <v/>
      </c>
      <c r="CZ96" s="402">
        <f>IF(AND(100&gt;=$NR$96,100&lt;=$NS$96),IF($NP$96="Single_Point",IF(100=$NR$96,$NN$96,0),IF($NP$96="Bell_Curve",$NN$96*(100-$NR$96+1)*($NS$96-100+1)/$NU$96,$NN$96/$NT$96)),0)</f>
        <v/>
      </c>
      <c r="DA96" s="402">
        <f>IF(AND(101&gt;=$NR$96,101&lt;=$NS$96),IF($NP$96="Single_Point",IF(101=$NR$96,$NN$96,0),IF($NP$96="Bell_Curve",$NN$96*(101-$NR$96+1)*($NS$96-101+1)/$NU$96,$NN$96/$NT$96)),0)</f>
        <v/>
      </c>
      <c r="DB96" s="402">
        <f>IF(AND(102&gt;=$NR$96,102&lt;=$NS$96),IF($NP$96="Single_Point",IF(102=$NR$96,$NN$96,0),IF($NP$96="Bell_Curve",$NN$96*(102-$NR$96+1)*($NS$96-102+1)/$NU$96,$NN$96/$NT$96)),0)</f>
        <v/>
      </c>
      <c r="DC96" s="402">
        <f>IF(AND(103&gt;=$NR$96,103&lt;=$NS$96),IF($NP$96="Single_Point",IF(103=$NR$96,$NN$96,0),IF($NP$96="Bell_Curve",$NN$96*(103-$NR$96+1)*($NS$96-103+1)/$NU$96,$NN$96/$NT$96)),0)</f>
        <v/>
      </c>
      <c r="DD96" s="402">
        <f>IF(AND(104&gt;=$NR$96,104&lt;=$NS$96),IF($NP$96="Single_Point",IF(104=$NR$96,$NN$96,0),IF($NP$96="Bell_Curve",$NN$96*(104-$NR$96+1)*($NS$96-104+1)/$NU$96,$NN$96/$NT$96)),0)</f>
        <v/>
      </c>
      <c r="DE96" s="402">
        <f>IF(AND(105&gt;=$NR$96,105&lt;=$NS$96),IF($NP$96="Single_Point",IF(105=$NR$96,$NN$96,0),IF($NP$96="Bell_Curve",$NN$96*(105-$NR$96+1)*($NS$96-105+1)/$NU$96,$NN$96/$NT$96)),0)</f>
        <v/>
      </c>
      <c r="DF96" s="402">
        <f>IF(AND(106&gt;=$NR$96,106&lt;=$NS$96),IF($NP$96="Single_Point",IF(106=$NR$96,$NN$96,0),IF($NP$96="Bell_Curve",$NN$96*(106-$NR$96+1)*($NS$96-106+1)/$NU$96,$NN$96/$NT$96)),0)</f>
        <v/>
      </c>
      <c r="DG96" s="402">
        <f>IF(AND(107&gt;=$NR$96,107&lt;=$NS$96),IF($NP$96="Single_Point",IF(107=$NR$96,$NN$96,0),IF($NP$96="Bell_Curve",$NN$96*(107-$NR$96+1)*($NS$96-107+1)/$NU$96,$NN$96/$NT$96)),0)</f>
        <v/>
      </c>
      <c r="DH96" s="402">
        <f>IF(AND(108&gt;=$NR$96,108&lt;=$NS$96),IF($NP$96="Single_Point",IF(108=$NR$96,$NN$96,0),IF($NP$96="Bell_Curve",$NN$96*(108-$NR$96+1)*($NS$96-108+1)/$NU$96,$NN$96/$NT$96)),0)</f>
        <v/>
      </c>
      <c r="DI96" s="402">
        <f>IF(AND(109&gt;=$NR$96,109&lt;=$NS$96),IF($NP$96="Single_Point",IF(109=$NR$96,$NN$96,0),IF($NP$96="Bell_Curve",$NN$96*(109-$NR$96+1)*($NS$96-109+1)/$NU$96,$NN$96/$NT$96)),0)</f>
        <v/>
      </c>
      <c r="DJ96" s="402">
        <f>IF(AND(110&gt;=$NR$96,110&lt;=$NS$96),IF($NP$96="Single_Point",IF(110=$NR$96,$NN$96,0),IF($NP$96="Bell_Curve",$NN$96*(110-$NR$96+1)*($NS$96-110+1)/$NU$96,$NN$96/$NT$96)),0)</f>
        <v/>
      </c>
      <c r="DK96" s="402">
        <f>IF(AND(111&gt;=$NR$96,111&lt;=$NS$96),IF($NP$96="Single_Point",IF(111=$NR$96,$NN$96,0),IF($NP$96="Bell_Curve",$NN$96*(111-$NR$96+1)*($NS$96-111+1)/$NU$96,$NN$96/$NT$96)),0)</f>
        <v/>
      </c>
      <c r="DL96" s="402">
        <f>IF(AND(112&gt;=$NR$96,112&lt;=$NS$96),IF($NP$96="Single_Point",IF(112=$NR$96,$NN$96,0),IF($NP$96="Bell_Curve",$NN$96*(112-$NR$96+1)*($NS$96-112+1)/$NU$96,$NN$96/$NT$96)),0)</f>
        <v/>
      </c>
      <c r="DM96" s="402">
        <f>IF(AND(113&gt;=$NR$96,113&lt;=$NS$96),IF($NP$96="Single_Point",IF(113=$NR$96,$NN$96,0),IF($NP$96="Bell_Curve",$NN$96*(113-$NR$96+1)*($NS$96-113+1)/$NU$96,$NN$96/$NT$96)),0)</f>
        <v/>
      </c>
      <c r="DN96" s="402">
        <f>IF(AND(114&gt;=$NR$96,114&lt;=$NS$96),IF($NP$96="Single_Point",IF(114=$NR$96,$NN$96,0),IF($NP$96="Bell_Curve",$NN$96*(114-$NR$96+1)*($NS$96-114+1)/$NU$96,$NN$96/$NT$96)),0)</f>
        <v/>
      </c>
      <c r="DO96" s="402">
        <f>IF(AND(115&gt;=$NR$96,115&lt;=$NS$96),IF($NP$96="Single_Point",IF(115=$NR$96,$NN$96,0),IF($NP$96="Bell_Curve",$NN$96*(115-$NR$96+1)*($NS$96-115+1)/$NU$96,$NN$96/$NT$96)),0)</f>
        <v/>
      </c>
      <c r="DP96" s="402">
        <f>IF(AND(116&gt;=$NR$96,116&lt;=$NS$96),IF($NP$96="Single_Point",IF(116=$NR$96,$NN$96,0),IF($NP$96="Bell_Curve",$NN$96*(116-$NR$96+1)*($NS$96-116+1)/$NU$96,$NN$96/$NT$96)),0)</f>
        <v/>
      </c>
      <c r="DQ96" s="402">
        <f>IF(AND(117&gt;=$NR$96,117&lt;=$NS$96),IF($NP$96="Single_Point",IF(117=$NR$96,$NN$96,0),IF($NP$96="Bell_Curve",$NN$96*(117-$NR$96+1)*($NS$96-117+1)/$NU$96,$NN$96/$NT$96)),0)</f>
        <v/>
      </c>
      <c r="DR96" s="402">
        <f>IF(AND(118&gt;=$NR$96,118&lt;=$NS$96),IF($NP$96="Single_Point",IF(118=$NR$96,$NN$96,0),IF($NP$96="Bell_Curve",$NN$96*(118-$NR$96+1)*($NS$96-118+1)/$NU$96,$NN$96/$NT$96)),0)</f>
        <v/>
      </c>
      <c r="DS96" s="402">
        <f>IF(AND(119&gt;=$NR$96,119&lt;=$NS$96),IF($NP$96="Single_Point",IF(119=$NR$96,$NN$96,0),IF($NP$96="Bell_Curve",$NN$96*(119-$NR$96+1)*($NS$96-119+1)/$NU$96,$NN$96/$NT$96)),0)</f>
        <v/>
      </c>
      <c r="DT96" s="402">
        <f>IF(AND(120&gt;=$NR$96,120&lt;=$NS$96),IF($NP$96="Single_Point",IF(120=$NR$96,$NN$96,0),IF($NP$96="Bell_Curve",$NN$96*(120-$NR$96+1)*($NS$96-120+1)/$NU$96,$NN$96/$NT$96)),0)</f>
        <v/>
      </c>
      <c r="DU96" s="402">
        <f>IF(AND(121&gt;=$NR$96,121&lt;=$NS$96),IF($NP$96="Single_Point",IF(121=$NR$96,$NN$96,0),IF($NP$96="Bell_Curve",$NN$96*(121-$NR$96+1)*($NS$96-121+1)/$NU$96,$NN$96/$NT$96)),0)</f>
        <v/>
      </c>
      <c r="DV96" s="402">
        <f>IF(AND(122&gt;=$NR$96,122&lt;=$NS$96),IF($NP$96="Single_Point",IF(122=$NR$96,$NN$96,0),IF($NP$96="Bell_Curve",$NN$96*(122-$NR$96+1)*($NS$96-122+1)/$NU$96,$NN$96/$NT$96)),0)</f>
        <v/>
      </c>
      <c r="DW96" s="402">
        <f>IF(AND(123&gt;=$NR$96,123&lt;=$NS$96),IF($NP$96="Single_Point",IF(123=$NR$96,$NN$96,0),IF($NP$96="Bell_Curve",$NN$96*(123-$NR$96+1)*($NS$96-123+1)/$NU$96,$NN$96/$NT$96)),0)</f>
        <v/>
      </c>
      <c r="DX96" s="402">
        <f>IF(AND(124&gt;=$NR$96,124&lt;=$NS$96),IF($NP$96="Single_Point",IF(124=$NR$96,$NN$96,0),IF($NP$96="Bell_Curve",$NN$96*(124-$NR$96+1)*($NS$96-124+1)/$NU$96,$NN$96/$NT$96)),0)</f>
        <v/>
      </c>
      <c r="DY96" s="402">
        <f>IF(AND(125&gt;=$NR$96,125&lt;=$NS$96),IF($NP$96="Single_Point",IF(125=$NR$96,$NN$96,0),IF($NP$96="Bell_Curve",$NN$96*(125-$NR$96+1)*($NS$96-125+1)/$NU$96,$NN$96/$NT$96)),0)</f>
        <v/>
      </c>
      <c r="DZ96" s="402">
        <f>IF(AND(126&gt;=$NR$96,126&lt;=$NS$96),IF($NP$96="Single_Point",IF(126=$NR$96,$NN$96,0),IF($NP$96="Bell_Curve",$NN$96*(126-$NR$96+1)*($NS$96-126+1)/$NU$96,$NN$96/$NT$96)),0)</f>
        <v/>
      </c>
      <c r="EA96" s="402">
        <f>IF(AND(127&gt;=$NR$96,127&lt;=$NS$96),IF($NP$96="Single_Point",IF(127=$NR$96,$NN$96,0),IF($NP$96="Bell_Curve",$NN$96*(127-$NR$96+1)*($NS$96-127+1)/$NU$96,$NN$96/$NT$96)),0)</f>
        <v/>
      </c>
      <c r="EB96" s="402">
        <f>IF(AND(128&gt;=$NR$96,128&lt;=$NS$96),IF($NP$96="Single_Point",IF(128=$NR$96,$NN$96,0),IF($NP$96="Bell_Curve",$NN$96*(128-$NR$96+1)*($NS$96-128+1)/$NU$96,$NN$96/$NT$96)),0)</f>
        <v/>
      </c>
      <c r="EC96" s="402">
        <f>IF(AND(129&gt;=$NR$96,129&lt;=$NS$96),IF($NP$96="Single_Point",IF(129=$NR$96,$NN$96,0),IF($NP$96="Bell_Curve",$NN$96*(129-$NR$96+1)*($NS$96-129+1)/$NU$96,$NN$96/$NT$96)),0)</f>
        <v/>
      </c>
      <c r="ED96" s="402">
        <f>IF(AND(130&gt;=$NR$96,130&lt;=$NS$96),IF($NP$96="Single_Point",IF(130=$NR$96,$NN$96,0),IF($NP$96="Bell_Curve",$NN$96*(130-$NR$96+1)*($NS$96-130+1)/$NU$96,$NN$96/$NT$96)),0)</f>
        <v/>
      </c>
      <c r="EE96" s="402">
        <f>IF(AND(131&gt;=$NR$96,131&lt;=$NS$96),IF($NP$96="Single_Point",IF(131=$NR$96,$NN$96,0),IF($NP$96="Bell_Curve",$NN$96*(131-$NR$96+1)*($NS$96-131+1)/$NU$96,$NN$96/$NT$96)),0)</f>
        <v/>
      </c>
      <c r="EF96" s="402">
        <f>IF(AND(132&gt;=$NR$96,132&lt;=$NS$96),IF($NP$96="Single_Point",IF(132=$NR$96,$NN$96,0),IF($NP$96="Bell_Curve",$NN$96*(132-$NR$96+1)*($NS$96-132+1)/$NU$96,$NN$96/$NT$96)),0)</f>
        <v/>
      </c>
      <c r="EG96" s="402">
        <f>IF(AND(133&gt;=$NR$96,133&lt;=$NS$96),IF($NP$96="Single_Point",IF(133=$NR$96,$NN$96,0),IF($NP$96="Bell_Curve",$NN$96*(133-$NR$96+1)*($NS$96-133+1)/$NU$96,$NN$96/$NT$96)),0)</f>
        <v/>
      </c>
      <c r="EH96" s="402">
        <f>IF(AND(134&gt;=$NR$96,134&lt;=$NS$96),IF($NP$96="Single_Point",IF(134=$NR$96,$NN$96,0),IF($NP$96="Bell_Curve",$NN$96*(134-$NR$96+1)*($NS$96-134+1)/$NU$96,$NN$96/$NT$96)),0)</f>
        <v/>
      </c>
      <c r="EI96" s="402">
        <f>IF(AND(135&gt;=$NR$96,135&lt;=$NS$96),IF($NP$96="Single_Point",IF(135=$NR$96,$NN$96,0),IF($NP$96="Bell_Curve",$NN$96*(135-$NR$96+1)*($NS$96-135+1)/$NU$96,$NN$96/$NT$96)),0)</f>
        <v/>
      </c>
      <c r="EJ96" s="402">
        <f>IF(AND(136&gt;=$NR$96,136&lt;=$NS$96),IF($NP$96="Single_Point",IF(136=$NR$96,$NN$96,0),IF($NP$96="Bell_Curve",$NN$96*(136-$NR$96+1)*($NS$96-136+1)/$NU$96,$NN$96/$NT$96)),0)</f>
        <v/>
      </c>
      <c r="EK96" s="402">
        <f>IF(AND(137&gt;=$NR$96,137&lt;=$NS$96),IF($NP$96="Single_Point",IF(137=$NR$96,$NN$96,0),IF($NP$96="Bell_Curve",$NN$96*(137-$NR$96+1)*($NS$96-137+1)/$NU$96,$NN$96/$NT$96)),0)</f>
        <v/>
      </c>
      <c r="EL96" s="402">
        <f>IF(AND(138&gt;=$NR$96,138&lt;=$NS$96),IF($NP$96="Single_Point",IF(138=$NR$96,$NN$96,0),IF($NP$96="Bell_Curve",$NN$96*(138-$NR$96+1)*($NS$96-138+1)/$NU$96,$NN$96/$NT$96)),0)</f>
        <v/>
      </c>
      <c r="EM96" s="402">
        <f>IF(AND(139&gt;=$NR$96,139&lt;=$NS$96),IF($NP$96="Single_Point",IF(139=$NR$96,$NN$96,0),IF($NP$96="Bell_Curve",$NN$96*(139-$NR$96+1)*($NS$96-139+1)/$NU$96,$NN$96/$NT$96)),0)</f>
        <v/>
      </c>
      <c r="EN96" s="402">
        <f>IF(AND(140&gt;=$NR$96,140&lt;=$NS$96),IF($NP$96="Single_Point",IF(140=$NR$96,$NN$96,0),IF($NP$96="Bell_Curve",$NN$96*(140-$NR$96+1)*($NS$96-140+1)/$NU$96,$NN$96/$NT$96)),0)</f>
        <v/>
      </c>
      <c r="EO96" s="402">
        <f>IF(AND(141&gt;=$NR$96,141&lt;=$NS$96),IF($NP$96="Single_Point",IF(141=$NR$96,$NN$96,0),IF($NP$96="Bell_Curve",$NN$96*(141-$NR$96+1)*($NS$96-141+1)/$NU$96,$NN$96/$NT$96)),0)</f>
        <v/>
      </c>
      <c r="EP96" s="402">
        <f>IF(AND(142&gt;=$NR$96,142&lt;=$NS$96),IF($NP$96="Single_Point",IF(142=$NR$96,$NN$96,0),IF($NP$96="Bell_Curve",$NN$96*(142-$NR$96+1)*($NS$96-142+1)/$NU$96,$NN$96/$NT$96)),0)</f>
        <v/>
      </c>
      <c r="EQ96" s="402">
        <f>IF(AND(143&gt;=$NR$96,143&lt;=$NS$96),IF($NP$96="Single_Point",IF(143=$NR$96,$NN$96,0),IF($NP$96="Bell_Curve",$NN$96*(143-$NR$96+1)*($NS$96-143+1)/$NU$96,$NN$96/$NT$96)),0)</f>
        <v/>
      </c>
      <c r="ER96" s="402">
        <f>IF(AND(144&gt;=$NR$96,144&lt;=$NS$96),IF($NP$96="Single_Point",IF(144=$NR$96,$NN$96,0),IF($NP$96="Bell_Curve",$NN$96*(144-$NR$96+1)*($NS$96-144+1)/$NU$96,$NN$96/$NT$96)),0)</f>
        <v/>
      </c>
      <c r="ES96" s="402">
        <f>IF(AND(145&gt;=$NR$96,145&lt;=$NS$96),IF($NP$96="Single_Point",IF(145=$NR$96,$NN$96,0),IF($NP$96="Bell_Curve",$NN$96*(145-$NR$96+1)*($NS$96-145+1)/$NU$96,$NN$96/$NT$96)),0)</f>
        <v/>
      </c>
      <c r="ET96" s="402">
        <f>IF(AND(146&gt;=$NR$96,146&lt;=$NS$96),IF($NP$96="Single_Point",IF(146=$NR$96,$NN$96,0),IF($NP$96="Bell_Curve",$NN$96*(146-$NR$96+1)*($NS$96-146+1)/$NU$96,$NN$96/$NT$96)),0)</f>
        <v/>
      </c>
      <c r="EU96" s="402">
        <f>IF(AND(147&gt;=$NR$96,147&lt;=$NS$96),IF($NP$96="Single_Point",IF(147=$NR$96,$NN$96,0),IF($NP$96="Bell_Curve",$NN$96*(147-$NR$96+1)*($NS$96-147+1)/$NU$96,$NN$96/$NT$96)),0)</f>
        <v/>
      </c>
      <c r="EV96" s="402">
        <f>IF(AND(148&gt;=$NR$96,148&lt;=$NS$96),IF($NP$96="Single_Point",IF(148=$NR$96,$NN$96,0),IF($NP$96="Bell_Curve",$NN$96*(148-$NR$96+1)*($NS$96-148+1)/$NU$96,$NN$96/$NT$96)),0)</f>
        <v/>
      </c>
      <c r="EW96" s="402">
        <f>IF(AND(149&gt;=$NR$96,149&lt;=$NS$96),IF($NP$96="Single_Point",IF(149=$NR$96,$NN$96,0),IF($NP$96="Bell_Curve",$NN$96*(149-$NR$96+1)*($NS$96-149+1)/$NU$96,$NN$96/$NT$96)),0)</f>
        <v/>
      </c>
      <c r="EX96" s="402">
        <f>IF(AND(150&gt;=$NR$96,150&lt;=$NS$96),IF($NP$96="Single_Point",IF(150=$NR$96,$NN$96,0),IF($NP$96="Bell_Curve",$NN$96*(150-$NR$96+1)*($NS$96-150+1)/$NU$96,$NN$96/$NT$96)),0)</f>
        <v/>
      </c>
      <c r="EY96" s="402">
        <f>IF(AND(151&gt;=$NR$96,151&lt;=$NS$96),IF($NP$96="Single_Point",IF(151=$NR$96,$NN$96,0),IF($NP$96="Bell_Curve",$NN$96*(151-$NR$96+1)*($NS$96-151+1)/$NU$96,$NN$96/$NT$96)),0)</f>
        <v/>
      </c>
      <c r="EZ96" s="402">
        <f>IF(AND(152&gt;=$NR$96,152&lt;=$NS$96),IF($NP$96="Single_Point",IF(152=$NR$96,$NN$96,0),IF($NP$96="Bell_Curve",$NN$96*(152-$NR$96+1)*($NS$96-152+1)/$NU$96,$NN$96/$NT$96)),0)</f>
        <v/>
      </c>
      <c r="FA96" s="402">
        <f>IF(AND(153&gt;=$NR$96,153&lt;=$NS$96),IF($NP$96="Single_Point",IF(153=$NR$96,$NN$96,0),IF($NP$96="Bell_Curve",$NN$96*(153-$NR$96+1)*($NS$96-153+1)/$NU$96,$NN$96/$NT$96)),0)</f>
        <v/>
      </c>
      <c r="FB96" s="402">
        <f>IF(AND(154&gt;=$NR$96,154&lt;=$NS$96),IF($NP$96="Single_Point",IF(154=$NR$96,$NN$96,0),IF($NP$96="Bell_Curve",$NN$96*(154-$NR$96+1)*($NS$96-154+1)/$NU$96,$NN$96/$NT$96)),0)</f>
        <v/>
      </c>
      <c r="FC96" s="402">
        <f>IF(AND(155&gt;=$NR$96,155&lt;=$NS$96),IF($NP$96="Single_Point",IF(155=$NR$96,$NN$96,0),IF($NP$96="Bell_Curve",$NN$96*(155-$NR$96+1)*($NS$96-155+1)/$NU$96,$NN$96/$NT$96)),0)</f>
        <v/>
      </c>
      <c r="FD96" s="402">
        <f>IF(AND(156&gt;=$NR$96,156&lt;=$NS$96),IF($NP$96="Single_Point",IF(156=$NR$96,$NN$96,0),IF($NP$96="Bell_Curve",$NN$96*(156-$NR$96+1)*($NS$96-156+1)/$NU$96,$NN$96/$NT$96)),0)</f>
        <v/>
      </c>
      <c r="FE96" s="402">
        <f>IF(AND(157&gt;=$NR$96,157&lt;=$NS$96),IF($NP$96="Single_Point",IF(157=$NR$96,$NN$96,0),IF($NP$96="Bell_Curve",$NN$96*(157-$NR$96+1)*($NS$96-157+1)/$NU$96,$NN$96/$NT$96)),0)</f>
        <v/>
      </c>
      <c r="FF96" s="402">
        <f>IF(AND(158&gt;=$NR$96,158&lt;=$NS$96),IF($NP$96="Single_Point",IF(158=$NR$96,$NN$96,0),IF($NP$96="Bell_Curve",$NN$96*(158-$NR$96+1)*($NS$96-158+1)/$NU$96,$NN$96/$NT$96)),0)</f>
        <v/>
      </c>
      <c r="FG96" s="402">
        <f>IF(AND(159&gt;=$NR$96,159&lt;=$NS$96),IF($NP$96="Single_Point",IF(159=$NR$96,$NN$96,0),IF($NP$96="Bell_Curve",$NN$96*(159-$NR$96+1)*($NS$96-159+1)/$NU$96,$NN$96/$NT$96)),0)</f>
        <v/>
      </c>
      <c r="FH96" s="402">
        <f>IF(AND(160&gt;=$NR$96,160&lt;=$NS$96),IF($NP$96="Single_Point",IF(160=$NR$96,$NN$96,0),IF($NP$96="Bell_Curve",$NN$96*(160-$NR$96+1)*($NS$96-160+1)/$NU$96,$NN$96/$NT$96)),0)</f>
        <v/>
      </c>
      <c r="FI96" s="402">
        <f>IF(AND(161&gt;=$NR$96,161&lt;=$NS$96),IF($NP$96="Single_Point",IF(161=$NR$96,$NN$96,0),IF($NP$96="Bell_Curve",$NN$96*(161-$NR$96+1)*($NS$96-161+1)/$NU$96,$NN$96/$NT$96)),0)</f>
        <v/>
      </c>
      <c r="FJ96" s="402">
        <f>IF(AND(162&gt;=$NR$96,162&lt;=$NS$96),IF($NP$96="Single_Point",IF(162=$NR$96,$NN$96,0),IF($NP$96="Bell_Curve",$NN$96*(162-$NR$96+1)*($NS$96-162+1)/$NU$96,$NN$96/$NT$96)),0)</f>
        <v/>
      </c>
      <c r="FK96" s="402">
        <f>IF(AND(163&gt;=$NR$96,163&lt;=$NS$96),IF($NP$96="Single_Point",IF(163=$NR$96,$NN$96,0),IF($NP$96="Bell_Curve",$NN$96*(163-$NR$96+1)*($NS$96-163+1)/$NU$96,$NN$96/$NT$96)),0)</f>
        <v/>
      </c>
      <c r="FL96" s="402">
        <f>IF(AND(164&gt;=$NR$96,164&lt;=$NS$96),IF($NP$96="Single_Point",IF(164=$NR$96,$NN$96,0),IF($NP$96="Bell_Curve",$NN$96*(164-$NR$96+1)*($NS$96-164+1)/$NU$96,$NN$96/$NT$96)),0)</f>
        <v/>
      </c>
      <c r="FM96" s="402">
        <f>IF(AND(165&gt;=$NR$96,165&lt;=$NS$96),IF($NP$96="Single_Point",IF(165=$NR$96,$NN$96,0),IF($NP$96="Bell_Curve",$NN$96*(165-$NR$96+1)*($NS$96-165+1)/$NU$96,$NN$96/$NT$96)),0)</f>
        <v/>
      </c>
      <c r="FN96" s="402">
        <f>IF(AND(166&gt;=$NR$96,166&lt;=$NS$96),IF($NP$96="Single_Point",IF(166=$NR$96,$NN$96,0),IF($NP$96="Bell_Curve",$NN$96*(166-$NR$96+1)*($NS$96-166+1)/$NU$96,$NN$96/$NT$96)),0)</f>
        <v/>
      </c>
      <c r="FO96" s="402">
        <f>IF(AND(167&gt;=$NR$96,167&lt;=$NS$96),IF($NP$96="Single_Point",IF(167=$NR$96,$NN$96,0),IF($NP$96="Bell_Curve",$NN$96*(167-$NR$96+1)*($NS$96-167+1)/$NU$96,$NN$96/$NT$96)),0)</f>
        <v/>
      </c>
      <c r="FP96" s="402">
        <f>IF(AND(168&gt;=$NR$96,168&lt;=$NS$96),IF($NP$96="Single_Point",IF(168=$NR$96,$NN$96,0),IF($NP$96="Bell_Curve",$NN$96*(168-$NR$96+1)*($NS$96-168+1)/$NU$96,$NN$96/$NT$96)),0)</f>
        <v/>
      </c>
      <c r="FQ96" s="402">
        <f>IF(AND(169&gt;=$NR$96,169&lt;=$NS$96),IF($NP$96="Single_Point",IF(169=$NR$96,$NN$96,0),IF($NP$96="Bell_Curve",$NN$96*(169-$NR$96+1)*($NS$96-169+1)/$NU$96,$NN$96/$NT$96)),0)</f>
        <v/>
      </c>
      <c r="FR96" s="402">
        <f>IF(AND(170&gt;=$NR$96,170&lt;=$NS$96),IF($NP$96="Single_Point",IF(170=$NR$96,$NN$96,0),IF($NP$96="Bell_Curve",$NN$96*(170-$NR$96+1)*($NS$96-170+1)/$NU$96,$NN$96/$NT$96)),0)</f>
        <v/>
      </c>
      <c r="FS96" s="402">
        <f>IF(AND(171&gt;=$NR$96,171&lt;=$NS$96),IF($NP$96="Single_Point",IF(171=$NR$96,$NN$96,0),IF($NP$96="Bell_Curve",$NN$96*(171-$NR$96+1)*($NS$96-171+1)/$NU$96,$NN$96/$NT$96)),0)</f>
        <v/>
      </c>
      <c r="FT96" s="402">
        <f>IF(AND(172&gt;=$NR$96,172&lt;=$NS$96),IF($NP$96="Single_Point",IF(172=$NR$96,$NN$96,0),IF($NP$96="Bell_Curve",$NN$96*(172-$NR$96+1)*($NS$96-172+1)/$NU$96,$NN$96/$NT$96)),0)</f>
        <v/>
      </c>
      <c r="FU96" s="402">
        <f>IF(AND(173&gt;=$NR$96,173&lt;=$NS$96),IF($NP$96="Single_Point",IF(173=$NR$96,$NN$96,0),IF($NP$96="Bell_Curve",$NN$96*(173-$NR$96+1)*($NS$96-173+1)/$NU$96,$NN$96/$NT$96)),0)</f>
        <v/>
      </c>
      <c r="FV96" s="402">
        <f>IF(AND(174&gt;=$NR$96,174&lt;=$NS$96),IF($NP$96="Single_Point",IF(174=$NR$96,$NN$96,0),IF($NP$96="Bell_Curve",$NN$96*(174-$NR$96+1)*($NS$96-174+1)/$NU$96,$NN$96/$NT$96)),0)</f>
        <v/>
      </c>
      <c r="FW96" s="402">
        <f>IF(AND(175&gt;=$NR$96,175&lt;=$NS$96),IF($NP$96="Single_Point",IF(175=$NR$96,$NN$96,0),IF($NP$96="Bell_Curve",$NN$96*(175-$NR$96+1)*($NS$96-175+1)/$NU$96,$NN$96/$NT$96)),0)</f>
        <v/>
      </c>
      <c r="FX96" s="402">
        <f>IF(AND(176&gt;=$NR$96,176&lt;=$NS$96),IF($NP$96="Single_Point",IF(176=$NR$96,$NN$96,0),IF($NP$96="Bell_Curve",$NN$96*(176-$NR$96+1)*($NS$96-176+1)/$NU$96,$NN$96/$NT$96)),0)</f>
        <v/>
      </c>
      <c r="FY96" s="402">
        <f>IF(AND(177&gt;=$NR$96,177&lt;=$NS$96),IF($NP$96="Single_Point",IF(177=$NR$96,$NN$96,0),IF($NP$96="Bell_Curve",$NN$96*(177-$NR$96+1)*($NS$96-177+1)/$NU$96,$NN$96/$NT$96)),0)</f>
        <v/>
      </c>
      <c r="FZ96" s="402">
        <f>IF(AND(178&gt;=$NR$96,178&lt;=$NS$96),IF($NP$96="Single_Point",IF(178=$NR$96,$NN$96,0),IF($NP$96="Bell_Curve",$NN$96*(178-$NR$96+1)*($NS$96-178+1)/$NU$96,$NN$96/$NT$96)),0)</f>
        <v/>
      </c>
      <c r="GA96" s="402">
        <f>IF(AND(179&gt;=$NR$96,179&lt;=$NS$96),IF($NP$96="Single_Point",IF(179=$NR$96,$NN$96,0),IF($NP$96="Bell_Curve",$NN$96*(179-$NR$96+1)*($NS$96-179+1)/$NU$96,$NN$96/$NT$96)),0)</f>
        <v/>
      </c>
      <c r="GB96" s="402">
        <f>IF(AND(180&gt;=$NR$96,180&lt;=$NS$96),IF($NP$96="Single_Point",IF(180=$NR$96,$NN$96,0),IF($NP$96="Bell_Curve",$NN$96*(180-$NR$96+1)*($NS$96-180+1)/$NU$96,$NN$96/$NT$96)),0)</f>
        <v/>
      </c>
      <c r="GC96" s="402">
        <f>IF(AND(181&gt;=$NR$96,181&lt;=$NS$96),IF($NP$96="Single_Point",IF(181=$NR$96,$NN$96,0),IF($NP$96="Bell_Curve",$NN$96*(181-$NR$96+1)*($NS$96-181+1)/$NU$96,$NN$96/$NT$96)),0)</f>
        <v/>
      </c>
      <c r="GD96" s="402">
        <f>IF(AND(182&gt;=$NR$96,182&lt;=$NS$96),IF($NP$96="Single_Point",IF(182=$NR$96,$NN$96,0),IF($NP$96="Bell_Curve",$NN$96*(182-$NR$96+1)*($NS$96-182+1)/$NU$96,$NN$96/$NT$96)),0)</f>
        <v/>
      </c>
      <c r="GE96" s="402">
        <f>IF(AND(183&gt;=$NR$96,183&lt;=$NS$96),IF($NP$96="Single_Point",IF(183=$NR$96,$NN$96,0),IF($NP$96="Bell_Curve",$NN$96*(183-$NR$96+1)*($NS$96-183+1)/$NU$96,$NN$96/$NT$96)),0)</f>
        <v/>
      </c>
      <c r="GF96" s="402">
        <f>IF(AND(184&gt;=$NR$96,184&lt;=$NS$96),IF($NP$96="Single_Point",IF(184=$NR$96,$NN$96,0),IF($NP$96="Bell_Curve",$NN$96*(184-$NR$96+1)*($NS$96-184+1)/$NU$96,$NN$96/$NT$96)),0)</f>
        <v/>
      </c>
      <c r="GG96" s="402">
        <f>IF(AND(185&gt;=$NR$96,185&lt;=$NS$96),IF($NP$96="Single_Point",IF(185=$NR$96,$NN$96,0),IF($NP$96="Bell_Curve",$NN$96*(185-$NR$96+1)*($NS$96-185+1)/$NU$96,$NN$96/$NT$96)),0)</f>
        <v/>
      </c>
      <c r="GH96" s="402">
        <f>IF(AND(186&gt;=$NR$96,186&lt;=$NS$96),IF($NP$96="Single_Point",IF(186=$NR$96,$NN$96,0),IF($NP$96="Bell_Curve",$NN$96*(186-$NR$96+1)*($NS$96-186+1)/$NU$96,$NN$96/$NT$96)),0)</f>
        <v/>
      </c>
      <c r="GI96" s="402">
        <f>IF(AND(187&gt;=$NR$96,187&lt;=$NS$96),IF($NP$96="Single_Point",IF(187=$NR$96,$NN$96,0),IF($NP$96="Bell_Curve",$NN$96*(187-$NR$96+1)*($NS$96-187+1)/$NU$96,$NN$96/$NT$96)),0)</f>
        <v/>
      </c>
      <c r="GJ96" s="402">
        <f>IF(AND(188&gt;=$NR$96,188&lt;=$NS$96),IF($NP$96="Single_Point",IF(188=$NR$96,$NN$96,0),IF($NP$96="Bell_Curve",$NN$96*(188-$NR$96+1)*($NS$96-188+1)/$NU$96,$NN$96/$NT$96)),0)</f>
        <v/>
      </c>
      <c r="GK96" s="402">
        <f>IF(AND(189&gt;=$NR$96,189&lt;=$NS$96),IF($NP$96="Single_Point",IF(189=$NR$96,$NN$96,0),IF($NP$96="Bell_Curve",$NN$96*(189-$NR$96+1)*($NS$96-189+1)/$NU$96,$NN$96/$NT$96)),0)</f>
        <v/>
      </c>
      <c r="GL96" s="402">
        <f>IF(AND(190&gt;=$NR$96,190&lt;=$NS$96),IF($NP$96="Single_Point",IF(190=$NR$96,$NN$96,0),IF($NP$96="Bell_Curve",$NN$96*(190-$NR$96+1)*($NS$96-190+1)/$NU$96,$NN$96/$NT$96)),0)</f>
        <v/>
      </c>
      <c r="GM96" s="402">
        <f>IF(AND(191&gt;=$NR$96,191&lt;=$NS$96),IF($NP$96="Single_Point",IF(191=$NR$96,$NN$96,0),IF($NP$96="Bell_Curve",$NN$96*(191-$NR$96+1)*($NS$96-191+1)/$NU$96,$NN$96/$NT$96)),0)</f>
        <v/>
      </c>
      <c r="GN96" s="402">
        <f>IF(AND(192&gt;=$NR$96,192&lt;=$NS$96),IF($NP$96="Single_Point",IF(192=$NR$96,$NN$96,0),IF($NP$96="Bell_Curve",$NN$96*(192-$NR$96+1)*($NS$96-192+1)/$NU$96,$NN$96/$NT$96)),0)</f>
        <v/>
      </c>
      <c r="GO96" s="402">
        <f>IF(AND(193&gt;=$NR$96,193&lt;=$NS$96),IF($NP$96="Single_Point",IF(193=$NR$96,$NN$96,0),IF($NP$96="Bell_Curve",$NN$96*(193-$NR$96+1)*($NS$96-193+1)/$NU$96,$NN$96/$NT$96)),0)</f>
        <v/>
      </c>
      <c r="GP96" s="402">
        <f>IF(AND(194&gt;=$NR$96,194&lt;=$NS$96),IF($NP$96="Single_Point",IF(194=$NR$96,$NN$96,0),IF($NP$96="Bell_Curve",$NN$96*(194-$NR$96+1)*($NS$96-194+1)/$NU$96,$NN$96/$NT$96)),0)</f>
        <v/>
      </c>
      <c r="GQ96" s="402">
        <f>IF(AND(195&gt;=$NR$96,195&lt;=$NS$96),IF($NP$96="Single_Point",IF(195=$NR$96,$NN$96,0),IF($NP$96="Bell_Curve",$NN$96*(195-$NR$96+1)*($NS$96-195+1)/$NU$96,$NN$96/$NT$96)),0)</f>
        <v/>
      </c>
      <c r="GR96" s="402">
        <f>IF(AND(196&gt;=$NR$96,196&lt;=$NS$96),IF($NP$96="Single_Point",IF(196=$NR$96,$NN$96,0),IF($NP$96="Bell_Curve",$NN$96*(196-$NR$96+1)*($NS$96-196+1)/$NU$96,$NN$96/$NT$96)),0)</f>
        <v/>
      </c>
      <c r="GS96" s="402">
        <f>IF(AND(197&gt;=$NR$96,197&lt;=$NS$96),IF($NP$96="Single_Point",IF(197=$NR$96,$NN$96,0),IF($NP$96="Bell_Curve",$NN$96*(197-$NR$96+1)*($NS$96-197+1)/$NU$96,$NN$96/$NT$96)),0)</f>
        <v/>
      </c>
      <c r="GT96" s="402">
        <f>IF(AND(198&gt;=$NR$96,198&lt;=$NS$96),IF($NP$96="Single_Point",IF(198=$NR$96,$NN$96,0),IF($NP$96="Bell_Curve",$NN$96*(198-$NR$96+1)*($NS$96-198+1)/$NU$96,$NN$96/$NT$96)),0)</f>
        <v/>
      </c>
      <c r="GU96" s="402">
        <f>IF(AND(199&gt;=$NR$96,199&lt;=$NS$96),IF($NP$96="Single_Point",IF(199=$NR$96,$NN$96,0),IF($NP$96="Bell_Curve",$NN$96*(199-$NR$96+1)*($NS$96-199+1)/$NU$96,$NN$96/$NT$96)),0)</f>
        <v/>
      </c>
      <c r="GV96" s="402">
        <f>IF(AND(200&gt;=$NR$96,200&lt;=$NS$96),IF($NP$96="Single_Point",IF(200=$NR$96,$NN$96,0),IF($NP$96="Bell_Curve",$NN$96*(200-$NR$96+1)*($NS$96-200+1)/$NU$96,$NN$96/$NT$96)),0)</f>
        <v/>
      </c>
      <c r="GW96" s="402">
        <f>IF(AND(201&gt;=$NR$96,201&lt;=$NS$96),IF($NP$96="Single_Point",IF(201=$NR$96,$NN$96,0),IF($NP$96="Bell_Curve",$NN$96*(201-$NR$96+1)*($NS$96-201+1)/$NU$96,$NN$96/$NT$96)),0)</f>
        <v/>
      </c>
      <c r="GX96" s="402">
        <f>IF(AND(202&gt;=$NR$96,202&lt;=$NS$96),IF($NP$96="Single_Point",IF(202=$NR$96,$NN$96,0),IF($NP$96="Bell_Curve",$NN$96*(202-$NR$96+1)*($NS$96-202+1)/$NU$96,$NN$96/$NT$96)),0)</f>
        <v/>
      </c>
      <c r="GY96" s="402">
        <f>IF(AND(203&gt;=$NR$96,203&lt;=$NS$96),IF($NP$96="Single_Point",IF(203=$NR$96,$NN$96,0),IF($NP$96="Bell_Curve",$NN$96*(203-$NR$96+1)*($NS$96-203+1)/$NU$96,$NN$96/$NT$96)),0)</f>
        <v/>
      </c>
      <c r="GZ96" s="402">
        <f>IF(AND(204&gt;=$NR$96,204&lt;=$NS$96),IF($NP$96="Single_Point",IF(204=$NR$96,$NN$96,0),IF($NP$96="Bell_Curve",$NN$96*(204-$NR$96+1)*($NS$96-204+1)/$NU$96,$NN$96/$NT$96)),0)</f>
        <v/>
      </c>
      <c r="HA96" s="402">
        <f>IF(AND(205&gt;=$NR$96,205&lt;=$NS$96),IF($NP$96="Single_Point",IF(205=$NR$96,$NN$96,0),IF($NP$96="Bell_Curve",$NN$96*(205-$NR$96+1)*($NS$96-205+1)/$NU$96,$NN$96/$NT$96)),0)</f>
        <v/>
      </c>
      <c r="HB96" s="402">
        <f>IF(AND(206&gt;=$NR$96,206&lt;=$NS$96),IF($NP$96="Single_Point",IF(206=$NR$96,$NN$96,0),IF($NP$96="Bell_Curve",$NN$96*(206-$NR$96+1)*($NS$96-206+1)/$NU$96,$NN$96/$NT$96)),0)</f>
        <v/>
      </c>
      <c r="HC96" s="402">
        <f>IF(AND(207&gt;=$NR$96,207&lt;=$NS$96),IF($NP$96="Single_Point",IF(207=$NR$96,$NN$96,0),IF($NP$96="Bell_Curve",$NN$96*(207-$NR$96+1)*($NS$96-207+1)/$NU$96,$NN$96/$NT$96)),0)</f>
        <v/>
      </c>
      <c r="HD96" s="402">
        <f>IF(AND(208&gt;=$NR$96,208&lt;=$NS$96),IF($NP$96="Single_Point",IF(208=$NR$96,$NN$96,0),IF($NP$96="Bell_Curve",$NN$96*(208-$NR$96+1)*($NS$96-208+1)/$NU$96,$NN$96/$NT$96)),0)</f>
        <v/>
      </c>
      <c r="HE96" s="402">
        <f>IF(AND(209&gt;=$NR$96,209&lt;=$NS$96),IF($NP$96="Single_Point",IF(209=$NR$96,$NN$96,0),IF($NP$96="Bell_Curve",$NN$96*(209-$NR$96+1)*($NS$96-209+1)/$NU$96,$NN$96/$NT$96)),0)</f>
        <v/>
      </c>
      <c r="HF96" s="402">
        <f>IF(AND(210&gt;=$NR$96,210&lt;=$NS$96),IF($NP$96="Single_Point",IF(210=$NR$96,$NN$96,0),IF($NP$96="Bell_Curve",$NN$96*(210-$NR$96+1)*($NS$96-210+1)/$NU$96,$NN$96/$NT$96)),0)</f>
        <v/>
      </c>
      <c r="HG96" s="402">
        <f>IF(AND(211&gt;=$NR$96,211&lt;=$NS$96),IF($NP$96="Single_Point",IF(211=$NR$96,$NN$96,0),IF($NP$96="Bell_Curve",$NN$96*(211-$NR$96+1)*($NS$96-211+1)/$NU$96,$NN$96/$NT$96)),0)</f>
        <v/>
      </c>
      <c r="HH96" s="402">
        <f>IF(AND(212&gt;=$NR$96,212&lt;=$NS$96),IF($NP$96="Single_Point",IF(212=$NR$96,$NN$96,0),IF($NP$96="Bell_Curve",$NN$96*(212-$NR$96+1)*($NS$96-212+1)/$NU$96,$NN$96/$NT$96)),0)</f>
        <v/>
      </c>
      <c r="HI96" s="402">
        <f>IF(AND(213&gt;=$NR$96,213&lt;=$NS$96),IF($NP$96="Single_Point",IF(213=$NR$96,$NN$96,0),IF($NP$96="Bell_Curve",$NN$96*(213-$NR$96+1)*($NS$96-213+1)/$NU$96,$NN$96/$NT$96)),0)</f>
        <v/>
      </c>
      <c r="HJ96" s="402">
        <f>IF(AND(214&gt;=$NR$96,214&lt;=$NS$96),IF($NP$96="Single_Point",IF(214=$NR$96,$NN$96,0),IF($NP$96="Bell_Curve",$NN$96*(214-$NR$96+1)*($NS$96-214+1)/$NU$96,$NN$96/$NT$96)),0)</f>
        <v/>
      </c>
      <c r="HK96" s="402">
        <f>IF(AND(215&gt;=$NR$96,215&lt;=$NS$96),IF($NP$96="Single_Point",IF(215=$NR$96,$NN$96,0),IF($NP$96="Bell_Curve",$NN$96*(215-$NR$96+1)*($NS$96-215+1)/$NU$96,$NN$96/$NT$96)),0)</f>
        <v/>
      </c>
      <c r="HL96" s="402">
        <f>IF(AND(216&gt;=$NR$96,216&lt;=$NS$96),IF($NP$96="Single_Point",IF(216=$NR$96,$NN$96,0),IF($NP$96="Bell_Curve",$NN$96*(216-$NR$96+1)*($NS$96-216+1)/$NU$96,$NN$96/$NT$96)),0)</f>
        <v/>
      </c>
      <c r="HM96" s="402">
        <f>IF(AND(217&gt;=$NR$96,217&lt;=$NS$96),IF($NP$96="Single_Point",IF(217=$NR$96,$NN$96,0),IF($NP$96="Bell_Curve",$NN$96*(217-$NR$96+1)*($NS$96-217+1)/$NU$96,$NN$96/$NT$96)),0)</f>
        <v/>
      </c>
      <c r="HN96" s="402">
        <f>IF(AND(218&gt;=$NR$96,218&lt;=$NS$96),IF($NP$96="Single_Point",IF(218=$NR$96,$NN$96,0),IF($NP$96="Bell_Curve",$NN$96*(218-$NR$96+1)*($NS$96-218+1)/$NU$96,$NN$96/$NT$96)),0)</f>
        <v/>
      </c>
      <c r="HO96" s="402">
        <f>IF(AND(219&gt;=$NR$96,219&lt;=$NS$96),IF($NP$96="Single_Point",IF(219=$NR$96,$NN$96,0),IF($NP$96="Bell_Curve",$NN$96*(219-$NR$96+1)*($NS$96-219+1)/$NU$96,$NN$96/$NT$96)),0)</f>
        <v/>
      </c>
      <c r="HP96" s="402">
        <f>IF(AND(220&gt;=$NR$96,220&lt;=$NS$96),IF($NP$96="Single_Point",IF(220=$NR$96,$NN$96,0),IF($NP$96="Bell_Curve",$NN$96*(220-$NR$96+1)*($NS$96-220+1)/$NU$96,$NN$96/$NT$96)),0)</f>
        <v/>
      </c>
      <c r="HQ96" s="402">
        <f>IF(AND(221&gt;=$NR$96,221&lt;=$NS$96),IF($NP$96="Single_Point",IF(221=$NR$96,$NN$96,0),IF($NP$96="Bell_Curve",$NN$96*(221-$NR$96+1)*($NS$96-221+1)/$NU$96,$NN$96/$NT$96)),0)</f>
        <v/>
      </c>
      <c r="HR96" s="402">
        <f>IF(AND(222&gt;=$NR$96,222&lt;=$NS$96),IF($NP$96="Single_Point",IF(222=$NR$96,$NN$96,0),IF($NP$96="Bell_Curve",$NN$96*(222-$NR$96+1)*($NS$96-222+1)/$NU$96,$NN$96/$NT$96)),0)</f>
        <v/>
      </c>
      <c r="HS96" s="402">
        <f>IF(AND(223&gt;=$NR$96,223&lt;=$NS$96),IF($NP$96="Single_Point",IF(223=$NR$96,$NN$96,0),IF($NP$96="Bell_Curve",$NN$96*(223-$NR$96+1)*($NS$96-223+1)/$NU$96,$NN$96/$NT$96)),0)</f>
        <v/>
      </c>
      <c r="HT96" s="402">
        <f>IF(AND(224&gt;=$NR$96,224&lt;=$NS$96),IF($NP$96="Single_Point",IF(224=$NR$96,$NN$96,0),IF($NP$96="Bell_Curve",$NN$96*(224-$NR$96+1)*($NS$96-224+1)/$NU$96,$NN$96/$NT$96)),0)</f>
        <v/>
      </c>
      <c r="HU96" s="402">
        <f>IF(AND(225&gt;=$NR$96,225&lt;=$NS$96),IF($NP$96="Single_Point",IF(225=$NR$96,$NN$96,0),IF($NP$96="Bell_Curve",$NN$96*(225-$NR$96+1)*($NS$96-225+1)/$NU$96,$NN$96/$NT$96)),0)</f>
        <v/>
      </c>
      <c r="HV96" s="402">
        <f>IF(AND(226&gt;=$NR$96,226&lt;=$NS$96),IF($NP$96="Single_Point",IF(226=$NR$96,$NN$96,0),IF($NP$96="Bell_Curve",$NN$96*(226-$NR$96+1)*($NS$96-226+1)/$NU$96,$NN$96/$NT$96)),0)</f>
        <v/>
      </c>
      <c r="HW96" s="402">
        <f>IF(AND(227&gt;=$NR$96,227&lt;=$NS$96),IF($NP$96="Single_Point",IF(227=$NR$96,$NN$96,0),IF($NP$96="Bell_Curve",$NN$96*(227-$NR$96+1)*($NS$96-227+1)/$NU$96,$NN$96/$NT$96)),0)</f>
        <v/>
      </c>
      <c r="HX96" s="402">
        <f>IF(AND(228&gt;=$NR$96,228&lt;=$NS$96),IF($NP$96="Single_Point",IF(228=$NR$96,$NN$96,0),IF($NP$96="Bell_Curve",$NN$96*(228-$NR$96+1)*($NS$96-228+1)/$NU$96,$NN$96/$NT$96)),0)</f>
        <v/>
      </c>
      <c r="HY96" s="402">
        <f>IF(AND(229&gt;=$NR$96,229&lt;=$NS$96),IF($NP$96="Single_Point",IF(229=$NR$96,$NN$96,0),IF($NP$96="Bell_Curve",$NN$96*(229-$NR$96+1)*($NS$96-229+1)/$NU$96,$NN$96/$NT$96)),0)</f>
        <v/>
      </c>
      <c r="HZ96" s="402">
        <f>IF(AND(230&gt;=$NR$96,230&lt;=$NS$96),IF($NP$96="Single_Point",IF(230=$NR$96,$NN$96,0),IF($NP$96="Bell_Curve",$NN$96*(230-$NR$96+1)*($NS$96-230+1)/$NU$96,$NN$96/$NT$96)),0)</f>
        <v/>
      </c>
      <c r="IA96" s="402">
        <f>IF(AND(231&gt;=$NR$96,231&lt;=$NS$96),IF($NP$96="Single_Point",IF(231=$NR$96,$NN$96,0),IF($NP$96="Bell_Curve",$NN$96*(231-$NR$96+1)*($NS$96-231+1)/$NU$96,$NN$96/$NT$96)),0)</f>
        <v/>
      </c>
      <c r="IB96" s="402">
        <f>IF(AND(232&gt;=$NR$96,232&lt;=$NS$96),IF($NP$96="Single_Point",IF(232=$NR$96,$NN$96,0),IF($NP$96="Bell_Curve",$NN$96*(232-$NR$96+1)*($NS$96-232+1)/$NU$96,$NN$96/$NT$96)),0)</f>
        <v/>
      </c>
      <c r="IC96" s="402">
        <f>IF(AND(233&gt;=$NR$96,233&lt;=$NS$96),IF($NP$96="Single_Point",IF(233=$NR$96,$NN$96,0),IF($NP$96="Bell_Curve",$NN$96*(233-$NR$96+1)*($NS$96-233+1)/$NU$96,$NN$96/$NT$96)),0)</f>
        <v/>
      </c>
      <c r="ID96" s="402">
        <f>IF(AND(234&gt;=$NR$96,234&lt;=$NS$96),IF($NP$96="Single_Point",IF(234=$NR$96,$NN$96,0),IF($NP$96="Bell_Curve",$NN$96*(234-$NR$96+1)*($NS$96-234+1)/$NU$96,$NN$96/$NT$96)),0)</f>
        <v/>
      </c>
      <c r="IE96" s="402">
        <f>IF(AND(235&gt;=$NR$96,235&lt;=$NS$96),IF($NP$96="Single_Point",IF(235=$NR$96,$NN$96,0),IF($NP$96="Bell_Curve",$NN$96*(235-$NR$96+1)*($NS$96-235+1)/$NU$96,$NN$96/$NT$96)),0)</f>
        <v/>
      </c>
      <c r="IF96" s="402">
        <f>IF(AND(236&gt;=$NR$96,236&lt;=$NS$96),IF($NP$96="Single_Point",IF(236=$NR$96,$NN$96,0),IF($NP$96="Bell_Curve",$NN$96*(236-$NR$96+1)*($NS$96-236+1)/$NU$96,$NN$96/$NT$96)),0)</f>
        <v/>
      </c>
      <c r="IG96" s="402">
        <f>IF(AND(237&gt;=$NR$96,237&lt;=$NS$96),IF($NP$96="Single_Point",IF(237=$NR$96,$NN$96,0),IF($NP$96="Bell_Curve",$NN$96*(237-$NR$96+1)*($NS$96-237+1)/$NU$96,$NN$96/$NT$96)),0)</f>
        <v/>
      </c>
      <c r="IH96" s="402">
        <f>IF(AND(238&gt;=$NR$96,238&lt;=$NS$96),IF($NP$96="Single_Point",IF(238=$NR$96,$NN$96,0),IF($NP$96="Bell_Curve",$NN$96*(238-$NR$96+1)*($NS$96-238+1)/$NU$96,$NN$96/$NT$96)),0)</f>
        <v/>
      </c>
      <c r="II96" s="402">
        <f>IF(AND(239&gt;=$NR$96,239&lt;=$NS$96),IF($NP$96="Single_Point",IF(239=$NR$96,$NN$96,0),IF($NP$96="Bell_Curve",$NN$96*(239-$NR$96+1)*($NS$96-239+1)/$NU$96,$NN$96/$NT$96)),0)</f>
        <v/>
      </c>
      <c r="IJ96" s="402">
        <f>IF(AND(240&gt;=$NR$96,240&lt;=$NS$96),IF($NP$96="Single_Point",IF(240=$NR$96,$NN$96,0),IF($NP$96="Bell_Curve",$NN$96*(240-$NR$96+1)*($NS$96-240+1)/$NU$96,$NN$96/$NT$96)),0)</f>
        <v/>
      </c>
      <c r="IK96" s="402">
        <f>IF(AND(241&gt;=$NR$96,241&lt;=$NS$96),IF($NP$96="Single_Point",IF(241=$NR$96,$NN$96,0),IF($NP$96="Bell_Curve",$NN$96*(241-$NR$96+1)*($NS$96-241+1)/$NU$96,$NN$96/$NT$96)),0)</f>
        <v/>
      </c>
      <c r="IL96" s="402">
        <f>IF(AND(242&gt;=$NR$96,242&lt;=$NS$96),IF($NP$96="Single_Point",IF(242=$NR$96,$NN$96,0),IF($NP$96="Bell_Curve",$NN$96*(242-$NR$96+1)*($NS$96-242+1)/$NU$96,$NN$96/$NT$96)),0)</f>
        <v/>
      </c>
      <c r="IM96" s="402">
        <f>IF(AND(243&gt;=$NR$96,243&lt;=$NS$96),IF($NP$96="Single_Point",IF(243=$NR$96,$NN$96,0),IF($NP$96="Bell_Curve",$NN$96*(243-$NR$96+1)*($NS$96-243+1)/$NU$96,$NN$96/$NT$96)),0)</f>
        <v/>
      </c>
      <c r="IN96" s="402">
        <f>IF(AND(244&gt;=$NR$96,244&lt;=$NS$96),IF($NP$96="Single_Point",IF(244=$NR$96,$NN$96,0),IF($NP$96="Bell_Curve",$NN$96*(244-$NR$96+1)*($NS$96-244+1)/$NU$96,$NN$96/$NT$96)),0)</f>
        <v/>
      </c>
      <c r="IO96" s="402">
        <f>IF(AND(245&gt;=$NR$96,245&lt;=$NS$96),IF($NP$96="Single_Point",IF(245=$NR$96,$NN$96,0),IF($NP$96="Bell_Curve",$NN$96*(245-$NR$96+1)*($NS$96-245+1)/$NU$96,$NN$96/$NT$96)),0)</f>
        <v/>
      </c>
      <c r="IP96" s="402">
        <f>IF(AND(246&gt;=$NR$96,246&lt;=$NS$96),IF($NP$96="Single_Point",IF(246=$NR$96,$NN$96,0),IF($NP$96="Bell_Curve",$NN$96*(246-$NR$96+1)*($NS$96-246+1)/$NU$96,$NN$96/$NT$96)),0)</f>
        <v/>
      </c>
      <c r="IQ96" s="402">
        <f>IF(AND(247&gt;=$NR$96,247&lt;=$NS$96),IF($NP$96="Single_Point",IF(247=$NR$96,$NN$96,0),IF($NP$96="Bell_Curve",$NN$96*(247-$NR$96+1)*($NS$96-247+1)/$NU$96,$NN$96/$NT$96)),0)</f>
        <v/>
      </c>
      <c r="IR96" s="402">
        <f>IF(AND(248&gt;=$NR$96,248&lt;=$NS$96),IF($NP$96="Single_Point",IF(248=$NR$96,$NN$96,0),IF($NP$96="Bell_Curve",$NN$96*(248-$NR$96+1)*($NS$96-248+1)/$NU$96,$NN$96/$NT$96)),0)</f>
        <v/>
      </c>
      <c r="IS96" s="402">
        <f>IF(AND(249&gt;=$NR$96,249&lt;=$NS$96),IF($NP$96="Single_Point",IF(249=$NR$96,$NN$96,0),IF($NP$96="Bell_Curve",$NN$96*(249-$NR$96+1)*($NS$96-249+1)/$NU$96,$NN$96/$NT$96)),0)</f>
        <v/>
      </c>
      <c r="IT96" s="402">
        <f>IF(AND(250&gt;=$NR$96,250&lt;=$NS$96),IF($NP$96="Single_Point",IF(250=$NR$96,$NN$96,0),IF($NP$96="Bell_Curve",$NN$96*(250-$NR$96+1)*($NS$96-250+1)/$NU$96,$NN$96/$NT$96)),0)</f>
        <v/>
      </c>
      <c r="IU96" s="402">
        <f>IF(AND(251&gt;=$NR$96,251&lt;=$NS$96),IF($NP$96="Single_Point",IF(251=$NR$96,$NN$96,0),IF($NP$96="Bell_Curve",$NN$96*(251-$NR$96+1)*($NS$96-251+1)/$NU$96,$NN$96/$NT$96)),0)</f>
        <v/>
      </c>
      <c r="IV96" s="402">
        <f>IF(AND(252&gt;=$NR$96,252&lt;=$NS$96),IF($NP$96="Single_Point",IF(252=$NR$96,$NN$96,0),IF($NP$96="Bell_Curve",$NN$96*(252-$NR$96+1)*($NS$96-252+1)/$NU$96,$NN$96/$NT$96)),0)</f>
        <v/>
      </c>
      <c r="IW96" s="402">
        <f>IF(AND(253&gt;=$NR$96,253&lt;=$NS$96),IF($NP$96="Single_Point",IF(253=$NR$96,$NN$96,0),IF($NP$96="Bell_Curve",$NN$96*(253-$NR$96+1)*($NS$96-253+1)/$NU$96,$NN$96/$NT$96)),0)</f>
        <v/>
      </c>
      <c r="IX96" s="402">
        <f>IF(AND(254&gt;=$NR$96,254&lt;=$NS$96),IF($NP$96="Single_Point",IF(254=$NR$96,$NN$96,0),IF($NP$96="Bell_Curve",$NN$96*(254-$NR$96+1)*($NS$96-254+1)/$NU$96,$NN$96/$NT$96)),0)</f>
        <v/>
      </c>
      <c r="IY96" s="402">
        <f>IF(AND(255&gt;=$NR$96,255&lt;=$NS$96),IF($NP$96="Single_Point",IF(255=$NR$96,$NN$96,0),IF($NP$96="Bell_Curve",$NN$96*(255-$NR$96+1)*($NS$96-255+1)/$NU$96,$NN$96/$NT$96)),0)</f>
        <v/>
      </c>
      <c r="IZ96" s="402">
        <f>IF(AND(256&gt;=$NR$96,256&lt;=$NS$96),IF($NP$96="Single_Point",IF(256=$NR$96,$NN$96,0),IF($NP$96="Bell_Curve",$NN$96*(256-$NR$96+1)*($NS$96-256+1)/$NU$96,$NN$96/$NT$96)),0)</f>
        <v/>
      </c>
      <c r="JA96" s="402">
        <f>IF(AND(257&gt;=$NR$96,257&lt;=$NS$96),IF($NP$96="Single_Point",IF(257=$NR$96,$NN$96,0),IF($NP$96="Bell_Curve",$NN$96*(257-$NR$96+1)*($NS$96-257+1)/$NU$96,$NN$96/$NT$96)),0)</f>
        <v/>
      </c>
      <c r="JB96" s="402">
        <f>IF(AND(258&gt;=$NR$96,258&lt;=$NS$96),IF($NP$96="Single_Point",IF(258=$NR$96,$NN$96,0),IF($NP$96="Bell_Curve",$NN$96*(258-$NR$96+1)*($NS$96-258+1)/$NU$96,$NN$96/$NT$96)),0)</f>
        <v/>
      </c>
      <c r="JC96" s="402">
        <f>IF(AND(259&gt;=$NR$96,259&lt;=$NS$96),IF($NP$96="Single_Point",IF(259=$NR$96,$NN$96,0),IF($NP$96="Bell_Curve",$NN$96*(259-$NR$96+1)*($NS$96-259+1)/$NU$96,$NN$96/$NT$96)),0)</f>
        <v/>
      </c>
      <c r="JD96" s="402">
        <f>IF(AND(260&gt;=$NR$96,260&lt;=$NS$96),IF($NP$96="Single_Point",IF(260=$NR$96,$NN$96,0),IF($NP$96="Bell_Curve",$NN$96*(260-$NR$96+1)*($NS$96-260+1)/$NU$96,$NN$96/$NT$96)),0)</f>
        <v/>
      </c>
      <c r="JE96" s="402">
        <f>IF(AND(261&gt;=$NR$96,261&lt;=$NS$96),IF($NP$96="Single_Point",IF(261=$NR$96,$NN$96,0),IF($NP$96="Bell_Curve",$NN$96*(261-$NR$96+1)*($NS$96-261+1)/$NU$96,$NN$96/$NT$96)),0)</f>
        <v/>
      </c>
      <c r="JF96" s="402">
        <f>IF(AND(262&gt;=$NR$96,262&lt;=$NS$96),IF($NP$96="Single_Point",IF(262=$NR$96,$NN$96,0),IF($NP$96="Bell_Curve",$NN$96*(262-$NR$96+1)*($NS$96-262+1)/$NU$96,$NN$96/$NT$96)),0)</f>
        <v/>
      </c>
      <c r="JG96" s="402">
        <f>IF(AND(263&gt;=$NR$96,263&lt;=$NS$96),IF($NP$96="Single_Point",IF(263=$NR$96,$NN$96,0),IF($NP$96="Bell_Curve",$NN$96*(263-$NR$96+1)*($NS$96-263+1)/$NU$96,$NN$96/$NT$96)),0)</f>
        <v/>
      </c>
      <c r="JH96" s="402">
        <f>IF(AND(264&gt;=$NR$96,264&lt;=$NS$96),IF($NP$96="Single_Point",IF(264=$NR$96,$NN$96,0),IF($NP$96="Bell_Curve",$NN$96*(264-$NR$96+1)*($NS$96-264+1)/$NU$96,$NN$96/$NT$96)),0)</f>
        <v/>
      </c>
      <c r="JI96" s="402">
        <f>IF(AND(265&gt;=$NR$96,265&lt;=$NS$96),IF($NP$96="Single_Point",IF(265=$NR$96,$NN$96,0),IF($NP$96="Bell_Curve",$NN$96*(265-$NR$96+1)*($NS$96-265+1)/$NU$96,$NN$96/$NT$96)),0)</f>
        <v/>
      </c>
      <c r="JJ96" s="402">
        <f>IF(AND(266&gt;=$NR$96,266&lt;=$NS$96),IF($NP$96="Single_Point",IF(266=$NR$96,$NN$96,0),IF($NP$96="Bell_Curve",$NN$96*(266-$NR$96+1)*($NS$96-266+1)/$NU$96,$NN$96/$NT$96)),0)</f>
        <v/>
      </c>
      <c r="JK96" s="402">
        <f>IF(AND(267&gt;=$NR$96,267&lt;=$NS$96),IF($NP$96="Single_Point",IF(267=$NR$96,$NN$96,0),IF($NP$96="Bell_Curve",$NN$96*(267-$NR$96+1)*($NS$96-267+1)/$NU$96,$NN$96/$NT$96)),0)</f>
        <v/>
      </c>
      <c r="JL96" s="402">
        <f>IF(AND(268&gt;=$NR$96,268&lt;=$NS$96),IF($NP$96="Single_Point",IF(268=$NR$96,$NN$96,0),IF($NP$96="Bell_Curve",$NN$96*(268-$NR$96+1)*($NS$96-268+1)/$NU$96,$NN$96/$NT$96)),0)</f>
        <v/>
      </c>
      <c r="JM96" s="402">
        <f>IF(AND(269&gt;=$NR$96,269&lt;=$NS$96),IF($NP$96="Single_Point",IF(269=$NR$96,$NN$96,0),IF($NP$96="Bell_Curve",$NN$96*(269-$NR$96+1)*($NS$96-269+1)/$NU$96,$NN$96/$NT$96)),0)</f>
        <v/>
      </c>
      <c r="JN96" s="402">
        <f>IF(AND(270&gt;=$NR$96,270&lt;=$NS$96),IF($NP$96="Single_Point",IF(270=$NR$96,$NN$96,0),IF($NP$96="Bell_Curve",$NN$96*(270-$NR$96+1)*($NS$96-270+1)/$NU$96,$NN$96/$NT$96)),0)</f>
        <v/>
      </c>
      <c r="JO96" s="402">
        <f>IF(AND(271&gt;=$NR$96,271&lt;=$NS$96),IF($NP$96="Single_Point",IF(271=$NR$96,$NN$96,0),IF($NP$96="Bell_Curve",$NN$96*(271-$NR$96+1)*($NS$96-271+1)/$NU$96,$NN$96/$NT$96)),0)</f>
        <v/>
      </c>
      <c r="JP96" s="402">
        <f>IF(AND(272&gt;=$NR$96,272&lt;=$NS$96),IF($NP$96="Single_Point",IF(272=$NR$96,$NN$96,0),IF($NP$96="Bell_Curve",$NN$96*(272-$NR$96+1)*($NS$96-272+1)/$NU$96,$NN$96/$NT$96)),0)</f>
        <v/>
      </c>
      <c r="JQ96" s="402">
        <f>IF(AND(273&gt;=$NR$96,273&lt;=$NS$96),IF($NP$96="Single_Point",IF(273=$NR$96,$NN$96,0),IF($NP$96="Bell_Curve",$NN$96*(273-$NR$96+1)*($NS$96-273+1)/$NU$96,$NN$96/$NT$96)),0)</f>
        <v/>
      </c>
      <c r="JR96" s="402">
        <f>IF(AND(274&gt;=$NR$96,274&lt;=$NS$96),IF($NP$96="Single_Point",IF(274=$NR$96,$NN$96,0),IF($NP$96="Bell_Curve",$NN$96*(274-$NR$96+1)*($NS$96-274+1)/$NU$96,$NN$96/$NT$96)),0)</f>
        <v/>
      </c>
      <c r="JS96" s="402">
        <f>IF(AND(275&gt;=$NR$96,275&lt;=$NS$96),IF($NP$96="Single_Point",IF(275=$NR$96,$NN$96,0),IF($NP$96="Bell_Curve",$NN$96*(275-$NR$96+1)*($NS$96-275+1)/$NU$96,$NN$96/$NT$96)),0)</f>
        <v/>
      </c>
      <c r="JT96" s="402">
        <f>IF(AND(276&gt;=$NR$96,276&lt;=$NS$96),IF($NP$96="Single_Point",IF(276=$NR$96,$NN$96,0),IF($NP$96="Bell_Curve",$NN$96*(276-$NR$96+1)*($NS$96-276+1)/$NU$96,$NN$96/$NT$96)),0)</f>
        <v/>
      </c>
      <c r="JU96" s="402">
        <f>IF(AND(277&gt;=$NR$96,277&lt;=$NS$96),IF($NP$96="Single_Point",IF(277=$NR$96,$NN$96,0),IF($NP$96="Bell_Curve",$NN$96*(277-$NR$96+1)*($NS$96-277+1)/$NU$96,$NN$96/$NT$96)),0)</f>
        <v/>
      </c>
      <c r="JV96" s="402">
        <f>IF(AND(278&gt;=$NR$96,278&lt;=$NS$96),IF($NP$96="Single_Point",IF(278=$NR$96,$NN$96,0),IF($NP$96="Bell_Curve",$NN$96*(278-$NR$96+1)*($NS$96-278+1)/$NU$96,$NN$96/$NT$96)),0)</f>
        <v/>
      </c>
      <c r="JW96" s="402">
        <f>IF(AND(279&gt;=$NR$96,279&lt;=$NS$96),IF($NP$96="Single_Point",IF(279=$NR$96,$NN$96,0),IF($NP$96="Bell_Curve",$NN$96*(279-$NR$96+1)*($NS$96-279+1)/$NU$96,$NN$96/$NT$96)),0)</f>
        <v/>
      </c>
      <c r="JX96" s="402">
        <f>IF(AND(280&gt;=$NR$96,280&lt;=$NS$96),IF($NP$96="Single_Point",IF(280=$NR$96,$NN$96,0),IF($NP$96="Bell_Curve",$NN$96*(280-$NR$96+1)*($NS$96-280+1)/$NU$96,$NN$96/$NT$96)),0)</f>
        <v/>
      </c>
      <c r="JY96" s="402">
        <f>IF(AND(281&gt;=$NR$96,281&lt;=$NS$96),IF($NP$96="Single_Point",IF(281=$NR$96,$NN$96,0),IF($NP$96="Bell_Curve",$NN$96*(281-$NR$96+1)*($NS$96-281+1)/$NU$96,$NN$96/$NT$96)),0)</f>
        <v/>
      </c>
      <c r="JZ96" s="402">
        <f>IF(AND(282&gt;=$NR$96,282&lt;=$NS$96),IF($NP$96="Single_Point",IF(282=$NR$96,$NN$96,0),IF($NP$96="Bell_Curve",$NN$96*(282-$NR$96+1)*($NS$96-282+1)/$NU$96,$NN$96/$NT$96)),0)</f>
        <v/>
      </c>
      <c r="KA96" s="402">
        <f>IF(AND(283&gt;=$NR$96,283&lt;=$NS$96),IF($NP$96="Single_Point",IF(283=$NR$96,$NN$96,0),IF($NP$96="Bell_Curve",$NN$96*(283-$NR$96+1)*($NS$96-283+1)/$NU$96,$NN$96/$NT$96)),0)</f>
        <v/>
      </c>
      <c r="KB96" s="402">
        <f>IF(AND(284&gt;=$NR$96,284&lt;=$NS$96),IF($NP$96="Single_Point",IF(284=$NR$96,$NN$96,0),IF($NP$96="Bell_Curve",$NN$96*(284-$NR$96+1)*($NS$96-284+1)/$NU$96,$NN$96/$NT$96)),0)</f>
        <v/>
      </c>
      <c r="KC96" s="402">
        <f>IF(AND(285&gt;=$NR$96,285&lt;=$NS$96),IF($NP$96="Single_Point",IF(285=$NR$96,$NN$96,0),IF($NP$96="Bell_Curve",$NN$96*(285-$NR$96+1)*($NS$96-285+1)/$NU$96,$NN$96/$NT$96)),0)</f>
        <v/>
      </c>
      <c r="KD96" s="402">
        <f>IF(AND(286&gt;=$NR$96,286&lt;=$NS$96),IF($NP$96="Single_Point",IF(286=$NR$96,$NN$96,0),IF($NP$96="Bell_Curve",$NN$96*(286-$NR$96+1)*($NS$96-286+1)/$NU$96,$NN$96/$NT$96)),0)</f>
        <v/>
      </c>
      <c r="KE96" s="402">
        <f>IF(AND(287&gt;=$NR$96,287&lt;=$NS$96),IF($NP$96="Single_Point",IF(287=$NR$96,$NN$96,0),IF($NP$96="Bell_Curve",$NN$96*(287-$NR$96+1)*($NS$96-287+1)/$NU$96,$NN$96/$NT$96)),0)</f>
        <v/>
      </c>
      <c r="KF96" s="402">
        <f>IF(AND(288&gt;=$NR$96,288&lt;=$NS$96),IF($NP$96="Single_Point",IF(288=$NR$96,$NN$96,0),IF($NP$96="Bell_Curve",$NN$96*(288-$NR$96+1)*($NS$96-288+1)/$NU$96,$NN$96/$NT$96)),0)</f>
        <v/>
      </c>
      <c r="KG96" s="402">
        <f>IF(AND(289&gt;=$NR$96,289&lt;=$NS$96),IF($NP$96="Single_Point",IF(289=$NR$96,$NN$96,0),IF($NP$96="Bell_Curve",$NN$96*(289-$NR$96+1)*($NS$96-289+1)/$NU$96,$NN$96/$NT$96)),0)</f>
        <v/>
      </c>
      <c r="KH96" s="402">
        <f>IF(AND(290&gt;=$NR$96,290&lt;=$NS$96),IF($NP$96="Single_Point",IF(290=$NR$96,$NN$96,0),IF($NP$96="Bell_Curve",$NN$96*(290-$NR$96+1)*($NS$96-290+1)/$NU$96,$NN$96/$NT$96)),0)</f>
        <v/>
      </c>
      <c r="KI96" s="402">
        <f>IF(AND(291&gt;=$NR$96,291&lt;=$NS$96),IF($NP$96="Single_Point",IF(291=$NR$96,$NN$96,0),IF($NP$96="Bell_Curve",$NN$96*(291-$NR$96+1)*($NS$96-291+1)/$NU$96,$NN$96/$NT$96)),0)</f>
        <v/>
      </c>
      <c r="KJ96" s="402">
        <f>IF(AND(292&gt;=$NR$96,292&lt;=$NS$96),IF($NP$96="Single_Point",IF(292=$NR$96,$NN$96,0),IF($NP$96="Bell_Curve",$NN$96*(292-$NR$96+1)*($NS$96-292+1)/$NU$96,$NN$96/$NT$96)),0)</f>
        <v/>
      </c>
      <c r="KK96" s="402">
        <f>IF(AND(293&gt;=$NR$96,293&lt;=$NS$96),IF($NP$96="Single_Point",IF(293=$NR$96,$NN$96,0),IF($NP$96="Bell_Curve",$NN$96*(293-$NR$96+1)*($NS$96-293+1)/$NU$96,$NN$96/$NT$96)),0)</f>
        <v/>
      </c>
      <c r="KL96" s="402">
        <f>IF(AND(294&gt;=$NR$96,294&lt;=$NS$96),IF($NP$96="Single_Point",IF(294=$NR$96,$NN$96,0),IF($NP$96="Bell_Curve",$NN$96*(294-$NR$96+1)*($NS$96-294+1)/$NU$96,$NN$96/$NT$96)),0)</f>
        <v/>
      </c>
      <c r="KM96" s="402">
        <f>IF(AND(295&gt;=$NR$96,295&lt;=$NS$96),IF($NP$96="Single_Point",IF(295=$NR$96,$NN$96,0),IF($NP$96="Bell_Curve",$NN$96*(295-$NR$96+1)*($NS$96-295+1)/$NU$96,$NN$96/$NT$96)),0)</f>
        <v/>
      </c>
      <c r="KN96" s="402">
        <f>IF(AND(296&gt;=$NR$96,296&lt;=$NS$96),IF($NP$96="Single_Point",IF(296=$NR$96,$NN$96,0),IF($NP$96="Bell_Curve",$NN$96*(296-$NR$96+1)*($NS$96-296+1)/$NU$96,$NN$96/$NT$96)),0)</f>
        <v/>
      </c>
      <c r="KO96" s="402">
        <f>IF(AND(297&gt;=$NR$96,297&lt;=$NS$96),IF($NP$96="Single_Point",IF(297=$NR$96,$NN$96,0),IF($NP$96="Bell_Curve",$NN$96*(297-$NR$96+1)*($NS$96-297+1)/$NU$96,$NN$96/$NT$96)),0)</f>
        <v/>
      </c>
      <c r="KP96" s="402">
        <f>IF(AND(298&gt;=$NR$96,298&lt;=$NS$96),IF($NP$96="Single_Point",IF(298=$NR$96,$NN$96,0),IF($NP$96="Bell_Curve",$NN$96*(298-$NR$96+1)*($NS$96-298+1)/$NU$96,$NN$96/$NT$96)),0)</f>
        <v/>
      </c>
      <c r="KQ96" s="402">
        <f>IF(AND(299&gt;=$NR$96,299&lt;=$NS$96),IF($NP$96="Single_Point",IF(299=$NR$96,$NN$96,0),IF($NP$96="Bell_Curve",$NN$96*(299-$NR$96+1)*($NS$96-299+1)/$NU$96,$NN$96/$NT$96)),0)</f>
        <v/>
      </c>
      <c r="KR96" s="402">
        <f>IF(AND(300&gt;=$NR$96,300&lt;=$NS$96),IF($NP$96="Single_Point",IF(300=$NR$96,$NN$96,0),IF($NP$96="Bell_Curve",$NN$96*(300-$NR$96+1)*($NS$96-300+1)/$NU$96,$NN$96/$NT$96)),0)</f>
        <v/>
      </c>
      <c r="KS96" s="402">
        <f>IF(AND(301&gt;=$NR$96,301&lt;=$NS$96),IF($NP$96="Single_Point",IF(301=$NR$96,$NN$96,0),IF($NP$96="Bell_Curve",$NN$96*(301-$NR$96+1)*($NS$96-301+1)/$NU$96,$NN$96/$NT$96)),0)</f>
        <v/>
      </c>
      <c r="KT96" s="402">
        <f>IF(AND(302&gt;=$NR$96,302&lt;=$NS$96),IF($NP$96="Single_Point",IF(302=$NR$96,$NN$96,0),IF($NP$96="Bell_Curve",$NN$96*(302-$NR$96+1)*($NS$96-302+1)/$NU$96,$NN$96/$NT$96)),0)</f>
        <v/>
      </c>
      <c r="KU96" s="402">
        <f>IF(AND(303&gt;=$NR$96,303&lt;=$NS$96),IF($NP$96="Single_Point",IF(303=$NR$96,$NN$96,0),IF($NP$96="Bell_Curve",$NN$96*(303-$NR$96+1)*($NS$96-303+1)/$NU$96,$NN$96/$NT$96)),0)</f>
        <v/>
      </c>
      <c r="KV96" s="402">
        <f>IF(AND(304&gt;=$NR$96,304&lt;=$NS$96),IF($NP$96="Single_Point",IF(304=$NR$96,$NN$96,0),IF($NP$96="Bell_Curve",$NN$96*(304-$NR$96+1)*($NS$96-304+1)/$NU$96,$NN$96/$NT$96)),0)</f>
        <v/>
      </c>
      <c r="KW96" s="402">
        <f>IF(AND(305&gt;=$NR$96,305&lt;=$NS$96),IF($NP$96="Single_Point",IF(305=$NR$96,$NN$96,0),IF($NP$96="Bell_Curve",$NN$96*(305-$NR$96+1)*($NS$96-305+1)/$NU$96,$NN$96/$NT$96)),0)</f>
        <v/>
      </c>
      <c r="KX96" s="402">
        <f>IF(AND(306&gt;=$NR$96,306&lt;=$NS$96),IF($NP$96="Single_Point",IF(306=$NR$96,$NN$96,0),IF($NP$96="Bell_Curve",$NN$96*(306-$NR$96+1)*($NS$96-306+1)/$NU$96,$NN$96/$NT$96)),0)</f>
        <v/>
      </c>
      <c r="KY96" s="402">
        <f>IF(AND(307&gt;=$NR$96,307&lt;=$NS$96),IF($NP$96="Single_Point",IF(307=$NR$96,$NN$96,0),IF($NP$96="Bell_Curve",$NN$96*(307-$NR$96+1)*($NS$96-307+1)/$NU$96,$NN$96/$NT$96)),0)</f>
        <v/>
      </c>
      <c r="KZ96" s="402">
        <f>IF(AND(308&gt;=$NR$96,308&lt;=$NS$96),IF($NP$96="Single_Point",IF(308=$NR$96,$NN$96,0),IF($NP$96="Bell_Curve",$NN$96*(308-$NR$96+1)*($NS$96-308+1)/$NU$96,$NN$96/$NT$96)),0)</f>
        <v/>
      </c>
      <c r="LA96" s="402">
        <f>IF(AND(309&gt;=$NR$96,309&lt;=$NS$96),IF($NP$96="Single_Point",IF(309=$NR$96,$NN$96,0),IF($NP$96="Bell_Curve",$NN$96*(309-$NR$96+1)*($NS$96-309+1)/$NU$96,$NN$96/$NT$96)),0)</f>
        <v/>
      </c>
      <c r="LB96" s="402">
        <f>IF(AND(310&gt;=$NR$96,310&lt;=$NS$96),IF($NP$96="Single_Point",IF(310=$NR$96,$NN$96,0),IF($NP$96="Bell_Curve",$NN$96*(310-$NR$96+1)*($NS$96-310+1)/$NU$96,$NN$96/$NT$96)),0)</f>
        <v/>
      </c>
      <c r="LC96" s="402">
        <f>IF(AND(311&gt;=$NR$96,311&lt;=$NS$96),IF($NP$96="Single_Point",IF(311=$NR$96,$NN$96,0),IF($NP$96="Bell_Curve",$NN$96*(311-$NR$96+1)*($NS$96-311+1)/$NU$96,$NN$96/$NT$96)),0)</f>
        <v/>
      </c>
      <c r="LD96" s="402">
        <f>IF(AND(312&gt;=$NR$96,312&lt;=$NS$96),IF($NP$96="Single_Point",IF(312=$NR$96,$NN$96,0),IF($NP$96="Bell_Curve",$NN$96*(312-$NR$96+1)*($NS$96-312+1)/$NU$96,$NN$96/$NT$96)),0)</f>
        <v/>
      </c>
      <c r="LE96" s="402">
        <f>IF(AND(313&gt;=$NR$96,313&lt;=$NS$96),IF($NP$96="Single_Point",IF(313=$NR$96,$NN$96,0),IF($NP$96="Bell_Curve",$NN$96*(313-$NR$96+1)*($NS$96-313+1)/$NU$96,$NN$96/$NT$96)),0)</f>
        <v/>
      </c>
      <c r="LF96" s="402">
        <f>IF(AND(314&gt;=$NR$96,314&lt;=$NS$96),IF($NP$96="Single_Point",IF(314=$NR$96,$NN$96,0),IF($NP$96="Bell_Curve",$NN$96*(314-$NR$96+1)*($NS$96-314+1)/$NU$96,$NN$96/$NT$96)),0)</f>
        <v/>
      </c>
      <c r="LG96" s="402">
        <f>IF(AND(315&gt;=$NR$96,315&lt;=$NS$96),IF($NP$96="Single_Point",IF(315=$NR$96,$NN$96,0),IF($NP$96="Bell_Curve",$NN$96*(315-$NR$96+1)*($NS$96-315+1)/$NU$96,$NN$96/$NT$96)),0)</f>
        <v/>
      </c>
      <c r="LH96" s="402">
        <f>IF(AND(316&gt;=$NR$96,316&lt;=$NS$96),IF($NP$96="Single_Point",IF(316=$NR$96,$NN$96,0),IF($NP$96="Bell_Curve",$NN$96*(316-$NR$96+1)*($NS$96-316+1)/$NU$96,$NN$96/$NT$96)),0)</f>
        <v/>
      </c>
      <c r="LI96" s="402">
        <f>IF(AND(317&gt;=$NR$96,317&lt;=$NS$96),IF($NP$96="Single_Point",IF(317=$NR$96,$NN$96,0),IF($NP$96="Bell_Curve",$NN$96*(317-$NR$96+1)*($NS$96-317+1)/$NU$96,$NN$96/$NT$96)),0)</f>
        <v/>
      </c>
      <c r="LJ96" s="402">
        <f>IF(AND(318&gt;=$NR$96,318&lt;=$NS$96),IF($NP$96="Single_Point",IF(318=$NR$96,$NN$96,0),IF($NP$96="Bell_Curve",$NN$96*(318-$NR$96+1)*($NS$96-318+1)/$NU$96,$NN$96/$NT$96)),0)</f>
        <v/>
      </c>
      <c r="LK96" s="402">
        <f>IF(AND(319&gt;=$NR$96,319&lt;=$NS$96),IF($NP$96="Single_Point",IF(319=$NR$96,$NN$96,0),IF($NP$96="Bell_Curve",$NN$96*(319-$NR$96+1)*($NS$96-319+1)/$NU$96,$NN$96/$NT$96)),0)</f>
        <v/>
      </c>
      <c r="LL96" s="402">
        <f>IF(AND(320&gt;=$NR$96,320&lt;=$NS$96),IF($NP$96="Single_Point",IF(320=$NR$96,$NN$96,0),IF($NP$96="Bell_Curve",$NN$96*(320-$NR$96+1)*($NS$96-320+1)/$NU$96,$NN$96/$NT$96)),0)</f>
        <v/>
      </c>
      <c r="LM96" s="402">
        <f>IF(AND(321&gt;=$NR$96,321&lt;=$NS$96),IF($NP$96="Single_Point",IF(321=$NR$96,$NN$96,0),IF($NP$96="Bell_Curve",$NN$96*(321-$NR$96+1)*($NS$96-321+1)/$NU$96,$NN$96/$NT$96)),0)</f>
        <v/>
      </c>
      <c r="LN96" s="402">
        <f>IF(AND(322&gt;=$NR$96,322&lt;=$NS$96),IF($NP$96="Single_Point",IF(322=$NR$96,$NN$96,0),IF($NP$96="Bell_Curve",$NN$96*(322-$NR$96+1)*($NS$96-322+1)/$NU$96,$NN$96/$NT$96)),0)</f>
        <v/>
      </c>
      <c r="LO96" s="402">
        <f>IF(AND(323&gt;=$NR$96,323&lt;=$NS$96),IF($NP$96="Single_Point",IF(323=$NR$96,$NN$96,0),IF($NP$96="Bell_Curve",$NN$96*(323-$NR$96+1)*($NS$96-323+1)/$NU$96,$NN$96/$NT$96)),0)</f>
        <v/>
      </c>
      <c r="LP96" s="402">
        <f>IF(AND(324&gt;=$NR$96,324&lt;=$NS$96),IF($NP$96="Single_Point",IF(324=$NR$96,$NN$96,0),IF($NP$96="Bell_Curve",$NN$96*(324-$NR$96+1)*($NS$96-324+1)/$NU$96,$NN$96/$NT$96)),0)</f>
        <v/>
      </c>
      <c r="LQ96" s="402">
        <f>IF(AND(325&gt;=$NR$96,325&lt;=$NS$96),IF($NP$96="Single_Point",IF(325=$NR$96,$NN$96,0),IF($NP$96="Bell_Curve",$NN$96*(325-$NR$96+1)*($NS$96-325+1)/$NU$96,$NN$96/$NT$96)),0)</f>
        <v/>
      </c>
      <c r="LR96" s="402">
        <f>IF(AND(326&gt;=$NR$96,326&lt;=$NS$96),IF($NP$96="Single_Point",IF(326=$NR$96,$NN$96,0),IF($NP$96="Bell_Curve",$NN$96*(326-$NR$96+1)*($NS$96-326+1)/$NU$96,$NN$96/$NT$96)),0)</f>
        <v/>
      </c>
      <c r="LS96" s="402">
        <f>IF(AND(327&gt;=$NR$96,327&lt;=$NS$96),IF($NP$96="Single_Point",IF(327=$NR$96,$NN$96,0),IF($NP$96="Bell_Curve",$NN$96*(327-$NR$96+1)*($NS$96-327+1)/$NU$96,$NN$96/$NT$96)),0)</f>
        <v/>
      </c>
      <c r="LT96" s="402">
        <f>IF(AND(328&gt;=$NR$96,328&lt;=$NS$96),IF($NP$96="Single_Point",IF(328=$NR$96,$NN$96,0),IF($NP$96="Bell_Curve",$NN$96*(328-$NR$96+1)*($NS$96-328+1)/$NU$96,$NN$96/$NT$96)),0)</f>
        <v/>
      </c>
      <c r="LU96" s="402">
        <f>IF(AND(329&gt;=$NR$96,329&lt;=$NS$96),IF($NP$96="Single_Point",IF(329=$NR$96,$NN$96,0),IF($NP$96="Bell_Curve",$NN$96*(329-$NR$96+1)*($NS$96-329+1)/$NU$96,$NN$96/$NT$96)),0)</f>
        <v/>
      </c>
      <c r="LV96" s="402">
        <f>IF(AND(330&gt;=$NR$96,330&lt;=$NS$96),IF($NP$96="Single_Point",IF(330=$NR$96,$NN$96,0),IF($NP$96="Bell_Curve",$NN$96*(330-$NR$96+1)*($NS$96-330+1)/$NU$96,$NN$96/$NT$96)),0)</f>
        <v/>
      </c>
      <c r="LW96" s="402">
        <f>IF(AND(331&gt;=$NR$96,331&lt;=$NS$96),IF($NP$96="Single_Point",IF(331=$NR$96,$NN$96,0),IF($NP$96="Bell_Curve",$NN$96*(331-$NR$96+1)*($NS$96-331+1)/$NU$96,$NN$96/$NT$96)),0)</f>
        <v/>
      </c>
      <c r="LX96" s="402">
        <f>IF(AND(332&gt;=$NR$96,332&lt;=$NS$96),IF($NP$96="Single_Point",IF(332=$NR$96,$NN$96,0),IF($NP$96="Bell_Curve",$NN$96*(332-$NR$96+1)*($NS$96-332+1)/$NU$96,$NN$96/$NT$96)),0)</f>
        <v/>
      </c>
      <c r="LY96" s="402">
        <f>IF(AND(333&gt;=$NR$96,333&lt;=$NS$96),IF($NP$96="Single_Point",IF(333=$NR$96,$NN$96,0),IF($NP$96="Bell_Curve",$NN$96*(333-$NR$96+1)*($NS$96-333+1)/$NU$96,$NN$96/$NT$96)),0)</f>
        <v/>
      </c>
      <c r="LZ96" s="402">
        <f>IF(AND(334&gt;=$NR$96,334&lt;=$NS$96),IF($NP$96="Single_Point",IF(334=$NR$96,$NN$96,0),IF($NP$96="Bell_Curve",$NN$96*(334-$NR$96+1)*($NS$96-334+1)/$NU$96,$NN$96/$NT$96)),0)</f>
        <v/>
      </c>
      <c r="MA96" s="402">
        <f>IF(AND(335&gt;=$NR$96,335&lt;=$NS$96),IF($NP$96="Single_Point",IF(335=$NR$96,$NN$96,0),IF($NP$96="Bell_Curve",$NN$96*(335-$NR$96+1)*($NS$96-335+1)/$NU$96,$NN$96/$NT$96)),0)</f>
        <v/>
      </c>
      <c r="MB96" s="402">
        <f>IF(AND(336&gt;=$NR$96,336&lt;=$NS$96),IF($NP$96="Single_Point",IF(336=$NR$96,$NN$96,0),IF($NP$96="Bell_Curve",$NN$96*(336-$NR$96+1)*($NS$96-336+1)/$NU$96,$NN$96/$NT$96)),0)</f>
        <v/>
      </c>
      <c r="MC96" s="402">
        <f>IF(AND(337&gt;=$NR$96,337&lt;=$NS$96),IF($NP$96="Single_Point",IF(337=$NR$96,$NN$96,0),IF($NP$96="Bell_Curve",$NN$96*(337-$NR$96+1)*($NS$96-337+1)/$NU$96,$NN$96/$NT$96)),0)</f>
        <v/>
      </c>
      <c r="MD96" s="402">
        <f>IF(AND(338&gt;=$NR$96,338&lt;=$NS$96),IF($NP$96="Single_Point",IF(338=$NR$96,$NN$96,0),IF($NP$96="Bell_Curve",$NN$96*(338-$NR$96+1)*($NS$96-338+1)/$NU$96,$NN$96/$NT$96)),0)</f>
        <v/>
      </c>
      <c r="ME96" s="402">
        <f>IF(AND(339&gt;=$NR$96,339&lt;=$NS$96),IF($NP$96="Single_Point",IF(339=$NR$96,$NN$96,0),IF($NP$96="Bell_Curve",$NN$96*(339-$NR$96+1)*($NS$96-339+1)/$NU$96,$NN$96/$NT$96)),0)</f>
        <v/>
      </c>
      <c r="MF96" s="402">
        <f>IF(AND(340&gt;=$NR$96,340&lt;=$NS$96),IF($NP$96="Single_Point",IF(340=$NR$96,$NN$96,0),IF($NP$96="Bell_Curve",$NN$96*(340-$NR$96+1)*($NS$96-340+1)/$NU$96,$NN$96/$NT$96)),0)</f>
        <v/>
      </c>
      <c r="MG96" s="402">
        <f>IF(AND(341&gt;=$NR$96,341&lt;=$NS$96),IF($NP$96="Single_Point",IF(341=$NR$96,$NN$96,0),IF($NP$96="Bell_Curve",$NN$96*(341-$NR$96+1)*($NS$96-341+1)/$NU$96,$NN$96/$NT$96)),0)</f>
        <v/>
      </c>
      <c r="MH96" s="402">
        <f>IF(AND(342&gt;=$NR$96,342&lt;=$NS$96),IF($NP$96="Single_Point",IF(342=$NR$96,$NN$96,0),IF($NP$96="Bell_Curve",$NN$96*(342-$NR$96+1)*($NS$96-342+1)/$NU$96,$NN$96/$NT$96)),0)</f>
        <v/>
      </c>
      <c r="MI96" s="402">
        <f>IF(AND(343&gt;=$NR$96,343&lt;=$NS$96),IF($NP$96="Single_Point",IF(343=$NR$96,$NN$96,0),IF($NP$96="Bell_Curve",$NN$96*(343-$NR$96+1)*($NS$96-343+1)/$NU$96,$NN$96/$NT$96)),0)</f>
        <v/>
      </c>
      <c r="MJ96" s="402">
        <f>IF(AND(344&gt;=$NR$96,344&lt;=$NS$96),IF($NP$96="Single_Point",IF(344=$NR$96,$NN$96,0),IF($NP$96="Bell_Curve",$NN$96*(344-$NR$96+1)*($NS$96-344+1)/$NU$96,$NN$96/$NT$96)),0)</f>
        <v/>
      </c>
      <c r="MK96" s="402">
        <f>IF(AND(345&gt;=$NR$96,345&lt;=$NS$96),IF($NP$96="Single_Point",IF(345=$NR$96,$NN$96,0),IF($NP$96="Bell_Curve",$NN$96*(345-$NR$96+1)*($NS$96-345+1)/$NU$96,$NN$96/$NT$96)),0)</f>
        <v/>
      </c>
      <c r="ML96" s="402">
        <f>IF(AND(346&gt;=$NR$96,346&lt;=$NS$96),IF($NP$96="Single_Point",IF(346=$NR$96,$NN$96,0),IF($NP$96="Bell_Curve",$NN$96*(346-$NR$96+1)*($NS$96-346+1)/$NU$96,$NN$96/$NT$96)),0)</f>
        <v/>
      </c>
      <c r="MM96" s="402">
        <f>IF(AND(347&gt;=$NR$96,347&lt;=$NS$96),IF($NP$96="Single_Point",IF(347=$NR$96,$NN$96,0),IF($NP$96="Bell_Curve",$NN$96*(347-$NR$96+1)*($NS$96-347+1)/$NU$96,$NN$96/$NT$96)),0)</f>
        <v/>
      </c>
      <c r="MN96" s="402">
        <f>IF(AND(348&gt;=$NR$96,348&lt;=$NS$96),IF($NP$96="Single_Point",IF(348=$NR$96,$NN$96,0),IF($NP$96="Bell_Curve",$NN$96*(348-$NR$96+1)*($NS$96-348+1)/$NU$96,$NN$96/$NT$96)),0)</f>
        <v/>
      </c>
      <c r="MO96" s="402">
        <f>IF(AND(349&gt;=$NR$96,349&lt;=$NS$96),IF($NP$96="Single_Point",IF(349=$NR$96,$NN$96,0),IF($NP$96="Bell_Curve",$NN$96*(349-$NR$96+1)*($NS$96-349+1)/$NU$96,$NN$96/$NT$96)),0)</f>
        <v/>
      </c>
      <c r="MP96" s="402">
        <f>IF(AND(350&gt;=$NR$96,350&lt;=$NS$96),IF($NP$96="Single_Point",IF(350=$NR$96,$NN$96,0),IF($NP$96="Bell_Curve",$NN$96*(350-$NR$96+1)*($NS$96-350+1)/$NU$96,$NN$96/$NT$96)),0)</f>
        <v/>
      </c>
      <c r="MQ96" s="402">
        <f>IF(AND(351&gt;=$NR$96,351&lt;=$NS$96),IF($NP$96="Single_Point",IF(351=$NR$96,$NN$96,0),IF($NP$96="Bell_Curve",$NN$96*(351-$NR$96+1)*($NS$96-351+1)/$NU$96,$NN$96/$NT$96)),0)</f>
        <v/>
      </c>
      <c r="MR96" s="402">
        <f>IF(AND(352&gt;=$NR$96,352&lt;=$NS$96),IF($NP$96="Single_Point",IF(352=$NR$96,$NN$96,0),IF($NP$96="Bell_Curve",$NN$96*(352-$NR$96+1)*($NS$96-352+1)/$NU$96,$NN$96/$NT$96)),0)</f>
        <v/>
      </c>
      <c r="MS96" s="402">
        <f>IF(AND(353&gt;=$NR$96,353&lt;=$NS$96),IF($NP$96="Single_Point",IF(353=$NR$96,$NN$96,0),IF($NP$96="Bell_Curve",$NN$96*(353-$NR$96+1)*($NS$96-353+1)/$NU$96,$NN$96/$NT$96)),0)</f>
        <v/>
      </c>
      <c r="MT96" s="402">
        <f>IF(AND(354&gt;=$NR$96,354&lt;=$NS$96),IF($NP$96="Single_Point",IF(354=$NR$96,$NN$96,0),IF($NP$96="Bell_Curve",$NN$96*(354-$NR$96+1)*($NS$96-354+1)/$NU$96,$NN$96/$NT$96)),0)</f>
        <v/>
      </c>
      <c r="MU96" s="402">
        <f>IF(AND(355&gt;=$NR$96,355&lt;=$NS$96),IF($NP$96="Single_Point",IF(355=$NR$96,$NN$96,0),IF($NP$96="Bell_Curve",$NN$96*(355-$NR$96+1)*($NS$96-355+1)/$NU$96,$NN$96/$NT$96)),0)</f>
        <v/>
      </c>
      <c r="MV96" s="402">
        <f>IF(AND(356&gt;=$NR$96,356&lt;=$NS$96),IF($NP$96="Single_Point",IF(356=$NR$96,$NN$96,0),IF($NP$96="Bell_Curve",$NN$96*(356-$NR$96+1)*($NS$96-356+1)/$NU$96,$NN$96/$NT$96)),0)</f>
        <v/>
      </c>
      <c r="MW96" s="402">
        <f>IF(AND(357&gt;=$NR$96,357&lt;=$NS$96),IF($NP$96="Single_Point",IF(357=$NR$96,$NN$96,0),IF($NP$96="Bell_Curve",$NN$96*(357-$NR$96+1)*($NS$96-357+1)/$NU$96,$NN$96/$NT$96)),0)</f>
        <v/>
      </c>
      <c r="MX96" s="402">
        <f>IF(AND(358&gt;=$NR$96,358&lt;=$NS$96),IF($NP$96="Single_Point",IF(358=$NR$96,$NN$96,0),IF($NP$96="Bell_Curve",$NN$96*(358-$NR$96+1)*($NS$96-358+1)/$NU$96,$NN$96/$NT$96)),0)</f>
        <v/>
      </c>
      <c r="MY96" s="402">
        <f>IF(AND(359&gt;=$NR$96,359&lt;=$NS$96),IF($NP$96="Single_Point",IF(359=$NR$96,$NN$96,0),IF($NP$96="Bell_Curve",$NN$96*(359-$NR$96+1)*($NS$96-359+1)/$NU$96,$NN$96/$NT$96)),0)</f>
        <v/>
      </c>
      <c r="MZ96" s="402">
        <f>IF(AND(360&gt;=$NR$96,360&lt;=$NS$96),IF($NP$96="Single_Point",IF(360=$NR$96,$NN$96,0),IF($NP$96="Bell_Curve",$NN$96*(360-$NR$96+1)*($NS$96-360+1)/$NU$96,$NN$96/$NT$96)),0)</f>
        <v/>
      </c>
      <c r="NA96" s="402">
        <f>IF(AND(361&gt;=$NR$96,361&lt;=$NS$96),IF($NP$96="Single_Point",IF(361=$NR$96,$NN$96,0),IF($NP$96="Bell_Curve",$NN$96*(361-$NR$96+1)*($NS$96-361+1)/$NU$96,$NN$96/$NT$96)),0)</f>
        <v/>
      </c>
      <c r="NB96" s="402">
        <f>IF(AND(362&gt;=$NR$96,362&lt;=$NS$96),IF($NP$96="Single_Point",IF(362=$NR$96,$NN$96,0),IF($NP$96="Bell_Curve",$NN$96*(362-$NR$96+1)*($NS$96-362+1)/$NU$96,$NN$96/$NT$96)),0)</f>
        <v/>
      </c>
      <c r="NC96" s="402">
        <f>IF(AND(363&gt;=$NR$96,363&lt;=$NS$96),IF($NP$96="Single_Point",IF(363=$NR$96,$NN$96,0),IF($NP$96="Bell_Curve",$NN$96*(363-$NR$96+1)*($NS$96-363+1)/$NU$96,$NN$96/$NT$96)),0)</f>
        <v/>
      </c>
      <c r="ND96" s="402">
        <f>IF(AND(364&gt;=$NR$96,364&lt;=$NS$96),IF($NP$96="Single_Point",IF(364=$NR$96,$NN$96,0),IF($NP$96="Bell_Curve",$NN$96*(364-$NR$96+1)*($NS$96-364+1)/$NU$96,$NN$96/$NT$96)),0)</f>
        <v/>
      </c>
      <c r="NE96" s="402">
        <f>IF(AND(365&gt;=$NR$96,365&lt;=$NS$96),IF($NP$96="Single_Point",IF(365=$NR$96,$NN$96,0),IF($NP$96="Bell_Curve",$NN$96*(365-$NR$96+1)*($NS$96-365+1)/$NU$96,$NN$96/$NT$96)),0)</f>
        <v/>
      </c>
      <c r="NF96" s="402">
        <f>IF(AND(366&gt;=$NR$96,366&lt;=$NS$96),IF($NP$96="Single_Point",IF(366=$NR$96,$NN$96,0),IF($NP$96="Bell_Curve",$NN$96*(366-$NR$96+1)*($NS$96-366+1)/$NU$96,$NN$96/$NT$96)),0)</f>
        <v/>
      </c>
      <c r="NG96" s="402">
        <f>IF(AND(367&gt;=$NR$96,367&lt;=$NS$96),IF($NP$96="Single_Point",IF(367=$NR$96,$NN$96,0),IF($NP$96="Bell_Curve",$NN$96*(367-$NR$96+1)*($NS$96-367+1)/$NU$96,$NN$96/$NT$96)),0)</f>
        <v/>
      </c>
      <c r="NH96" s="402">
        <f>IF(AND(368&gt;=$NR$96,368&lt;=$NS$96),IF($NP$96="Single_Point",IF(368=$NR$96,$NN$96,0),IF($NP$96="Bell_Curve",$NN$96*(368-$NR$96+1)*($NS$96-368+1)/$NU$96,$NN$96/$NT$96)),0)</f>
        <v/>
      </c>
      <c r="NI96" s="402">
        <f>IF(AND(369&gt;=$NR$96,369&lt;=$NS$96),IF($NP$96="Single_Point",IF(369=$NR$96,$NN$96,0),IF($NP$96="Bell_Curve",$NN$96*(369-$NR$96+1)*($NS$96-369+1)/$NU$96,$NN$96/$NT$96)),0)</f>
        <v/>
      </c>
      <c r="NJ96" s="402">
        <f>IF(AND(370&gt;=$NR$96,370&lt;=$NS$96),IF($NP$96="Single_Point",IF(370=$NR$96,$NN$96,0),IF($NP$96="Bell_Curve",$NN$96*(370-$NR$96+1)*($NS$96-370+1)/$NU$96,$NN$96/$NT$96)),0)</f>
        <v/>
      </c>
      <c r="NK96" s="402">
        <f>IF(AND(371&gt;=$NR$96,371&lt;=$NS$96),IF($NP$96="Single_Point",IF(371=$NR$96,$NN$96,0),IF($NP$96="Bell_Curve",$NN$96*(371-$NR$96+1)*($NS$96-371+1)/$NU$96,$NN$96/$NT$96)),0)</f>
        <v/>
      </c>
      <c r="NL96" s="402">
        <f>IF(AND(372&gt;=$NR$96,372&lt;=$NS$96),IF($NP$96="Single_Point",IF(372=$NR$96,$NN$96,0),IF($NP$96="Bell_Curve",$NN$96*(372-$NR$96+1)*($NS$96-372+1)/$NU$96,$NN$96/$NT$96)),0)</f>
        <v/>
      </c>
      <c r="NM96">
        <f>Budget!C95</f>
        <v/>
      </c>
      <c r="NN96">
        <f>Budget!J95</f>
        <v/>
      </c>
      <c r="NO96">
        <f>Budget!G95</f>
        <v/>
      </c>
      <c r="NP96">
        <f>Budget!H95</f>
        <v/>
      </c>
      <c r="NQ96">
        <f>Budget!I95</f>
        <v/>
      </c>
      <c r="NR96">
        <f>MAX(1,MIN(372,INDEX(MilestoneStart,MATCH(NO96,MilestoneNames,0))+NQ96))</f>
        <v/>
      </c>
      <c r="NS96">
        <f>MAX(NR96,MIN(372,INDEX(MilestoneEnd,MATCH(NO96,MilestoneNames,0))+NQ96))</f>
        <v/>
      </c>
      <c r="NT96">
        <f>NS96-NR96+1</f>
        <v/>
      </c>
      <c r="NU96">
        <f>NT96*(NT96+1)*(NT96+2)/6</f>
        <v/>
      </c>
    </row>
    <row r="97">
      <c r="B97" s="316">
        <f>Budget!B96</f>
        <v/>
      </c>
      <c r="D97" s="402">
        <f>SUM(E97:NL97)</f>
        <v/>
      </c>
      <c r="E97" s="402">
        <f>IF(AND(1&gt;=$NR$97,1&lt;=$NS$97),IF($NP$97="Single_Point",IF(1=$NR$97,$NN$97,0),IF($NP$97="Bell_Curve",$NN$97*(1-$NR$97+1)*($NS$97-1+1)/$NU$97,$NN$97/$NT$97)),0)</f>
        <v/>
      </c>
      <c r="F97" s="402">
        <f>IF(AND(2&gt;=$NR$97,2&lt;=$NS$97),IF($NP$97="Single_Point",IF(2=$NR$97,$NN$97,0),IF($NP$97="Bell_Curve",$NN$97*(2-$NR$97+1)*($NS$97-2+1)/$NU$97,$NN$97/$NT$97)),0)</f>
        <v/>
      </c>
      <c r="G97" s="402">
        <f>IF(AND(3&gt;=$NR$97,3&lt;=$NS$97),IF($NP$97="Single_Point",IF(3=$NR$97,$NN$97,0),IF($NP$97="Bell_Curve",$NN$97*(3-$NR$97+1)*($NS$97-3+1)/$NU$97,$NN$97/$NT$97)),0)</f>
        <v/>
      </c>
      <c r="H97" s="402">
        <f>IF(AND(4&gt;=$NR$97,4&lt;=$NS$97),IF($NP$97="Single_Point",IF(4=$NR$97,$NN$97,0),IF($NP$97="Bell_Curve",$NN$97*(4-$NR$97+1)*($NS$97-4+1)/$NU$97,$NN$97/$NT$97)),0)</f>
        <v/>
      </c>
      <c r="I97" s="402">
        <f>IF(AND(5&gt;=$NR$97,5&lt;=$NS$97),IF($NP$97="Single_Point",IF(5=$NR$97,$NN$97,0),IF($NP$97="Bell_Curve",$NN$97*(5-$NR$97+1)*($NS$97-5+1)/$NU$97,$NN$97/$NT$97)),0)</f>
        <v/>
      </c>
      <c r="J97" s="402">
        <f>IF(AND(6&gt;=$NR$97,6&lt;=$NS$97),IF($NP$97="Single_Point",IF(6=$NR$97,$NN$97,0),IF($NP$97="Bell_Curve",$NN$97*(6-$NR$97+1)*($NS$97-6+1)/$NU$97,$NN$97/$NT$97)),0)</f>
        <v/>
      </c>
      <c r="K97" s="402">
        <f>IF(AND(7&gt;=$NR$97,7&lt;=$NS$97),IF($NP$97="Single_Point",IF(7=$NR$97,$NN$97,0),IF($NP$97="Bell_Curve",$NN$97*(7-$NR$97+1)*($NS$97-7+1)/$NU$97,$NN$97/$NT$97)),0)</f>
        <v/>
      </c>
      <c r="L97" s="402">
        <f>IF(AND(8&gt;=$NR$97,8&lt;=$NS$97),IF($NP$97="Single_Point",IF(8=$NR$97,$NN$97,0),IF($NP$97="Bell_Curve",$NN$97*(8-$NR$97+1)*($NS$97-8+1)/$NU$97,$NN$97/$NT$97)),0)</f>
        <v/>
      </c>
      <c r="M97" s="402">
        <f>IF(AND(9&gt;=$NR$97,9&lt;=$NS$97),IF($NP$97="Single_Point",IF(9=$NR$97,$NN$97,0),IF($NP$97="Bell_Curve",$NN$97*(9-$NR$97+1)*($NS$97-9+1)/$NU$97,$NN$97/$NT$97)),0)</f>
        <v/>
      </c>
      <c r="N97" s="402">
        <f>IF(AND(10&gt;=$NR$97,10&lt;=$NS$97),IF($NP$97="Single_Point",IF(10=$NR$97,$NN$97,0),IF($NP$97="Bell_Curve",$NN$97*(10-$NR$97+1)*($NS$97-10+1)/$NU$97,$NN$97/$NT$97)),0)</f>
        <v/>
      </c>
      <c r="O97" s="402">
        <f>IF(AND(11&gt;=$NR$97,11&lt;=$NS$97),IF($NP$97="Single_Point",IF(11=$NR$97,$NN$97,0),IF($NP$97="Bell_Curve",$NN$97*(11-$NR$97+1)*($NS$97-11+1)/$NU$97,$NN$97/$NT$97)),0)</f>
        <v/>
      </c>
      <c r="P97" s="402">
        <f>IF(AND(12&gt;=$NR$97,12&lt;=$NS$97),IF($NP$97="Single_Point",IF(12=$NR$97,$NN$97,0),IF($NP$97="Bell_Curve",$NN$97*(12-$NR$97+1)*($NS$97-12+1)/$NU$97,$NN$97/$NT$97)),0)</f>
        <v/>
      </c>
      <c r="Q97" s="402">
        <f>IF(AND(13&gt;=$NR$97,13&lt;=$NS$97),IF($NP$97="Single_Point",IF(13=$NR$97,$NN$97,0),IF($NP$97="Bell_Curve",$NN$97*(13-$NR$97+1)*($NS$97-13+1)/$NU$97,$NN$97/$NT$97)),0)</f>
        <v/>
      </c>
      <c r="R97" s="402">
        <f>IF(AND(14&gt;=$NR$97,14&lt;=$NS$97),IF($NP$97="Single_Point",IF(14=$NR$97,$NN$97,0),IF($NP$97="Bell_Curve",$NN$97*(14-$NR$97+1)*($NS$97-14+1)/$NU$97,$NN$97/$NT$97)),0)</f>
        <v/>
      </c>
      <c r="S97" s="402">
        <f>IF(AND(15&gt;=$NR$97,15&lt;=$NS$97),IF($NP$97="Single_Point",IF(15=$NR$97,$NN$97,0),IF($NP$97="Bell_Curve",$NN$97*(15-$NR$97+1)*($NS$97-15+1)/$NU$97,$NN$97/$NT$97)),0)</f>
        <v/>
      </c>
      <c r="T97" s="402">
        <f>IF(AND(16&gt;=$NR$97,16&lt;=$NS$97),IF($NP$97="Single_Point",IF(16=$NR$97,$NN$97,0),IF($NP$97="Bell_Curve",$NN$97*(16-$NR$97+1)*($NS$97-16+1)/$NU$97,$NN$97/$NT$97)),0)</f>
        <v/>
      </c>
      <c r="U97" s="402">
        <f>IF(AND(17&gt;=$NR$97,17&lt;=$NS$97),IF($NP$97="Single_Point",IF(17=$NR$97,$NN$97,0),IF($NP$97="Bell_Curve",$NN$97*(17-$NR$97+1)*($NS$97-17+1)/$NU$97,$NN$97/$NT$97)),0)</f>
        <v/>
      </c>
      <c r="V97" s="402">
        <f>IF(AND(18&gt;=$NR$97,18&lt;=$NS$97),IF($NP$97="Single_Point",IF(18=$NR$97,$NN$97,0),IF($NP$97="Bell_Curve",$NN$97*(18-$NR$97+1)*($NS$97-18+1)/$NU$97,$NN$97/$NT$97)),0)</f>
        <v/>
      </c>
      <c r="W97" s="402">
        <f>IF(AND(19&gt;=$NR$97,19&lt;=$NS$97),IF($NP$97="Single_Point",IF(19=$NR$97,$NN$97,0),IF($NP$97="Bell_Curve",$NN$97*(19-$NR$97+1)*($NS$97-19+1)/$NU$97,$NN$97/$NT$97)),0)</f>
        <v/>
      </c>
      <c r="X97" s="402">
        <f>IF(AND(20&gt;=$NR$97,20&lt;=$NS$97),IF($NP$97="Single_Point",IF(20=$NR$97,$NN$97,0),IF($NP$97="Bell_Curve",$NN$97*(20-$NR$97+1)*($NS$97-20+1)/$NU$97,$NN$97/$NT$97)),0)</f>
        <v/>
      </c>
      <c r="Y97" s="402">
        <f>IF(AND(21&gt;=$NR$97,21&lt;=$NS$97),IF($NP$97="Single_Point",IF(21=$NR$97,$NN$97,0),IF($NP$97="Bell_Curve",$NN$97*(21-$NR$97+1)*($NS$97-21+1)/$NU$97,$NN$97/$NT$97)),0)</f>
        <v/>
      </c>
      <c r="Z97" s="402">
        <f>IF(AND(22&gt;=$NR$97,22&lt;=$NS$97),IF($NP$97="Single_Point",IF(22=$NR$97,$NN$97,0),IF($NP$97="Bell_Curve",$NN$97*(22-$NR$97+1)*($NS$97-22+1)/$NU$97,$NN$97/$NT$97)),0)</f>
        <v/>
      </c>
      <c r="AA97" s="402">
        <f>IF(AND(23&gt;=$NR$97,23&lt;=$NS$97),IF($NP$97="Single_Point",IF(23=$NR$97,$NN$97,0),IF($NP$97="Bell_Curve",$NN$97*(23-$NR$97+1)*($NS$97-23+1)/$NU$97,$NN$97/$NT$97)),0)</f>
        <v/>
      </c>
      <c r="AB97" s="402">
        <f>IF(AND(24&gt;=$NR$97,24&lt;=$NS$97),IF($NP$97="Single_Point",IF(24=$NR$97,$NN$97,0),IF($NP$97="Bell_Curve",$NN$97*(24-$NR$97+1)*($NS$97-24+1)/$NU$97,$NN$97/$NT$97)),0)</f>
        <v/>
      </c>
      <c r="AC97" s="402">
        <f>IF(AND(25&gt;=$NR$97,25&lt;=$NS$97),IF($NP$97="Single_Point",IF(25=$NR$97,$NN$97,0),IF($NP$97="Bell_Curve",$NN$97*(25-$NR$97+1)*($NS$97-25+1)/$NU$97,$NN$97/$NT$97)),0)</f>
        <v/>
      </c>
      <c r="AD97" s="402">
        <f>IF(AND(26&gt;=$NR$97,26&lt;=$NS$97),IF($NP$97="Single_Point",IF(26=$NR$97,$NN$97,0),IF($NP$97="Bell_Curve",$NN$97*(26-$NR$97+1)*($NS$97-26+1)/$NU$97,$NN$97/$NT$97)),0)</f>
        <v/>
      </c>
      <c r="AE97" s="402">
        <f>IF(AND(27&gt;=$NR$97,27&lt;=$NS$97),IF($NP$97="Single_Point",IF(27=$NR$97,$NN$97,0),IF($NP$97="Bell_Curve",$NN$97*(27-$NR$97+1)*($NS$97-27+1)/$NU$97,$NN$97/$NT$97)),0)</f>
        <v/>
      </c>
      <c r="AF97" s="402">
        <f>IF(AND(28&gt;=$NR$97,28&lt;=$NS$97),IF($NP$97="Single_Point",IF(28=$NR$97,$NN$97,0),IF($NP$97="Bell_Curve",$NN$97*(28-$NR$97+1)*($NS$97-28+1)/$NU$97,$NN$97/$NT$97)),0)</f>
        <v/>
      </c>
      <c r="AG97" s="402">
        <f>IF(AND(29&gt;=$NR$97,29&lt;=$NS$97),IF($NP$97="Single_Point",IF(29=$NR$97,$NN$97,0),IF($NP$97="Bell_Curve",$NN$97*(29-$NR$97+1)*($NS$97-29+1)/$NU$97,$NN$97/$NT$97)),0)</f>
        <v/>
      </c>
      <c r="AH97" s="402">
        <f>IF(AND(30&gt;=$NR$97,30&lt;=$NS$97),IF($NP$97="Single_Point",IF(30=$NR$97,$NN$97,0),IF($NP$97="Bell_Curve",$NN$97*(30-$NR$97+1)*($NS$97-30+1)/$NU$97,$NN$97/$NT$97)),0)</f>
        <v/>
      </c>
      <c r="AI97" s="402">
        <f>IF(AND(31&gt;=$NR$97,31&lt;=$NS$97),IF($NP$97="Single_Point",IF(31=$NR$97,$NN$97,0),IF($NP$97="Bell_Curve",$NN$97*(31-$NR$97+1)*($NS$97-31+1)/$NU$97,$NN$97/$NT$97)),0)</f>
        <v/>
      </c>
      <c r="AJ97" s="402">
        <f>IF(AND(32&gt;=$NR$97,32&lt;=$NS$97),IF($NP$97="Single_Point",IF(32=$NR$97,$NN$97,0),IF($NP$97="Bell_Curve",$NN$97*(32-$NR$97+1)*($NS$97-32+1)/$NU$97,$NN$97/$NT$97)),0)</f>
        <v/>
      </c>
      <c r="AK97" s="402">
        <f>IF(AND(33&gt;=$NR$97,33&lt;=$NS$97),IF($NP$97="Single_Point",IF(33=$NR$97,$NN$97,0),IF($NP$97="Bell_Curve",$NN$97*(33-$NR$97+1)*($NS$97-33+1)/$NU$97,$NN$97/$NT$97)),0)</f>
        <v/>
      </c>
      <c r="AL97" s="402">
        <f>IF(AND(34&gt;=$NR$97,34&lt;=$NS$97),IF($NP$97="Single_Point",IF(34=$NR$97,$NN$97,0),IF($NP$97="Bell_Curve",$NN$97*(34-$NR$97+1)*($NS$97-34+1)/$NU$97,$NN$97/$NT$97)),0)</f>
        <v/>
      </c>
      <c r="AM97" s="402">
        <f>IF(AND(35&gt;=$NR$97,35&lt;=$NS$97),IF($NP$97="Single_Point",IF(35=$NR$97,$NN$97,0),IF($NP$97="Bell_Curve",$NN$97*(35-$NR$97+1)*($NS$97-35+1)/$NU$97,$NN$97/$NT$97)),0)</f>
        <v/>
      </c>
      <c r="AN97" s="402">
        <f>IF(AND(36&gt;=$NR$97,36&lt;=$NS$97),IF($NP$97="Single_Point",IF(36=$NR$97,$NN$97,0),IF($NP$97="Bell_Curve",$NN$97*(36-$NR$97+1)*($NS$97-36+1)/$NU$97,$NN$97/$NT$97)),0)</f>
        <v/>
      </c>
      <c r="AO97" s="402">
        <f>IF(AND(37&gt;=$NR$97,37&lt;=$NS$97),IF($NP$97="Single_Point",IF(37=$NR$97,$NN$97,0),IF($NP$97="Bell_Curve",$NN$97*(37-$NR$97+1)*($NS$97-37+1)/$NU$97,$NN$97/$NT$97)),0)</f>
        <v/>
      </c>
      <c r="AP97" s="402">
        <f>IF(AND(38&gt;=$NR$97,38&lt;=$NS$97),IF($NP$97="Single_Point",IF(38=$NR$97,$NN$97,0),IF($NP$97="Bell_Curve",$NN$97*(38-$NR$97+1)*($NS$97-38+1)/$NU$97,$NN$97/$NT$97)),0)</f>
        <v/>
      </c>
      <c r="AQ97" s="402">
        <f>IF(AND(39&gt;=$NR$97,39&lt;=$NS$97),IF($NP$97="Single_Point",IF(39=$NR$97,$NN$97,0),IF($NP$97="Bell_Curve",$NN$97*(39-$NR$97+1)*($NS$97-39+1)/$NU$97,$NN$97/$NT$97)),0)</f>
        <v/>
      </c>
      <c r="AR97" s="402">
        <f>IF(AND(40&gt;=$NR$97,40&lt;=$NS$97),IF($NP$97="Single_Point",IF(40=$NR$97,$NN$97,0),IF($NP$97="Bell_Curve",$NN$97*(40-$NR$97+1)*($NS$97-40+1)/$NU$97,$NN$97/$NT$97)),0)</f>
        <v/>
      </c>
      <c r="AS97" s="402">
        <f>IF(AND(41&gt;=$NR$97,41&lt;=$NS$97),IF($NP$97="Single_Point",IF(41=$NR$97,$NN$97,0),IF($NP$97="Bell_Curve",$NN$97*(41-$NR$97+1)*($NS$97-41+1)/$NU$97,$NN$97/$NT$97)),0)</f>
        <v/>
      </c>
      <c r="AT97" s="402">
        <f>IF(AND(42&gt;=$NR$97,42&lt;=$NS$97),IF($NP$97="Single_Point",IF(42=$NR$97,$NN$97,0),IF($NP$97="Bell_Curve",$NN$97*(42-$NR$97+1)*($NS$97-42+1)/$NU$97,$NN$97/$NT$97)),0)</f>
        <v/>
      </c>
      <c r="AU97" s="402">
        <f>IF(AND(43&gt;=$NR$97,43&lt;=$NS$97),IF($NP$97="Single_Point",IF(43=$NR$97,$NN$97,0),IF($NP$97="Bell_Curve",$NN$97*(43-$NR$97+1)*($NS$97-43+1)/$NU$97,$NN$97/$NT$97)),0)</f>
        <v/>
      </c>
      <c r="AV97" s="402">
        <f>IF(AND(44&gt;=$NR$97,44&lt;=$NS$97),IF($NP$97="Single_Point",IF(44=$NR$97,$NN$97,0),IF($NP$97="Bell_Curve",$NN$97*(44-$NR$97+1)*($NS$97-44+1)/$NU$97,$NN$97/$NT$97)),0)</f>
        <v/>
      </c>
      <c r="AW97" s="402">
        <f>IF(AND(45&gt;=$NR$97,45&lt;=$NS$97),IF($NP$97="Single_Point",IF(45=$NR$97,$NN$97,0),IF($NP$97="Bell_Curve",$NN$97*(45-$NR$97+1)*($NS$97-45+1)/$NU$97,$NN$97/$NT$97)),0)</f>
        <v/>
      </c>
      <c r="AX97" s="402">
        <f>IF(AND(46&gt;=$NR$97,46&lt;=$NS$97),IF($NP$97="Single_Point",IF(46=$NR$97,$NN$97,0),IF($NP$97="Bell_Curve",$NN$97*(46-$NR$97+1)*($NS$97-46+1)/$NU$97,$NN$97/$NT$97)),0)</f>
        <v/>
      </c>
      <c r="AY97" s="402">
        <f>IF(AND(47&gt;=$NR$97,47&lt;=$NS$97),IF($NP$97="Single_Point",IF(47=$NR$97,$NN$97,0),IF($NP$97="Bell_Curve",$NN$97*(47-$NR$97+1)*($NS$97-47+1)/$NU$97,$NN$97/$NT$97)),0)</f>
        <v/>
      </c>
      <c r="AZ97" s="402">
        <f>IF(AND(48&gt;=$NR$97,48&lt;=$NS$97),IF($NP$97="Single_Point",IF(48=$NR$97,$NN$97,0),IF($NP$97="Bell_Curve",$NN$97*(48-$NR$97+1)*($NS$97-48+1)/$NU$97,$NN$97/$NT$97)),0)</f>
        <v/>
      </c>
      <c r="BA97" s="402">
        <f>IF(AND(49&gt;=$NR$97,49&lt;=$NS$97),IF($NP$97="Single_Point",IF(49=$NR$97,$NN$97,0),IF($NP$97="Bell_Curve",$NN$97*(49-$NR$97+1)*($NS$97-49+1)/$NU$97,$NN$97/$NT$97)),0)</f>
        <v/>
      </c>
      <c r="BB97" s="402">
        <f>IF(AND(50&gt;=$NR$97,50&lt;=$NS$97),IF($NP$97="Single_Point",IF(50=$NR$97,$NN$97,0),IF($NP$97="Bell_Curve",$NN$97*(50-$NR$97+1)*($NS$97-50+1)/$NU$97,$NN$97/$NT$97)),0)</f>
        <v/>
      </c>
      <c r="BC97" s="402">
        <f>IF(AND(51&gt;=$NR$97,51&lt;=$NS$97),IF($NP$97="Single_Point",IF(51=$NR$97,$NN$97,0),IF($NP$97="Bell_Curve",$NN$97*(51-$NR$97+1)*($NS$97-51+1)/$NU$97,$NN$97/$NT$97)),0)</f>
        <v/>
      </c>
      <c r="BD97" s="402">
        <f>IF(AND(52&gt;=$NR$97,52&lt;=$NS$97),IF($NP$97="Single_Point",IF(52=$NR$97,$NN$97,0),IF($NP$97="Bell_Curve",$NN$97*(52-$NR$97+1)*($NS$97-52+1)/$NU$97,$NN$97/$NT$97)),0)</f>
        <v/>
      </c>
      <c r="BE97" s="402">
        <f>IF(AND(53&gt;=$NR$97,53&lt;=$NS$97),IF($NP$97="Single_Point",IF(53=$NR$97,$NN$97,0),IF($NP$97="Bell_Curve",$NN$97*(53-$NR$97+1)*($NS$97-53+1)/$NU$97,$NN$97/$NT$97)),0)</f>
        <v/>
      </c>
      <c r="BF97" s="402">
        <f>IF(AND(54&gt;=$NR$97,54&lt;=$NS$97),IF($NP$97="Single_Point",IF(54=$NR$97,$NN$97,0),IF($NP$97="Bell_Curve",$NN$97*(54-$NR$97+1)*($NS$97-54+1)/$NU$97,$NN$97/$NT$97)),0)</f>
        <v/>
      </c>
      <c r="BG97" s="402">
        <f>IF(AND(55&gt;=$NR$97,55&lt;=$NS$97),IF($NP$97="Single_Point",IF(55=$NR$97,$NN$97,0),IF($NP$97="Bell_Curve",$NN$97*(55-$NR$97+1)*($NS$97-55+1)/$NU$97,$NN$97/$NT$97)),0)</f>
        <v/>
      </c>
      <c r="BH97" s="402">
        <f>IF(AND(56&gt;=$NR$97,56&lt;=$NS$97),IF($NP$97="Single_Point",IF(56=$NR$97,$NN$97,0),IF($NP$97="Bell_Curve",$NN$97*(56-$NR$97+1)*($NS$97-56+1)/$NU$97,$NN$97/$NT$97)),0)</f>
        <v/>
      </c>
      <c r="BI97" s="402">
        <f>IF(AND(57&gt;=$NR$97,57&lt;=$NS$97),IF($NP$97="Single_Point",IF(57=$NR$97,$NN$97,0),IF($NP$97="Bell_Curve",$NN$97*(57-$NR$97+1)*($NS$97-57+1)/$NU$97,$NN$97/$NT$97)),0)</f>
        <v/>
      </c>
      <c r="BJ97" s="402">
        <f>IF(AND(58&gt;=$NR$97,58&lt;=$NS$97),IF($NP$97="Single_Point",IF(58=$NR$97,$NN$97,0),IF($NP$97="Bell_Curve",$NN$97*(58-$NR$97+1)*($NS$97-58+1)/$NU$97,$NN$97/$NT$97)),0)</f>
        <v/>
      </c>
      <c r="BK97" s="402">
        <f>IF(AND(59&gt;=$NR$97,59&lt;=$NS$97),IF($NP$97="Single_Point",IF(59=$NR$97,$NN$97,0),IF($NP$97="Bell_Curve",$NN$97*(59-$NR$97+1)*($NS$97-59+1)/$NU$97,$NN$97/$NT$97)),0)</f>
        <v/>
      </c>
      <c r="BL97" s="402">
        <f>IF(AND(60&gt;=$NR$97,60&lt;=$NS$97),IF($NP$97="Single_Point",IF(60=$NR$97,$NN$97,0),IF($NP$97="Bell_Curve",$NN$97*(60-$NR$97+1)*($NS$97-60+1)/$NU$97,$NN$97/$NT$97)),0)</f>
        <v/>
      </c>
      <c r="BM97" s="402">
        <f>IF(AND(61&gt;=$NR$97,61&lt;=$NS$97),IF($NP$97="Single_Point",IF(61=$NR$97,$NN$97,0),IF($NP$97="Bell_Curve",$NN$97*(61-$NR$97+1)*($NS$97-61+1)/$NU$97,$NN$97/$NT$97)),0)</f>
        <v/>
      </c>
      <c r="BN97" s="402">
        <f>IF(AND(62&gt;=$NR$97,62&lt;=$NS$97),IF($NP$97="Single_Point",IF(62=$NR$97,$NN$97,0),IF($NP$97="Bell_Curve",$NN$97*(62-$NR$97+1)*($NS$97-62+1)/$NU$97,$NN$97/$NT$97)),0)</f>
        <v/>
      </c>
      <c r="BO97" s="402">
        <f>IF(AND(63&gt;=$NR$97,63&lt;=$NS$97),IF($NP$97="Single_Point",IF(63=$NR$97,$NN$97,0),IF($NP$97="Bell_Curve",$NN$97*(63-$NR$97+1)*($NS$97-63+1)/$NU$97,$NN$97/$NT$97)),0)</f>
        <v/>
      </c>
      <c r="BP97" s="402">
        <f>IF(AND(64&gt;=$NR$97,64&lt;=$NS$97),IF($NP$97="Single_Point",IF(64=$NR$97,$NN$97,0),IF($NP$97="Bell_Curve",$NN$97*(64-$NR$97+1)*($NS$97-64+1)/$NU$97,$NN$97/$NT$97)),0)</f>
        <v/>
      </c>
      <c r="BQ97" s="402">
        <f>IF(AND(65&gt;=$NR$97,65&lt;=$NS$97),IF($NP$97="Single_Point",IF(65=$NR$97,$NN$97,0),IF($NP$97="Bell_Curve",$NN$97*(65-$NR$97+1)*($NS$97-65+1)/$NU$97,$NN$97/$NT$97)),0)</f>
        <v/>
      </c>
      <c r="BR97" s="402">
        <f>IF(AND(66&gt;=$NR$97,66&lt;=$NS$97),IF($NP$97="Single_Point",IF(66=$NR$97,$NN$97,0),IF($NP$97="Bell_Curve",$NN$97*(66-$NR$97+1)*($NS$97-66+1)/$NU$97,$NN$97/$NT$97)),0)</f>
        <v/>
      </c>
      <c r="BS97" s="402">
        <f>IF(AND(67&gt;=$NR$97,67&lt;=$NS$97),IF($NP$97="Single_Point",IF(67=$NR$97,$NN$97,0),IF($NP$97="Bell_Curve",$NN$97*(67-$NR$97+1)*($NS$97-67+1)/$NU$97,$NN$97/$NT$97)),0)</f>
        <v/>
      </c>
      <c r="BT97" s="402">
        <f>IF(AND(68&gt;=$NR$97,68&lt;=$NS$97),IF($NP$97="Single_Point",IF(68=$NR$97,$NN$97,0),IF($NP$97="Bell_Curve",$NN$97*(68-$NR$97+1)*($NS$97-68+1)/$NU$97,$NN$97/$NT$97)),0)</f>
        <v/>
      </c>
      <c r="BU97" s="402">
        <f>IF(AND(69&gt;=$NR$97,69&lt;=$NS$97),IF($NP$97="Single_Point",IF(69=$NR$97,$NN$97,0),IF($NP$97="Bell_Curve",$NN$97*(69-$NR$97+1)*($NS$97-69+1)/$NU$97,$NN$97/$NT$97)),0)</f>
        <v/>
      </c>
      <c r="BV97" s="402">
        <f>IF(AND(70&gt;=$NR$97,70&lt;=$NS$97),IF($NP$97="Single_Point",IF(70=$NR$97,$NN$97,0),IF($NP$97="Bell_Curve",$NN$97*(70-$NR$97+1)*($NS$97-70+1)/$NU$97,$NN$97/$NT$97)),0)</f>
        <v/>
      </c>
      <c r="BW97" s="402">
        <f>IF(AND(71&gt;=$NR$97,71&lt;=$NS$97),IF($NP$97="Single_Point",IF(71=$NR$97,$NN$97,0),IF($NP$97="Bell_Curve",$NN$97*(71-$NR$97+1)*($NS$97-71+1)/$NU$97,$NN$97/$NT$97)),0)</f>
        <v/>
      </c>
      <c r="BX97" s="402">
        <f>IF(AND(72&gt;=$NR$97,72&lt;=$NS$97),IF($NP$97="Single_Point",IF(72=$NR$97,$NN$97,0),IF($NP$97="Bell_Curve",$NN$97*(72-$NR$97+1)*($NS$97-72+1)/$NU$97,$NN$97/$NT$97)),0)</f>
        <v/>
      </c>
      <c r="BY97" s="402">
        <f>IF(AND(73&gt;=$NR$97,73&lt;=$NS$97),IF($NP$97="Single_Point",IF(73=$NR$97,$NN$97,0),IF($NP$97="Bell_Curve",$NN$97*(73-$NR$97+1)*($NS$97-73+1)/$NU$97,$NN$97/$NT$97)),0)</f>
        <v/>
      </c>
      <c r="BZ97" s="402">
        <f>IF(AND(74&gt;=$NR$97,74&lt;=$NS$97),IF($NP$97="Single_Point",IF(74=$NR$97,$NN$97,0),IF($NP$97="Bell_Curve",$NN$97*(74-$NR$97+1)*($NS$97-74+1)/$NU$97,$NN$97/$NT$97)),0)</f>
        <v/>
      </c>
      <c r="CA97" s="402">
        <f>IF(AND(75&gt;=$NR$97,75&lt;=$NS$97),IF($NP$97="Single_Point",IF(75=$NR$97,$NN$97,0),IF($NP$97="Bell_Curve",$NN$97*(75-$NR$97+1)*($NS$97-75+1)/$NU$97,$NN$97/$NT$97)),0)</f>
        <v/>
      </c>
      <c r="CB97" s="402">
        <f>IF(AND(76&gt;=$NR$97,76&lt;=$NS$97),IF($NP$97="Single_Point",IF(76=$NR$97,$NN$97,0),IF($NP$97="Bell_Curve",$NN$97*(76-$NR$97+1)*($NS$97-76+1)/$NU$97,$NN$97/$NT$97)),0)</f>
        <v/>
      </c>
      <c r="CC97" s="402">
        <f>IF(AND(77&gt;=$NR$97,77&lt;=$NS$97),IF($NP$97="Single_Point",IF(77=$NR$97,$NN$97,0),IF($NP$97="Bell_Curve",$NN$97*(77-$NR$97+1)*($NS$97-77+1)/$NU$97,$NN$97/$NT$97)),0)</f>
        <v/>
      </c>
      <c r="CD97" s="402">
        <f>IF(AND(78&gt;=$NR$97,78&lt;=$NS$97),IF($NP$97="Single_Point",IF(78=$NR$97,$NN$97,0),IF($NP$97="Bell_Curve",$NN$97*(78-$NR$97+1)*($NS$97-78+1)/$NU$97,$NN$97/$NT$97)),0)</f>
        <v/>
      </c>
      <c r="CE97" s="402">
        <f>IF(AND(79&gt;=$NR$97,79&lt;=$NS$97),IF($NP$97="Single_Point",IF(79=$NR$97,$NN$97,0),IF($NP$97="Bell_Curve",$NN$97*(79-$NR$97+1)*($NS$97-79+1)/$NU$97,$NN$97/$NT$97)),0)</f>
        <v/>
      </c>
      <c r="CF97" s="402">
        <f>IF(AND(80&gt;=$NR$97,80&lt;=$NS$97),IF($NP$97="Single_Point",IF(80=$NR$97,$NN$97,0),IF($NP$97="Bell_Curve",$NN$97*(80-$NR$97+1)*($NS$97-80+1)/$NU$97,$NN$97/$NT$97)),0)</f>
        <v/>
      </c>
      <c r="CG97" s="402">
        <f>IF(AND(81&gt;=$NR$97,81&lt;=$NS$97),IF($NP$97="Single_Point",IF(81=$NR$97,$NN$97,0),IF($NP$97="Bell_Curve",$NN$97*(81-$NR$97+1)*($NS$97-81+1)/$NU$97,$NN$97/$NT$97)),0)</f>
        <v/>
      </c>
      <c r="CH97" s="402">
        <f>IF(AND(82&gt;=$NR$97,82&lt;=$NS$97),IF($NP$97="Single_Point",IF(82=$NR$97,$NN$97,0),IF($NP$97="Bell_Curve",$NN$97*(82-$NR$97+1)*($NS$97-82+1)/$NU$97,$NN$97/$NT$97)),0)</f>
        <v/>
      </c>
      <c r="CI97" s="402">
        <f>IF(AND(83&gt;=$NR$97,83&lt;=$NS$97),IF($NP$97="Single_Point",IF(83=$NR$97,$NN$97,0),IF($NP$97="Bell_Curve",$NN$97*(83-$NR$97+1)*($NS$97-83+1)/$NU$97,$NN$97/$NT$97)),0)</f>
        <v/>
      </c>
      <c r="CJ97" s="402">
        <f>IF(AND(84&gt;=$NR$97,84&lt;=$NS$97),IF($NP$97="Single_Point",IF(84=$NR$97,$NN$97,0),IF($NP$97="Bell_Curve",$NN$97*(84-$NR$97+1)*($NS$97-84+1)/$NU$97,$NN$97/$NT$97)),0)</f>
        <v/>
      </c>
      <c r="CK97" s="402">
        <f>IF(AND(85&gt;=$NR$97,85&lt;=$NS$97),IF($NP$97="Single_Point",IF(85=$NR$97,$NN$97,0),IF($NP$97="Bell_Curve",$NN$97*(85-$NR$97+1)*($NS$97-85+1)/$NU$97,$NN$97/$NT$97)),0)</f>
        <v/>
      </c>
      <c r="CL97" s="402">
        <f>IF(AND(86&gt;=$NR$97,86&lt;=$NS$97),IF($NP$97="Single_Point",IF(86=$NR$97,$NN$97,0),IF($NP$97="Bell_Curve",$NN$97*(86-$NR$97+1)*($NS$97-86+1)/$NU$97,$NN$97/$NT$97)),0)</f>
        <v/>
      </c>
      <c r="CM97" s="402">
        <f>IF(AND(87&gt;=$NR$97,87&lt;=$NS$97),IF($NP$97="Single_Point",IF(87=$NR$97,$NN$97,0),IF($NP$97="Bell_Curve",$NN$97*(87-$NR$97+1)*($NS$97-87+1)/$NU$97,$NN$97/$NT$97)),0)</f>
        <v/>
      </c>
      <c r="CN97" s="402">
        <f>IF(AND(88&gt;=$NR$97,88&lt;=$NS$97),IF($NP$97="Single_Point",IF(88=$NR$97,$NN$97,0),IF($NP$97="Bell_Curve",$NN$97*(88-$NR$97+1)*($NS$97-88+1)/$NU$97,$NN$97/$NT$97)),0)</f>
        <v/>
      </c>
      <c r="CO97" s="402">
        <f>IF(AND(89&gt;=$NR$97,89&lt;=$NS$97),IF($NP$97="Single_Point",IF(89=$NR$97,$NN$97,0),IF($NP$97="Bell_Curve",$NN$97*(89-$NR$97+1)*($NS$97-89+1)/$NU$97,$NN$97/$NT$97)),0)</f>
        <v/>
      </c>
      <c r="CP97" s="402">
        <f>IF(AND(90&gt;=$NR$97,90&lt;=$NS$97),IF($NP$97="Single_Point",IF(90=$NR$97,$NN$97,0),IF($NP$97="Bell_Curve",$NN$97*(90-$NR$97+1)*($NS$97-90+1)/$NU$97,$NN$97/$NT$97)),0)</f>
        <v/>
      </c>
      <c r="CQ97" s="402">
        <f>IF(AND(91&gt;=$NR$97,91&lt;=$NS$97),IF($NP$97="Single_Point",IF(91=$NR$97,$NN$97,0),IF($NP$97="Bell_Curve",$NN$97*(91-$NR$97+1)*($NS$97-91+1)/$NU$97,$NN$97/$NT$97)),0)</f>
        <v/>
      </c>
      <c r="CR97" s="402">
        <f>IF(AND(92&gt;=$NR$97,92&lt;=$NS$97),IF($NP$97="Single_Point",IF(92=$NR$97,$NN$97,0),IF($NP$97="Bell_Curve",$NN$97*(92-$NR$97+1)*($NS$97-92+1)/$NU$97,$NN$97/$NT$97)),0)</f>
        <v/>
      </c>
      <c r="CS97" s="402">
        <f>IF(AND(93&gt;=$NR$97,93&lt;=$NS$97),IF($NP$97="Single_Point",IF(93=$NR$97,$NN$97,0),IF($NP$97="Bell_Curve",$NN$97*(93-$NR$97+1)*($NS$97-93+1)/$NU$97,$NN$97/$NT$97)),0)</f>
        <v/>
      </c>
      <c r="CT97" s="402">
        <f>IF(AND(94&gt;=$NR$97,94&lt;=$NS$97),IF($NP$97="Single_Point",IF(94=$NR$97,$NN$97,0),IF($NP$97="Bell_Curve",$NN$97*(94-$NR$97+1)*($NS$97-94+1)/$NU$97,$NN$97/$NT$97)),0)</f>
        <v/>
      </c>
      <c r="CU97" s="402">
        <f>IF(AND(95&gt;=$NR$97,95&lt;=$NS$97),IF($NP$97="Single_Point",IF(95=$NR$97,$NN$97,0),IF($NP$97="Bell_Curve",$NN$97*(95-$NR$97+1)*($NS$97-95+1)/$NU$97,$NN$97/$NT$97)),0)</f>
        <v/>
      </c>
      <c r="CV97" s="402">
        <f>IF(AND(96&gt;=$NR$97,96&lt;=$NS$97),IF($NP$97="Single_Point",IF(96=$NR$97,$NN$97,0),IF($NP$97="Bell_Curve",$NN$97*(96-$NR$97+1)*($NS$97-96+1)/$NU$97,$NN$97/$NT$97)),0)</f>
        <v/>
      </c>
      <c r="CW97" s="402">
        <f>IF(AND(97&gt;=$NR$97,97&lt;=$NS$97),IF($NP$97="Single_Point",IF(97=$NR$97,$NN$97,0),IF($NP$97="Bell_Curve",$NN$97*(97-$NR$97+1)*($NS$97-97+1)/$NU$97,$NN$97/$NT$97)),0)</f>
        <v/>
      </c>
      <c r="CX97" s="402">
        <f>IF(AND(98&gt;=$NR$97,98&lt;=$NS$97),IF($NP$97="Single_Point",IF(98=$NR$97,$NN$97,0),IF($NP$97="Bell_Curve",$NN$97*(98-$NR$97+1)*($NS$97-98+1)/$NU$97,$NN$97/$NT$97)),0)</f>
        <v/>
      </c>
      <c r="CY97" s="402">
        <f>IF(AND(99&gt;=$NR$97,99&lt;=$NS$97),IF($NP$97="Single_Point",IF(99=$NR$97,$NN$97,0),IF($NP$97="Bell_Curve",$NN$97*(99-$NR$97+1)*($NS$97-99+1)/$NU$97,$NN$97/$NT$97)),0)</f>
        <v/>
      </c>
      <c r="CZ97" s="402">
        <f>IF(AND(100&gt;=$NR$97,100&lt;=$NS$97),IF($NP$97="Single_Point",IF(100=$NR$97,$NN$97,0),IF($NP$97="Bell_Curve",$NN$97*(100-$NR$97+1)*($NS$97-100+1)/$NU$97,$NN$97/$NT$97)),0)</f>
        <v/>
      </c>
      <c r="DA97" s="402">
        <f>IF(AND(101&gt;=$NR$97,101&lt;=$NS$97),IF($NP$97="Single_Point",IF(101=$NR$97,$NN$97,0),IF($NP$97="Bell_Curve",$NN$97*(101-$NR$97+1)*($NS$97-101+1)/$NU$97,$NN$97/$NT$97)),0)</f>
        <v/>
      </c>
      <c r="DB97" s="402">
        <f>IF(AND(102&gt;=$NR$97,102&lt;=$NS$97),IF($NP$97="Single_Point",IF(102=$NR$97,$NN$97,0),IF($NP$97="Bell_Curve",$NN$97*(102-$NR$97+1)*($NS$97-102+1)/$NU$97,$NN$97/$NT$97)),0)</f>
        <v/>
      </c>
      <c r="DC97" s="402">
        <f>IF(AND(103&gt;=$NR$97,103&lt;=$NS$97),IF($NP$97="Single_Point",IF(103=$NR$97,$NN$97,0),IF($NP$97="Bell_Curve",$NN$97*(103-$NR$97+1)*($NS$97-103+1)/$NU$97,$NN$97/$NT$97)),0)</f>
        <v/>
      </c>
      <c r="DD97" s="402">
        <f>IF(AND(104&gt;=$NR$97,104&lt;=$NS$97),IF($NP$97="Single_Point",IF(104=$NR$97,$NN$97,0),IF($NP$97="Bell_Curve",$NN$97*(104-$NR$97+1)*($NS$97-104+1)/$NU$97,$NN$97/$NT$97)),0)</f>
        <v/>
      </c>
      <c r="DE97" s="402">
        <f>IF(AND(105&gt;=$NR$97,105&lt;=$NS$97),IF($NP$97="Single_Point",IF(105=$NR$97,$NN$97,0),IF($NP$97="Bell_Curve",$NN$97*(105-$NR$97+1)*($NS$97-105+1)/$NU$97,$NN$97/$NT$97)),0)</f>
        <v/>
      </c>
      <c r="DF97" s="402">
        <f>IF(AND(106&gt;=$NR$97,106&lt;=$NS$97),IF($NP$97="Single_Point",IF(106=$NR$97,$NN$97,0),IF($NP$97="Bell_Curve",$NN$97*(106-$NR$97+1)*($NS$97-106+1)/$NU$97,$NN$97/$NT$97)),0)</f>
        <v/>
      </c>
      <c r="DG97" s="402">
        <f>IF(AND(107&gt;=$NR$97,107&lt;=$NS$97),IF($NP$97="Single_Point",IF(107=$NR$97,$NN$97,0),IF($NP$97="Bell_Curve",$NN$97*(107-$NR$97+1)*($NS$97-107+1)/$NU$97,$NN$97/$NT$97)),0)</f>
        <v/>
      </c>
      <c r="DH97" s="402">
        <f>IF(AND(108&gt;=$NR$97,108&lt;=$NS$97),IF($NP$97="Single_Point",IF(108=$NR$97,$NN$97,0),IF($NP$97="Bell_Curve",$NN$97*(108-$NR$97+1)*($NS$97-108+1)/$NU$97,$NN$97/$NT$97)),0)</f>
        <v/>
      </c>
      <c r="DI97" s="402">
        <f>IF(AND(109&gt;=$NR$97,109&lt;=$NS$97),IF($NP$97="Single_Point",IF(109=$NR$97,$NN$97,0),IF($NP$97="Bell_Curve",$NN$97*(109-$NR$97+1)*($NS$97-109+1)/$NU$97,$NN$97/$NT$97)),0)</f>
        <v/>
      </c>
      <c r="DJ97" s="402">
        <f>IF(AND(110&gt;=$NR$97,110&lt;=$NS$97),IF($NP$97="Single_Point",IF(110=$NR$97,$NN$97,0),IF($NP$97="Bell_Curve",$NN$97*(110-$NR$97+1)*($NS$97-110+1)/$NU$97,$NN$97/$NT$97)),0)</f>
        <v/>
      </c>
      <c r="DK97" s="402">
        <f>IF(AND(111&gt;=$NR$97,111&lt;=$NS$97),IF($NP$97="Single_Point",IF(111=$NR$97,$NN$97,0),IF($NP$97="Bell_Curve",$NN$97*(111-$NR$97+1)*($NS$97-111+1)/$NU$97,$NN$97/$NT$97)),0)</f>
        <v/>
      </c>
      <c r="DL97" s="402">
        <f>IF(AND(112&gt;=$NR$97,112&lt;=$NS$97),IF($NP$97="Single_Point",IF(112=$NR$97,$NN$97,0),IF($NP$97="Bell_Curve",$NN$97*(112-$NR$97+1)*($NS$97-112+1)/$NU$97,$NN$97/$NT$97)),0)</f>
        <v/>
      </c>
      <c r="DM97" s="402">
        <f>IF(AND(113&gt;=$NR$97,113&lt;=$NS$97),IF($NP$97="Single_Point",IF(113=$NR$97,$NN$97,0),IF($NP$97="Bell_Curve",$NN$97*(113-$NR$97+1)*($NS$97-113+1)/$NU$97,$NN$97/$NT$97)),0)</f>
        <v/>
      </c>
      <c r="DN97" s="402">
        <f>IF(AND(114&gt;=$NR$97,114&lt;=$NS$97),IF($NP$97="Single_Point",IF(114=$NR$97,$NN$97,0),IF($NP$97="Bell_Curve",$NN$97*(114-$NR$97+1)*($NS$97-114+1)/$NU$97,$NN$97/$NT$97)),0)</f>
        <v/>
      </c>
      <c r="DO97" s="402">
        <f>IF(AND(115&gt;=$NR$97,115&lt;=$NS$97),IF($NP$97="Single_Point",IF(115=$NR$97,$NN$97,0),IF($NP$97="Bell_Curve",$NN$97*(115-$NR$97+1)*($NS$97-115+1)/$NU$97,$NN$97/$NT$97)),0)</f>
        <v/>
      </c>
      <c r="DP97" s="402">
        <f>IF(AND(116&gt;=$NR$97,116&lt;=$NS$97),IF($NP$97="Single_Point",IF(116=$NR$97,$NN$97,0),IF($NP$97="Bell_Curve",$NN$97*(116-$NR$97+1)*($NS$97-116+1)/$NU$97,$NN$97/$NT$97)),0)</f>
        <v/>
      </c>
      <c r="DQ97" s="402">
        <f>IF(AND(117&gt;=$NR$97,117&lt;=$NS$97),IF($NP$97="Single_Point",IF(117=$NR$97,$NN$97,0),IF($NP$97="Bell_Curve",$NN$97*(117-$NR$97+1)*($NS$97-117+1)/$NU$97,$NN$97/$NT$97)),0)</f>
        <v/>
      </c>
      <c r="DR97" s="402">
        <f>IF(AND(118&gt;=$NR$97,118&lt;=$NS$97),IF($NP$97="Single_Point",IF(118=$NR$97,$NN$97,0),IF($NP$97="Bell_Curve",$NN$97*(118-$NR$97+1)*($NS$97-118+1)/$NU$97,$NN$97/$NT$97)),0)</f>
        <v/>
      </c>
      <c r="DS97" s="402">
        <f>IF(AND(119&gt;=$NR$97,119&lt;=$NS$97),IF($NP$97="Single_Point",IF(119=$NR$97,$NN$97,0),IF($NP$97="Bell_Curve",$NN$97*(119-$NR$97+1)*($NS$97-119+1)/$NU$97,$NN$97/$NT$97)),0)</f>
        <v/>
      </c>
      <c r="DT97" s="402">
        <f>IF(AND(120&gt;=$NR$97,120&lt;=$NS$97),IF($NP$97="Single_Point",IF(120=$NR$97,$NN$97,0),IF($NP$97="Bell_Curve",$NN$97*(120-$NR$97+1)*($NS$97-120+1)/$NU$97,$NN$97/$NT$97)),0)</f>
        <v/>
      </c>
      <c r="DU97" s="402">
        <f>IF(AND(121&gt;=$NR$97,121&lt;=$NS$97),IF($NP$97="Single_Point",IF(121=$NR$97,$NN$97,0),IF($NP$97="Bell_Curve",$NN$97*(121-$NR$97+1)*($NS$97-121+1)/$NU$97,$NN$97/$NT$97)),0)</f>
        <v/>
      </c>
      <c r="DV97" s="402">
        <f>IF(AND(122&gt;=$NR$97,122&lt;=$NS$97),IF($NP$97="Single_Point",IF(122=$NR$97,$NN$97,0),IF($NP$97="Bell_Curve",$NN$97*(122-$NR$97+1)*($NS$97-122+1)/$NU$97,$NN$97/$NT$97)),0)</f>
        <v/>
      </c>
      <c r="DW97" s="402">
        <f>IF(AND(123&gt;=$NR$97,123&lt;=$NS$97),IF($NP$97="Single_Point",IF(123=$NR$97,$NN$97,0),IF($NP$97="Bell_Curve",$NN$97*(123-$NR$97+1)*($NS$97-123+1)/$NU$97,$NN$97/$NT$97)),0)</f>
        <v/>
      </c>
      <c r="DX97" s="402">
        <f>IF(AND(124&gt;=$NR$97,124&lt;=$NS$97),IF($NP$97="Single_Point",IF(124=$NR$97,$NN$97,0),IF($NP$97="Bell_Curve",$NN$97*(124-$NR$97+1)*($NS$97-124+1)/$NU$97,$NN$97/$NT$97)),0)</f>
        <v/>
      </c>
      <c r="DY97" s="402">
        <f>IF(AND(125&gt;=$NR$97,125&lt;=$NS$97),IF($NP$97="Single_Point",IF(125=$NR$97,$NN$97,0),IF($NP$97="Bell_Curve",$NN$97*(125-$NR$97+1)*($NS$97-125+1)/$NU$97,$NN$97/$NT$97)),0)</f>
        <v/>
      </c>
      <c r="DZ97" s="402">
        <f>IF(AND(126&gt;=$NR$97,126&lt;=$NS$97),IF($NP$97="Single_Point",IF(126=$NR$97,$NN$97,0),IF($NP$97="Bell_Curve",$NN$97*(126-$NR$97+1)*($NS$97-126+1)/$NU$97,$NN$97/$NT$97)),0)</f>
        <v/>
      </c>
      <c r="EA97" s="402">
        <f>IF(AND(127&gt;=$NR$97,127&lt;=$NS$97),IF($NP$97="Single_Point",IF(127=$NR$97,$NN$97,0),IF($NP$97="Bell_Curve",$NN$97*(127-$NR$97+1)*($NS$97-127+1)/$NU$97,$NN$97/$NT$97)),0)</f>
        <v/>
      </c>
      <c r="EB97" s="402">
        <f>IF(AND(128&gt;=$NR$97,128&lt;=$NS$97),IF($NP$97="Single_Point",IF(128=$NR$97,$NN$97,0),IF($NP$97="Bell_Curve",$NN$97*(128-$NR$97+1)*($NS$97-128+1)/$NU$97,$NN$97/$NT$97)),0)</f>
        <v/>
      </c>
      <c r="EC97" s="402">
        <f>IF(AND(129&gt;=$NR$97,129&lt;=$NS$97),IF($NP$97="Single_Point",IF(129=$NR$97,$NN$97,0),IF($NP$97="Bell_Curve",$NN$97*(129-$NR$97+1)*($NS$97-129+1)/$NU$97,$NN$97/$NT$97)),0)</f>
        <v/>
      </c>
      <c r="ED97" s="402">
        <f>IF(AND(130&gt;=$NR$97,130&lt;=$NS$97),IF($NP$97="Single_Point",IF(130=$NR$97,$NN$97,0),IF($NP$97="Bell_Curve",$NN$97*(130-$NR$97+1)*($NS$97-130+1)/$NU$97,$NN$97/$NT$97)),0)</f>
        <v/>
      </c>
      <c r="EE97" s="402">
        <f>IF(AND(131&gt;=$NR$97,131&lt;=$NS$97),IF($NP$97="Single_Point",IF(131=$NR$97,$NN$97,0),IF($NP$97="Bell_Curve",$NN$97*(131-$NR$97+1)*($NS$97-131+1)/$NU$97,$NN$97/$NT$97)),0)</f>
        <v/>
      </c>
      <c r="EF97" s="402">
        <f>IF(AND(132&gt;=$NR$97,132&lt;=$NS$97),IF($NP$97="Single_Point",IF(132=$NR$97,$NN$97,0),IF($NP$97="Bell_Curve",$NN$97*(132-$NR$97+1)*($NS$97-132+1)/$NU$97,$NN$97/$NT$97)),0)</f>
        <v/>
      </c>
      <c r="EG97" s="402">
        <f>IF(AND(133&gt;=$NR$97,133&lt;=$NS$97),IF($NP$97="Single_Point",IF(133=$NR$97,$NN$97,0),IF($NP$97="Bell_Curve",$NN$97*(133-$NR$97+1)*($NS$97-133+1)/$NU$97,$NN$97/$NT$97)),0)</f>
        <v/>
      </c>
      <c r="EH97" s="402">
        <f>IF(AND(134&gt;=$NR$97,134&lt;=$NS$97),IF($NP$97="Single_Point",IF(134=$NR$97,$NN$97,0),IF($NP$97="Bell_Curve",$NN$97*(134-$NR$97+1)*($NS$97-134+1)/$NU$97,$NN$97/$NT$97)),0)</f>
        <v/>
      </c>
      <c r="EI97" s="402">
        <f>IF(AND(135&gt;=$NR$97,135&lt;=$NS$97),IF($NP$97="Single_Point",IF(135=$NR$97,$NN$97,0),IF($NP$97="Bell_Curve",$NN$97*(135-$NR$97+1)*($NS$97-135+1)/$NU$97,$NN$97/$NT$97)),0)</f>
        <v/>
      </c>
      <c r="EJ97" s="402">
        <f>IF(AND(136&gt;=$NR$97,136&lt;=$NS$97),IF($NP$97="Single_Point",IF(136=$NR$97,$NN$97,0),IF($NP$97="Bell_Curve",$NN$97*(136-$NR$97+1)*($NS$97-136+1)/$NU$97,$NN$97/$NT$97)),0)</f>
        <v/>
      </c>
      <c r="EK97" s="402">
        <f>IF(AND(137&gt;=$NR$97,137&lt;=$NS$97),IF($NP$97="Single_Point",IF(137=$NR$97,$NN$97,0),IF($NP$97="Bell_Curve",$NN$97*(137-$NR$97+1)*($NS$97-137+1)/$NU$97,$NN$97/$NT$97)),0)</f>
        <v/>
      </c>
      <c r="EL97" s="402">
        <f>IF(AND(138&gt;=$NR$97,138&lt;=$NS$97),IF($NP$97="Single_Point",IF(138=$NR$97,$NN$97,0),IF($NP$97="Bell_Curve",$NN$97*(138-$NR$97+1)*($NS$97-138+1)/$NU$97,$NN$97/$NT$97)),0)</f>
        <v/>
      </c>
      <c r="EM97" s="402">
        <f>IF(AND(139&gt;=$NR$97,139&lt;=$NS$97),IF($NP$97="Single_Point",IF(139=$NR$97,$NN$97,0),IF($NP$97="Bell_Curve",$NN$97*(139-$NR$97+1)*($NS$97-139+1)/$NU$97,$NN$97/$NT$97)),0)</f>
        <v/>
      </c>
      <c r="EN97" s="402">
        <f>IF(AND(140&gt;=$NR$97,140&lt;=$NS$97),IF($NP$97="Single_Point",IF(140=$NR$97,$NN$97,0),IF($NP$97="Bell_Curve",$NN$97*(140-$NR$97+1)*($NS$97-140+1)/$NU$97,$NN$97/$NT$97)),0)</f>
        <v/>
      </c>
      <c r="EO97" s="402">
        <f>IF(AND(141&gt;=$NR$97,141&lt;=$NS$97),IF($NP$97="Single_Point",IF(141=$NR$97,$NN$97,0),IF($NP$97="Bell_Curve",$NN$97*(141-$NR$97+1)*($NS$97-141+1)/$NU$97,$NN$97/$NT$97)),0)</f>
        <v/>
      </c>
      <c r="EP97" s="402">
        <f>IF(AND(142&gt;=$NR$97,142&lt;=$NS$97),IF($NP$97="Single_Point",IF(142=$NR$97,$NN$97,0),IF($NP$97="Bell_Curve",$NN$97*(142-$NR$97+1)*($NS$97-142+1)/$NU$97,$NN$97/$NT$97)),0)</f>
        <v/>
      </c>
      <c r="EQ97" s="402">
        <f>IF(AND(143&gt;=$NR$97,143&lt;=$NS$97),IF($NP$97="Single_Point",IF(143=$NR$97,$NN$97,0),IF($NP$97="Bell_Curve",$NN$97*(143-$NR$97+1)*($NS$97-143+1)/$NU$97,$NN$97/$NT$97)),0)</f>
        <v/>
      </c>
      <c r="ER97" s="402">
        <f>IF(AND(144&gt;=$NR$97,144&lt;=$NS$97),IF($NP$97="Single_Point",IF(144=$NR$97,$NN$97,0),IF($NP$97="Bell_Curve",$NN$97*(144-$NR$97+1)*($NS$97-144+1)/$NU$97,$NN$97/$NT$97)),0)</f>
        <v/>
      </c>
      <c r="ES97" s="402">
        <f>IF(AND(145&gt;=$NR$97,145&lt;=$NS$97),IF($NP$97="Single_Point",IF(145=$NR$97,$NN$97,0),IF($NP$97="Bell_Curve",$NN$97*(145-$NR$97+1)*($NS$97-145+1)/$NU$97,$NN$97/$NT$97)),0)</f>
        <v/>
      </c>
      <c r="ET97" s="402">
        <f>IF(AND(146&gt;=$NR$97,146&lt;=$NS$97),IF($NP$97="Single_Point",IF(146=$NR$97,$NN$97,0),IF($NP$97="Bell_Curve",$NN$97*(146-$NR$97+1)*($NS$97-146+1)/$NU$97,$NN$97/$NT$97)),0)</f>
        <v/>
      </c>
      <c r="EU97" s="402">
        <f>IF(AND(147&gt;=$NR$97,147&lt;=$NS$97),IF($NP$97="Single_Point",IF(147=$NR$97,$NN$97,0),IF($NP$97="Bell_Curve",$NN$97*(147-$NR$97+1)*($NS$97-147+1)/$NU$97,$NN$97/$NT$97)),0)</f>
        <v/>
      </c>
      <c r="EV97" s="402">
        <f>IF(AND(148&gt;=$NR$97,148&lt;=$NS$97),IF($NP$97="Single_Point",IF(148=$NR$97,$NN$97,0),IF($NP$97="Bell_Curve",$NN$97*(148-$NR$97+1)*($NS$97-148+1)/$NU$97,$NN$97/$NT$97)),0)</f>
        <v/>
      </c>
      <c r="EW97" s="402">
        <f>IF(AND(149&gt;=$NR$97,149&lt;=$NS$97),IF($NP$97="Single_Point",IF(149=$NR$97,$NN$97,0),IF($NP$97="Bell_Curve",$NN$97*(149-$NR$97+1)*($NS$97-149+1)/$NU$97,$NN$97/$NT$97)),0)</f>
        <v/>
      </c>
      <c r="EX97" s="402">
        <f>IF(AND(150&gt;=$NR$97,150&lt;=$NS$97),IF($NP$97="Single_Point",IF(150=$NR$97,$NN$97,0),IF($NP$97="Bell_Curve",$NN$97*(150-$NR$97+1)*($NS$97-150+1)/$NU$97,$NN$97/$NT$97)),0)</f>
        <v/>
      </c>
      <c r="EY97" s="402">
        <f>IF(AND(151&gt;=$NR$97,151&lt;=$NS$97),IF($NP$97="Single_Point",IF(151=$NR$97,$NN$97,0),IF($NP$97="Bell_Curve",$NN$97*(151-$NR$97+1)*($NS$97-151+1)/$NU$97,$NN$97/$NT$97)),0)</f>
        <v/>
      </c>
      <c r="EZ97" s="402">
        <f>IF(AND(152&gt;=$NR$97,152&lt;=$NS$97),IF($NP$97="Single_Point",IF(152=$NR$97,$NN$97,0),IF($NP$97="Bell_Curve",$NN$97*(152-$NR$97+1)*($NS$97-152+1)/$NU$97,$NN$97/$NT$97)),0)</f>
        <v/>
      </c>
      <c r="FA97" s="402">
        <f>IF(AND(153&gt;=$NR$97,153&lt;=$NS$97),IF($NP$97="Single_Point",IF(153=$NR$97,$NN$97,0),IF($NP$97="Bell_Curve",$NN$97*(153-$NR$97+1)*($NS$97-153+1)/$NU$97,$NN$97/$NT$97)),0)</f>
        <v/>
      </c>
      <c r="FB97" s="402">
        <f>IF(AND(154&gt;=$NR$97,154&lt;=$NS$97),IF($NP$97="Single_Point",IF(154=$NR$97,$NN$97,0),IF($NP$97="Bell_Curve",$NN$97*(154-$NR$97+1)*($NS$97-154+1)/$NU$97,$NN$97/$NT$97)),0)</f>
        <v/>
      </c>
      <c r="FC97" s="402">
        <f>IF(AND(155&gt;=$NR$97,155&lt;=$NS$97),IF($NP$97="Single_Point",IF(155=$NR$97,$NN$97,0),IF($NP$97="Bell_Curve",$NN$97*(155-$NR$97+1)*($NS$97-155+1)/$NU$97,$NN$97/$NT$97)),0)</f>
        <v/>
      </c>
      <c r="FD97" s="402">
        <f>IF(AND(156&gt;=$NR$97,156&lt;=$NS$97),IF($NP$97="Single_Point",IF(156=$NR$97,$NN$97,0),IF($NP$97="Bell_Curve",$NN$97*(156-$NR$97+1)*($NS$97-156+1)/$NU$97,$NN$97/$NT$97)),0)</f>
        <v/>
      </c>
      <c r="FE97" s="402">
        <f>IF(AND(157&gt;=$NR$97,157&lt;=$NS$97),IF($NP$97="Single_Point",IF(157=$NR$97,$NN$97,0),IF($NP$97="Bell_Curve",$NN$97*(157-$NR$97+1)*($NS$97-157+1)/$NU$97,$NN$97/$NT$97)),0)</f>
        <v/>
      </c>
      <c r="FF97" s="402">
        <f>IF(AND(158&gt;=$NR$97,158&lt;=$NS$97),IF($NP$97="Single_Point",IF(158=$NR$97,$NN$97,0),IF($NP$97="Bell_Curve",$NN$97*(158-$NR$97+1)*($NS$97-158+1)/$NU$97,$NN$97/$NT$97)),0)</f>
        <v/>
      </c>
      <c r="FG97" s="402">
        <f>IF(AND(159&gt;=$NR$97,159&lt;=$NS$97),IF($NP$97="Single_Point",IF(159=$NR$97,$NN$97,0),IF($NP$97="Bell_Curve",$NN$97*(159-$NR$97+1)*($NS$97-159+1)/$NU$97,$NN$97/$NT$97)),0)</f>
        <v/>
      </c>
      <c r="FH97" s="402">
        <f>IF(AND(160&gt;=$NR$97,160&lt;=$NS$97),IF($NP$97="Single_Point",IF(160=$NR$97,$NN$97,0),IF($NP$97="Bell_Curve",$NN$97*(160-$NR$97+1)*($NS$97-160+1)/$NU$97,$NN$97/$NT$97)),0)</f>
        <v/>
      </c>
      <c r="FI97" s="402">
        <f>IF(AND(161&gt;=$NR$97,161&lt;=$NS$97),IF($NP$97="Single_Point",IF(161=$NR$97,$NN$97,0),IF($NP$97="Bell_Curve",$NN$97*(161-$NR$97+1)*($NS$97-161+1)/$NU$97,$NN$97/$NT$97)),0)</f>
        <v/>
      </c>
      <c r="FJ97" s="402">
        <f>IF(AND(162&gt;=$NR$97,162&lt;=$NS$97),IF($NP$97="Single_Point",IF(162=$NR$97,$NN$97,0),IF($NP$97="Bell_Curve",$NN$97*(162-$NR$97+1)*($NS$97-162+1)/$NU$97,$NN$97/$NT$97)),0)</f>
        <v/>
      </c>
      <c r="FK97" s="402">
        <f>IF(AND(163&gt;=$NR$97,163&lt;=$NS$97),IF($NP$97="Single_Point",IF(163=$NR$97,$NN$97,0),IF($NP$97="Bell_Curve",$NN$97*(163-$NR$97+1)*($NS$97-163+1)/$NU$97,$NN$97/$NT$97)),0)</f>
        <v/>
      </c>
      <c r="FL97" s="402">
        <f>IF(AND(164&gt;=$NR$97,164&lt;=$NS$97),IF($NP$97="Single_Point",IF(164=$NR$97,$NN$97,0),IF($NP$97="Bell_Curve",$NN$97*(164-$NR$97+1)*($NS$97-164+1)/$NU$97,$NN$97/$NT$97)),0)</f>
        <v/>
      </c>
      <c r="FM97" s="402">
        <f>IF(AND(165&gt;=$NR$97,165&lt;=$NS$97),IF($NP$97="Single_Point",IF(165=$NR$97,$NN$97,0),IF($NP$97="Bell_Curve",$NN$97*(165-$NR$97+1)*($NS$97-165+1)/$NU$97,$NN$97/$NT$97)),0)</f>
        <v/>
      </c>
      <c r="FN97" s="402">
        <f>IF(AND(166&gt;=$NR$97,166&lt;=$NS$97),IF($NP$97="Single_Point",IF(166=$NR$97,$NN$97,0),IF($NP$97="Bell_Curve",$NN$97*(166-$NR$97+1)*($NS$97-166+1)/$NU$97,$NN$97/$NT$97)),0)</f>
        <v/>
      </c>
      <c r="FO97" s="402">
        <f>IF(AND(167&gt;=$NR$97,167&lt;=$NS$97),IF($NP$97="Single_Point",IF(167=$NR$97,$NN$97,0),IF($NP$97="Bell_Curve",$NN$97*(167-$NR$97+1)*($NS$97-167+1)/$NU$97,$NN$97/$NT$97)),0)</f>
        <v/>
      </c>
      <c r="FP97" s="402">
        <f>IF(AND(168&gt;=$NR$97,168&lt;=$NS$97),IF($NP$97="Single_Point",IF(168=$NR$97,$NN$97,0),IF($NP$97="Bell_Curve",$NN$97*(168-$NR$97+1)*($NS$97-168+1)/$NU$97,$NN$97/$NT$97)),0)</f>
        <v/>
      </c>
      <c r="FQ97" s="402">
        <f>IF(AND(169&gt;=$NR$97,169&lt;=$NS$97),IF($NP$97="Single_Point",IF(169=$NR$97,$NN$97,0),IF($NP$97="Bell_Curve",$NN$97*(169-$NR$97+1)*($NS$97-169+1)/$NU$97,$NN$97/$NT$97)),0)</f>
        <v/>
      </c>
      <c r="FR97" s="402">
        <f>IF(AND(170&gt;=$NR$97,170&lt;=$NS$97),IF($NP$97="Single_Point",IF(170=$NR$97,$NN$97,0),IF($NP$97="Bell_Curve",$NN$97*(170-$NR$97+1)*($NS$97-170+1)/$NU$97,$NN$97/$NT$97)),0)</f>
        <v/>
      </c>
      <c r="FS97" s="402">
        <f>IF(AND(171&gt;=$NR$97,171&lt;=$NS$97),IF($NP$97="Single_Point",IF(171=$NR$97,$NN$97,0),IF($NP$97="Bell_Curve",$NN$97*(171-$NR$97+1)*($NS$97-171+1)/$NU$97,$NN$97/$NT$97)),0)</f>
        <v/>
      </c>
      <c r="FT97" s="402">
        <f>IF(AND(172&gt;=$NR$97,172&lt;=$NS$97),IF($NP$97="Single_Point",IF(172=$NR$97,$NN$97,0),IF($NP$97="Bell_Curve",$NN$97*(172-$NR$97+1)*($NS$97-172+1)/$NU$97,$NN$97/$NT$97)),0)</f>
        <v/>
      </c>
      <c r="FU97" s="402">
        <f>IF(AND(173&gt;=$NR$97,173&lt;=$NS$97),IF($NP$97="Single_Point",IF(173=$NR$97,$NN$97,0),IF($NP$97="Bell_Curve",$NN$97*(173-$NR$97+1)*($NS$97-173+1)/$NU$97,$NN$97/$NT$97)),0)</f>
        <v/>
      </c>
      <c r="FV97" s="402">
        <f>IF(AND(174&gt;=$NR$97,174&lt;=$NS$97),IF($NP$97="Single_Point",IF(174=$NR$97,$NN$97,0),IF($NP$97="Bell_Curve",$NN$97*(174-$NR$97+1)*($NS$97-174+1)/$NU$97,$NN$97/$NT$97)),0)</f>
        <v/>
      </c>
      <c r="FW97" s="402">
        <f>IF(AND(175&gt;=$NR$97,175&lt;=$NS$97),IF($NP$97="Single_Point",IF(175=$NR$97,$NN$97,0),IF($NP$97="Bell_Curve",$NN$97*(175-$NR$97+1)*($NS$97-175+1)/$NU$97,$NN$97/$NT$97)),0)</f>
        <v/>
      </c>
      <c r="FX97" s="402">
        <f>IF(AND(176&gt;=$NR$97,176&lt;=$NS$97),IF($NP$97="Single_Point",IF(176=$NR$97,$NN$97,0),IF($NP$97="Bell_Curve",$NN$97*(176-$NR$97+1)*($NS$97-176+1)/$NU$97,$NN$97/$NT$97)),0)</f>
        <v/>
      </c>
      <c r="FY97" s="402">
        <f>IF(AND(177&gt;=$NR$97,177&lt;=$NS$97),IF($NP$97="Single_Point",IF(177=$NR$97,$NN$97,0),IF($NP$97="Bell_Curve",$NN$97*(177-$NR$97+1)*($NS$97-177+1)/$NU$97,$NN$97/$NT$97)),0)</f>
        <v/>
      </c>
      <c r="FZ97" s="402">
        <f>IF(AND(178&gt;=$NR$97,178&lt;=$NS$97),IF($NP$97="Single_Point",IF(178=$NR$97,$NN$97,0),IF($NP$97="Bell_Curve",$NN$97*(178-$NR$97+1)*($NS$97-178+1)/$NU$97,$NN$97/$NT$97)),0)</f>
        <v/>
      </c>
      <c r="GA97" s="402">
        <f>IF(AND(179&gt;=$NR$97,179&lt;=$NS$97),IF($NP$97="Single_Point",IF(179=$NR$97,$NN$97,0),IF($NP$97="Bell_Curve",$NN$97*(179-$NR$97+1)*($NS$97-179+1)/$NU$97,$NN$97/$NT$97)),0)</f>
        <v/>
      </c>
      <c r="GB97" s="402">
        <f>IF(AND(180&gt;=$NR$97,180&lt;=$NS$97),IF($NP$97="Single_Point",IF(180=$NR$97,$NN$97,0),IF($NP$97="Bell_Curve",$NN$97*(180-$NR$97+1)*($NS$97-180+1)/$NU$97,$NN$97/$NT$97)),0)</f>
        <v/>
      </c>
      <c r="GC97" s="402">
        <f>IF(AND(181&gt;=$NR$97,181&lt;=$NS$97),IF($NP$97="Single_Point",IF(181=$NR$97,$NN$97,0),IF($NP$97="Bell_Curve",$NN$97*(181-$NR$97+1)*($NS$97-181+1)/$NU$97,$NN$97/$NT$97)),0)</f>
        <v/>
      </c>
      <c r="GD97" s="402">
        <f>IF(AND(182&gt;=$NR$97,182&lt;=$NS$97),IF($NP$97="Single_Point",IF(182=$NR$97,$NN$97,0),IF($NP$97="Bell_Curve",$NN$97*(182-$NR$97+1)*($NS$97-182+1)/$NU$97,$NN$97/$NT$97)),0)</f>
        <v/>
      </c>
      <c r="GE97" s="402">
        <f>IF(AND(183&gt;=$NR$97,183&lt;=$NS$97),IF($NP$97="Single_Point",IF(183=$NR$97,$NN$97,0),IF($NP$97="Bell_Curve",$NN$97*(183-$NR$97+1)*($NS$97-183+1)/$NU$97,$NN$97/$NT$97)),0)</f>
        <v/>
      </c>
      <c r="GF97" s="402">
        <f>IF(AND(184&gt;=$NR$97,184&lt;=$NS$97),IF($NP$97="Single_Point",IF(184=$NR$97,$NN$97,0),IF($NP$97="Bell_Curve",$NN$97*(184-$NR$97+1)*($NS$97-184+1)/$NU$97,$NN$97/$NT$97)),0)</f>
        <v/>
      </c>
      <c r="GG97" s="402">
        <f>IF(AND(185&gt;=$NR$97,185&lt;=$NS$97),IF($NP$97="Single_Point",IF(185=$NR$97,$NN$97,0),IF($NP$97="Bell_Curve",$NN$97*(185-$NR$97+1)*($NS$97-185+1)/$NU$97,$NN$97/$NT$97)),0)</f>
        <v/>
      </c>
      <c r="GH97" s="402">
        <f>IF(AND(186&gt;=$NR$97,186&lt;=$NS$97),IF($NP$97="Single_Point",IF(186=$NR$97,$NN$97,0),IF($NP$97="Bell_Curve",$NN$97*(186-$NR$97+1)*($NS$97-186+1)/$NU$97,$NN$97/$NT$97)),0)</f>
        <v/>
      </c>
      <c r="GI97" s="402">
        <f>IF(AND(187&gt;=$NR$97,187&lt;=$NS$97),IF($NP$97="Single_Point",IF(187=$NR$97,$NN$97,0),IF($NP$97="Bell_Curve",$NN$97*(187-$NR$97+1)*($NS$97-187+1)/$NU$97,$NN$97/$NT$97)),0)</f>
        <v/>
      </c>
      <c r="GJ97" s="402">
        <f>IF(AND(188&gt;=$NR$97,188&lt;=$NS$97),IF($NP$97="Single_Point",IF(188=$NR$97,$NN$97,0),IF($NP$97="Bell_Curve",$NN$97*(188-$NR$97+1)*($NS$97-188+1)/$NU$97,$NN$97/$NT$97)),0)</f>
        <v/>
      </c>
      <c r="GK97" s="402">
        <f>IF(AND(189&gt;=$NR$97,189&lt;=$NS$97),IF($NP$97="Single_Point",IF(189=$NR$97,$NN$97,0),IF($NP$97="Bell_Curve",$NN$97*(189-$NR$97+1)*($NS$97-189+1)/$NU$97,$NN$97/$NT$97)),0)</f>
        <v/>
      </c>
      <c r="GL97" s="402">
        <f>IF(AND(190&gt;=$NR$97,190&lt;=$NS$97),IF($NP$97="Single_Point",IF(190=$NR$97,$NN$97,0),IF($NP$97="Bell_Curve",$NN$97*(190-$NR$97+1)*($NS$97-190+1)/$NU$97,$NN$97/$NT$97)),0)</f>
        <v/>
      </c>
      <c r="GM97" s="402">
        <f>IF(AND(191&gt;=$NR$97,191&lt;=$NS$97),IF($NP$97="Single_Point",IF(191=$NR$97,$NN$97,0),IF($NP$97="Bell_Curve",$NN$97*(191-$NR$97+1)*($NS$97-191+1)/$NU$97,$NN$97/$NT$97)),0)</f>
        <v/>
      </c>
      <c r="GN97" s="402">
        <f>IF(AND(192&gt;=$NR$97,192&lt;=$NS$97),IF($NP$97="Single_Point",IF(192=$NR$97,$NN$97,0),IF($NP$97="Bell_Curve",$NN$97*(192-$NR$97+1)*($NS$97-192+1)/$NU$97,$NN$97/$NT$97)),0)</f>
        <v/>
      </c>
      <c r="GO97" s="402">
        <f>IF(AND(193&gt;=$NR$97,193&lt;=$NS$97),IF($NP$97="Single_Point",IF(193=$NR$97,$NN$97,0),IF($NP$97="Bell_Curve",$NN$97*(193-$NR$97+1)*($NS$97-193+1)/$NU$97,$NN$97/$NT$97)),0)</f>
        <v/>
      </c>
      <c r="GP97" s="402">
        <f>IF(AND(194&gt;=$NR$97,194&lt;=$NS$97),IF($NP$97="Single_Point",IF(194=$NR$97,$NN$97,0),IF($NP$97="Bell_Curve",$NN$97*(194-$NR$97+1)*($NS$97-194+1)/$NU$97,$NN$97/$NT$97)),0)</f>
        <v/>
      </c>
      <c r="GQ97" s="402">
        <f>IF(AND(195&gt;=$NR$97,195&lt;=$NS$97),IF($NP$97="Single_Point",IF(195=$NR$97,$NN$97,0),IF($NP$97="Bell_Curve",$NN$97*(195-$NR$97+1)*($NS$97-195+1)/$NU$97,$NN$97/$NT$97)),0)</f>
        <v/>
      </c>
      <c r="GR97" s="402">
        <f>IF(AND(196&gt;=$NR$97,196&lt;=$NS$97),IF($NP$97="Single_Point",IF(196=$NR$97,$NN$97,0),IF($NP$97="Bell_Curve",$NN$97*(196-$NR$97+1)*($NS$97-196+1)/$NU$97,$NN$97/$NT$97)),0)</f>
        <v/>
      </c>
      <c r="GS97" s="402">
        <f>IF(AND(197&gt;=$NR$97,197&lt;=$NS$97),IF($NP$97="Single_Point",IF(197=$NR$97,$NN$97,0),IF($NP$97="Bell_Curve",$NN$97*(197-$NR$97+1)*($NS$97-197+1)/$NU$97,$NN$97/$NT$97)),0)</f>
        <v/>
      </c>
      <c r="GT97" s="402">
        <f>IF(AND(198&gt;=$NR$97,198&lt;=$NS$97),IF($NP$97="Single_Point",IF(198=$NR$97,$NN$97,0),IF($NP$97="Bell_Curve",$NN$97*(198-$NR$97+1)*($NS$97-198+1)/$NU$97,$NN$97/$NT$97)),0)</f>
        <v/>
      </c>
      <c r="GU97" s="402">
        <f>IF(AND(199&gt;=$NR$97,199&lt;=$NS$97),IF($NP$97="Single_Point",IF(199=$NR$97,$NN$97,0),IF($NP$97="Bell_Curve",$NN$97*(199-$NR$97+1)*($NS$97-199+1)/$NU$97,$NN$97/$NT$97)),0)</f>
        <v/>
      </c>
      <c r="GV97" s="402">
        <f>IF(AND(200&gt;=$NR$97,200&lt;=$NS$97),IF($NP$97="Single_Point",IF(200=$NR$97,$NN$97,0),IF($NP$97="Bell_Curve",$NN$97*(200-$NR$97+1)*($NS$97-200+1)/$NU$97,$NN$97/$NT$97)),0)</f>
        <v/>
      </c>
      <c r="GW97" s="402">
        <f>IF(AND(201&gt;=$NR$97,201&lt;=$NS$97),IF($NP$97="Single_Point",IF(201=$NR$97,$NN$97,0),IF($NP$97="Bell_Curve",$NN$97*(201-$NR$97+1)*($NS$97-201+1)/$NU$97,$NN$97/$NT$97)),0)</f>
        <v/>
      </c>
      <c r="GX97" s="402">
        <f>IF(AND(202&gt;=$NR$97,202&lt;=$NS$97),IF($NP$97="Single_Point",IF(202=$NR$97,$NN$97,0),IF($NP$97="Bell_Curve",$NN$97*(202-$NR$97+1)*($NS$97-202+1)/$NU$97,$NN$97/$NT$97)),0)</f>
        <v/>
      </c>
      <c r="GY97" s="402">
        <f>IF(AND(203&gt;=$NR$97,203&lt;=$NS$97),IF($NP$97="Single_Point",IF(203=$NR$97,$NN$97,0),IF($NP$97="Bell_Curve",$NN$97*(203-$NR$97+1)*($NS$97-203+1)/$NU$97,$NN$97/$NT$97)),0)</f>
        <v/>
      </c>
      <c r="GZ97" s="402">
        <f>IF(AND(204&gt;=$NR$97,204&lt;=$NS$97),IF($NP$97="Single_Point",IF(204=$NR$97,$NN$97,0),IF($NP$97="Bell_Curve",$NN$97*(204-$NR$97+1)*($NS$97-204+1)/$NU$97,$NN$97/$NT$97)),0)</f>
        <v/>
      </c>
      <c r="HA97" s="402">
        <f>IF(AND(205&gt;=$NR$97,205&lt;=$NS$97),IF($NP$97="Single_Point",IF(205=$NR$97,$NN$97,0),IF($NP$97="Bell_Curve",$NN$97*(205-$NR$97+1)*($NS$97-205+1)/$NU$97,$NN$97/$NT$97)),0)</f>
        <v/>
      </c>
      <c r="HB97" s="402">
        <f>IF(AND(206&gt;=$NR$97,206&lt;=$NS$97),IF($NP$97="Single_Point",IF(206=$NR$97,$NN$97,0),IF($NP$97="Bell_Curve",$NN$97*(206-$NR$97+1)*($NS$97-206+1)/$NU$97,$NN$97/$NT$97)),0)</f>
        <v/>
      </c>
      <c r="HC97" s="402">
        <f>IF(AND(207&gt;=$NR$97,207&lt;=$NS$97),IF($NP$97="Single_Point",IF(207=$NR$97,$NN$97,0),IF($NP$97="Bell_Curve",$NN$97*(207-$NR$97+1)*($NS$97-207+1)/$NU$97,$NN$97/$NT$97)),0)</f>
        <v/>
      </c>
      <c r="HD97" s="402">
        <f>IF(AND(208&gt;=$NR$97,208&lt;=$NS$97),IF($NP$97="Single_Point",IF(208=$NR$97,$NN$97,0),IF($NP$97="Bell_Curve",$NN$97*(208-$NR$97+1)*($NS$97-208+1)/$NU$97,$NN$97/$NT$97)),0)</f>
        <v/>
      </c>
      <c r="HE97" s="402">
        <f>IF(AND(209&gt;=$NR$97,209&lt;=$NS$97),IF($NP$97="Single_Point",IF(209=$NR$97,$NN$97,0),IF($NP$97="Bell_Curve",$NN$97*(209-$NR$97+1)*($NS$97-209+1)/$NU$97,$NN$97/$NT$97)),0)</f>
        <v/>
      </c>
      <c r="HF97" s="402">
        <f>IF(AND(210&gt;=$NR$97,210&lt;=$NS$97),IF($NP$97="Single_Point",IF(210=$NR$97,$NN$97,0),IF($NP$97="Bell_Curve",$NN$97*(210-$NR$97+1)*($NS$97-210+1)/$NU$97,$NN$97/$NT$97)),0)</f>
        <v/>
      </c>
      <c r="HG97" s="402">
        <f>IF(AND(211&gt;=$NR$97,211&lt;=$NS$97),IF($NP$97="Single_Point",IF(211=$NR$97,$NN$97,0),IF($NP$97="Bell_Curve",$NN$97*(211-$NR$97+1)*($NS$97-211+1)/$NU$97,$NN$97/$NT$97)),0)</f>
        <v/>
      </c>
      <c r="HH97" s="402">
        <f>IF(AND(212&gt;=$NR$97,212&lt;=$NS$97),IF($NP$97="Single_Point",IF(212=$NR$97,$NN$97,0),IF($NP$97="Bell_Curve",$NN$97*(212-$NR$97+1)*($NS$97-212+1)/$NU$97,$NN$97/$NT$97)),0)</f>
        <v/>
      </c>
      <c r="HI97" s="402">
        <f>IF(AND(213&gt;=$NR$97,213&lt;=$NS$97),IF($NP$97="Single_Point",IF(213=$NR$97,$NN$97,0),IF($NP$97="Bell_Curve",$NN$97*(213-$NR$97+1)*($NS$97-213+1)/$NU$97,$NN$97/$NT$97)),0)</f>
        <v/>
      </c>
      <c r="HJ97" s="402">
        <f>IF(AND(214&gt;=$NR$97,214&lt;=$NS$97),IF($NP$97="Single_Point",IF(214=$NR$97,$NN$97,0),IF($NP$97="Bell_Curve",$NN$97*(214-$NR$97+1)*($NS$97-214+1)/$NU$97,$NN$97/$NT$97)),0)</f>
        <v/>
      </c>
      <c r="HK97" s="402">
        <f>IF(AND(215&gt;=$NR$97,215&lt;=$NS$97),IF($NP$97="Single_Point",IF(215=$NR$97,$NN$97,0),IF($NP$97="Bell_Curve",$NN$97*(215-$NR$97+1)*($NS$97-215+1)/$NU$97,$NN$97/$NT$97)),0)</f>
        <v/>
      </c>
      <c r="HL97" s="402">
        <f>IF(AND(216&gt;=$NR$97,216&lt;=$NS$97),IF($NP$97="Single_Point",IF(216=$NR$97,$NN$97,0),IF($NP$97="Bell_Curve",$NN$97*(216-$NR$97+1)*($NS$97-216+1)/$NU$97,$NN$97/$NT$97)),0)</f>
        <v/>
      </c>
      <c r="HM97" s="402">
        <f>IF(AND(217&gt;=$NR$97,217&lt;=$NS$97),IF($NP$97="Single_Point",IF(217=$NR$97,$NN$97,0),IF($NP$97="Bell_Curve",$NN$97*(217-$NR$97+1)*($NS$97-217+1)/$NU$97,$NN$97/$NT$97)),0)</f>
        <v/>
      </c>
      <c r="HN97" s="402">
        <f>IF(AND(218&gt;=$NR$97,218&lt;=$NS$97),IF($NP$97="Single_Point",IF(218=$NR$97,$NN$97,0),IF($NP$97="Bell_Curve",$NN$97*(218-$NR$97+1)*($NS$97-218+1)/$NU$97,$NN$97/$NT$97)),0)</f>
        <v/>
      </c>
      <c r="HO97" s="402">
        <f>IF(AND(219&gt;=$NR$97,219&lt;=$NS$97),IF($NP$97="Single_Point",IF(219=$NR$97,$NN$97,0),IF($NP$97="Bell_Curve",$NN$97*(219-$NR$97+1)*($NS$97-219+1)/$NU$97,$NN$97/$NT$97)),0)</f>
        <v/>
      </c>
      <c r="HP97" s="402">
        <f>IF(AND(220&gt;=$NR$97,220&lt;=$NS$97),IF($NP$97="Single_Point",IF(220=$NR$97,$NN$97,0),IF($NP$97="Bell_Curve",$NN$97*(220-$NR$97+1)*($NS$97-220+1)/$NU$97,$NN$97/$NT$97)),0)</f>
        <v/>
      </c>
      <c r="HQ97" s="402">
        <f>IF(AND(221&gt;=$NR$97,221&lt;=$NS$97),IF($NP$97="Single_Point",IF(221=$NR$97,$NN$97,0),IF($NP$97="Bell_Curve",$NN$97*(221-$NR$97+1)*($NS$97-221+1)/$NU$97,$NN$97/$NT$97)),0)</f>
        <v/>
      </c>
      <c r="HR97" s="402">
        <f>IF(AND(222&gt;=$NR$97,222&lt;=$NS$97),IF($NP$97="Single_Point",IF(222=$NR$97,$NN$97,0),IF($NP$97="Bell_Curve",$NN$97*(222-$NR$97+1)*($NS$97-222+1)/$NU$97,$NN$97/$NT$97)),0)</f>
        <v/>
      </c>
      <c r="HS97" s="402">
        <f>IF(AND(223&gt;=$NR$97,223&lt;=$NS$97),IF($NP$97="Single_Point",IF(223=$NR$97,$NN$97,0),IF($NP$97="Bell_Curve",$NN$97*(223-$NR$97+1)*($NS$97-223+1)/$NU$97,$NN$97/$NT$97)),0)</f>
        <v/>
      </c>
      <c r="HT97" s="402">
        <f>IF(AND(224&gt;=$NR$97,224&lt;=$NS$97),IF($NP$97="Single_Point",IF(224=$NR$97,$NN$97,0),IF($NP$97="Bell_Curve",$NN$97*(224-$NR$97+1)*($NS$97-224+1)/$NU$97,$NN$97/$NT$97)),0)</f>
        <v/>
      </c>
      <c r="HU97" s="402">
        <f>IF(AND(225&gt;=$NR$97,225&lt;=$NS$97),IF($NP$97="Single_Point",IF(225=$NR$97,$NN$97,0),IF($NP$97="Bell_Curve",$NN$97*(225-$NR$97+1)*($NS$97-225+1)/$NU$97,$NN$97/$NT$97)),0)</f>
        <v/>
      </c>
      <c r="HV97" s="402">
        <f>IF(AND(226&gt;=$NR$97,226&lt;=$NS$97),IF($NP$97="Single_Point",IF(226=$NR$97,$NN$97,0),IF($NP$97="Bell_Curve",$NN$97*(226-$NR$97+1)*($NS$97-226+1)/$NU$97,$NN$97/$NT$97)),0)</f>
        <v/>
      </c>
      <c r="HW97" s="402">
        <f>IF(AND(227&gt;=$NR$97,227&lt;=$NS$97),IF($NP$97="Single_Point",IF(227=$NR$97,$NN$97,0),IF($NP$97="Bell_Curve",$NN$97*(227-$NR$97+1)*($NS$97-227+1)/$NU$97,$NN$97/$NT$97)),0)</f>
        <v/>
      </c>
      <c r="HX97" s="402">
        <f>IF(AND(228&gt;=$NR$97,228&lt;=$NS$97),IF($NP$97="Single_Point",IF(228=$NR$97,$NN$97,0),IF($NP$97="Bell_Curve",$NN$97*(228-$NR$97+1)*($NS$97-228+1)/$NU$97,$NN$97/$NT$97)),0)</f>
        <v/>
      </c>
      <c r="HY97" s="402">
        <f>IF(AND(229&gt;=$NR$97,229&lt;=$NS$97),IF($NP$97="Single_Point",IF(229=$NR$97,$NN$97,0),IF($NP$97="Bell_Curve",$NN$97*(229-$NR$97+1)*($NS$97-229+1)/$NU$97,$NN$97/$NT$97)),0)</f>
        <v/>
      </c>
      <c r="HZ97" s="402">
        <f>IF(AND(230&gt;=$NR$97,230&lt;=$NS$97),IF($NP$97="Single_Point",IF(230=$NR$97,$NN$97,0),IF($NP$97="Bell_Curve",$NN$97*(230-$NR$97+1)*($NS$97-230+1)/$NU$97,$NN$97/$NT$97)),0)</f>
        <v/>
      </c>
      <c r="IA97" s="402">
        <f>IF(AND(231&gt;=$NR$97,231&lt;=$NS$97),IF($NP$97="Single_Point",IF(231=$NR$97,$NN$97,0),IF($NP$97="Bell_Curve",$NN$97*(231-$NR$97+1)*($NS$97-231+1)/$NU$97,$NN$97/$NT$97)),0)</f>
        <v/>
      </c>
      <c r="IB97" s="402">
        <f>IF(AND(232&gt;=$NR$97,232&lt;=$NS$97),IF($NP$97="Single_Point",IF(232=$NR$97,$NN$97,0),IF($NP$97="Bell_Curve",$NN$97*(232-$NR$97+1)*($NS$97-232+1)/$NU$97,$NN$97/$NT$97)),0)</f>
        <v/>
      </c>
      <c r="IC97" s="402">
        <f>IF(AND(233&gt;=$NR$97,233&lt;=$NS$97),IF($NP$97="Single_Point",IF(233=$NR$97,$NN$97,0),IF($NP$97="Bell_Curve",$NN$97*(233-$NR$97+1)*($NS$97-233+1)/$NU$97,$NN$97/$NT$97)),0)</f>
        <v/>
      </c>
      <c r="ID97" s="402">
        <f>IF(AND(234&gt;=$NR$97,234&lt;=$NS$97),IF($NP$97="Single_Point",IF(234=$NR$97,$NN$97,0),IF($NP$97="Bell_Curve",$NN$97*(234-$NR$97+1)*($NS$97-234+1)/$NU$97,$NN$97/$NT$97)),0)</f>
        <v/>
      </c>
      <c r="IE97" s="402">
        <f>IF(AND(235&gt;=$NR$97,235&lt;=$NS$97),IF($NP$97="Single_Point",IF(235=$NR$97,$NN$97,0),IF($NP$97="Bell_Curve",$NN$97*(235-$NR$97+1)*($NS$97-235+1)/$NU$97,$NN$97/$NT$97)),0)</f>
        <v/>
      </c>
      <c r="IF97" s="402">
        <f>IF(AND(236&gt;=$NR$97,236&lt;=$NS$97),IF($NP$97="Single_Point",IF(236=$NR$97,$NN$97,0),IF($NP$97="Bell_Curve",$NN$97*(236-$NR$97+1)*($NS$97-236+1)/$NU$97,$NN$97/$NT$97)),0)</f>
        <v/>
      </c>
      <c r="IG97" s="402">
        <f>IF(AND(237&gt;=$NR$97,237&lt;=$NS$97),IF($NP$97="Single_Point",IF(237=$NR$97,$NN$97,0),IF($NP$97="Bell_Curve",$NN$97*(237-$NR$97+1)*($NS$97-237+1)/$NU$97,$NN$97/$NT$97)),0)</f>
        <v/>
      </c>
      <c r="IH97" s="402">
        <f>IF(AND(238&gt;=$NR$97,238&lt;=$NS$97),IF($NP$97="Single_Point",IF(238=$NR$97,$NN$97,0),IF($NP$97="Bell_Curve",$NN$97*(238-$NR$97+1)*($NS$97-238+1)/$NU$97,$NN$97/$NT$97)),0)</f>
        <v/>
      </c>
      <c r="II97" s="402">
        <f>IF(AND(239&gt;=$NR$97,239&lt;=$NS$97),IF($NP$97="Single_Point",IF(239=$NR$97,$NN$97,0),IF($NP$97="Bell_Curve",$NN$97*(239-$NR$97+1)*($NS$97-239+1)/$NU$97,$NN$97/$NT$97)),0)</f>
        <v/>
      </c>
      <c r="IJ97" s="402">
        <f>IF(AND(240&gt;=$NR$97,240&lt;=$NS$97),IF($NP$97="Single_Point",IF(240=$NR$97,$NN$97,0),IF($NP$97="Bell_Curve",$NN$97*(240-$NR$97+1)*($NS$97-240+1)/$NU$97,$NN$97/$NT$97)),0)</f>
        <v/>
      </c>
      <c r="IK97" s="402">
        <f>IF(AND(241&gt;=$NR$97,241&lt;=$NS$97),IF($NP$97="Single_Point",IF(241=$NR$97,$NN$97,0),IF($NP$97="Bell_Curve",$NN$97*(241-$NR$97+1)*($NS$97-241+1)/$NU$97,$NN$97/$NT$97)),0)</f>
        <v/>
      </c>
      <c r="IL97" s="402">
        <f>IF(AND(242&gt;=$NR$97,242&lt;=$NS$97),IF($NP$97="Single_Point",IF(242=$NR$97,$NN$97,0),IF($NP$97="Bell_Curve",$NN$97*(242-$NR$97+1)*($NS$97-242+1)/$NU$97,$NN$97/$NT$97)),0)</f>
        <v/>
      </c>
      <c r="IM97" s="402">
        <f>IF(AND(243&gt;=$NR$97,243&lt;=$NS$97),IF($NP$97="Single_Point",IF(243=$NR$97,$NN$97,0),IF($NP$97="Bell_Curve",$NN$97*(243-$NR$97+1)*($NS$97-243+1)/$NU$97,$NN$97/$NT$97)),0)</f>
        <v/>
      </c>
      <c r="IN97" s="402">
        <f>IF(AND(244&gt;=$NR$97,244&lt;=$NS$97),IF($NP$97="Single_Point",IF(244=$NR$97,$NN$97,0),IF($NP$97="Bell_Curve",$NN$97*(244-$NR$97+1)*($NS$97-244+1)/$NU$97,$NN$97/$NT$97)),0)</f>
        <v/>
      </c>
      <c r="IO97" s="402">
        <f>IF(AND(245&gt;=$NR$97,245&lt;=$NS$97),IF($NP$97="Single_Point",IF(245=$NR$97,$NN$97,0),IF($NP$97="Bell_Curve",$NN$97*(245-$NR$97+1)*($NS$97-245+1)/$NU$97,$NN$97/$NT$97)),0)</f>
        <v/>
      </c>
      <c r="IP97" s="402">
        <f>IF(AND(246&gt;=$NR$97,246&lt;=$NS$97),IF($NP$97="Single_Point",IF(246=$NR$97,$NN$97,0),IF($NP$97="Bell_Curve",$NN$97*(246-$NR$97+1)*($NS$97-246+1)/$NU$97,$NN$97/$NT$97)),0)</f>
        <v/>
      </c>
      <c r="IQ97" s="402">
        <f>IF(AND(247&gt;=$NR$97,247&lt;=$NS$97),IF($NP$97="Single_Point",IF(247=$NR$97,$NN$97,0),IF($NP$97="Bell_Curve",$NN$97*(247-$NR$97+1)*($NS$97-247+1)/$NU$97,$NN$97/$NT$97)),0)</f>
        <v/>
      </c>
      <c r="IR97" s="402">
        <f>IF(AND(248&gt;=$NR$97,248&lt;=$NS$97),IF($NP$97="Single_Point",IF(248=$NR$97,$NN$97,0),IF($NP$97="Bell_Curve",$NN$97*(248-$NR$97+1)*($NS$97-248+1)/$NU$97,$NN$97/$NT$97)),0)</f>
        <v/>
      </c>
      <c r="IS97" s="402">
        <f>IF(AND(249&gt;=$NR$97,249&lt;=$NS$97),IF($NP$97="Single_Point",IF(249=$NR$97,$NN$97,0),IF($NP$97="Bell_Curve",$NN$97*(249-$NR$97+1)*($NS$97-249+1)/$NU$97,$NN$97/$NT$97)),0)</f>
        <v/>
      </c>
      <c r="IT97" s="402">
        <f>IF(AND(250&gt;=$NR$97,250&lt;=$NS$97),IF($NP$97="Single_Point",IF(250=$NR$97,$NN$97,0),IF($NP$97="Bell_Curve",$NN$97*(250-$NR$97+1)*($NS$97-250+1)/$NU$97,$NN$97/$NT$97)),0)</f>
        <v/>
      </c>
      <c r="IU97" s="402">
        <f>IF(AND(251&gt;=$NR$97,251&lt;=$NS$97),IF($NP$97="Single_Point",IF(251=$NR$97,$NN$97,0),IF($NP$97="Bell_Curve",$NN$97*(251-$NR$97+1)*($NS$97-251+1)/$NU$97,$NN$97/$NT$97)),0)</f>
        <v/>
      </c>
      <c r="IV97" s="402">
        <f>IF(AND(252&gt;=$NR$97,252&lt;=$NS$97),IF($NP$97="Single_Point",IF(252=$NR$97,$NN$97,0),IF($NP$97="Bell_Curve",$NN$97*(252-$NR$97+1)*($NS$97-252+1)/$NU$97,$NN$97/$NT$97)),0)</f>
        <v/>
      </c>
      <c r="IW97" s="402">
        <f>IF(AND(253&gt;=$NR$97,253&lt;=$NS$97),IF($NP$97="Single_Point",IF(253=$NR$97,$NN$97,0),IF($NP$97="Bell_Curve",$NN$97*(253-$NR$97+1)*($NS$97-253+1)/$NU$97,$NN$97/$NT$97)),0)</f>
        <v/>
      </c>
      <c r="IX97" s="402">
        <f>IF(AND(254&gt;=$NR$97,254&lt;=$NS$97),IF($NP$97="Single_Point",IF(254=$NR$97,$NN$97,0),IF($NP$97="Bell_Curve",$NN$97*(254-$NR$97+1)*($NS$97-254+1)/$NU$97,$NN$97/$NT$97)),0)</f>
        <v/>
      </c>
      <c r="IY97" s="402">
        <f>IF(AND(255&gt;=$NR$97,255&lt;=$NS$97),IF($NP$97="Single_Point",IF(255=$NR$97,$NN$97,0),IF($NP$97="Bell_Curve",$NN$97*(255-$NR$97+1)*($NS$97-255+1)/$NU$97,$NN$97/$NT$97)),0)</f>
        <v/>
      </c>
      <c r="IZ97" s="402">
        <f>IF(AND(256&gt;=$NR$97,256&lt;=$NS$97),IF($NP$97="Single_Point",IF(256=$NR$97,$NN$97,0),IF($NP$97="Bell_Curve",$NN$97*(256-$NR$97+1)*($NS$97-256+1)/$NU$97,$NN$97/$NT$97)),0)</f>
        <v/>
      </c>
      <c r="JA97" s="402">
        <f>IF(AND(257&gt;=$NR$97,257&lt;=$NS$97),IF($NP$97="Single_Point",IF(257=$NR$97,$NN$97,0),IF($NP$97="Bell_Curve",$NN$97*(257-$NR$97+1)*($NS$97-257+1)/$NU$97,$NN$97/$NT$97)),0)</f>
        <v/>
      </c>
      <c r="JB97" s="402">
        <f>IF(AND(258&gt;=$NR$97,258&lt;=$NS$97),IF($NP$97="Single_Point",IF(258=$NR$97,$NN$97,0),IF($NP$97="Bell_Curve",$NN$97*(258-$NR$97+1)*($NS$97-258+1)/$NU$97,$NN$97/$NT$97)),0)</f>
        <v/>
      </c>
      <c r="JC97" s="402">
        <f>IF(AND(259&gt;=$NR$97,259&lt;=$NS$97),IF($NP$97="Single_Point",IF(259=$NR$97,$NN$97,0),IF($NP$97="Bell_Curve",$NN$97*(259-$NR$97+1)*($NS$97-259+1)/$NU$97,$NN$97/$NT$97)),0)</f>
        <v/>
      </c>
      <c r="JD97" s="402">
        <f>IF(AND(260&gt;=$NR$97,260&lt;=$NS$97),IF($NP$97="Single_Point",IF(260=$NR$97,$NN$97,0),IF($NP$97="Bell_Curve",$NN$97*(260-$NR$97+1)*($NS$97-260+1)/$NU$97,$NN$97/$NT$97)),0)</f>
        <v/>
      </c>
      <c r="JE97" s="402">
        <f>IF(AND(261&gt;=$NR$97,261&lt;=$NS$97),IF($NP$97="Single_Point",IF(261=$NR$97,$NN$97,0),IF($NP$97="Bell_Curve",$NN$97*(261-$NR$97+1)*($NS$97-261+1)/$NU$97,$NN$97/$NT$97)),0)</f>
        <v/>
      </c>
      <c r="JF97" s="402">
        <f>IF(AND(262&gt;=$NR$97,262&lt;=$NS$97),IF($NP$97="Single_Point",IF(262=$NR$97,$NN$97,0),IF($NP$97="Bell_Curve",$NN$97*(262-$NR$97+1)*($NS$97-262+1)/$NU$97,$NN$97/$NT$97)),0)</f>
        <v/>
      </c>
      <c r="JG97" s="402">
        <f>IF(AND(263&gt;=$NR$97,263&lt;=$NS$97),IF($NP$97="Single_Point",IF(263=$NR$97,$NN$97,0),IF($NP$97="Bell_Curve",$NN$97*(263-$NR$97+1)*($NS$97-263+1)/$NU$97,$NN$97/$NT$97)),0)</f>
        <v/>
      </c>
      <c r="JH97" s="402">
        <f>IF(AND(264&gt;=$NR$97,264&lt;=$NS$97),IF($NP$97="Single_Point",IF(264=$NR$97,$NN$97,0),IF($NP$97="Bell_Curve",$NN$97*(264-$NR$97+1)*($NS$97-264+1)/$NU$97,$NN$97/$NT$97)),0)</f>
        <v/>
      </c>
      <c r="JI97" s="402">
        <f>IF(AND(265&gt;=$NR$97,265&lt;=$NS$97),IF($NP$97="Single_Point",IF(265=$NR$97,$NN$97,0),IF($NP$97="Bell_Curve",$NN$97*(265-$NR$97+1)*($NS$97-265+1)/$NU$97,$NN$97/$NT$97)),0)</f>
        <v/>
      </c>
      <c r="JJ97" s="402">
        <f>IF(AND(266&gt;=$NR$97,266&lt;=$NS$97),IF($NP$97="Single_Point",IF(266=$NR$97,$NN$97,0),IF($NP$97="Bell_Curve",$NN$97*(266-$NR$97+1)*($NS$97-266+1)/$NU$97,$NN$97/$NT$97)),0)</f>
        <v/>
      </c>
      <c r="JK97" s="402">
        <f>IF(AND(267&gt;=$NR$97,267&lt;=$NS$97),IF($NP$97="Single_Point",IF(267=$NR$97,$NN$97,0),IF($NP$97="Bell_Curve",$NN$97*(267-$NR$97+1)*($NS$97-267+1)/$NU$97,$NN$97/$NT$97)),0)</f>
        <v/>
      </c>
      <c r="JL97" s="402">
        <f>IF(AND(268&gt;=$NR$97,268&lt;=$NS$97),IF($NP$97="Single_Point",IF(268=$NR$97,$NN$97,0),IF($NP$97="Bell_Curve",$NN$97*(268-$NR$97+1)*($NS$97-268+1)/$NU$97,$NN$97/$NT$97)),0)</f>
        <v/>
      </c>
      <c r="JM97" s="402">
        <f>IF(AND(269&gt;=$NR$97,269&lt;=$NS$97),IF($NP$97="Single_Point",IF(269=$NR$97,$NN$97,0),IF($NP$97="Bell_Curve",$NN$97*(269-$NR$97+1)*($NS$97-269+1)/$NU$97,$NN$97/$NT$97)),0)</f>
        <v/>
      </c>
      <c r="JN97" s="402">
        <f>IF(AND(270&gt;=$NR$97,270&lt;=$NS$97),IF($NP$97="Single_Point",IF(270=$NR$97,$NN$97,0),IF($NP$97="Bell_Curve",$NN$97*(270-$NR$97+1)*($NS$97-270+1)/$NU$97,$NN$97/$NT$97)),0)</f>
        <v/>
      </c>
      <c r="JO97" s="402">
        <f>IF(AND(271&gt;=$NR$97,271&lt;=$NS$97),IF($NP$97="Single_Point",IF(271=$NR$97,$NN$97,0),IF($NP$97="Bell_Curve",$NN$97*(271-$NR$97+1)*($NS$97-271+1)/$NU$97,$NN$97/$NT$97)),0)</f>
        <v/>
      </c>
      <c r="JP97" s="402">
        <f>IF(AND(272&gt;=$NR$97,272&lt;=$NS$97),IF($NP$97="Single_Point",IF(272=$NR$97,$NN$97,0),IF($NP$97="Bell_Curve",$NN$97*(272-$NR$97+1)*($NS$97-272+1)/$NU$97,$NN$97/$NT$97)),0)</f>
        <v/>
      </c>
      <c r="JQ97" s="402">
        <f>IF(AND(273&gt;=$NR$97,273&lt;=$NS$97),IF($NP$97="Single_Point",IF(273=$NR$97,$NN$97,0),IF($NP$97="Bell_Curve",$NN$97*(273-$NR$97+1)*($NS$97-273+1)/$NU$97,$NN$97/$NT$97)),0)</f>
        <v/>
      </c>
      <c r="JR97" s="402">
        <f>IF(AND(274&gt;=$NR$97,274&lt;=$NS$97),IF($NP$97="Single_Point",IF(274=$NR$97,$NN$97,0),IF($NP$97="Bell_Curve",$NN$97*(274-$NR$97+1)*($NS$97-274+1)/$NU$97,$NN$97/$NT$97)),0)</f>
        <v/>
      </c>
      <c r="JS97" s="402">
        <f>IF(AND(275&gt;=$NR$97,275&lt;=$NS$97),IF($NP$97="Single_Point",IF(275=$NR$97,$NN$97,0),IF($NP$97="Bell_Curve",$NN$97*(275-$NR$97+1)*($NS$97-275+1)/$NU$97,$NN$97/$NT$97)),0)</f>
        <v/>
      </c>
      <c r="JT97" s="402">
        <f>IF(AND(276&gt;=$NR$97,276&lt;=$NS$97),IF($NP$97="Single_Point",IF(276=$NR$97,$NN$97,0),IF($NP$97="Bell_Curve",$NN$97*(276-$NR$97+1)*($NS$97-276+1)/$NU$97,$NN$97/$NT$97)),0)</f>
        <v/>
      </c>
      <c r="JU97" s="402">
        <f>IF(AND(277&gt;=$NR$97,277&lt;=$NS$97),IF($NP$97="Single_Point",IF(277=$NR$97,$NN$97,0),IF($NP$97="Bell_Curve",$NN$97*(277-$NR$97+1)*($NS$97-277+1)/$NU$97,$NN$97/$NT$97)),0)</f>
        <v/>
      </c>
      <c r="JV97" s="402">
        <f>IF(AND(278&gt;=$NR$97,278&lt;=$NS$97),IF($NP$97="Single_Point",IF(278=$NR$97,$NN$97,0),IF($NP$97="Bell_Curve",$NN$97*(278-$NR$97+1)*($NS$97-278+1)/$NU$97,$NN$97/$NT$97)),0)</f>
        <v/>
      </c>
      <c r="JW97" s="402">
        <f>IF(AND(279&gt;=$NR$97,279&lt;=$NS$97),IF($NP$97="Single_Point",IF(279=$NR$97,$NN$97,0),IF($NP$97="Bell_Curve",$NN$97*(279-$NR$97+1)*($NS$97-279+1)/$NU$97,$NN$97/$NT$97)),0)</f>
        <v/>
      </c>
      <c r="JX97" s="402">
        <f>IF(AND(280&gt;=$NR$97,280&lt;=$NS$97),IF($NP$97="Single_Point",IF(280=$NR$97,$NN$97,0),IF($NP$97="Bell_Curve",$NN$97*(280-$NR$97+1)*($NS$97-280+1)/$NU$97,$NN$97/$NT$97)),0)</f>
        <v/>
      </c>
      <c r="JY97" s="402">
        <f>IF(AND(281&gt;=$NR$97,281&lt;=$NS$97),IF($NP$97="Single_Point",IF(281=$NR$97,$NN$97,0),IF($NP$97="Bell_Curve",$NN$97*(281-$NR$97+1)*($NS$97-281+1)/$NU$97,$NN$97/$NT$97)),0)</f>
        <v/>
      </c>
      <c r="JZ97" s="402">
        <f>IF(AND(282&gt;=$NR$97,282&lt;=$NS$97),IF($NP$97="Single_Point",IF(282=$NR$97,$NN$97,0),IF($NP$97="Bell_Curve",$NN$97*(282-$NR$97+1)*($NS$97-282+1)/$NU$97,$NN$97/$NT$97)),0)</f>
        <v/>
      </c>
      <c r="KA97" s="402">
        <f>IF(AND(283&gt;=$NR$97,283&lt;=$NS$97),IF($NP$97="Single_Point",IF(283=$NR$97,$NN$97,0),IF($NP$97="Bell_Curve",$NN$97*(283-$NR$97+1)*($NS$97-283+1)/$NU$97,$NN$97/$NT$97)),0)</f>
        <v/>
      </c>
      <c r="KB97" s="402">
        <f>IF(AND(284&gt;=$NR$97,284&lt;=$NS$97),IF($NP$97="Single_Point",IF(284=$NR$97,$NN$97,0),IF($NP$97="Bell_Curve",$NN$97*(284-$NR$97+1)*($NS$97-284+1)/$NU$97,$NN$97/$NT$97)),0)</f>
        <v/>
      </c>
      <c r="KC97" s="402">
        <f>IF(AND(285&gt;=$NR$97,285&lt;=$NS$97),IF($NP$97="Single_Point",IF(285=$NR$97,$NN$97,0),IF($NP$97="Bell_Curve",$NN$97*(285-$NR$97+1)*($NS$97-285+1)/$NU$97,$NN$97/$NT$97)),0)</f>
        <v/>
      </c>
      <c r="KD97" s="402">
        <f>IF(AND(286&gt;=$NR$97,286&lt;=$NS$97),IF($NP$97="Single_Point",IF(286=$NR$97,$NN$97,0),IF($NP$97="Bell_Curve",$NN$97*(286-$NR$97+1)*($NS$97-286+1)/$NU$97,$NN$97/$NT$97)),0)</f>
        <v/>
      </c>
      <c r="KE97" s="402">
        <f>IF(AND(287&gt;=$NR$97,287&lt;=$NS$97),IF($NP$97="Single_Point",IF(287=$NR$97,$NN$97,0),IF($NP$97="Bell_Curve",$NN$97*(287-$NR$97+1)*($NS$97-287+1)/$NU$97,$NN$97/$NT$97)),0)</f>
        <v/>
      </c>
      <c r="KF97" s="402">
        <f>IF(AND(288&gt;=$NR$97,288&lt;=$NS$97),IF($NP$97="Single_Point",IF(288=$NR$97,$NN$97,0),IF($NP$97="Bell_Curve",$NN$97*(288-$NR$97+1)*($NS$97-288+1)/$NU$97,$NN$97/$NT$97)),0)</f>
        <v/>
      </c>
      <c r="KG97" s="402">
        <f>IF(AND(289&gt;=$NR$97,289&lt;=$NS$97),IF($NP$97="Single_Point",IF(289=$NR$97,$NN$97,0),IF($NP$97="Bell_Curve",$NN$97*(289-$NR$97+1)*($NS$97-289+1)/$NU$97,$NN$97/$NT$97)),0)</f>
        <v/>
      </c>
      <c r="KH97" s="402">
        <f>IF(AND(290&gt;=$NR$97,290&lt;=$NS$97),IF($NP$97="Single_Point",IF(290=$NR$97,$NN$97,0),IF($NP$97="Bell_Curve",$NN$97*(290-$NR$97+1)*($NS$97-290+1)/$NU$97,$NN$97/$NT$97)),0)</f>
        <v/>
      </c>
      <c r="KI97" s="402">
        <f>IF(AND(291&gt;=$NR$97,291&lt;=$NS$97),IF($NP$97="Single_Point",IF(291=$NR$97,$NN$97,0),IF($NP$97="Bell_Curve",$NN$97*(291-$NR$97+1)*($NS$97-291+1)/$NU$97,$NN$97/$NT$97)),0)</f>
        <v/>
      </c>
      <c r="KJ97" s="402">
        <f>IF(AND(292&gt;=$NR$97,292&lt;=$NS$97),IF($NP$97="Single_Point",IF(292=$NR$97,$NN$97,0),IF($NP$97="Bell_Curve",$NN$97*(292-$NR$97+1)*($NS$97-292+1)/$NU$97,$NN$97/$NT$97)),0)</f>
        <v/>
      </c>
      <c r="KK97" s="402">
        <f>IF(AND(293&gt;=$NR$97,293&lt;=$NS$97),IF($NP$97="Single_Point",IF(293=$NR$97,$NN$97,0),IF($NP$97="Bell_Curve",$NN$97*(293-$NR$97+1)*($NS$97-293+1)/$NU$97,$NN$97/$NT$97)),0)</f>
        <v/>
      </c>
      <c r="KL97" s="402">
        <f>IF(AND(294&gt;=$NR$97,294&lt;=$NS$97),IF($NP$97="Single_Point",IF(294=$NR$97,$NN$97,0),IF($NP$97="Bell_Curve",$NN$97*(294-$NR$97+1)*($NS$97-294+1)/$NU$97,$NN$97/$NT$97)),0)</f>
        <v/>
      </c>
      <c r="KM97" s="402">
        <f>IF(AND(295&gt;=$NR$97,295&lt;=$NS$97),IF($NP$97="Single_Point",IF(295=$NR$97,$NN$97,0),IF($NP$97="Bell_Curve",$NN$97*(295-$NR$97+1)*($NS$97-295+1)/$NU$97,$NN$97/$NT$97)),0)</f>
        <v/>
      </c>
      <c r="KN97" s="402">
        <f>IF(AND(296&gt;=$NR$97,296&lt;=$NS$97),IF($NP$97="Single_Point",IF(296=$NR$97,$NN$97,0),IF($NP$97="Bell_Curve",$NN$97*(296-$NR$97+1)*($NS$97-296+1)/$NU$97,$NN$97/$NT$97)),0)</f>
        <v/>
      </c>
      <c r="KO97" s="402">
        <f>IF(AND(297&gt;=$NR$97,297&lt;=$NS$97),IF($NP$97="Single_Point",IF(297=$NR$97,$NN$97,0),IF($NP$97="Bell_Curve",$NN$97*(297-$NR$97+1)*($NS$97-297+1)/$NU$97,$NN$97/$NT$97)),0)</f>
        <v/>
      </c>
      <c r="KP97" s="402">
        <f>IF(AND(298&gt;=$NR$97,298&lt;=$NS$97),IF($NP$97="Single_Point",IF(298=$NR$97,$NN$97,0),IF($NP$97="Bell_Curve",$NN$97*(298-$NR$97+1)*($NS$97-298+1)/$NU$97,$NN$97/$NT$97)),0)</f>
        <v/>
      </c>
      <c r="KQ97" s="402">
        <f>IF(AND(299&gt;=$NR$97,299&lt;=$NS$97),IF($NP$97="Single_Point",IF(299=$NR$97,$NN$97,0),IF($NP$97="Bell_Curve",$NN$97*(299-$NR$97+1)*($NS$97-299+1)/$NU$97,$NN$97/$NT$97)),0)</f>
        <v/>
      </c>
      <c r="KR97" s="402">
        <f>IF(AND(300&gt;=$NR$97,300&lt;=$NS$97),IF($NP$97="Single_Point",IF(300=$NR$97,$NN$97,0),IF($NP$97="Bell_Curve",$NN$97*(300-$NR$97+1)*($NS$97-300+1)/$NU$97,$NN$97/$NT$97)),0)</f>
        <v/>
      </c>
      <c r="KS97" s="402">
        <f>IF(AND(301&gt;=$NR$97,301&lt;=$NS$97),IF($NP$97="Single_Point",IF(301=$NR$97,$NN$97,0),IF($NP$97="Bell_Curve",$NN$97*(301-$NR$97+1)*($NS$97-301+1)/$NU$97,$NN$97/$NT$97)),0)</f>
        <v/>
      </c>
      <c r="KT97" s="402">
        <f>IF(AND(302&gt;=$NR$97,302&lt;=$NS$97),IF($NP$97="Single_Point",IF(302=$NR$97,$NN$97,0),IF($NP$97="Bell_Curve",$NN$97*(302-$NR$97+1)*($NS$97-302+1)/$NU$97,$NN$97/$NT$97)),0)</f>
        <v/>
      </c>
      <c r="KU97" s="402">
        <f>IF(AND(303&gt;=$NR$97,303&lt;=$NS$97),IF($NP$97="Single_Point",IF(303=$NR$97,$NN$97,0),IF($NP$97="Bell_Curve",$NN$97*(303-$NR$97+1)*($NS$97-303+1)/$NU$97,$NN$97/$NT$97)),0)</f>
        <v/>
      </c>
      <c r="KV97" s="402">
        <f>IF(AND(304&gt;=$NR$97,304&lt;=$NS$97),IF($NP$97="Single_Point",IF(304=$NR$97,$NN$97,0),IF($NP$97="Bell_Curve",$NN$97*(304-$NR$97+1)*($NS$97-304+1)/$NU$97,$NN$97/$NT$97)),0)</f>
        <v/>
      </c>
      <c r="KW97" s="402">
        <f>IF(AND(305&gt;=$NR$97,305&lt;=$NS$97),IF($NP$97="Single_Point",IF(305=$NR$97,$NN$97,0),IF($NP$97="Bell_Curve",$NN$97*(305-$NR$97+1)*($NS$97-305+1)/$NU$97,$NN$97/$NT$97)),0)</f>
        <v/>
      </c>
      <c r="KX97" s="402">
        <f>IF(AND(306&gt;=$NR$97,306&lt;=$NS$97),IF($NP$97="Single_Point",IF(306=$NR$97,$NN$97,0),IF($NP$97="Bell_Curve",$NN$97*(306-$NR$97+1)*($NS$97-306+1)/$NU$97,$NN$97/$NT$97)),0)</f>
        <v/>
      </c>
      <c r="KY97" s="402">
        <f>IF(AND(307&gt;=$NR$97,307&lt;=$NS$97),IF($NP$97="Single_Point",IF(307=$NR$97,$NN$97,0),IF($NP$97="Bell_Curve",$NN$97*(307-$NR$97+1)*($NS$97-307+1)/$NU$97,$NN$97/$NT$97)),0)</f>
        <v/>
      </c>
      <c r="KZ97" s="402">
        <f>IF(AND(308&gt;=$NR$97,308&lt;=$NS$97),IF($NP$97="Single_Point",IF(308=$NR$97,$NN$97,0),IF($NP$97="Bell_Curve",$NN$97*(308-$NR$97+1)*($NS$97-308+1)/$NU$97,$NN$97/$NT$97)),0)</f>
        <v/>
      </c>
      <c r="LA97" s="402">
        <f>IF(AND(309&gt;=$NR$97,309&lt;=$NS$97),IF($NP$97="Single_Point",IF(309=$NR$97,$NN$97,0),IF($NP$97="Bell_Curve",$NN$97*(309-$NR$97+1)*($NS$97-309+1)/$NU$97,$NN$97/$NT$97)),0)</f>
        <v/>
      </c>
      <c r="LB97" s="402">
        <f>IF(AND(310&gt;=$NR$97,310&lt;=$NS$97),IF($NP$97="Single_Point",IF(310=$NR$97,$NN$97,0),IF($NP$97="Bell_Curve",$NN$97*(310-$NR$97+1)*($NS$97-310+1)/$NU$97,$NN$97/$NT$97)),0)</f>
        <v/>
      </c>
      <c r="LC97" s="402">
        <f>IF(AND(311&gt;=$NR$97,311&lt;=$NS$97),IF($NP$97="Single_Point",IF(311=$NR$97,$NN$97,0),IF($NP$97="Bell_Curve",$NN$97*(311-$NR$97+1)*($NS$97-311+1)/$NU$97,$NN$97/$NT$97)),0)</f>
        <v/>
      </c>
      <c r="LD97" s="402">
        <f>IF(AND(312&gt;=$NR$97,312&lt;=$NS$97),IF($NP$97="Single_Point",IF(312=$NR$97,$NN$97,0),IF($NP$97="Bell_Curve",$NN$97*(312-$NR$97+1)*($NS$97-312+1)/$NU$97,$NN$97/$NT$97)),0)</f>
        <v/>
      </c>
      <c r="LE97" s="402">
        <f>IF(AND(313&gt;=$NR$97,313&lt;=$NS$97),IF($NP$97="Single_Point",IF(313=$NR$97,$NN$97,0),IF($NP$97="Bell_Curve",$NN$97*(313-$NR$97+1)*($NS$97-313+1)/$NU$97,$NN$97/$NT$97)),0)</f>
        <v/>
      </c>
      <c r="LF97" s="402">
        <f>IF(AND(314&gt;=$NR$97,314&lt;=$NS$97),IF($NP$97="Single_Point",IF(314=$NR$97,$NN$97,0),IF($NP$97="Bell_Curve",$NN$97*(314-$NR$97+1)*($NS$97-314+1)/$NU$97,$NN$97/$NT$97)),0)</f>
        <v/>
      </c>
      <c r="LG97" s="402">
        <f>IF(AND(315&gt;=$NR$97,315&lt;=$NS$97),IF($NP$97="Single_Point",IF(315=$NR$97,$NN$97,0),IF($NP$97="Bell_Curve",$NN$97*(315-$NR$97+1)*($NS$97-315+1)/$NU$97,$NN$97/$NT$97)),0)</f>
        <v/>
      </c>
      <c r="LH97" s="402">
        <f>IF(AND(316&gt;=$NR$97,316&lt;=$NS$97),IF($NP$97="Single_Point",IF(316=$NR$97,$NN$97,0),IF($NP$97="Bell_Curve",$NN$97*(316-$NR$97+1)*($NS$97-316+1)/$NU$97,$NN$97/$NT$97)),0)</f>
        <v/>
      </c>
      <c r="LI97" s="402">
        <f>IF(AND(317&gt;=$NR$97,317&lt;=$NS$97),IF($NP$97="Single_Point",IF(317=$NR$97,$NN$97,0),IF($NP$97="Bell_Curve",$NN$97*(317-$NR$97+1)*($NS$97-317+1)/$NU$97,$NN$97/$NT$97)),0)</f>
        <v/>
      </c>
      <c r="LJ97" s="402">
        <f>IF(AND(318&gt;=$NR$97,318&lt;=$NS$97),IF($NP$97="Single_Point",IF(318=$NR$97,$NN$97,0),IF($NP$97="Bell_Curve",$NN$97*(318-$NR$97+1)*($NS$97-318+1)/$NU$97,$NN$97/$NT$97)),0)</f>
        <v/>
      </c>
      <c r="LK97" s="402">
        <f>IF(AND(319&gt;=$NR$97,319&lt;=$NS$97),IF($NP$97="Single_Point",IF(319=$NR$97,$NN$97,0),IF($NP$97="Bell_Curve",$NN$97*(319-$NR$97+1)*($NS$97-319+1)/$NU$97,$NN$97/$NT$97)),0)</f>
        <v/>
      </c>
      <c r="LL97" s="402">
        <f>IF(AND(320&gt;=$NR$97,320&lt;=$NS$97),IF($NP$97="Single_Point",IF(320=$NR$97,$NN$97,0),IF($NP$97="Bell_Curve",$NN$97*(320-$NR$97+1)*($NS$97-320+1)/$NU$97,$NN$97/$NT$97)),0)</f>
        <v/>
      </c>
      <c r="LM97" s="402">
        <f>IF(AND(321&gt;=$NR$97,321&lt;=$NS$97),IF($NP$97="Single_Point",IF(321=$NR$97,$NN$97,0),IF($NP$97="Bell_Curve",$NN$97*(321-$NR$97+1)*($NS$97-321+1)/$NU$97,$NN$97/$NT$97)),0)</f>
        <v/>
      </c>
      <c r="LN97" s="402">
        <f>IF(AND(322&gt;=$NR$97,322&lt;=$NS$97),IF($NP$97="Single_Point",IF(322=$NR$97,$NN$97,0),IF($NP$97="Bell_Curve",$NN$97*(322-$NR$97+1)*($NS$97-322+1)/$NU$97,$NN$97/$NT$97)),0)</f>
        <v/>
      </c>
      <c r="LO97" s="402">
        <f>IF(AND(323&gt;=$NR$97,323&lt;=$NS$97),IF($NP$97="Single_Point",IF(323=$NR$97,$NN$97,0),IF($NP$97="Bell_Curve",$NN$97*(323-$NR$97+1)*($NS$97-323+1)/$NU$97,$NN$97/$NT$97)),0)</f>
        <v/>
      </c>
      <c r="LP97" s="402">
        <f>IF(AND(324&gt;=$NR$97,324&lt;=$NS$97),IF($NP$97="Single_Point",IF(324=$NR$97,$NN$97,0),IF($NP$97="Bell_Curve",$NN$97*(324-$NR$97+1)*($NS$97-324+1)/$NU$97,$NN$97/$NT$97)),0)</f>
        <v/>
      </c>
      <c r="LQ97" s="402">
        <f>IF(AND(325&gt;=$NR$97,325&lt;=$NS$97),IF($NP$97="Single_Point",IF(325=$NR$97,$NN$97,0),IF($NP$97="Bell_Curve",$NN$97*(325-$NR$97+1)*($NS$97-325+1)/$NU$97,$NN$97/$NT$97)),0)</f>
        <v/>
      </c>
      <c r="LR97" s="402">
        <f>IF(AND(326&gt;=$NR$97,326&lt;=$NS$97),IF($NP$97="Single_Point",IF(326=$NR$97,$NN$97,0),IF($NP$97="Bell_Curve",$NN$97*(326-$NR$97+1)*($NS$97-326+1)/$NU$97,$NN$97/$NT$97)),0)</f>
        <v/>
      </c>
      <c r="LS97" s="402">
        <f>IF(AND(327&gt;=$NR$97,327&lt;=$NS$97),IF($NP$97="Single_Point",IF(327=$NR$97,$NN$97,0),IF($NP$97="Bell_Curve",$NN$97*(327-$NR$97+1)*($NS$97-327+1)/$NU$97,$NN$97/$NT$97)),0)</f>
        <v/>
      </c>
      <c r="LT97" s="402">
        <f>IF(AND(328&gt;=$NR$97,328&lt;=$NS$97),IF($NP$97="Single_Point",IF(328=$NR$97,$NN$97,0),IF($NP$97="Bell_Curve",$NN$97*(328-$NR$97+1)*($NS$97-328+1)/$NU$97,$NN$97/$NT$97)),0)</f>
        <v/>
      </c>
      <c r="LU97" s="402">
        <f>IF(AND(329&gt;=$NR$97,329&lt;=$NS$97),IF($NP$97="Single_Point",IF(329=$NR$97,$NN$97,0),IF($NP$97="Bell_Curve",$NN$97*(329-$NR$97+1)*($NS$97-329+1)/$NU$97,$NN$97/$NT$97)),0)</f>
        <v/>
      </c>
      <c r="LV97" s="402">
        <f>IF(AND(330&gt;=$NR$97,330&lt;=$NS$97),IF($NP$97="Single_Point",IF(330=$NR$97,$NN$97,0),IF($NP$97="Bell_Curve",$NN$97*(330-$NR$97+1)*($NS$97-330+1)/$NU$97,$NN$97/$NT$97)),0)</f>
        <v/>
      </c>
      <c r="LW97" s="402">
        <f>IF(AND(331&gt;=$NR$97,331&lt;=$NS$97),IF($NP$97="Single_Point",IF(331=$NR$97,$NN$97,0),IF($NP$97="Bell_Curve",$NN$97*(331-$NR$97+1)*($NS$97-331+1)/$NU$97,$NN$97/$NT$97)),0)</f>
        <v/>
      </c>
      <c r="LX97" s="402">
        <f>IF(AND(332&gt;=$NR$97,332&lt;=$NS$97),IF($NP$97="Single_Point",IF(332=$NR$97,$NN$97,0),IF($NP$97="Bell_Curve",$NN$97*(332-$NR$97+1)*($NS$97-332+1)/$NU$97,$NN$97/$NT$97)),0)</f>
        <v/>
      </c>
      <c r="LY97" s="402">
        <f>IF(AND(333&gt;=$NR$97,333&lt;=$NS$97),IF($NP$97="Single_Point",IF(333=$NR$97,$NN$97,0),IF($NP$97="Bell_Curve",$NN$97*(333-$NR$97+1)*($NS$97-333+1)/$NU$97,$NN$97/$NT$97)),0)</f>
        <v/>
      </c>
      <c r="LZ97" s="402">
        <f>IF(AND(334&gt;=$NR$97,334&lt;=$NS$97),IF($NP$97="Single_Point",IF(334=$NR$97,$NN$97,0),IF($NP$97="Bell_Curve",$NN$97*(334-$NR$97+1)*($NS$97-334+1)/$NU$97,$NN$97/$NT$97)),0)</f>
        <v/>
      </c>
      <c r="MA97" s="402">
        <f>IF(AND(335&gt;=$NR$97,335&lt;=$NS$97),IF($NP$97="Single_Point",IF(335=$NR$97,$NN$97,0),IF($NP$97="Bell_Curve",$NN$97*(335-$NR$97+1)*($NS$97-335+1)/$NU$97,$NN$97/$NT$97)),0)</f>
        <v/>
      </c>
      <c r="MB97" s="402">
        <f>IF(AND(336&gt;=$NR$97,336&lt;=$NS$97),IF($NP$97="Single_Point",IF(336=$NR$97,$NN$97,0),IF($NP$97="Bell_Curve",$NN$97*(336-$NR$97+1)*($NS$97-336+1)/$NU$97,$NN$97/$NT$97)),0)</f>
        <v/>
      </c>
      <c r="MC97" s="402">
        <f>IF(AND(337&gt;=$NR$97,337&lt;=$NS$97),IF($NP$97="Single_Point",IF(337=$NR$97,$NN$97,0),IF($NP$97="Bell_Curve",$NN$97*(337-$NR$97+1)*($NS$97-337+1)/$NU$97,$NN$97/$NT$97)),0)</f>
        <v/>
      </c>
      <c r="MD97" s="402">
        <f>IF(AND(338&gt;=$NR$97,338&lt;=$NS$97),IF($NP$97="Single_Point",IF(338=$NR$97,$NN$97,0),IF($NP$97="Bell_Curve",$NN$97*(338-$NR$97+1)*($NS$97-338+1)/$NU$97,$NN$97/$NT$97)),0)</f>
        <v/>
      </c>
      <c r="ME97" s="402">
        <f>IF(AND(339&gt;=$NR$97,339&lt;=$NS$97),IF($NP$97="Single_Point",IF(339=$NR$97,$NN$97,0),IF($NP$97="Bell_Curve",$NN$97*(339-$NR$97+1)*($NS$97-339+1)/$NU$97,$NN$97/$NT$97)),0)</f>
        <v/>
      </c>
      <c r="MF97" s="402">
        <f>IF(AND(340&gt;=$NR$97,340&lt;=$NS$97),IF($NP$97="Single_Point",IF(340=$NR$97,$NN$97,0),IF($NP$97="Bell_Curve",$NN$97*(340-$NR$97+1)*($NS$97-340+1)/$NU$97,$NN$97/$NT$97)),0)</f>
        <v/>
      </c>
      <c r="MG97" s="402">
        <f>IF(AND(341&gt;=$NR$97,341&lt;=$NS$97),IF($NP$97="Single_Point",IF(341=$NR$97,$NN$97,0),IF($NP$97="Bell_Curve",$NN$97*(341-$NR$97+1)*($NS$97-341+1)/$NU$97,$NN$97/$NT$97)),0)</f>
        <v/>
      </c>
      <c r="MH97" s="402">
        <f>IF(AND(342&gt;=$NR$97,342&lt;=$NS$97),IF($NP$97="Single_Point",IF(342=$NR$97,$NN$97,0),IF($NP$97="Bell_Curve",$NN$97*(342-$NR$97+1)*($NS$97-342+1)/$NU$97,$NN$97/$NT$97)),0)</f>
        <v/>
      </c>
      <c r="MI97" s="402">
        <f>IF(AND(343&gt;=$NR$97,343&lt;=$NS$97),IF($NP$97="Single_Point",IF(343=$NR$97,$NN$97,0),IF($NP$97="Bell_Curve",$NN$97*(343-$NR$97+1)*($NS$97-343+1)/$NU$97,$NN$97/$NT$97)),0)</f>
        <v/>
      </c>
      <c r="MJ97" s="402">
        <f>IF(AND(344&gt;=$NR$97,344&lt;=$NS$97),IF($NP$97="Single_Point",IF(344=$NR$97,$NN$97,0),IF($NP$97="Bell_Curve",$NN$97*(344-$NR$97+1)*($NS$97-344+1)/$NU$97,$NN$97/$NT$97)),0)</f>
        <v/>
      </c>
      <c r="MK97" s="402">
        <f>IF(AND(345&gt;=$NR$97,345&lt;=$NS$97),IF($NP$97="Single_Point",IF(345=$NR$97,$NN$97,0),IF($NP$97="Bell_Curve",$NN$97*(345-$NR$97+1)*($NS$97-345+1)/$NU$97,$NN$97/$NT$97)),0)</f>
        <v/>
      </c>
      <c r="ML97" s="402">
        <f>IF(AND(346&gt;=$NR$97,346&lt;=$NS$97),IF($NP$97="Single_Point",IF(346=$NR$97,$NN$97,0),IF($NP$97="Bell_Curve",$NN$97*(346-$NR$97+1)*($NS$97-346+1)/$NU$97,$NN$97/$NT$97)),0)</f>
        <v/>
      </c>
      <c r="MM97" s="402">
        <f>IF(AND(347&gt;=$NR$97,347&lt;=$NS$97),IF($NP$97="Single_Point",IF(347=$NR$97,$NN$97,0),IF($NP$97="Bell_Curve",$NN$97*(347-$NR$97+1)*($NS$97-347+1)/$NU$97,$NN$97/$NT$97)),0)</f>
        <v/>
      </c>
      <c r="MN97" s="402">
        <f>IF(AND(348&gt;=$NR$97,348&lt;=$NS$97),IF($NP$97="Single_Point",IF(348=$NR$97,$NN$97,0),IF($NP$97="Bell_Curve",$NN$97*(348-$NR$97+1)*($NS$97-348+1)/$NU$97,$NN$97/$NT$97)),0)</f>
        <v/>
      </c>
      <c r="MO97" s="402">
        <f>IF(AND(349&gt;=$NR$97,349&lt;=$NS$97),IF($NP$97="Single_Point",IF(349=$NR$97,$NN$97,0),IF($NP$97="Bell_Curve",$NN$97*(349-$NR$97+1)*($NS$97-349+1)/$NU$97,$NN$97/$NT$97)),0)</f>
        <v/>
      </c>
      <c r="MP97" s="402">
        <f>IF(AND(350&gt;=$NR$97,350&lt;=$NS$97),IF($NP$97="Single_Point",IF(350=$NR$97,$NN$97,0),IF($NP$97="Bell_Curve",$NN$97*(350-$NR$97+1)*($NS$97-350+1)/$NU$97,$NN$97/$NT$97)),0)</f>
        <v/>
      </c>
      <c r="MQ97" s="402">
        <f>IF(AND(351&gt;=$NR$97,351&lt;=$NS$97),IF($NP$97="Single_Point",IF(351=$NR$97,$NN$97,0),IF($NP$97="Bell_Curve",$NN$97*(351-$NR$97+1)*($NS$97-351+1)/$NU$97,$NN$97/$NT$97)),0)</f>
        <v/>
      </c>
      <c r="MR97" s="402">
        <f>IF(AND(352&gt;=$NR$97,352&lt;=$NS$97),IF($NP$97="Single_Point",IF(352=$NR$97,$NN$97,0),IF($NP$97="Bell_Curve",$NN$97*(352-$NR$97+1)*($NS$97-352+1)/$NU$97,$NN$97/$NT$97)),0)</f>
        <v/>
      </c>
      <c r="MS97" s="402">
        <f>IF(AND(353&gt;=$NR$97,353&lt;=$NS$97),IF($NP$97="Single_Point",IF(353=$NR$97,$NN$97,0),IF($NP$97="Bell_Curve",$NN$97*(353-$NR$97+1)*($NS$97-353+1)/$NU$97,$NN$97/$NT$97)),0)</f>
        <v/>
      </c>
      <c r="MT97" s="402">
        <f>IF(AND(354&gt;=$NR$97,354&lt;=$NS$97),IF($NP$97="Single_Point",IF(354=$NR$97,$NN$97,0),IF($NP$97="Bell_Curve",$NN$97*(354-$NR$97+1)*($NS$97-354+1)/$NU$97,$NN$97/$NT$97)),0)</f>
        <v/>
      </c>
      <c r="MU97" s="402">
        <f>IF(AND(355&gt;=$NR$97,355&lt;=$NS$97),IF($NP$97="Single_Point",IF(355=$NR$97,$NN$97,0),IF($NP$97="Bell_Curve",$NN$97*(355-$NR$97+1)*($NS$97-355+1)/$NU$97,$NN$97/$NT$97)),0)</f>
        <v/>
      </c>
      <c r="MV97" s="402">
        <f>IF(AND(356&gt;=$NR$97,356&lt;=$NS$97),IF($NP$97="Single_Point",IF(356=$NR$97,$NN$97,0),IF($NP$97="Bell_Curve",$NN$97*(356-$NR$97+1)*($NS$97-356+1)/$NU$97,$NN$97/$NT$97)),0)</f>
        <v/>
      </c>
      <c r="MW97" s="402">
        <f>IF(AND(357&gt;=$NR$97,357&lt;=$NS$97),IF($NP$97="Single_Point",IF(357=$NR$97,$NN$97,0),IF($NP$97="Bell_Curve",$NN$97*(357-$NR$97+1)*($NS$97-357+1)/$NU$97,$NN$97/$NT$97)),0)</f>
        <v/>
      </c>
      <c r="MX97" s="402">
        <f>IF(AND(358&gt;=$NR$97,358&lt;=$NS$97),IF($NP$97="Single_Point",IF(358=$NR$97,$NN$97,0),IF($NP$97="Bell_Curve",$NN$97*(358-$NR$97+1)*($NS$97-358+1)/$NU$97,$NN$97/$NT$97)),0)</f>
        <v/>
      </c>
      <c r="MY97" s="402">
        <f>IF(AND(359&gt;=$NR$97,359&lt;=$NS$97),IF($NP$97="Single_Point",IF(359=$NR$97,$NN$97,0),IF($NP$97="Bell_Curve",$NN$97*(359-$NR$97+1)*($NS$97-359+1)/$NU$97,$NN$97/$NT$97)),0)</f>
        <v/>
      </c>
      <c r="MZ97" s="402">
        <f>IF(AND(360&gt;=$NR$97,360&lt;=$NS$97),IF($NP$97="Single_Point",IF(360=$NR$97,$NN$97,0),IF($NP$97="Bell_Curve",$NN$97*(360-$NR$97+1)*($NS$97-360+1)/$NU$97,$NN$97/$NT$97)),0)</f>
        <v/>
      </c>
      <c r="NA97" s="402">
        <f>IF(AND(361&gt;=$NR$97,361&lt;=$NS$97),IF($NP$97="Single_Point",IF(361=$NR$97,$NN$97,0),IF($NP$97="Bell_Curve",$NN$97*(361-$NR$97+1)*($NS$97-361+1)/$NU$97,$NN$97/$NT$97)),0)</f>
        <v/>
      </c>
      <c r="NB97" s="402">
        <f>IF(AND(362&gt;=$NR$97,362&lt;=$NS$97),IF($NP$97="Single_Point",IF(362=$NR$97,$NN$97,0),IF($NP$97="Bell_Curve",$NN$97*(362-$NR$97+1)*($NS$97-362+1)/$NU$97,$NN$97/$NT$97)),0)</f>
        <v/>
      </c>
      <c r="NC97" s="402">
        <f>IF(AND(363&gt;=$NR$97,363&lt;=$NS$97),IF($NP$97="Single_Point",IF(363=$NR$97,$NN$97,0),IF($NP$97="Bell_Curve",$NN$97*(363-$NR$97+1)*($NS$97-363+1)/$NU$97,$NN$97/$NT$97)),0)</f>
        <v/>
      </c>
      <c r="ND97" s="402">
        <f>IF(AND(364&gt;=$NR$97,364&lt;=$NS$97),IF($NP$97="Single_Point",IF(364=$NR$97,$NN$97,0),IF($NP$97="Bell_Curve",$NN$97*(364-$NR$97+1)*($NS$97-364+1)/$NU$97,$NN$97/$NT$97)),0)</f>
        <v/>
      </c>
      <c r="NE97" s="402">
        <f>IF(AND(365&gt;=$NR$97,365&lt;=$NS$97),IF($NP$97="Single_Point",IF(365=$NR$97,$NN$97,0),IF($NP$97="Bell_Curve",$NN$97*(365-$NR$97+1)*($NS$97-365+1)/$NU$97,$NN$97/$NT$97)),0)</f>
        <v/>
      </c>
      <c r="NF97" s="402">
        <f>IF(AND(366&gt;=$NR$97,366&lt;=$NS$97),IF($NP$97="Single_Point",IF(366=$NR$97,$NN$97,0),IF($NP$97="Bell_Curve",$NN$97*(366-$NR$97+1)*($NS$97-366+1)/$NU$97,$NN$97/$NT$97)),0)</f>
        <v/>
      </c>
      <c r="NG97" s="402">
        <f>IF(AND(367&gt;=$NR$97,367&lt;=$NS$97),IF($NP$97="Single_Point",IF(367=$NR$97,$NN$97,0),IF($NP$97="Bell_Curve",$NN$97*(367-$NR$97+1)*($NS$97-367+1)/$NU$97,$NN$97/$NT$97)),0)</f>
        <v/>
      </c>
      <c r="NH97" s="402">
        <f>IF(AND(368&gt;=$NR$97,368&lt;=$NS$97),IF($NP$97="Single_Point",IF(368=$NR$97,$NN$97,0),IF($NP$97="Bell_Curve",$NN$97*(368-$NR$97+1)*($NS$97-368+1)/$NU$97,$NN$97/$NT$97)),0)</f>
        <v/>
      </c>
      <c r="NI97" s="402">
        <f>IF(AND(369&gt;=$NR$97,369&lt;=$NS$97),IF($NP$97="Single_Point",IF(369=$NR$97,$NN$97,0),IF($NP$97="Bell_Curve",$NN$97*(369-$NR$97+1)*($NS$97-369+1)/$NU$97,$NN$97/$NT$97)),0)</f>
        <v/>
      </c>
      <c r="NJ97" s="402">
        <f>IF(AND(370&gt;=$NR$97,370&lt;=$NS$97),IF($NP$97="Single_Point",IF(370=$NR$97,$NN$97,0),IF($NP$97="Bell_Curve",$NN$97*(370-$NR$97+1)*($NS$97-370+1)/$NU$97,$NN$97/$NT$97)),0)</f>
        <v/>
      </c>
      <c r="NK97" s="402">
        <f>IF(AND(371&gt;=$NR$97,371&lt;=$NS$97),IF($NP$97="Single_Point",IF(371=$NR$97,$NN$97,0),IF($NP$97="Bell_Curve",$NN$97*(371-$NR$97+1)*($NS$97-371+1)/$NU$97,$NN$97/$NT$97)),0)</f>
        <v/>
      </c>
      <c r="NL97" s="402">
        <f>IF(AND(372&gt;=$NR$97,372&lt;=$NS$97),IF($NP$97="Single_Point",IF(372=$NR$97,$NN$97,0),IF($NP$97="Bell_Curve",$NN$97*(372-$NR$97+1)*($NS$97-372+1)/$NU$97,$NN$97/$NT$97)),0)</f>
        <v/>
      </c>
      <c r="NM97">
        <f>Budget!C96</f>
        <v/>
      </c>
      <c r="NN97">
        <f>Budget!J96</f>
        <v/>
      </c>
      <c r="NO97">
        <f>Budget!G96</f>
        <v/>
      </c>
      <c r="NP97">
        <f>Budget!H96</f>
        <v/>
      </c>
      <c r="NQ97">
        <f>Budget!I96</f>
        <v/>
      </c>
      <c r="NR97">
        <f>MAX(1,MIN(372,INDEX(MilestoneStart,MATCH(NO97,MilestoneNames,0))+NQ97))</f>
        <v/>
      </c>
      <c r="NS97">
        <f>MAX(NR97,MIN(372,INDEX(MilestoneEnd,MATCH(NO97,MilestoneNames,0))+NQ97))</f>
        <v/>
      </c>
      <c r="NT97">
        <f>NS97-NR97+1</f>
        <v/>
      </c>
      <c r="NU97">
        <f>NT97*(NT97+1)*(NT97+2)/6</f>
        <v/>
      </c>
    </row>
    <row r="98">
      <c r="B98" s="316">
        <f>Budget!B97</f>
        <v/>
      </c>
      <c r="D98" s="402">
        <f>SUM(E98:NL98)</f>
        <v/>
      </c>
      <c r="E98" s="402">
        <f>IF(AND(1&gt;=$NR$98,1&lt;=$NS$98),IF($NP$98="Single_Point",IF(1=$NR$98,$NN$98,0),IF($NP$98="Bell_Curve",$NN$98*(1-$NR$98+1)*($NS$98-1+1)/$NU$98,$NN$98/$NT$98)),0)</f>
        <v/>
      </c>
      <c r="F98" s="402">
        <f>IF(AND(2&gt;=$NR$98,2&lt;=$NS$98),IF($NP$98="Single_Point",IF(2=$NR$98,$NN$98,0),IF($NP$98="Bell_Curve",$NN$98*(2-$NR$98+1)*($NS$98-2+1)/$NU$98,$NN$98/$NT$98)),0)</f>
        <v/>
      </c>
      <c r="G98" s="402">
        <f>IF(AND(3&gt;=$NR$98,3&lt;=$NS$98),IF($NP$98="Single_Point",IF(3=$NR$98,$NN$98,0),IF($NP$98="Bell_Curve",$NN$98*(3-$NR$98+1)*($NS$98-3+1)/$NU$98,$NN$98/$NT$98)),0)</f>
        <v/>
      </c>
      <c r="H98" s="402">
        <f>IF(AND(4&gt;=$NR$98,4&lt;=$NS$98),IF($NP$98="Single_Point",IF(4=$NR$98,$NN$98,0),IF($NP$98="Bell_Curve",$NN$98*(4-$NR$98+1)*($NS$98-4+1)/$NU$98,$NN$98/$NT$98)),0)</f>
        <v/>
      </c>
      <c r="I98" s="402">
        <f>IF(AND(5&gt;=$NR$98,5&lt;=$NS$98),IF($NP$98="Single_Point",IF(5=$NR$98,$NN$98,0),IF($NP$98="Bell_Curve",$NN$98*(5-$NR$98+1)*($NS$98-5+1)/$NU$98,$NN$98/$NT$98)),0)</f>
        <v/>
      </c>
      <c r="J98" s="402">
        <f>IF(AND(6&gt;=$NR$98,6&lt;=$NS$98),IF($NP$98="Single_Point",IF(6=$NR$98,$NN$98,0),IF($NP$98="Bell_Curve",$NN$98*(6-$NR$98+1)*($NS$98-6+1)/$NU$98,$NN$98/$NT$98)),0)</f>
        <v/>
      </c>
      <c r="K98" s="402">
        <f>IF(AND(7&gt;=$NR$98,7&lt;=$NS$98),IF($NP$98="Single_Point",IF(7=$NR$98,$NN$98,0),IF($NP$98="Bell_Curve",$NN$98*(7-$NR$98+1)*($NS$98-7+1)/$NU$98,$NN$98/$NT$98)),0)</f>
        <v/>
      </c>
      <c r="L98" s="402">
        <f>IF(AND(8&gt;=$NR$98,8&lt;=$NS$98),IF($NP$98="Single_Point",IF(8=$NR$98,$NN$98,0),IF($NP$98="Bell_Curve",$NN$98*(8-$NR$98+1)*($NS$98-8+1)/$NU$98,$NN$98/$NT$98)),0)</f>
        <v/>
      </c>
      <c r="M98" s="402">
        <f>IF(AND(9&gt;=$NR$98,9&lt;=$NS$98),IF($NP$98="Single_Point",IF(9=$NR$98,$NN$98,0),IF($NP$98="Bell_Curve",$NN$98*(9-$NR$98+1)*($NS$98-9+1)/$NU$98,$NN$98/$NT$98)),0)</f>
        <v/>
      </c>
      <c r="N98" s="402">
        <f>IF(AND(10&gt;=$NR$98,10&lt;=$NS$98),IF($NP$98="Single_Point",IF(10=$NR$98,$NN$98,0),IF($NP$98="Bell_Curve",$NN$98*(10-$NR$98+1)*($NS$98-10+1)/$NU$98,$NN$98/$NT$98)),0)</f>
        <v/>
      </c>
      <c r="O98" s="402">
        <f>IF(AND(11&gt;=$NR$98,11&lt;=$NS$98),IF($NP$98="Single_Point",IF(11=$NR$98,$NN$98,0),IF($NP$98="Bell_Curve",$NN$98*(11-$NR$98+1)*($NS$98-11+1)/$NU$98,$NN$98/$NT$98)),0)</f>
        <v/>
      </c>
      <c r="P98" s="402">
        <f>IF(AND(12&gt;=$NR$98,12&lt;=$NS$98),IF($NP$98="Single_Point",IF(12=$NR$98,$NN$98,0),IF($NP$98="Bell_Curve",$NN$98*(12-$NR$98+1)*($NS$98-12+1)/$NU$98,$NN$98/$NT$98)),0)</f>
        <v/>
      </c>
      <c r="Q98" s="402">
        <f>IF(AND(13&gt;=$NR$98,13&lt;=$NS$98),IF($NP$98="Single_Point",IF(13=$NR$98,$NN$98,0),IF($NP$98="Bell_Curve",$NN$98*(13-$NR$98+1)*($NS$98-13+1)/$NU$98,$NN$98/$NT$98)),0)</f>
        <v/>
      </c>
      <c r="R98" s="402">
        <f>IF(AND(14&gt;=$NR$98,14&lt;=$NS$98),IF($NP$98="Single_Point",IF(14=$NR$98,$NN$98,0),IF($NP$98="Bell_Curve",$NN$98*(14-$NR$98+1)*($NS$98-14+1)/$NU$98,$NN$98/$NT$98)),0)</f>
        <v/>
      </c>
      <c r="S98" s="402">
        <f>IF(AND(15&gt;=$NR$98,15&lt;=$NS$98),IF($NP$98="Single_Point",IF(15=$NR$98,$NN$98,0),IF($NP$98="Bell_Curve",$NN$98*(15-$NR$98+1)*($NS$98-15+1)/$NU$98,$NN$98/$NT$98)),0)</f>
        <v/>
      </c>
      <c r="T98" s="402">
        <f>IF(AND(16&gt;=$NR$98,16&lt;=$NS$98),IF($NP$98="Single_Point",IF(16=$NR$98,$NN$98,0),IF($NP$98="Bell_Curve",$NN$98*(16-$NR$98+1)*($NS$98-16+1)/$NU$98,$NN$98/$NT$98)),0)</f>
        <v/>
      </c>
      <c r="U98" s="402">
        <f>IF(AND(17&gt;=$NR$98,17&lt;=$NS$98),IF($NP$98="Single_Point",IF(17=$NR$98,$NN$98,0),IF($NP$98="Bell_Curve",$NN$98*(17-$NR$98+1)*($NS$98-17+1)/$NU$98,$NN$98/$NT$98)),0)</f>
        <v/>
      </c>
      <c r="V98" s="402">
        <f>IF(AND(18&gt;=$NR$98,18&lt;=$NS$98),IF($NP$98="Single_Point",IF(18=$NR$98,$NN$98,0),IF($NP$98="Bell_Curve",$NN$98*(18-$NR$98+1)*($NS$98-18+1)/$NU$98,$NN$98/$NT$98)),0)</f>
        <v/>
      </c>
      <c r="W98" s="402">
        <f>IF(AND(19&gt;=$NR$98,19&lt;=$NS$98),IF($NP$98="Single_Point",IF(19=$NR$98,$NN$98,0),IF($NP$98="Bell_Curve",$NN$98*(19-$NR$98+1)*($NS$98-19+1)/$NU$98,$NN$98/$NT$98)),0)</f>
        <v/>
      </c>
      <c r="X98" s="402">
        <f>IF(AND(20&gt;=$NR$98,20&lt;=$NS$98),IF($NP$98="Single_Point",IF(20=$NR$98,$NN$98,0),IF($NP$98="Bell_Curve",$NN$98*(20-$NR$98+1)*($NS$98-20+1)/$NU$98,$NN$98/$NT$98)),0)</f>
        <v/>
      </c>
      <c r="Y98" s="402">
        <f>IF(AND(21&gt;=$NR$98,21&lt;=$NS$98),IF($NP$98="Single_Point",IF(21=$NR$98,$NN$98,0),IF($NP$98="Bell_Curve",$NN$98*(21-$NR$98+1)*($NS$98-21+1)/$NU$98,$NN$98/$NT$98)),0)</f>
        <v/>
      </c>
      <c r="Z98" s="402">
        <f>IF(AND(22&gt;=$NR$98,22&lt;=$NS$98),IF($NP$98="Single_Point",IF(22=$NR$98,$NN$98,0),IF($NP$98="Bell_Curve",$NN$98*(22-$NR$98+1)*($NS$98-22+1)/$NU$98,$NN$98/$NT$98)),0)</f>
        <v/>
      </c>
      <c r="AA98" s="402">
        <f>IF(AND(23&gt;=$NR$98,23&lt;=$NS$98),IF($NP$98="Single_Point",IF(23=$NR$98,$NN$98,0),IF($NP$98="Bell_Curve",$NN$98*(23-$NR$98+1)*($NS$98-23+1)/$NU$98,$NN$98/$NT$98)),0)</f>
        <v/>
      </c>
      <c r="AB98" s="402">
        <f>IF(AND(24&gt;=$NR$98,24&lt;=$NS$98),IF($NP$98="Single_Point",IF(24=$NR$98,$NN$98,0),IF($NP$98="Bell_Curve",$NN$98*(24-$NR$98+1)*($NS$98-24+1)/$NU$98,$NN$98/$NT$98)),0)</f>
        <v/>
      </c>
      <c r="AC98" s="402">
        <f>IF(AND(25&gt;=$NR$98,25&lt;=$NS$98),IF($NP$98="Single_Point",IF(25=$NR$98,$NN$98,0),IF($NP$98="Bell_Curve",$NN$98*(25-$NR$98+1)*($NS$98-25+1)/$NU$98,$NN$98/$NT$98)),0)</f>
        <v/>
      </c>
      <c r="AD98" s="402">
        <f>IF(AND(26&gt;=$NR$98,26&lt;=$NS$98),IF($NP$98="Single_Point",IF(26=$NR$98,$NN$98,0),IF($NP$98="Bell_Curve",$NN$98*(26-$NR$98+1)*($NS$98-26+1)/$NU$98,$NN$98/$NT$98)),0)</f>
        <v/>
      </c>
      <c r="AE98" s="402">
        <f>IF(AND(27&gt;=$NR$98,27&lt;=$NS$98),IF($NP$98="Single_Point",IF(27=$NR$98,$NN$98,0),IF($NP$98="Bell_Curve",$NN$98*(27-$NR$98+1)*($NS$98-27+1)/$NU$98,$NN$98/$NT$98)),0)</f>
        <v/>
      </c>
      <c r="AF98" s="402">
        <f>IF(AND(28&gt;=$NR$98,28&lt;=$NS$98),IF($NP$98="Single_Point",IF(28=$NR$98,$NN$98,0),IF($NP$98="Bell_Curve",$NN$98*(28-$NR$98+1)*($NS$98-28+1)/$NU$98,$NN$98/$NT$98)),0)</f>
        <v/>
      </c>
      <c r="AG98" s="402">
        <f>IF(AND(29&gt;=$NR$98,29&lt;=$NS$98),IF($NP$98="Single_Point",IF(29=$NR$98,$NN$98,0),IF($NP$98="Bell_Curve",$NN$98*(29-$NR$98+1)*($NS$98-29+1)/$NU$98,$NN$98/$NT$98)),0)</f>
        <v/>
      </c>
      <c r="AH98" s="402">
        <f>IF(AND(30&gt;=$NR$98,30&lt;=$NS$98),IF($NP$98="Single_Point",IF(30=$NR$98,$NN$98,0),IF($NP$98="Bell_Curve",$NN$98*(30-$NR$98+1)*($NS$98-30+1)/$NU$98,$NN$98/$NT$98)),0)</f>
        <v/>
      </c>
      <c r="AI98" s="402">
        <f>IF(AND(31&gt;=$NR$98,31&lt;=$NS$98),IF($NP$98="Single_Point",IF(31=$NR$98,$NN$98,0),IF($NP$98="Bell_Curve",$NN$98*(31-$NR$98+1)*($NS$98-31+1)/$NU$98,$NN$98/$NT$98)),0)</f>
        <v/>
      </c>
      <c r="AJ98" s="402">
        <f>IF(AND(32&gt;=$NR$98,32&lt;=$NS$98),IF($NP$98="Single_Point",IF(32=$NR$98,$NN$98,0),IF($NP$98="Bell_Curve",$NN$98*(32-$NR$98+1)*($NS$98-32+1)/$NU$98,$NN$98/$NT$98)),0)</f>
        <v/>
      </c>
      <c r="AK98" s="402">
        <f>IF(AND(33&gt;=$NR$98,33&lt;=$NS$98),IF($NP$98="Single_Point",IF(33=$NR$98,$NN$98,0),IF($NP$98="Bell_Curve",$NN$98*(33-$NR$98+1)*($NS$98-33+1)/$NU$98,$NN$98/$NT$98)),0)</f>
        <v/>
      </c>
      <c r="AL98" s="402">
        <f>IF(AND(34&gt;=$NR$98,34&lt;=$NS$98),IF($NP$98="Single_Point",IF(34=$NR$98,$NN$98,0),IF($NP$98="Bell_Curve",$NN$98*(34-$NR$98+1)*($NS$98-34+1)/$NU$98,$NN$98/$NT$98)),0)</f>
        <v/>
      </c>
      <c r="AM98" s="402">
        <f>IF(AND(35&gt;=$NR$98,35&lt;=$NS$98),IF($NP$98="Single_Point",IF(35=$NR$98,$NN$98,0),IF($NP$98="Bell_Curve",$NN$98*(35-$NR$98+1)*($NS$98-35+1)/$NU$98,$NN$98/$NT$98)),0)</f>
        <v/>
      </c>
      <c r="AN98" s="402">
        <f>IF(AND(36&gt;=$NR$98,36&lt;=$NS$98),IF($NP$98="Single_Point",IF(36=$NR$98,$NN$98,0),IF($NP$98="Bell_Curve",$NN$98*(36-$NR$98+1)*($NS$98-36+1)/$NU$98,$NN$98/$NT$98)),0)</f>
        <v/>
      </c>
      <c r="AO98" s="402">
        <f>IF(AND(37&gt;=$NR$98,37&lt;=$NS$98),IF($NP$98="Single_Point",IF(37=$NR$98,$NN$98,0),IF($NP$98="Bell_Curve",$NN$98*(37-$NR$98+1)*($NS$98-37+1)/$NU$98,$NN$98/$NT$98)),0)</f>
        <v/>
      </c>
      <c r="AP98" s="402">
        <f>IF(AND(38&gt;=$NR$98,38&lt;=$NS$98),IF($NP$98="Single_Point",IF(38=$NR$98,$NN$98,0),IF($NP$98="Bell_Curve",$NN$98*(38-$NR$98+1)*($NS$98-38+1)/$NU$98,$NN$98/$NT$98)),0)</f>
        <v/>
      </c>
      <c r="AQ98" s="402">
        <f>IF(AND(39&gt;=$NR$98,39&lt;=$NS$98),IF($NP$98="Single_Point",IF(39=$NR$98,$NN$98,0),IF($NP$98="Bell_Curve",$NN$98*(39-$NR$98+1)*($NS$98-39+1)/$NU$98,$NN$98/$NT$98)),0)</f>
        <v/>
      </c>
      <c r="AR98" s="402">
        <f>IF(AND(40&gt;=$NR$98,40&lt;=$NS$98),IF($NP$98="Single_Point",IF(40=$NR$98,$NN$98,0),IF($NP$98="Bell_Curve",$NN$98*(40-$NR$98+1)*($NS$98-40+1)/$NU$98,$NN$98/$NT$98)),0)</f>
        <v/>
      </c>
      <c r="AS98" s="402">
        <f>IF(AND(41&gt;=$NR$98,41&lt;=$NS$98),IF($NP$98="Single_Point",IF(41=$NR$98,$NN$98,0),IF($NP$98="Bell_Curve",$NN$98*(41-$NR$98+1)*($NS$98-41+1)/$NU$98,$NN$98/$NT$98)),0)</f>
        <v/>
      </c>
      <c r="AT98" s="402">
        <f>IF(AND(42&gt;=$NR$98,42&lt;=$NS$98),IF($NP$98="Single_Point",IF(42=$NR$98,$NN$98,0),IF($NP$98="Bell_Curve",$NN$98*(42-$NR$98+1)*($NS$98-42+1)/$NU$98,$NN$98/$NT$98)),0)</f>
        <v/>
      </c>
      <c r="AU98" s="402">
        <f>IF(AND(43&gt;=$NR$98,43&lt;=$NS$98),IF($NP$98="Single_Point",IF(43=$NR$98,$NN$98,0),IF($NP$98="Bell_Curve",$NN$98*(43-$NR$98+1)*($NS$98-43+1)/$NU$98,$NN$98/$NT$98)),0)</f>
        <v/>
      </c>
      <c r="AV98" s="402">
        <f>IF(AND(44&gt;=$NR$98,44&lt;=$NS$98),IF($NP$98="Single_Point",IF(44=$NR$98,$NN$98,0),IF($NP$98="Bell_Curve",$NN$98*(44-$NR$98+1)*($NS$98-44+1)/$NU$98,$NN$98/$NT$98)),0)</f>
        <v/>
      </c>
      <c r="AW98" s="402">
        <f>IF(AND(45&gt;=$NR$98,45&lt;=$NS$98),IF($NP$98="Single_Point",IF(45=$NR$98,$NN$98,0),IF($NP$98="Bell_Curve",$NN$98*(45-$NR$98+1)*($NS$98-45+1)/$NU$98,$NN$98/$NT$98)),0)</f>
        <v/>
      </c>
      <c r="AX98" s="402">
        <f>IF(AND(46&gt;=$NR$98,46&lt;=$NS$98),IF($NP$98="Single_Point",IF(46=$NR$98,$NN$98,0),IF($NP$98="Bell_Curve",$NN$98*(46-$NR$98+1)*($NS$98-46+1)/$NU$98,$NN$98/$NT$98)),0)</f>
        <v/>
      </c>
      <c r="AY98" s="402">
        <f>IF(AND(47&gt;=$NR$98,47&lt;=$NS$98),IF($NP$98="Single_Point",IF(47=$NR$98,$NN$98,0),IF($NP$98="Bell_Curve",$NN$98*(47-$NR$98+1)*($NS$98-47+1)/$NU$98,$NN$98/$NT$98)),0)</f>
        <v/>
      </c>
      <c r="AZ98" s="402">
        <f>IF(AND(48&gt;=$NR$98,48&lt;=$NS$98),IF($NP$98="Single_Point",IF(48=$NR$98,$NN$98,0),IF($NP$98="Bell_Curve",$NN$98*(48-$NR$98+1)*($NS$98-48+1)/$NU$98,$NN$98/$NT$98)),0)</f>
        <v/>
      </c>
      <c r="BA98" s="402">
        <f>IF(AND(49&gt;=$NR$98,49&lt;=$NS$98),IF($NP$98="Single_Point",IF(49=$NR$98,$NN$98,0),IF($NP$98="Bell_Curve",$NN$98*(49-$NR$98+1)*($NS$98-49+1)/$NU$98,$NN$98/$NT$98)),0)</f>
        <v/>
      </c>
      <c r="BB98" s="402">
        <f>IF(AND(50&gt;=$NR$98,50&lt;=$NS$98),IF($NP$98="Single_Point",IF(50=$NR$98,$NN$98,0),IF($NP$98="Bell_Curve",$NN$98*(50-$NR$98+1)*($NS$98-50+1)/$NU$98,$NN$98/$NT$98)),0)</f>
        <v/>
      </c>
      <c r="BC98" s="402">
        <f>IF(AND(51&gt;=$NR$98,51&lt;=$NS$98),IF($NP$98="Single_Point",IF(51=$NR$98,$NN$98,0),IF($NP$98="Bell_Curve",$NN$98*(51-$NR$98+1)*($NS$98-51+1)/$NU$98,$NN$98/$NT$98)),0)</f>
        <v/>
      </c>
      <c r="BD98" s="402">
        <f>IF(AND(52&gt;=$NR$98,52&lt;=$NS$98),IF($NP$98="Single_Point",IF(52=$NR$98,$NN$98,0),IF($NP$98="Bell_Curve",$NN$98*(52-$NR$98+1)*($NS$98-52+1)/$NU$98,$NN$98/$NT$98)),0)</f>
        <v/>
      </c>
      <c r="BE98" s="402">
        <f>IF(AND(53&gt;=$NR$98,53&lt;=$NS$98),IF($NP$98="Single_Point",IF(53=$NR$98,$NN$98,0),IF($NP$98="Bell_Curve",$NN$98*(53-$NR$98+1)*($NS$98-53+1)/$NU$98,$NN$98/$NT$98)),0)</f>
        <v/>
      </c>
      <c r="BF98" s="402">
        <f>IF(AND(54&gt;=$NR$98,54&lt;=$NS$98),IF($NP$98="Single_Point",IF(54=$NR$98,$NN$98,0),IF($NP$98="Bell_Curve",$NN$98*(54-$NR$98+1)*($NS$98-54+1)/$NU$98,$NN$98/$NT$98)),0)</f>
        <v/>
      </c>
      <c r="BG98" s="402">
        <f>IF(AND(55&gt;=$NR$98,55&lt;=$NS$98),IF($NP$98="Single_Point",IF(55=$NR$98,$NN$98,0),IF($NP$98="Bell_Curve",$NN$98*(55-$NR$98+1)*($NS$98-55+1)/$NU$98,$NN$98/$NT$98)),0)</f>
        <v/>
      </c>
      <c r="BH98" s="402">
        <f>IF(AND(56&gt;=$NR$98,56&lt;=$NS$98),IF($NP$98="Single_Point",IF(56=$NR$98,$NN$98,0),IF($NP$98="Bell_Curve",$NN$98*(56-$NR$98+1)*($NS$98-56+1)/$NU$98,$NN$98/$NT$98)),0)</f>
        <v/>
      </c>
      <c r="BI98" s="402">
        <f>IF(AND(57&gt;=$NR$98,57&lt;=$NS$98),IF($NP$98="Single_Point",IF(57=$NR$98,$NN$98,0),IF($NP$98="Bell_Curve",$NN$98*(57-$NR$98+1)*($NS$98-57+1)/$NU$98,$NN$98/$NT$98)),0)</f>
        <v/>
      </c>
      <c r="BJ98" s="402">
        <f>IF(AND(58&gt;=$NR$98,58&lt;=$NS$98),IF($NP$98="Single_Point",IF(58=$NR$98,$NN$98,0),IF($NP$98="Bell_Curve",$NN$98*(58-$NR$98+1)*($NS$98-58+1)/$NU$98,$NN$98/$NT$98)),0)</f>
        <v/>
      </c>
      <c r="BK98" s="402">
        <f>IF(AND(59&gt;=$NR$98,59&lt;=$NS$98),IF($NP$98="Single_Point",IF(59=$NR$98,$NN$98,0),IF($NP$98="Bell_Curve",$NN$98*(59-$NR$98+1)*($NS$98-59+1)/$NU$98,$NN$98/$NT$98)),0)</f>
        <v/>
      </c>
      <c r="BL98" s="402">
        <f>IF(AND(60&gt;=$NR$98,60&lt;=$NS$98),IF($NP$98="Single_Point",IF(60=$NR$98,$NN$98,0),IF($NP$98="Bell_Curve",$NN$98*(60-$NR$98+1)*($NS$98-60+1)/$NU$98,$NN$98/$NT$98)),0)</f>
        <v/>
      </c>
      <c r="BM98" s="402">
        <f>IF(AND(61&gt;=$NR$98,61&lt;=$NS$98),IF($NP$98="Single_Point",IF(61=$NR$98,$NN$98,0),IF($NP$98="Bell_Curve",$NN$98*(61-$NR$98+1)*($NS$98-61+1)/$NU$98,$NN$98/$NT$98)),0)</f>
        <v/>
      </c>
      <c r="BN98" s="402">
        <f>IF(AND(62&gt;=$NR$98,62&lt;=$NS$98),IF($NP$98="Single_Point",IF(62=$NR$98,$NN$98,0),IF($NP$98="Bell_Curve",$NN$98*(62-$NR$98+1)*($NS$98-62+1)/$NU$98,$NN$98/$NT$98)),0)</f>
        <v/>
      </c>
      <c r="BO98" s="402">
        <f>IF(AND(63&gt;=$NR$98,63&lt;=$NS$98),IF($NP$98="Single_Point",IF(63=$NR$98,$NN$98,0),IF($NP$98="Bell_Curve",$NN$98*(63-$NR$98+1)*($NS$98-63+1)/$NU$98,$NN$98/$NT$98)),0)</f>
        <v/>
      </c>
      <c r="BP98" s="402">
        <f>IF(AND(64&gt;=$NR$98,64&lt;=$NS$98),IF($NP$98="Single_Point",IF(64=$NR$98,$NN$98,0),IF($NP$98="Bell_Curve",$NN$98*(64-$NR$98+1)*($NS$98-64+1)/$NU$98,$NN$98/$NT$98)),0)</f>
        <v/>
      </c>
      <c r="BQ98" s="402">
        <f>IF(AND(65&gt;=$NR$98,65&lt;=$NS$98),IF($NP$98="Single_Point",IF(65=$NR$98,$NN$98,0),IF($NP$98="Bell_Curve",$NN$98*(65-$NR$98+1)*($NS$98-65+1)/$NU$98,$NN$98/$NT$98)),0)</f>
        <v/>
      </c>
      <c r="BR98" s="402">
        <f>IF(AND(66&gt;=$NR$98,66&lt;=$NS$98),IF($NP$98="Single_Point",IF(66=$NR$98,$NN$98,0),IF($NP$98="Bell_Curve",$NN$98*(66-$NR$98+1)*($NS$98-66+1)/$NU$98,$NN$98/$NT$98)),0)</f>
        <v/>
      </c>
      <c r="BS98" s="402">
        <f>IF(AND(67&gt;=$NR$98,67&lt;=$NS$98),IF($NP$98="Single_Point",IF(67=$NR$98,$NN$98,0),IF($NP$98="Bell_Curve",$NN$98*(67-$NR$98+1)*($NS$98-67+1)/$NU$98,$NN$98/$NT$98)),0)</f>
        <v/>
      </c>
      <c r="BT98" s="402">
        <f>IF(AND(68&gt;=$NR$98,68&lt;=$NS$98),IF($NP$98="Single_Point",IF(68=$NR$98,$NN$98,0),IF($NP$98="Bell_Curve",$NN$98*(68-$NR$98+1)*($NS$98-68+1)/$NU$98,$NN$98/$NT$98)),0)</f>
        <v/>
      </c>
      <c r="BU98" s="402">
        <f>IF(AND(69&gt;=$NR$98,69&lt;=$NS$98),IF($NP$98="Single_Point",IF(69=$NR$98,$NN$98,0),IF($NP$98="Bell_Curve",$NN$98*(69-$NR$98+1)*($NS$98-69+1)/$NU$98,$NN$98/$NT$98)),0)</f>
        <v/>
      </c>
      <c r="BV98" s="402">
        <f>IF(AND(70&gt;=$NR$98,70&lt;=$NS$98),IF($NP$98="Single_Point",IF(70=$NR$98,$NN$98,0),IF($NP$98="Bell_Curve",$NN$98*(70-$NR$98+1)*($NS$98-70+1)/$NU$98,$NN$98/$NT$98)),0)</f>
        <v/>
      </c>
      <c r="BW98" s="402">
        <f>IF(AND(71&gt;=$NR$98,71&lt;=$NS$98),IF($NP$98="Single_Point",IF(71=$NR$98,$NN$98,0),IF($NP$98="Bell_Curve",$NN$98*(71-$NR$98+1)*($NS$98-71+1)/$NU$98,$NN$98/$NT$98)),0)</f>
        <v/>
      </c>
      <c r="BX98" s="402">
        <f>IF(AND(72&gt;=$NR$98,72&lt;=$NS$98),IF($NP$98="Single_Point",IF(72=$NR$98,$NN$98,0),IF($NP$98="Bell_Curve",$NN$98*(72-$NR$98+1)*($NS$98-72+1)/$NU$98,$NN$98/$NT$98)),0)</f>
        <v/>
      </c>
      <c r="BY98" s="402">
        <f>IF(AND(73&gt;=$NR$98,73&lt;=$NS$98),IF($NP$98="Single_Point",IF(73=$NR$98,$NN$98,0),IF($NP$98="Bell_Curve",$NN$98*(73-$NR$98+1)*($NS$98-73+1)/$NU$98,$NN$98/$NT$98)),0)</f>
        <v/>
      </c>
      <c r="BZ98" s="402">
        <f>IF(AND(74&gt;=$NR$98,74&lt;=$NS$98),IF($NP$98="Single_Point",IF(74=$NR$98,$NN$98,0),IF($NP$98="Bell_Curve",$NN$98*(74-$NR$98+1)*($NS$98-74+1)/$NU$98,$NN$98/$NT$98)),0)</f>
        <v/>
      </c>
      <c r="CA98" s="402">
        <f>IF(AND(75&gt;=$NR$98,75&lt;=$NS$98),IF($NP$98="Single_Point",IF(75=$NR$98,$NN$98,0),IF($NP$98="Bell_Curve",$NN$98*(75-$NR$98+1)*($NS$98-75+1)/$NU$98,$NN$98/$NT$98)),0)</f>
        <v/>
      </c>
      <c r="CB98" s="402">
        <f>IF(AND(76&gt;=$NR$98,76&lt;=$NS$98),IF($NP$98="Single_Point",IF(76=$NR$98,$NN$98,0),IF($NP$98="Bell_Curve",$NN$98*(76-$NR$98+1)*($NS$98-76+1)/$NU$98,$NN$98/$NT$98)),0)</f>
        <v/>
      </c>
      <c r="CC98" s="402">
        <f>IF(AND(77&gt;=$NR$98,77&lt;=$NS$98),IF($NP$98="Single_Point",IF(77=$NR$98,$NN$98,0),IF($NP$98="Bell_Curve",$NN$98*(77-$NR$98+1)*($NS$98-77+1)/$NU$98,$NN$98/$NT$98)),0)</f>
        <v/>
      </c>
      <c r="CD98" s="402">
        <f>IF(AND(78&gt;=$NR$98,78&lt;=$NS$98),IF($NP$98="Single_Point",IF(78=$NR$98,$NN$98,0),IF($NP$98="Bell_Curve",$NN$98*(78-$NR$98+1)*($NS$98-78+1)/$NU$98,$NN$98/$NT$98)),0)</f>
        <v/>
      </c>
      <c r="CE98" s="402">
        <f>IF(AND(79&gt;=$NR$98,79&lt;=$NS$98),IF($NP$98="Single_Point",IF(79=$NR$98,$NN$98,0),IF($NP$98="Bell_Curve",$NN$98*(79-$NR$98+1)*($NS$98-79+1)/$NU$98,$NN$98/$NT$98)),0)</f>
        <v/>
      </c>
      <c r="CF98" s="402">
        <f>IF(AND(80&gt;=$NR$98,80&lt;=$NS$98),IF($NP$98="Single_Point",IF(80=$NR$98,$NN$98,0),IF($NP$98="Bell_Curve",$NN$98*(80-$NR$98+1)*($NS$98-80+1)/$NU$98,$NN$98/$NT$98)),0)</f>
        <v/>
      </c>
      <c r="CG98" s="402">
        <f>IF(AND(81&gt;=$NR$98,81&lt;=$NS$98),IF($NP$98="Single_Point",IF(81=$NR$98,$NN$98,0),IF($NP$98="Bell_Curve",$NN$98*(81-$NR$98+1)*($NS$98-81+1)/$NU$98,$NN$98/$NT$98)),0)</f>
        <v/>
      </c>
      <c r="CH98" s="402">
        <f>IF(AND(82&gt;=$NR$98,82&lt;=$NS$98),IF($NP$98="Single_Point",IF(82=$NR$98,$NN$98,0),IF($NP$98="Bell_Curve",$NN$98*(82-$NR$98+1)*($NS$98-82+1)/$NU$98,$NN$98/$NT$98)),0)</f>
        <v/>
      </c>
      <c r="CI98" s="402">
        <f>IF(AND(83&gt;=$NR$98,83&lt;=$NS$98),IF($NP$98="Single_Point",IF(83=$NR$98,$NN$98,0),IF($NP$98="Bell_Curve",$NN$98*(83-$NR$98+1)*($NS$98-83+1)/$NU$98,$NN$98/$NT$98)),0)</f>
        <v/>
      </c>
      <c r="CJ98" s="402">
        <f>IF(AND(84&gt;=$NR$98,84&lt;=$NS$98),IF($NP$98="Single_Point",IF(84=$NR$98,$NN$98,0),IF($NP$98="Bell_Curve",$NN$98*(84-$NR$98+1)*($NS$98-84+1)/$NU$98,$NN$98/$NT$98)),0)</f>
        <v/>
      </c>
      <c r="CK98" s="402">
        <f>IF(AND(85&gt;=$NR$98,85&lt;=$NS$98),IF($NP$98="Single_Point",IF(85=$NR$98,$NN$98,0),IF($NP$98="Bell_Curve",$NN$98*(85-$NR$98+1)*($NS$98-85+1)/$NU$98,$NN$98/$NT$98)),0)</f>
        <v/>
      </c>
      <c r="CL98" s="402">
        <f>IF(AND(86&gt;=$NR$98,86&lt;=$NS$98),IF($NP$98="Single_Point",IF(86=$NR$98,$NN$98,0),IF($NP$98="Bell_Curve",$NN$98*(86-$NR$98+1)*($NS$98-86+1)/$NU$98,$NN$98/$NT$98)),0)</f>
        <v/>
      </c>
      <c r="CM98" s="402">
        <f>IF(AND(87&gt;=$NR$98,87&lt;=$NS$98),IF($NP$98="Single_Point",IF(87=$NR$98,$NN$98,0),IF($NP$98="Bell_Curve",$NN$98*(87-$NR$98+1)*($NS$98-87+1)/$NU$98,$NN$98/$NT$98)),0)</f>
        <v/>
      </c>
      <c r="CN98" s="402">
        <f>IF(AND(88&gt;=$NR$98,88&lt;=$NS$98),IF($NP$98="Single_Point",IF(88=$NR$98,$NN$98,0),IF($NP$98="Bell_Curve",$NN$98*(88-$NR$98+1)*($NS$98-88+1)/$NU$98,$NN$98/$NT$98)),0)</f>
        <v/>
      </c>
      <c r="CO98" s="402">
        <f>IF(AND(89&gt;=$NR$98,89&lt;=$NS$98),IF($NP$98="Single_Point",IF(89=$NR$98,$NN$98,0),IF($NP$98="Bell_Curve",$NN$98*(89-$NR$98+1)*($NS$98-89+1)/$NU$98,$NN$98/$NT$98)),0)</f>
        <v/>
      </c>
      <c r="CP98" s="402">
        <f>IF(AND(90&gt;=$NR$98,90&lt;=$NS$98),IF($NP$98="Single_Point",IF(90=$NR$98,$NN$98,0),IF($NP$98="Bell_Curve",$NN$98*(90-$NR$98+1)*($NS$98-90+1)/$NU$98,$NN$98/$NT$98)),0)</f>
        <v/>
      </c>
      <c r="CQ98" s="402">
        <f>IF(AND(91&gt;=$NR$98,91&lt;=$NS$98),IF($NP$98="Single_Point",IF(91=$NR$98,$NN$98,0),IF($NP$98="Bell_Curve",$NN$98*(91-$NR$98+1)*($NS$98-91+1)/$NU$98,$NN$98/$NT$98)),0)</f>
        <v/>
      </c>
      <c r="CR98" s="402">
        <f>IF(AND(92&gt;=$NR$98,92&lt;=$NS$98),IF($NP$98="Single_Point",IF(92=$NR$98,$NN$98,0),IF($NP$98="Bell_Curve",$NN$98*(92-$NR$98+1)*($NS$98-92+1)/$NU$98,$NN$98/$NT$98)),0)</f>
        <v/>
      </c>
      <c r="CS98" s="402">
        <f>IF(AND(93&gt;=$NR$98,93&lt;=$NS$98),IF($NP$98="Single_Point",IF(93=$NR$98,$NN$98,0),IF($NP$98="Bell_Curve",$NN$98*(93-$NR$98+1)*($NS$98-93+1)/$NU$98,$NN$98/$NT$98)),0)</f>
        <v/>
      </c>
      <c r="CT98" s="402">
        <f>IF(AND(94&gt;=$NR$98,94&lt;=$NS$98),IF($NP$98="Single_Point",IF(94=$NR$98,$NN$98,0),IF($NP$98="Bell_Curve",$NN$98*(94-$NR$98+1)*($NS$98-94+1)/$NU$98,$NN$98/$NT$98)),0)</f>
        <v/>
      </c>
      <c r="CU98" s="402">
        <f>IF(AND(95&gt;=$NR$98,95&lt;=$NS$98),IF($NP$98="Single_Point",IF(95=$NR$98,$NN$98,0),IF($NP$98="Bell_Curve",$NN$98*(95-$NR$98+1)*($NS$98-95+1)/$NU$98,$NN$98/$NT$98)),0)</f>
        <v/>
      </c>
      <c r="CV98" s="402">
        <f>IF(AND(96&gt;=$NR$98,96&lt;=$NS$98),IF($NP$98="Single_Point",IF(96=$NR$98,$NN$98,0),IF($NP$98="Bell_Curve",$NN$98*(96-$NR$98+1)*($NS$98-96+1)/$NU$98,$NN$98/$NT$98)),0)</f>
        <v/>
      </c>
      <c r="CW98" s="402">
        <f>IF(AND(97&gt;=$NR$98,97&lt;=$NS$98),IF($NP$98="Single_Point",IF(97=$NR$98,$NN$98,0),IF($NP$98="Bell_Curve",$NN$98*(97-$NR$98+1)*($NS$98-97+1)/$NU$98,$NN$98/$NT$98)),0)</f>
        <v/>
      </c>
      <c r="CX98" s="402">
        <f>IF(AND(98&gt;=$NR$98,98&lt;=$NS$98),IF($NP$98="Single_Point",IF(98=$NR$98,$NN$98,0),IF($NP$98="Bell_Curve",$NN$98*(98-$NR$98+1)*($NS$98-98+1)/$NU$98,$NN$98/$NT$98)),0)</f>
        <v/>
      </c>
      <c r="CY98" s="402">
        <f>IF(AND(99&gt;=$NR$98,99&lt;=$NS$98),IF($NP$98="Single_Point",IF(99=$NR$98,$NN$98,0),IF($NP$98="Bell_Curve",$NN$98*(99-$NR$98+1)*($NS$98-99+1)/$NU$98,$NN$98/$NT$98)),0)</f>
        <v/>
      </c>
      <c r="CZ98" s="402">
        <f>IF(AND(100&gt;=$NR$98,100&lt;=$NS$98),IF($NP$98="Single_Point",IF(100=$NR$98,$NN$98,0),IF($NP$98="Bell_Curve",$NN$98*(100-$NR$98+1)*($NS$98-100+1)/$NU$98,$NN$98/$NT$98)),0)</f>
        <v/>
      </c>
      <c r="DA98" s="402">
        <f>IF(AND(101&gt;=$NR$98,101&lt;=$NS$98),IF($NP$98="Single_Point",IF(101=$NR$98,$NN$98,0),IF($NP$98="Bell_Curve",$NN$98*(101-$NR$98+1)*($NS$98-101+1)/$NU$98,$NN$98/$NT$98)),0)</f>
        <v/>
      </c>
      <c r="DB98" s="402">
        <f>IF(AND(102&gt;=$NR$98,102&lt;=$NS$98),IF($NP$98="Single_Point",IF(102=$NR$98,$NN$98,0),IF($NP$98="Bell_Curve",$NN$98*(102-$NR$98+1)*($NS$98-102+1)/$NU$98,$NN$98/$NT$98)),0)</f>
        <v/>
      </c>
      <c r="DC98" s="402">
        <f>IF(AND(103&gt;=$NR$98,103&lt;=$NS$98),IF($NP$98="Single_Point",IF(103=$NR$98,$NN$98,0),IF($NP$98="Bell_Curve",$NN$98*(103-$NR$98+1)*($NS$98-103+1)/$NU$98,$NN$98/$NT$98)),0)</f>
        <v/>
      </c>
      <c r="DD98" s="402">
        <f>IF(AND(104&gt;=$NR$98,104&lt;=$NS$98),IF($NP$98="Single_Point",IF(104=$NR$98,$NN$98,0),IF($NP$98="Bell_Curve",$NN$98*(104-$NR$98+1)*($NS$98-104+1)/$NU$98,$NN$98/$NT$98)),0)</f>
        <v/>
      </c>
      <c r="DE98" s="402">
        <f>IF(AND(105&gt;=$NR$98,105&lt;=$NS$98),IF($NP$98="Single_Point",IF(105=$NR$98,$NN$98,0),IF($NP$98="Bell_Curve",$NN$98*(105-$NR$98+1)*($NS$98-105+1)/$NU$98,$NN$98/$NT$98)),0)</f>
        <v/>
      </c>
      <c r="DF98" s="402">
        <f>IF(AND(106&gt;=$NR$98,106&lt;=$NS$98),IF($NP$98="Single_Point",IF(106=$NR$98,$NN$98,0),IF($NP$98="Bell_Curve",$NN$98*(106-$NR$98+1)*($NS$98-106+1)/$NU$98,$NN$98/$NT$98)),0)</f>
        <v/>
      </c>
      <c r="DG98" s="402">
        <f>IF(AND(107&gt;=$NR$98,107&lt;=$NS$98),IF($NP$98="Single_Point",IF(107=$NR$98,$NN$98,0),IF($NP$98="Bell_Curve",$NN$98*(107-$NR$98+1)*($NS$98-107+1)/$NU$98,$NN$98/$NT$98)),0)</f>
        <v/>
      </c>
      <c r="DH98" s="402">
        <f>IF(AND(108&gt;=$NR$98,108&lt;=$NS$98),IF($NP$98="Single_Point",IF(108=$NR$98,$NN$98,0),IF($NP$98="Bell_Curve",$NN$98*(108-$NR$98+1)*($NS$98-108+1)/$NU$98,$NN$98/$NT$98)),0)</f>
        <v/>
      </c>
      <c r="DI98" s="402">
        <f>IF(AND(109&gt;=$NR$98,109&lt;=$NS$98),IF($NP$98="Single_Point",IF(109=$NR$98,$NN$98,0),IF($NP$98="Bell_Curve",$NN$98*(109-$NR$98+1)*($NS$98-109+1)/$NU$98,$NN$98/$NT$98)),0)</f>
        <v/>
      </c>
      <c r="DJ98" s="402">
        <f>IF(AND(110&gt;=$NR$98,110&lt;=$NS$98),IF($NP$98="Single_Point",IF(110=$NR$98,$NN$98,0),IF($NP$98="Bell_Curve",$NN$98*(110-$NR$98+1)*($NS$98-110+1)/$NU$98,$NN$98/$NT$98)),0)</f>
        <v/>
      </c>
      <c r="DK98" s="402">
        <f>IF(AND(111&gt;=$NR$98,111&lt;=$NS$98),IF($NP$98="Single_Point",IF(111=$NR$98,$NN$98,0),IF($NP$98="Bell_Curve",$NN$98*(111-$NR$98+1)*($NS$98-111+1)/$NU$98,$NN$98/$NT$98)),0)</f>
        <v/>
      </c>
      <c r="DL98" s="402">
        <f>IF(AND(112&gt;=$NR$98,112&lt;=$NS$98),IF($NP$98="Single_Point",IF(112=$NR$98,$NN$98,0),IF($NP$98="Bell_Curve",$NN$98*(112-$NR$98+1)*($NS$98-112+1)/$NU$98,$NN$98/$NT$98)),0)</f>
        <v/>
      </c>
      <c r="DM98" s="402">
        <f>IF(AND(113&gt;=$NR$98,113&lt;=$NS$98),IF($NP$98="Single_Point",IF(113=$NR$98,$NN$98,0),IF($NP$98="Bell_Curve",$NN$98*(113-$NR$98+1)*($NS$98-113+1)/$NU$98,$NN$98/$NT$98)),0)</f>
        <v/>
      </c>
      <c r="DN98" s="402">
        <f>IF(AND(114&gt;=$NR$98,114&lt;=$NS$98),IF($NP$98="Single_Point",IF(114=$NR$98,$NN$98,0),IF($NP$98="Bell_Curve",$NN$98*(114-$NR$98+1)*($NS$98-114+1)/$NU$98,$NN$98/$NT$98)),0)</f>
        <v/>
      </c>
      <c r="DO98" s="402">
        <f>IF(AND(115&gt;=$NR$98,115&lt;=$NS$98),IF($NP$98="Single_Point",IF(115=$NR$98,$NN$98,0),IF($NP$98="Bell_Curve",$NN$98*(115-$NR$98+1)*($NS$98-115+1)/$NU$98,$NN$98/$NT$98)),0)</f>
        <v/>
      </c>
      <c r="DP98" s="402">
        <f>IF(AND(116&gt;=$NR$98,116&lt;=$NS$98),IF($NP$98="Single_Point",IF(116=$NR$98,$NN$98,0),IF($NP$98="Bell_Curve",$NN$98*(116-$NR$98+1)*($NS$98-116+1)/$NU$98,$NN$98/$NT$98)),0)</f>
        <v/>
      </c>
      <c r="DQ98" s="402">
        <f>IF(AND(117&gt;=$NR$98,117&lt;=$NS$98),IF($NP$98="Single_Point",IF(117=$NR$98,$NN$98,0),IF($NP$98="Bell_Curve",$NN$98*(117-$NR$98+1)*($NS$98-117+1)/$NU$98,$NN$98/$NT$98)),0)</f>
        <v/>
      </c>
      <c r="DR98" s="402">
        <f>IF(AND(118&gt;=$NR$98,118&lt;=$NS$98),IF($NP$98="Single_Point",IF(118=$NR$98,$NN$98,0),IF($NP$98="Bell_Curve",$NN$98*(118-$NR$98+1)*($NS$98-118+1)/$NU$98,$NN$98/$NT$98)),0)</f>
        <v/>
      </c>
      <c r="DS98" s="402">
        <f>IF(AND(119&gt;=$NR$98,119&lt;=$NS$98),IF($NP$98="Single_Point",IF(119=$NR$98,$NN$98,0),IF($NP$98="Bell_Curve",$NN$98*(119-$NR$98+1)*($NS$98-119+1)/$NU$98,$NN$98/$NT$98)),0)</f>
        <v/>
      </c>
      <c r="DT98" s="402">
        <f>IF(AND(120&gt;=$NR$98,120&lt;=$NS$98),IF($NP$98="Single_Point",IF(120=$NR$98,$NN$98,0),IF($NP$98="Bell_Curve",$NN$98*(120-$NR$98+1)*($NS$98-120+1)/$NU$98,$NN$98/$NT$98)),0)</f>
        <v/>
      </c>
      <c r="DU98" s="402">
        <f>IF(AND(121&gt;=$NR$98,121&lt;=$NS$98),IF($NP$98="Single_Point",IF(121=$NR$98,$NN$98,0),IF($NP$98="Bell_Curve",$NN$98*(121-$NR$98+1)*($NS$98-121+1)/$NU$98,$NN$98/$NT$98)),0)</f>
        <v/>
      </c>
      <c r="DV98" s="402">
        <f>IF(AND(122&gt;=$NR$98,122&lt;=$NS$98),IF($NP$98="Single_Point",IF(122=$NR$98,$NN$98,0),IF($NP$98="Bell_Curve",$NN$98*(122-$NR$98+1)*($NS$98-122+1)/$NU$98,$NN$98/$NT$98)),0)</f>
        <v/>
      </c>
      <c r="DW98" s="402">
        <f>IF(AND(123&gt;=$NR$98,123&lt;=$NS$98),IF($NP$98="Single_Point",IF(123=$NR$98,$NN$98,0),IF($NP$98="Bell_Curve",$NN$98*(123-$NR$98+1)*($NS$98-123+1)/$NU$98,$NN$98/$NT$98)),0)</f>
        <v/>
      </c>
      <c r="DX98" s="402">
        <f>IF(AND(124&gt;=$NR$98,124&lt;=$NS$98),IF($NP$98="Single_Point",IF(124=$NR$98,$NN$98,0),IF($NP$98="Bell_Curve",$NN$98*(124-$NR$98+1)*($NS$98-124+1)/$NU$98,$NN$98/$NT$98)),0)</f>
        <v/>
      </c>
      <c r="DY98" s="402">
        <f>IF(AND(125&gt;=$NR$98,125&lt;=$NS$98),IF($NP$98="Single_Point",IF(125=$NR$98,$NN$98,0),IF($NP$98="Bell_Curve",$NN$98*(125-$NR$98+1)*($NS$98-125+1)/$NU$98,$NN$98/$NT$98)),0)</f>
        <v/>
      </c>
      <c r="DZ98" s="402">
        <f>IF(AND(126&gt;=$NR$98,126&lt;=$NS$98),IF($NP$98="Single_Point",IF(126=$NR$98,$NN$98,0),IF($NP$98="Bell_Curve",$NN$98*(126-$NR$98+1)*($NS$98-126+1)/$NU$98,$NN$98/$NT$98)),0)</f>
        <v/>
      </c>
      <c r="EA98" s="402">
        <f>IF(AND(127&gt;=$NR$98,127&lt;=$NS$98),IF($NP$98="Single_Point",IF(127=$NR$98,$NN$98,0),IF($NP$98="Bell_Curve",$NN$98*(127-$NR$98+1)*($NS$98-127+1)/$NU$98,$NN$98/$NT$98)),0)</f>
        <v/>
      </c>
      <c r="EB98" s="402">
        <f>IF(AND(128&gt;=$NR$98,128&lt;=$NS$98),IF($NP$98="Single_Point",IF(128=$NR$98,$NN$98,0),IF($NP$98="Bell_Curve",$NN$98*(128-$NR$98+1)*($NS$98-128+1)/$NU$98,$NN$98/$NT$98)),0)</f>
        <v/>
      </c>
      <c r="EC98" s="402">
        <f>IF(AND(129&gt;=$NR$98,129&lt;=$NS$98),IF($NP$98="Single_Point",IF(129=$NR$98,$NN$98,0),IF($NP$98="Bell_Curve",$NN$98*(129-$NR$98+1)*($NS$98-129+1)/$NU$98,$NN$98/$NT$98)),0)</f>
        <v/>
      </c>
      <c r="ED98" s="402">
        <f>IF(AND(130&gt;=$NR$98,130&lt;=$NS$98),IF($NP$98="Single_Point",IF(130=$NR$98,$NN$98,0),IF($NP$98="Bell_Curve",$NN$98*(130-$NR$98+1)*($NS$98-130+1)/$NU$98,$NN$98/$NT$98)),0)</f>
        <v/>
      </c>
      <c r="EE98" s="402">
        <f>IF(AND(131&gt;=$NR$98,131&lt;=$NS$98),IF($NP$98="Single_Point",IF(131=$NR$98,$NN$98,0),IF($NP$98="Bell_Curve",$NN$98*(131-$NR$98+1)*($NS$98-131+1)/$NU$98,$NN$98/$NT$98)),0)</f>
        <v/>
      </c>
      <c r="EF98" s="402">
        <f>IF(AND(132&gt;=$NR$98,132&lt;=$NS$98),IF($NP$98="Single_Point",IF(132=$NR$98,$NN$98,0),IF($NP$98="Bell_Curve",$NN$98*(132-$NR$98+1)*($NS$98-132+1)/$NU$98,$NN$98/$NT$98)),0)</f>
        <v/>
      </c>
      <c r="EG98" s="402">
        <f>IF(AND(133&gt;=$NR$98,133&lt;=$NS$98),IF($NP$98="Single_Point",IF(133=$NR$98,$NN$98,0),IF($NP$98="Bell_Curve",$NN$98*(133-$NR$98+1)*($NS$98-133+1)/$NU$98,$NN$98/$NT$98)),0)</f>
        <v/>
      </c>
      <c r="EH98" s="402">
        <f>IF(AND(134&gt;=$NR$98,134&lt;=$NS$98),IF($NP$98="Single_Point",IF(134=$NR$98,$NN$98,0),IF($NP$98="Bell_Curve",$NN$98*(134-$NR$98+1)*($NS$98-134+1)/$NU$98,$NN$98/$NT$98)),0)</f>
        <v/>
      </c>
      <c r="EI98" s="402">
        <f>IF(AND(135&gt;=$NR$98,135&lt;=$NS$98),IF($NP$98="Single_Point",IF(135=$NR$98,$NN$98,0),IF($NP$98="Bell_Curve",$NN$98*(135-$NR$98+1)*($NS$98-135+1)/$NU$98,$NN$98/$NT$98)),0)</f>
        <v/>
      </c>
      <c r="EJ98" s="402">
        <f>IF(AND(136&gt;=$NR$98,136&lt;=$NS$98),IF($NP$98="Single_Point",IF(136=$NR$98,$NN$98,0),IF($NP$98="Bell_Curve",$NN$98*(136-$NR$98+1)*($NS$98-136+1)/$NU$98,$NN$98/$NT$98)),0)</f>
        <v/>
      </c>
      <c r="EK98" s="402">
        <f>IF(AND(137&gt;=$NR$98,137&lt;=$NS$98),IF($NP$98="Single_Point",IF(137=$NR$98,$NN$98,0),IF($NP$98="Bell_Curve",$NN$98*(137-$NR$98+1)*($NS$98-137+1)/$NU$98,$NN$98/$NT$98)),0)</f>
        <v/>
      </c>
      <c r="EL98" s="402">
        <f>IF(AND(138&gt;=$NR$98,138&lt;=$NS$98),IF($NP$98="Single_Point",IF(138=$NR$98,$NN$98,0),IF($NP$98="Bell_Curve",$NN$98*(138-$NR$98+1)*($NS$98-138+1)/$NU$98,$NN$98/$NT$98)),0)</f>
        <v/>
      </c>
      <c r="EM98" s="402">
        <f>IF(AND(139&gt;=$NR$98,139&lt;=$NS$98),IF($NP$98="Single_Point",IF(139=$NR$98,$NN$98,0),IF($NP$98="Bell_Curve",$NN$98*(139-$NR$98+1)*($NS$98-139+1)/$NU$98,$NN$98/$NT$98)),0)</f>
        <v/>
      </c>
      <c r="EN98" s="402">
        <f>IF(AND(140&gt;=$NR$98,140&lt;=$NS$98),IF($NP$98="Single_Point",IF(140=$NR$98,$NN$98,0),IF($NP$98="Bell_Curve",$NN$98*(140-$NR$98+1)*($NS$98-140+1)/$NU$98,$NN$98/$NT$98)),0)</f>
        <v/>
      </c>
      <c r="EO98" s="402">
        <f>IF(AND(141&gt;=$NR$98,141&lt;=$NS$98),IF($NP$98="Single_Point",IF(141=$NR$98,$NN$98,0),IF($NP$98="Bell_Curve",$NN$98*(141-$NR$98+1)*($NS$98-141+1)/$NU$98,$NN$98/$NT$98)),0)</f>
        <v/>
      </c>
      <c r="EP98" s="402">
        <f>IF(AND(142&gt;=$NR$98,142&lt;=$NS$98),IF($NP$98="Single_Point",IF(142=$NR$98,$NN$98,0),IF($NP$98="Bell_Curve",$NN$98*(142-$NR$98+1)*($NS$98-142+1)/$NU$98,$NN$98/$NT$98)),0)</f>
        <v/>
      </c>
      <c r="EQ98" s="402">
        <f>IF(AND(143&gt;=$NR$98,143&lt;=$NS$98),IF($NP$98="Single_Point",IF(143=$NR$98,$NN$98,0),IF($NP$98="Bell_Curve",$NN$98*(143-$NR$98+1)*($NS$98-143+1)/$NU$98,$NN$98/$NT$98)),0)</f>
        <v/>
      </c>
      <c r="ER98" s="402">
        <f>IF(AND(144&gt;=$NR$98,144&lt;=$NS$98),IF($NP$98="Single_Point",IF(144=$NR$98,$NN$98,0),IF($NP$98="Bell_Curve",$NN$98*(144-$NR$98+1)*($NS$98-144+1)/$NU$98,$NN$98/$NT$98)),0)</f>
        <v/>
      </c>
      <c r="ES98" s="402">
        <f>IF(AND(145&gt;=$NR$98,145&lt;=$NS$98),IF($NP$98="Single_Point",IF(145=$NR$98,$NN$98,0),IF($NP$98="Bell_Curve",$NN$98*(145-$NR$98+1)*($NS$98-145+1)/$NU$98,$NN$98/$NT$98)),0)</f>
        <v/>
      </c>
      <c r="ET98" s="402">
        <f>IF(AND(146&gt;=$NR$98,146&lt;=$NS$98),IF($NP$98="Single_Point",IF(146=$NR$98,$NN$98,0),IF($NP$98="Bell_Curve",$NN$98*(146-$NR$98+1)*($NS$98-146+1)/$NU$98,$NN$98/$NT$98)),0)</f>
        <v/>
      </c>
      <c r="EU98" s="402">
        <f>IF(AND(147&gt;=$NR$98,147&lt;=$NS$98),IF($NP$98="Single_Point",IF(147=$NR$98,$NN$98,0),IF($NP$98="Bell_Curve",$NN$98*(147-$NR$98+1)*($NS$98-147+1)/$NU$98,$NN$98/$NT$98)),0)</f>
        <v/>
      </c>
      <c r="EV98" s="402">
        <f>IF(AND(148&gt;=$NR$98,148&lt;=$NS$98),IF($NP$98="Single_Point",IF(148=$NR$98,$NN$98,0),IF($NP$98="Bell_Curve",$NN$98*(148-$NR$98+1)*($NS$98-148+1)/$NU$98,$NN$98/$NT$98)),0)</f>
        <v/>
      </c>
      <c r="EW98" s="402">
        <f>IF(AND(149&gt;=$NR$98,149&lt;=$NS$98),IF($NP$98="Single_Point",IF(149=$NR$98,$NN$98,0),IF($NP$98="Bell_Curve",$NN$98*(149-$NR$98+1)*($NS$98-149+1)/$NU$98,$NN$98/$NT$98)),0)</f>
        <v/>
      </c>
      <c r="EX98" s="402">
        <f>IF(AND(150&gt;=$NR$98,150&lt;=$NS$98),IF($NP$98="Single_Point",IF(150=$NR$98,$NN$98,0),IF($NP$98="Bell_Curve",$NN$98*(150-$NR$98+1)*($NS$98-150+1)/$NU$98,$NN$98/$NT$98)),0)</f>
        <v/>
      </c>
      <c r="EY98" s="402">
        <f>IF(AND(151&gt;=$NR$98,151&lt;=$NS$98),IF($NP$98="Single_Point",IF(151=$NR$98,$NN$98,0),IF($NP$98="Bell_Curve",$NN$98*(151-$NR$98+1)*($NS$98-151+1)/$NU$98,$NN$98/$NT$98)),0)</f>
        <v/>
      </c>
      <c r="EZ98" s="402">
        <f>IF(AND(152&gt;=$NR$98,152&lt;=$NS$98),IF($NP$98="Single_Point",IF(152=$NR$98,$NN$98,0),IF($NP$98="Bell_Curve",$NN$98*(152-$NR$98+1)*($NS$98-152+1)/$NU$98,$NN$98/$NT$98)),0)</f>
        <v/>
      </c>
      <c r="FA98" s="402">
        <f>IF(AND(153&gt;=$NR$98,153&lt;=$NS$98),IF($NP$98="Single_Point",IF(153=$NR$98,$NN$98,0),IF($NP$98="Bell_Curve",$NN$98*(153-$NR$98+1)*($NS$98-153+1)/$NU$98,$NN$98/$NT$98)),0)</f>
        <v/>
      </c>
      <c r="FB98" s="402">
        <f>IF(AND(154&gt;=$NR$98,154&lt;=$NS$98),IF($NP$98="Single_Point",IF(154=$NR$98,$NN$98,0),IF($NP$98="Bell_Curve",$NN$98*(154-$NR$98+1)*($NS$98-154+1)/$NU$98,$NN$98/$NT$98)),0)</f>
        <v/>
      </c>
      <c r="FC98" s="402">
        <f>IF(AND(155&gt;=$NR$98,155&lt;=$NS$98),IF($NP$98="Single_Point",IF(155=$NR$98,$NN$98,0),IF($NP$98="Bell_Curve",$NN$98*(155-$NR$98+1)*($NS$98-155+1)/$NU$98,$NN$98/$NT$98)),0)</f>
        <v/>
      </c>
      <c r="FD98" s="402">
        <f>IF(AND(156&gt;=$NR$98,156&lt;=$NS$98),IF($NP$98="Single_Point",IF(156=$NR$98,$NN$98,0),IF($NP$98="Bell_Curve",$NN$98*(156-$NR$98+1)*($NS$98-156+1)/$NU$98,$NN$98/$NT$98)),0)</f>
        <v/>
      </c>
      <c r="FE98" s="402">
        <f>IF(AND(157&gt;=$NR$98,157&lt;=$NS$98),IF($NP$98="Single_Point",IF(157=$NR$98,$NN$98,0),IF($NP$98="Bell_Curve",$NN$98*(157-$NR$98+1)*($NS$98-157+1)/$NU$98,$NN$98/$NT$98)),0)</f>
        <v/>
      </c>
      <c r="FF98" s="402">
        <f>IF(AND(158&gt;=$NR$98,158&lt;=$NS$98),IF($NP$98="Single_Point",IF(158=$NR$98,$NN$98,0),IF($NP$98="Bell_Curve",$NN$98*(158-$NR$98+1)*($NS$98-158+1)/$NU$98,$NN$98/$NT$98)),0)</f>
        <v/>
      </c>
      <c r="FG98" s="402">
        <f>IF(AND(159&gt;=$NR$98,159&lt;=$NS$98),IF($NP$98="Single_Point",IF(159=$NR$98,$NN$98,0),IF($NP$98="Bell_Curve",$NN$98*(159-$NR$98+1)*($NS$98-159+1)/$NU$98,$NN$98/$NT$98)),0)</f>
        <v/>
      </c>
      <c r="FH98" s="402">
        <f>IF(AND(160&gt;=$NR$98,160&lt;=$NS$98),IF($NP$98="Single_Point",IF(160=$NR$98,$NN$98,0),IF($NP$98="Bell_Curve",$NN$98*(160-$NR$98+1)*($NS$98-160+1)/$NU$98,$NN$98/$NT$98)),0)</f>
        <v/>
      </c>
      <c r="FI98" s="402">
        <f>IF(AND(161&gt;=$NR$98,161&lt;=$NS$98),IF($NP$98="Single_Point",IF(161=$NR$98,$NN$98,0),IF($NP$98="Bell_Curve",$NN$98*(161-$NR$98+1)*($NS$98-161+1)/$NU$98,$NN$98/$NT$98)),0)</f>
        <v/>
      </c>
      <c r="FJ98" s="402">
        <f>IF(AND(162&gt;=$NR$98,162&lt;=$NS$98),IF($NP$98="Single_Point",IF(162=$NR$98,$NN$98,0),IF($NP$98="Bell_Curve",$NN$98*(162-$NR$98+1)*($NS$98-162+1)/$NU$98,$NN$98/$NT$98)),0)</f>
        <v/>
      </c>
      <c r="FK98" s="402">
        <f>IF(AND(163&gt;=$NR$98,163&lt;=$NS$98),IF($NP$98="Single_Point",IF(163=$NR$98,$NN$98,0),IF($NP$98="Bell_Curve",$NN$98*(163-$NR$98+1)*($NS$98-163+1)/$NU$98,$NN$98/$NT$98)),0)</f>
        <v/>
      </c>
      <c r="FL98" s="402">
        <f>IF(AND(164&gt;=$NR$98,164&lt;=$NS$98),IF($NP$98="Single_Point",IF(164=$NR$98,$NN$98,0),IF($NP$98="Bell_Curve",$NN$98*(164-$NR$98+1)*($NS$98-164+1)/$NU$98,$NN$98/$NT$98)),0)</f>
        <v/>
      </c>
      <c r="FM98" s="402">
        <f>IF(AND(165&gt;=$NR$98,165&lt;=$NS$98),IF($NP$98="Single_Point",IF(165=$NR$98,$NN$98,0),IF($NP$98="Bell_Curve",$NN$98*(165-$NR$98+1)*($NS$98-165+1)/$NU$98,$NN$98/$NT$98)),0)</f>
        <v/>
      </c>
      <c r="FN98" s="402">
        <f>IF(AND(166&gt;=$NR$98,166&lt;=$NS$98),IF($NP$98="Single_Point",IF(166=$NR$98,$NN$98,0),IF($NP$98="Bell_Curve",$NN$98*(166-$NR$98+1)*($NS$98-166+1)/$NU$98,$NN$98/$NT$98)),0)</f>
        <v/>
      </c>
      <c r="FO98" s="402">
        <f>IF(AND(167&gt;=$NR$98,167&lt;=$NS$98),IF($NP$98="Single_Point",IF(167=$NR$98,$NN$98,0),IF($NP$98="Bell_Curve",$NN$98*(167-$NR$98+1)*($NS$98-167+1)/$NU$98,$NN$98/$NT$98)),0)</f>
        <v/>
      </c>
      <c r="FP98" s="402">
        <f>IF(AND(168&gt;=$NR$98,168&lt;=$NS$98),IF($NP$98="Single_Point",IF(168=$NR$98,$NN$98,0),IF($NP$98="Bell_Curve",$NN$98*(168-$NR$98+1)*($NS$98-168+1)/$NU$98,$NN$98/$NT$98)),0)</f>
        <v/>
      </c>
      <c r="FQ98" s="402">
        <f>IF(AND(169&gt;=$NR$98,169&lt;=$NS$98),IF($NP$98="Single_Point",IF(169=$NR$98,$NN$98,0),IF($NP$98="Bell_Curve",$NN$98*(169-$NR$98+1)*($NS$98-169+1)/$NU$98,$NN$98/$NT$98)),0)</f>
        <v/>
      </c>
      <c r="FR98" s="402">
        <f>IF(AND(170&gt;=$NR$98,170&lt;=$NS$98),IF($NP$98="Single_Point",IF(170=$NR$98,$NN$98,0),IF($NP$98="Bell_Curve",$NN$98*(170-$NR$98+1)*($NS$98-170+1)/$NU$98,$NN$98/$NT$98)),0)</f>
        <v/>
      </c>
      <c r="FS98" s="402">
        <f>IF(AND(171&gt;=$NR$98,171&lt;=$NS$98),IF($NP$98="Single_Point",IF(171=$NR$98,$NN$98,0),IF($NP$98="Bell_Curve",$NN$98*(171-$NR$98+1)*($NS$98-171+1)/$NU$98,$NN$98/$NT$98)),0)</f>
        <v/>
      </c>
      <c r="FT98" s="402">
        <f>IF(AND(172&gt;=$NR$98,172&lt;=$NS$98),IF($NP$98="Single_Point",IF(172=$NR$98,$NN$98,0),IF($NP$98="Bell_Curve",$NN$98*(172-$NR$98+1)*($NS$98-172+1)/$NU$98,$NN$98/$NT$98)),0)</f>
        <v/>
      </c>
      <c r="FU98" s="402">
        <f>IF(AND(173&gt;=$NR$98,173&lt;=$NS$98),IF($NP$98="Single_Point",IF(173=$NR$98,$NN$98,0),IF($NP$98="Bell_Curve",$NN$98*(173-$NR$98+1)*($NS$98-173+1)/$NU$98,$NN$98/$NT$98)),0)</f>
        <v/>
      </c>
      <c r="FV98" s="402">
        <f>IF(AND(174&gt;=$NR$98,174&lt;=$NS$98),IF($NP$98="Single_Point",IF(174=$NR$98,$NN$98,0),IF($NP$98="Bell_Curve",$NN$98*(174-$NR$98+1)*($NS$98-174+1)/$NU$98,$NN$98/$NT$98)),0)</f>
        <v/>
      </c>
      <c r="FW98" s="402">
        <f>IF(AND(175&gt;=$NR$98,175&lt;=$NS$98),IF($NP$98="Single_Point",IF(175=$NR$98,$NN$98,0),IF($NP$98="Bell_Curve",$NN$98*(175-$NR$98+1)*($NS$98-175+1)/$NU$98,$NN$98/$NT$98)),0)</f>
        <v/>
      </c>
      <c r="FX98" s="402">
        <f>IF(AND(176&gt;=$NR$98,176&lt;=$NS$98),IF($NP$98="Single_Point",IF(176=$NR$98,$NN$98,0),IF($NP$98="Bell_Curve",$NN$98*(176-$NR$98+1)*($NS$98-176+1)/$NU$98,$NN$98/$NT$98)),0)</f>
        <v/>
      </c>
      <c r="FY98" s="402">
        <f>IF(AND(177&gt;=$NR$98,177&lt;=$NS$98),IF($NP$98="Single_Point",IF(177=$NR$98,$NN$98,0),IF($NP$98="Bell_Curve",$NN$98*(177-$NR$98+1)*($NS$98-177+1)/$NU$98,$NN$98/$NT$98)),0)</f>
        <v/>
      </c>
      <c r="FZ98" s="402">
        <f>IF(AND(178&gt;=$NR$98,178&lt;=$NS$98),IF($NP$98="Single_Point",IF(178=$NR$98,$NN$98,0),IF($NP$98="Bell_Curve",$NN$98*(178-$NR$98+1)*($NS$98-178+1)/$NU$98,$NN$98/$NT$98)),0)</f>
        <v/>
      </c>
      <c r="GA98" s="402">
        <f>IF(AND(179&gt;=$NR$98,179&lt;=$NS$98),IF($NP$98="Single_Point",IF(179=$NR$98,$NN$98,0),IF($NP$98="Bell_Curve",$NN$98*(179-$NR$98+1)*($NS$98-179+1)/$NU$98,$NN$98/$NT$98)),0)</f>
        <v/>
      </c>
      <c r="GB98" s="402">
        <f>IF(AND(180&gt;=$NR$98,180&lt;=$NS$98),IF($NP$98="Single_Point",IF(180=$NR$98,$NN$98,0),IF($NP$98="Bell_Curve",$NN$98*(180-$NR$98+1)*($NS$98-180+1)/$NU$98,$NN$98/$NT$98)),0)</f>
        <v/>
      </c>
      <c r="GC98" s="402">
        <f>IF(AND(181&gt;=$NR$98,181&lt;=$NS$98),IF($NP$98="Single_Point",IF(181=$NR$98,$NN$98,0),IF($NP$98="Bell_Curve",$NN$98*(181-$NR$98+1)*($NS$98-181+1)/$NU$98,$NN$98/$NT$98)),0)</f>
        <v/>
      </c>
      <c r="GD98" s="402">
        <f>IF(AND(182&gt;=$NR$98,182&lt;=$NS$98),IF($NP$98="Single_Point",IF(182=$NR$98,$NN$98,0),IF($NP$98="Bell_Curve",$NN$98*(182-$NR$98+1)*($NS$98-182+1)/$NU$98,$NN$98/$NT$98)),0)</f>
        <v/>
      </c>
      <c r="GE98" s="402">
        <f>IF(AND(183&gt;=$NR$98,183&lt;=$NS$98),IF($NP$98="Single_Point",IF(183=$NR$98,$NN$98,0),IF($NP$98="Bell_Curve",$NN$98*(183-$NR$98+1)*($NS$98-183+1)/$NU$98,$NN$98/$NT$98)),0)</f>
        <v/>
      </c>
      <c r="GF98" s="402">
        <f>IF(AND(184&gt;=$NR$98,184&lt;=$NS$98),IF($NP$98="Single_Point",IF(184=$NR$98,$NN$98,0),IF($NP$98="Bell_Curve",$NN$98*(184-$NR$98+1)*($NS$98-184+1)/$NU$98,$NN$98/$NT$98)),0)</f>
        <v/>
      </c>
      <c r="GG98" s="402">
        <f>IF(AND(185&gt;=$NR$98,185&lt;=$NS$98),IF($NP$98="Single_Point",IF(185=$NR$98,$NN$98,0),IF($NP$98="Bell_Curve",$NN$98*(185-$NR$98+1)*($NS$98-185+1)/$NU$98,$NN$98/$NT$98)),0)</f>
        <v/>
      </c>
      <c r="GH98" s="402">
        <f>IF(AND(186&gt;=$NR$98,186&lt;=$NS$98),IF($NP$98="Single_Point",IF(186=$NR$98,$NN$98,0),IF($NP$98="Bell_Curve",$NN$98*(186-$NR$98+1)*($NS$98-186+1)/$NU$98,$NN$98/$NT$98)),0)</f>
        <v/>
      </c>
      <c r="GI98" s="402">
        <f>IF(AND(187&gt;=$NR$98,187&lt;=$NS$98),IF($NP$98="Single_Point",IF(187=$NR$98,$NN$98,0),IF($NP$98="Bell_Curve",$NN$98*(187-$NR$98+1)*($NS$98-187+1)/$NU$98,$NN$98/$NT$98)),0)</f>
        <v/>
      </c>
      <c r="GJ98" s="402">
        <f>IF(AND(188&gt;=$NR$98,188&lt;=$NS$98),IF($NP$98="Single_Point",IF(188=$NR$98,$NN$98,0),IF($NP$98="Bell_Curve",$NN$98*(188-$NR$98+1)*($NS$98-188+1)/$NU$98,$NN$98/$NT$98)),0)</f>
        <v/>
      </c>
      <c r="GK98" s="402">
        <f>IF(AND(189&gt;=$NR$98,189&lt;=$NS$98),IF($NP$98="Single_Point",IF(189=$NR$98,$NN$98,0),IF($NP$98="Bell_Curve",$NN$98*(189-$NR$98+1)*($NS$98-189+1)/$NU$98,$NN$98/$NT$98)),0)</f>
        <v/>
      </c>
      <c r="GL98" s="402">
        <f>IF(AND(190&gt;=$NR$98,190&lt;=$NS$98),IF($NP$98="Single_Point",IF(190=$NR$98,$NN$98,0),IF($NP$98="Bell_Curve",$NN$98*(190-$NR$98+1)*($NS$98-190+1)/$NU$98,$NN$98/$NT$98)),0)</f>
        <v/>
      </c>
      <c r="GM98" s="402">
        <f>IF(AND(191&gt;=$NR$98,191&lt;=$NS$98),IF($NP$98="Single_Point",IF(191=$NR$98,$NN$98,0),IF($NP$98="Bell_Curve",$NN$98*(191-$NR$98+1)*($NS$98-191+1)/$NU$98,$NN$98/$NT$98)),0)</f>
        <v/>
      </c>
      <c r="GN98" s="402">
        <f>IF(AND(192&gt;=$NR$98,192&lt;=$NS$98),IF($NP$98="Single_Point",IF(192=$NR$98,$NN$98,0),IF($NP$98="Bell_Curve",$NN$98*(192-$NR$98+1)*($NS$98-192+1)/$NU$98,$NN$98/$NT$98)),0)</f>
        <v/>
      </c>
      <c r="GO98" s="402">
        <f>IF(AND(193&gt;=$NR$98,193&lt;=$NS$98),IF($NP$98="Single_Point",IF(193=$NR$98,$NN$98,0),IF($NP$98="Bell_Curve",$NN$98*(193-$NR$98+1)*($NS$98-193+1)/$NU$98,$NN$98/$NT$98)),0)</f>
        <v/>
      </c>
      <c r="GP98" s="402">
        <f>IF(AND(194&gt;=$NR$98,194&lt;=$NS$98),IF($NP$98="Single_Point",IF(194=$NR$98,$NN$98,0),IF($NP$98="Bell_Curve",$NN$98*(194-$NR$98+1)*($NS$98-194+1)/$NU$98,$NN$98/$NT$98)),0)</f>
        <v/>
      </c>
      <c r="GQ98" s="402">
        <f>IF(AND(195&gt;=$NR$98,195&lt;=$NS$98),IF($NP$98="Single_Point",IF(195=$NR$98,$NN$98,0),IF($NP$98="Bell_Curve",$NN$98*(195-$NR$98+1)*($NS$98-195+1)/$NU$98,$NN$98/$NT$98)),0)</f>
        <v/>
      </c>
      <c r="GR98" s="402">
        <f>IF(AND(196&gt;=$NR$98,196&lt;=$NS$98),IF($NP$98="Single_Point",IF(196=$NR$98,$NN$98,0),IF($NP$98="Bell_Curve",$NN$98*(196-$NR$98+1)*($NS$98-196+1)/$NU$98,$NN$98/$NT$98)),0)</f>
        <v/>
      </c>
      <c r="GS98" s="402">
        <f>IF(AND(197&gt;=$NR$98,197&lt;=$NS$98),IF($NP$98="Single_Point",IF(197=$NR$98,$NN$98,0),IF($NP$98="Bell_Curve",$NN$98*(197-$NR$98+1)*($NS$98-197+1)/$NU$98,$NN$98/$NT$98)),0)</f>
        <v/>
      </c>
      <c r="GT98" s="402">
        <f>IF(AND(198&gt;=$NR$98,198&lt;=$NS$98),IF($NP$98="Single_Point",IF(198=$NR$98,$NN$98,0),IF($NP$98="Bell_Curve",$NN$98*(198-$NR$98+1)*($NS$98-198+1)/$NU$98,$NN$98/$NT$98)),0)</f>
        <v/>
      </c>
      <c r="GU98" s="402">
        <f>IF(AND(199&gt;=$NR$98,199&lt;=$NS$98),IF($NP$98="Single_Point",IF(199=$NR$98,$NN$98,0),IF($NP$98="Bell_Curve",$NN$98*(199-$NR$98+1)*($NS$98-199+1)/$NU$98,$NN$98/$NT$98)),0)</f>
        <v/>
      </c>
      <c r="GV98" s="402">
        <f>IF(AND(200&gt;=$NR$98,200&lt;=$NS$98),IF($NP$98="Single_Point",IF(200=$NR$98,$NN$98,0),IF($NP$98="Bell_Curve",$NN$98*(200-$NR$98+1)*($NS$98-200+1)/$NU$98,$NN$98/$NT$98)),0)</f>
        <v/>
      </c>
      <c r="GW98" s="402">
        <f>IF(AND(201&gt;=$NR$98,201&lt;=$NS$98),IF($NP$98="Single_Point",IF(201=$NR$98,$NN$98,0),IF($NP$98="Bell_Curve",$NN$98*(201-$NR$98+1)*($NS$98-201+1)/$NU$98,$NN$98/$NT$98)),0)</f>
        <v/>
      </c>
      <c r="GX98" s="402">
        <f>IF(AND(202&gt;=$NR$98,202&lt;=$NS$98),IF($NP$98="Single_Point",IF(202=$NR$98,$NN$98,0),IF($NP$98="Bell_Curve",$NN$98*(202-$NR$98+1)*($NS$98-202+1)/$NU$98,$NN$98/$NT$98)),0)</f>
        <v/>
      </c>
      <c r="GY98" s="402">
        <f>IF(AND(203&gt;=$NR$98,203&lt;=$NS$98),IF($NP$98="Single_Point",IF(203=$NR$98,$NN$98,0),IF($NP$98="Bell_Curve",$NN$98*(203-$NR$98+1)*($NS$98-203+1)/$NU$98,$NN$98/$NT$98)),0)</f>
        <v/>
      </c>
      <c r="GZ98" s="402">
        <f>IF(AND(204&gt;=$NR$98,204&lt;=$NS$98),IF($NP$98="Single_Point",IF(204=$NR$98,$NN$98,0),IF($NP$98="Bell_Curve",$NN$98*(204-$NR$98+1)*($NS$98-204+1)/$NU$98,$NN$98/$NT$98)),0)</f>
        <v/>
      </c>
      <c r="HA98" s="402">
        <f>IF(AND(205&gt;=$NR$98,205&lt;=$NS$98),IF($NP$98="Single_Point",IF(205=$NR$98,$NN$98,0),IF($NP$98="Bell_Curve",$NN$98*(205-$NR$98+1)*($NS$98-205+1)/$NU$98,$NN$98/$NT$98)),0)</f>
        <v/>
      </c>
      <c r="HB98" s="402">
        <f>IF(AND(206&gt;=$NR$98,206&lt;=$NS$98),IF($NP$98="Single_Point",IF(206=$NR$98,$NN$98,0),IF($NP$98="Bell_Curve",$NN$98*(206-$NR$98+1)*($NS$98-206+1)/$NU$98,$NN$98/$NT$98)),0)</f>
        <v/>
      </c>
      <c r="HC98" s="402">
        <f>IF(AND(207&gt;=$NR$98,207&lt;=$NS$98),IF($NP$98="Single_Point",IF(207=$NR$98,$NN$98,0),IF($NP$98="Bell_Curve",$NN$98*(207-$NR$98+1)*($NS$98-207+1)/$NU$98,$NN$98/$NT$98)),0)</f>
        <v/>
      </c>
      <c r="HD98" s="402">
        <f>IF(AND(208&gt;=$NR$98,208&lt;=$NS$98),IF($NP$98="Single_Point",IF(208=$NR$98,$NN$98,0),IF($NP$98="Bell_Curve",$NN$98*(208-$NR$98+1)*($NS$98-208+1)/$NU$98,$NN$98/$NT$98)),0)</f>
        <v/>
      </c>
      <c r="HE98" s="402">
        <f>IF(AND(209&gt;=$NR$98,209&lt;=$NS$98),IF($NP$98="Single_Point",IF(209=$NR$98,$NN$98,0),IF($NP$98="Bell_Curve",$NN$98*(209-$NR$98+1)*($NS$98-209+1)/$NU$98,$NN$98/$NT$98)),0)</f>
        <v/>
      </c>
      <c r="HF98" s="402">
        <f>IF(AND(210&gt;=$NR$98,210&lt;=$NS$98),IF($NP$98="Single_Point",IF(210=$NR$98,$NN$98,0),IF($NP$98="Bell_Curve",$NN$98*(210-$NR$98+1)*($NS$98-210+1)/$NU$98,$NN$98/$NT$98)),0)</f>
        <v/>
      </c>
      <c r="HG98" s="402">
        <f>IF(AND(211&gt;=$NR$98,211&lt;=$NS$98),IF($NP$98="Single_Point",IF(211=$NR$98,$NN$98,0),IF($NP$98="Bell_Curve",$NN$98*(211-$NR$98+1)*($NS$98-211+1)/$NU$98,$NN$98/$NT$98)),0)</f>
        <v/>
      </c>
      <c r="HH98" s="402">
        <f>IF(AND(212&gt;=$NR$98,212&lt;=$NS$98),IF($NP$98="Single_Point",IF(212=$NR$98,$NN$98,0),IF($NP$98="Bell_Curve",$NN$98*(212-$NR$98+1)*($NS$98-212+1)/$NU$98,$NN$98/$NT$98)),0)</f>
        <v/>
      </c>
      <c r="HI98" s="402">
        <f>IF(AND(213&gt;=$NR$98,213&lt;=$NS$98),IF($NP$98="Single_Point",IF(213=$NR$98,$NN$98,0),IF($NP$98="Bell_Curve",$NN$98*(213-$NR$98+1)*($NS$98-213+1)/$NU$98,$NN$98/$NT$98)),0)</f>
        <v/>
      </c>
      <c r="HJ98" s="402">
        <f>IF(AND(214&gt;=$NR$98,214&lt;=$NS$98),IF($NP$98="Single_Point",IF(214=$NR$98,$NN$98,0),IF($NP$98="Bell_Curve",$NN$98*(214-$NR$98+1)*($NS$98-214+1)/$NU$98,$NN$98/$NT$98)),0)</f>
        <v/>
      </c>
      <c r="HK98" s="402">
        <f>IF(AND(215&gt;=$NR$98,215&lt;=$NS$98),IF($NP$98="Single_Point",IF(215=$NR$98,$NN$98,0),IF($NP$98="Bell_Curve",$NN$98*(215-$NR$98+1)*($NS$98-215+1)/$NU$98,$NN$98/$NT$98)),0)</f>
        <v/>
      </c>
      <c r="HL98" s="402">
        <f>IF(AND(216&gt;=$NR$98,216&lt;=$NS$98),IF($NP$98="Single_Point",IF(216=$NR$98,$NN$98,0),IF($NP$98="Bell_Curve",$NN$98*(216-$NR$98+1)*($NS$98-216+1)/$NU$98,$NN$98/$NT$98)),0)</f>
        <v/>
      </c>
      <c r="HM98" s="402">
        <f>IF(AND(217&gt;=$NR$98,217&lt;=$NS$98),IF($NP$98="Single_Point",IF(217=$NR$98,$NN$98,0),IF($NP$98="Bell_Curve",$NN$98*(217-$NR$98+1)*($NS$98-217+1)/$NU$98,$NN$98/$NT$98)),0)</f>
        <v/>
      </c>
      <c r="HN98" s="402">
        <f>IF(AND(218&gt;=$NR$98,218&lt;=$NS$98),IF($NP$98="Single_Point",IF(218=$NR$98,$NN$98,0),IF($NP$98="Bell_Curve",$NN$98*(218-$NR$98+1)*($NS$98-218+1)/$NU$98,$NN$98/$NT$98)),0)</f>
        <v/>
      </c>
      <c r="HO98" s="402">
        <f>IF(AND(219&gt;=$NR$98,219&lt;=$NS$98),IF($NP$98="Single_Point",IF(219=$NR$98,$NN$98,0),IF($NP$98="Bell_Curve",$NN$98*(219-$NR$98+1)*($NS$98-219+1)/$NU$98,$NN$98/$NT$98)),0)</f>
        <v/>
      </c>
      <c r="HP98" s="402">
        <f>IF(AND(220&gt;=$NR$98,220&lt;=$NS$98),IF($NP$98="Single_Point",IF(220=$NR$98,$NN$98,0),IF($NP$98="Bell_Curve",$NN$98*(220-$NR$98+1)*($NS$98-220+1)/$NU$98,$NN$98/$NT$98)),0)</f>
        <v/>
      </c>
      <c r="HQ98" s="402">
        <f>IF(AND(221&gt;=$NR$98,221&lt;=$NS$98),IF($NP$98="Single_Point",IF(221=$NR$98,$NN$98,0),IF($NP$98="Bell_Curve",$NN$98*(221-$NR$98+1)*($NS$98-221+1)/$NU$98,$NN$98/$NT$98)),0)</f>
        <v/>
      </c>
      <c r="HR98" s="402">
        <f>IF(AND(222&gt;=$NR$98,222&lt;=$NS$98),IF($NP$98="Single_Point",IF(222=$NR$98,$NN$98,0),IF($NP$98="Bell_Curve",$NN$98*(222-$NR$98+1)*($NS$98-222+1)/$NU$98,$NN$98/$NT$98)),0)</f>
        <v/>
      </c>
      <c r="HS98" s="402">
        <f>IF(AND(223&gt;=$NR$98,223&lt;=$NS$98),IF($NP$98="Single_Point",IF(223=$NR$98,$NN$98,0),IF($NP$98="Bell_Curve",$NN$98*(223-$NR$98+1)*($NS$98-223+1)/$NU$98,$NN$98/$NT$98)),0)</f>
        <v/>
      </c>
      <c r="HT98" s="402">
        <f>IF(AND(224&gt;=$NR$98,224&lt;=$NS$98),IF($NP$98="Single_Point",IF(224=$NR$98,$NN$98,0),IF($NP$98="Bell_Curve",$NN$98*(224-$NR$98+1)*($NS$98-224+1)/$NU$98,$NN$98/$NT$98)),0)</f>
        <v/>
      </c>
      <c r="HU98" s="402">
        <f>IF(AND(225&gt;=$NR$98,225&lt;=$NS$98),IF($NP$98="Single_Point",IF(225=$NR$98,$NN$98,0),IF($NP$98="Bell_Curve",$NN$98*(225-$NR$98+1)*($NS$98-225+1)/$NU$98,$NN$98/$NT$98)),0)</f>
        <v/>
      </c>
      <c r="HV98" s="402">
        <f>IF(AND(226&gt;=$NR$98,226&lt;=$NS$98),IF($NP$98="Single_Point",IF(226=$NR$98,$NN$98,0),IF($NP$98="Bell_Curve",$NN$98*(226-$NR$98+1)*($NS$98-226+1)/$NU$98,$NN$98/$NT$98)),0)</f>
        <v/>
      </c>
      <c r="HW98" s="402">
        <f>IF(AND(227&gt;=$NR$98,227&lt;=$NS$98),IF($NP$98="Single_Point",IF(227=$NR$98,$NN$98,0),IF($NP$98="Bell_Curve",$NN$98*(227-$NR$98+1)*($NS$98-227+1)/$NU$98,$NN$98/$NT$98)),0)</f>
        <v/>
      </c>
      <c r="HX98" s="402">
        <f>IF(AND(228&gt;=$NR$98,228&lt;=$NS$98),IF($NP$98="Single_Point",IF(228=$NR$98,$NN$98,0),IF($NP$98="Bell_Curve",$NN$98*(228-$NR$98+1)*($NS$98-228+1)/$NU$98,$NN$98/$NT$98)),0)</f>
        <v/>
      </c>
      <c r="HY98" s="402">
        <f>IF(AND(229&gt;=$NR$98,229&lt;=$NS$98),IF($NP$98="Single_Point",IF(229=$NR$98,$NN$98,0),IF($NP$98="Bell_Curve",$NN$98*(229-$NR$98+1)*($NS$98-229+1)/$NU$98,$NN$98/$NT$98)),0)</f>
        <v/>
      </c>
      <c r="HZ98" s="402">
        <f>IF(AND(230&gt;=$NR$98,230&lt;=$NS$98),IF($NP$98="Single_Point",IF(230=$NR$98,$NN$98,0),IF($NP$98="Bell_Curve",$NN$98*(230-$NR$98+1)*($NS$98-230+1)/$NU$98,$NN$98/$NT$98)),0)</f>
        <v/>
      </c>
      <c r="IA98" s="402">
        <f>IF(AND(231&gt;=$NR$98,231&lt;=$NS$98),IF($NP$98="Single_Point",IF(231=$NR$98,$NN$98,0),IF($NP$98="Bell_Curve",$NN$98*(231-$NR$98+1)*($NS$98-231+1)/$NU$98,$NN$98/$NT$98)),0)</f>
        <v/>
      </c>
      <c r="IB98" s="402">
        <f>IF(AND(232&gt;=$NR$98,232&lt;=$NS$98),IF($NP$98="Single_Point",IF(232=$NR$98,$NN$98,0),IF($NP$98="Bell_Curve",$NN$98*(232-$NR$98+1)*($NS$98-232+1)/$NU$98,$NN$98/$NT$98)),0)</f>
        <v/>
      </c>
      <c r="IC98" s="402">
        <f>IF(AND(233&gt;=$NR$98,233&lt;=$NS$98),IF($NP$98="Single_Point",IF(233=$NR$98,$NN$98,0),IF($NP$98="Bell_Curve",$NN$98*(233-$NR$98+1)*($NS$98-233+1)/$NU$98,$NN$98/$NT$98)),0)</f>
        <v/>
      </c>
      <c r="ID98" s="402">
        <f>IF(AND(234&gt;=$NR$98,234&lt;=$NS$98),IF($NP$98="Single_Point",IF(234=$NR$98,$NN$98,0),IF($NP$98="Bell_Curve",$NN$98*(234-$NR$98+1)*($NS$98-234+1)/$NU$98,$NN$98/$NT$98)),0)</f>
        <v/>
      </c>
      <c r="IE98" s="402">
        <f>IF(AND(235&gt;=$NR$98,235&lt;=$NS$98),IF($NP$98="Single_Point",IF(235=$NR$98,$NN$98,0),IF($NP$98="Bell_Curve",$NN$98*(235-$NR$98+1)*($NS$98-235+1)/$NU$98,$NN$98/$NT$98)),0)</f>
        <v/>
      </c>
      <c r="IF98" s="402">
        <f>IF(AND(236&gt;=$NR$98,236&lt;=$NS$98),IF($NP$98="Single_Point",IF(236=$NR$98,$NN$98,0),IF($NP$98="Bell_Curve",$NN$98*(236-$NR$98+1)*($NS$98-236+1)/$NU$98,$NN$98/$NT$98)),0)</f>
        <v/>
      </c>
      <c r="IG98" s="402">
        <f>IF(AND(237&gt;=$NR$98,237&lt;=$NS$98),IF($NP$98="Single_Point",IF(237=$NR$98,$NN$98,0),IF($NP$98="Bell_Curve",$NN$98*(237-$NR$98+1)*($NS$98-237+1)/$NU$98,$NN$98/$NT$98)),0)</f>
        <v/>
      </c>
      <c r="IH98" s="402">
        <f>IF(AND(238&gt;=$NR$98,238&lt;=$NS$98),IF($NP$98="Single_Point",IF(238=$NR$98,$NN$98,0),IF($NP$98="Bell_Curve",$NN$98*(238-$NR$98+1)*($NS$98-238+1)/$NU$98,$NN$98/$NT$98)),0)</f>
        <v/>
      </c>
      <c r="II98" s="402">
        <f>IF(AND(239&gt;=$NR$98,239&lt;=$NS$98),IF($NP$98="Single_Point",IF(239=$NR$98,$NN$98,0),IF($NP$98="Bell_Curve",$NN$98*(239-$NR$98+1)*($NS$98-239+1)/$NU$98,$NN$98/$NT$98)),0)</f>
        <v/>
      </c>
      <c r="IJ98" s="402">
        <f>IF(AND(240&gt;=$NR$98,240&lt;=$NS$98),IF($NP$98="Single_Point",IF(240=$NR$98,$NN$98,0),IF($NP$98="Bell_Curve",$NN$98*(240-$NR$98+1)*($NS$98-240+1)/$NU$98,$NN$98/$NT$98)),0)</f>
        <v/>
      </c>
      <c r="IK98" s="402">
        <f>IF(AND(241&gt;=$NR$98,241&lt;=$NS$98),IF($NP$98="Single_Point",IF(241=$NR$98,$NN$98,0),IF($NP$98="Bell_Curve",$NN$98*(241-$NR$98+1)*($NS$98-241+1)/$NU$98,$NN$98/$NT$98)),0)</f>
        <v/>
      </c>
      <c r="IL98" s="402">
        <f>IF(AND(242&gt;=$NR$98,242&lt;=$NS$98),IF($NP$98="Single_Point",IF(242=$NR$98,$NN$98,0),IF($NP$98="Bell_Curve",$NN$98*(242-$NR$98+1)*($NS$98-242+1)/$NU$98,$NN$98/$NT$98)),0)</f>
        <v/>
      </c>
      <c r="IM98" s="402">
        <f>IF(AND(243&gt;=$NR$98,243&lt;=$NS$98),IF($NP$98="Single_Point",IF(243=$NR$98,$NN$98,0),IF($NP$98="Bell_Curve",$NN$98*(243-$NR$98+1)*($NS$98-243+1)/$NU$98,$NN$98/$NT$98)),0)</f>
        <v/>
      </c>
      <c r="IN98" s="402">
        <f>IF(AND(244&gt;=$NR$98,244&lt;=$NS$98),IF($NP$98="Single_Point",IF(244=$NR$98,$NN$98,0),IF($NP$98="Bell_Curve",$NN$98*(244-$NR$98+1)*($NS$98-244+1)/$NU$98,$NN$98/$NT$98)),0)</f>
        <v/>
      </c>
      <c r="IO98" s="402">
        <f>IF(AND(245&gt;=$NR$98,245&lt;=$NS$98),IF($NP$98="Single_Point",IF(245=$NR$98,$NN$98,0),IF($NP$98="Bell_Curve",$NN$98*(245-$NR$98+1)*($NS$98-245+1)/$NU$98,$NN$98/$NT$98)),0)</f>
        <v/>
      </c>
      <c r="IP98" s="402">
        <f>IF(AND(246&gt;=$NR$98,246&lt;=$NS$98),IF($NP$98="Single_Point",IF(246=$NR$98,$NN$98,0),IF($NP$98="Bell_Curve",$NN$98*(246-$NR$98+1)*($NS$98-246+1)/$NU$98,$NN$98/$NT$98)),0)</f>
        <v/>
      </c>
      <c r="IQ98" s="402">
        <f>IF(AND(247&gt;=$NR$98,247&lt;=$NS$98),IF($NP$98="Single_Point",IF(247=$NR$98,$NN$98,0),IF($NP$98="Bell_Curve",$NN$98*(247-$NR$98+1)*($NS$98-247+1)/$NU$98,$NN$98/$NT$98)),0)</f>
        <v/>
      </c>
      <c r="IR98" s="402">
        <f>IF(AND(248&gt;=$NR$98,248&lt;=$NS$98),IF($NP$98="Single_Point",IF(248=$NR$98,$NN$98,0),IF($NP$98="Bell_Curve",$NN$98*(248-$NR$98+1)*($NS$98-248+1)/$NU$98,$NN$98/$NT$98)),0)</f>
        <v/>
      </c>
      <c r="IS98" s="402">
        <f>IF(AND(249&gt;=$NR$98,249&lt;=$NS$98),IF($NP$98="Single_Point",IF(249=$NR$98,$NN$98,0),IF($NP$98="Bell_Curve",$NN$98*(249-$NR$98+1)*($NS$98-249+1)/$NU$98,$NN$98/$NT$98)),0)</f>
        <v/>
      </c>
      <c r="IT98" s="402">
        <f>IF(AND(250&gt;=$NR$98,250&lt;=$NS$98),IF($NP$98="Single_Point",IF(250=$NR$98,$NN$98,0),IF($NP$98="Bell_Curve",$NN$98*(250-$NR$98+1)*($NS$98-250+1)/$NU$98,$NN$98/$NT$98)),0)</f>
        <v/>
      </c>
      <c r="IU98" s="402">
        <f>IF(AND(251&gt;=$NR$98,251&lt;=$NS$98),IF($NP$98="Single_Point",IF(251=$NR$98,$NN$98,0),IF($NP$98="Bell_Curve",$NN$98*(251-$NR$98+1)*($NS$98-251+1)/$NU$98,$NN$98/$NT$98)),0)</f>
        <v/>
      </c>
      <c r="IV98" s="402">
        <f>IF(AND(252&gt;=$NR$98,252&lt;=$NS$98),IF($NP$98="Single_Point",IF(252=$NR$98,$NN$98,0),IF($NP$98="Bell_Curve",$NN$98*(252-$NR$98+1)*($NS$98-252+1)/$NU$98,$NN$98/$NT$98)),0)</f>
        <v/>
      </c>
      <c r="IW98" s="402">
        <f>IF(AND(253&gt;=$NR$98,253&lt;=$NS$98),IF($NP$98="Single_Point",IF(253=$NR$98,$NN$98,0),IF($NP$98="Bell_Curve",$NN$98*(253-$NR$98+1)*($NS$98-253+1)/$NU$98,$NN$98/$NT$98)),0)</f>
        <v/>
      </c>
      <c r="IX98" s="402">
        <f>IF(AND(254&gt;=$NR$98,254&lt;=$NS$98),IF($NP$98="Single_Point",IF(254=$NR$98,$NN$98,0),IF($NP$98="Bell_Curve",$NN$98*(254-$NR$98+1)*($NS$98-254+1)/$NU$98,$NN$98/$NT$98)),0)</f>
        <v/>
      </c>
      <c r="IY98" s="402">
        <f>IF(AND(255&gt;=$NR$98,255&lt;=$NS$98),IF($NP$98="Single_Point",IF(255=$NR$98,$NN$98,0),IF($NP$98="Bell_Curve",$NN$98*(255-$NR$98+1)*($NS$98-255+1)/$NU$98,$NN$98/$NT$98)),0)</f>
        <v/>
      </c>
      <c r="IZ98" s="402">
        <f>IF(AND(256&gt;=$NR$98,256&lt;=$NS$98),IF($NP$98="Single_Point",IF(256=$NR$98,$NN$98,0),IF($NP$98="Bell_Curve",$NN$98*(256-$NR$98+1)*($NS$98-256+1)/$NU$98,$NN$98/$NT$98)),0)</f>
        <v/>
      </c>
      <c r="JA98" s="402">
        <f>IF(AND(257&gt;=$NR$98,257&lt;=$NS$98),IF($NP$98="Single_Point",IF(257=$NR$98,$NN$98,0),IF($NP$98="Bell_Curve",$NN$98*(257-$NR$98+1)*($NS$98-257+1)/$NU$98,$NN$98/$NT$98)),0)</f>
        <v/>
      </c>
      <c r="JB98" s="402">
        <f>IF(AND(258&gt;=$NR$98,258&lt;=$NS$98),IF($NP$98="Single_Point",IF(258=$NR$98,$NN$98,0),IF($NP$98="Bell_Curve",$NN$98*(258-$NR$98+1)*($NS$98-258+1)/$NU$98,$NN$98/$NT$98)),0)</f>
        <v/>
      </c>
      <c r="JC98" s="402">
        <f>IF(AND(259&gt;=$NR$98,259&lt;=$NS$98),IF($NP$98="Single_Point",IF(259=$NR$98,$NN$98,0),IF($NP$98="Bell_Curve",$NN$98*(259-$NR$98+1)*($NS$98-259+1)/$NU$98,$NN$98/$NT$98)),0)</f>
        <v/>
      </c>
      <c r="JD98" s="402">
        <f>IF(AND(260&gt;=$NR$98,260&lt;=$NS$98),IF($NP$98="Single_Point",IF(260=$NR$98,$NN$98,0),IF($NP$98="Bell_Curve",$NN$98*(260-$NR$98+1)*($NS$98-260+1)/$NU$98,$NN$98/$NT$98)),0)</f>
        <v/>
      </c>
      <c r="JE98" s="402">
        <f>IF(AND(261&gt;=$NR$98,261&lt;=$NS$98),IF($NP$98="Single_Point",IF(261=$NR$98,$NN$98,0),IF($NP$98="Bell_Curve",$NN$98*(261-$NR$98+1)*($NS$98-261+1)/$NU$98,$NN$98/$NT$98)),0)</f>
        <v/>
      </c>
      <c r="JF98" s="402">
        <f>IF(AND(262&gt;=$NR$98,262&lt;=$NS$98),IF($NP$98="Single_Point",IF(262=$NR$98,$NN$98,0),IF($NP$98="Bell_Curve",$NN$98*(262-$NR$98+1)*($NS$98-262+1)/$NU$98,$NN$98/$NT$98)),0)</f>
        <v/>
      </c>
      <c r="JG98" s="402">
        <f>IF(AND(263&gt;=$NR$98,263&lt;=$NS$98),IF($NP$98="Single_Point",IF(263=$NR$98,$NN$98,0),IF($NP$98="Bell_Curve",$NN$98*(263-$NR$98+1)*($NS$98-263+1)/$NU$98,$NN$98/$NT$98)),0)</f>
        <v/>
      </c>
      <c r="JH98" s="402">
        <f>IF(AND(264&gt;=$NR$98,264&lt;=$NS$98),IF($NP$98="Single_Point",IF(264=$NR$98,$NN$98,0),IF($NP$98="Bell_Curve",$NN$98*(264-$NR$98+1)*($NS$98-264+1)/$NU$98,$NN$98/$NT$98)),0)</f>
        <v/>
      </c>
      <c r="JI98" s="402">
        <f>IF(AND(265&gt;=$NR$98,265&lt;=$NS$98),IF($NP$98="Single_Point",IF(265=$NR$98,$NN$98,0),IF($NP$98="Bell_Curve",$NN$98*(265-$NR$98+1)*($NS$98-265+1)/$NU$98,$NN$98/$NT$98)),0)</f>
        <v/>
      </c>
      <c r="JJ98" s="402">
        <f>IF(AND(266&gt;=$NR$98,266&lt;=$NS$98),IF($NP$98="Single_Point",IF(266=$NR$98,$NN$98,0),IF($NP$98="Bell_Curve",$NN$98*(266-$NR$98+1)*($NS$98-266+1)/$NU$98,$NN$98/$NT$98)),0)</f>
        <v/>
      </c>
      <c r="JK98" s="402">
        <f>IF(AND(267&gt;=$NR$98,267&lt;=$NS$98),IF($NP$98="Single_Point",IF(267=$NR$98,$NN$98,0),IF($NP$98="Bell_Curve",$NN$98*(267-$NR$98+1)*($NS$98-267+1)/$NU$98,$NN$98/$NT$98)),0)</f>
        <v/>
      </c>
      <c r="JL98" s="402">
        <f>IF(AND(268&gt;=$NR$98,268&lt;=$NS$98),IF($NP$98="Single_Point",IF(268=$NR$98,$NN$98,0),IF($NP$98="Bell_Curve",$NN$98*(268-$NR$98+1)*($NS$98-268+1)/$NU$98,$NN$98/$NT$98)),0)</f>
        <v/>
      </c>
      <c r="JM98" s="402">
        <f>IF(AND(269&gt;=$NR$98,269&lt;=$NS$98),IF($NP$98="Single_Point",IF(269=$NR$98,$NN$98,0),IF($NP$98="Bell_Curve",$NN$98*(269-$NR$98+1)*($NS$98-269+1)/$NU$98,$NN$98/$NT$98)),0)</f>
        <v/>
      </c>
      <c r="JN98" s="402">
        <f>IF(AND(270&gt;=$NR$98,270&lt;=$NS$98),IF($NP$98="Single_Point",IF(270=$NR$98,$NN$98,0),IF($NP$98="Bell_Curve",$NN$98*(270-$NR$98+1)*($NS$98-270+1)/$NU$98,$NN$98/$NT$98)),0)</f>
        <v/>
      </c>
      <c r="JO98" s="402">
        <f>IF(AND(271&gt;=$NR$98,271&lt;=$NS$98),IF($NP$98="Single_Point",IF(271=$NR$98,$NN$98,0),IF($NP$98="Bell_Curve",$NN$98*(271-$NR$98+1)*($NS$98-271+1)/$NU$98,$NN$98/$NT$98)),0)</f>
        <v/>
      </c>
      <c r="JP98" s="402">
        <f>IF(AND(272&gt;=$NR$98,272&lt;=$NS$98),IF($NP$98="Single_Point",IF(272=$NR$98,$NN$98,0),IF($NP$98="Bell_Curve",$NN$98*(272-$NR$98+1)*($NS$98-272+1)/$NU$98,$NN$98/$NT$98)),0)</f>
        <v/>
      </c>
      <c r="JQ98" s="402">
        <f>IF(AND(273&gt;=$NR$98,273&lt;=$NS$98),IF($NP$98="Single_Point",IF(273=$NR$98,$NN$98,0),IF($NP$98="Bell_Curve",$NN$98*(273-$NR$98+1)*($NS$98-273+1)/$NU$98,$NN$98/$NT$98)),0)</f>
        <v/>
      </c>
      <c r="JR98" s="402">
        <f>IF(AND(274&gt;=$NR$98,274&lt;=$NS$98),IF($NP$98="Single_Point",IF(274=$NR$98,$NN$98,0),IF($NP$98="Bell_Curve",$NN$98*(274-$NR$98+1)*($NS$98-274+1)/$NU$98,$NN$98/$NT$98)),0)</f>
        <v/>
      </c>
      <c r="JS98" s="402">
        <f>IF(AND(275&gt;=$NR$98,275&lt;=$NS$98),IF($NP$98="Single_Point",IF(275=$NR$98,$NN$98,0),IF($NP$98="Bell_Curve",$NN$98*(275-$NR$98+1)*($NS$98-275+1)/$NU$98,$NN$98/$NT$98)),0)</f>
        <v/>
      </c>
      <c r="JT98" s="402">
        <f>IF(AND(276&gt;=$NR$98,276&lt;=$NS$98),IF($NP$98="Single_Point",IF(276=$NR$98,$NN$98,0),IF($NP$98="Bell_Curve",$NN$98*(276-$NR$98+1)*($NS$98-276+1)/$NU$98,$NN$98/$NT$98)),0)</f>
        <v/>
      </c>
      <c r="JU98" s="402">
        <f>IF(AND(277&gt;=$NR$98,277&lt;=$NS$98),IF($NP$98="Single_Point",IF(277=$NR$98,$NN$98,0),IF($NP$98="Bell_Curve",$NN$98*(277-$NR$98+1)*($NS$98-277+1)/$NU$98,$NN$98/$NT$98)),0)</f>
        <v/>
      </c>
      <c r="JV98" s="402">
        <f>IF(AND(278&gt;=$NR$98,278&lt;=$NS$98),IF($NP$98="Single_Point",IF(278=$NR$98,$NN$98,0),IF($NP$98="Bell_Curve",$NN$98*(278-$NR$98+1)*($NS$98-278+1)/$NU$98,$NN$98/$NT$98)),0)</f>
        <v/>
      </c>
      <c r="JW98" s="402">
        <f>IF(AND(279&gt;=$NR$98,279&lt;=$NS$98),IF($NP$98="Single_Point",IF(279=$NR$98,$NN$98,0),IF($NP$98="Bell_Curve",$NN$98*(279-$NR$98+1)*($NS$98-279+1)/$NU$98,$NN$98/$NT$98)),0)</f>
        <v/>
      </c>
      <c r="JX98" s="402">
        <f>IF(AND(280&gt;=$NR$98,280&lt;=$NS$98),IF($NP$98="Single_Point",IF(280=$NR$98,$NN$98,0),IF($NP$98="Bell_Curve",$NN$98*(280-$NR$98+1)*($NS$98-280+1)/$NU$98,$NN$98/$NT$98)),0)</f>
        <v/>
      </c>
      <c r="JY98" s="402">
        <f>IF(AND(281&gt;=$NR$98,281&lt;=$NS$98),IF($NP$98="Single_Point",IF(281=$NR$98,$NN$98,0),IF($NP$98="Bell_Curve",$NN$98*(281-$NR$98+1)*($NS$98-281+1)/$NU$98,$NN$98/$NT$98)),0)</f>
        <v/>
      </c>
      <c r="JZ98" s="402">
        <f>IF(AND(282&gt;=$NR$98,282&lt;=$NS$98),IF($NP$98="Single_Point",IF(282=$NR$98,$NN$98,0),IF($NP$98="Bell_Curve",$NN$98*(282-$NR$98+1)*($NS$98-282+1)/$NU$98,$NN$98/$NT$98)),0)</f>
        <v/>
      </c>
      <c r="KA98" s="402">
        <f>IF(AND(283&gt;=$NR$98,283&lt;=$NS$98),IF($NP$98="Single_Point",IF(283=$NR$98,$NN$98,0),IF($NP$98="Bell_Curve",$NN$98*(283-$NR$98+1)*($NS$98-283+1)/$NU$98,$NN$98/$NT$98)),0)</f>
        <v/>
      </c>
      <c r="KB98" s="402">
        <f>IF(AND(284&gt;=$NR$98,284&lt;=$NS$98),IF($NP$98="Single_Point",IF(284=$NR$98,$NN$98,0),IF($NP$98="Bell_Curve",$NN$98*(284-$NR$98+1)*($NS$98-284+1)/$NU$98,$NN$98/$NT$98)),0)</f>
        <v/>
      </c>
      <c r="KC98" s="402">
        <f>IF(AND(285&gt;=$NR$98,285&lt;=$NS$98),IF($NP$98="Single_Point",IF(285=$NR$98,$NN$98,0),IF($NP$98="Bell_Curve",$NN$98*(285-$NR$98+1)*($NS$98-285+1)/$NU$98,$NN$98/$NT$98)),0)</f>
        <v/>
      </c>
      <c r="KD98" s="402">
        <f>IF(AND(286&gt;=$NR$98,286&lt;=$NS$98),IF($NP$98="Single_Point",IF(286=$NR$98,$NN$98,0),IF($NP$98="Bell_Curve",$NN$98*(286-$NR$98+1)*($NS$98-286+1)/$NU$98,$NN$98/$NT$98)),0)</f>
        <v/>
      </c>
      <c r="KE98" s="402">
        <f>IF(AND(287&gt;=$NR$98,287&lt;=$NS$98),IF($NP$98="Single_Point",IF(287=$NR$98,$NN$98,0),IF($NP$98="Bell_Curve",$NN$98*(287-$NR$98+1)*($NS$98-287+1)/$NU$98,$NN$98/$NT$98)),0)</f>
        <v/>
      </c>
      <c r="KF98" s="402">
        <f>IF(AND(288&gt;=$NR$98,288&lt;=$NS$98),IF($NP$98="Single_Point",IF(288=$NR$98,$NN$98,0),IF($NP$98="Bell_Curve",$NN$98*(288-$NR$98+1)*($NS$98-288+1)/$NU$98,$NN$98/$NT$98)),0)</f>
        <v/>
      </c>
      <c r="KG98" s="402">
        <f>IF(AND(289&gt;=$NR$98,289&lt;=$NS$98),IF($NP$98="Single_Point",IF(289=$NR$98,$NN$98,0),IF($NP$98="Bell_Curve",$NN$98*(289-$NR$98+1)*($NS$98-289+1)/$NU$98,$NN$98/$NT$98)),0)</f>
        <v/>
      </c>
      <c r="KH98" s="402">
        <f>IF(AND(290&gt;=$NR$98,290&lt;=$NS$98),IF($NP$98="Single_Point",IF(290=$NR$98,$NN$98,0),IF($NP$98="Bell_Curve",$NN$98*(290-$NR$98+1)*($NS$98-290+1)/$NU$98,$NN$98/$NT$98)),0)</f>
        <v/>
      </c>
      <c r="KI98" s="402">
        <f>IF(AND(291&gt;=$NR$98,291&lt;=$NS$98),IF($NP$98="Single_Point",IF(291=$NR$98,$NN$98,0),IF($NP$98="Bell_Curve",$NN$98*(291-$NR$98+1)*($NS$98-291+1)/$NU$98,$NN$98/$NT$98)),0)</f>
        <v/>
      </c>
      <c r="KJ98" s="402">
        <f>IF(AND(292&gt;=$NR$98,292&lt;=$NS$98),IF($NP$98="Single_Point",IF(292=$NR$98,$NN$98,0),IF($NP$98="Bell_Curve",$NN$98*(292-$NR$98+1)*($NS$98-292+1)/$NU$98,$NN$98/$NT$98)),0)</f>
        <v/>
      </c>
      <c r="KK98" s="402">
        <f>IF(AND(293&gt;=$NR$98,293&lt;=$NS$98),IF($NP$98="Single_Point",IF(293=$NR$98,$NN$98,0),IF($NP$98="Bell_Curve",$NN$98*(293-$NR$98+1)*($NS$98-293+1)/$NU$98,$NN$98/$NT$98)),0)</f>
        <v/>
      </c>
      <c r="KL98" s="402">
        <f>IF(AND(294&gt;=$NR$98,294&lt;=$NS$98),IF($NP$98="Single_Point",IF(294=$NR$98,$NN$98,0),IF($NP$98="Bell_Curve",$NN$98*(294-$NR$98+1)*($NS$98-294+1)/$NU$98,$NN$98/$NT$98)),0)</f>
        <v/>
      </c>
      <c r="KM98" s="402">
        <f>IF(AND(295&gt;=$NR$98,295&lt;=$NS$98),IF($NP$98="Single_Point",IF(295=$NR$98,$NN$98,0),IF($NP$98="Bell_Curve",$NN$98*(295-$NR$98+1)*($NS$98-295+1)/$NU$98,$NN$98/$NT$98)),0)</f>
        <v/>
      </c>
      <c r="KN98" s="402">
        <f>IF(AND(296&gt;=$NR$98,296&lt;=$NS$98),IF($NP$98="Single_Point",IF(296=$NR$98,$NN$98,0),IF($NP$98="Bell_Curve",$NN$98*(296-$NR$98+1)*($NS$98-296+1)/$NU$98,$NN$98/$NT$98)),0)</f>
        <v/>
      </c>
      <c r="KO98" s="402">
        <f>IF(AND(297&gt;=$NR$98,297&lt;=$NS$98),IF($NP$98="Single_Point",IF(297=$NR$98,$NN$98,0),IF($NP$98="Bell_Curve",$NN$98*(297-$NR$98+1)*($NS$98-297+1)/$NU$98,$NN$98/$NT$98)),0)</f>
        <v/>
      </c>
      <c r="KP98" s="402">
        <f>IF(AND(298&gt;=$NR$98,298&lt;=$NS$98),IF($NP$98="Single_Point",IF(298=$NR$98,$NN$98,0),IF($NP$98="Bell_Curve",$NN$98*(298-$NR$98+1)*($NS$98-298+1)/$NU$98,$NN$98/$NT$98)),0)</f>
        <v/>
      </c>
      <c r="KQ98" s="402">
        <f>IF(AND(299&gt;=$NR$98,299&lt;=$NS$98),IF($NP$98="Single_Point",IF(299=$NR$98,$NN$98,0),IF($NP$98="Bell_Curve",$NN$98*(299-$NR$98+1)*($NS$98-299+1)/$NU$98,$NN$98/$NT$98)),0)</f>
        <v/>
      </c>
      <c r="KR98" s="402">
        <f>IF(AND(300&gt;=$NR$98,300&lt;=$NS$98),IF($NP$98="Single_Point",IF(300=$NR$98,$NN$98,0),IF($NP$98="Bell_Curve",$NN$98*(300-$NR$98+1)*($NS$98-300+1)/$NU$98,$NN$98/$NT$98)),0)</f>
        <v/>
      </c>
      <c r="KS98" s="402">
        <f>IF(AND(301&gt;=$NR$98,301&lt;=$NS$98),IF($NP$98="Single_Point",IF(301=$NR$98,$NN$98,0),IF($NP$98="Bell_Curve",$NN$98*(301-$NR$98+1)*($NS$98-301+1)/$NU$98,$NN$98/$NT$98)),0)</f>
        <v/>
      </c>
      <c r="KT98" s="402">
        <f>IF(AND(302&gt;=$NR$98,302&lt;=$NS$98),IF($NP$98="Single_Point",IF(302=$NR$98,$NN$98,0),IF($NP$98="Bell_Curve",$NN$98*(302-$NR$98+1)*($NS$98-302+1)/$NU$98,$NN$98/$NT$98)),0)</f>
        <v/>
      </c>
      <c r="KU98" s="402">
        <f>IF(AND(303&gt;=$NR$98,303&lt;=$NS$98),IF($NP$98="Single_Point",IF(303=$NR$98,$NN$98,0),IF($NP$98="Bell_Curve",$NN$98*(303-$NR$98+1)*($NS$98-303+1)/$NU$98,$NN$98/$NT$98)),0)</f>
        <v/>
      </c>
      <c r="KV98" s="402">
        <f>IF(AND(304&gt;=$NR$98,304&lt;=$NS$98),IF($NP$98="Single_Point",IF(304=$NR$98,$NN$98,0),IF($NP$98="Bell_Curve",$NN$98*(304-$NR$98+1)*($NS$98-304+1)/$NU$98,$NN$98/$NT$98)),0)</f>
        <v/>
      </c>
      <c r="KW98" s="402">
        <f>IF(AND(305&gt;=$NR$98,305&lt;=$NS$98),IF($NP$98="Single_Point",IF(305=$NR$98,$NN$98,0),IF($NP$98="Bell_Curve",$NN$98*(305-$NR$98+1)*($NS$98-305+1)/$NU$98,$NN$98/$NT$98)),0)</f>
        <v/>
      </c>
      <c r="KX98" s="402">
        <f>IF(AND(306&gt;=$NR$98,306&lt;=$NS$98),IF($NP$98="Single_Point",IF(306=$NR$98,$NN$98,0),IF($NP$98="Bell_Curve",$NN$98*(306-$NR$98+1)*($NS$98-306+1)/$NU$98,$NN$98/$NT$98)),0)</f>
        <v/>
      </c>
      <c r="KY98" s="402">
        <f>IF(AND(307&gt;=$NR$98,307&lt;=$NS$98),IF($NP$98="Single_Point",IF(307=$NR$98,$NN$98,0),IF($NP$98="Bell_Curve",$NN$98*(307-$NR$98+1)*($NS$98-307+1)/$NU$98,$NN$98/$NT$98)),0)</f>
        <v/>
      </c>
      <c r="KZ98" s="402">
        <f>IF(AND(308&gt;=$NR$98,308&lt;=$NS$98),IF($NP$98="Single_Point",IF(308=$NR$98,$NN$98,0),IF($NP$98="Bell_Curve",$NN$98*(308-$NR$98+1)*($NS$98-308+1)/$NU$98,$NN$98/$NT$98)),0)</f>
        <v/>
      </c>
      <c r="LA98" s="402">
        <f>IF(AND(309&gt;=$NR$98,309&lt;=$NS$98),IF($NP$98="Single_Point",IF(309=$NR$98,$NN$98,0),IF($NP$98="Bell_Curve",$NN$98*(309-$NR$98+1)*($NS$98-309+1)/$NU$98,$NN$98/$NT$98)),0)</f>
        <v/>
      </c>
      <c r="LB98" s="402">
        <f>IF(AND(310&gt;=$NR$98,310&lt;=$NS$98),IF($NP$98="Single_Point",IF(310=$NR$98,$NN$98,0),IF($NP$98="Bell_Curve",$NN$98*(310-$NR$98+1)*($NS$98-310+1)/$NU$98,$NN$98/$NT$98)),0)</f>
        <v/>
      </c>
      <c r="LC98" s="402">
        <f>IF(AND(311&gt;=$NR$98,311&lt;=$NS$98),IF($NP$98="Single_Point",IF(311=$NR$98,$NN$98,0),IF($NP$98="Bell_Curve",$NN$98*(311-$NR$98+1)*($NS$98-311+1)/$NU$98,$NN$98/$NT$98)),0)</f>
        <v/>
      </c>
      <c r="LD98" s="402">
        <f>IF(AND(312&gt;=$NR$98,312&lt;=$NS$98),IF($NP$98="Single_Point",IF(312=$NR$98,$NN$98,0),IF($NP$98="Bell_Curve",$NN$98*(312-$NR$98+1)*($NS$98-312+1)/$NU$98,$NN$98/$NT$98)),0)</f>
        <v/>
      </c>
      <c r="LE98" s="402">
        <f>IF(AND(313&gt;=$NR$98,313&lt;=$NS$98),IF($NP$98="Single_Point",IF(313=$NR$98,$NN$98,0),IF($NP$98="Bell_Curve",$NN$98*(313-$NR$98+1)*($NS$98-313+1)/$NU$98,$NN$98/$NT$98)),0)</f>
        <v/>
      </c>
      <c r="LF98" s="402">
        <f>IF(AND(314&gt;=$NR$98,314&lt;=$NS$98),IF($NP$98="Single_Point",IF(314=$NR$98,$NN$98,0),IF($NP$98="Bell_Curve",$NN$98*(314-$NR$98+1)*($NS$98-314+1)/$NU$98,$NN$98/$NT$98)),0)</f>
        <v/>
      </c>
      <c r="LG98" s="402">
        <f>IF(AND(315&gt;=$NR$98,315&lt;=$NS$98),IF($NP$98="Single_Point",IF(315=$NR$98,$NN$98,0),IF($NP$98="Bell_Curve",$NN$98*(315-$NR$98+1)*($NS$98-315+1)/$NU$98,$NN$98/$NT$98)),0)</f>
        <v/>
      </c>
      <c r="LH98" s="402">
        <f>IF(AND(316&gt;=$NR$98,316&lt;=$NS$98),IF($NP$98="Single_Point",IF(316=$NR$98,$NN$98,0),IF($NP$98="Bell_Curve",$NN$98*(316-$NR$98+1)*($NS$98-316+1)/$NU$98,$NN$98/$NT$98)),0)</f>
        <v/>
      </c>
      <c r="LI98" s="402">
        <f>IF(AND(317&gt;=$NR$98,317&lt;=$NS$98),IF($NP$98="Single_Point",IF(317=$NR$98,$NN$98,0),IF($NP$98="Bell_Curve",$NN$98*(317-$NR$98+1)*($NS$98-317+1)/$NU$98,$NN$98/$NT$98)),0)</f>
        <v/>
      </c>
      <c r="LJ98" s="402">
        <f>IF(AND(318&gt;=$NR$98,318&lt;=$NS$98),IF($NP$98="Single_Point",IF(318=$NR$98,$NN$98,0),IF($NP$98="Bell_Curve",$NN$98*(318-$NR$98+1)*($NS$98-318+1)/$NU$98,$NN$98/$NT$98)),0)</f>
        <v/>
      </c>
      <c r="LK98" s="402">
        <f>IF(AND(319&gt;=$NR$98,319&lt;=$NS$98),IF($NP$98="Single_Point",IF(319=$NR$98,$NN$98,0),IF($NP$98="Bell_Curve",$NN$98*(319-$NR$98+1)*($NS$98-319+1)/$NU$98,$NN$98/$NT$98)),0)</f>
        <v/>
      </c>
      <c r="LL98" s="402">
        <f>IF(AND(320&gt;=$NR$98,320&lt;=$NS$98),IF($NP$98="Single_Point",IF(320=$NR$98,$NN$98,0),IF($NP$98="Bell_Curve",$NN$98*(320-$NR$98+1)*($NS$98-320+1)/$NU$98,$NN$98/$NT$98)),0)</f>
        <v/>
      </c>
      <c r="LM98" s="402">
        <f>IF(AND(321&gt;=$NR$98,321&lt;=$NS$98),IF($NP$98="Single_Point",IF(321=$NR$98,$NN$98,0),IF($NP$98="Bell_Curve",$NN$98*(321-$NR$98+1)*($NS$98-321+1)/$NU$98,$NN$98/$NT$98)),0)</f>
        <v/>
      </c>
      <c r="LN98" s="402">
        <f>IF(AND(322&gt;=$NR$98,322&lt;=$NS$98),IF($NP$98="Single_Point",IF(322=$NR$98,$NN$98,0),IF($NP$98="Bell_Curve",$NN$98*(322-$NR$98+1)*($NS$98-322+1)/$NU$98,$NN$98/$NT$98)),0)</f>
        <v/>
      </c>
      <c r="LO98" s="402">
        <f>IF(AND(323&gt;=$NR$98,323&lt;=$NS$98),IF($NP$98="Single_Point",IF(323=$NR$98,$NN$98,0),IF($NP$98="Bell_Curve",$NN$98*(323-$NR$98+1)*($NS$98-323+1)/$NU$98,$NN$98/$NT$98)),0)</f>
        <v/>
      </c>
      <c r="LP98" s="402">
        <f>IF(AND(324&gt;=$NR$98,324&lt;=$NS$98),IF($NP$98="Single_Point",IF(324=$NR$98,$NN$98,0),IF($NP$98="Bell_Curve",$NN$98*(324-$NR$98+1)*($NS$98-324+1)/$NU$98,$NN$98/$NT$98)),0)</f>
        <v/>
      </c>
      <c r="LQ98" s="402">
        <f>IF(AND(325&gt;=$NR$98,325&lt;=$NS$98),IF($NP$98="Single_Point",IF(325=$NR$98,$NN$98,0),IF($NP$98="Bell_Curve",$NN$98*(325-$NR$98+1)*($NS$98-325+1)/$NU$98,$NN$98/$NT$98)),0)</f>
        <v/>
      </c>
      <c r="LR98" s="402">
        <f>IF(AND(326&gt;=$NR$98,326&lt;=$NS$98),IF($NP$98="Single_Point",IF(326=$NR$98,$NN$98,0),IF($NP$98="Bell_Curve",$NN$98*(326-$NR$98+1)*($NS$98-326+1)/$NU$98,$NN$98/$NT$98)),0)</f>
        <v/>
      </c>
      <c r="LS98" s="402">
        <f>IF(AND(327&gt;=$NR$98,327&lt;=$NS$98),IF($NP$98="Single_Point",IF(327=$NR$98,$NN$98,0),IF($NP$98="Bell_Curve",$NN$98*(327-$NR$98+1)*($NS$98-327+1)/$NU$98,$NN$98/$NT$98)),0)</f>
        <v/>
      </c>
      <c r="LT98" s="402">
        <f>IF(AND(328&gt;=$NR$98,328&lt;=$NS$98),IF($NP$98="Single_Point",IF(328=$NR$98,$NN$98,0),IF($NP$98="Bell_Curve",$NN$98*(328-$NR$98+1)*($NS$98-328+1)/$NU$98,$NN$98/$NT$98)),0)</f>
        <v/>
      </c>
      <c r="LU98" s="402">
        <f>IF(AND(329&gt;=$NR$98,329&lt;=$NS$98),IF($NP$98="Single_Point",IF(329=$NR$98,$NN$98,0),IF($NP$98="Bell_Curve",$NN$98*(329-$NR$98+1)*($NS$98-329+1)/$NU$98,$NN$98/$NT$98)),0)</f>
        <v/>
      </c>
      <c r="LV98" s="402">
        <f>IF(AND(330&gt;=$NR$98,330&lt;=$NS$98),IF($NP$98="Single_Point",IF(330=$NR$98,$NN$98,0),IF($NP$98="Bell_Curve",$NN$98*(330-$NR$98+1)*($NS$98-330+1)/$NU$98,$NN$98/$NT$98)),0)</f>
        <v/>
      </c>
      <c r="LW98" s="402">
        <f>IF(AND(331&gt;=$NR$98,331&lt;=$NS$98),IF($NP$98="Single_Point",IF(331=$NR$98,$NN$98,0),IF($NP$98="Bell_Curve",$NN$98*(331-$NR$98+1)*($NS$98-331+1)/$NU$98,$NN$98/$NT$98)),0)</f>
        <v/>
      </c>
      <c r="LX98" s="402">
        <f>IF(AND(332&gt;=$NR$98,332&lt;=$NS$98),IF($NP$98="Single_Point",IF(332=$NR$98,$NN$98,0),IF($NP$98="Bell_Curve",$NN$98*(332-$NR$98+1)*($NS$98-332+1)/$NU$98,$NN$98/$NT$98)),0)</f>
        <v/>
      </c>
      <c r="LY98" s="402">
        <f>IF(AND(333&gt;=$NR$98,333&lt;=$NS$98),IF($NP$98="Single_Point",IF(333=$NR$98,$NN$98,0),IF($NP$98="Bell_Curve",$NN$98*(333-$NR$98+1)*($NS$98-333+1)/$NU$98,$NN$98/$NT$98)),0)</f>
        <v/>
      </c>
      <c r="LZ98" s="402">
        <f>IF(AND(334&gt;=$NR$98,334&lt;=$NS$98),IF($NP$98="Single_Point",IF(334=$NR$98,$NN$98,0),IF($NP$98="Bell_Curve",$NN$98*(334-$NR$98+1)*($NS$98-334+1)/$NU$98,$NN$98/$NT$98)),0)</f>
        <v/>
      </c>
      <c r="MA98" s="402">
        <f>IF(AND(335&gt;=$NR$98,335&lt;=$NS$98),IF($NP$98="Single_Point",IF(335=$NR$98,$NN$98,0),IF($NP$98="Bell_Curve",$NN$98*(335-$NR$98+1)*($NS$98-335+1)/$NU$98,$NN$98/$NT$98)),0)</f>
        <v/>
      </c>
      <c r="MB98" s="402">
        <f>IF(AND(336&gt;=$NR$98,336&lt;=$NS$98),IF($NP$98="Single_Point",IF(336=$NR$98,$NN$98,0),IF($NP$98="Bell_Curve",$NN$98*(336-$NR$98+1)*($NS$98-336+1)/$NU$98,$NN$98/$NT$98)),0)</f>
        <v/>
      </c>
      <c r="MC98" s="402">
        <f>IF(AND(337&gt;=$NR$98,337&lt;=$NS$98),IF($NP$98="Single_Point",IF(337=$NR$98,$NN$98,0),IF($NP$98="Bell_Curve",$NN$98*(337-$NR$98+1)*($NS$98-337+1)/$NU$98,$NN$98/$NT$98)),0)</f>
        <v/>
      </c>
      <c r="MD98" s="402">
        <f>IF(AND(338&gt;=$NR$98,338&lt;=$NS$98),IF($NP$98="Single_Point",IF(338=$NR$98,$NN$98,0),IF($NP$98="Bell_Curve",$NN$98*(338-$NR$98+1)*($NS$98-338+1)/$NU$98,$NN$98/$NT$98)),0)</f>
        <v/>
      </c>
      <c r="ME98" s="402">
        <f>IF(AND(339&gt;=$NR$98,339&lt;=$NS$98),IF($NP$98="Single_Point",IF(339=$NR$98,$NN$98,0),IF($NP$98="Bell_Curve",$NN$98*(339-$NR$98+1)*($NS$98-339+1)/$NU$98,$NN$98/$NT$98)),0)</f>
        <v/>
      </c>
      <c r="MF98" s="402">
        <f>IF(AND(340&gt;=$NR$98,340&lt;=$NS$98),IF($NP$98="Single_Point",IF(340=$NR$98,$NN$98,0),IF($NP$98="Bell_Curve",$NN$98*(340-$NR$98+1)*($NS$98-340+1)/$NU$98,$NN$98/$NT$98)),0)</f>
        <v/>
      </c>
      <c r="MG98" s="402">
        <f>IF(AND(341&gt;=$NR$98,341&lt;=$NS$98),IF($NP$98="Single_Point",IF(341=$NR$98,$NN$98,0),IF($NP$98="Bell_Curve",$NN$98*(341-$NR$98+1)*($NS$98-341+1)/$NU$98,$NN$98/$NT$98)),0)</f>
        <v/>
      </c>
      <c r="MH98" s="402">
        <f>IF(AND(342&gt;=$NR$98,342&lt;=$NS$98),IF($NP$98="Single_Point",IF(342=$NR$98,$NN$98,0),IF($NP$98="Bell_Curve",$NN$98*(342-$NR$98+1)*($NS$98-342+1)/$NU$98,$NN$98/$NT$98)),0)</f>
        <v/>
      </c>
      <c r="MI98" s="402">
        <f>IF(AND(343&gt;=$NR$98,343&lt;=$NS$98),IF($NP$98="Single_Point",IF(343=$NR$98,$NN$98,0),IF($NP$98="Bell_Curve",$NN$98*(343-$NR$98+1)*($NS$98-343+1)/$NU$98,$NN$98/$NT$98)),0)</f>
        <v/>
      </c>
      <c r="MJ98" s="402">
        <f>IF(AND(344&gt;=$NR$98,344&lt;=$NS$98),IF($NP$98="Single_Point",IF(344=$NR$98,$NN$98,0),IF($NP$98="Bell_Curve",$NN$98*(344-$NR$98+1)*($NS$98-344+1)/$NU$98,$NN$98/$NT$98)),0)</f>
        <v/>
      </c>
      <c r="MK98" s="402">
        <f>IF(AND(345&gt;=$NR$98,345&lt;=$NS$98),IF($NP$98="Single_Point",IF(345=$NR$98,$NN$98,0),IF($NP$98="Bell_Curve",$NN$98*(345-$NR$98+1)*($NS$98-345+1)/$NU$98,$NN$98/$NT$98)),0)</f>
        <v/>
      </c>
      <c r="ML98" s="402">
        <f>IF(AND(346&gt;=$NR$98,346&lt;=$NS$98),IF($NP$98="Single_Point",IF(346=$NR$98,$NN$98,0),IF($NP$98="Bell_Curve",$NN$98*(346-$NR$98+1)*($NS$98-346+1)/$NU$98,$NN$98/$NT$98)),0)</f>
        <v/>
      </c>
      <c r="MM98" s="402">
        <f>IF(AND(347&gt;=$NR$98,347&lt;=$NS$98),IF($NP$98="Single_Point",IF(347=$NR$98,$NN$98,0),IF($NP$98="Bell_Curve",$NN$98*(347-$NR$98+1)*($NS$98-347+1)/$NU$98,$NN$98/$NT$98)),0)</f>
        <v/>
      </c>
      <c r="MN98" s="402">
        <f>IF(AND(348&gt;=$NR$98,348&lt;=$NS$98),IF($NP$98="Single_Point",IF(348=$NR$98,$NN$98,0),IF($NP$98="Bell_Curve",$NN$98*(348-$NR$98+1)*($NS$98-348+1)/$NU$98,$NN$98/$NT$98)),0)</f>
        <v/>
      </c>
      <c r="MO98" s="402">
        <f>IF(AND(349&gt;=$NR$98,349&lt;=$NS$98),IF($NP$98="Single_Point",IF(349=$NR$98,$NN$98,0),IF($NP$98="Bell_Curve",$NN$98*(349-$NR$98+1)*($NS$98-349+1)/$NU$98,$NN$98/$NT$98)),0)</f>
        <v/>
      </c>
      <c r="MP98" s="402">
        <f>IF(AND(350&gt;=$NR$98,350&lt;=$NS$98),IF($NP$98="Single_Point",IF(350=$NR$98,$NN$98,0),IF($NP$98="Bell_Curve",$NN$98*(350-$NR$98+1)*($NS$98-350+1)/$NU$98,$NN$98/$NT$98)),0)</f>
        <v/>
      </c>
      <c r="MQ98" s="402">
        <f>IF(AND(351&gt;=$NR$98,351&lt;=$NS$98),IF($NP$98="Single_Point",IF(351=$NR$98,$NN$98,0),IF($NP$98="Bell_Curve",$NN$98*(351-$NR$98+1)*($NS$98-351+1)/$NU$98,$NN$98/$NT$98)),0)</f>
        <v/>
      </c>
      <c r="MR98" s="402">
        <f>IF(AND(352&gt;=$NR$98,352&lt;=$NS$98),IF($NP$98="Single_Point",IF(352=$NR$98,$NN$98,0),IF($NP$98="Bell_Curve",$NN$98*(352-$NR$98+1)*($NS$98-352+1)/$NU$98,$NN$98/$NT$98)),0)</f>
        <v/>
      </c>
      <c r="MS98" s="402">
        <f>IF(AND(353&gt;=$NR$98,353&lt;=$NS$98),IF($NP$98="Single_Point",IF(353=$NR$98,$NN$98,0),IF($NP$98="Bell_Curve",$NN$98*(353-$NR$98+1)*($NS$98-353+1)/$NU$98,$NN$98/$NT$98)),0)</f>
        <v/>
      </c>
      <c r="MT98" s="402">
        <f>IF(AND(354&gt;=$NR$98,354&lt;=$NS$98),IF($NP$98="Single_Point",IF(354=$NR$98,$NN$98,0),IF($NP$98="Bell_Curve",$NN$98*(354-$NR$98+1)*($NS$98-354+1)/$NU$98,$NN$98/$NT$98)),0)</f>
        <v/>
      </c>
      <c r="MU98" s="402">
        <f>IF(AND(355&gt;=$NR$98,355&lt;=$NS$98),IF($NP$98="Single_Point",IF(355=$NR$98,$NN$98,0),IF($NP$98="Bell_Curve",$NN$98*(355-$NR$98+1)*($NS$98-355+1)/$NU$98,$NN$98/$NT$98)),0)</f>
        <v/>
      </c>
      <c r="MV98" s="402">
        <f>IF(AND(356&gt;=$NR$98,356&lt;=$NS$98),IF($NP$98="Single_Point",IF(356=$NR$98,$NN$98,0),IF($NP$98="Bell_Curve",$NN$98*(356-$NR$98+1)*($NS$98-356+1)/$NU$98,$NN$98/$NT$98)),0)</f>
        <v/>
      </c>
      <c r="MW98" s="402">
        <f>IF(AND(357&gt;=$NR$98,357&lt;=$NS$98),IF($NP$98="Single_Point",IF(357=$NR$98,$NN$98,0),IF($NP$98="Bell_Curve",$NN$98*(357-$NR$98+1)*($NS$98-357+1)/$NU$98,$NN$98/$NT$98)),0)</f>
        <v/>
      </c>
      <c r="MX98" s="402">
        <f>IF(AND(358&gt;=$NR$98,358&lt;=$NS$98),IF($NP$98="Single_Point",IF(358=$NR$98,$NN$98,0),IF($NP$98="Bell_Curve",$NN$98*(358-$NR$98+1)*($NS$98-358+1)/$NU$98,$NN$98/$NT$98)),0)</f>
        <v/>
      </c>
      <c r="MY98" s="402">
        <f>IF(AND(359&gt;=$NR$98,359&lt;=$NS$98),IF($NP$98="Single_Point",IF(359=$NR$98,$NN$98,0),IF($NP$98="Bell_Curve",$NN$98*(359-$NR$98+1)*($NS$98-359+1)/$NU$98,$NN$98/$NT$98)),0)</f>
        <v/>
      </c>
      <c r="MZ98" s="402">
        <f>IF(AND(360&gt;=$NR$98,360&lt;=$NS$98),IF($NP$98="Single_Point",IF(360=$NR$98,$NN$98,0),IF($NP$98="Bell_Curve",$NN$98*(360-$NR$98+1)*($NS$98-360+1)/$NU$98,$NN$98/$NT$98)),0)</f>
        <v/>
      </c>
      <c r="NA98" s="402">
        <f>IF(AND(361&gt;=$NR$98,361&lt;=$NS$98),IF($NP$98="Single_Point",IF(361=$NR$98,$NN$98,0),IF($NP$98="Bell_Curve",$NN$98*(361-$NR$98+1)*($NS$98-361+1)/$NU$98,$NN$98/$NT$98)),0)</f>
        <v/>
      </c>
      <c r="NB98" s="402">
        <f>IF(AND(362&gt;=$NR$98,362&lt;=$NS$98),IF($NP$98="Single_Point",IF(362=$NR$98,$NN$98,0),IF($NP$98="Bell_Curve",$NN$98*(362-$NR$98+1)*($NS$98-362+1)/$NU$98,$NN$98/$NT$98)),0)</f>
        <v/>
      </c>
      <c r="NC98" s="402">
        <f>IF(AND(363&gt;=$NR$98,363&lt;=$NS$98),IF($NP$98="Single_Point",IF(363=$NR$98,$NN$98,0),IF($NP$98="Bell_Curve",$NN$98*(363-$NR$98+1)*($NS$98-363+1)/$NU$98,$NN$98/$NT$98)),0)</f>
        <v/>
      </c>
      <c r="ND98" s="402">
        <f>IF(AND(364&gt;=$NR$98,364&lt;=$NS$98),IF($NP$98="Single_Point",IF(364=$NR$98,$NN$98,0),IF($NP$98="Bell_Curve",$NN$98*(364-$NR$98+1)*($NS$98-364+1)/$NU$98,$NN$98/$NT$98)),0)</f>
        <v/>
      </c>
      <c r="NE98" s="402">
        <f>IF(AND(365&gt;=$NR$98,365&lt;=$NS$98),IF($NP$98="Single_Point",IF(365=$NR$98,$NN$98,0),IF($NP$98="Bell_Curve",$NN$98*(365-$NR$98+1)*($NS$98-365+1)/$NU$98,$NN$98/$NT$98)),0)</f>
        <v/>
      </c>
      <c r="NF98" s="402">
        <f>IF(AND(366&gt;=$NR$98,366&lt;=$NS$98),IF($NP$98="Single_Point",IF(366=$NR$98,$NN$98,0),IF($NP$98="Bell_Curve",$NN$98*(366-$NR$98+1)*($NS$98-366+1)/$NU$98,$NN$98/$NT$98)),0)</f>
        <v/>
      </c>
      <c r="NG98" s="402">
        <f>IF(AND(367&gt;=$NR$98,367&lt;=$NS$98),IF($NP$98="Single_Point",IF(367=$NR$98,$NN$98,0),IF($NP$98="Bell_Curve",$NN$98*(367-$NR$98+1)*($NS$98-367+1)/$NU$98,$NN$98/$NT$98)),0)</f>
        <v/>
      </c>
      <c r="NH98" s="402">
        <f>IF(AND(368&gt;=$NR$98,368&lt;=$NS$98),IF($NP$98="Single_Point",IF(368=$NR$98,$NN$98,0),IF($NP$98="Bell_Curve",$NN$98*(368-$NR$98+1)*($NS$98-368+1)/$NU$98,$NN$98/$NT$98)),0)</f>
        <v/>
      </c>
      <c r="NI98" s="402">
        <f>IF(AND(369&gt;=$NR$98,369&lt;=$NS$98),IF($NP$98="Single_Point",IF(369=$NR$98,$NN$98,0),IF($NP$98="Bell_Curve",$NN$98*(369-$NR$98+1)*($NS$98-369+1)/$NU$98,$NN$98/$NT$98)),0)</f>
        <v/>
      </c>
      <c r="NJ98" s="402">
        <f>IF(AND(370&gt;=$NR$98,370&lt;=$NS$98),IF($NP$98="Single_Point",IF(370=$NR$98,$NN$98,0),IF($NP$98="Bell_Curve",$NN$98*(370-$NR$98+1)*($NS$98-370+1)/$NU$98,$NN$98/$NT$98)),0)</f>
        <v/>
      </c>
      <c r="NK98" s="402">
        <f>IF(AND(371&gt;=$NR$98,371&lt;=$NS$98),IF($NP$98="Single_Point",IF(371=$NR$98,$NN$98,0),IF($NP$98="Bell_Curve",$NN$98*(371-$NR$98+1)*($NS$98-371+1)/$NU$98,$NN$98/$NT$98)),0)</f>
        <v/>
      </c>
      <c r="NL98" s="402">
        <f>IF(AND(372&gt;=$NR$98,372&lt;=$NS$98),IF($NP$98="Single_Point",IF(372=$NR$98,$NN$98,0),IF($NP$98="Bell_Curve",$NN$98*(372-$NR$98+1)*($NS$98-372+1)/$NU$98,$NN$98/$NT$98)),0)</f>
        <v/>
      </c>
      <c r="NM98">
        <f>Budget!C97</f>
        <v/>
      </c>
      <c r="NN98">
        <f>Budget!J97</f>
        <v/>
      </c>
      <c r="NO98">
        <f>Budget!G97</f>
        <v/>
      </c>
      <c r="NP98">
        <f>Budget!H97</f>
        <v/>
      </c>
      <c r="NQ98">
        <f>Budget!I97</f>
        <v/>
      </c>
      <c r="NR98">
        <f>MAX(1,MIN(372,INDEX(MilestoneStart,MATCH(NO98,MilestoneNames,0))+NQ98))</f>
        <v/>
      </c>
      <c r="NS98">
        <f>MAX(NR98,MIN(372,INDEX(MilestoneEnd,MATCH(NO98,MilestoneNames,0))+NQ98))</f>
        <v/>
      </c>
      <c r="NT98">
        <f>NS98-NR98+1</f>
        <v/>
      </c>
      <c r="NU98">
        <f>NT98*(NT98+1)*(NT98+2)/6</f>
        <v/>
      </c>
    </row>
    <row r="100">
      <c r="B100" s="328" t="inlineStr">
        <is>
          <t>Total Development Spend</t>
        </is>
      </c>
      <c r="D100" s="407">
        <f>SUM(E100:NL100)</f>
        <v/>
      </c>
      <c r="E100" s="407">
        <f>SUM(E6:E98)</f>
        <v/>
      </c>
      <c r="F100" s="407">
        <f>SUM(F6:F98)</f>
        <v/>
      </c>
      <c r="G100" s="407">
        <f>SUM(G6:G98)</f>
        <v/>
      </c>
      <c r="H100" s="407">
        <f>SUM(H6:H98)</f>
        <v/>
      </c>
      <c r="I100" s="407">
        <f>SUM(I6:I98)</f>
        <v/>
      </c>
      <c r="J100" s="407">
        <f>SUM(J6:J98)</f>
        <v/>
      </c>
      <c r="K100" s="407">
        <f>SUM(K6:K98)</f>
        <v/>
      </c>
      <c r="L100" s="407">
        <f>SUM(L6:L98)</f>
        <v/>
      </c>
      <c r="M100" s="407">
        <f>SUM(M6:M98)</f>
        <v/>
      </c>
      <c r="N100" s="407">
        <f>SUM(N6:N98)</f>
        <v/>
      </c>
      <c r="O100" s="407">
        <f>SUM(O6:O98)</f>
        <v/>
      </c>
      <c r="P100" s="407">
        <f>SUM(P6:P98)</f>
        <v/>
      </c>
      <c r="Q100" s="407">
        <f>SUM(Q6:Q98)</f>
        <v/>
      </c>
      <c r="R100" s="407">
        <f>SUM(R6:R98)</f>
        <v/>
      </c>
      <c r="S100" s="407">
        <f>SUM(S6:S98)</f>
        <v/>
      </c>
      <c r="T100" s="407">
        <f>SUM(T6:T98)</f>
        <v/>
      </c>
      <c r="U100" s="407">
        <f>SUM(U6:U98)</f>
        <v/>
      </c>
      <c r="V100" s="407">
        <f>SUM(V6:V98)</f>
        <v/>
      </c>
      <c r="W100" s="407">
        <f>SUM(W6:W98)</f>
        <v/>
      </c>
      <c r="X100" s="407">
        <f>SUM(X6:X98)</f>
        <v/>
      </c>
      <c r="Y100" s="407">
        <f>SUM(Y6:Y98)</f>
        <v/>
      </c>
      <c r="Z100" s="407">
        <f>SUM(Z6:Z98)</f>
        <v/>
      </c>
      <c r="AA100" s="407">
        <f>SUM(AA6:AA98)</f>
        <v/>
      </c>
      <c r="AB100" s="407">
        <f>SUM(AB6:AB98)</f>
        <v/>
      </c>
      <c r="AC100" s="407">
        <f>SUM(AC6:AC98)</f>
        <v/>
      </c>
      <c r="AD100" s="407">
        <f>SUM(AD6:AD98)</f>
        <v/>
      </c>
      <c r="AE100" s="407">
        <f>SUM(AE6:AE98)</f>
        <v/>
      </c>
      <c r="AF100" s="407">
        <f>SUM(AF6:AF98)</f>
        <v/>
      </c>
      <c r="AG100" s="407">
        <f>SUM(AG6:AG98)</f>
        <v/>
      </c>
      <c r="AH100" s="407">
        <f>SUM(AH6:AH98)</f>
        <v/>
      </c>
      <c r="AI100" s="407">
        <f>SUM(AI6:AI98)</f>
        <v/>
      </c>
      <c r="AJ100" s="407">
        <f>SUM(AJ6:AJ98)</f>
        <v/>
      </c>
      <c r="AK100" s="407">
        <f>SUM(AK6:AK98)</f>
        <v/>
      </c>
      <c r="AL100" s="407">
        <f>SUM(AL6:AL98)</f>
        <v/>
      </c>
      <c r="AM100" s="407">
        <f>SUM(AM6:AM98)</f>
        <v/>
      </c>
      <c r="AN100" s="407">
        <f>SUM(AN6:AN98)</f>
        <v/>
      </c>
      <c r="AO100" s="407">
        <f>SUM(AO6:AO98)</f>
        <v/>
      </c>
      <c r="AP100" s="407">
        <f>SUM(AP6:AP98)</f>
        <v/>
      </c>
      <c r="AQ100" s="407">
        <f>SUM(AQ6:AQ98)</f>
        <v/>
      </c>
      <c r="AR100" s="407">
        <f>SUM(AR6:AR98)</f>
        <v/>
      </c>
      <c r="AS100" s="407">
        <f>SUM(AS6:AS98)</f>
        <v/>
      </c>
      <c r="AT100" s="407">
        <f>SUM(AT6:AT98)</f>
        <v/>
      </c>
      <c r="AU100" s="407">
        <f>SUM(AU6:AU98)</f>
        <v/>
      </c>
      <c r="AV100" s="407">
        <f>SUM(AV6:AV98)</f>
        <v/>
      </c>
      <c r="AW100" s="407">
        <f>SUM(AW6:AW98)</f>
        <v/>
      </c>
      <c r="AX100" s="407">
        <f>SUM(AX6:AX98)</f>
        <v/>
      </c>
      <c r="AY100" s="407">
        <f>SUM(AY6:AY98)</f>
        <v/>
      </c>
      <c r="AZ100" s="407">
        <f>SUM(AZ6:AZ98)</f>
        <v/>
      </c>
      <c r="BA100" s="407">
        <f>SUM(BA6:BA98)</f>
        <v/>
      </c>
      <c r="BB100" s="407">
        <f>SUM(BB6:BB98)</f>
        <v/>
      </c>
      <c r="BC100" s="407">
        <f>SUM(BC6:BC98)</f>
        <v/>
      </c>
      <c r="BD100" s="407">
        <f>SUM(BD6:BD98)</f>
        <v/>
      </c>
      <c r="BE100" s="407">
        <f>SUM(BE6:BE98)</f>
        <v/>
      </c>
      <c r="BF100" s="407">
        <f>SUM(BF6:BF98)</f>
        <v/>
      </c>
      <c r="BG100" s="407">
        <f>SUM(BG6:BG98)</f>
        <v/>
      </c>
      <c r="BH100" s="407">
        <f>SUM(BH6:BH98)</f>
        <v/>
      </c>
      <c r="BI100" s="407">
        <f>SUM(BI6:BI98)</f>
        <v/>
      </c>
      <c r="BJ100" s="407">
        <f>SUM(BJ6:BJ98)</f>
        <v/>
      </c>
      <c r="BK100" s="407">
        <f>SUM(BK6:BK98)</f>
        <v/>
      </c>
      <c r="BL100" s="407">
        <f>SUM(BL6:BL98)</f>
        <v/>
      </c>
      <c r="BM100" s="407">
        <f>SUM(BM6:BM98)</f>
        <v/>
      </c>
      <c r="BN100" s="407">
        <f>SUM(BN6:BN98)</f>
        <v/>
      </c>
      <c r="BO100" s="407">
        <f>SUM(BO6:BO98)</f>
        <v/>
      </c>
      <c r="BP100" s="407">
        <f>SUM(BP6:BP98)</f>
        <v/>
      </c>
      <c r="BQ100" s="407">
        <f>SUM(BQ6:BQ98)</f>
        <v/>
      </c>
      <c r="BR100" s="407">
        <f>SUM(BR6:BR98)</f>
        <v/>
      </c>
      <c r="BS100" s="407">
        <f>SUM(BS6:BS98)</f>
        <v/>
      </c>
      <c r="BT100" s="407">
        <f>SUM(BT6:BT98)</f>
        <v/>
      </c>
      <c r="BU100" s="407">
        <f>SUM(BU6:BU98)</f>
        <v/>
      </c>
      <c r="BV100" s="407">
        <f>SUM(BV6:BV98)</f>
        <v/>
      </c>
      <c r="BW100" s="407">
        <f>SUM(BW6:BW98)</f>
        <v/>
      </c>
      <c r="BX100" s="407">
        <f>SUM(BX6:BX98)</f>
        <v/>
      </c>
      <c r="BY100" s="407">
        <f>SUM(BY6:BY98)</f>
        <v/>
      </c>
      <c r="BZ100" s="407">
        <f>SUM(BZ6:BZ98)</f>
        <v/>
      </c>
      <c r="CA100" s="407">
        <f>SUM(CA6:CA98)</f>
        <v/>
      </c>
      <c r="CB100" s="407">
        <f>SUM(CB6:CB98)</f>
        <v/>
      </c>
      <c r="CC100" s="407">
        <f>SUM(CC6:CC98)</f>
        <v/>
      </c>
      <c r="CD100" s="407">
        <f>SUM(CD6:CD98)</f>
        <v/>
      </c>
      <c r="CE100" s="407">
        <f>SUM(CE6:CE98)</f>
        <v/>
      </c>
      <c r="CF100" s="407">
        <f>SUM(CF6:CF98)</f>
        <v/>
      </c>
      <c r="CG100" s="407">
        <f>SUM(CG6:CG98)</f>
        <v/>
      </c>
      <c r="CH100" s="407">
        <f>SUM(CH6:CH98)</f>
        <v/>
      </c>
      <c r="CI100" s="407">
        <f>SUM(CI6:CI98)</f>
        <v/>
      </c>
      <c r="CJ100" s="407">
        <f>SUM(CJ6:CJ98)</f>
        <v/>
      </c>
      <c r="CK100" s="407">
        <f>SUM(CK6:CK98)</f>
        <v/>
      </c>
      <c r="CL100" s="407">
        <f>SUM(CL6:CL98)</f>
        <v/>
      </c>
      <c r="CM100" s="407">
        <f>SUM(CM6:CM98)</f>
        <v/>
      </c>
      <c r="CN100" s="407">
        <f>SUM(CN6:CN98)</f>
        <v/>
      </c>
      <c r="CO100" s="407">
        <f>SUM(CO6:CO98)</f>
        <v/>
      </c>
      <c r="CP100" s="407">
        <f>SUM(CP6:CP98)</f>
        <v/>
      </c>
      <c r="CQ100" s="407">
        <f>SUM(CQ6:CQ98)</f>
        <v/>
      </c>
      <c r="CR100" s="407">
        <f>SUM(CR6:CR98)</f>
        <v/>
      </c>
      <c r="CS100" s="407">
        <f>SUM(CS6:CS98)</f>
        <v/>
      </c>
      <c r="CT100" s="407">
        <f>SUM(CT6:CT98)</f>
        <v/>
      </c>
      <c r="CU100" s="407">
        <f>SUM(CU6:CU98)</f>
        <v/>
      </c>
      <c r="CV100" s="407">
        <f>SUM(CV6:CV98)</f>
        <v/>
      </c>
      <c r="CW100" s="407">
        <f>SUM(CW6:CW98)</f>
        <v/>
      </c>
      <c r="CX100" s="407">
        <f>SUM(CX6:CX98)</f>
        <v/>
      </c>
      <c r="CY100" s="407">
        <f>SUM(CY6:CY98)</f>
        <v/>
      </c>
      <c r="CZ100" s="407">
        <f>SUM(CZ6:CZ98)</f>
        <v/>
      </c>
      <c r="DA100" s="407">
        <f>SUM(DA6:DA98)</f>
        <v/>
      </c>
      <c r="DB100" s="407">
        <f>SUM(DB6:DB98)</f>
        <v/>
      </c>
      <c r="DC100" s="407">
        <f>SUM(DC6:DC98)</f>
        <v/>
      </c>
      <c r="DD100" s="407">
        <f>SUM(DD6:DD98)</f>
        <v/>
      </c>
      <c r="DE100" s="407">
        <f>SUM(DE6:DE98)</f>
        <v/>
      </c>
      <c r="DF100" s="407">
        <f>SUM(DF6:DF98)</f>
        <v/>
      </c>
      <c r="DG100" s="407">
        <f>SUM(DG6:DG98)</f>
        <v/>
      </c>
      <c r="DH100" s="407">
        <f>SUM(DH6:DH98)</f>
        <v/>
      </c>
      <c r="DI100" s="407">
        <f>SUM(DI6:DI98)</f>
        <v/>
      </c>
      <c r="DJ100" s="407">
        <f>SUM(DJ6:DJ98)</f>
        <v/>
      </c>
      <c r="DK100" s="407">
        <f>SUM(DK6:DK98)</f>
        <v/>
      </c>
      <c r="DL100" s="407">
        <f>SUM(DL6:DL98)</f>
        <v/>
      </c>
      <c r="DM100" s="407">
        <f>SUM(DM6:DM98)</f>
        <v/>
      </c>
      <c r="DN100" s="407">
        <f>SUM(DN6:DN98)</f>
        <v/>
      </c>
      <c r="DO100" s="407">
        <f>SUM(DO6:DO98)</f>
        <v/>
      </c>
      <c r="DP100" s="407">
        <f>SUM(DP6:DP98)</f>
        <v/>
      </c>
      <c r="DQ100" s="407">
        <f>SUM(DQ6:DQ98)</f>
        <v/>
      </c>
      <c r="DR100" s="407">
        <f>SUM(DR6:DR98)</f>
        <v/>
      </c>
      <c r="DS100" s="407">
        <f>SUM(DS6:DS98)</f>
        <v/>
      </c>
      <c r="DT100" s="407">
        <f>SUM(DT6:DT98)</f>
        <v/>
      </c>
      <c r="DU100" s="407">
        <f>SUM(DU6:DU98)</f>
        <v/>
      </c>
      <c r="DV100" s="407">
        <f>SUM(DV6:DV98)</f>
        <v/>
      </c>
      <c r="DW100" s="407">
        <f>SUM(DW6:DW98)</f>
        <v/>
      </c>
      <c r="DX100" s="407">
        <f>SUM(DX6:DX98)</f>
        <v/>
      </c>
      <c r="DY100" s="407">
        <f>SUM(DY6:DY98)</f>
        <v/>
      </c>
      <c r="DZ100" s="407">
        <f>SUM(DZ6:DZ98)</f>
        <v/>
      </c>
      <c r="EA100" s="407">
        <f>SUM(EA6:EA98)</f>
        <v/>
      </c>
      <c r="EB100" s="407">
        <f>SUM(EB6:EB98)</f>
        <v/>
      </c>
      <c r="EC100" s="407">
        <f>SUM(EC6:EC98)</f>
        <v/>
      </c>
      <c r="ED100" s="407">
        <f>SUM(ED6:ED98)</f>
        <v/>
      </c>
      <c r="EE100" s="407">
        <f>SUM(EE6:EE98)</f>
        <v/>
      </c>
      <c r="EF100" s="407">
        <f>SUM(EF6:EF98)</f>
        <v/>
      </c>
      <c r="EG100" s="407">
        <f>SUM(EG6:EG98)</f>
        <v/>
      </c>
      <c r="EH100" s="407">
        <f>SUM(EH6:EH98)</f>
        <v/>
      </c>
      <c r="EI100" s="407">
        <f>SUM(EI6:EI98)</f>
        <v/>
      </c>
      <c r="EJ100" s="407">
        <f>SUM(EJ6:EJ98)</f>
        <v/>
      </c>
      <c r="EK100" s="407">
        <f>SUM(EK6:EK98)</f>
        <v/>
      </c>
      <c r="EL100" s="407">
        <f>SUM(EL6:EL98)</f>
        <v/>
      </c>
      <c r="EM100" s="407">
        <f>SUM(EM6:EM98)</f>
        <v/>
      </c>
      <c r="EN100" s="407">
        <f>SUM(EN6:EN98)</f>
        <v/>
      </c>
      <c r="EO100" s="407">
        <f>SUM(EO6:EO98)</f>
        <v/>
      </c>
      <c r="EP100" s="407">
        <f>SUM(EP6:EP98)</f>
        <v/>
      </c>
      <c r="EQ100" s="407">
        <f>SUM(EQ6:EQ98)</f>
        <v/>
      </c>
      <c r="ER100" s="407">
        <f>SUM(ER6:ER98)</f>
        <v/>
      </c>
      <c r="ES100" s="407">
        <f>SUM(ES6:ES98)</f>
        <v/>
      </c>
      <c r="ET100" s="407">
        <f>SUM(ET6:ET98)</f>
        <v/>
      </c>
      <c r="EU100" s="407">
        <f>SUM(EU6:EU98)</f>
        <v/>
      </c>
      <c r="EV100" s="407">
        <f>SUM(EV6:EV98)</f>
        <v/>
      </c>
      <c r="EW100" s="407">
        <f>SUM(EW6:EW98)</f>
        <v/>
      </c>
      <c r="EX100" s="407">
        <f>SUM(EX6:EX98)</f>
        <v/>
      </c>
      <c r="EY100" s="407">
        <f>SUM(EY6:EY98)</f>
        <v/>
      </c>
      <c r="EZ100" s="407">
        <f>SUM(EZ6:EZ98)</f>
        <v/>
      </c>
      <c r="FA100" s="407">
        <f>SUM(FA6:FA98)</f>
        <v/>
      </c>
      <c r="FB100" s="407">
        <f>SUM(FB6:FB98)</f>
        <v/>
      </c>
      <c r="FC100" s="407">
        <f>SUM(FC6:FC98)</f>
        <v/>
      </c>
      <c r="FD100" s="407">
        <f>SUM(FD6:FD98)</f>
        <v/>
      </c>
      <c r="FE100" s="407">
        <f>SUM(FE6:FE98)</f>
        <v/>
      </c>
      <c r="FF100" s="407">
        <f>SUM(FF6:FF98)</f>
        <v/>
      </c>
      <c r="FG100" s="407">
        <f>SUM(FG6:FG98)</f>
        <v/>
      </c>
      <c r="FH100" s="407">
        <f>SUM(FH6:FH98)</f>
        <v/>
      </c>
      <c r="FI100" s="407">
        <f>SUM(FI6:FI98)</f>
        <v/>
      </c>
      <c r="FJ100" s="407">
        <f>SUM(FJ6:FJ98)</f>
        <v/>
      </c>
      <c r="FK100" s="407">
        <f>SUM(FK6:FK98)</f>
        <v/>
      </c>
      <c r="FL100" s="407">
        <f>SUM(FL6:FL98)</f>
        <v/>
      </c>
      <c r="FM100" s="407">
        <f>SUM(FM6:FM98)</f>
        <v/>
      </c>
      <c r="FN100" s="407">
        <f>SUM(FN6:FN98)</f>
        <v/>
      </c>
      <c r="FO100" s="407">
        <f>SUM(FO6:FO98)</f>
        <v/>
      </c>
      <c r="FP100" s="407">
        <f>SUM(FP6:FP98)</f>
        <v/>
      </c>
      <c r="FQ100" s="407">
        <f>SUM(FQ6:FQ98)</f>
        <v/>
      </c>
      <c r="FR100" s="407">
        <f>SUM(FR6:FR98)</f>
        <v/>
      </c>
      <c r="FS100" s="407">
        <f>SUM(FS6:FS98)</f>
        <v/>
      </c>
      <c r="FT100" s="407">
        <f>SUM(FT6:FT98)</f>
        <v/>
      </c>
      <c r="FU100" s="407">
        <f>SUM(FU6:FU98)</f>
        <v/>
      </c>
      <c r="FV100" s="407">
        <f>SUM(FV6:FV98)</f>
        <v/>
      </c>
      <c r="FW100" s="407">
        <f>SUM(FW6:FW98)</f>
        <v/>
      </c>
      <c r="FX100" s="407">
        <f>SUM(FX6:FX98)</f>
        <v/>
      </c>
      <c r="FY100" s="407">
        <f>SUM(FY6:FY98)</f>
        <v/>
      </c>
      <c r="FZ100" s="407">
        <f>SUM(FZ6:FZ98)</f>
        <v/>
      </c>
      <c r="GA100" s="407">
        <f>SUM(GA6:GA98)</f>
        <v/>
      </c>
      <c r="GB100" s="407">
        <f>SUM(GB6:GB98)</f>
        <v/>
      </c>
      <c r="GC100" s="407">
        <f>SUM(GC6:GC98)</f>
        <v/>
      </c>
      <c r="GD100" s="407">
        <f>SUM(GD6:GD98)</f>
        <v/>
      </c>
      <c r="GE100" s="407">
        <f>SUM(GE6:GE98)</f>
        <v/>
      </c>
      <c r="GF100" s="407">
        <f>SUM(GF6:GF98)</f>
        <v/>
      </c>
      <c r="GG100" s="407">
        <f>SUM(GG6:GG98)</f>
        <v/>
      </c>
      <c r="GH100" s="407">
        <f>SUM(GH6:GH98)</f>
        <v/>
      </c>
      <c r="GI100" s="407">
        <f>SUM(GI6:GI98)</f>
        <v/>
      </c>
      <c r="GJ100" s="407">
        <f>SUM(GJ6:GJ98)</f>
        <v/>
      </c>
      <c r="GK100" s="407">
        <f>SUM(GK6:GK98)</f>
        <v/>
      </c>
      <c r="GL100" s="407">
        <f>SUM(GL6:GL98)</f>
        <v/>
      </c>
      <c r="GM100" s="407">
        <f>SUM(GM6:GM98)</f>
        <v/>
      </c>
      <c r="GN100" s="407">
        <f>SUM(GN6:GN98)</f>
        <v/>
      </c>
      <c r="GO100" s="407">
        <f>SUM(GO6:GO98)</f>
        <v/>
      </c>
      <c r="GP100" s="407">
        <f>SUM(GP6:GP98)</f>
        <v/>
      </c>
      <c r="GQ100" s="407">
        <f>SUM(GQ6:GQ98)</f>
        <v/>
      </c>
      <c r="GR100" s="407">
        <f>SUM(GR6:GR98)</f>
        <v/>
      </c>
      <c r="GS100" s="407">
        <f>SUM(GS6:GS98)</f>
        <v/>
      </c>
      <c r="GT100" s="407">
        <f>SUM(GT6:GT98)</f>
        <v/>
      </c>
      <c r="GU100" s="407">
        <f>SUM(GU6:GU98)</f>
        <v/>
      </c>
      <c r="GV100" s="407">
        <f>SUM(GV6:GV98)</f>
        <v/>
      </c>
      <c r="GW100" s="407">
        <f>SUM(GW6:GW98)</f>
        <v/>
      </c>
      <c r="GX100" s="407">
        <f>SUM(GX6:GX98)</f>
        <v/>
      </c>
      <c r="GY100" s="407">
        <f>SUM(GY6:GY98)</f>
        <v/>
      </c>
      <c r="GZ100" s="407">
        <f>SUM(GZ6:GZ98)</f>
        <v/>
      </c>
      <c r="HA100" s="407">
        <f>SUM(HA6:HA98)</f>
        <v/>
      </c>
      <c r="HB100" s="407">
        <f>SUM(HB6:HB98)</f>
        <v/>
      </c>
      <c r="HC100" s="407">
        <f>SUM(HC6:HC98)</f>
        <v/>
      </c>
      <c r="HD100" s="407">
        <f>SUM(HD6:HD98)</f>
        <v/>
      </c>
      <c r="HE100" s="407">
        <f>SUM(HE6:HE98)</f>
        <v/>
      </c>
      <c r="HF100" s="407">
        <f>SUM(HF6:HF98)</f>
        <v/>
      </c>
      <c r="HG100" s="407">
        <f>SUM(HG6:HG98)</f>
        <v/>
      </c>
      <c r="HH100" s="407">
        <f>SUM(HH6:HH98)</f>
        <v/>
      </c>
      <c r="HI100" s="407">
        <f>SUM(HI6:HI98)</f>
        <v/>
      </c>
      <c r="HJ100" s="407">
        <f>SUM(HJ6:HJ98)</f>
        <v/>
      </c>
      <c r="HK100" s="407">
        <f>SUM(HK6:HK98)</f>
        <v/>
      </c>
      <c r="HL100" s="407">
        <f>SUM(HL6:HL98)</f>
        <v/>
      </c>
      <c r="HM100" s="407">
        <f>SUM(HM6:HM98)</f>
        <v/>
      </c>
      <c r="HN100" s="407">
        <f>SUM(HN6:HN98)</f>
        <v/>
      </c>
      <c r="HO100" s="407">
        <f>SUM(HO6:HO98)</f>
        <v/>
      </c>
      <c r="HP100" s="407">
        <f>SUM(HP6:HP98)</f>
        <v/>
      </c>
      <c r="HQ100" s="407">
        <f>SUM(HQ6:HQ98)</f>
        <v/>
      </c>
      <c r="HR100" s="407">
        <f>SUM(HR6:HR98)</f>
        <v/>
      </c>
      <c r="HS100" s="407">
        <f>SUM(HS6:HS98)</f>
        <v/>
      </c>
      <c r="HT100" s="407">
        <f>SUM(HT6:HT98)</f>
        <v/>
      </c>
      <c r="HU100" s="407">
        <f>SUM(HU6:HU98)</f>
        <v/>
      </c>
      <c r="HV100" s="407">
        <f>SUM(HV6:HV98)</f>
        <v/>
      </c>
      <c r="HW100" s="407">
        <f>SUM(HW6:HW98)</f>
        <v/>
      </c>
      <c r="HX100" s="407">
        <f>SUM(HX6:HX98)</f>
        <v/>
      </c>
      <c r="HY100" s="407">
        <f>SUM(HY6:HY98)</f>
        <v/>
      </c>
      <c r="HZ100" s="407">
        <f>SUM(HZ6:HZ98)</f>
        <v/>
      </c>
      <c r="IA100" s="407">
        <f>SUM(IA6:IA98)</f>
        <v/>
      </c>
      <c r="IB100" s="407">
        <f>SUM(IB6:IB98)</f>
        <v/>
      </c>
      <c r="IC100" s="407">
        <f>SUM(IC6:IC98)</f>
        <v/>
      </c>
      <c r="ID100" s="407">
        <f>SUM(ID6:ID98)</f>
        <v/>
      </c>
      <c r="IE100" s="407">
        <f>SUM(IE6:IE98)</f>
        <v/>
      </c>
      <c r="IF100" s="407">
        <f>SUM(IF6:IF98)</f>
        <v/>
      </c>
      <c r="IG100" s="407">
        <f>SUM(IG6:IG98)</f>
        <v/>
      </c>
      <c r="IH100" s="407">
        <f>SUM(IH6:IH98)</f>
        <v/>
      </c>
      <c r="II100" s="407">
        <f>SUM(II6:II98)</f>
        <v/>
      </c>
      <c r="IJ100" s="407">
        <f>SUM(IJ6:IJ98)</f>
        <v/>
      </c>
      <c r="IK100" s="407">
        <f>SUM(IK6:IK98)</f>
        <v/>
      </c>
      <c r="IL100" s="407">
        <f>SUM(IL6:IL98)</f>
        <v/>
      </c>
      <c r="IM100" s="407">
        <f>SUM(IM6:IM98)</f>
        <v/>
      </c>
      <c r="IN100" s="407">
        <f>SUM(IN6:IN98)</f>
        <v/>
      </c>
      <c r="IO100" s="407">
        <f>SUM(IO6:IO98)</f>
        <v/>
      </c>
      <c r="IP100" s="407">
        <f>SUM(IP6:IP98)</f>
        <v/>
      </c>
      <c r="IQ100" s="407">
        <f>SUM(IQ6:IQ98)</f>
        <v/>
      </c>
      <c r="IR100" s="407">
        <f>SUM(IR6:IR98)</f>
        <v/>
      </c>
      <c r="IS100" s="407">
        <f>SUM(IS6:IS98)</f>
        <v/>
      </c>
      <c r="IT100" s="407">
        <f>SUM(IT6:IT98)</f>
        <v/>
      </c>
      <c r="IU100" s="407">
        <f>SUM(IU6:IU98)</f>
        <v/>
      </c>
      <c r="IV100" s="407">
        <f>SUM(IV6:IV98)</f>
        <v/>
      </c>
      <c r="IW100" s="407">
        <f>SUM(IW6:IW98)</f>
        <v/>
      </c>
      <c r="IX100" s="407">
        <f>SUM(IX6:IX98)</f>
        <v/>
      </c>
      <c r="IY100" s="407">
        <f>SUM(IY6:IY98)</f>
        <v/>
      </c>
      <c r="IZ100" s="407">
        <f>SUM(IZ6:IZ98)</f>
        <v/>
      </c>
      <c r="JA100" s="407">
        <f>SUM(JA6:JA98)</f>
        <v/>
      </c>
      <c r="JB100" s="407">
        <f>SUM(JB6:JB98)</f>
        <v/>
      </c>
      <c r="JC100" s="407">
        <f>SUM(JC6:JC98)</f>
        <v/>
      </c>
      <c r="JD100" s="407">
        <f>SUM(JD6:JD98)</f>
        <v/>
      </c>
      <c r="JE100" s="407">
        <f>SUM(JE6:JE98)</f>
        <v/>
      </c>
      <c r="JF100" s="407">
        <f>SUM(JF6:JF98)</f>
        <v/>
      </c>
      <c r="JG100" s="407">
        <f>SUM(JG6:JG98)</f>
        <v/>
      </c>
      <c r="JH100" s="407">
        <f>SUM(JH6:JH98)</f>
        <v/>
      </c>
      <c r="JI100" s="407">
        <f>SUM(JI6:JI98)</f>
        <v/>
      </c>
      <c r="JJ100" s="407">
        <f>SUM(JJ6:JJ98)</f>
        <v/>
      </c>
      <c r="JK100" s="407">
        <f>SUM(JK6:JK98)</f>
        <v/>
      </c>
      <c r="JL100" s="407">
        <f>SUM(JL6:JL98)</f>
        <v/>
      </c>
      <c r="JM100" s="407">
        <f>SUM(JM6:JM98)</f>
        <v/>
      </c>
      <c r="JN100" s="407">
        <f>SUM(JN6:JN98)</f>
        <v/>
      </c>
      <c r="JO100" s="407">
        <f>SUM(JO6:JO98)</f>
        <v/>
      </c>
      <c r="JP100" s="407">
        <f>SUM(JP6:JP98)</f>
        <v/>
      </c>
      <c r="JQ100" s="407">
        <f>SUM(JQ6:JQ98)</f>
        <v/>
      </c>
      <c r="JR100" s="407">
        <f>SUM(JR6:JR98)</f>
        <v/>
      </c>
      <c r="JS100" s="407">
        <f>SUM(JS6:JS98)</f>
        <v/>
      </c>
      <c r="JT100" s="407">
        <f>SUM(JT6:JT98)</f>
        <v/>
      </c>
      <c r="JU100" s="407">
        <f>SUM(JU6:JU98)</f>
        <v/>
      </c>
      <c r="JV100" s="407">
        <f>SUM(JV6:JV98)</f>
        <v/>
      </c>
      <c r="JW100" s="407">
        <f>SUM(JW6:JW98)</f>
        <v/>
      </c>
      <c r="JX100" s="407">
        <f>SUM(JX6:JX98)</f>
        <v/>
      </c>
      <c r="JY100" s="407">
        <f>SUM(JY6:JY98)</f>
        <v/>
      </c>
      <c r="JZ100" s="407">
        <f>SUM(JZ6:JZ98)</f>
        <v/>
      </c>
      <c r="KA100" s="407">
        <f>SUM(KA6:KA98)</f>
        <v/>
      </c>
      <c r="KB100" s="407">
        <f>SUM(KB6:KB98)</f>
        <v/>
      </c>
      <c r="KC100" s="407">
        <f>SUM(KC6:KC98)</f>
        <v/>
      </c>
      <c r="KD100" s="407">
        <f>SUM(KD6:KD98)</f>
        <v/>
      </c>
      <c r="KE100" s="407">
        <f>SUM(KE6:KE98)</f>
        <v/>
      </c>
      <c r="KF100" s="407">
        <f>SUM(KF6:KF98)</f>
        <v/>
      </c>
      <c r="KG100" s="407">
        <f>SUM(KG6:KG98)</f>
        <v/>
      </c>
      <c r="KH100" s="407">
        <f>SUM(KH6:KH98)</f>
        <v/>
      </c>
      <c r="KI100" s="407">
        <f>SUM(KI6:KI98)</f>
        <v/>
      </c>
      <c r="KJ100" s="407">
        <f>SUM(KJ6:KJ98)</f>
        <v/>
      </c>
      <c r="KK100" s="407">
        <f>SUM(KK6:KK98)</f>
        <v/>
      </c>
      <c r="KL100" s="407">
        <f>SUM(KL6:KL98)</f>
        <v/>
      </c>
      <c r="KM100" s="407">
        <f>SUM(KM6:KM98)</f>
        <v/>
      </c>
      <c r="KN100" s="407">
        <f>SUM(KN6:KN98)</f>
        <v/>
      </c>
      <c r="KO100" s="407">
        <f>SUM(KO6:KO98)</f>
        <v/>
      </c>
      <c r="KP100" s="407">
        <f>SUM(KP6:KP98)</f>
        <v/>
      </c>
      <c r="KQ100" s="407">
        <f>SUM(KQ6:KQ98)</f>
        <v/>
      </c>
      <c r="KR100" s="407">
        <f>SUM(KR6:KR98)</f>
        <v/>
      </c>
      <c r="KS100" s="407">
        <f>SUM(KS6:KS98)</f>
        <v/>
      </c>
      <c r="KT100" s="407">
        <f>SUM(KT6:KT98)</f>
        <v/>
      </c>
      <c r="KU100" s="407">
        <f>SUM(KU6:KU98)</f>
        <v/>
      </c>
      <c r="KV100" s="407">
        <f>SUM(KV6:KV98)</f>
        <v/>
      </c>
      <c r="KW100" s="407">
        <f>SUM(KW6:KW98)</f>
        <v/>
      </c>
      <c r="KX100" s="407">
        <f>SUM(KX6:KX98)</f>
        <v/>
      </c>
      <c r="KY100" s="407">
        <f>SUM(KY6:KY98)</f>
        <v/>
      </c>
      <c r="KZ100" s="407">
        <f>SUM(KZ6:KZ98)</f>
        <v/>
      </c>
      <c r="LA100" s="407">
        <f>SUM(LA6:LA98)</f>
        <v/>
      </c>
      <c r="LB100" s="407">
        <f>SUM(LB6:LB98)</f>
        <v/>
      </c>
      <c r="LC100" s="407">
        <f>SUM(LC6:LC98)</f>
        <v/>
      </c>
      <c r="LD100" s="407">
        <f>SUM(LD6:LD98)</f>
        <v/>
      </c>
      <c r="LE100" s="407">
        <f>SUM(LE6:LE98)</f>
        <v/>
      </c>
      <c r="LF100" s="407">
        <f>SUM(LF6:LF98)</f>
        <v/>
      </c>
      <c r="LG100" s="407">
        <f>SUM(LG6:LG98)</f>
        <v/>
      </c>
      <c r="LH100" s="407">
        <f>SUM(LH6:LH98)</f>
        <v/>
      </c>
      <c r="LI100" s="407">
        <f>SUM(LI6:LI98)</f>
        <v/>
      </c>
      <c r="LJ100" s="407">
        <f>SUM(LJ6:LJ98)</f>
        <v/>
      </c>
      <c r="LK100" s="407">
        <f>SUM(LK6:LK98)</f>
        <v/>
      </c>
      <c r="LL100" s="407">
        <f>SUM(LL6:LL98)</f>
        <v/>
      </c>
      <c r="LM100" s="407">
        <f>SUM(LM6:LM98)</f>
        <v/>
      </c>
      <c r="LN100" s="407">
        <f>SUM(LN6:LN98)</f>
        <v/>
      </c>
      <c r="LO100" s="407">
        <f>SUM(LO6:LO98)</f>
        <v/>
      </c>
      <c r="LP100" s="407">
        <f>SUM(LP6:LP98)</f>
        <v/>
      </c>
      <c r="LQ100" s="407">
        <f>SUM(LQ6:LQ98)</f>
        <v/>
      </c>
      <c r="LR100" s="407">
        <f>SUM(LR6:LR98)</f>
        <v/>
      </c>
      <c r="LS100" s="407">
        <f>SUM(LS6:LS98)</f>
        <v/>
      </c>
      <c r="LT100" s="407">
        <f>SUM(LT6:LT98)</f>
        <v/>
      </c>
      <c r="LU100" s="407">
        <f>SUM(LU6:LU98)</f>
        <v/>
      </c>
      <c r="LV100" s="407">
        <f>SUM(LV6:LV98)</f>
        <v/>
      </c>
      <c r="LW100" s="407">
        <f>SUM(LW6:LW98)</f>
        <v/>
      </c>
      <c r="LX100" s="407">
        <f>SUM(LX6:LX98)</f>
        <v/>
      </c>
      <c r="LY100" s="407">
        <f>SUM(LY6:LY98)</f>
        <v/>
      </c>
      <c r="LZ100" s="407">
        <f>SUM(LZ6:LZ98)</f>
        <v/>
      </c>
      <c r="MA100" s="407">
        <f>SUM(MA6:MA98)</f>
        <v/>
      </c>
      <c r="MB100" s="407">
        <f>SUM(MB6:MB98)</f>
        <v/>
      </c>
      <c r="MC100" s="407">
        <f>SUM(MC6:MC98)</f>
        <v/>
      </c>
      <c r="MD100" s="407">
        <f>SUM(MD6:MD98)</f>
        <v/>
      </c>
      <c r="ME100" s="407">
        <f>SUM(ME6:ME98)</f>
        <v/>
      </c>
      <c r="MF100" s="407">
        <f>SUM(MF6:MF98)</f>
        <v/>
      </c>
      <c r="MG100" s="407">
        <f>SUM(MG6:MG98)</f>
        <v/>
      </c>
      <c r="MH100" s="407">
        <f>SUM(MH6:MH98)</f>
        <v/>
      </c>
      <c r="MI100" s="407">
        <f>SUM(MI6:MI98)</f>
        <v/>
      </c>
      <c r="MJ100" s="407">
        <f>SUM(MJ6:MJ98)</f>
        <v/>
      </c>
      <c r="MK100" s="407">
        <f>SUM(MK6:MK98)</f>
        <v/>
      </c>
      <c r="ML100" s="407">
        <f>SUM(ML6:ML98)</f>
        <v/>
      </c>
      <c r="MM100" s="407">
        <f>SUM(MM6:MM98)</f>
        <v/>
      </c>
      <c r="MN100" s="407">
        <f>SUM(MN6:MN98)</f>
        <v/>
      </c>
      <c r="MO100" s="407">
        <f>SUM(MO6:MO98)</f>
        <v/>
      </c>
      <c r="MP100" s="407">
        <f>SUM(MP6:MP98)</f>
        <v/>
      </c>
      <c r="MQ100" s="407">
        <f>SUM(MQ6:MQ98)</f>
        <v/>
      </c>
      <c r="MR100" s="407">
        <f>SUM(MR6:MR98)</f>
        <v/>
      </c>
      <c r="MS100" s="407">
        <f>SUM(MS6:MS98)</f>
        <v/>
      </c>
      <c r="MT100" s="407">
        <f>SUM(MT6:MT98)</f>
        <v/>
      </c>
      <c r="MU100" s="407">
        <f>SUM(MU6:MU98)</f>
        <v/>
      </c>
      <c r="MV100" s="407">
        <f>SUM(MV6:MV98)</f>
        <v/>
      </c>
      <c r="MW100" s="407">
        <f>SUM(MW6:MW98)</f>
        <v/>
      </c>
      <c r="MX100" s="407">
        <f>SUM(MX6:MX98)</f>
        <v/>
      </c>
      <c r="MY100" s="407">
        <f>SUM(MY6:MY98)</f>
        <v/>
      </c>
      <c r="MZ100" s="407">
        <f>SUM(MZ6:MZ98)</f>
        <v/>
      </c>
      <c r="NA100" s="407">
        <f>SUM(NA6:NA98)</f>
        <v/>
      </c>
      <c r="NB100" s="407">
        <f>SUM(NB6:NB98)</f>
        <v/>
      </c>
      <c r="NC100" s="407">
        <f>SUM(NC6:NC98)</f>
        <v/>
      </c>
      <c r="ND100" s="407">
        <f>SUM(ND6:ND98)</f>
        <v/>
      </c>
      <c r="NE100" s="407">
        <f>SUM(NE6:NE98)</f>
        <v/>
      </c>
      <c r="NF100" s="407">
        <f>SUM(NF6:NF98)</f>
        <v/>
      </c>
      <c r="NG100" s="407">
        <f>SUM(NG6:NG98)</f>
        <v/>
      </c>
      <c r="NH100" s="407">
        <f>SUM(NH6:NH98)</f>
        <v/>
      </c>
      <c r="NI100" s="407">
        <f>SUM(NI6:NI98)</f>
        <v/>
      </c>
      <c r="NJ100" s="407">
        <f>SUM(NJ6:NJ98)</f>
        <v/>
      </c>
      <c r="NK100" s="407">
        <f>SUM(NK6:NK98)</f>
        <v/>
      </c>
      <c r="NL100" s="407">
        <f>SUM(NL6:NL98)</f>
        <v/>
      </c>
    </row>
    <row r="101">
      <c r="B101" s="328" t="inlineStr">
        <is>
          <t>Sponsor Development Fee</t>
        </is>
      </c>
      <c r="D101" s="407">
        <f>SUM(E101:NL101)</f>
        <v/>
      </c>
      <c r="E101" s="402">
        <f>IF(AND(1&gt;=MS_Initial_Closing_Start,1&lt;=MS_Stabilization_Start),DevFee/(MS_Stabilization_Start-MS_Initial_Closing_Start+1),0)</f>
        <v/>
      </c>
      <c r="F101" s="402">
        <f>IF(AND(2&gt;=MS_Initial_Closing_Start,2&lt;=MS_Stabilization_Start),DevFee/(MS_Stabilization_Start-MS_Initial_Closing_Start+1),0)</f>
        <v/>
      </c>
      <c r="G101" s="402">
        <f>IF(AND(3&gt;=MS_Initial_Closing_Start,3&lt;=MS_Stabilization_Start),DevFee/(MS_Stabilization_Start-MS_Initial_Closing_Start+1),0)</f>
        <v/>
      </c>
      <c r="H101" s="402">
        <f>IF(AND(4&gt;=MS_Initial_Closing_Start,4&lt;=MS_Stabilization_Start),DevFee/(MS_Stabilization_Start-MS_Initial_Closing_Start+1),0)</f>
        <v/>
      </c>
      <c r="I101" s="402">
        <f>IF(AND(5&gt;=MS_Initial_Closing_Start,5&lt;=MS_Stabilization_Start),DevFee/(MS_Stabilization_Start-MS_Initial_Closing_Start+1),0)</f>
        <v/>
      </c>
      <c r="J101" s="402">
        <f>IF(AND(6&gt;=MS_Initial_Closing_Start,6&lt;=MS_Stabilization_Start),DevFee/(MS_Stabilization_Start-MS_Initial_Closing_Start+1),0)</f>
        <v/>
      </c>
      <c r="K101" s="402">
        <f>IF(AND(7&gt;=MS_Initial_Closing_Start,7&lt;=MS_Stabilization_Start),DevFee/(MS_Stabilization_Start-MS_Initial_Closing_Start+1),0)</f>
        <v/>
      </c>
      <c r="L101" s="402">
        <f>IF(AND(8&gt;=MS_Initial_Closing_Start,8&lt;=MS_Stabilization_Start),DevFee/(MS_Stabilization_Start-MS_Initial_Closing_Start+1),0)</f>
        <v/>
      </c>
      <c r="M101" s="402">
        <f>IF(AND(9&gt;=MS_Initial_Closing_Start,9&lt;=MS_Stabilization_Start),DevFee/(MS_Stabilization_Start-MS_Initial_Closing_Start+1),0)</f>
        <v/>
      </c>
      <c r="N101" s="402">
        <f>IF(AND(10&gt;=MS_Initial_Closing_Start,10&lt;=MS_Stabilization_Start),DevFee/(MS_Stabilization_Start-MS_Initial_Closing_Start+1),0)</f>
        <v/>
      </c>
      <c r="O101" s="402">
        <f>IF(AND(11&gt;=MS_Initial_Closing_Start,11&lt;=MS_Stabilization_Start),DevFee/(MS_Stabilization_Start-MS_Initial_Closing_Start+1),0)</f>
        <v/>
      </c>
      <c r="P101" s="402">
        <f>IF(AND(12&gt;=MS_Initial_Closing_Start,12&lt;=MS_Stabilization_Start),DevFee/(MS_Stabilization_Start-MS_Initial_Closing_Start+1),0)</f>
        <v/>
      </c>
      <c r="Q101" s="402">
        <f>IF(AND(13&gt;=MS_Initial_Closing_Start,13&lt;=MS_Stabilization_Start),DevFee/(MS_Stabilization_Start-MS_Initial_Closing_Start+1),0)</f>
        <v/>
      </c>
      <c r="R101" s="402">
        <f>IF(AND(14&gt;=MS_Initial_Closing_Start,14&lt;=MS_Stabilization_Start),DevFee/(MS_Stabilization_Start-MS_Initial_Closing_Start+1),0)</f>
        <v/>
      </c>
      <c r="S101" s="402">
        <f>IF(AND(15&gt;=MS_Initial_Closing_Start,15&lt;=MS_Stabilization_Start),DevFee/(MS_Stabilization_Start-MS_Initial_Closing_Start+1),0)</f>
        <v/>
      </c>
      <c r="T101" s="402">
        <f>IF(AND(16&gt;=MS_Initial_Closing_Start,16&lt;=MS_Stabilization_Start),DevFee/(MS_Stabilization_Start-MS_Initial_Closing_Start+1),0)</f>
        <v/>
      </c>
      <c r="U101" s="402">
        <f>IF(AND(17&gt;=MS_Initial_Closing_Start,17&lt;=MS_Stabilization_Start),DevFee/(MS_Stabilization_Start-MS_Initial_Closing_Start+1),0)</f>
        <v/>
      </c>
      <c r="V101" s="402">
        <f>IF(AND(18&gt;=MS_Initial_Closing_Start,18&lt;=MS_Stabilization_Start),DevFee/(MS_Stabilization_Start-MS_Initial_Closing_Start+1),0)</f>
        <v/>
      </c>
      <c r="W101" s="402">
        <f>IF(AND(19&gt;=MS_Initial_Closing_Start,19&lt;=MS_Stabilization_Start),DevFee/(MS_Stabilization_Start-MS_Initial_Closing_Start+1),0)</f>
        <v/>
      </c>
      <c r="X101" s="402">
        <f>IF(AND(20&gt;=MS_Initial_Closing_Start,20&lt;=MS_Stabilization_Start),DevFee/(MS_Stabilization_Start-MS_Initial_Closing_Start+1),0)</f>
        <v/>
      </c>
      <c r="Y101" s="402">
        <f>IF(AND(21&gt;=MS_Initial_Closing_Start,21&lt;=MS_Stabilization_Start),DevFee/(MS_Stabilization_Start-MS_Initial_Closing_Start+1),0)</f>
        <v/>
      </c>
      <c r="Z101" s="402">
        <f>IF(AND(22&gt;=MS_Initial_Closing_Start,22&lt;=MS_Stabilization_Start),DevFee/(MS_Stabilization_Start-MS_Initial_Closing_Start+1),0)</f>
        <v/>
      </c>
      <c r="AA101" s="402">
        <f>IF(AND(23&gt;=MS_Initial_Closing_Start,23&lt;=MS_Stabilization_Start),DevFee/(MS_Stabilization_Start-MS_Initial_Closing_Start+1),0)</f>
        <v/>
      </c>
      <c r="AB101" s="402">
        <f>IF(AND(24&gt;=MS_Initial_Closing_Start,24&lt;=MS_Stabilization_Start),DevFee/(MS_Stabilization_Start-MS_Initial_Closing_Start+1),0)</f>
        <v/>
      </c>
      <c r="AC101" s="402">
        <f>IF(AND(25&gt;=MS_Initial_Closing_Start,25&lt;=MS_Stabilization_Start),DevFee/(MS_Stabilization_Start-MS_Initial_Closing_Start+1),0)</f>
        <v/>
      </c>
      <c r="AD101" s="402">
        <f>IF(AND(26&gt;=MS_Initial_Closing_Start,26&lt;=MS_Stabilization_Start),DevFee/(MS_Stabilization_Start-MS_Initial_Closing_Start+1),0)</f>
        <v/>
      </c>
      <c r="AE101" s="402">
        <f>IF(AND(27&gt;=MS_Initial_Closing_Start,27&lt;=MS_Stabilization_Start),DevFee/(MS_Stabilization_Start-MS_Initial_Closing_Start+1),0)</f>
        <v/>
      </c>
      <c r="AF101" s="402">
        <f>IF(AND(28&gt;=MS_Initial_Closing_Start,28&lt;=MS_Stabilization_Start),DevFee/(MS_Stabilization_Start-MS_Initial_Closing_Start+1),0)</f>
        <v/>
      </c>
      <c r="AG101" s="402">
        <f>IF(AND(29&gt;=MS_Initial_Closing_Start,29&lt;=MS_Stabilization_Start),DevFee/(MS_Stabilization_Start-MS_Initial_Closing_Start+1),0)</f>
        <v/>
      </c>
      <c r="AH101" s="402">
        <f>IF(AND(30&gt;=MS_Initial_Closing_Start,30&lt;=MS_Stabilization_Start),DevFee/(MS_Stabilization_Start-MS_Initial_Closing_Start+1),0)</f>
        <v/>
      </c>
      <c r="AI101" s="402">
        <f>IF(AND(31&gt;=MS_Initial_Closing_Start,31&lt;=MS_Stabilization_Start),DevFee/(MS_Stabilization_Start-MS_Initial_Closing_Start+1),0)</f>
        <v/>
      </c>
      <c r="AJ101" s="402">
        <f>IF(AND(32&gt;=MS_Initial_Closing_Start,32&lt;=MS_Stabilization_Start),DevFee/(MS_Stabilization_Start-MS_Initial_Closing_Start+1),0)</f>
        <v/>
      </c>
      <c r="AK101" s="402">
        <f>IF(AND(33&gt;=MS_Initial_Closing_Start,33&lt;=MS_Stabilization_Start),DevFee/(MS_Stabilization_Start-MS_Initial_Closing_Start+1),0)</f>
        <v/>
      </c>
      <c r="AL101" s="402">
        <f>IF(AND(34&gt;=MS_Initial_Closing_Start,34&lt;=MS_Stabilization_Start),DevFee/(MS_Stabilization_Start-MS_Initial_Closing_Start+1),0)</f>
        <v/>
      </c>
      <c r="AM101" s="402">
        <f>IF(AND(35&gt;=MS_Initial_Closing_Start,35&lt;=MS_Stabilization_Start),DevFee/(MS_Stabilization_Start-MS_Initial_Closing_Start+1),0)</f>
        <v/>
      </c>
      <c r="AN101" s="402">
        <f>IF(AND(36&gt;=MS_Initial_Closing_Start,36&lt;=MS_Stabilization_Start),DevFee/(MS_Stabilization_Start-MS_Initial_Closing_Start+1),0)</f>
        <v/>
      </c>
      <c r="AO101" s="402">
        <f>IF(AND(37&gt;=MS_Initial_Closing_Start,37&lt;=MS_Stabilization_Start),DevFee/(MS_Stabilization_Start-MS_Initial_Closing_Start+1),0)</f>
        <v/>
      </c>
      <c r="AP101" s="402">
        <f>IF(AND(38&gt;=MS_Initial_Closing_Start,38&lt;=MS_Stabilization_Start),DevFee/(MS_Stabilization_Start-MS_Initial_Closing_Start+1),0)</f>
        <v/>
      </c>
      <c r="AQ101" s="402">
        <f>IF(AND(39&gt;=MS_Initial_Closing_Start,39&lt;=MS_Stabilization_Start),DevFee/(MS_Stabilization_Start-MS_Initial_Closing_Start+1),0)</f>
        <v/>
      </c>
      <c r="AR101" s="402">
        <f>IF(AND(40&gt;=MS_Initial_Closing_Start,40&lt;=MS_Stabilization_Start),DevFee/(MS_Stabilization_Start-MS_Initial_Closing_Start+1),0)</f>
        <v/>
      </c>
      <c r="AS101" s="402">
        <f>IF(AND(41&gt;=MS_Initial_Closing_Start,41&lt;=MS_Stabilization_Start),DevFee/(MS_Stabilization_Start-MS_Initial_Closing_Start+1),0)</f>
        <v/>
      </c>
      <c r="AT101" s="402">
        <f>IF(AND(42&gt;=MS_Initial_Closing_Start,42&lt;=MS_Stabilization_Start),DevFee/(MS_Stabilization_Start-MS_Initial_Closing_Start+1),0)</f>
        <v/>
      </c>
      <c r="AU101" s="402">
        <f>IF(AND(43&gt;=MS_Initial_Closing_Start,43&lt;=MS_Stabilization_Start),DevFee/(MS_Stabilization_Start-MS_Initial_Closing_Start+1),0)</f>
        <v/>
      </c>
      <c r="AV101" s="402">
        <f>IF(AND(44&gt;=MS_Initial_Closing_Start,44&lt;=MS_Stabilization_Start),DevFee/(MS_Stabilization_Start-MS_Initial_Closing_Start+1),0)</f>
        <v/>
      </c>
      <c r="AW101" s="402">
        <f>IF(AND(45&gt;=MS_Initial_Closing_Start,45&lt;=MS_Stabilization_Start),DevFee/(MS_Stabilization_Start-MS_Initial_Closing_Start+1),0)</f>
        <v/>
      </c>
      <c r="AX101" s="402">
        <f>IF(AND(46&gt;=MS_Initial_Closing_Start,46&lt;=MS_Stabilization_Start),DevFee/(MS_Stabilization_Start-MS_Initial_Closing_Start+1),0)</f>
        <v/>
      </c>
      <c r="AY101" s="402">
        <f>IF(AND(47&gt;=MS_Initial_Closing_Start,47&lt;=MS_Stabilization_Start),DevFee/(MS_Stabilization_Start-MS_Initial_Closing_Start+1),0)</f>
        <v/>
      </c>
      <c r="AZ101" s="402">
        <f>IF(AND(48&gt;=MS_Initial_Closing_Start,48&lt;=MS_Stabilization_Start),DevFee/(MS_Stabilization_Start-MS_Initial_Closing_Start+1),0)</f>
        <v/>
      </c>
      <c r="BA101" s="402">
        <f>IF(AND(49&gt;=MS_Initial_Closing_Start,49&lt;=MS_Stabilization_Start),DevFee/(MS_Stabilization_Start-MS_Initial_Closing_Start+1),0)</f>
        <v/>
      </c>
      <c r="BB101" s="402">
        <f>IF(AND(50&gt;=MS_Initial_Closing_Start,50&lt;=MS_Stabilization_Start),DevFee/(MS_Stabilization_Start-MS_Initial_Closing_Start+1),0)</f>
        <v/>
      </c>
      <c r="BC101" s="402">
        <f>IF(AND(51&gt;=MS_Initial_Closing_Start,51&lt;=MS_Stabilization_Start),DevFee/(MS_Stabilization_Start-MS_Initial_Closing_Start+1),0)</f>
        <v/>
      </c>
      <c r="BD101" s="402">
        <f>IF(AND(52&gt;=MS_Initial_Closing_Start,52&lt;=MS_Stabilization_Start),DevFee/(MS_Stabilization_Start-MS_Initial_Closing_Start+1),0)</f>
        <v/>
      </c>
      <c r="BE101" s="402">
        <f>IF(AND(53&gt;=MS_Initial_Closing_Start,53&lt;=MS_Stabilization_Start),DevFee/(MS_Stabilization_Start-MS_Initial_Closing_Start+1),0)</f>
        <v/>
      </c>
      <c r="BF101" s="402">
        <f>IF(AND(54&gt;=MS_Initial_Closing_Start,54&lt;=MS_Stabilization_Start),DevFee/(MS_Stabilization_Start-MS_Initial_Closing_Start+1),0)</f>
        <v/>
      </c>
      <c r="BG101" s="402">
        <f>IF(AND(55&gt;=MS_Initial_Closing_Start,55&lt;=MS_Stabilization_Start),DevFee/(MS_Stabilization_Start-MS_Initial_Closing_Start+1),0)</f>
        <v/>
      </c>
      <c r="BH101" s="402">
        <f>IF(AND(56&gt;=MS_Initial_Closing_Start,56&lt;=MS_Stabilization_Start),DevFee/(MS_Stabilization_Start-MS_Initial_Closing_Start+1),0)</f>
        <v/>
      </c>
      <c r="BI101" s="402">
        <f>IF(AND(57&gt;=MS_Initial_Closing_Start,57&lt;=MS_Stabilization_Start),DevFee/(MS_Stabilization_Start-MS_Initial_Closing_Start+1),0)</f>
        <v/>
      </c>
      <c r="BJ101" s="402">
        <f>IF(AND(58&gt;=MS_Initial_Closing_Start,58&lt;=MS_Stabilization_Start),DevFee/(MS_Stabilization_Start-MS_Initial_Closing_Start+1),0)</f>
        <v/>
      </c>
      <c r="BK101" s="402">
        <f>IF(AND(59&gt;=MS_Initial_Closing_Start,59&lt;=MS_Stabilization_Start),DevFee/(MS_Stabilization_Start-MS_Initial_Closing_Start+1),0)</f>
        <v/>
      </c>
      <c r="BL101" s="402">
        <f>IF(AND(60&gt;=MS_Initial_Closing_Start,60&lt;=MS_Stabilization_Start),DevFee/(MS_Stabilization_Start-MS_Initial_Closing_Start+1),0)</f>
        <v/>
      </c>
      <c r="BM101" s="402">
        <f>IF(AND(61&gt;=MS_Initial_Closing_Start,61&lt;=MS_Stabilization_Start),DevFee/(MS_Stabilization_Start-MS_Initial_Closing_Start+1),0)</f>
        <v/>
      </c>
      <c r="BN101" s="402">
        <f>IF(AND(62&gt;=MS_Initial_Closing_Start,62&lt;=MS_Stabilization_Start),DevFee/(MS_Stabilization_Start-MS_Initial_Closing_Start+1),0)</f>
        <v/>
      </c>
      <c r="BO101" s="402">
        <f>IF(AND(63&gt;=MS_Initial_Closing_Start,63&lt;=MS_Stabilization_Start),DevFee/(MS_Stabilization_Start-MS_Initial_Closing_Start+1),0)</f>
        <v/>
      </c>
      <c r="BP101" s="402">
        <f>IF(AND(64&gt;=MS_Initial_Closing_Start,64&lt;=MS_Stabilization_Start),DevFee/(MS_Stabilization_Start-MS_Initial_Closing_Start+1),0)</f>
        <v/>
      </c>
      <c r="BQ101" s="402">
        <f>IF(AND(65&gt;=MS_Initial_Closing_Start,65&lt;=MS_Stabilization_Start),DevFee/(MS_Stabilization_Start-MS_Initial_Closing_Start+1),0)</f>
        <v/>
      </c>
      <c r="BR101" s="402">
        <f>IF(AND(66&gt;=MS_Initial_Closing_Start,66&lt;=MS_Stabilization_Start),DevFee/(MS_Stabilization_Start-MS_Initial_Closing_Start+1),0)</f>
        <v/>
      </c>
      <c r="BS101" s="402">
        <f>IF(AND(67&gt;=MS_Initial_Closing_Start,67&lt;=MS_Stabilization_Start),DevFee/(MS_Stabilization_Start-MS_Initial_Closing_Start+1),0)</f>
        <v/>
      </c>
      <c r="BT101" s="402">
        <f>IF(AND(68&gt;=MS_Initial_Closing_Start,68&lt;=MS_Stabilization_Start),DevFee/(MS_Stabilization_Start-MS_Initial_Closing_Start+1),0)</f>
        <v/>
      </c>
      <c r="BU101" s="402">
        <f>IF(AND(69&gt;=MS_Initial_Closing_Start,69&lt;=MS_Stabilization_Start),DevFee/(MS_Stabilization_Start-MS_Initial_Closing_Start+1),0)</f>
        <v/>
      </c>
      <c r="BV101" s="402">
        <f>IF(AND(70&gt;=MS_Initial_Closing_Start,70&lt;=MS_Stabilization_Start),DevFee/(MS_Stabilization_Start-MS_Initial_Closing_Start+1),0)</f>
        <v/>
      </c>
      <c r="BW101" s="402">
        <f>IF(AND(71&gt;=MS_Initial_Closing_Start,71&lt;=MS_Stabilization_Start),DevFee/(MS_Stabilization_Start-MS_Initial_Closing_Start+1),0)</f>
        <v/>
      </c>
      <c r="BX101" s="402">
        <f>IF(AND(72&gt;=MS_Initial_Closing_Start,72&lt;=MS_Stabilization_Start),DevFee/(MS_Stabilization_Start-MS_Initial_Closing_Start+1),0)</f>
        <v/>
      </c>
      <c r="BY101" s="402">
        <f>IF(AND(73&gt;=MS_Initial_Closing_Start,73&lt;=MS_Stabilization_Start),DevFee/(MS_Stabilization_Start-MS_Initial_Closing_Start+1),0)</f>
        <v/>
      </c>
      <c r="BZ101" s="402">
        <f>IF(AND(74&gt;=MS_Initial_Closing_Start,74&lt;=MS_Stabilization_Start),DevFee/(MS_Stabilization_Start-MS_Initial_Closing_Start+1),0)</f>
        <v/>
      </c>
      <c r="CA101" s="402">
        <f>IF(AND(75&gt;=MS_Initial_Closing_Start,75&lt;=MS_Stabilization_Start),DevFee/(MS_Stabilization_Start-MS_Initial_Closing_Start+1),0)</f>
        <v/>
      </c>
      <c r="CB101" s="402">
        <f>IF(AND(76&gt;=MS_Initial_Closing_Start,76&lt;=MS_Stabilization_Start),DevFee/(MS_Stabilization_Start-MS_Initial_Closing_Start+1),0)</f>
        <v/>
      </c>
      <c r="CC101" s="402">
        <f>IF(AND(77&gt;=MS_Initial_Closing_Start,77&lt;=MS_Stabilization_Start),DevFee/(MS_Stabilization_Start-MS_Initial_Closing_Start+1),0)</f>
        <v/>
      </c>
      <c r="CD101" s="402">
        <f>IF(AND(78&gt;=MS_Initial_Closing_Start,78&lt;=MS_Stabilization_Start),DevFee/(MS_Stabilization_Start-MS_Initial_Closing_Start+1),0)</f>
        <v/>
      </c>
      <c r="CE101" s="402">
        <f>IF(AND(79&gt;=MS_Initial_Closing_Start,79&lt;=MS_Stabilization_Start),DevFee/(MS_Stabilization_Start-MS_Initial_Closing_Start+1),0)</f>
        <v/>
      </c>
      <c r="CF101" s="402">
        <f>IF(AND(80&gt;=MS_Initial_Closing_Start,80&lt;=MS_Stabilization_Start),DevFee/(MS_Stabilization_Start-MS_Initial_Closing_Start+1),0)</f>
        <v/>
      </c>
      <c r="CG101" s="402">
        <f>IF(AND(81&gt;=MS_Initial_Closing_Start,81&lt;=MS_Stabilization_Start),DevFee/(MS_Stabilization_Start-MS_Initial_Closing_Start+1),0)</f>
        <v/>
      </c>
      <c r="CH101" s="402">
        <f>IF(AND(82&gt;=MS_Initial_Closing_Start,82&lt;=MS_Stabilization_Start),DevFee/(MS_Stabilization_Start-MS_Initial_Closing_Start+1),0)</f>
        <v/>
      </c>
      <c r="CI101" s="402">
        <f>IF(AND(83&gt;=MS_Initial_Closing_Start,83&lt;=MS_Stabilization_Start),DevFee/(MS_Stabilization_Start-MS_Initial_Closing_Start+1),0)</f>
        <v/>
      </c>
      <c r="CJ101" s="402">
        <f>IF(AND(84&gt;=MS_Initial_Closing_Start,84&lt;=MS_Stabilization_Start),DevFee/(MS_Stabilization_Start-MS_Initial_Closing_Start+1),0)</f>
        <v/>
      </c>
      <c r="CK101" s="402">
        <f>IF(AND(85&gt;=MS_Initial_Closing_Start,85&lt;=MS_Stabilization_Start),DevFee/(MS_Stabilization_Start-MS_Initial_Closing_Start+1),0)</f>
        <v/>
      </c>
      <c r="CL101" s="402">
        <f>IF(AND(86&gt;=MS_Initial_Closing_Start,86&lt;=MS_Stabilization_Start),DevFee/(MS_Stabilization_Start-MS_Initial_Closing_Start+1),0)</f>
        <v/>
      </c>
      <c r="CM101" s="402">
        <f>IF(AND(87&gt;=MS_Initial_Closing_Start,87&lt;=MS_Stabilization_Start),DevFee/(MS_Stabilization_Start-MS_Initial_Closing_Start+1),0)</f>
        <v/>
      </c>
      <c r="CN101" s="402">
        <f>IF(AND(88&gt;=MS_Initial_Closing_Start,88&lt;=MS_Stabilization_Start),DevFee/(MS_Stabilization_Start-MS_Initial_Closing_Start+1),0)</f>
        <v/>
      </c>
      <c r="CO101" s="402">
        <f>IF(AND(89&gt;=MS_Initial_Closing_Start,89&lt;=MS_Stabilization_Start),DevFee/(MS_Stabilization_Start-MS_Initial_Closing_Start+1),0)</f>
        <v/>
      </c>
      <c r="CP101" s="402">
        <f>IF(AND(90&gt;=MS_Initial_Closing_Start,90&lt;=MS_Stabilization_Start),DevFee/(MS_Stabilization_Start-MS_Initial_Closing_Start+1),0)</f>
        <v/>
      </c>
      <c r="CQ101" s="402">
        <f>IF(AND(91&gt;=MS_Initial_Closing_Start,91&lt;=MS_Stabilization_Start),DevFee/(MS_Stabilization_Start-MS_Initial_Closing_Start+1),0)</f>
        <v/>
      </c>
      <c r="CR101" s="402">
        <f>IF(AND(92&gt;=MS_Initial_Closing_Start,92&lt;=MS_Stabilization_Start),DevFee/(MS_Stabilization_Start-MS_Initial_Closing_Start+1),0)</f>
        <v/>
      </c>
      <c r="CS101" s="402">
        <f>IF(AND(93&gt;=MS_Initial_Closing_Start,93&lt;=MS_Stabilization_Start),DevFee/(MS_Stabilization_Start-MS_Initial_Closing_Start+1),0)</f>
        <v/>
      </c>
      <c r="CT101" s="402">
        <f>IF(AND(94&gt;=MS_Initial_Closing_Start,94&lt;=MS_Stabilization_Start),DevFee/(MS_Stabilization_Start-MS_Initial_Closing_Start+1),0)</f>
        <v/>
      </c>
      <c r="CU101" s="402">
        <f>IF(AND(95&gt;=MS_Initial_Closing_Start,95&lt;=MS_Stabilization_Start),DevFee/(MS_Stabilization_Start-MS_Initial_Closing_Start+1),0)</f>
        <v/>
      </c>
      <c r="CV101" s="402">
        <f>IF(AND(96&gt;=MS_Initial_Closing_Start,96&lt;=MS_Stabilization_Start),DevFee/(MS_Stabilization_Start-MS_Initial_Closing_Start+1),0)</f>
        <v/>
      </c>
      <c r="CW101" s="402">
        <f>IF(AND(97&gt;=MS_Initial_Closing_Start,97&lt;=MS_Stabilization_Start),DevFee/(MS_Stabilization_Start-MS_Initial_Closing_Start+1),0)</f>
        <v/>
      </c>
      <c r="CX101" s="402">
        <f>IF(AND(98&gt;=MS_Initial_Closing_Start,98&lt;=MS_Stabilization_Start),DevFee/(MS_Stabilization_Start-MS_Initial_Closing_Start+1),0)</f>
        <v/>
      </c>
      <c r="CY101" s="402">
        <f>IF(AND(99&gt;=MS_Initial_Closing_Start,99&lt;=MS_Stabilization_Start),DevFee/(MS_Stabilization_Start-MS_Initial_Closing_Start+1),0)</f>
        <v/>
      </c>
      <c r="CZ101" s="402">
        <f>IF(AND(100&gt;=MS_Initial_Closing_Start,100&lt;=MS_Stabilization_Start),DevFee/(MS_Stabilization_Start-MS_Initial_Closing_Start+1),0)</f>
        <v/>
      </c>
      <c r="DA101" s="402">
        <f>IF(AND(101&gt;=MS_Initial_Closing_Start,101&lt;=MS_Stabilization_Start),DevFee/(MS_Stabilization_Start-MS_Initial_Closing_Start+1),0)</f>
        <v/>
      </c>
      <c r="DB101" s="402">
        <f>IF(AND(102&gt;=MS_Initial_Closing_Start,102&lt;=MS_Stabilization_Start),DevFee/(MS_Stabilization_Start-MS_Initial_Closing_Start+1),0)</f>
        <v/>
      </c>
      <c r="DC101" s="402">
        <f>IF(AND(103&gt;=MS_Initial_Closing_Start,103&lt;=MS_Stabilization_Start),DevFee/(MS_Stabilization_Start-MS_Initial_Closing_Start+1),0)</f>
        <v/>
      </c>
      <c r="DD101" s="402">
        <f>IF(AND(104&gt;=MS_Initial_Closing_Start,104&lt;=MS_Stabilization_Start),DevFee/(MS_Stabilization_Start-MS_Initial_Closing_Start+1),0)</f>
        <v/>
      </c>
      <c r="DE101" s="402">
        <f>IF(AND(105&gt;=MS_Initial_Closing_Start,105&lt;=MS_Stabilization_Start),DevFee/(MS_Stabilization_Start-MS_Initial_Closing_Start+1),0)</f>
        <v/>
      </c>
      <c r="DF101" s="402">
        <f>IF(AND(106&gt;=MS_Initial_Closing_Start,106&lt;=MS_Stabilization_Start),DevFee/(MS_Stabilization_Start-MS_Initial_Closing_Start+1),0)</f>
        <v/>
      </c>
      <c r="DG101" s="402">
        <f>IF(AND(107&gt;=MS_Initial_Closing_Start,107&lt;=MS_Stabilization_Start),DevFee/(MS_Stabilization_Start-MS_Initial_Closing_Start+1),0)</f>
        <v/>
      </c>
      <c r="DH101" s="402">
        <f>IF(AND(108&gt;=MS_Initial_Closing_Start,108&lt;=MS_Stabilization_Start),DevFee/(MS_Stabilization_Start-MS_Initial_Closing_Start+1),0)</f>
        <v/>
      </c>
      <c r="DI101" s="402">
        <f>IF(AND(109&gt;=MS_Initial_Closing_Start,109&lt;=MS_Stabilization_Start),DevFee/(MS_Stabilization_Start-MS_Initial_Closing_Start+1),0)</f>
        <v/>
      </c>
      <c r="DJ101" s="402">
        <f>IF(AND(110&gt;=MS_Initial_Closing_Start,110&lt;=MS_Stabilization_Start),DevFee/(MS_Stabilization_Start-MS_Initial_Closing_Start+1),0)</f>
        <v/>
      </c>
      <c r="DK101" s="402">
        <f>IF(AND(111&gt;=MS_Initial_Closing_Start,111&lt;=MS_Stabilization_Start),DevFee/(MS_Stabilization_Start-MS_Initial_Closing_Start+1),0)</f>
        <v/>
      </c>
      <c r="DL101" s="402">
        <f>IF(AND(112&gt;=MS_Initial_Closing_Start,112&lt;=MS_Stabilization_Start),DevFee/(MS_Stabilization_Start-MS_Initial_Closing_Start+1),0)</f>
        <v/>
      </c>
      <c r="DM101" s="402">
        <f>IF(AND(113&gt;=MS_Initial_Closing_Start,113&lt;=MS_Stabilization_Start),DevFee/(MS_Stabilization_Start-MS_Initial_Closing_Start+1),0)</f>
        <v/>
      </c>
      <c r="DN101" s="402">
        <f>IF(AND(114&gt;=MS_Initial_Closing_Start,114&lt;=MS_Stabilization_Start),DevFee/(MS_Stabilization_Start-MS_Initial_Closing_Start+1),0)</f>
        <v/>
      </c>
      <c r="DO101" s="402">
        <f>IF(AND(115&gt;=MS_Initial_Closing_Start,115&lt;=MS_Stabilization_Start),DevFee/(MS_Stabilization_Start-MS_Initial_Closing_Start+1),0)</f>
        <v/>
      </c>
      <c r="DP101" s="402">
        <f>IF(AND(116&gt;=MS_Initial_Closing_Start,116&lt;=MS_Stabilization_Start),DevFee/(MS_Stabilization_Start-MS_Initial_Closing_Start+1),0)</f>
        <v/>
      </c>
      <c r="DQ101" s="402">
        <f>IF(AND(117&gt;=MS_Initial_Closing_Start,117&lt;=MS_Stabilization_Start),DevFee/(MS_Stabilization_Start-MS_Initial_Closing_Start+1),0)</f>
        <v/>
      </c>
      <c r="DR101" s="402">
        <f>IF(AND(118&gt;=MS_Initial_Closing_Start,118&lt;=MS_Stabilization_Start),DevFee/(MS_Stabilization_Start-MS_Initial_Closing_Start+1),0)</f>
        <v/>
      </c>
      <c r="DS101" s="402">
        <f>IF(AND(119&gt;=MS_Initial_Closing_Start,119&lt;=MS_Stabilization_Start),DevFee/(MS_Stabilization_Start-MS_Initial_Closing_Start+1),0)</f>
        <v/>
      </c>
      <c r="DT101" s="402">
        <f>IF(AND(120&gt;=MS_Initial_Closing_Start,120&lt;=MS_Stabilization_Start),DevFee/(MS_Stabilization_Start-MS_Initial_Closing_Start+1),0)</f>
        <v/>
      </c>
      <c r="DU101" s="402">
        <f>IF(AND(121&gt;=MS_Initial_Closing_Start,121&lt;=MS_Stabilization_Start),DevFee/(MS_Stabilization_Start-MS_Initial_Closing_Start+1),0)</f>
        <v/>
      </c>
      <c r="DV101" s="402">
        <f>IF(AND(122&gt;=MS_Initial_Closing_Start,122&lt;=MS_Stabilization_Start),DevFee/(MS_Stabilization_Start-MS_Initial_Closing_Start+1),0)</f>
        <v/>
      </c>
      <c r="DW101" s="402">
        <f>IF(AND(123&gt;=MS_Initial_Closing_Start,123&lt;=MS_Stabilization_Start),DevFee/(MS_Stabilization_Start-MS_Initial_Closing_Start+1),0)</f>
        <v/>
      </c>
      <c r="DX101" s="402">
        <f>IF(AND(124&gt;=MS_Initial_Closing_Start,124&lt;=MS_Stabilization_Start),DevFee/(MS_Stabilization_Start-MS_Initial_Closing_Start+1),0)</f>
        <v/>
      </c>
      <c r="DY101" s="402">
        <f>IF(AND(125&gt;=MS_Initial_Closing_Start,125&lt;=MS_Stabilization_Start),DevFee/(MS_Stabilization_Start-MS_Initial_Closing_Start+1),0)</f>
        <v/>
      </c>
      <c r="DZ101" s="402">
        <f>IF(AND(126&gt;=MS_Initial_Closing_Start,126&lt;=MS_Stabilization_Start),DevFee/(MS_Stabilization_Start-MS_Initial_Closing_Start+1),0)</f>
        <v/>
      </c>
      <c r="EA101" s="402">
        <f>IF(AND(127&gt;=MS_Initial_Closing_Start,127&lt;=MS_Stabilization_Start),DevFee/(MS_Stabilization_Start-MS_Initial_Closing_Start+1),0)</f>
        <v/>
      </c>
      <c r="EB101" s="402">
        <f>IF(AND(128&gt;=MS_Initial_Closing_Start,128&lt;=MS_Stabilization_Start),DevFee/(MS_Stabilization_Start-MS_Initial_Closing_Start+1),0)</f>
        <v/>
      </c>
      <c r="EC101" s="402">
        <f>IF(AND(129&gt;=MS_Initial_Closing_Start,129&lt;=MS_Stabilization_Start),DevFee/(MS_Stabilization_Start-MS_Initial_Closing_Start+1),0)</f>
        <v/>
      </c>
      <c r="ED101" s="402">
        <f>IF(AND(130&gt;=MS_Initial_Closing_Start,130&lt;=MS_Stabilization_Start),DevFee/(MS_Stabilization_Start-MS_Initial_Closing_Start+1),0)</f>
        <v/>
      </c>
      <c r="EE101" s="402">
        <f>IF(AND(131&gt;=MS_Initial_Closing_Start,131&lt;=MS_Stabilization_Start),DevFee/(MS_Stabilization_Start-MS_Initial_Closing_Start+1),0)</f>
        <v/>
      </c>
      <c r="EF101" s="402">
        <f>IF(AND(132&gt;=MS_Initial_Closing_Start,132&lt;=MS_Stabilization_Start),DevFee/(MS_Stabilization_Start-MS_Initial_Closing_Start+1),0)</f>
        <v/>
      </c>
      <c r="EG101" s="402">
        <f>IF(AND(133&gt;=MS_Initial_Closing_Start,133&lt;=MS_Stabilization_Start),DevFee/(MS_Stabilization_Start-MS_Initial_Closing_Start+1),0)</f>
        <v/>
      </c>
      <c r="EH101" s="402">
        <f>IF(AND(134&gt;=MS_Initial_Closing_Start,134&lt;=MS_Stabilization_Start),DevFee/(MS_Stabilization_Start-MS_Initial_Closing_Start+1),0)</f>
        <v/>
      </c>
      <c r="EI101" s="402">
        <f>IF(AND(135&gt;=MS_Initial_Closing_Start,135&lt;=MS_Stabilization_Start),DevFee/(MS_Stabilization_Start-MS_Initial_Closing_Start+1),0)</f>
        <v/>
      </c>
      <c r="EJ101" s="402">
        <f>IF(AND(136&gt;=MS_Initial_Closing_Start,136&lt;=MS_Stabilization_Start),DevFee/(MS_Stabilization_Start-MS_Initial_Closing_Start+1),0)</f>
        <v/>
      </c>
      <c r="EK101" s="402">
        <f>IF(AND(137&gt;=MS_Initial_Closing_Start,137&lt;=MS_Stabilization_Start),DevFee/(MS_Stabilization_Start-MS_Initial_Closing_Start+1),0)</f>
        <v/>
      </c>
      <c r="EL101" s="402">
        <f>IF(AND(138&gt;=MS_Initial_Closing_Start,138&lt;=MS_Stabilization_Start),DevFee/(MS_Stabilization_Start-MS_Initial_Closing_Start+1),0)</f>
        <v/>
      </c>
      <c r="EM101" s="402">
        <f>IF(AND(139&gt;=MS_Initial_Closing_Start,139&lt;=MS_Stabilization_Start),DevFee/(MS_Stabilization_Start-MS_Initial_Closing_Start+1),0)</f>
        <v/>
      </c>
      <c r="EN101" s="402">
        <f>IF(AND(140&gt;=MS_Initial_Closing_Start,140&lt;=MS_Stabilization_Start),DevFee/(MS_Stabilization_Start-MS_Initial_Closing_Start+1),0)</f>
        <v/>
      </c>
      <c r="EO101" s="402">
        <f>IF(AND(141&gt;=MS_Initial_Closing_Start,141&lt;=MS_Stabilization_Start),DevFee/(MS_Stabilization_Start-MS_Initial_Closing_Start+1),0)</f>
        <v/>
      </c>
      <c r="EP101" s="402">
        <f>IF(AND(142&gt;=MS_Initial_Closing_Start,142&lt;=MS_Stabilization_Start),DevFee/(MS_Stabilization_Start-MS_Initial_Closing_Start+1),0)</f>
        <v/>
      </c>
      <c r="EQ101" s="402">
        <f>IF(AND(143&gt;=MS_Initial_Closing_Start,143&lt;=MS_Stabilization_Start),DevFee/(MS_Stabilization_Start-MS_Initial_Closing_Start+1),0)</f>
        <v/>
      </c>
      <c r="ER101" s="402">
        <f>IF(AND(144&gt;=MS_Initial_Closing_Start,144&lt;=MS_Stabilization_Start),DevFee/(MS_Stabilization_Start-MS_Initial_Closing_Start+1),0)</f>
        <v/>
      </c>
      <c r="ES101" s="402">
        <f>IF(AND(145&gt;=MS_Initial_Closing_Start,145&lt;=MS_Stabilization_Start),DevFee/(MS_Stabilization_Start-MS_Initial_Closing_Start+1),0)</f>
        <v/>
      </c>
      <c r="ET101" s="402">
        <f>IF(AND(146&gt;=MS_Initial_Closing_Start,146&lt;=MS_Stabilization_Start),DevFee/(MS_Stabilization_Start-MS_Initial_Closing_Start+1),0)</f>
        <v/>
      </c>
      <c r="EU101" s="402">
        <f>IF(AND(147&gt;=MS_Initial_Closing_Start,147&lt;=MS_Stabilization_Start),DevFee/(MS_Stabilization_Start-MS_Initial_Closing_Start+1),0)</f>
        <v/>
      </c>
      <c r="EV101" s="402">
        <f>IF(AND(148&gt;=MS_Initial_Closing_Start,148&lt;=MS_Stabilization_Start),DevFee/(MS_Stabilization_Start-MS_Initial_Closing_Start+1),0)</f>
        <v/>
      </c>
      <c r="EW101" s="402">
        <f>IF(AND(149&gt;=MS_Initial_Closing_Start,149&lt;=MS_Stabilization_Start),DevFee/(MS_Stabilization_Start-MS_Initial_Closing_Start+1),0)</f>
        <v/>
      </c>
      <c r="EX101" s="402">
        <f>IF(AND(150&gt;=MS_Initial_Closing_Start,150&lt;=MS_Stabilization_Start),DevFee/(MS_Stabilization_Start-MS_Initial_Closing_Start+1),0)</f>
        <v/>
      </c>
      <c r="EY101" s="402">
        <f>IF(AND(151&gt;=MS_Initial_Closing_Start,151&lt;=MS_Stabilization_Start),DevFee/(MS_Stabilization_Start-MS_Initial_Closing_Start+1),0)</f>
        <v/>
      </c>
      <c r="EZ101" s="402">
        <f>IF(AND(152&gt;=MS_Initial_Closing_Start,152&lt;=MS_Stabilization_Start),DevFee/(MS_Stabilization_Start-MS_Initial_Closing_Start+1),0)</f>
        <v/>
      </c>
      <c r="FA101" s="402">
        <f>IF(AND(153&gt;=MS_Initial_Closing_Start,153&lt;=MS_Stabilization_Start),DevFee/(MS_Stabilization_Start-MS_Initial_Closing_Start+1),0)</f>
        <v/>
      </c>
      <c r="FB101" s="402">
        <f>IF(AND(154&gt;=MS_Initial_Closing_Start,154&lt;=MS_Stabilization_Start),DevFee/(MS_Stabilization_Start-MS_Initial_Closing_Start+1),0)</f>
        <v/>
      </c>
      <c r="FC101" s="402">
        <f>IF(AND(155&gt;=MS_Initial_Closing_Start,155&lt;=MS_Stabilization_Start),DevFee/(MS_Stabilization_Start-MS_Initial_Closing_Start+1),0)</f>
        <v/>
      </c>
      <c r="FD101" s="402">
        <f>IF(AND(156&gt;=MS_Initial_Closing_Start,156&lt;=MS_Stabilization_Start),DevFee/(MS_Stabilization_Start-MS_Initial_Closing_Start+1),0)</f>
        <v/>
      </c>
      <c r="FE101" s="402">
        <f>IF(AND(157&gt;=MS_Initial_Closing_Start,157&lt;=MS_Stabilization_Start),DevFee/(MS_Stabilization_Start-MS_Initial_Closing_Start+1),0)</f>
        <v/>
      </c>
      <c r="FF101" s="402">
        <f>IF(AND(158&gt;=MS_Initial_Closing_Start,158&lt;=MS_Stabilization_Start),DevFee/(MS_Stabilization_Start-MS_Initial_Closing_Start+1),0)</f>
        <v/>
      </c>
      <c r="FG101" s="402">
        <f>IF(AND(159&gt;=MS_Initial_Closing_Start,159&lt;=MS_Stabilization_Start),DevFee/(MS_Stabilization_Start-MS_Initial_Closing_Start+1),0)</f>
        <v/>
      </c>
      <c r="FH101" s="402">
        <f>IF(AND(160&gt;=MS_Initial_Closing_Start,160&lt;=MS_Stabilization_Start),DevFee/(MS_Stabilization_Start-MS_Initial_Closing_Start+1),0)</f>
        <v/>
      </c>
      <c r="FI101" s="402">
        <f>IF(AND(161&gt;=MS_Initial_Closing_Start,161&lt;=MS_Stabilization_Start),DevFee/(MS_Stabilization_Start-MS_Initial_Closing_Start+1),0)</f>
        <v/>
      </c>
      <c r="FJ101" s="402">
        <f>IF(AND(162&gt;=MS_Initial_Closing_Start,162&lt;=MS_Stabilization_Start),DevFee/(MS_Stabilization_Start-MS_Initial_Closing_Start+1),0)</f>
        <v/>
      </c>
      <c r="FK101" s="402">
        <f>IF(AND(163&gt;=MS_Initial_Closing_Start,163&lt;=MS_Stabilization_Start),DevFee/(MS_Stabilization_Start-MS_Initial_Closing_Start+1),0)</f>
        <v/>
      </c>
      <c r="FL101" s="402">
        <f>IF(AND(164&gt;=MS_Initial_Closing_Start,164&lt;=MS_Stabilization_Start),DevFee/(MS_Stabilization_Start-MS_Initial_Closing_Start+1),0)</f>
        <v/>
      </c>
      <c r="FM101" s="402">
        <f>IF(AND(165&gt;=MS_Initial_Closing_Start,165&lt;=MS_Stabilization_Start),DevFee/(MS_Stabilization_Start-MS_Initial_Closing_Start+1),0)</f>
        <v/>
      </c>
      <c r="FN101" s="402">
        <f>IF(AND(166&gt;=MS_Initial_Closing_Start,166&lt;=MS_Stabilization_Start),DevFee/(MS_Stabilization_Start-MS_Initial_Closing_Start+1),0)</f>
        <v/>
      </c>
      <c r="FO101" s="402">
        <f>IF(AND(167&gt;=MS_Initial_Closing_Start,167&lt;=MS_Stabilization_Start),DevFee/(MS_Stabilization_Start-MS_Initial_Closing_Start+1),0)</f>
        <v/>
      </c>
      <c r="FP101" s="402">
        <f>IF(AND(168&gt;=MS_Initial_Closing_Start,168&lt;=MS_Stabilization_Start),DevFee/(MS_Stabilization_Start-MS_Initial_Closing_Start+1),0)</f>
        <v/>
      </c>
      <c r="FQ101" s="402">
        <f>IF(AND(169&gt;=MS_Initial_Closing_Start,169&lt;=MS_Stabilization_Start),DevFee/(MS_Stabilization_Start-MS_Initial_Closing_Start+1),0)</f>
        <v/>
      </c>
      <c r="FR101" s="402">
        <f>IF(AND(170&gt;=MS_Initial_Closing_Start,170&lt;=MS_Stabilization_Start),DevFee/(MS_Stabilization_Start-MS_Initial_Closing_Start+1),0)</f>
        <v/>
      </c>
      <c r="FS101" s="402">
        <f>IF(AND(171&gt;=MS_Initial_Closing_Start,171&lt;=MS_Stabilization_Start),DevFee/(MS_Stabilization_Start-MS_Initial_Closing_Start+1),0)</f>
        <v/>
      </c>
      <c r="FT101" s="402">
        <f>IF(AND(172&gt;=MS_Initial_Closing_Start,172&lt;=MS_Stabilization_Start),DevFee/(MS_Stabilization_Start-MS_Initial_Closing_Start+1),0)</f>
        <v/>
      </c>
      <c r="FU101" s="402">
        <f>IF(AND(173&gt;=MS_Initial_Closing_Start,173&lt;=MS_Stabilization_Start),DevFee/(MS_Stabilization_Start-MS_Initial_Closing_Start+1),0)</f>
        <v/>
      </c>
      <c r="FV101" s="402">
        <f>IF(AND(174&gt;=MS_Initial_Closing_Start,174&lt;=MS_Stabilization_Start),DevFee/(MS_Stabilization_Start-MS_Initial_Closing_Start+1),0)</f>
        <v/>
      </c>
      <c r="FW101" s="402">
        <f>IF(AND(175&gt;=MS_Initial_Closing_Start,175&lt;=MS_Stabilization_Start),DevFee/(MS_Stabilization_Start-MS_Initial_Closing_Start+1),0)</f>
        <v/>
      </c>
      <c r="FX101" s="402">
        <f>IF(AND(176&gt;=MS_Initial_Closing_Start,176&lt;=MS_Stabilization_Start),DevFee/(MS_Stabilization_Start-MS_Initial_Closing_Start+1),0)</f>
        <v/>
      </c>
      <c r="FY101" s="402">
        <f>IF(AND(177&gt;=MS_Initial_Closing_Start,177&lt;=MS_Stabilization_Start),DevFee/(MS_Stabilization_Start-MS_Initial_Closing_Start+1),0)</f>
        <v/>
      </c>
      <c r="FZ101" s="402">
        <f>IF(AND(178&gt;=MS_Initial_Closing_Start,178&lt;=MS_Stabilization_Start),DevFee/(MS_Stabilization_Start-MS_Initial_Closing_Start+1),0)</f>
        <v/>
      </c>
      <c r="GA101" s="402">
        <f>IF(AND(179&gt;=MS_Initial_Closing_Start,179&lt;=MS_Stabilization_Start),DevFee/(MS_Stabilization_Start-MS_Initial_Closing_Start+1),0)</f>
        <v/>
      </c>
      <c r="GB101" s="402">
        <f>IF(AND(180&gt;=MS_Initial_Closing_Start,180&lt;=MS_Stabilization_Start),DevFee/(MS_Stabilization_Start-MS_Initial_Closing_Start+1),0)</f>
        <v/>
      </c>
      <c r="GC101" s="402">
        <f>IF(AND(181&gt;=MS_Initial_Closing_Start,181&lt;=MS_Stabilization_Start),DevFee/(MS_Stabilization_Start-MS_Initial_Closing_Start+1),0)</f>
        <v/>
      </c>
      <c r="GD101" s="402">
        <f>IF(AND(182&gt;=MS_Initial_Closing_Start,182&lt;=MS_Stabilization_Start),DevFee/(MS_Stabilization_Start-MS_Initial_Closing_Start+1),0)</f>
        <v/>
      </c>
      <c r="GE101" s="402">
        <f>IF(AND(183&gt;=MS_Initial_Closing_Start,183&lt;=MS_Stabilization_Start),DevFee/(MS_Stabilization_Start-MS_Initial_Closing_Start+1),0)</f>
        <v/>
      </c>
      <c r="GF101" s="402">
        <f>IF(AND(184&gt;=MS_Initial_Closing_Start,184&lt;=MS_Stabilization_Start),DevFee/(MS_Stabilization_Start-MS_Initial_Closing_Start+1),0)</f>
        <v/>
      </c>
      <c r="GG101" s="402">
        <f>IF(AND(185&gt;=MS_Initial_Closing_Start,185&lt;=MS_Stabilization_Start),DevFee/(MS_Stabilization_Start-MS_Initial_Closing_Start+1),0)</f>
        <v/>
      </c>
      <c r="GH101" s="402">
        <f>IF(AND(186&gt;=MS_Initial_Closing_Start,186&lt;=MS_Stabilization_Start),DevFee/(MS_Stabilization_Start-MS_Initial_Closing_Start+1),0)</f>
        <v/>
      </c>
      <c r="GI101" s="402">
        <f>IF(AND(187&gt;=MS_Initial_Closing_Start,187&lt;=MS_Stabilization_Start),DevFee/(MS_Stabilization_Start-MS_Initial_Closing_Start+1),0)</f>
        <v/>
      </c>
      <c r="GJ101" s="402">
        <f>IF(AND(188&gt;=MS_Initial_Closing_Start,188&lt;=MS_Stabilization_Start),DevFee/(MS_Stabilization_Start-MS_Initial_Closing_Start+1),0)</f>
        <v/>
      </c>
      <c r="GK101" s="402">
        <f>IF(AND(189&gt;=MS_Initial_Closing_Start,189&lt;=MS_Stabilization_Start),DevFee/(MS_Stabilization_Start-MS_Initial_Closing_Start+1),0)</f>
        <v/>
      </c>
      <c r="GL101" s="402">
        <f>IF(AND(190&gt;=MS_Initial_Closing_Start,190&lt;=MS_Stabilization_Start),DevFee/(MS_Stabilization_Start-MS_Initial_Closing_Start+1),0)</f>
        <v/>
      </c>
      <c r="GM101" s="402">
        <f>IF(AND(191&gt;=MS_Initial_Closing_Start,191&lt;=MS_Stabilization_Start),DevFee/(MS_Stabilization_Start-MS_Initial_Closing_Start+1),0)</f>
        <v/>
      </c>
      <c r="GN101" s="402">
        <f>IF(AND(192&gt;=MS_Initial_Closing_Start,192&lt;=MS_Stabilization_Start),DevFee/(MS_Stabilization_Start-MS_Initial_Closing_Start+1),0)</f>
        <v/>
      </c>
      <c r="GO101" s="402">
        <f>IF(AND(193&gt;=MS_Initial_Closing_Start,193&lt;=MS_Stabilization_Start),DevFee/(MS_Stabilization_Start-MS_Initial_Closing_Start+1),0)</f>
        <v/>
      </c>
      <c r="GP101" s="402">
        <f>IF(AND(194&gt;=MS_Initial_Closing_Start,194&lt;=MS_Stabilization_Start),DevFee/(MS_Stabilization_Start-MS_Initial_Closing_Start+1),0)</f>
        <v/>
      </c>
      <c r="GQ101" s="402">
        <f>IF(AND(195&gt;=MS_Initial_Closing_Start,195&lt;=MS_Stabilization_Start),DevFee/(MS_Stabilization_Start-MS_Initial_Closing_Start+1),0)</f>
        <v/>
      </c>
      <c r="GR101" s="402">
        <f>IF(AND(196&gt;=MS_Initial_Closing_Start,196&lt;=MS_Stabilization_Start),DevFee/(MS_Stabilization_Start-MS_Initial_Closing_Start+1),0)</f>
        <v/>
      </c>
      <c r="GS101" s="402">
        <f>IF(AND(197&gt;=MS_Initial_Closing_Start,197&lt;=MS_Stabilization_Start),DevFee/(MS_Stabilization_Start-MS_Initial_Closing_Start+1),0)</f>
        <v/>
      </c>
      <c r="GT101" s="402">
        <f>IF(AND(198&gt;=MS_Initial_Closing_Start,198&lt;=MS_Stabilization_Start),DevFee/(MS_Stabilization_Start-MS_Initial_Closing_Start+1),0)</f>
        <v/>
      </c>
      <c r="GU101" s="402">
        <f>IF(AND(199&gt;=MS_Initial_Closing_Start,199&lt;=MS_Stabilization_Start),DevFee/(MS_Stabilization_Start-MS_Initial_Closing_Start+1),0)</f>
        <v/>
      </c>
      <c r="GV101" s="402">
        <f>IF(AND(200&gt;=MS_Initial_Closing_Start,200&lt;=MS_Stabilization_Start),DevFee/(MS_Stabilization_Start-MS_Initial_Closing_Start+1),0)</f>
        <v/>
      </c>
      <c r="GW101" s="402">
        <f>IF(AND(201&gt;=MS_Initial_Closing_Start,201&lt;=MS_Stabilization_Start),DevFee/(MS_Stabilization_Start-MS_Initial_Closing_Start+1),0)</f>
        <v/>
      </c>
      <c r="GX101" s="402">
        <f>IF(AND(202&gt;=MS_Initial_Closing_Start,202&lt;=MS_Stabilization_Start),DevFee/(MS_Stabilization_Start-MS_Initial_Closing_Start+1),0)</f>
        <v/>
      </c>
      <c r="GY101" s="402">
        <f>IF(AND(203&gt;=MS_Initial_Closing_Start,203&lt;=MS_Stabilization_Start),DevFee/(MS_Stabilization_Start-MS_Initial_Closing_Start+1),0)</f>
        <v/>
      </c>
      <c r="GZ101" s="402">
        <f>IF(AND(204&gt;=MS_Initial_Closing_Start,204&lt;=MS_Stabilization_Start),DevFee/(MS_Stabilization_Start-MS_Initial_Closing_Start+1),0)</f>
        <v/>
      </c>
      <c r="HA101" s="402">
        <f>IF(AND(205&gt;=MS_Initial_Closing_Start,205&lt;=MS_Stabilization_Start),DevFee/(MS_Stabilization_Start-MS_Initial_Closing_Start+1),0)</f>
        <v/>
      </c>
      <c r="HB101" s="402">
        <f>IF(AND(206&gt;=MS_Initial_Closing_Start,206&lt;=MS_Stabilization_Start),DevFee/(MS_Stabilization_Start-MS_Initial_Closing_Start+1),0)</f>
        <v/>
      </c>
      <c r="HC101" s="402">
        <f>IF(AND(207&gt;=MS_Initial_Closing_Start,207&lt;=MS_Stabilization_Start),DevFee/(MS_Stabilization_Start-MS_Initial_Closing_Start+1),0)</f>
        <v/>
      </c>
      <c r="HD101" s="402">
        <f>IF(AND(208&gt;=MS_Initial_Closing_Start,208&lt;=MS_Stabilization_Start),DevFee/(MS_Stabilization_Start-MS_Initial_Closing_Start+1),0)</f>
        <v/>
      </c>
      <c r="HE101" s="402">
        <f>IF(AND(209&gt;=MS_Initial_Closing_Start,209&lt;=MS_Stabilization_Start),DevFee/(MS_Stabilization_Start-MS_Initial_Closing_Start+1),0)</f>
        <v/>
      </c>
      <c r="HF101" s="402">
        <f>IF(AND(210&gt;=MS_Initial_Closing_Start,210&lt;=MS_Stabilization_Start),DevFee/(MS_Stabilization_Start-MS_Initial_Closing_Start+1),0)</f>
        <v/>
      </c>
      <c r="HG101" s="402">
        <f>IF(AND(211&gt;=MS_Initial_Closing_Start,211&lt;=MS_Stabilization_Start),DevFee/(MS_Stabilization_Start-MS_Initial_Closing_Start+1),0)</f>
        <v/>
      </c>
      <c r="HH101" s="402">
        <f>IF(AND(212&gt;=MS_Initial_Closing_Start,212&lt;=MS_Stabilization_Start),DevFee/(MS_Stabilization_Start-MS_Initial_Closing_Start+1),0)</f>
        <v/>
      </c>
      <c r="HI101" s="402">
        <f>IF(AND(213&gt;=MS_Initial_Closing_Start,213&lt;=MS_Stabilization_Start),DevFee/(MS_Stabilization_Start-MS_Initial_Closing_Start+1),0)</f>
        <v/>
      </c>
      <c r="HJ101" s="402">
        <f>IF(AND(214&gt;=MS_Initial_Closing_Start,214&lt;=MS_Stabilization_Start),DevFee/(MS_Stabilization_Start-MS_Initial_Closing_Start+1),0)</f>
        <v/>
      </c>
      <c r="HK101" s="402">
        <f>IF(AND(215&gt;=MS_Initial_Closing_Start,215&lt;=MS_Stabilization_Start),DevFee/(MS_Stabilization_Start-MS_Initial_Closing_Start+1),0)</f>
        <v/>
      </c>
      <c r="HL101" s="402">
        <f>IF(AND(216&gt;=MS_Initial_Closing_Start,216&lt;=MS_Stabilization_Start),DevFee/(MS_Stabilization_Start-MS_Initial_Closing_Start+1),0)</f>
        <v/>
      </c>
      <c r="HM101" s="402">
        <f>IF(AND(217&gt;=MS_Initial_Closing_Start,217&lt;=MS_Stabilization_Start),DevFee/(MS_Stabilization_Start-MS_Initial_Closing_Start+1),0)</f>
        <v/>
      </c>
      <c r="HN101" s="402">
        <f>IF(AND(218&gt;=MS_Initial_Closing_Start,218&lt;=MS_Stabilization_Start),DevFee/(MS_Stabilization_Start-MS_Initial_Closing_Start+1),0)</f>
        <v/>
      </c>
      <c r="HO101" s="402">
        <f>IF(AND(219&gt;=MS_Initial_Closing_Start,219&lt;=MS_Stabilization_Start),DevFee/(MS_Stabilization_Start-MS_Initial_Closing_Start+1),0)</f>
        <v/>
      </c>
      <c r="HP101" s="402">
        <f>IF(AND(220&gt;=MS_Initial_Closing_Start,220&lt;=MS_Stabilization_Start),DevFee/(MS_Stabilization_Start-MS_Initial_Closing_Start+1),0)</f>
        <v/>
      </c>
      <c r="HQ101" s="402">
        <f>IF(AND(221&gt;=MS_Initial_Closing_Start,221&lt;=MS_Stabilization_Start),DevFee/(MS_Stabilization_Start-MS_Initial_Closing_Start+1),0)</f>
        <v/>
      </c>
      <c r="HR101" s="402">
        <f>IF(AND(222&gt;=MS_Initial_Closing_Start,222&lt;=MS_Stabilization_Start),DevFee/(MS_Stabilization_Start-MS_Initial_Closing_Start+1),0)</f>
        <v/>
      </c>
      <c r="HS101" s="402">
        <f>IF(AND(223&gt;=MS_Initial_Closing_Start,223&lt;=MS_Stabilization_Start),DevFee/(MS_Stabilization_Start-MS_Initial_Closing_Start+1),0)</f>
        <v/>
      </c>
      <c r="HT101" s="402">
        <f>IF(AND(224&gt;=MS_Initial_Closing_Start,224&lt;=MS_Stabilization_Start),DevFee/(MS_Stabilization_Start-MS_Initial_Closing_Start+1),0)</f>
        <v/>
      </c>
      <c r="HU101" s="402">
        <f>IF(AND(225&gt;=MS_Initial_Closing_Start,225&lt;=MS_Stabilization_Start),DevFee/(MS_Stabilization_Start-MS_Initial_Closing_Start+1),0)</f>
        <v/>
      </c>
      <c r="HV101" s="402">
        <f>IF(AND(226&gt;=MS_Initial_Closing_Start,226&lt;=MS_Stabilization_Start),DevFee/(MS_Stabilization_Start-MS_Initial_Closing_Start+1),0)</f>
        <v/>
      </c>
      <c r="HW101" s="402">
        <f>IF(AND(227&gt;=MS_Initial_Closing_Start,227&lt;=MS_Stabilization_Start),DevFee/(MS_Stabilization_Start-MS_Initial_Closing_Start+1),0)</f>
        <v/>
      </c>
      <c r="HX101" s="402">
        <f>IF(AND(228&gt;=MS_Initial_Closing_Start,228&lt;=MS_Stabilization_Start),DevFee/(MS_Stabilization_Start-MS_Initial_Closing_Start+1),0)</f>
        <v/>
      </c>
      <c r="HY101" s="402">
        <f>IF(AND(229&gt;=MS_Initial_Closing_Start,229&lt;=MS_Stabilization_Start),DevFee/(MS_Stabilization_Start-MS_Initial_Closing_Start+1),0)</f>
        <v/>
      </c>
      <c r="HZ101" s="402">
        <f>IF(AND(230&gt;=MS_Initial_Closing_Start,230&lt;=MS_Stabilization_Start),DevFee/(MS_Stabilization_Start-MS_Initial_Closing_Start+1),0)</f>
        <v/>
      </c>
      <c r="IA101" s="402">
        <f>IF(AND(231&gt;=MS_Initial_Closing_Start,231&lt;=MS_Stabilization_Start),DevFee/(MS_Stabilization_Start-MS_Initial_Closing_Start+1),0)</f>
        <v/>
      </c>
      <c r="IB101" s="402">
        <f>IF(AND(232&gt;=MS_Initial_Closing_Start,232&lt;=MS_Stabilization_Start),DevFee/(MS_Stabilization_Start-MS_Initial_Closing_Start+1),0)</f>
        <v/>
      </c>
      <c r="IC101" s="402">
        <f>IF(AND(233&gt;=MS_Initial_Closing_Start,233&lt;=MS_Stabilization_Start),DevFee/(MS_Stabilization_Start-MS_Initial_Closing_Start+1),0)</f>
        <v/>
      </c>
      <c r="ID101" s="402">
        <f>IF(AND(234&gt;=MS_Initial_Closing_Start,234&lt;=MS_Stabilization_Start),DevFee/(MS_Stabilization_Start-MS_Initial_Closing_Start+1),0)</f>
        <v/>
      </c>
      <c r="IE101" s="402">
        <f>IF(AND(235&gt;=MS_Initial_Closing_Start,235&lt;=MS_Stabilization_Start),DevFee/(MS_Stabilization_Start-MS_Initial_Closing_Start+1),0)</f>
        <v/>
      </c>
      <c r="IF101" s="402">
        <f>IF(AND(236&gt;=MS_Initial_Closing_Start,236&lt;=MS_Stabilization_Start),DevFee/(MS_Stabilization_Start-MS_Initial_Closing_Start+1),0)</f>
        <v/>
      </c>
      <c r="IG101" s="402">
        <f>IF(AND(237&gt;=MS_Initial_Closing_Start,237&lt;=MS_Stabilization_Start),DevFee/(MS_Stabilization_Start-MS_Initial_Closing_Start+1),0)</f>
        <v/>
      </c>
      <c r="IH101" s="402">
        <f>IF(AND(238&gt;=MS_Initial_Closing_Start,238&lt;=MS_Stabilization_Start),DevFee/(MS_Stabilization_Start-MS_Initial_Closing_Start+1),0)</f>
        <v/>
      </c>
      <c r="II101" s="402">
        <f>IF(AND(239&gt;=MS_Initial_Closing_Start,239&lt;=MS_Stabilization_Start),DevFee/(MS_Stabilization_Start-MS_Initial_Closing_Start+1),0)</f>
        <v/>
      </c>
      <c r="IJ101" s="402">
        <f>IF(AND(240&gt;=MS_Initial_Closing_Start,240&lt;=MS_Stabilization_Start),DevFee/(MS_Stabilization_Start-MS_Initial_Closing_Start+1),0)</f>
        <v/>
      </c>
      <c r="IK101" s="402">
        <f>IF(AND(241&gt;=MS_Initial_Closing_Start,241&lt;=MS_Stabilization_Start),DevFee/(MS_Stabilization_Start-MS_Initial_Closing_Start+1),0)</f>
        <v/>
      </c>
      <c r="IL101" s="402">
        <f>IF(AND(242&gt;=MS_Initial_Closing_Start,242&lt;=MS_Stabilization_Start),DevFee/(MS_Stabilization_Start-MS_Initial_Closing_Start+1),0)</f>
        <v/>
      </c>
      <c r="IM101" s="402">
        <f>IF(AND(243&gt;=MS_Initial_Closing_Start,243&lt;=MS_Stabilization_Start),DevFee/(MS_Stabilization_Start-MS_Initial_Closing_Start+1),0)</f>
        <v/>
      </c>
      <c r="IN101" s="402">
        <f>IF(AND(244&gt;=MS_Initial_Closing_Start,244&lt;=MS_Stabilization_Start),DevFee/(MS_Stabilization_Start-MS_Initial_Closing_Start+1),0)</f>
        <v/>
      </c>
      <c r="IO101" s="402">
        <f>IF(AND(245&gt;=MS_Initial_Closing_Start,245&lt;=MS_Stabilization_Start),DevFee/(MS_Stabilization_Start-MS_Initial_Closing_Start+1),0)</f>
        <v/>
      </c>
      <c r="IP101" s="402">
        <f>IF(AND(246&gt;=MS_Initial_Closing_Start,246&lt;=MS_Stabilization_Start),DevFee/(MS_Stabilization_Start-MS_Initial_Closing_Start+1),0)</f>
        <v/>
      </c>
      <c r="IQ101" s="402">
        <f>IF(AND(247&gt;=MS_Initial_Closing_Start,247&lt;=MS_Stabilization_Start),DevFee/(MS_Stabilization_Start-MS_Initial_Closing_Start+1),0)</f>
        <v/>
      </c>
      <c r="IR101" s="402">
        <f>IF(AND(248&gt;=MS_Initial_Closing_Start,248&lt;=MS_Stabilization_Start),DevFee/(MS_Stabilization_Start-MS_Initial_Closing_Start+1),0)</f>
        <v/>
      </c>
      <c r="IS101" s="402">
        <f>IF(AND(249&gt;=MS_Initial_Closing_Start,249&lt;=MS_Stabilization_Start),DevFee/(MS_Stabilization_Start-MS_Initial_Closing_Start+1),0)</f>
        <v/>
      </c>
      <c r="IT101" s="402">
        <f>IF(AND(250&gt;=MS_Initial_Closing_Start,250&lt;=MS_Stabilization_Start),DevFee/(MS_Stabilization_Start-MS_Initial_Closing_Start+1),0)</f>
        <v/>
      </c>
      <c r="IU101" s="402">
        <f>IF(AND(251&gt;=MS_Initial_Closing_Start,251&lt;=MS_Stabilization_Start),DevFee/(MS_Stabilization_Start-MS_Initial_Closing_Start+1),0)</f>
        <v/>
      </c>
      <c r="IV101" s="402">
        <f>IF(AND(252&gt;=MS_Initial_Closing_Start,252&lt;=MS_Stabilization_Start),DevFee/(MS_Stabilization_Start-MS_Initial_Closing_Start+1),0)</f>
        <v/>
      </c>
      <c r="IW101" s="402">
        <f>IF(AND(253&gt;=MS_Initial_Closing_Start,253&lt;=MS_Stabilization_Start),DevFee/(MS_Stabilization_Start-MS_Initial_Closing_Start+1),0)</f>
        <v/>
      </c>
      <c r="IX101" s="402">
        <f>IF(AND(254&gt;=MS_Initial_Closing_Start,254&lt;=MS_Stabilization_Start),DevFee/(MS_Stabilization_Start-MS_Initial_Closing_Start+1),0)</f>
        <v/>
      </c>
      <c r="IY101" s="402">
        <f>IF(AND(255&gt;=MS_Initial_Closing_Start,255&lt;=MS_Stabilization_Start),DevFee/(MS_Stabilization_Start-MS_Initial_Closing_Start+1),0)</f>
        <v/>
      </c>
      <c r="IZ101" s="402">
        <f>IF(AND(256&gt;=MS_Initial_Closing_Start,256&lt;=MS_Stabilization_Start),DevFee/(MS_Stabilization_Start-MS_Initial_Closing_Start+1),0)</f>
        <v/>
      </c>
      <c r="JA101" s="402">
        <f>IF(AND(257&gt;=MS_Initial_Closing_Start,257&lt;=MS_Stabilization_Start),DevFee/(MS_Stabilization_Start-MS_Initial_Closing_Start+1),0)</f>
        <v/>
      </c>
      <c r="JB101" s="402">
        <f>IF(AND(258&gt;=MS_Initial_Closing_Start,258&lt;=MS_Stabilization_Start),DevFee/(MS_Stabilization_Start-MS_Initial_Closing_Start+1),0)</f>
        <v/>
      </c>
      <c r="JC101" s="402">
        <f>IF(AND(259&gt;=MS_Initial_Closing_Start,259&lt;=MS_Stabilization_Start),DevFee/(MS_Stabilization_Start-MS_Initial_Closing_Start+1),0)</f>
        <v/>
      </c>
      <c r="JD101" s="402">
        <f>IF(AND(260&gt;=MS_Initial_Closing_Start,260&lt;=MS_Stabilization_Start),DevFee/(MS_Stabilization_Start-MS_Initial_Closing_Start+1),0)</f>
        <v/>
      </c>
      <c r="JE101" s="402">
        <f>IF(AND(261&gt;=MS_Initial_Closing_Start,261&lt;=MS_Stabilization_Start),DevFee/(MS_Stabilization_Start-MS_Initial_Closing_Start+1),0)</f>
        <v/>
      </c>
      <c r="JF101" s="402">
        <f>IF(AND(262&gt;=MS_Initial_Closing_Start,262&lt;=MS_Stabilization_Start),DevFee/(MS_Stabilization_Start-MS_Initial_Closing_Start+1),0)</f>
        <v/>
      </c>
      <c r="JG101" s="402">
        <f>IF(AND(263&gt;=MS_Initial_Closing_Start,263&lt;=MS_Stabilization_Start),DevFee/(MS_Stabilization_Start-MS_Initial_Closing_Start+1),0)</f>
        <v/>
      </c>
      <c r="JH101" s="402">
        <f>IF(AND(264&gt;=MS_Initial_Closing_Start,264&lt;=MS_Stabilization_Start),DevFee/(MS_Stabilization_Start-MS_Initial_Closing_Start+1),0)</f>
        <v/>
      </c>
      <c r="JI101" s="402">
        <f>IF(AND(265&gt;=MS_Initial_Closing_Start,265&lt;=MS_Stabilization_Start),DevFee/(MS_Stabilization_Start-MS_Initial_Closing_Start+1),0)</f>
        <v/>
      </c>
      <c r="JJ101" s="402">
        <f>IF(AND(266&gt;=MS_Initial_Closing_Start,266&lt;=MS_Stabilization_Start),DevFee/(MS_Stabilization_Start-MS_Initial_Closing_Start+1),0)</f>
        <v/>
      </c>
      <c r="JK101" s="402">
        <f>IF(AND(267&gt;=MS_Initial_Closing_Start,267&lt;=MS_Stabilization_Start),DevFee/(MS_Stabilization_Start-MS_Initial_Closing_Start+1),0)</f>
        <v/>
      </c>
      <c r="JL101" s="402">
        <f>IF(AND(268&gt;=MS_Initial_Closing_Start,268&lt;=MS_Stabilization_Start),DevFee/(MS_Stabilization_Start-MS_Initial_Closing_Start+1),0)</f>
        <v/>
      </c>
      <c r="JM101" s="402">
        <f>IF(AND(269&gt;=MS_Initial_Closing_Start,269&lt;=MS_Stabilization_Start),DevFee/(MS_Stabilization_Start-MS_Initial_Closing_Start+1),0)</f>
        <v/>
      </c>
      <c r="JN101" s="402">
        <f>IF(AND(270&gt;=MS_Initial_Closing_Start,270&lt;=MS_Stabilization_Start),DevFee/(MS_Stabilization_Start-MS_Initial_Closing_Start+1),0)</f>
        <v/>
      </c>
      <c r="JO101" s="402">
        <f>IF(AND(271&gt;=MS_Initial_Closing_Start,271&lt;=MS_Stabilization_Start),DevFee/(MS_Stabilization_Start-MS_Initial_Closing_Start+1),0)</f>
        <v/>
      </c>
      <c r="JP101" s="402">
        <f>IF(AND(272&gt;=MS_Initial_Closing_Start,272&lt;=MS_Stabilization_Start),DevFee/(MS_Stabilization_Start-MS_Initial_Closing_Start+1),0)</f>
        <v/>
      </c>
      <c r="JQ101" s="402">
        <f>IF(AND(273&gt;=MS_Initial_Closing_Start,273&lt;=MS_Stabilization_Start),DevFee/(MS_Stabilization_Start-MS_Initial_Closing_Start+1),0)</f>
        <v/>
      </c>
      <c r="JR101" s="402">
        <f>IF(AND(274&gt;=MS_Initial_Closing_Start,274&lt;=MS_Stabilization_Start),DevFee/(MS_Stabilization_Start-MS_Initial_Closing_Start+1),0)</f>
        <v/>
      </c>
      <c r="JS101" s="402">
        <f>IF(AND(275&gt;=MS_Initial_Closing_Start,275&lt;=MS_Stabilization_Start),DevFee/(MS_Stabilization_Start-MS_Initial_Closing_Start+1),0)</f>
        <v/>
      </c>
      <c r="JT101" s="402">
        <f>IF(AND(276&gt;=MS_Initial_Closing_Start,276&lt;=MS_Stabilization_Start),DevFee/(MS_Stabilization_Start-MS_Initial_Closing_Start+1),0)</f>
        <v/>
      </c>
      <c r="JU101" s="402">
        <f>IF(AND(277&gt;=MS_Initial_Closing_Start,277&lt;=MS_Stabilization_Start),DevFee/(MS_Stabilization_Start-MS_Initial_Closing_Start+1),0)</f>
        <v/>
      </c>
      <c r="JV101" s="402">
        <f>IF(AND(278&gt;=MS_Initial_Closing_Start,278&lt;=MS_Stabilization_Start),DevFee/(MS_Stabilization_Start-MS_Initial_Closing_Start+1),0)</f>
        <v/>
      </c>
      <c r="JW101" s="402">
        <f>IF(AND(279&gt;=MS_Initial_Closing_Start,279&lt;=MS_Stabilization_Start),DevFee/(MS_Stabilization_Start-MS_Initial_Closing_Start+1),0)</f>
        <v/>
      </c>
      <c r="JX101" s="402">
        <f>IF(AND(280&gt;=MS_Initial_Closing_Start,280&lt;=MS_Stabilization_Start),DevFee/(MS_Stabilization_Start-MS_Initial_Closing_Start+1),0)</f>
        <v/>
      </c>
      <c r="JY101" s="402">
        <f>IF(AND(281&gt;=MS_Initial_Closing_Start,281&lt;=MS_Stabilization_Start),DevFee/(MS_Stabilization_Start-MS_Initial_Closing_Start+1),0)</f>
        <v/>
      </c>
      <c r="JZ101" s="402">
        <f>IF(AND(282&gt;=MS_Initial_Closing_Start,282&lt;=MS_Stabilization_Start),DevFee/(MS_Stabilization_Start-MS_Initial_Closing_Start+1),0)</f>
        <v/>
      </c>
      <c r="KA101" s="402">
        <f>IF(AND(283&gt;=MS_Initial_Closing_Start,283&lt;=MS_Stabilization_Start),DevFee/(MS_Stabilization_Start-MS_Initial_Closing_Start+1),0)</f>
        <v/>
      </c>
      <c r="KB101" s="402">
        <f>IF(AND(284&gt;=MS_Initial_Closing_Start,284&lt;=MS_Stabilization_Start),DevFee/(MS_Stabilization_Start-MS_Initial_Closing_Start+1),0)</f>
        <v/>
      </c>
      <c r="KC101" s="402">
        <f>IF(AND(285&gt;=MS_Initial_Closing_Start,285&lt;=MS_Stabilization_Start),DevFee/(MS_Stabilization_Start-MS_Initial_Closing_Start+1),0)</f>
        <v/>
      </c>
      <c r="KD101" s="402">
        <f>IF(AND(286&gt;=MS_Initial_Closing_Start,286&lt;=MS_Stabilization_Start),DevFee/(MS_Stabilization_Start-MS_Initial_Closing_Start+1),0)</f>
        <v/>
      </c>
      <c r="KE101" s="402">
        <f>IF(AND(287&gt;=MS_Initial_Closing_Start,287&lt;=MS_Stabilization_Start),DevFee/(MS_Stabilization_Start-MS_Initial_Closing_Start+1),0)</f>
        <v/>
      </c>
      <c r="KF101" s="402">
        <f>IF(AND(288&gt;=MS_Initial_Closing_Start,288&lt;=MS_Stabilization_Start),DevFee/(MS_Stabilization_Start-MS_Initial_Closing_Start+1),0)</f>
        <v/>
      </c>
      <c r="KG101" s="402">
        <f>IF(AND(289&gt;=MS_Initial_Closing_Start,289&lt;=MS_Stabilization_Start),DevFee/(MS_Stabilization_Start-MS_Initial_Closing_Start+1),0)</f>
        <v/>
      </c>
      <c r="KH101" s="402">
        <f>IF(AND(290&gt;=MS_Initial_Closing_Start,290&lt;=MS_Stabilization_Start),DevFee/(MS_Stabilization_Start-MS_Initial_Closing_Start+1),0)</f>
        <v/>
      </c>
      <c r="KI101" s="402">
        <f>IF(AND(291&gt;=MS_Initial_Closing_Start,291&lt;=MS_Stabilization_Start),DevFee/(MS_Stabilization_Start-MS_Initial_Closing_Start+1),0)</f>
        <v/>
      </c>
      <c r="KJ101" s="402">
        <f>IF(AND(292&gt;=MS_Initial_Closing_Start,292&lt;=MS_Stabilization_Start),DevFee/(MS_Stabilization_Start-MS_Initial_Closing_Start+1),0)</f>
        <v/>
      </c>
      <c r="KK101" s="402">
        <f>IF(AND(293&gt;=MS_Initial_Closing_Start,293&lt;=MS_Stabilization_Start),DevFee/(MS_Stabilization_Start-MS_Initial_Closing_Start+1),0)</f>
        <v/>
      </c>
      <c r="KL101" s="402">
        <f>IF(AND(294&gt;=MS_Initial_Closing_Start,294&lt;=MS_Stabilization_Start),DevFee/(MS_Stabilization_Start-MS_Initial_Closing_Start+1),0)</f>
        <v/>
      </c>
      <c r="KM101" s="402">
        <f>IF(AND(295&gt;=MS_Initial_Closing_Start,295&lt;=MS_Stabilization_Start),DevFee/(MS_Stabilization_Start-MS_Initial_Closing_Start+1),0)</f>
        <v/>
      </c>
      <c r="KN101" s="402">
        <f>IF(AND(296&gt;=MS_Initial_Closing_Start,296&lt;=MS_Stabilization_Start),DevFee/(MS_Stabilization_Start-MS_Initial_Closing_Start+1),0)</f>
        <v/>
      </c>
      <c r="KO101" s="402">
        <f>IF(AND(297&gt;=MS_Initial_Closing_Start,297&lt;=MS_Stabilization_Start),DevFee/(MS_Stabilization_Start-MS_Initial_Closing_Start+1),0)</f>
        <v/>
      </c>
      <c r="KP101" s="402">
        <f>IF(AND(298&gt;=MS_Initial_Closing_Start,298&lt;=MS_Stabilization_Start),DevFee/(MS_Stabilization_Start-MS_Initial_Closing_Start+1),0)</f>
        <v/>
      </c>
      <c r="KQ101" s="402">
        <f>IF(AND(299&gt;=MS_Initial_Closing_Start,299&lt;=MS_Stabilization_Start),DevFee/(MS_Stabilization_Start-MS_Initial_Closing_Start+1),0)</f>
        <v/>
      </c>
      <c r="KR101" s="402">
        <f>IF(AND(300&gt;=MS_Initial_Closing_Start,300&lt;=MS_Stabilization_Start),DevFee/(MS_Stabilization_Start-MS_Initial_Closing_Start+1),0)</f>
        <v/>
      </c>
      <c r="KS101" s="402">
        <f>IF(AND(301&gt;=MS_Initial_Closing_Start,301&lt;=MS_Stabilization_Start),DevFee/(MS_Stabilization_Start-MS_Initial_Closing_Start+1),0)</f>
        <v/>
      </c>
      <c r="KT101" s="402">
        <f>IF(AND(302&gt;=MS_Initial_Closing_Start,302&lt;=MS_Stabilization_Start),DevFee/(MS_Stabilization_Start-MS_Initial_Closing_Start+1),0)</f>
        <v/>
      </c>
      <c r="KU101" s="402">
        <f>IF(AND(303&gt;=MS_Initial_Closing_Start,303&lt;=MS_Stabilization_Start),DevFee/(MS_Stabilization_Start-MS_Initial_Closing_Start+1),0)</f>
        <v/>
      </c>
      <c r="KV101" s="402">
        <f>IF(AND(304&gt;=MS_Initial_Closing_Start,304&lt;=MS_Stabilization_Start),DevFee/(MS_Stabilization_Start-MS_Initial_Closing_Start+1),0)</f>
        <v/>
      </c>
      <c r="KW101" s="402">
        <f>IF(AND(305&gt;=MS_Initial_Closing_Start,305&lt;=MS_Stabilization_Start),DevFee/(MS_Stabilization_Start-MS_Initial_Closing_Start+1),0)</f>
        <v/>
      </c>
      <c r="KX101" s="402">
        <f>IF(AND(306&gt;=MS_Initial_Closing_Start,306&lt;=MS_Stabilization_Start),DevFee/(MS_Stabilization_Start-MS_Initial_Closing_Start+1),0)</f>
        <v/>
      </c>
      <c r="KY101" s="402">
        <f>IF(AND(307&gt;=MS_Initial_Closing_Start,307&lt;=MS_Stabilization_Start),DevFee/(MS_Stabilization_Start-MS_Initial_Closing_Start+1),0)</f>
        <v/>
      </c>
      <c r="KZ101" s="402">
        <f>IF(AND(308&gt;=MS_Initial_Closing_Start,308&lt;=MS_Stabilization_Start),DevFee/(MS_Stabilization_Start-MS_Initial_Closing_Start+1),0)</f>
        <v/>
      </c>
      <c r="LA101" s="402">
        <f>IF(AND(309&gt;=MS_Initial_Closing_Start,309&lt;=MS_Stabilization_Start),DevFee/(MS_Stabilization_Start-MS_Initial_Closing_Start+1),0)</f>
        <v/>
      </c>
      <c r="LB101" s="402">
        <f>IF(AND(310&gt;=MS_Initial_Closing_Start,310&lt;=MS_Stabilization_Start),DevFee/(MS_Stabilization_Start-MS_Initial_Closing_Start+1),0)</f>
        <v/>
      </c>
      <c r="LC101" s="402">
        <f>IF(AND(311&gt;=MS_Initial_Closing_Start,311&lt;=MS_Stabilization_Start),DevFee/(MS_Stabilization_Start-MS_Initial_Closing_Start+1),0)</f>
        <v/>
      </c>
      <c r="LD101" s="402">
        <f>IF(AND(312&gt;=MS_Initial_Closing_Start,312&lt;=MS_Stabilization_Start),DevFee/(MS_Stabilization_Start-MS_Initial_Closing_Start+1),0)</f>
        <v/>
      </c>
      <c r="LE101" s="402">
        <f>IF(AND(313&gt;=MS_Initial_Closing_Start,313&lt;=MS_Stabilization_Start),DevFee/(MS_Stabilization_Start-MS_Initial_Closing_Start+1),0)</f>
        <v/>
      </c>
      <c r="LF101" s="402">
        <f>IF(AND(314&gt;=MS_Initial_Closing_Start,314&lt;=MS_Stabilization_Start),DevFee/(MS_Stabilization_Start-MS_Initial_Closing_Start+1),0)</f>
        <v/>
      </c>
      <c r="LG101" s="402">
        <f>IF(AND(315&gt;=MS_Initial_Closing_Start,315&lt;=MS_Stabilization_Start),DevFee/(MS_Stabilization_Start-MS_Initial_Closing_Start+1),0)</f>
        <v/>
      </c>
      <c r="LH101" s="402">
        <f>IF(AND(316&gt;=MS_Initial_Closing_Start,316&lt;=MS_Stabilization_Start),DevFee/(MS_Stabilization_Start-MS_Initial_Closing_Start+1),0)</f>
        <v/>
      </c>
      <c r="LI101" s="402">
        <f>IF(AND(317&gt;=MS_Initial_Closing_Start,317&lt;=MS_Stabilization_Start),DevFee/(MS_Stabilization_Start-MS_Initial_Closing_Start+1),0)</f>
        <v/>
      </c>
      <c r="LJ101" s="402">
        <f>IF(AND(318&gt;=MS_Initial_Closing_Start,318&lt;=MS_Stabilization_Start),DevFee/(MS_Stabilization_Start-MS_Initial_Closing_Start+1),0)</f>
        <v/>
      </c>
      <c r="LK101" s="402">
        <f>IF(AND(319&gt;=MS_Initial_Closing_Start,319&lt;=MS_Stabilization_Start),DevFee/(MS_Stabilization_Start-MS_Initial_Closing_Start+1),0)</f>
        <v/>
      </c>
      <c r="LL101" s="402">
        <f>IF(AND(320&gt;=MS_Initial_Closing_Start,320&lt;=MS_Stabilization_Start),DevFee/(MS_Stabilization_Start-MS_Initial_Closing_Start+1),0)</f>
        <v/>
      </c>
      <c r="LM101" s="402">
        <f>IF(AND(321&gt;=MS_Initial_Closing_Start,321&lt;=MS_Stabilization_Start),DevFee/(MS_Stabilization_Start-MS_Initial_Closing_Start+1),0)</f>
        <v/>
      </c>
      <c r="LN101" s="402">
        <f>IF(AND(322&gt;=MS_Initial_Closing_Start,322&lt;=MS_Stabilization_Start),DevFee/(MS_Stabilization_Start-MS_Initial_Closing_Start+1),0)</f>
        <v/>
      </c>
      <c r="LO101" s="402">
        <f>IF(AND(323&gt;=MS_Initial_Closing_Start,323&lt;=MS_Stabilization_Start),DevFee/(MS_Stabilization_Start-MS_Initial_Closing_Start+1),0)</f>
        <v/>
      </c>
      <c r="LP101" s="402">
        <f>IF(AND(324&gt;=MS_Initial_Closing_Start,324&lt;=MS_Stabilization_Start),DevFee/(MS_Stabilization_Start-MS_Initial_Closing_Start+1),0)</f>
        <v/>
      </c>
      <c r="LQ101" s="402">
        <f>IF(AND(325&gt;=MS_Initial_Closing_Start,325&lt;=MS_Stabilization_Start),DevFee/(MS_Stabilization_Start-MS_Initial_Closing_Start+1),0)</f>
        <v/>
      </c>
      <c r="LR101" s="402">
        <f>IF(AND(326&gt;=MS_Initial_Closing_Start,326&lt;=MS_Stabilization_Start),DevFee/(MS_Stabilization_Start-MS_Initial_Closing_Start+1),0)</f>
        <v/>
      </c>
      <c r="LS101" s="402">
        <f>IF(AND(327&gt;=MS_Initial_Closing_Start,327&lt;=MS_Stabilization_Start),DevFee/(MS_Stabilization_Start-MS_Initial_Closing_Start+1),0)</f>
        <v/>
      </c>
      <c r="LT101" s="402">
        <f>IF(AND(328&gt;=MS_Initial_Closing_Start,328&lt;=MS_Stabilization_Start),DevFee/(MS_Stabilization_Start-MS_Initial_Closing_Start+1),0)</f>
        <v/>
      </c>
      <c r="LU101" s="402">
        <f>IF(AND(329&gt;=MS_Initial_Closing_Start,329&lt;=MS_Stabilization_Start),DevFee/(MS_Stabilization_Start-MS_Initial_Closing_Start+1),0)</f>
        <v/>
      </c>
      <c r="LV101" s="402">
        <f>IF(AND(330&gt;=MS_Initial_Closing_Start,330&lt;=MS_Stabilization_Start),DevFee/(MS_Stabilization_Start-MS_Initial_Closing_Start+1),0)</f>
        <v/>
      </c>
      <c r="LW101" s="402">
        <f>IF(AND(331&gt;=MS_Initial_Closing_Start,331&lt;=MS_Stabilization_Start),DevFee/(MS_Stabilization_Start-MS_Initial_Closing_Start+1),0)</f>
        <v/>
      </c>
      <c r="LX101" s="402">
        <f>IF(AND(332&gt;=MS_Initial_Closing_Start,332&lt;=MS_Stabilization_Start),DevFee/(MS_Stabilization_Start-MS_Initial_Closing_Start+1),0)</f>
        <v/>
      </c>
      <c r="LY101" s="402">
        <f>IF(AND(333&gt;=MS_Initial_Closing_Start,333&lt;=MS_Stabilization_Start),DevFee/(MS_Stabilization_Start-MS_Initial_Closing_Start+1),0)</f>
        <v/>
      </c>
      <c r="LZ101" s="402">
        <f>IF(AND(334&gt;=MS_Initial_Closing_Start,334&lt;=MS_Stabilization_Start),DevFee/(MS_Stabilization_Start-MS_Initial_Closing_Start+1),0)</f>
        <v/>
      </c>
      <c r="MA101" s="402">
        <f>IF(AND(335&gt;=MS_Initial_Closing_Start,335&lt;=MS_Stabilization_Start),DevFee/(MS_Stabilization_Start-MS_Initial_Closing_Start+1),0)</f>
        <v/>
      </c>
      <c r="MB101" s="402">
        <f>IF(AND(336&gt;=MS_Initial_Closing_Start,336&lt;=MS_Stabilization_Start),DevFee/(MS_Stabilization_Start-MS_Initial_Closing_Start+1),0)</f>
        <v/>
      </c>
      <c r="MC101" s="402">
        <f>IF(AND(337&gt;=MS_Initial_Closing_Start,337&lt;=MS_Stabilization_Start),DevFee/(MS_Stabilization_Start-MS_Initial_Closing_Start+1),0)</f>
        <v/>
      </c>
      <c r="MD101" s="402">
        <f>IF(AND(338&gt;=MS_Initial_Closing_Start,338&lt;=MS_Stabilization_Start),DevFee/(MS_Stabilization_Start-MS_Initial_Closing_Start+1),0)</f>
        <v/>
      </c>
      <c r="ME101" s="402">
        <f>IF(AND(339&gt;=MS_Initial_Closing_Start,339&lt;=MS_Stabilization_Start),DevFee/(MS_Stabilization_Start-MS_Initial_Closing_Start+1),0)</f>
        <v/>
      </c>
      <c r="MF101" s="402">
        <f>IF(AND(340&gt;=MS_Initial_Closing_Start,340&lt;=MS_Stabilization_Start),DevFee/(MS_Stabilization_Start-MS_Initial_Closing_Start+1),0)</f>
        <v/>
      </c>
      <c r="MG101" s="402">
        <f>IF(AND(341&gt;=MS_Initial_Closing_Start,341&lt;=MS_Stabilization_Start),DevFee/(MS_Stabilization_Start-MS_Initial_Closing_Start+1),0)</f>
        <v/>
      </c>
      <c r="MH101" s="402">
        <f>IF(AND(342&gt;=MS_Initial_Closing_Start,342&lt;=MS_Stabilization_Start),DevFee/(MS_Stabilization_Start-MS_Initial_Closing_Start+1),0)</f>
        <v/>
      </c>
      <c r="MI101" s="402">
        <f>IF(AND(343&gt;=MS_Initial_Closing_Start,343&lt;=MS_Stabilization_Start),DevFee/(MS_Stabilization_Start-MS_Initial_Closing_Start+1),0)</f>
        <v/>
      </c>
      <c r="MJ101" s="402">
        <f>IF(AND(344&gt;=MS_Initial_Closing_Start,344&lt;=MS_Stabilization_Start),DevFee/(MS_Stabilization_Start-MS_Initial_Closing_Start+1),0)</f>
        <v/>
      </c>
      <c r="MK101" s="402">
        <f>IF(AND(345&gt;=MS_Initial_Closing_Start,345&lt;=MS_Stabilization_Start),DevFee/(MS_Stabilization_Start-MS_Initial_Closing_Start+1),0)</f>
        <v/>
      </c>
      <c r="ML101" s="402">
        <f>IF(AND(346&gt;=MS_Initial_Closing_Start,346&lt;=MS_Stabilization_Start),DevFee/(MS_Stabilization_Start-MS_Initial_Closing_Start+1),0)</f>
        <v/>
      </c>
      <c r="MM101" s="402">
        <f>IF(AND(347&gt;=MS_Initial_Closing_Start,347&lt;=MS_Stabilization_Start),DevFee/(MS_Stabilization_Start-MS_Initial_Closing_Start+1),0)</f>
        <v/>
      </c>
      <c r="MN101" s="402">
        <f>IF(AND(348&gt;=MS_Initial_Closing_Start,348&lt;=MS_Stabilization_Start),DevFee/(MS_Stabilization_Start-MS_Initial_Closing_Start+1),0)</f>
        <v/>
      </c>
      <c r="MO101" s="402">
        <f>IF(AND(349&gt;=MS_Initial_Closing_Start,349&lt;=MS_Stabilization_Start),DevFee/(MS_Stabilization_Start-MS_Initial_Closing_Start+1),0)</f>
        <v/>
      </c>
      <c r="MP101" s="402">
        <f>IF(AND(350&gt;=MS_Initial_Closing_Start,350&lt;=MS_Stabilization_Start),DevFee/(MS_Stabilization_Start-MS_Initial_Closing_Start+1),0)</f>
        <v/>
      </c>
      <c r="MQ101" s="402">
        <f>IF(AND(351&gt;=MS_Initial_Closing_Start,351&lt;=MS_Stabilization_Start),DevFee/(MS_Stabilization_Start-MS_Initial_Closing_Start+1),0)</f>
        <v/>
      </c>
      <c r="MR101" s="402">
        <f>IF(AND(352&gt;=MS_Initial_Closing_Start,352&lt;=MS_Stabilization_Start),DevFee/(MS_Stabilization_Start-MS_Initial_Closing_Start+1),0)</f>
        <v/>
      </c>
      <c r="MS101" s="402">
        <f>IF(AND(353&gt;=MS_Initial_Closing_Start,353&lt;=MS_Stabilization_Start),DevFee/(MS_Stabilization_Start-MS_Initial_Closing_Start+1),0)</f>
        <v/>
      </c>
      <c r="MT101" s="402">
        <f>IF(AND(354&gt;=MS_Initial_Closing_Start,354&lt;=MS_Stabilization_Start),DevFee/(MS_Stabilization_Start-MS_Initial_Closing_Start+1),0)</f>
        <v/>
      </c>
      <c r="MU101" s="402">
        <f>IF(AND(355&gt;=MS_Initial_Closing_Start,355&lt;=MS_Stabilization_Start),DevFee/(MS_Stabilization_Start-MS_Initial_Closing_Start+1),0)</f>
        <v/>
      </c>
      <c r="MV101" s="402">
        <f>IF(AND(356&gt;=MS_Initial_Closing_Start,356&lt;=MS_Stabilization_Start),DevFee/(MS_Stabilization_Start-MS_Initial_Closing_Start+1),0)</f>
        <v/>
      </c>
      <c r="MW101" s="402">
        <f>IF(AND(357&gt;=MS_Initial_Closing_Start,357&lt;=MS_Stabilization_Start),DevFee/(MS_Stabilization_Start-MS_Initial_Closing_Start+1),0)</f>
        <v/>
      </c>
      <c r="MX101" s="402">
        <f>IF(AND(358&gt;=MS_Initial_Closing_Start,358&lt;=MS_Stabilization_Start),DevFee/(MS_Stabilization_Start-MS_Initial_Closing_Start+1),0)</f>
        <v/>
      </c>
      <c r="MY101" s="402">
        <f>IF(AND(359&gt;=MS_Initial_Closing_Start,359&lt;=MS_Stabilization_Start),DevFee/(MS_Stabilization_Start-MS_Initial_Closing_Start+1),0)</f>
        <v/>
      </c>
      <c r="MZ101" s="402">
        <f>IF(AND(360&gt;=MS_Initial_Closing_Start,360&lt;=MS_Stabilization_Start),DevFee/(MS_Stabilization_Start-MS_Initial_Closing_Start+1),0)</f>
        <v/>
      </c>
      <c r="NA101" s="402">
        <f>IF(AND(361&gt;=MS_Initial_Closing_Start,361&lt;=MS_Stabilization_Start),DevFee/(MS_Stabilization_Start-MS_Initial_Closing_Start+1),0)</f>
        <v/>
      </c>
      <c r="NB101" s="402">
        <f>IF(AND(362&gt;=MS_Initial_Closing_Start,362&lt;=MS_Stabilization_Start),DevFee/(MS_Stabilization_Start-MS_Initial_Closing_Start+1),0)</f>
        <v/>
      </c>
      <c r="NC101" s="402">
        <f>IF(AND(363&gt;=MS_Initial_Closing_Start,363&lt;=MS_Stabilization_Start),DevFee/(MS_Stabilization_Start-MS_Initial_Closing_Start+1),0)</f>
        <v/>
      </c>
      <c r="ND101" s="402">
        <f>IF(AND(364&gt;=MS_Initial_Closing_Start,364&lt;=MS_Stabilization_Start),DevFee/(MS_Stabilization_Start-MS_Initial_Closing_Start+1),0)</f>
        <v/>
      </c>
      <c r="NE101" s="402">
        <f>IF(AND(365&gt;=MS_Initial_Closing_Start,365&lt;=MS_Stabilization_Start),DevFee/(MS_Stabilization_Start-MS_Initial_Closing_Start+1),0)</f>
        <v/>
      </c>
      <c r="NF101" s="402">
        <f>IF(AND(366&gt;=MS_Initial_Closing_Start,366&lt;=MS_Stabilization_Start),DevFee/(MS_Stabilization_Start-MS_Initial_Closing_Start+1),0)</f>
        <v/>
      </c>
      <c r="NG101" s="402">
        <f>IF(AND(367&gt;=MS_Initial_Closing_Start,367&lt;=MS_Stabilization_Start),DevFee/(MS_Stabilization_Start-MS_Initial_Closing_Start+1),0)</f>
        <v/>
      </c>
      <c r="NH101" s="402">
        <f>IF(AND(368&gt;=MS_Initial_Closing_Start,368&lt;=MS_Stabilization_Start),DevFee/(MS_Stabilization_Start-MS_Initial_Closing_Start+1),0)</f>
        <v/>
      </c>
      <c r="NI101" s="402">
        <f>IF(AND(369&gt;=MS_Initial_Closing_Start,369&lt;=MS_Stabilization_Start),DevFee/(MS_Stabilization_Start-MS_Initial_Closing_Start+1),0)</f>
        <v/>
      </c>
      <c r="NJ101" s="402">
        <f>IF(AND(370&gt;=MS_Initial_Closing_Start,370&lt;=MS_Stabilization_Start),DevFee/(MS_Stabilization_Start-MS_Initial_Closing_Start+1),0)</f>
        <v/>
      </c>
      <c r="NK101" s="402">
        <f>IF(AND(371&gt;=MS_Initial_Closing_Start,371&lt;=MS_Stabilization_Start),DevFee/(MS_Stabilization_Start-MS_Initial_Closing_Start+1),0)</f>
        <v/>
      </c>
      <c r="NL101" s="402">
        <f>IF(AND(372&gt;=MS_Initial_Closing_Start,372&lt;=MS_Stabilization_Start),DevFee/(MS_Stabilization_Start-MS_Initial_Closing_Start+1),0)</f>
        <v/>
      </c>
    </row>
    <row r="102">
      <c r="B102" s="316" t="inlineStr">
        <is>
          <t>Hard Cost Spend</t>
        </is>
      </c>
      <c r="D102" s="402">
        <f>SUM(E102:NL102)</f>
        <v/>
      </c>
      <c r="E102" s="402">
        <f>SUMPRODUCT(($NM$6:$NM$98="Hard")*(E$6:E$98))</f>
        <v/>
      </c>
      <c r="F102" s="402">
        <f>SUMPRODUCT(($NM$6:$NM$98="Hard")*(F$6:F$98))</f>
        <v/>
      </c>
      <c r="G102" s="402">
        <f>SUMPRODUCT(($NM$6:$NM$98="Hard")*(G$6:G$98))</f>
        <v/>
      </c>
      <c r="H102" s="402">
        <f>SUMPRODUCT(($NM$6:$NM$98="Hard")*(H$6:H$98))</f>
        <v/>
      </c>
      <c r="I102" s="402">
        <f>SUMPRODUCT(($NM$6:$NM$98="Hard")*(I$6:I$98))</f>
        <v/>
      </c>
      <c r="J102" s="402">
        <f>SUMPRODUCT(($NM$6:$NM$98="Hard")*(J$6:J$98))</f>
        <v/>
      </c>
      <c r="K102" s="402">
        <f>SUMPRODUCT(($NM$6:$NM$98="Hard")*(K$6:K$98))</f>
        <v/>
      </c>
      <c r="L102" s="402">
        <f>SUMPRODUCT(($NM$6:$NM$98="Hard")*(L$6:L$98))</f>
        <v/>
      </c>
      <c r="M102" s="402">
        <f>SUMPRODUCT(($NM$6:$NM$98="Hard")*(M$6:M$98))</f>
        <v/>
      </c>
      <c r="N102" s="402">
        <f>SUMPRODUCT(($NM$6:$NM$98="Hard")*(N$6:N$98))</f>
        <v/>
      </c>
      <c r="O102" s="402">
        <f>SUMPRODUCT(($NM$6:$NM$98="Hard")*(O$6:O$98))</f>
        <v/>
      </c>
      <c r="P102" s="402">
        <f>SUMPRODUCT(($NM$6:$NM$98="Hard")*(P$6:P$98))</f>
        <v/>
      </c>
      <c r="Q102" s="402">
        <f>SUMPRODUCT(($NM$6:$NM$98="Hard")*(Q$6:Q$98))</f>
        <v/>
      </c>
      <c r="R102" s="402">
        <f>SUMPRODUCT(($NM$6:$NM$98="Hard")*(R$6:R$98))</f>
        <v/>
      </c>
      <c r="S102" s="402">
        <f>SUMPRODUCT(($NM$6:$NM$98="Hard")*(S$6:S$98))</f>
        <v/>
      </c>
      <c r="T102" s="402">
        <f>SUMPRODUCT(($NM$6:$NM$98="Hard")*(T$6:T$98))</f>
        <v/>
      </c>
      <c r="U102" s="402">
        <f>SUMPRODUCT(($NM$6:$NM$98="Hard")*(U$6:U$98))</f>
        <v/>
      </c>
      <c r="V102" s="402">
        <f>SUMPRODUCT(($NM$6:$NM$98="Hard")*(V$6:V$98))</f>
        <v/>
      </c>
      <c r="W102" s="402">
        <f>SUMPRODUCT(($NM$6:$NM$98="Hard")*(W$6:W$98))</f>
        <v/>
      </c>
      <c r="X102" s="402">
        <f>SUMPRODUCT(($NM$6:$NM$98="Hard")*(X$6:X$98))</f>
        <v/>
      </c>
      <c r="Y102" s="402">
        <f>SUMPRODUCT(($NM$6:$NM$98="Hard")*(Y$6:Y$98))</f>
        <v/>
      </c>
      <c r="Z102" s="402">
        <f>SUMPRODUCT(($NM$6:$NM$98="Hard")*(Z$6:Z$98))</f>
        <v/>
      </c>
      <c r="AA102" s="402">
        <f>SUMPRODUCT(($NM$6:$NM$98="Hard")*(AA$6:AA$98))</f>
        <v/>
      </c>
      <c r="AB102" s="402">
        <f>SUMPRODUCT(($NM$6:$NM$98="Hard")*(AB$6:AB$98))</f>
        <v/>
      </c>
      <c r="AC102" s="402">
        <f>SUMPRODUCT(($NM$6:$NM$98="Hard")*(AC$6:AC$98))</f>
        <v/>
      </c>
      <c r="AD102" s="402">
        <f>SUMPRODUCT(($NM$6:$NM$98="Hard")*(AD$6:AD$98))</f>
        <v/>
      </c>
      <c r="AE102" s="402">
        <f>SUMPRODUCT(($NM$6:$NM$98="Hard")*(AE$6:AE$98))</f>
        <v/>
      </c>
      <c r="AF102" s="402">
        <f>SUMPRODUCT(($NM$6:$NM$98="Hard")*(AF$6:AF$98))</f>
        <v/>
      </c>
      <c r="AG102" s="402">
        <f>SUMPRODUCT(($NM$6:$NM$98="Hard")*(AG$6:AG$98))</f>
        <v/>
      </c>
      <c r="AH102" s="402">
        <f>SUMPRODUCT(($NM$6:$NM$98="Hard")*(AH$6:AH$98))</f>
        <v/>
      </c>
      <c r="AI102" s="402">
        <f>SUMPRODUCT(($NM$6:$NM$98="Hard")*(AI$6:AI$98))</f>
        <v/>
      </c>
      <c r="AJ102" s="402">
        <f>SUMPRODUCT(($NM$6:$NM$98="Hard")*(AJ$6:AJ$98))</f>
        <v/>
      </c>
      <c r="AK102" s="402">
        <f>SUMPRODUCT(($NM$6:$NM$98="Hard")*(AK$6:AK$98))</f>
        <v/>
      </c>
      <c r="AL102" s="402">
        <f>SUMPRODUCT(($NM$6:$NM$98="Hard")*(AL$6:AL$98))</f>
        <v/>
      </c>
      <c r="AM102" s="402">
        <f>SUMPRODUCT(($NM$6:$NM$98="Hard")*(AM$6:AM$98))</f>
        <v/>
      </c>
      <c r="AN102" s="402">
        <f>SUMPRODUCT(($NM$6:$NM$98="Hard")*(AN$6:AN$98))</f>
        <v/>
      </c>
      <c r="AO102" s="402">
        <f>SUMPRODUCT(($NM$6:$NM$98="Hard")*(AO$6:AO$98))</f>
        <v/>
      </c>
      <c r="AP102" s="402">
        <f>SUMPRODUCT(($NM$6:$NM$98="Hard")*(AP$6:AP$98))</f>
        <v/>
      </c>
      <c r="AQ102" s="402">
        <f>SUMPRODUCT(($NM$6:$NM$98="Hard")*(AQ$6:AQ$98))</f>
        <v/>
      </c>
      <c r="AR102" s="402">
        <f>SUMPRODUCT(($NM$6:$NM$98="Hard")*(AR$6:AR$98))</f>
        <v/>
      </c>
      <c r="AS102" s="402">
        <f>SUMPRODUCT(($NM$6:$NM$98="Hard")*(AS$6:AS$98))</f>
        <v/>
      </c>
      <c r="AT102" s="402">
        <f>SUMPRODUCT(($NM$6:$NM$98="Hard")*(AT$6:AT$98))</f>
        <v/>
      </c>
      <c r="AU102" s="402">
        <f>SUMPRODUCT(($NM$6:$NM$98="Hard")*(AU$6:AU$98))</f>
        <v/>
      </c>
      <c r="AV102" s="402">
        <f>SUMPRODUCT(($NM$6:$NM$98="Hard")*(AV$6:AV$98))</f>
        <v/>
      </c>
      <c r="AW102" s="402">
        <f>SUMPRODUCT(($NM$6:$NM$98="Hard")*(AW$6:AW$98))</f>
        <v/>
      </c>
      <c r="AX102" s="402">
        <f>SUMPRODUCT(($NM$6:$NM$98="Hard")*(AX$6:AX$98))</f>
        <v/>
      </c>
      <c r="AY102" s="402">
        <f>SUMPRODUCT(($NM$6:$NM$98="Hard")*(AY$6:AY$98))</f>
        <v/>
      </c>
      <c r="AZ102" s="402">
        <f>SUMPRODUCT(($NM$6:$NM$98="Hard")*(AZ$6:AZ$98))</f>
        <v/>
      </c>
      <c r="BA102" s="402">
        <f>SUMPRODUCT(($NM$6:$NM$98="Hard")*(BA$6:BA$98))</f>
        <v/>
      </c>
      <c r="BB102" s="402">
        <f>SUMPRODUCT(($NM$6:$NM$98="Hard")*(BB$6:BB$98))</f>
        <v/>
      </c>
      <c r="BC102" s="402">
        <f>SUMPRODUCT(($NM$6:$NM$98="Hard")*(BC$6:BC$98))</f>
        <v/>
      </c>
      <c r="BD102" s="402">
        <f>SUMPRODUCT(($NM$6:$NM$98="Hard")*(BD$6:BD$98))</f>
        <v/>
      </c>
      <c r="BE102" s="402">
        <f>SUMPRODUCT(($NM$6:$NM$98="Hard")*(BE$6:BE$98))</f>
        <v/>
      </c>
      <c r="BF102" s="402">
        <f>SUMPRODUCT(($NM$6:$NM$98="Hard")*(BF$6:BF$98))</f>
        <v/>
      </c>
      <c r="BG102" s="402">
        <f>SUMPRODUCT(($NM$6:$NM$98="Hard")*(BG$6:BG$98))</f>
        <v/>
      </c>
      <c r="BH102" s="402">
        <f>SUMPRODUCT(($NM$6:$NM$98="Hard")*(BH$6:BH$98))</f>
        <v/>
      </c>
      <c r="BI102" s="402">
        <f>SUMPRODUCT(($NM$6:$NM$98="Hard")*(BI$6:BI$98))</f>
        <v/>
      </c>
      <c r="BJ102" s="402">
        <f>SUMPRODUCT(($NM$6:$NM$98="Hard")*(BJ$6:BJ$98))</f>
        <v/>
      </c>
      <c r="BK102" s="402">
        <f>SUMPRODUCT(($NM$6:$NM$98="Hard")*(BK$6:BK$98))</f>
        <v/>
      </c>
      <c r="BL102" s="402">
        <f>SUMPRODUCT(($NM$6:$NM$98="Hard")*(BL$6:BL$98))</f>
        <v/>
      </c>
      <c r="BM102" s="402">
        <f>SUMPRODUCT(($NM$6:$NM$98="Hard")*(BM$6:BM$98))</f>
        <v/>
      </c>
      <c r="BN102" s="402">
        <f>SUMPRODUCT(($NM$6:$NM$98="Hard")*(BN$6:BN$98))</f>
        <v/>
      </c>
      <c r="BO102" s="402">
        <f>SUMPRODUCT(($NM$6:$NM$98="Hard")*(BO$6:BO$98))</f>
        <v/>
      </c>
      <c r="BP102" s="402">
        <f>SUMPRODUCT(($NM$6:$NM$98="Hard")*(BP$6:BP$98))</f>
        <v/>
      </c>
      <c r="BQ102" s="402">
        <f>SUMPRODUCT(($NM$6:$NM$98="Hard")*(BQ$6:BQ$98))</f>
        <v/>
      </c>
      <c r="BR102" s="402">
        <f>SUMPRODUCT(($NM$6:$NM$98="Hard")*(BR$6:BR$98))</f>
        <v/>
      </c>
      <c r="BS102" s="402">
        <f>SUMPRODUCT(($NM$6:$NM$98="Hard")*(BS$6:BS$98))</f>
        <v/>
      </c>
      <c r="BT102" s="402">
        <f>SUMPRODUCT(($NM$6:$NM$98="Hard")*(BT$6:BT$98))</f>
        <v/>
      </c>
      <c r="BU102" s="402">
        <f>SUMPRODUCT(($NM$6:$NM$98="Hard")*(BU$6:BU$98))</f>
        <v/>
      </c>
      <c r="BV102" s="402">
        <f>SUMPRODUCT(($NM$6:$NM$98="Hard")*(BV$6:BV$98))</f>
        <v/>
      </c>
      <c r="BW102" s="402">
        <f>SUMPRODUCT(($NM$6:$NM$98="Hard")*(BW$6:BW$98))</f>
        <v/>
      </c>
      <c r="BX102" s="402">
        <f>SUMPRODUCT(($NM$6:$NM$98="Hard")*(BX$6:BX$98))</f>
        <v/>
      </c>
      <c r="BY102" s="402">
        <f>SUMPRODUCT(($NM$6:$NM$98="Hard")*(BY$6:BY$98))</f>
        <v/>
      </c>
      <c r="BZ102" s="402">
        <f>SUMPRODUCT(($NM$6:$NM$98="Hard")*(BZ$6:BZ$98))</f>
        <v/>
      </c>
      <c r="CA102" s="402">
        <f>SUMPRODUCT(($NM$6:$NM$98="Hard")*(CA$6:CA$98))</f>
        <v/>
      </c>
      <c r="CB102" s="402">
        <f>SUMPRODUCT(($NM$6:$NM$98="Hard")*(CB$6:CB$98))</f>
        <v/>
      </c>
      <c r="CC102" s="402">
        <f>SUMPRODUCT(($NM$6:$NM$98="Hard")*(CC$6:CC$98))</f>
        <v/>
      </c>
      <c r="CD102" s="402">
        <f>SUMPRODUCT(($NM$6:$NM$98="Hard")*(CD$6:CD$98))</f>
        <v/>
      </c>
      <c r="CE102" s="402">
        <f>SUMPRODUCT(($NM$6:$NM$98="Hard")*(CE$6:CE$98))</f>
        <v/>
      </c>
      <c r="CF102" s="402">
        <f>SUMPRODUCT(($NM$6:$NM$98="Hard")*(CF$6:CF$98))</f>
        <v/>
      </c>
      <c r="CG102" s="402">
        <f>SUMPRODUCT(($NM$6:$NM$98="Hard")*(CG$6:CG$98))</f>
        <v/>
      </c>
      <c r="CH102" s="402">
        <f>SUMPRODUCT(($NM$6:$NM$98="Hard")*(CH$6:CH$98))</f>
        <v/>
      </c>
      <c r="CI102" s="402">
        <f>SUMPRODUCT(($NM$6:$NM$98="Hard")*(CI$6:CI$98))</f>
        <v/>
      </c>
      <c r="CJ102" s="402">
        <f>SUMPRODUCT(($NM$6:$NM$98="Hard")*(CJ$6:CJ$98))</f>
        <v/>
      </c>
      <c r="CK102" s="402">
        <f>SUMPRODUCT(($NM$6:$NM$98="Hard")*(CK$6:CK$98))</f>
        <v/>
      </c>
      <c r="CL102" s="402">
        <f>SUMPRODUCT(($NM$6:$NM$98="Hard")*(CL$6:CL$98))</f>
        <v/>
      </c>
      <c r="CM102" s="402">
        <f>SUMPRODUCT(($NM$6:$NM$98="Hard")*(CM$6:CM$98))</f>
        <v/>
      </c>
      <c r="CN102" s="402">
        <f>SUMPRODUCT(($NM$6:$NM$98="Hard")*(CN$6:CN$98))</f>
        <v/>
      </c>
      <c r="CO102" s="402">
        <f>SUMPRODUCT(($NM$6:$NM$98="Hard")*(CO$6:CO$98))</f>
        <v/>
      </c>
      <c r="CP102" s="402">
        <f>SUMPRODUCT(($NM$6:$NM$98="Hard")*(CP$6:CP$98))</f>
        <v/>
      </c>
      <c r="CQ102" s="402">
        <f>SUMPRODUCT(($NM$6:$NM$98="Hard")*(CQ$6:CQ$98))</f>
        <v/>
      </c>
      <c r="CR102" s="402">
        <f>SUMPRODUCT(($NM$6:$NM$98="Hard")*(CR$6:CR$98))</f>
        <v/>
      </c>
      <c r="CS102" s="402">
        <f>SUMPRODUCT(($NM$6:$NM$98="Hard")*(CS$6:CS$98))</f>
        <v/>
      </c>
      <c r="CT102" s="402">
        <f>SUMPRODUCT(($NM$6:$NM$98="Hard")*(CT$6:CT$98))</f>
        <v/>
      </c>
      <c r="CU102" s="402">
        <f>SUMPRODUCT(($NM$6:$NM$98="Hard")*(CU$6:CU$98))</f>
        <v/>
      </c>
      <c r="CV102" s="402">
        <f>SUMPRODUCT(($NM$6:$NM$98="Hard")*(CV$6:CV$98))</f>
        <v/>
      </c>
      <c r="CW102" s="402">
        <f>SUMPRODUCT(($NM$6:$NM$98="Hard")*(CW$6:CW$98))</f>
        <v/>
      </c>
      <c r="CX102" s="402">
        <f>SUMPRODUCT(($NM$6:$NM$98="Hard")*(CX$6:CX$98))</f>
        <v/>
      </c>
      <c r="CY102" s="402">
        <f>SUMPRODUCT(($NM$6:$NM$98="Hard")*(CY$6:CY$98))</f>
        <v/>
      </c>
      <c r="CZ102" s="402">
        <f>SUMPRODUCT(($NM$6:$NM$98="Hard")*(CZ$6:CZ$98))</f>
        <v/>
      </c>
      <c r="DA102" s="402">
        <f>SUMPRODUCT(($NM$6:$NM$98="Hard")*(DA$6:DA$98))</f>
        <v/>
      </c>
      <c r="DB102" s="402">
        <f>SUMPRODUCT(($NM$6:$NM$98="Hard")*(DB$6:DB$98))</f>
        <v/>
      </c>
      <c r="DC102" s="402">
        <f>SUMPRODUCT(($NM$6:$NM$98="Hard")*(DC$6:DC$98))</f>
        <v/>
      </c>
      <c r="DD102" s="402">
        <f>SUMPRODUCT(($NM$6:$NM$98="Hard")*(DD$6:DD$98))</f>
        <v/>
      </c>
      <c r="DE102" s="402">
        <f>SUMPRODUCT(($NM$6:$NM$98="Hard")*(DE$6:DE$98))</f>
        <v/>
      </c>
      <c r="DF102" s="402">
        <f>SUMPRODUCT(($NM$6:$NM$98="Hard")*(DF$6:DF$98))</f>
        <v/>
      </c>
      <c r="DG102" s="402">
        <f>SUMPRODUCT(($NM$6:$NM$98="Hard")*(DG$6:DG$98))</f>
        <v/>
      </c>
      <c r="DH102" s="402">
        <f>SUMPRODUCT(($NM$6:$NM$98="Hard")*(DH$6:DH$98))</f>
        <v/>
      </c>
      <c r="DI102" s="402">
        <f>SUMPRODUCT(($NM$6:$NM$98="Hard")*(DI$6:DI$98))</f>
        <v/>
      </c>
      <c r="DJ102" s="402">
        <f>SUMPRODUCT(($NM$6:$NM$98="Hard")*(DJ$6:DJ$98))</f>
        <v/>
      </c>
      <c r="DK102" s="402">
        <f>SUMPRODUCT(($NM$6:$NM$98="Hard")*(DK$6:DK$98))</f>
        <v/>
      </c>
      <c r="DL102" s="402">
        <f>SUMPRODUCT(($NM$6:$NM$98="Hard")*(DL$6:DL$98))</f>
        <v/>
      </c>
      <c r="DM102" s="402">
        <f>SUMPRODUCT(($NM$6:$NM$98="Hard")*(DM$6:DM$98))</f>
        <v/>
      </c>
      <c r="DN102" s="402">
        <f>SUMPRODUCT(($NM$6:$NM$98="Hard")*(DN$6:DN$98))</f>
        <v/>
      </c>
      <c r="DO102" s="402">
        <f>SUMPRODUCT(($NM$6:$NM$98="Hard")*(DO$6:DO$98))</f>
        <v/>
      </c>
      <c r="DP102" s="402">
        <f>SUMPRODUCT(($NM$6:$NM$98="Hard")*(DP$6:DP$98))</f>
        <v/>
      </c>
      <c r="DQ102" s="402">
        <f>SUMPRODUCT(($NM$6:$NM$98="Hard")*(DQ$6:DQ$98))</f>
        <v/>
      </c>
      <c r="DR102" s="402">
        <f>SUMPRODUCT(($NM$6:$NM$98="Hard")*(DR$6:DR$98))</f>
        <v/>
      </c>
      <c r="DS102" s="402">
        <f>SUMPRODUCT(($NM$6:$NM$98="Hard")*(DS$6:DS$98))</f>
        <v/>
      </c>
      <c r="DT102" s="402">
        <f>SUMPRODUCT(($NM$6:$NM$98="Hard")*(DT$6:DT$98))</f>
        <v/>
      </c>
      <c r="DU102" s="402">
        <f>SUMPRODUCT(($NM$6:$NM$98="Hard")*(DU$6:DU$98))</f>
        <v/>
      </c>
      <c r="DV102" s="402">
        <f>SUMPRODUCT(($NM$6:$NM$98="Hard")*(DV$6:DV$98))</f>
        <v/>
      </c>
      <c r="DW102" s="402">
        <f>SUMPRODUCT(($NM$6:$NM$98="Hard")*(DW$6:DW$98))</f>
        <v/>
      </c>
      <c r="DX102" s="402">
        <f>SUMPRODUCT(($NM$6:$NM$98="Hard")*(DX$6:DX$98))</f>
        <v/>
      </c>
      <c r="DY102" s="402">
        <f>SUMPRODUCT(($NM$6:$NM$98="Hard")*(DY$6:DY$98))</f>
        <v/>
      </c>
      <c r="DZ102" s="402">
        <f>SUMPRODUCT(($NM$6:$NM$98="Hard")*(DZ$6:DZ$98))</f>
        <v/>
      </c>
      <c r="EA102" s="402">
        <f>SUMPRODUCT(($NM$6:$NM$98="Hard")*(EA$6:EA$98))</f>
        <v/>
      </c>
      <c r="EB102" s="402">
        <f>SUMPRODUCT(($NM$6:$NM$98="Hard")*(EB$6:EB$98))</f>
        <v/>
      </c>
      <c r="EC102" s="402">
        <f>SUMPRODUCT(($NM$6:$NM$98="Hard")*(EC$6:EC$98))</f>
        <v/>
      </c>
      <c r="ED102" s="402">
        <f>SUMPRODUCT(($NM$6:$NM$98="Hard")*(ED$6:ED$98))</f>
        <v/>
      </c>
      <c r="EE102" s="402">
        <f>SUMPRODUCT(($NM$6:$NM$98="Hard")*(EE$6:EE$98))</f>
        <v/>
      </c>
      <c r="EF102" s="402">
        <f>SUMPRODUCT(($NM$6:$NM$98="Hard")*(EF$6:EF$98))</f>
        <v/>
      </c>
      <c r="EG102" s="402">
        <f>SUMPRODUCT(($NM$6:$NM$98="Hard")*(EG$6:EG$98))</f>
        <v/>
      </c>
      <c r="EH102" s="402">
        <f>SUMPRODUCT(($NM$6:$NM$98="Hard")*(EH$6:EH$98))</f>
        <v/>
      </c>
      <c r="EI102" s="402">
        <f>SUMPRODUCT(($NM$6:$NM$98="Hard")*(EI$6:EI$98))</f>
        <v/>
      </c>
      <c r="EJ102" s="402">
        <f>SUMPRODUCT(($NM$6:$NM$98="Hard")*(EJ$6:EJ$98))</f>
        <v/>
      </c>
      <c r="EK102" s="402">
        <f>SUMPRODUCT(($NM$6:$NM$98="Hard")*(EK$6:EK$98))</f>
        <v/>
      </c>
      <c r="EL102" s="402">
        <f>SUMPRODUCT(($NM$6:$NM$98="Hard")*(EL$6:EL$98))</f>
        <v/>
      </c>
      <c r="EM102" s="402">
        <f>SUMPRODUCT(($NM$6:$NM$98="Hard")*(EM$6:EM$98))</f>
        <v/>
      </c>
      <c r="EN102" s="402">
        <f>SUMPRODUCT(($NM$6:$NM$98="Hard")*(EN$6:EN$98))</f>
        <v/>
      </c>
      <c r="EO102" s="402">
        <f>SUMPRODUCT(($NM$6:$NM$98="Hard")*(EO$6:EO$98))</f>
        <v/>
      </c>
      <c r="EP102" s="402">
        <f>SUMPRODUCT(($NM$6:$NM$98="Hard")*(EP$6:EP$98))</f>
        <v/>
      </c>
      <c r="EQ102" s="402">
        <f>SUMPRODUCT(($NM$6:$NM$98="Hard")*(EQ$6:EQ$98))</f>
        <v/>
      </c>
      <c r="ER102" s="402">
        <f>SUMPRODUCT(($NM$6:$NM$98="Hard")*(ER$6:ER$98))</f>
        <v/>
      </c>
      <c r="ES102" s="402">
        <f>SUMPRODUCT(($NM$6:$NM$98="Hard")*(ES$6:ES$98))</f>
        <v/>
      </c>
      <c r="ET102" s="402">
        <f>SUMPRODUCT(($NM$6:$NM$98="Hard")*(ET$6:ET$98))</f>
        <v/>
      </c>
      <c r="EU102" s="402">
        <f>SUMPRODUCT(($NM$6:$NM$98="Hard")*(EU$6:EU$98))</f>
        <v/>
      </c>
      <c r="EV102" s="402">
        <f>SUMPRODUCT(($NM$6:$NM$98="Hard")*(EV$6:EV$98))</f>
        <v/>
      </c>
      <c r="EW102" s="402">
        <f>SUMPRODUCT(($NM$6:$NM$98="Hard")*(EW$6:EW$98))</f>
        <v/>
      </c>
      <c r="EX102" s="402">
        <f>SUMPRODUCT(($NM$6:$NM$98="Hard")*(EX$6:EX$98))</f>
        <v/>
      </c>
      <c r="EY102" s="402">
        <f>SUMPRODUCT(($NM$6:$NM$98="Hard")*(EY$6:EY$98))</f>
        <v/>
      </c>
      <c r="EZ102" s="402">
        <f>SUMPRODUCT(($NM$6:$NM$98="Hard")*(EZ$6:EZ$98))</f>
        <v/>
      </c>
      <c r="FA102" s="402">
        <f>SUMPRODUCT(($NM$6:$NM$98="Hard")*(FA$6:FA$98))</f>
        <v/>
      </c>
      <c r="FB102" s="402">
        <f>SUMPRODUCT(($NM$6:$NM$98="Hard")*(FB$6:FB$98))</f>
        <v/>
      </c>
      <c r="FC102" s="402">
        <f>SUMPRODUCT(($NM$6:$NM$98="Hard")*(FC$6:FC$98))</f>
        <v/>
      </c>
      <c r="FD102" s="402">
        <f>SUMPRODUCT(($NM$6:$NM$98="Hard")*(FD$6:FD$98))</f>
        <v/>
      </c>
      <c r="FE102" s="402">
        <f>SUMPRODUCT(($NM$6:$NM$98="Hard")*(FE$6:FE$98))</f>
        <v/>
      </c>
      <c r="FF102" s="402">
        <f>SUMPRODUCT(($NM$6:$NM$98="Hard")*(FF$6:FF$98))</f>
        <v/>
      </c>
      <c r="FG102" s="402">
        <f>SUMPRODUCT(($NM$6:$NM$98="Hard")*(FG$6:FG$98))</f>
        <v/>
      </c>
      <c r="FH102" s="402">
        <f>SUMPRODUCT(($NM$6:$NM$98="Hard")*(FH$6:FH$98))</f>
        <v/>
      </c>
      <c r="FI102" s="402">
        <f>SUMPRODUCT(($NM$6:$NM$98="Hard")*(FI$6:FI$98))</f>
        <v/>
      </c>
      <c r="FJ102" s="402">
        <f>SUMPRODUCT(($NM$6:$NM$98="Hard")*(FJ$6:FJ$98))</f>
        <v/>
      </c>
      <c r="FK102" s="402">
        <f>SUMPRODUCT(($NM$6:$NM$98="Hard")*(FK$6:FK$98))</f>
        <v/>
      </c>
      <c r="FL102" s="402">
        <f>SUMPRODUCT(($NM$6:$NM$98="Hard")*(FL$6:FL$98))</f>
        <v/>
      </c>
      <c r="FM102" s="402">
        <f>SUMPRODUCT(($NM$6:$NM$98="Hard")*(FM$6:FM$98))</f>
        <v/>
      </c>
      <c r="FN102" s="402">
        <f>SUMPRODUCT(($NM$6:$NM$98="Hard")*(FN$6:FN$98))</f>
        <v/>
      </c>
      <c r="FO102" s="402">
        <f>SUMPRODUCT(($NM$6:$NM$98="Hard")*(FO$6:FO$98))</f>
        <v/>
      </c>
      <c r="FP102" s="402">
        <f>SUMPRODUCT(($NM$6:$NM$98="Hard")*(FP$6:FP$98))</f>
        <v/>
      </c>
      <c r="FQ102" s="402">
        <f>SUMPRODUCT(($NM$6:$NM$98="Hard")*(FQ$6:FQ$98))</f>
        <v/>
      </c>
      <c r="FR102" s="402">
        <f>SUMPRODUCT(($NM$6:$NM$98="Hard")*(FR$6:FR$98))</f>
        <v/>
      </c>
      <c r="FS102" s="402">
        <f>SUMPRODUCT(($NM$6:$NM$98="Hard")*(FS$6:FS$98))</f>
        <v/>
      </c>
      <c r="FT102" s="402">
        <f>SUMPRODUCT(($NM$6:$NM$98="Hard")*(FT$6:FT$98))</f>
        <v/>
      </c>
      <c r="FU102" s="402">
        <f>SUMPRODUCT(($NM$6:$NM$98="Hard")*(FU$6:FU$98))</f>
        <v/>
      </c>
      <c r="FV102" s="402">
        <f>SUMPRODUCT(($NM$6:$NM$98="Hard")*(FV$6:FV$98))</f>
        <v/>
      </c>
      <c r="FW102" s="402">
        <f>SUMPRODUCT(($NM$6:$NM$98="Hard")*(FW$6:FW$98))</f>
        <v/>
      </c>
      <c r="FX102" s="402">
        <f>SUMPRODUCT(($NM$6:$NM$98="Hard")*(FX$6:FX$98))</f>
        <v/>
      </c>
      <c r="FY102" s="402">
        <f>SUMPRODUCT(($NM$6:$NM$98="Hard")*(FY$6:FY$98))</f>
        <v/>
      </c>
      <c r="FZ102" s="402">
        <f>SUMPRODUCT(($NM$6:$NM$98="Hard")*(FZ$6:FZ$98))</f>
        <v/>
      </c>
      <c r="GA102" s="402">
        <f>SUMPRODUCT(($NM$6:$NM$98="Hard")*(GA$6:GA$98))</f>
        <v/>
      </c>
      <c r="GB102" s="402">
        <f>SUMPRODUCT(($NM$6:$NM$98="Hard")*(GB$6:GB$98))</f>
        <v/>
      </c>
      <c r="GC102" s="402">
        <f>SUMPRODUCT(($NM$6:$NM$98="Hard")*(GC$6:GC$98))</f>
        <v/>
      </c>
      <c r="GD102" s="402">
        <f>SUMPRODUCT(($NM$6:$NM$98="Hard")*(GD$6:GD$98))</f>
        <v/>
      </c>
      <c r="GE102" s="402">
        <f>SUMPRODUCT(($NM$6:$NM$98="Hard")*(GE$6:GE$98))</f>
        <v/>
      </c>
      <c r="GF102" s="402">
        <f>SUMPRODUCT(($NM$6:$NM$98="Hard")*(GF$6:GF$98))</f>
        <v/>
      </c>
      <c r="GG102" s="402">
        <f>SUMPRODUCT(($NM$6:$NM$98="Hard")*(GG$6:GG$98))</f>
        <v/>
      </c>
      <c r="GH102" s="402">
        <f>SUMPRODUCT(($NM$6:$NM$98="Hard")*(GH$6:GH$98))</f>
        <v/>
      </c>
      <c r="GI102" s="402">
        <f>SUMPRODUCT(($NM$6:$NM$98="Hard")*(GI$6:GI$98))</f>
        <v/>
      </c>
      <c r="GJ102" s="402">
        <f>SUMPRODUCT(($NM$6:$NM$98="Hard")*(GJ$6:GJ$98))</f>
        <v/>
      </c>
      <c r="GK102" s="402">
        <f>SUMPRODUCT(($NM$6:$NM$98="Hard")*(GK$6:GK$98))</f>
        <v/>
      </c>
      <c r="GL102" s="402">
        <f>SUMPRODUCT(($NM$6:$NM$98="Hard")*(GL$6:GL$98))</f>
        <v/>
      </c>
      <c r="GM102" s="402">
        <f>SUMPRODUCT(($NM$6:$NM$98="Hard")*(GM$6:GM$98))</f>
        <v/>
      </c>
      <c r="GN102" s="402">
        <f>SUMPRODUCT(($NM$6:$NM$98="Hard")*(GN$6:GN$98))</f>
        <v/>
      </c>
      <c r="GO102" s="402">
        <f>SUMPRODUCT(($NM$6:$NM$98="Hard")*(GO$6:GO$98))</f>
        <v/>
      </c>
      <c r="GP102" s="402">
        <f>SUMPRODUCT(($NM$6:$NM$98="Hard")*(GP$6:GP$98))</f>
        <v/>
      </c>
      <c r="GQ102" s="402">
        <f>SUMPRODUCT(($NM$6:$NM$98="Hard")*(GQ$6:GQ$98))</f>
        <v/>
      </c>
      <c r="GR102" s="402">
        <f>SUMPRODUCT(($NM$6:$NM$98="Hard")*(GR$6:GR$98))</f>
        <v/>
      </c>
      <c r="GS102" s="402">
        <f>SUMPRODUCT(($NM$6:$NM$98="Hard")*(GS$6:GS$98))</f>
        <v/>
      </c>
      <c r="GT102" s="402">
        <f>SUMPRODUCT(($NM$6:$NM$98="Hard")*(GT$6:GT$98))</f>
        <v/>
      </c>
      <c r="GU102" s="402">
        <f>SUMPRODUCT(($NM$6:$NM$98="Hard")*(GU$6:GU$98))</f>
        <v/>
      </c>
      <c r="GV102" s="402">
        <f>SUMPRODUCT(($NM$6:$NM$98="Hard")*(GV$6:GV$98))</f>
        <v/>
      </c>
      <c r="GW102" s="402">
        <f>SUMPRODUCT(($NM$6:$NM$98="Hard")*(GW$6:GW$98))</f>
        <v/>
      </c>
      <c r="GX102" s="402">
        <f>SUMPRODUCT(($NM$6:$NM$98="Hard")*(GX$6:GX$98))</f>
        <v/>
      </c>
      <c r="GY102" s="402">
        <f>SUMPRODUCT(($NM$6:$NM$98="Hard")*(GY$6:GY$98))</f>
        <v/>
      </c>
      <c r="GZ102" s="402">
        <f>SUMPRODUCT(($NM$6:$NM$98="Hard")*(GZ$6:GZ$98))</f>
        <v/>
      </c>
      <c r="HA102" s="402">
        <f>SUMPRODUCT(($NM$6:$NM$98="Hard")*(HA$6:HA$98))</f>
        <v/>
      </c>
      <c r="HB102" s="402">
        <f>SUMPRODUCT(($NM$6:$NM$98="Hard")*(HB$6:HB$98))</f>
        <v/>
      </c>
      <c r="HC102" s="402">
        <f>SUMPRODUCT(($NM$6:$NM$98="Hard")*(HC$6:HC$98))</f>
        <v/>
      </c>
      <c r="HD102" s="402">
        <f>SUMPRODUCT(($NM$6:$NM$98="Hard")*(HD$6:HD$98))</f>
        <v/>
      </c>
      <c r="HE102" s="402">
        <f>SUMPRODUCT(($NM$6:$NM$98="Hard")*(HE$6:HE$98))</f>
        <v/>
      </c>
      <c r="HF102" s="402">
        <f>SUMPRODUCT(($NM$6:$NM$98="Hard")*(HF$6:HF$98))</f>
        <v/>
      </c>
      <c r="HG102" s="402">
        <f>SUMPRODUCT(($NM$6:$NM$98="Hard")*(HG$6:HG$98))</f>
        <v/>
      </c>
      <c r="HH102" s="402">
        <f>SUMPRODUCT(($NM$6:$NM$98="Hard")*(HH$6:HH$98))</f>
        <v/>
      </c>
      <c r="HI102" s="402">
        <f>SUMPRODUCT(($NM$6:$NM$98="Hard")*(HI$6:HI$98))</f>
        <v/>
      </c>
      <c r="HJ102" s="402">
        <f>SUMPRODUCT(($NM$6:$NM$98="Hard")*(HJ$6:HJ$98))</f>
        <v/>
      </c>
      <c r="HK102" s="402">
        <f>SUMPRODUCT(($NM$6:$NM$98="Hard")*(HK$6:HK$98))</f>
        <v/>
      </c>
      <c r="HL102" s="402">
        <f>SUMPRODUCT(($NM$6:$NM$98="Hard")*(HL$6:HL$98))</f>
        <v/>
      </c>
      <c r="HM102" s="402">
        <f>SUMPRODUCT(($NM$6:$NM$98="Hard")*(HM$6:HM$98))</f>
        <v/>
      </c>
      <c r="HN102" s="402">
        <f>SUMPRODUCT(($NM$6:$NM$98="Hard")*(HN$6:HN$98))</f>
        <v/>
      </c>
      <c r="HO102" s="402">
        <f>SUMPRODUCT(($NM$6:$NM$98="Hard")*(HO$6:HO$98))</f>
        <v/>
      </c>
      <c r="HP102" s="402">
        <f>SUMPRODUCT(($NM$6:$NM$98="Hard")*(HP$6:HP$98))</f>
        <v/>
      </c>
      <c r="HQ102" s="402">
        <f>SUMPRODUCT(($NM$6:$NM$98="Hard")*(HQ$6:HQ$98))</f>
        <v/>
      </c>
      <c r="HR102" s="402">
        <f>SUMPRODUCT(($NM$6:$NM$98="Hard")*(HR$6:HR$98))</f>
        <v/>
      </c>
      <c r="HS102" s="402">
        <f>SUMPRODUCT(($NM$6:$NM$98="Hard")*(HS$6:HS$98))</f>
        <v/>
      </c>
      <c r="HT102" s="402">
        <f>SUMPRODUCT(($NM$6:$NM$98="Hard")*(HT$6:HT$98))</f>
        <v/>
      </c>
      <c r="HU102" s="402">
        <f>SUMPRODUCT(($NM$6:$NM$98="Hard")*(HU$6:HU$98))</f>
        <v/>
      </c>
      <c r="HV102" s="402">
        <f>SUMPRODUCT(($NM$6:$NM$98="Hard")*(HV$6:HV$98))</f>
        <v/>
      </c>
      <c r="HW102" s="402">
        <f>SUMPRODUCT(($NM$6:$NM$98="Hard")*(HW$6:HW$98))</f>
        <v/>
      </c>
      <c r="HX102" s="402">
        <f>SUMPRODUCT(($NM$6:$NM$98="Hard")*(HX$6:HX$98))</f>
        <v/>
      </c>
      <c r="HY102" s="402">
        <f>SUMPRODUCT(($NM$6:$NM$98="Hard")*(HY$6:HY$98))</f>
        <v/>
      </c>
      <c r="HZ102" s="402">
        <f>SUMPRODUCT(($NM$6:$NM$98="Hard")*(HZ$6:HZ$98))</f>
        <v/>
      </c>
      <c r="IA102" s="402">
        <f>SUMPRODUCT(($NM$6:$NM$98="Hard")*(IA$6:IA$98))</f>
        <v/>
      </c>
      <c r="IB102" s="402">
        <f>SUMPRODUCT(($NM$6:$NM$98="Hard")*(IB$6:IB$98))</f>
        <v/>
      </c>
      <c r="IC102" s="402">
        <f>SUMPRODUCT(($NM$6:$NM$98="Hard")*(IC$6:IC$98))</f>
        <v/>
      </c>
      <c r="ID102" s="402">
        <f>SUMPRODUCT(($NM$6:$NM$98="Hard")*(ID$6:ID$98))</f>
        <v/>
      </c>
      <c r="IE102" s="402">
        <f>SUMPRODUCT(($NM$6:$NM$98="Hard")*(IE$6:IE$98))</f>
        <v/>
      </c>
      <c r="IF102" s="402">
        <f>SUMPRODUCT(($NM$6:$NM$98="Hard")*(IF$6:IF$98))</f>
        <v/>
      </c>
      <c r="IG102" s="402">
        <f>SUMPRODUCT(($NM$6:$NM$98="Hard")*(IG$6:IG$98))</f>
        <v/>
      </c>
      <c r="IH102" s="402">
        <f>SUMPRODUCT(($NM$6:$NM$98="Hard")*(IH$6:IH$98))</f>
        <v/>
      </c>
      <c r="II102" s="402">
        <f>SUMPRODUCT(($NM$6:$NM$98="Hard")*(II$6:II$98))</f>
        <v/>
      </c>
      <c r="IJ102" s="402">
        <f>SUMPRODUCT(($NM$6:$NM$98="Hard")*(IJ$6:IJ$98))</f>
        <v/>
      </c>
      <c r="IK102" s="402">
        <f>SUMPRODUCT(($NM$6:$NM$98="Hard")*(IK$6:IK$98))</f>
        <v/>
      </c>
      <c r="IL102" s="402">
        <f>SUMPRODUCT(($NM$6:$NM$98="Hard")*(IL$6:IL$98))</f>
        <v/>
      </c>
      <c r="IM102" s="402">
        <f>SUMPRODUCT(($NM$6:$NM$98="Hard")*(IM$6:IM$98))</f>
        <v/>
      </c>
      <c r="IN102" s="402">
        <f>SUMPRODUCT(($NM$6:$NM$98="Hard")*(IN$6:IN$98))</f>
        <v/>
      </c>
      <c r="IO102" s="402">
        <f>SUMPRODUCT(($NM$6:$NM$98="Hard")*(IO$6:IO$98))</f>
        <v/>
      </c>
      <c r="IP102" s="402">
        <f>SUMPRODUCT(($NM$6:$NM$98="Hard")*(IP$6:IP$98))</f>
        <v/>
      </c>
      <c r="IQ102" s="402">
        <f>SUMPRODUCT(($NM$6:$NM$98="Hard")*(IQ$6:IQ$98))</f>
        <v/>
      </c>
      <c r="IR102" s="402">
        <f>SUMPRODUCT(($NM$6:$NM$98="Hard")*(IR$6:IR$98))</f>
        <v/>
      </c>
      <c r="IS102" s="402">
        <f>SUMPRODUCT(($NM$6:$NM$98="Hard")*(IS$6:IS$98))</f>
        <v/>
      </c>
      <c r="IT102" s="402">
        <f>SUMPRODUCT(($NM$6:$NM$98="Hard")*(IT$6:IT$98))</f>
        <v/>
      </c>
      <c r="IU102" s="402">
        <f>SUMPRODUCT(($NM$6:$NM$98="Hard")*(IU$6:IU$98))</f>
        <v/>
      </c>
      <c r="IV102" s="402">
        <f>SUMPRODUCT(($NM$6:$NM$98="Hard")*(IV$6:IV$98))</f>
        <v/>
      </c>
      <c r="IW102" s="402">
        <f>SUMPRODUCT(($NM$6:$NM$98="Hard")*(IW$6:IW$98))</f>
        <v/>
      </c>
      <c r="IX102" s="402">
        <f>SUMPRODUCT(($NM$6:$NM$98="Hard")*(IX$6:IX$98))</f>
        <v/>
      </c>
      <c r="IY102" s="402">
        <f>SUMPRODUCT(($NM$6:$NM$98="Hard")*(IY$6:IY$98))</f>
        <v/>
      </c>
      <c r="IZ102" s="402">
        <f>SUMPRODUCT(($NM$6:$NM$98="Hard")*(IZ$6:IZ$98))</f>
        <v/>
      </c>
      <c r="JA102" s="402">
        <f>SUMPRODUCT(($NM$6:$NM$98="Hard")*(JA$6:JA$98))</f>
        <v/>
      </c>
      <c r="JB102" s="402">
        <f>SUMPRODUCT(($NM$6:$NM$98="Hard")*(JB$6:JB$98))</f>
        <v/>
      </c>
      <c r="JC102" s="402">
        <f>SUMPRODUCT(($NM$6:$NM$98="Hard")*(JC$6:JC$98))</f>
        <v/>
      </c>
      <c r="JD102" s="402">
        <f>SUMPRODUCT(($NM$6:$NM$98="Hard")*(JD$6:JD$98))</f>
        <v/>
      </c>
      <c r="JE102" s="402">
        <f>SUMPRODUCT(($NM$6:$NM$98="Hard")*(JE$6:JE$98))</f>
        <v/>
      </c>
      <c r="JF102" s="402">
        <f>SUMPRODUCT(($NM$6:$NM$98="Hard")*(JF$6:JF$98))</f>
        <v/>
      </c>
      <c r="JG102" s="402">
        <f>SUMPRODUCT(($NM$6:$NM$98="Hard")*(JG$6:JG$98))</f>
        <v/>
      </c>
      <c r="JH102" s="402">
        <f>SUMPRODUCT(($NM$6:$NM$98="Hard")*(JH$6:JH$98))</f>
        <v/>
      </c>
      <c r="JI102" s="402">
        <f>SUMPRODUCT(($NM$6:$NM$98="Hard")*(JI$6:JI$98))</f>
        <v/>
      </c>
      <c r="JJ102" s="402">
        <f>SUMPRODUCT(($NM$6:$NM$98="Hard")*(JJ$6:JJ$98))</f>
        <v/>
      </c>
      <c r="JK102" s="402">
        <f>SUMPRODUCT(($NM$6:$NM$98="Hard")*(JK$6:JK$98))</f>
        <v/>
      </c>
      <c r="JL102" s="402">
        <f>SUMPRODUCT(($NM$6:$NM$98="Hard")*(JL$6:JL$98))</f>
        <v/>
      </c>
      <c r="JM102" s="402">
        <f>SUMPRODUCT(($NM$6:$NM$98="Hard")*(JM$6:JM$98))</f>
        <v/>
      </c>
      <c r="JN102" s="402">
        <f>SUMPRODUCT(($NM$6:$NM$98="Hard")*(JN$6:JN$98))</f>
        <v/>
      </c>
      <c r="JO102" s="402">
        <f>SUMPRODUCT(($NM$6:$NM$98="Hard")*(JO$6:JO$98))</f>
        <v/>
      </c>
      <c r="JP102" s="402">
        <f>SUMPRODUCT(($NM$6:$NM$98="Hard")*(JP$6:JP$98))</f>
        <v/>
      </c>
      <c r="JQ102" s="402">
        <f>SUMPRODUCT(($NM$6:$NM$98="Hard")*(JQ$6:JQ$98))</f>
        <v/>
      </c>
      <c r="JR102" s="402">
        <f>SUMPRODUCT(($NM$6:$NM$98="Hard")*(JR$6:JR$98))</f>
        <v/>
      </c>
      <c r="JS102" s="402">
        <f>SUMPRODUCT(($NM$6:$NM$98="Hard")*(JS$6:JS$98))</f>
        <v/>
      </c>
      <c r="JT102" s="402">
        <f>SUMPRODUCT(($NM$6:$NM$98="Hard")*(JT$6:JT$98))</f>
        <v/>
      </c>
      <c r="JU102" s="402">
        <f>SUMPRODUCT(($NM$6:$NM$98="Hard")*(JU$6:JU$98))</f>
        <v/>
      </c>
      <c r="JV102" s="402">
        <f>SUMPRODUCT(($NM$6:$NM$98="Hard")*(JV$6:JV$98))</f>
        <v/>
      </c>
      <c r="JW102" s="402">
        <f>SUMPRODUCT(($NM$6:$NM$98="Hard")*(JW$6:JW$98))</f>
        <v/>
      </c>
      <c r="JX102" s="402">
        <f>SUMPRODUCT(($NM$6:$NM$98="Hard")*(JX$6:JX$98))</f>
        <v/>
      </c>
      <c r="JY102" s="402">
        <f>SUMPRODUCT(($NM$6:$NM$98="Hard")*(JY$6:JY$98))</f>
        <v/>
      </c>
      <c r="JZ102" s="402">
        <f>SUMPRODUCT(($NM$6:$NM$98="Hard")*(JZ$6:JZ$98))</f>
        <v/>
      </c>
      <c r="KA102" s="402">
        <f>SUMPRODUCT(($NM$6:$NM$98="Hard")*(KA$6:KA$98))</f>
        <v/>
      </c>
      <c r="KB102" s="402">
        <f>SUMPRODUCT(($NM$6:$NM$98="Hard")*(KB$6:KB$98))</f>
        <v/>
      </c>
      <c r="KC102" s="402">
        <f>SUMPRODUCT(($NM$6:$NM$98="Hard")*(KC$6:KC$98))</f>
        <v/>
      </c>
      <c r="KD102" s="402">
        <f>SUMPRODUCT(($NM$6:$NM$98="Hard")*(KD$6:KD$98))</f>
        <v/>
      </c>
      <c r="KE102" s="402">
        <f>SUMPRODUCT(($NM$6:$NM$98="Hard")*(KE$6:KE$98))</f>
        <v/>
      </c>
      <c r="KF102" s="402">
        <f>SUMPRODUCT(($NM$6:$NM$98="Hard")*(KF$6:KF$98))</f>
        <v/>
      </c>
      <c r="KG102" s="402">
        <f>SUMPRODUCT(($NM$6:$NM$98="Hard")*(KG$6:KG$98))</f>
        <v/>
      </c>
      <c r="KH102" s="402">
        <f>SUMPRODUCT(($NM$6:$NM$98="Hard")*(KH$6:KH$98))</f>
        <v/>
      </c>
      <c r="KI102" s="402">
        <f>SUMPRODUCT(($NM$6:$NM$98="Hard")*(KI$6:KI$98))</f>
        <v/>
      </c>
      <c r="KJ102" s="402">
        <f>SUMPRODUCT(($NM$6:$NM$98="Hard")*(KJ$6:KJ$98))</f>
        <v/>
      </c>
      <c r="KK102" s="402">
        <f>SUMPRODUCT(($NM$6:$NM$98="Hard")*(KK$6:KK$98))</f>
        <v/>
      </c>
      <c r="KL102" s="402">
        <f>SUMPRODUCT(($NM$6:$NM$98="Hard")*(KL$6:KL$98))</f>
        <v/>
      </c>
      <c r="KM102" s="402">
        <f>SUMPRODUCT(($NM$6:$NM$98="Hard")*(KM$6:KM$98))</f>
        <v/>
      </c>
      <c r="KN102" s="402">
        <f>SUMPRODUCT(($NM$6:$NM$98="Hard")*(KN$6:KN$98))</f>
        <v/>
      </c>
      <c r="KO102" s="402">
        <f>SUMPRODUCT(($NM$6:$NM$98="Hard")*(KO$6:KO$98))</f>
        <v/>
      </c>
      <c r="KP102" s="402">
        <f>SUMPRODUCT(($NM$6:$NM$98="Hard")*(KP$6:KP$98))</f>
        <v/>
      </c>
      <c r="KQ102" s="402">
        <f>SUMPRODUCT(($NM$6:$NM$98="Hard")*(KQ$6:KQ$98))</f>
        <v/>
      </c>
      <c r="KR102" s="402">
        <f>SUMPRODUCT(($NM$6:$NM$98="Hard")*(KR$6:KR$98))</f>
        <v/>
      </c>
      <c r="KS102" s="402">
        <f>SUMPRODUCT(($NM$6:$NM$98="Hard")*(KS$6:KS$98))</f>
        <v/>
      </c>
      <c r="KT102" s="402">
        <f>SUMPRODUCT(($NM$6:$NM$98="Hard")*(KT$6:KT$98))</f>
        <v/>
      </c>
      <c r="KU102" s="402">
        <f>SUMPRODUCT(($NM$6:$NM$98="Hard")*(KU$6:KU$98))</f>
        <v/>
      </c>
      <c r="KV102" s="402">
        <f>SUMPRODUCT(($NM$6:$NM$98="Hard")*(KV$6:KV$98))</f>
        <v/>
      </c>
      <c r="KW102" s="402">
        <f>SUMPRODUCT(($NM$6:$NM$98="Hard")*(KW$6:KW$98))</f>
        <v/>
      </c>
      <c r="KX102" s="402">
        <f>SUMPRODUCT(($NM$6:$NM$98="Hard")*(KX$6:KX$98))</f>
        <v/>
      </c>
      <c r="KY102" s="402">
        <f>SUMPRODUCT(($NM$6:$NM$98="Hard")*(KY$6:KY$98))</f>
        <v/>
      </c>
      <c r="KZ102" s="402">
        <f>SUMPRODUCT(($NM$6:$NM$98="Hard")*(KZ$6:KZ$98))</f>
        <v/>
      </c>
      <c r="LA102" s="402">
        <f>SUMPRODUCT(($NM$6:$NM$98="Hard")*(LA$6:LA$98))</f>
        <v/>
      </c>
      <c r="LB102" s="402">
        <f>SUMPRODUCT(($NM$6:$NM$98="Hard")*(LB$6:LB$98))</f>
        <v/>
      </c>
      <c r="LC102" s="402">
        <f>SUMPRODUCT(($NM$6:$NM$98="Hard")*(LC$6:LC$98))</f>
        <v/>
      </c>
      <c r="LD102" s="402">
        <f>SUMPRODUCT(($NM$6:$NM$98="Hard")*(LD$6:LD$98))</f>
        <v/>
      </c>
      <c r="LE102" s="402">
        <f>SUMPRODUCT(($NM$6:$NM$98="Hard")*(LE$6:LE$98))</f>
        <v/>
      </c>
      <c r="LF102" s="402">
        <f>SUMPRODUCT(($NM$6:$NM$98="Hard")*(LF$6:LF$98))</f>
        <v/>
      </c>
      <c r="LG102" s="402">
        <f>SUMPRODUCT(($NM$6:$NM$98="Hard")*(LG$6:LG$98))</f>
        <v/>
      </c>
      <c r="LH102" s="402">
        <f>SUMPRODUCT(($NM$6:$NM$98="Hard")*(LH$6:LH$98))</f>
        <v/>
      </c>
      <c r="LI102" s="402">
        <f>SUMPRODUCT(($NM$6:$NM$98="Hard")*(LI$6:LI$98))</f>
        <v/>
      </c>
      <c r="LJ102" s="402">
        <f>SUMPRODUCT(($NM$6:$NM$98="Hard")*(LJ$6:LJ$98))</f>
        <v/>
      </c>
      <c r="LK102" s="402">
        <f>SUMPRODUCT(($NM$6:$NM$98="Hard")*(LK$6:LK$98))</f>
        <v/>
      </c>
      <c r="LL102" s="402">
        <f>SUMPRODUCT(($NM$6:$NM$98="Hard")*(LL$6:LL$98))</f>
        <v/>
      </c>
      <c r="LM102" s="402">
        <f>SUMPRODUCT(($NM$6:$NM$98="Hard")*(LM$6:LM$98))</f>
        <v/>
      </c>
      <c r="LN102" s="402">
        <f>SUMPRODUCT(($NM$6:$NM$98="Hard")*(LN$6:LN$98))</f>
        <v/>
      </c>
      <c r="LO102" s="402">
        <f>SUMPRODUCT(($NM$6:$NM$98="Hard")*(LO$6:LO$98))</f>
        <v/>
      </c>
      <c r="LP102" s="402">
        <f>SUMPRODUCT(($NM$6:$NM$98="Hard")*(LP$6:LP$98))</f>
        <v/>
      </c>
      <c r="LQ102" s="402">
        <f>SUMPRODUCT(($NM$6:$NM$98="Hard")*(LQ$6:LQ$98))</f>
        <v/>
      </c>
      <c r="LR102" s="402">
        <f>SUMPRODUCT(($NM$6:$NM$98="Hard")*(LR$6:LR$98))</f>
        <v/>
      </c>
      <c r="LS102" s="402">
        <f>SUMPRODUCT(($NM$6:$NM$98="Hard")*(LS$6:LS$98))</f>
        <v/>
      </c>
      <c r="LT102" s="402">
        <f>SUMPRODUCT(($NM$6:$NM$98="Hard")*(LT$6:LT$98))</f>
        <v/>
      </c>
      <c r="LU102" s="402">
        <f>SUMPRODUCT(($NM$6:$NM$98="Hard")*(LU$6:LU$98))</f>
        <v/>
      </c>
      <c r="LV102" s="402">
        <f>SUMPRODUCT(($NM$6:$NM$98="Hard")*(LV$6:LV$98))</f>
        <v/>
      </c>
      <c r="LW102" s="402">
        <f>SUMPRODUCT(($NM$6:$NM$98="Hard")*(LW$6:LW$98))</f>
        <v/>
      </c>
      <c r="LX102" s="402">
        <f>SUMPRODUCT(($NM$6:$NM$98="Hard")*(LX$6:LX$98))</f>
        <v/>
      </c>
      <c r="LY102" s="402">
        <f>SUMPRODUCT(($NM$6:$NM$98="Hard")*(LY$6:LY$98))</f>
        <v/>
      </c>
      <c r="LZ102" s="402">
        <f>SUMPRODUCT(($NM$6:$NM$98="Hard")*(LZ$6:LZ$98))</f>
        <v/>
      </c>
      <c r="MA102" s="402">
        <f>SUMPRODUCT(($NM$6:$NM$98="Hard")*(MA$6:MA$98))</f>
        <v/>
      </c>
      <c r="MB102" s="402">
        <f>SUMPRODUCT(($NM$6:$NM$98="Hard")*(MB$6:MB$98))</f>
        <v/>
      </c>
      <c r="MC102" s="402">
        <f>SUMPRODUCT(($NM$6:$NM$98="Hard")*(MC$6:MC$98))</f>
        <v/>
      </c>
      <c r="MD102" s="402">
        <f>SUMPRODUCT(($NM$6:$NM$98="Hard")*(MD$6:MD$98))</f>
        <v/>
      </c>
      <c r="ME102" s="402">
        <f>SUMPRODUCT(($NM$6:$NM$98="Hard")*(ME$6:ME$98))</f>
        <v/>
      </c>
      <c r="MF102" s="402">
        <f>SUMPRODUCT(($NM$6:$NM$98="Hard")*(MF$6:MF$98))</f>
        <v/>
      </c>
      <c r="MG102" s="402">
        <f>SUMPRODUCT(($NM$6:$NM$98="Hard")*(MG$6:MG$98))</f>
        <v/>
      </c>
      <c r="MH102" s="402">
        <f>SUMPRODUCT(($NM$6:$NM$98="Hard")*(MH$6:MH$98))</f>
        <v/>
      </c>
      <c r="MI102" s="402">
        <f>SUMPRODUCT(($NM$6:$NM$98="Hard")*(MI$6:MI$98))</f>
        <v/>
      </c>
      <c r="MJ102" s="402">
        <f>SUMPRODUCT(($NM$6:$NM$98="Hard")*(MJ$6:MJ$98))</f>
        <v/>
      </c>
      <c r="MK102" s="402">
        <f>SUMPRODUCT(($NM$6:$NM$98="Hard")*(MK$6:MK$98))</f>
        <v/>
      </c>
      <c r="ML102" s="402">
        <f>SUMPRODUCT(($NM$6:$NM$98="Hard")*(ML$6:ML$98))</f>
        <v/>
      </c>
      <c r="MM102" s="402">
        <f>SUMPRODUCT(($NM$6:$NM$98="Hard")*(MM$6:MM$98))</f>
        <v/>
      </c>
      <c r="MN102" s="402">
        <f>SUMPRODUCT(($NM$6:$NM$98="Hard")*(MN$6:MN$98))</f>
        <v/>
      </c>
      <c r="MO102" s="402">
        <f>SUMPRODUCT(($NM$6:$NM$98="Hard")*(MO$6:MO$98))</f>
        <v/>
      </c>
      <c r="MP102" s="402">
        <f>SUMPRODUCT(($NM$6:$NM$98="Hard")*(MP$6:MP$98))</f>
        <v/>
      </c>
      <c r="MQ102" s="402">
        <f>SUMPRODUCT(($NM$6:$NM$98="Hard")*(MQ$6:MQ$98))</f>
        <v/>
      </c>
      <c r="MR102" s="402">
        <f>SUMPRODUCT(($NM$6:$NM$98="Hard")*(MR$6:MR$98))</f>
        <v/>
      </c>
      <c r="MS102" s="402">
        <f>SUMPRODUCT(($NM$6:$NM$98="Hard")*(MS$6:MS$98))</f>
        <v/>
      </c>
      <c r="MT102" s="402">
        <f>SUMPRODUCT(($NM$6:$NM$98="Hard")*(MT$6:MT$98))</f>
        <v/>
      </c>
      <c r="MU102" s="402">
        <f>SUMPRODUCT(($NM$6:$NM$98="Hard")*(MU$6:MU$98))</f>
        <v/>
      </c>
      <c r="MV102" s="402">
        <f>SUMPRODUCT(($NM$6:$NM$98="Hard")*(MV$6:MV$98))</f>
        <v/>
      </c>
      <c r="MW102" s="402">
        <f>SUMPRODUCT(($NM$6:$NM$98="Hard")*(MW$6:MW$98))</f>
        <v/>
      </c>
      <c r="MX102" s="402">
        <f>SUMPRODUCT(($NM$6:$NM$98="Hard")*(MX$6:MX$98))</f>
        <v/>
      </c>
      <c r="MY102" s="402">
        <f>SUMPRODUCT(($NM$6:$NM$98="Hard")*(MY$6:MY$98))</f>
        <v/>
      </c>
      <c r="MZ102" s="402">
        <f>SUMPRODUCT(($NM$6:$NM$98="Hard")*(MZ$6:MZ$98))</f>
        <v/>
      </c>
      <c r="NA102" s="402">
        <f>SUMPRODUCT(($NM$6:$NM$98="Hard")*(NA$6:NA$98))</f>
        <v/>
      </c>
      <c r="NB102" s="402">
        <f>SUMPRODUCT(($NM$6:$NM$98="Hard")*(NB$6:NB$98))</f>
        <v/>
      </c>
      <c r="NC102" s="402">
        <f>SUMPRODUCT(($NM$6:$NM$98="Hard")*(NC$6:NC$98))</f>
        <v/>
      </c>
      <c r="ND102" s="402">
        <f>SUMPRODUCT(($NM$6:$NM$98="Hard")*(ND$6:ND$98))</f>
        <v/>
      </c>
      <c r="NE102" s="402">
        <f>SUMPRODUCT(($NM$6:$NM$98="Hard")*(NE$6:NE$98))</f>
        <v/>
      </c>
      <c r="NF102" s="402">
        <f>SUMPRODUCT(($NM$6:$NM$98="Hard")*(NF$6:NF$98))</f>
        <v/>
      </c>
      <c r="NG102" s="402">
        <f>SUMPRODUCT(($NM$6:$NM$98="Hard")*(NG$6:NG$98))</f>
        <v/>
      </c>
      <c r="NH102" s="402">
        <f>SUMPRODUCT(($NM$6:$NM$98="Hard")*(NH$6:NH$98))</f>
        <v/>
      </c>
      <c r="NI102" s="402">
        <f>SUMPRODUCT(($NM$6:$NM$98="Hard")*(NI$6:NI$98))</f>
        <v/>
      </c>
      <c r="NJ102" s="402">
        <f>SUMPRODUCT(($NM$6:$NM$98="Hard")*(NJ$6:NJ$98))</f>
        <v/>
      </c>
      <c r="NK102" s="402">
        <f>SUMPRODUCT(($NM$6:$NM$98="Hard")*(NK$6:NK$98))</f>
        <v/>
      </c>
      <c r="NL102" s="402">
        <f>SUMPRODUCT(($NM$6:$NM$98="Hard")*(NL$6:NL$98))</f>
        <v/>
      </c>
    </row>
    <row r="103">
      <c r="B103" s="316" t="inlineStr">
        <is>
          <t>Cumulative Hard Cost in Place</t>
        </is>
      </c>
      <c r="E103" s="402">
        <f>E$102</f>
        <v/>
      </c>
      <c r="F103" s="402">
        <f>E$103+F$102</f>
        <v/>
      </c>
      <c r="G103" s="402">
        <f>F$103+G$102</f>
        <v/>
      </c>
      <c r="H103" s="402">
        <f>G$103+H$102</f>
        <v/>
      </c>
      <c r="I103" s="402">
        <f>H$103+I$102</f>
        <v/>
      </c>
      <c r="J103" s="402">
        <f>I$103+J$102</f>
        <v/>
      </c>
      <c r="K103" s="402">
        <f>J$103+K$102</f>
        <v/>
      </c>
      <c r="L103" s="402">
        <f>K$103+L$102</f>
        <v/>
      </c>
      <c r="M103" s="402">
        <f>L$103+M$102</f>
        <v/>
      </c>
      <c r="N103" s="402">
        <f>M$103+N$102</f>
        <v/>
      </c>
      <c r="O103" s="402">
        <f>N$103+O$102</f>
        <v/>
      </c>
      <c r="P103" s="402">
        <f>O$103+P$102</f>
        <v/>
      </c>
      <c r="Q103" s="402">
        <f>P$103+Q$102</f>
        <v/>
      </c>
      <c r="R103" s="402">
        <f>Q$103+R$102</f>
        <v/>
      </c>
      <c r="S103" s="402">
        <f>R$103+S$102</f>
        <v/>
      </c>
      <c r="T103" s="402">
        <f>S$103+T$102</f>
        <v/>
      </c>
      <c r="U103" s="402">
        <f>T$103+U$102</f>
        <v/>
      </c>
      <c r="V103" s="402">
        <f>U$103+V$102</f>
        <v/>
      </c>
      <c r="W103" s="402">
        <f>V$103+W$102</f>
        <v/>
      </c>
      <c r="X103" s="402">
        <f>W$103+X$102</f>
        <v/>
      </c>
      <c r="Y103" s="402">
        <f>X$103+Y$102</f>
        <v/>
      </c>
      <c r="Z103" s="402">
        <f>Y$103+Z$102</f>
        <v/>
      </c>
      <c r="AA103" s="402">
        <f>Z$103+AA$102</f>
        <v/>
      </c>
      <c r="AB103" s="402">
        <f>AA$103+AB$102</f>
        <v/>
      </c>
      <c r="AC103" s="402">
        <f>AB$103+AC$102</f>
        <v/>
      </c>
      <c r="AD103" s="402">
        <f>AC$103+AD$102</f>
        <v/>
      </c>
      <c r="AE103" s="402">
        <f>AD$103+AE$102</f>
        <v/>
      </c>
      <c r="AF103" s="402">
        <f>AE$103+AF$102</f>
        <v/>
      </c>
      <c r="AG103" s="402">
        <f>AF$103+AG$102</f>
        <v/>
      </c>
      <c r="AH103" s="402">
        <f>AG$103+AH$102</f>
        <v/>
      </c>
      <c r="AI103" s="402">
        <f>AH$103+AI$102</f>
        <v/>
      </c>
      <c r="AJ103" s="402">
        <f>AI$103+AJ$102</f>
        <v/>
      </c>
      <c r="AK103" s="402">
        <f>AJ$103+AK$102</f>
        <v/>
      </c>
      <c r="AL103" s="402">
        <f>AK$103+AL$102</f>
        <v/>
      </c>
      <c r="AM103" s="402">
        <f>AL$103+AM$102</f>
        <v/>
      </c>
      <c r="AN103" s="402">
        <f>AM$103+AN$102</f>
        <v/>
      </c>
      <c r="AO103" s="402">
        <f>AN$103+AO$102</f>
        <v/>
      </c>
      <c r="AP103" s="402">
        <f>AO$103+AP$102</f>
        <v/>
      </c>
      <c r="AQ103" s="402">
        <f>AP$103+AQ$102</f>
        <v/>
      </c>
      <c r="AR103" s="402">
        <f>AQ$103+AR$102</f>
        <v/>
      </c>
      <c r="AS103" s="402">
        <f>AR$103+AS$102</f>
        <v/>
      </c>
      <c r="AT103" s="402">
        <f>AS$103+AT$102</f>
        <v/>
      </c>
      <c r="AU103" s="402">
        <f>AT$103+AU$102</f>
        <v/>
      </c>
      <c r="AV103" s="402">
        <f>AU$103+AV$102</f>
        <v/>
      </c>
      <c r="AW103" s="402">
        <f>AV$103+AW$102</f>
        <v/>
      </c>
      <c r="AX103" s="402">
        <f>AW$103+AX$102</f>
        <v/>
      </c>
      <c r="AY103" s="402">
        <f>AX$103+AY$102</f>
        <v/>
      </c>
      <c r="AZ103" s="402">
        <f>AY$103+AZ$102</f>
        <v/>
      </c>
      <c r="BA103" s="402">
        <f>AZ$103+BA$102</f>
        <v/>
      </c>
      <c r="BB103" s="402">
        <f>BA$103+BB$102</f>
        <v/>
      </c>
      <c r="BC103" s="402">
        <f>BB$103+BC$102</f>
        <v/>
      </c>
      <c r="BD103" s="402">
        <f>BC$103+BD$102</f>
        <v/>
      </c>
      <c r="BE103" s="402">
        <f>BD$103+BE$102</f>
        <v/>
      </c>
      <c r="BF103" s="402">
        <f>BE$103+BF$102</f>
        <v/>
      </c>
      <c r="BG103" s="402">
        <f>BF$103+BG$102</f>
        <v/>
      </c>
      <c r="BH103" s="402">
        <f>BG$103+BH$102</f>
        <v/>
      </c>
      <c r="BI103" s="402">
        <f>BH$103+BI$102</f>
        <v/>
      </c>
      <c r="BJ103" s="402">
        <f>BI$103+BJ$102</f>
        <v/>
      </c>
      <c r="BK103" s="402">
        <f>BJ$103+BK$102</f>
        <v/>
      </c>
      <c r="BL103" s="402">
        <f>BK$103+BL$102</f>
        <v/>
      </c>
      <c r="BM103" s="402">
        <f>BL$103+BM$102</f>
        <v/>
      </c>
      <c r="BN103" s="402">
        <f>BM$103+BN$102</f>
        <v/>
      </c>
      <c r="BO103" s="402">
        <f>BN$103+BO$102</f>
        <v/>
      </c>
      <c r="BP103" s="402">
        <f>BO$103+BP$102</f>
        <v/>
      </c>
      <c r="BQ103" s="402">
        <f>BP$103+BQ$102</f>
        <v/>
      </c>
      <c r="BR103" s="402">
        <f>BQ$103+BR$102</f>
        <v/>
      </c>
      <c r="BS103" s="402">
        <f>BR$103+BS$102</f>
        <v/>
      </c>
      <c r="BT103" s="402">
        <f>BS$103+BT$102</f>
        <v/>
      </c>
      <c r="BU103" s="402">
        <f>BT$103+BU$102</f>
        <v/>
      </c>
      <c r="BV103" s="402">
        <f>BU$103+BV$102</f>
        <v/>
      </c>
      <c r="BW103" s="402">
        <f>BV$103+BW$102</f>
        <v/>
      </c>
      <c r="BX103" s="402">
        <f>BW$103+BX$102</f>
        <v/>
      </c>
      <c r="BY103" s="402">
        <f>BX$103+BY$102</f>
        <v/>
      </c>
      <c r="BZ103" s="402">
        <f>BY$103+BZ$102</f>
        <v/>
      </c>
      <c r="CA103" s="402">
        <f>BZ$103+CA$102</f>
        <v/>
      </c>
      <c r="CB103" s="402">
        <f>CA$103+CB$102</f>
        <v/>
      </c>
      <c r="CC103" s="402">
        <f>CB$103+CC$102</f>
        <v/>
      </c>
      <c r="CD103" s="402">
        <f>CC$103+CD$102</f>
        <v/>
      </c>
      <c r="CE103" s="402">
        <f>CD$103+CE$102</f>
        <v/>
      </c>
      <c r="CF103" s="402">
        <f>CE$103+CF$102</f>
        <v/>
      </c>
      <c r="CG103" s="402">
        <f>CF$103+CG$102</f>
        <v/>
      </c>
      <c r="CH103" s="402">
        <f>CG$103+CH$102</f>
        <v/>
      </c>
      <c r="CI103" s="402">
        <f>CH$103+CI$102</f>
        <v/>
      </c>
      <c r="CJ103" s="402">
        <f>CI$103+CJ$102</f>
        <v/>
      </c>
      <c r="CK103" s="402">
        <f>CJ$103+CK$102</f>
        <v/>
      </c>
      <c r="CL103" s="402">
        <f>CK$103+CL$102</f>
        <v/>
      </c>
      <c r="CM103" s="402">
        <f>CL$103+CM$102</f>
        <v/>
      </c>
      <c r="CN103" s="402">
        <f>CM$103+CN$102</f>
        <v/>
      </c>
      <c r="CO103" s="402">
        <f>CN$103+CO$102</f>
        <v/>
      </c>
      <c r="CP103" s="402">
        <f>CO$103+CP$102</f>
        <v/>
      </c>
      <c r="CQ103" s="402">
        <f>CP$103+CQ$102</f>
        <v/>
      </c>
      <c r="CR103" s="402">
        <f>CQ$103+CR$102</f>
        <v/>
      </c>
      <c r="CS103" s="402">
        <f>CR$103+CS$102</f>
        <v/>
      </c>
      <c r="CT103" s="402">
        <f>CS$103+CT$102</f>
        <v/>
      </c>
      <c r="CU103" s="402">
        <f>CT$103+CU$102</f>
        <v/>
      </c>
      <c r="CV103" s="402">
        <f>CU$103+CV$102</f>
        <v/>
      </c>
      <c r="CW103" s="402">
        <f>CV$103+CW$102</f>
        <v/>
      </c>
      <c r="CX103" s="402">
        <f>CW$103+CX$102</f>
        <v/>
      </c>
      <c r="CY103" s="402">
        <f>CX$103+CY$102</f>
        <v/>
      </c>
      <c r="CZ103" s="402">
        <f>CY$103+CZ$102</f>
        <v/>
      </c>
      <c r="DA103" s="402">
        <f>CZ$103+DA$102</f>
        <v/>
      </c>
      <c r="DB103" s="402">
        <f>DA$103+DB$102</f>
        <v/>
      </c>
      <c r="DC103" s="402">
        <f>DB$103+DC$102</f>
        <v/>
      </c>
      <c r="DD103" s="402">
        <f>DC$103+DD$102</f>
        <v/>
      </c>
      <c r="DE103" s="402">
        <f>DD$103+DE$102</f>
        <v/>
      </c>
      <c r="DF103" s="402">
        <f>DE$103+DF$102</f>
        <v/>
      </c>
      <c r="DG103" s="402">
        <f>DF$103+DG$102</f>
        <v/>
      </c>
      <c r="DH103" s="402">
        <f>DG$103+DH$102</f>
        <v/>
      </c>
      <c r="DI103" s="402">
        <f>DH$103+DI$102</f>
        <v/>
      </c>
      <c r="DJ103" s="402">
        <f>DI$103+DJ$102</f>
        <v/>
      </c>
      <c r="DK103" s="402">
        <f>DJ$103+DK$102</f>
        <v/>
      </c>
      <c r="DL103" s="402">
        <f>DK$103+DL$102</f>
        <v/>
      </c>
      <c r="DM103" s="402">
        <f>DL$103+DM$102</f>
        <v/>
      </c>
      <c r="DN103" s="402">
        <f>DM$103+DN$102</f>
        <v/>
      </c>
      <c r="DO103" s="402">
        <f>DN$103+DO$102</f>
        <v/>
      </c>
      <c r="DP103" s="402">
        <f>DO$103+DP$102</f>
        <v/>
      </c>
      <c r="DQ103" s="402">
        <f>DP$103+DQ$102</f>
        <v/>
      </c>
      <c r="DR103" s="402">
        <f>DQ$103+DR$102</f>
        <v/>
      </c>
      <c r="DS103" s="402">
        <f>DR$103+DS$102</f>
        <v/>
      </c>
      <c r="DT103" s="402">
        <f>DS$103+DT$102</f>
        <v/>
      </c>
      <c r="DU103" s="402">
        <f>DT$103+DU$102</f>
        <v/>
      </c>
      <c r="DV103" s="402">
        <f>DU$103+DV$102</f>
        <v/>
      </c>
      <c r="DW103" s="402">
        <f>DV$103+DW$102</f>
        <v/>
      </c>
      <c r="DX103" s="402">
        <f>DW$103+DX$102</f>
        <v/>
      </c>
      <c r="DY103" s="402">
        <f>DX$103+DY$102</f>
        <v/>
      </c>
      <c r="DZ103" s="402">
        <f>DY$103+DZ$102</f>
        <v/>
      </c>
      <c r="EA103" s="402">
        <f>DZ$103+EA$102</f>
        <v/>
      </c>
      <c r="EB103" s="402">
        <f>EA$103+EB$102</f>
        <v/>
      </c>
      <c r="EC103" s="402">
        <f>EB$103+EC$102</f>
        <v/>
      </c>
      <c r="ED103" s="402">
        <f>EC$103+ED$102</f>
        <v/>
      </c>
      <c r="EE103" s="402">
        <f>ED$103+EE$102</f>
        <v/>
      </c>
      <c r="EF103" s="402">
        <f>EE$103+EF$102</f>
        <v/>
      </c>
      <c r="EG103" s="402">
        <f>EF$103+EG$102</f>
        <v/>
      </c>
      <c r="EH103" s="402">
        <f>EG$103+EH$102</f>
        <v/>
      </c>
      <c r="EI103" s="402">
        <f>EH$103+EI$102</f>
        <v/>
      </c>
      <c r="EJ103" s="402">
        <f>EI$103+EJ$102</f>
        <v/>
      </c>
      <c r="EK103" s="402">
        <f>EJ$103+EK$102</f>
        <v/>
      </c>
      <c r="EL103" s="402">
        <f>EK$103+EL$102</f>
        <v/>
      </c>
      <c r="EM103" s="402">
        <f>EL$103+EM$102</f>
        <v/>
      </c>
      <c r="EN103" s="402">
        <f>EM$103+EN$102</f>
        <v/>
      </c>
      <c r="EO103" s="402">
        <f>EN$103+EO$102</f>
        <v/>
      </c>
      <c r="EP103" s="402">
        <f>EO$103+EP$102</f>
        <v/>
      </c>
      <c r="EQ103" s="402">
        <f>EP$103+EQ$102</f>
        <v/>
      </c>
      <c r="ER103" s="402">
        <f>EQ$103+ER$102</f>
        <v/>
      </c>
      <c r="ES103" s="402">
        <f>ER$103+ES$102</f>
        <v/>
      </c>
      <c r="ET103" s="402">
        <f>ES$103+ET$102</f>
        <v/>
      </c>
      <c r="EU103" s="402">
        <f>ET$103+EU$102</f>
        <v/>
      </c>
      <c r="EV103" s="402">
        <f>EU$103+EV$102</f>
        <v/>
      </c>
      <c r="EW103" s="402">
        <f>EV$103+EW$102</f>
        <v/>
      </c>
      <c r="EX103" s="402">
        <f>EW$103+EX$102</f>
        <v/>
      </c>
      <c r="EY103" s="402">
        <f>EX$103+EY$102</f>
        <v/>
      </c>
      <c r="EZ103" s="402">
        <f>EY$103+EZ$102</f>
        <v/>
      </c>
      <c r="FA103" s="402">
        <f>EZ$103+FA$102</f>
        <v/>
      </c>
      <c r="FB103" s="402">
        <f>FA$103+FB$102</f>
        <v/>
      </c>
      <c r="FC103" s="402">
        <f>FB$103+FC$102</f>
        <v/>
      </c>
      <c r="FD103" s="402">
        <f>FC$103+FD$102</f>
        <v/>
      </c>
      <c r="FE103" s="402">
        <f>FD$103+FE$102</f>
        <v/>
      </c>
      <c r="FF103" s="402">
        <f>FE$103+FF$102</f>
        <v/>
      </c>
      <c r="FG103" s="402">
        <f>FF$103+FG$102</f>
        <v/>
      </c>
      <c r="FH103" s="402">
        <f>FG$103+FH$102</f>
        <v/>
      </c>
      <c r="FI103" s="402">
        <f>FH$103+FI$102</f>
        <v/>
      </c>
      <c r="FJ103" s="402">
        <f>FI$103+FJ$102</f>
        <v/>
      </c>
      <c r="FK103" s="402">
        <f>FJ$103+FK$102</f>
        <v/>
      </c>
      <c r="FL103" s="402">
        <f>FK$103+FL$102</f>
        <v/>
      </c>
      <c r="FM103" s="402">
        <f>FL$103+FM$102</f>
        <v/>
      </c>
      <c r="FN103" s="402">
        <f>FM$103+FN$102</f>
        <v/>
      </c>
      <c r="FO103" s="402">
        <f>FN$103+FO$102</f>
        <v/>
      </c>
      <c r="FP103" s="402">
        <f>FO$103+FP$102</f>
        <v/>
      </c>
      <c r="FQ103" s="402">
        <f>FP$103+FQ$102</f>
        <v/>
      </c>
      <c r="FR103" s="402">
        <f>FQ$103+FR$102</f>
        <v/>
      </c>
      <c r="FS103" s="402">
        <f>FR$103+FS$102</f>
        <v/>
      </c>
      <c r="FT103" s="402">
        <f>FS$103+FT$102</f>
        <v/>
      </c>
      <c r="FU103" s="402">
        <f>FT$103+FU$102</f>
        <v/>
      </c>
      <c r="FV103" s="402">
        <f>FU$103+FV$102</f>
        <v/>
      </c>
      <c r="FW103" s="402">
        <f>FV$103+FW$102</f>
        <v/>
      </c>
      <c r="FX103" s="402">
        <f>FW$103+FX$102</f>
        <v/>
      </c>
      <c r="FY103" s="402">
        <f>FX$103+FY$102</f>
        <v/>
      </c>
      <c r="FZ103" s="402">
        <f>FY$103+FZ$102</f>
        <v/>
      </c>
      <c r="GA103" s="402">
        <f>FZ$103+GA$102</f>
        <v/>
      </c>
      <c r="GB103" s="402">
        <f>GA$103+GB$102</f>
        <v/>
      </c>
      <c r="GC103" s="402">
        <f>GB$103+GC$102</f>
        <v/>
      </c>
      <c r="GD103" s="402">
        <f>GC$103+GD$102</f>
        <v/>
      </c>
      <c r="GE103" s="402">
        <f>GD$103+GE$102</f>
        <v/>
      </c>
      <c r="GF103" s="402">
        <f>GE$103+GF$102</f>
        <v/>
      </c>
      <c r="GG103" s="402">
        <f>GF$103+GG$102</f>
        <v/>
      </c>
      <c r="GH103" s="402">
        <f>GG$103+GH$102</f>
        <v/>
      </c>
      <c r="GI103" s="402">
        <f>GH$103+GI$102</f>
        <v/>
      </c>
      <c r="GJ103" s="402">
        <f>GI$103+GJ$102</f>
        <v/>
      </c>
      <c r="GK103" s="402">
        <f>GJ$103+GK$102</f>
        <v/>
      </c>
      <c r="GL103" s="402">
        <f>GK$103+GL$102</f>
        <v/>
      </c>
      <c r="GM103" s="402">
        <f>GL$103+GM$102</f>
        <v/>
      </c>
      <c r="GN103" s="402">
        <f>GM$103+GN$102</f>
        <v/>
      </c>
      <c r="GO103" s="402">
        <f>GN$103+GO$102</f>
        <v/>
      </c>
      <c r="GP103" s="402">
        <f>GO$103+GP$102</f>
        <v/>
      </c>
      <c r="GQ103" s="402">
        <f>GP$103+GQ$102</f>
        <v/>
      </c>
      <c r="GR103" s="402">
        <f>GQ$103+GR$102</f>
        <v/>
      </c>
      <c r="GS103" s="402">
        <f>GR$103+GS$102</f>
        <v/>
      </c>
      <c r="GT103" s="402">
        <f>GS$103+GT$102</f>
        <v/>
      </c>
      <c r="GU103" s="402">
        <f>GT$103+GU$102</f>
        <v/>
      </c>
      <c r="GV103" s="402">
        <f>GU$103+GV$102</f>
        <v/>
      </c>
      <c r="GW103" s="402">
        <f>GV$103+GW$102</f>
        <v/>
      </c>
      <c r="GX103" s="402">
        <f>GW$103+GX$102</f>
        <v/>
      </c>
      <c r="GY103" s="402">
        <f>GX$103+GY$102</f>
        <v/>
      </c>
      <c r="GZ103" s="402">
        <f>GY$103+GZ$102</f>
        <v/>
      </c>
      <c r="HA103" s="402">
        <f>GZ$103+HA$102</f>
        <v/>
      </c>
      <c r="HB103" s="402">
        <f>HA$103+HB$102</f>
        <v/>
      </c>
      <c r="HC103" s="402">
        <f>HB$103+HC$102</f>
        <v/>
      </c>
      <c r="HD103" s="402">
        <f>HC$103+HD$102</f>
        <v/>
      </c>
      <c r="HE103" s="402">
        <f>HD$103+HE$102</f>
        <v/>
      </c>
      <c r="HF103" s="402">
        <f>HE$103+HF$102</f>
        <v/>
      </c>
      <c r="HG103" s="402">
        <f>HF$103+HG$102</f>
        <v/>
      </c>
      <c r="HH103" s="402">
        <f>HG$103+HH$102</f>
        <v/>
      </c>
      <c r="HI103" s="402">
        <f>HH$103+HI$102</f>
        <v/>
      </c>
      <c r="HJ103" s="402">
        <f>HI$103+HJ$102</f>
        <v/>
      </c>
      <c r="HK103" s="402">
        <f>HJ$103+HK$102</f>
        <v/>
      </c>
      <c r="HL103" s="402">
        <f>HK$103+HL$102</f>
        <v/>
      </c>
      <c r="HM103" s="402">
        <f>HL$103+HM$102</f>
        <v/>
      </c>
      <c r="HN103" s="402">
        <f>HM$103+HN$102</f>
        <v/>
      </c>
      <c r="HO103" s="402">
        <f>HN$103+HO$102</f>
        <v/>
      </c>
      <c r="HP103" s="402">
        <f>HO$103+HP$102</f>
        <v/>
      </c>
      <c r="HQ103" s="402">
        <f>HP$103+HQ$102</f>
        <v/>
      </c>
      <c r="HR103" s="402">
        <f>HQ$103+HR$102</f>
        <v/>
      </c>
      <c r="HS103" s="402">
        <f>HR$103+HS$102</f>
        <v/>
      </c>
      <c r="HT103" s="402">
        <f>HS$103+HT$102</f>
        <v/>
      </c>
      <c r="HU103" s="402">
        <f>HT$103+HU$102</f>
        <v/>
      </c>
      <c r="HV103" s="402">
        <f>HU$103+HV$102</f>
        <v/>
      </c>
      <c r="HW103" s="402">
        <f>HV$103+HW$102</f>
        <v/>
      </c>
      <c r="HX103" s="402">
        <f>HW$103+HX$102</f>
        <v/>
      </c>
      <c r="HY103" s="402">
        <f>HX$103+HY$102</f>
        <v/>
      </c>
      <c r="HZ103" s="402">
        <f>HY$103+HZ$102</f>
        <v/>
      </c>
      <c r="IA103" s="402">
        <f>HZ$103+IA$102</f>
        <v/>
      </c>
      <c r="IB103" s="402">
        <f>IA$103+IB$102</f>
        <v/>
      </c>
      <c r="IC103" s="402">
        <f>IB$103+IC$102</f>
        <v/>
      </c>
      <c r="ID103" s="402">
        <f>IC$103+ID$102</f>
        <v/>
      </c>
      <c r="IE103" s="402">
        <f>ID$103+IE$102</f>
        <v/>
      </c>
      <c r="IF103" s="402">
        <f>IE$103+IF$102</f>
        <v/>
      </c>
      <c r="IG103" s="402">
        <f>IF$103+IG$102</f>
        <v/>
      </c>
      <c r="IH103" s="402">
        <f>IG$103+IH$102</f>
        <v/>
      </c>
      <c r="II103" s="402">
        <f>IH$103+II$102</f>
        <v/>
      </c>
      <c r="IJ103" s="402">
        <f>II$103+IJ$102</f>
        <v/>
      </c>
      <c r="IK103" s="402">
        <f>IJ$103+IK$102</f>
        <v/>
      </c>
      <c r="IL103" s="402">
        <f>IK$103+IL$102</f>
        <v/>
      </c>
      <c r="IM103" s="402">
        <f>IL$103+IM$102</f>
        <v/>
      </c>
      <c r="IN103" s="402">
        <f>IM$103+IN$102</f>
        <v/>
      </c>
      <c r="IO103" s="402">
        <f>IN$103+IO$102</f>
        <v/>
      </c>
      <c r="IP103" s="402">
        <f>IO$103+IP$102</f>
        <v/>
      </c>
      <c r="IQ103" s="402">
        <f>IP$103+IQ$102</f>
        <v/>
      </c>
      <c r="IR103" s="402">
        <f>IQ$103+IR$102</f>
        <v/>
      </c>
      <c r="IS103" s="402">
        <f>IR$103+IS$102</f>
        <v/>
      </c>
      <c r="IT103" s="402">
        <f>IS$103+IT$102</f>
        <v/>
      </c>
      <c r="IU103" s="402">
        <f>IT$103+IU$102</f>
        <v/>
      </c>
      <c r="IV103" s="402">
        <f>IU$103+IV$102</f>
        <v/>
      </c>
      <c r="IW103" s="402">
        <f>IV$103+IW$102</f>
        <v/>
      </c>
      <c r="IX103" s="402">
        <f>IW$103+IX$102</f>
        <v/>
      </c>
      <c r="IY103" s="402">
        <f>IX$103+IY$102</f>
        <v/>
      </c>
      <c r="IZ103" s="402">
        <f>IY$103+IZ$102</f>
        <v/>
      </c>
      <c r="JA103" s="402">
        <f>IZ$103+JA$102</f>
        <v/>
      </c>
      <c r="JB103" s="402">
        <f>JA$103+JB$102</f>
        <v/>
      </c>
      <c r="JC103" s="402">
        <f>JB$103+JC$102</f>
        <v/>
      </c>
      <c r="JD103" s="402">
        <f>JC$103+JD$102</f>
        <v/>
      </c>
      <c r="JE103" s="402">
        <f>JD$103+JE$102</f>
        <v/>
      </c>
      <c r="JF103" s="402">
        <f>JE$103+JF$102</f>
        <v/>
      </c>
      <c r="JG103" s="402">
        <f>JF$103+JG$102</f>
        <v/>
      </c>
      <c r="JH103" s="402">
        <f>JG$103+JH$102</f>
        <v/>
      </c>
      <c r="JI103" s="402">
        <f>JH$103+JI$102</f>
        <v/>
      </c>
      <c r="JJ103" s="402">
        <f>JI$103+JJ$102</f>
        <v/>
      </c>
      <c r="JK103" s="402">
        <f>JJ$103+JK$102</f>
        <v/>
      </c>
      <c r="JL103" s="402">
        <f>JK$103+JL$102</f>
        <v/>
      </c>
      <c r="JM103" s="402">
        <f>JL$103+JM$102</f>
        <v/>
      </c>
      <c r="JN103" s="402">
        <f>JM$103+JN$102</f>
        <v/>
      </c>
      <c r="JO103" s="402">
        <f>JN$103+JO$102</f>
        <v/>
      </c>
      <c r="JP103" s="402">
        <f>JO$103+JP$102</f>
        <v/>
      </c>
      <c r="JQ103" s="402">
        <f>JP$103+JQ$102</f>
        <v/>
      </c>
      <c r="JR103" s="402">
        <f>JQ$103+JR$102</f>
        <v/>
      </c>
      <c r="JS103" s="402">
        <f>JR$103+JS$102</f>
        <v/>
      </c>
      <c r="JT103" s="402">
        <f>JS$103+JT$102</f>
        <v/>
      </c>
      <c r="JU103" s="402">
        <f>JT$103+JU$102</f>
        <v/>
      </c>
      <c r="JV103" s="402">
        <f>JU$103+JV$102</f>
        <v/>
      </c>
      <c r="JW103" s="402">
        <f>JV$103+JW$102</f>
        <v/>
      </c>
      <c r="JX103" s="402">
        <f>JW$103+JX$102</f>
        <v/>
      </c>
      <c r="JY103" s="402">
        <f>JX$103+JY$102</f>
        <v/>
      </c>
      <c r="JZ103" s="402">
        <f>JY$103+JZ$102</f>
        <v/>
      </c>
      <c r="KA103" s="402">
        <f>JZ$103+KA$102</f>
        <v/>
      </c>
      <c r="KB103" s="402">
        <f>KA$103+KB$102</f>
        <v/>
      </c>
      <c r="KC103" s="402">
        <f>KB$103+KC$102</f>
        <v/>
      </c>
      <c r="KD103" s="402">
        <f>KC$103+KD$102</f>
        <v/>
      </c>
      <c r="KE103" s="402">
        <f>KD$103+KE$102</f>
        <v/>
      </c>
      <c r="KF103" s="402">
        <f>KE$103+KF$102</f>
        <v/>
      </c>
      <c r="KG103" s="402">
        <f>KF$103+KG$102</f>
        <v/>
      </c>
      <c r="KH103" s="402">
        <f>KG$103+KH$102</f>
        <v/>
      </c>
      <c r="KI103" s="402">
        <f>KH$103+KI$102</f>
        <v/>
      </c>
      <c r="KJ103" s="402">
        <f>KI$103+KJ$102</f>
        <v/>
      </c>
      <c r="KK103" s="402">
        <f>KJ$103+KK$102</f>
        <v/>
      </c>
      <c r="KL103" s="402">
        <f>KK$103+KL$102</f>
        <v/>
      </c>
      <c r="KM103" s="402">
        <f>KL$103+KM$102</f>
        <v/>
      </c>
      <c r="KN103" s="402">
        <f>KM$103+KN$102</f>
        <v/>
      </c>
      <c r="KO103" s="402">
        <f>KN$103+KO$102</f>
        <v/>
      </c>
      <c r="KP103" s="402">
        <f>KO$103+KP$102</f>
        <v/>
      </c>
      <c r="KQ103" s="402">
        <f>KP$103+KQ$102</f>
        <v/>
      </c>
      <c r="KR103" s="402">
        <f>KQ$103+KR$102</f>
        <v/>
      </c>
      <c r="KS103" s="402">
        <f>KR$103+KS$102</f>
        <v/>
      </c>
      <c r="KT103" s="402">
        <f>KS$103+KT$102</f>
        <v/>
      </c>
      <c r="KU103" s="402">
        <f>KT$103+KU$102</f>
        <v/>
      </c>
      <c r="KV103" s="402">
        <f>KU$103+KV$102</f>
        <v/>
      </c>
      <c r="KW103" s="402">
        <f>KV$103+KW$102</f>
        <v/>
      </c>
      <c r="KX103" s="402">
        <f>KW$103+KX$102</f>
        <v/>
      </c>
      <c r="KY103" s="402">
        <f>KX$103+KY$102</f>
        <v/>
      </c>
      <c r="KZ103" s="402">
        <f>KY$103+KZ$102</f>
        <v/>
      </c>
      <c r="LA103" s="402">
        <f>KZ$103+LA$102</f>
        <v/>
      </c>
      <c r="LB103" s="402">
        <f>LA$103+LB$102</f>
        <v/>
      </c>
      <c r="LC103" s="402">
        <f>LB$103+LC$102</f>
        <v/>
      </c>
      <c r="LD103" s="402">
        <f>LC$103+LD$102</f>
        <v/>
      </c>
      <c r="LE103" s="402">
        <f>LD$103+LE$102</f>
        <v/>
      </c>
      <c r="LF103" s="402">
        <f>LE$103+LF$102</f>
        <v/>
      </c>
      <c r="LG103" s="402">
        <f>LF$103+LG$102</f>
        <v/>
      </c>
      <c r="LH103" s="402">
        <f>LG$103+LH$102</f>
        <v/>
      </c>
      <c r="LI103" s="402">
        <f>LH$103+LI$102</f>
        <v/>
      </c>
      <c r="LJ103" s="402">
        <f>LI$103+LJ$102</f>
        <v/>
      </c>
      <c r="LK103" s="402">
        <f>LJ$103+LK$102</f>
        <v/>
      </c>
      <c r="LL103" s="402">
        <f>LK$103+LL$102</f>
        <v/>
      </c>
      <c r="LM103" s="402">
        <f>LL$103+LM$102</f>
        <v/>
      </c>
      <c r="LN103" s="402">
        <f>LM$103+LN$102</f>
        <v/>
      </c>
      <c r="LO103" s="402">
        <f>LN$103+LO$102</f>
        <v/>
      </c>
      <c r="LP103" s="402">
        <f>LO$103+LP$102</f>
        <v/>
      </c>
      <c r="LQ103" s="402">
        <f>LP$103+LQ$102</f>
        <v/>
      </c>
      <c r="LR103" s="402">
        <f>LQ$103+LR$102</f>
        <v/>
      </c>
      <c r="LS103" s="402">
        <f>LR$103+LS$102</f>
        <v/>
      </c>
      <c r="LT103" s="402">
        <f>LS$103+LT$102</f>
        <v/>
      </c>
      <c r="LU103" s="402">
        <f>LT$103+LU$102</f>
        <v/>
      </c>
      <c r="LV103" s="402">
        <f>LU$103+LV$102</f>
        <v/>
      </c>
      <c r="LW103" s="402">
        <f>LV$103+LW$102</f>
        <v/>
      </c>
      <c r="LX103" s="402">
        <f>LW$103+LX$102</f>
        <v/>
      </c>
      <c r="LY103" s="402">
        <f>LX$103+LY$102</f>
        <v/>
      </c>
      <c r="LZ103" s="402">
        <f>LY$103+LZ$102</f>
        <v/>
      </c>
      <c r="MA103" s="402">
        <f>LZ$103+MA$102</f>
        <v/>
      </c>
      <c r="MB103" s="402">
        <f>MA$103+MB$102</f>
        <v/>
      </c>
      <c r="MC103" s="402">
        <f>MB$103+MC$102</f>
        <v/>
      </c>
      <c r="MD103" s="402">
        <f>MC$103+MD$102</f>
        <v/>
      </c>
      <c r="ME103" s="402">
        <f>MD$103+ME$102</f>
        <v/>
      </c>
      <c r="MF103" s="402">
        <f>ME$103+MF$102</f>
        <v/>
      </c>
      <c r="MG103" s="402">
        <f>MF$103+MG$102</f>
        <v/>
      </c>
      <c r="MH103" s="402">
        <f>MG$103+MH$102</f>
        <v/>
      </c>
      <c r="MI103" s="402">
        <f>MH$103+MI$102</f>
        <v/>
      </c>
      <c r="MJ103" s="402">
        <f>MI$103+MJ$102</f>
        <v/>
      </c>
      <c r="MK103" s="402">
        <f>MJ$103+MK$102</f>
        <v/>
      </c>
      <c r="ML103" s="402">
        <f>MK$103+ML$102</f>
        <v/>
      </c>
      <c r="MM103" s="402">
        <f>ML$103+MM$102</f>
        <v/>
      </c>
      <c r="MN103" s="402">
        <f>MM$103+MN$102</f>
        <v/>
      </c>
      <c r="MO103" s="402">
        <f>MN$103+MO$102</f>
        <v/>
      </c>
      <c r="MP103" s="402">
        <f>MO$103+MP$102</f>
        <v/>
      </c>
      <c r="MQ103" s="402">
        <f>MP$103+MQ$102</f>
        <v/>
      </c>
      <c r="MR103" s="402">
        <f>MQ$103+MR$102</f>
        <v/>
      </c>
      <c r="MS103" s="402">
        <f>MR$103+MS$102</f>
        <v/>
      </c>
      <c r="MT103" s="402">
        <f>MS$103+MT$102</f>
        <v/>
      </c>
      <c r="MU103" s="402">
        <f>MT$103+MU$102</f>
        <v/>
      </c>
      <c r="MV103" s="402">
        <f>MU$103+MV$102</f>
        <v/>
      </c>
      <c r="MW103" s="402">
        <f>MV$103+MW$102</f>
        <v/>
      </c>
      <c r="MX103" s="402">
        <f>MW$103+MX$102</f>
        <v/>
      </c>
      <c r="MY103" s="402">
        <f>MX$103+MY$102</f>
        <v/>
      </c>
      <c r="MZ103" s="402">
        <f>MY$103+MZ$102</f>
        <v/>
      </c>
      <c r="NA103" s="402">
        <f>MZ$103+NA$102</f>
        <v/>
      </c>
      <c r="NB103" s="402">
        <f>NA$103+NB$102</f>
        <v/>
      </c>
      <c r="NC103" s="402">
        <f>NB$103+NC$102</f>
        <v/>
      </c>
      <c r="ND103" s="402">
        <f>NC$103+ND$102</f>
        <v/>
      </c>
      <c r="NE103" s="402">
        <f>ND$103+NE$102</f>
        <v/>
      </c>
      <c r="NF103" s="402">
        <f>NE$103+NF$102</f>
        <v/>
      </c>
      <c r="NG103" s="402">
        <f>NF$103+NG$102</f>
        <v/>
      </c>
      <c r="NH103" s="402">
        <f>NG$103+NH$102</f>
        <v/>
      </c>
      <c r="NI103" s="402">
        <f>NH$103+NI$102</f>
        <v/>
      </c>
      <c r="NJ103" s="402">
        <f>NI$103+NJ$102</f>
        <v/>
      </c>
      <c r="NK103" s="402">
        <f>NJ$103+NK$102</f>
        <v/>
      </c>
      <c r="NL103" s="402">
        <f>NK$103+NL$102</f>
        <v/>
      </c>
    </row>
    <row r="104">
      <c r="B104" s="316" t="inlineStr">
        <is>
          <t>Construction-Period Property Tax</t>
        </is>
      </c>
      <c r="D104" s="402">
        <f>SUM(E104:NL104)</f>
        <v/>
      </c>
      <c r="E104" s="402">
        <f>IF(AND(1&gt;=MS_Initial_Closing_Start,1&lt;TaxOpStartMonth),(LandCost+E$103)*EffTaxRateOnValue/12,0)</f>
        <v/>
      </c>
      <c r="F104" s="402">
        <f>IF(AND(2&gt;=MS_Initial_Closing_Start,2&lt;TaxOpStartMonth),(LandCost+F$103)*EffTaxRateOnValue/12,0)</f>
        <v/>
      </c>
      <c r="G104" s="402">
        <f>IF(AND(3&gt;=MS_Initial_Closing_Start,3&lt;TaxOpStartMonth),(LandCost+G$103)*EffTaxRateOnValue/12,0)</f>
        <v/>
      </c>
      <c r="H104" s="402">
        <f>IF(AND(4&gt;=MS_Initial_Closing_Start,4&lt;TaxOpStartMonth),(LandCost+H$103)*EffTaxRateOnValue/12,0)</f>
        <v/>
      </c>
      <c r="I104" s="402">
        <f>IF(AND(5&gt;=MS_Initial_Closing_Start,5&lt;TaxOpStartMonth),(LandCost+I$103)*EffTaxRateOnValue/12,0)</f>
        <v/>
      </c>
      <c r="J104" s="402">
        <f>IF(AND(6&gt;=MS_Initial_Closing_Start,6&lt;TaxOpStartMonth),(LandCost+J$103)*EffTaxRateOnValue/12,0)</f>
        <v/>
      </c>
      <c r="K104" s="402">
        <f>IF(AND(7&gt;=MS_Initial_Closing_Start,7&lt;TaxOpStartMonth),(LandCost+K$103)*EffTaxRateOnValue/12,0)</f>
        <v/>
      </c>
      <c r="L104" s="402">
        <f>IF(AND(8&gt;=MS_Initial_Closing_Start,8&lt;TaxOpStartMonth),(LandCost+L$103)*EffTaxRateOnValue/12,0)</f>
        <v/>
      </c>
      <c r="M104" s="402">
        <f>IF(AND(9&gt;=MS_Initial_Closing_Start,9&lt;TaxOpStartMonth),(LandCost+M$103)*EffTaxRateOnValue/12,0)</f>
        <v/>
      </c>
      <c r="N104" s="402">
        <f>IF(AND(10&gt;=MS_Initial_Closing_Start,10&lt;TaxOpStartMonth),(LandCost+N$103)*EffTaxRateOnValue/12,0)</f>
        <v/>
      </c>
      <c r="O104" s="402">
        <f>IF(AND(11&gt;=MS_Initial_Closing_Start,11&lt;TaxOpStartMonth),(LandCost+O$103)*EffTaxRateOnValue/12,0)</f>
        <v/>
      </c>
      <c r="P104" s="402">
        <f>IF(AND(12&gt;=MS_Initial_Closing_Start,12&lt;TaxOpStartMonth),(LandCost+P$103)*EffTaxRateOnValue/12,0)</f>
        <v/>
      </c>
      <c r="Q104" s="402">
        <f>IF(AND(13&gt;=MS_Initial_Closing_Start,13&lt;TaxOpStartMonth),(LandCost+Q$103)*EffTaxRateOnValue/12,0)</f>
        <v/>
      </c>
      <c r="R104" s="402">
        <f>IF(AND(14&gt;=MS_Initial_Closing_Start,14&lt;TaxOpStartMonth),(LandCost+R$103)*EffTaxRateOnValue/12,0)</f>
        <v/>
      </c>
      <c r="S104" s="402">
        <f>IF(AND(15&gt;=MS_Initial_Closing_Start,15&lt;TaxOpStartMonth),(LandCost+S$103)*EffTaxRateOnValue/12,0)</f>
        <v/>
      </c>
      <c r="T104" s="402">
        <f>IF(AND(16&gt;=MS_Initial_Closing_Start,16&lt;TaxOpStartMonth),(LandCost+T$103)*EffTaxRateOnValue/12,0)</f>
        <v/>
      </c>
      <c r="U104" s="402">
        <f>IF(AND(17&gt;=MS_Initial_Closing_Start,17&lt;TaxOpStartMonth),(LandCost+U$103)*EffTaxRateOnValue/12,0)</f>
        <v/>
      </c>
      <c r="V104" s="402">
        <f>IF(AND(18&gt;=MS_Initial_Closing_Start,18&lt;TaxOpStartMonth),(LandCost+V$103)*EffTaxRateOnValue/12,0)</f>
        <v/>
      </c>
      <c r="W104" s="402">
        <f>IF(AND(19&gt;=MS_Initial_Closing_Start,19&lt;TaxOpStartMonth),(LandCost+W$103)*EffTaxRateOnValue/12,0)</f>
        <v/>
      </c>
      <c r="X104" s="402">
        <f>IF(AND(20&gt;=MS_Initial_Closing_Start,20&lt;TaxOpStartMonth),(LandCost+X$103)*EffTaxRateOnValue/12,0)</f>
        <v/>
      </c>
      <c r="Y104" s="402">
        <f>IF(AND(21&gt;=MS_Initial_Closing_Start,21&lt;TaxOpStartMonth),(LandCost+Y$103)*EffTaxRateOnValue/12,0)</f>
        <v/>
      </c>
      <c r="Z104" s="402">
        <f>IF(AND(22&gt;=MS_Initial_Closing_Start,22&lt;TaxOpStartMonth),(LandCost+Z$103)*EffTaxRateOnValue/12,0)</f>
        <v/>
      </c>
      <c r="AA104" s="402">
        <f>IF(AND(23&gt;=MS_Initial_Closing_Start,23&lt;TaxOpStartMonth),(LandCost+AA$103)*EffTaxRateOnValue/12,0)</f>
        <v/>
      </c>
      <c r="AB104" s="402">
        <f>IF(AND(24&gt;=MS_Initial_Closing_Start,24&lt;TaxOpStartMonth),(LandCost+AB$103)*EffTaxRateOnValue/12,0)</f>
        <v/>
      </c>
      <c r="AC104" s="402">
        <f>IF(AND(25&gt;=MS_Initial_Closing_Start,25&lt;TaxOpStartMonth),(LandCost+AC$103)*EffTaxRateOnValue/12,0)</f>
        <v/>
      </c>
      <c r="AD104" s="402">
        <f>IF(AND(26&gt;=MS_Initial_Closing_Start,26&lt;TaxOpStartMonth),(LandCost+AD$103)*EffTaxRateOnValue/12,0)</f>
        <v/>
      </c>
      <c r="AE104" s="402">
        <f>IF(AND(27&gt;=MS_Initial_Closing_Start,27&lt;TaxOpStartMonth),(LandCost+AE$103)*EffTaxRateOnValue/12,0)</f>
        <v/>
      </c>
      <c r="AF104" s="402">
        <f>IF(AND(28&gt;=MS_Initial_Closing_Start,28&lt;TaxOpStartMonth),(LandCost+AF$103)*EffTaxRateOnValue/12,0)</f>
        <v/>
      </c>
      <c r="AG104" s="402">
        <f>IF(AND(29&gt;=MS_Initial_Closing_Start,29&lt;TaxOpStartMonth),(LandCost+AG$103)*EffTaxRateOnValue/12,0)</f>
        <v/>
      </c>
      <c r="AH104" s="402">
        <f>IF(AND(30&gt;=MS_Initial_Closing_Start,30&lt;TaxOpStartMonth),(LandCost+AH$103)*EffTaxRateOnValue/12,0)</f>
        <v/>
      </c>
      <c r="AI104" s="402">
        <f>IF(AND(31&gt;=MS_Initial_Closing_Start,31&lt;TaxOpStartMonth),(LandCost+AI$103)*EffTaxRateOnValue/12,0)</f>
        <v/>
      </c>
      <c r="AJ104" s="402">
        <f>IF(AND(32&gt;=MS_Initial_Closing_Start,32&lt;TaxOpStartMonth),(LandCost+AJ$103)*EffTaxRateOnValue/12,0)</f>
        <v/>
      </c>
      <c r="AK104" s="402">
        <f>IF(AND(33&gt;=MS_Initial_Closing_Start,33&lt;TaxOpStartMonth),(LandCost+AK$103)*EffTaxRateOnValue/12,0)</f>
        <v/>
      </c>
      <c r="AL104" s="402">
        <f>IF(AND(34&gt;=MS_Initial_Closing_Start,34&lt;TaxOpStartMonth),(LandCost+AL$103)*EffTaxRateOnValue/12,0)</f>
        <v/>
      </c>
      <c r="AM104" s="402">
        <f>IF(AND(35&gt;=MS_Initial_Closing_Start,35&lt;TaxOpStartMonth),(LandCost+AM$103)*EffTaxRateOnValue/12,0)</f>
        <v/>
      </c>
      <c r="AN104" s="402">
        <f>IF(AND(36&gt;=MS_Initial_Closing_Start,36&lt;TaxOpStartMonth),(LandCost+AN$103)*EffTaxRateOnValue/12,0)</f>
        <v/>
      </c>
      <c r="AO104" s="402">
        <f>IF(AND(37&gt;=MS_Initial_Closing_Start,37&lt;TaxOpStartMonth),(LandCost+AO$103)*EffTaxRateOnValue/12,0)</f>
        <v/>
      </c>
      <c r="AP104" s="402">
        <f>IF(AND(38&gt;=MS_Initial_Closing_Start,38&lt;TaxOpStartMonth),(LandCost+AP$103)*EffTaxRateOnValue/12,0)</f>
        <v/>
      </c>
      <c r="AQ104" s="402">
        <f>IF(AND(39&gt;=MS_Initial_Closing_Start,39&lt;TaxOpStartMonth),(LandCost+AQ$103)*EffTaxRateOnValue/12,0)</f>
        <v/>
      </c>
      <c r="AR104" s="402">
        <f>IF(AND(40&gt;=MS_Initial_Closing_Start,40&lt;TaxOpStartMonth),(LandCost+AR$103)*EffTaxRateOnValue/12,0)</f>
        <v/>
      </c>
      <c r="AS104" s="402">
        <f>IF(AND(41&gt;=MS_Initial_Closing_Start,41&lt;TaxOpStartMonth),(LandCost+AS$103)*EffTaxRateOnValue/12,0)</f>
        <v/>
      </c>
      <c r="AT104" s="402">
        <f>IF(AND(42&gt;=MS_Initial_Closing_Start,42&lt;TaxOpStartMonth),(LandCost+AT$103)*EffTaxRateOnValue/12,0)</f>
        <v/>
      </c>
      <c r="AU104" s="402">
        <f>IF(AND(43&gt;=MS_Initial_Closing_Start,43&lt;TaxOpStartMonth),(LandCost+AU$103)*EffTaxRateOnValue/12,0)</f>
        <v/>
      </c>
      <c r="AV104" s="402">
        <f>IF(AND(44&gt;=MS_Initial_Closing_Start,44&lt;TaxOpStartMonth),(LandCost+AV$103)*EffTaxRateOnValue/12,0)</f>
        <v/>
      </c>
      <c r="AW104" s="402">
        <f>IF(AND(45&gt;=MS_Initial_Closing_Start,45&lt;TaxOpStartMonth),(LandCost+AW$103)*EffTaxRateOnValue/12,0)</f>
        <v/>
      </c>
      <c r="AX104" s="402">
        <f>IF(AND(46&gt;=MS_Initial_Closing_Start,46&lt;TaxOpStartMonth),(LandCost+AX$103)*EffTaxRateOnValue/12,0)</f>
        <v/>
      </c>
      <c r="AY104" s="402">
        <f>IF(AND(47&gt;=MS_Initial_Closing_Start,47&lt;TaxOpStartMonth),(LandCost+AY$103)*EffTaxRateOnValue/12,0)</f>
        <v/>
      </c>
      <c r="AZ104" s="402">
        <f>IF(AND(48&gt;=MS_Initial_Closing_Start,48&lt;TaxOpStartMonth),(LandCost+AZ$103)*EffTaxRateOnValue/12,0)</f>
        <v/>
      </c>
      <c r="BA104" s="402">
        <f>IF(AND(49&gt;=MS_Initial_Closing_Start,49&lt;TaxOpStartMonth),(LandCost+BA$103)*EffTaxRateOnValue/12,0)</f>
        <v/>
      </c>
      <c r="BB104" s="402">
        <f>IF(AND(50&gt;=MS_Initial_Closing_Start,50&lt;TaxOpStartMonth),(LandCost+BB$103)*EffTaxRateOnValue/12,0)</f>
        <v/>
      </c>
      <c r="BC104" s="402">
        <f>IF(AND(51&gt;=MS_Initial_Closing_Start,51&lt;TaxOpStartMonth),(LandCost+BC$103)*EffTaxRateOnValue/12,0)</f>
        <v/>
      </c>
      <c r="BD104" s="402">
        <f>IF(AND(52&gt;=MS_Initial_Closing_Start,52&lt;TaxOpStartMonth),(LandCost+BD$103)*EffTaxRateOnValue/12,0)</f>
        <v/>
      </c>
      <c r="BE104" s="402">
        <f>IF(AND(53&gt;=MS_Initial_Closing_Start,53&lt;TaxOpStartMonth),(LandCost+BE$103)*EffTaxRateOnValue/12,0)</f>
        <v/>
      </c>
      <c r="BF104" s="402">
        <f>IF(AND(54&gt;=MS_Initial_Closing_Start,54&lt;TaxOpStartMonth),(LandCost+BF$103)*EffTaxRateOnValue/12,0)</f>
        <v/>
      </c>
      <c r="BG104" s="402">
        <f>IF(AND(55&gt;=MS_Initial_Closing_Start,55&lt;TaxOpStartMonth),(LandCost+BG$103)*EffTaxRateOnValue/12,0)</f>
        <v/>
      </c>
      <c r="BH104" s="402">
        <f>IF(AND(56&gt;=MS_Initial_Closing_Start,56&lt;TaxOpStartMonth),(LandCost+BH$103)*EffTaxRateOnValue/12,0)</f>
        <v/>
      </c>
      <c r="BI104" s="402">
        <f>IF(AND(57&gt;=MS_Initial_Closing_Start,57&lt;TaxOpStartMonth),(LandCost+BI$103)*EffTaxRateOnValue/12,0)</f>
        <v/>
      </c>
      <c r="BJ104" s="402">
        <f>IF(AND(58&gt;=MS_Initial_Closing_Start,58&lt;TaxOpStartMonth),(LandCost+BJ$103)*EffTaxRateOnValue/12,0)</f>
        <v/>
      </c>
      <c r="BK104" s="402">
        <f>IF(AND(59&gt;=MS_Initial_Closing_Start,59&lt;TaxOpStartMonth),(LandCost+BK$103)*EffTaxRateOnValue/12,0)</f>
        <v/>
      </c>
      <c r="BL104" s="402">
        <f>IF(AND(60&gt;=MS_Initial_Closing_Start,60&lt;TaxOpStartMonth),(LandCost+BL$103)*EffTaxRateOnValue/12,0)</f>
        <v/>
      </c>
      <c r="BM104" s="402">
        <f>IF(AND(61&gt;=MS_Initial_Closing_Start,61&lt;TaxOpStartMonth),(LandCost+BM$103)*EffTaxRateOnValue/12,0)</f>
        <v/>
      </c>
      <c r="BN104" s="402">
        <f>IF(AND(62&gt;=MS_Initial_Closing_Start,62&lt;TaxOpStartMonth),(LandCost+BN$103)*EffTaxRateOnValue/12,0)</f>
        <v/>
      </c>
      <c r="BO104" s="402">
        <f>IF(AND(63&gt;=MS_Initial_Closing_Start,63&lt;TaxOpStartMonth),(LandCost+BO$103)*EffTaxRateOnValue/12,0)</f>
        <v/>
      </c>
      <c r="BP104" s="402">
        <f>IF(AND(64&gt;=MS_Initial_Closing_Start,64&lt;TaxOpStartMonth),(LandCost+BP$103)*EffTaxRateOnValue/12,0)</f>
        <v/>
      </c>
      <c r="BQ104" s="402">
        <f>IF(AND(65&gt;=MS_Initial_Closing_Start,65&lt;TaxOpStartMonth),(LandCost+BQ$103)*EffTaxRateOnValue/12,0)</f>
        <v/>
      </c>
      <c r="BR104" s="402">
        <f>IF(AND(66&gt;=MS_Initial_Closing_Start,66&lt;TaxOpStartMonth),(LandCost+BR$103)*EffTaxRateOnValue/12,0)</f>
        <v/>
      </c>
      <c r="BS104" s="402">
        <f>IF(AND(67&gt;=MS_Initial_Closing_Start,67&lt;TaxOpStartMonth),(LandCost+BS$103)*EffTaxRateOnValue/12,0)</f>
        <v/>
      </c>
      <c r="BT104" s="402">
        <f>IF(AND(68&gt;=MS_Initial_Closing_Start,68&lt;TaxOpStartMonth),(LandCost+BT$103)*EffTaxRateOnValue/12,0)</f>
        <v/>
      </c>
      <c r="BU104" s="402">
        <f>IF(AND(69&gt;=MS_Initial_Closing_Start,69&lt;TaxOpStartMonth),(LandCost+BU$103)*EffTaxRateOnValue/12,0)</f>
        <v/>
      </c>
      <c r="BV104" s="402">
        <f>IF(AND(70&gt;=MS_Initial_Closing_Start,70&lt;TaxOpStartMonth),(LandCost+BV$103)*EffTaxRateOnValue/12,0)</f>
        <v/>
      </c>
      <c r="BW104" s="402">
        <f>IF(AND(71&gt;=MS_Initial_Closing_Start,71&lt;TaxOpStartMonth),(LandCost+BW$103)*EffTaxRateOnValue/12,0)</f>
        <v/>
      </c>
      <c r="BX104" s="402">
        <f>IF(AND(72&gt;=MS_Initial_Closing_Start,72&lt;TaxOpStartMonth),(LandCost+BX$103)*EffTaxRateOnValue/12,0)</f>
        <v/>
      </c>
      <c r="BY104" s="402">
        <f>IF(AND(73&gt;=MS_Initial_Closing_Start,73&lt;TaxOpStartMonth),(LandCost+BY$103)*EffTaxRateOnValue/12,0)</f>
        <v/>
      </c>
      <c r="BZ104" s="402">
        <f>IF(AND(74&gt;=MS_Initial_Closing_Start,74&lt;TaxOpStartMonth),(LandCost+BZ$103)*EffTaxRateOnValue/12,0)</f>
        <v/>
      </c>
      <c r="CA104" s="402">
        <f>IF(AND(75&gt;=MS_Initial_Closing_Start,75&lt;TaxOpStartMonth),(LandCost+CA$103)*EffTaxRateOnValue/12,0)</f>
        <v/>
      </c>
      <c r="CB104" s="402">
        <f>IF(AND(76&gt;=MS_Initial_Closing_Start,76&lt;TaxOpStartMonth),(LandCost+CB$103)*EffTaxRateOnValue/12,0)</f>
        <v/>
      </c>
      <c r="CC104" s="402">
        <f>IF(AND(77&gt;=MS_Initial_Closing_Start,77&lt;TaxOpStartMonth),(LandCost+CC$103)*EffTaxRateOnValue/12,0)</f>
        <v/>
      </c>
      <c r="CD104" s="402">
        <f>IF(AND(78&gt;=MS_Initial_Closing_Start,78&lt;TaxOpStartMonth),(LandCost+CD$103)*EffTaxRateOnValue/12,0)</f>
        <v/>
      </c>
      <c r="CE104" s="402">
        <f>IF(AND(79&gt;=MS_Initial_Closing_Start,79&lt;TaxOpStartMonth),(LandCost+CE$103)*EffTaxRateOnValue/12,0)</f>
        <v/>
      </c>
      <c r="CF104" s="402">
        <f>IF(AND(80&gt;=MS_Initial_Closing_Start,80&lt;TaxOpStartMonth),(LandCost+CF$103)*EffTaxRateOnValue/12,0)</f>
        <v/>
      </c>
      <c r="CG104" s="402">
        <f>IF(AND(81&gt;=MS_Initial_Closing_Start,81&lt;TaxOpStartMonth),(LandCost+CG$103)*EffTaxRateOnValue/12,0)</f>
        <v/>
      </c>
      <c r="CH104" s="402">
        <f>IF(AND(82&gt;=MS_Initial_Closing_Start,82&lt;TaxOpStartMonth),(LandCost+CH$103)*EffTaxRateOnValue/12,0)</f>
        <v/>
      </c>
      <c r="CI104" s="402">
        <f>IF(AND(83&gt;=MS_Initial_Closing_Start,83&lt;TaxOpStartMonth),(LandCost+CI$103)*EffTaxRateOnValue/12,0)</f>
        <v/>
      </c>
      <c r="CJ104" s="402">
        <f>IF(AND(84&gt;=MS_Initial_Closing_Start,84&lt;TaxOpStartMonth),(LandCost+CJ$103)*EffTaxRateOnValue/12,0)</f>
        <v/>
      </c>
      <c r="CK104" s="402">
        <f>IF(AND(85&gt;=MS_Initial_Closing_Start,85&lt;TaxOpStartMonth),(LandCost+CK$103)*EffTaxRateOnValue/12,0)</f>
        <v/>
      </c>
      <c r="CL104" s="402">
        <f>IF(AND(86&gt;=MS_Initial_Closing_Start,86&lt;TaxOpStartMonth),(LandCost+CL$103)*EffTaxRateOnValue/12,0)</f>
        <v/>
      </c>
      <c r="CM104" s="402">
        <f>IF(AND(87&gt;=MS_Initial_Closing_Start,87&lt;TaxOpStartMonth),(LandCost+CM$103)*EffTaxRateOnValue/12,0)</f>
        <v/>
      </c>
      <c r="CN104" s="402">
        <f>IF(AND(88&gt;=MS_Initial_Closing_Start,88&lt;TaxOpStartMonth),(LandCost+CN$103)*EffTaxRateOnValue/12,0)</f>
        <v/>
      </c>
      <c r="CO104" s="402">
        <f>IF(AND(89&gt;=MS_Initial_Closing_Start,89&lt;TaxOpStartMonth),(LandCost+CO$103)*EffTaxRateOnValue/12,0)</f>
        <v/>
      </c>
      <c r="CP104" s="402">
        <f>IF(AND(90&gt;=MS_Initial_Closing_Start,90&lt;TaxOpStartMonth),(LandCost+CP$103)*EffTaxRateOnValue/12,0)</f>
        <v/>
      </c>
      <c r="CQ104" s="402">
        <f>IF(AND(91&gt;=MS_Initial_Closing_Start,91&lt;TaxOpStartMonth),(LandCost+CQ$103)*EffTaxRateOnValue/12,0)</f>
        <v/>
      </c>
      <c r="CR104" s="402">
        <f>IF(AND(92&gt;=MS_Initial_Closing_Start,92&lt;TaxOpStartMonth),(LandCost+CR$103)*EffTaxRateOnValue/12,0)</f>
        <v/>
      </c>
      <c r="CS104" s="402">
        <f>IF(AND(93&gt;=MS_Initial_Closing_Start,93&lt;TaxOpStartMonth),(LandCost+CS$103)*EffTaxRateOnValue/12,0)</f>
        <v/>
      </c>
      <c r="CT104" s="402">
        <f>IF(AND(94&gt;=MS_Initial_Closing_Start,94&lt;TaxOpStartMonth),(LandCost+CT$103)*EffTaxRateOnValue/12,0)</f>
        <v/>
      </c>
      <c r="CU104" s="402">
        <f>IF(AND(95&gt;=MS_Initial_Closing_Start,95&lt;TaxOpStartMonth),(LandCost+CU$103)*EffTaxRateOnValue/12,0)</f>
        <v/>
      </c>
      <c r="CV104" s="402">
        <f>IF(AND(96&gt;=MS_Initial_Closing_Start,96&lt;TaxOpStartMonth),(LandCost+CV$103)*EffTaxRateOnValue/12,0)</f>
        <v/>
      </c>
      <c r="CW104" s="402">
        <f>IF(AND(97&gt;=MS_Initial_Closing_Start,97&lt;TaxOpStartMonth),(LandCost+CW$103)*EffTaxRateOnValue/12,0)</f>
        <v/>
      </c>
      <c r="CX104" s="402">
        <f>IF(AND(98&gt;=MS_Initial_Closing_Start,98&lt;TaxOpStartMonth),(LandCost+CX$103)*EffTaxRateOnValue/12,0)</f>
        <v/>
      </c>
      <c r="CY104" s="402">
        <f>IF(AND(99&gt;=MS_Initial_Closing_Start,99&lt;TaxOpStartMonth),(LandCost+CY$103)*EffTaxRateOnValue/12,0)</f>
        <v/>
      </c>
      <c r="CZ104" s="402">
        <f>IF(AND(100&gt;=MS_Initial_Closing_Start,100&lt;TaxOpStartMonth),(LandCost+CZ$103)*EffTaxRateOnValue/12,0)</f>
        <v/>
      </c>
      <c r="DA104" s="402">
        <f>IF(AND(101&gt;=MS_Initial_Closing_Start,101&lt;TaxOpStartMonth),(LandCost+DA$103)*EffTaxRateOnValue/12,0)</f>
        <v/>
      </c>
      <c r="DB104" s="402">
        <f>IF(AND(102&gt;=MS_Initial_Closing_Start,102&lt;TaxOpStartMonth),(LandCost+DB$103)*EffTaxRateOnValue/12,0)</f>
        <v/>
      </c>
      <c r="DC104" s="402">
        <f>IF(AND(103&gt;=MS_Initial_Closing_Start,103&lt;TaxOpStartMonth),(LandCost+DC$103)*EffTaxRateOnValue/12,0)</f>
        <v/>
      </c>
      <c r="DD104" s="402">
        <f>IF(AND(104&gt;=MS_Initial_Closing_Start,104&lt;TaxOpStartMonth),(LandCost+DD$103)*EffTaxRateOnValue/12,0)</f>
        <v/>
      </c>
      <c r="DE104" s="402">
        <f>IF(AND(105&gt;=MS_Initial_Closing_Start,105&lt;TaxOpStartMonth),(LandCost+DE$103)*EffTaxRateOnValue/12,0)</f>
        <v/>
      </c>
      <c r="DF104" s="402">
        <f>IF(AND(106&gt;=MS_Initial_Closing_Start,106&lt;TaxOpStartMonth),(LandCost+DF$103)*EffTaxRateOnValue/12,0)</f>
        <v/>
      </c>
      <c r="DG104" s="402">
        <f>IF(AND(107&gt;=MS_Initial_Closing_Start,107&lt;TaxOpStartMonth),(LandCost+DG$103)*EffTaxRateOnValue/12,0)</f>
        <v/>
      </c>
      <c r="DH104" s="402">
        <f>IF(AND(108&gt;=MS_Initial_Closing_Start,108&lt;TaxOpStartMonth),(LandCost+DH$103)*EffTaxRateOnValue/12,0)</f>
        <v/>
      </c>
      <c r="DI104" s="402">
        <f>IF(AND(109&gt;=MS_Initial_Closing_Start,109&lt;TaxOpStartMonth),(LandCost+DI$103)*EffTaxRateOnValue/12,0)</f>
        <v/>
      </c>
      <c r="DJ104" s="402">
        <f>IF(AND(110&gt;=MS_Initial_Closing_Start,110&lt;TaxOpStartMonth),(LandCost+DJ$103)*EffTaxRateOnValue/12,0)</f>
        <v/>
      </c>
      <c r="DK104" s="402">
        <f>IF(AND(111&gt;=MS_Initial_Closing_Start,111&lt;TaxOpStartMonth),(LandCost+DK$103)*EffTaxRateOnValue/12,0)</f>
        <v/>
      </c>
      <c r="DL104" s="402">
        <f>IF(AND(112&gt;=MS_Initial_Closing_Start,112&lt;TaxOpStartMonth),(LandCost+DL$103)*EffTaxRateOnValue/12,0)</f>
        <v/>
      </c>
      <c r="DM104" s="402">
        <f>IF(AND(113&gt;=MS_Initial_Closing_Start,113&lt;TaxOpStartMonth),(LandCost+DM$103)*EffTaxRateOnValue/12,0)</f>
        <v/>
      </c>
      <c r="DN104" s="402">
        <f>IF(AND(114&gt;=MS_Initial_Closing_Start,114&lt;TaxOpStartMonth),(LandCost+DN$103)*EffTaxRateOnValue/12,0)</f>
        <v/>
      </c>
      <c r="DO104" s="402">
        <f>IF(AND(115&gt;=MS_Initial_Closing_Start,115&lt;TaxOpStartMonth),(LandCost+DO$103)*EffTaxRateOnValue/12,0)</f>
        <v/>
      </c>
      <c r="DP104" s="402">
        <f>IF(AND(116&gt;=MS_Initial_Closing_Start,116&lt;TaxOpStartMonth),(LandCost+DP$103)*EffTaxRateOnValue/12,0)</f>
        <v/>
      </c>
      <c r="DQ104" s="402">
        <f>IF(AND(117&gt;=MS_Initial_Closing_Start,117&lt;TaxOpStartMonth),(LandCost+DQ$103)*EffTaxRateOnValue/12,0)</f>
        <v/>
      </c>
      <c r="DR104" s="402">
        <f>IF(AND(118&gt;=MS_Initial_Closing_Start,118&lt;TaxOpStartMonth),(LandCost+DR$103)*EffTaxRateOnValue/12,0)</f>
        <v/>
      </c>
      <c r="DS104" s="402">
        <f>IF(AND(119&gt;=MS_Initial_Closing_Start,119&lt;TaxOpStartMonth),(LandCost+DS$103)*EffTaxRateOnValue/12,0)</f>
        <v/>
      </c>
      <c r="DT104" s="402">
        <f>IF(AND(120&gt;=MS_Initial_Closing_Start,120&lt;TaxOpStartMonth),(LandCost+DT$103)*EffTaxRateOnValue/12,0)</f>
        <v/>
      </c>
      <c r="DU104" s="402">
        <f>IF(AND(121&gt;=MS_Initial_Closing_Start,121&lt;TaxOpStartMonth),(LandCost+DU$103)*EffTaxRateOnValue/12,0)</f>
        <v/>
      </c>
      <c r="DV104" s="402">
        <f>IF(AND(122&gt;=MS_Initial_Closing_Start,122&lt;TaxOpStartMonth),(LandCost+DV$103)*EffTaxRateOnValue/12,0)</f>
        <v/>
      </c>
      <c r="DW104" s="402">
        <f>IF(AND(123&gt;=MS_Initial_Closing_Start,123&lt;TaxOpStartMonth),(LandCost+DW$103)*EffTaxRateOnValue/12,0)</f>
        <v/>
      </c>
      <c r="DX104" s="402">
        <f>IF(AND(124&gt;=MS_Initial_Closing_Start,124&lt;TaxOpStartMonth),(LandCost+DX$103)*EffTaxRateOnValue/12,0)</f>
        <v/>
      </c>
      <c r="DY104" s="402">
        <f>IF(AND(125&gt;=MS_Initial_Closing_Start,125&lt;TaxOpStartMonth),(LandCost+DY$103)*EffTaxRateOnValue/12,0)</f>
        <v/>
      </c>
      <c r="DZ104" s="402">
        <f>IF(AND(126&gt;=MS_Initial_Closing_Start,126&lt;TaxOpStartMonth),(LandCost+DZ$103)*EffTaxRateOnValue/12,0)</f>
        <v/>
      </c>
      <c r="EA104" s="402">
        <f>IF(AND(127&gt;=MS_Initial_Closing_Start,127&lt;TaxOpStartMonth),(LandCost+EA$103)*EffTaxRateOnValue/12,0)</f>
        <v/>
      </c>
      <c r="EB104" s="402">
        <f>IF(AND(128&gt;=MS_Initial_Closing_Start,128&lt;TaxOpStartMonth),(LandCost+EB$103)*EffTaxRateOnValue/12,0)</f>
        <v/>
      </c>
      <c r="EC104" s="402">
        <f>IF(AND(129&gt;=MS_Initial_Closing_Start,129&lt;TaxOpStartMonth),(LandCost+EC$103)*EffTaxRateOnValue/12,0)</f>
        <v/>
      </c>
      <c r="ED104" s="402">
        <f>IF(AND(130&gt;=MS_Initial_Closing_Start,130&lt;TaxOpStartMonth),(LandCost+ED$103)*EffTaxRateOnValue/12,0)</f>
        <v/>
      </c>
      <c r="EE104" s="402">
        <f>IF(AND(131&gt;=MS_Initial_Closing_Start,131&lt;TaxOpStartMonth),(LandCost+EE$103)*EffTaxRateOnValue/12,0)</f>
        <v/>
      </c>
      <c r="EF104" s="402">
        <f>IF(AND(132&gt;=MS_Initial_Closing_Start,132&lt;TaxOpStartMonth),(LandCost+EF$103)*EffTaxRateOnValue/12,0)</f>
        <v/>
      </c>
      <c r="EG104" s="402">
        <f>IF(AND(133&gt;=MS_Initial_Closing_Start,133&lt;TaxOpStartMonth),(LandCost+EG$103)*EffTaxRateOnValue/12,0)</f>
        <v/>
      </c>
      <c r="EH104" s="402">
        <f>IF(AND(134&gt;=MS_Initial_Closing_Start,134&lt;TaxOpStartMonth),(LandCost+EH$103)*EffTaxRateOnValue/12,0)</f>
        <v/>
      </c>
      <c r="EI104" s="402">
        <f>IF(AND(135&gt;=MS_Initial_Closing_Start,135&lt;TaxOpStartMonth),(LandCost+EI$103)*EffTaxRateOnValue/12,0)</f>
        <v/>
      </c>
      <c r="EJ104" s="402">
        <f>IF(AND(136&gt;=MS_Initial_Closing_Start,136&lt;TaxOpStartMonth),(LandCost+EJ$103)*EffTaxRateOnValue/12,0)</f>
        <v/>
      </c>
      <c r="EK104" s="402">
        <f>IF(AND(137&gt;=MS_Initial_Closing_Start,137&lt;TaxOpStartMonth),(LandCost+EK$103)*EffTaxRateOnValue/12,0)</f>
        <v/>
      </c>
      <c r="EL104" s="402">
        <f>IF(AND(138&gt;=MS_Initial_Closing_Start,138&lt;TaxOpStartMonth),(LandCost+EL$103)*EffTaxRateOnValue/12,0)</f>
        <v/>
      </c>
      <c r="EM104" s="402">
        <f>IF(AND(139&gt;=MS_Initial_Closing_Start,139&lt;TaxOpStartMonth),(LandCost+EM$103)*EffTaxRateOnValue/12,0)</f>
        <v/>
      </c>
      <c r="EN104" s="402">
        <f>IF(AND(140&gt;=MS_Initial_Closing_Start,140&lt;TaxOpStartMonth),(LandCost+EN$103)*EffTaxRateOnValue/12,0)</f>
        <v/>
      </c>
      <c r="EO104" s="402">
        <f>IF(AND(141&gt;=MS_Initial_Closing_Start,141&lt;TaxOpStartMonth),(LandCost+EO$103)*EffTaxRateOnValue/12,0)</f>
        <v/>
      </c>
      <c r="EP104" s="402">
        <f>IF(AND(142&gt;=MS_Initial_Closing_Start,142&lt;TaxOpStartMonth),(LandCost+EP$103)*EffTaxRateOnValue/12,0)</f>
        <v/>
      </c>
      <c r="EQ104" s="402">
        <f>IF(AND(143&gt;=MS_Initial_Closing_Start,143&lt;TaxOpStartMonth),(LandCost+EQ$103)*EffTaxRateOnValue/12,0)</f>
        <v/>
      </c>
      <c r="ER104" s="402">
        <f>IF(AND(144&gt;=MS_Initial_Closing_Start,144&lt;TaxOpStartMonth),(LandCost+ER$103)*EffTaxRateOnValue/12,0)</f>
        <v/>
      </c>
      <c r="ES104" s="402">
        <f>IF(AND(145&gt;=MS_Initial_Closing_Start,145&lt;TaxOpStartMonth),(LandCost+ES$103)*EffTaxRateOnValue/12,0)</f>
        <v/>
      </c>
      <c r="ET104" s="402">
        <f>IF(AND(146&gt;=MS_Initial_Closing_Start,146&lt;TaxOpStartMonth),(LandCost+ET$103)*EffTaxRateOnValue/12,0)</f>
        <v/>
      </c>
      <c r="EU104" s="402">
        <f>IF(AND(147&gt;=MS_Initial_Closing_Start,147&lt;TaxOpStartMonth),(LandCost+EU$103)*EffTaxRateOnValue/12,0)</f>
        <v/>
      </c>
      <c r="EV104" s="402">
        <f>IF(AND(148&gt;=MS_Initial_Closing_Start,148&lt;TaxOpStartMonth),(LandCost+EV$103)*EffTaxRateOnValue/12,0)</f>
        <v/>
      </c>
      <c r="EW104" s="402">
        <f>IF(AND(149&gt;=MS_Initial_Closing_Start,149&lt;TaxOpStartMonth),(LandCost+EW$103)*EffTaxRateOnValue/12,0)</f>
        <v/>
      </c>
      <c r="EX104" s="402">
        <f>IF(AND(150&gt;=MS_Initial_Closing_Start,150&lt;TaxOpStartMonth),(LandCost+EX$103)*EffTaxRateOnValue/12,0)</f>
        <v/>
      </c>
      <c r="EY104" s="402">
        <f>IF(AND(151&gt;=MS_Initial_Closing_Start,151&lt;TaxOpStartMonth),(LandCost+EY$103)*EffTaxRateOnValue/12,0)</f>
        <v/>
      </c>
      <c r="EZ104" s="402">
        <f>IF(AND(152&gt;=MS_Initial_Closing_Start,152&lt;TaxOpStartMonth),(LandCost+EZ$103)*EffTaxRateOnValue/12,0)</f>
        <v/>
      </c>
      <c r="FA104" s="402">
        <f>IF(AND(153&gt;=MS_Initial_Closing_Start,153&lt;TaxOpStartMonth),(LandCost+FA$103)*EffTaxRateOnValue/12,0)</f>
        <v/>
      </c>
      <c r="FB104" s="402">
        <f>IF(AND(154&gt;=MS_Initial_Closing_Start,154&lt;TaxOpStartMonth),(LandCost+FB$103)*EffTaxRateOnValue/12,0)</f>
        <v/>
      </c>
      <c r="FC104" s="402">
        <f>IF(AND(155&gt;=MS_Initial_Closing_Start,155&lt;TaxOpStartMonth),(LandCost+FC$103)*EffTaxRateOnValue/12,0)</f>
        <v/>
      </c>
      <c r="FD104" s="402">
        <f>IF(AND(156&gt;=MS_Initial_Closing_Start,156&lt;TaxOpStartMonth),(LandCost+FD$103)*EffTaxRateOnValue/12,0)</f>
        <v/>
      </c>
      <c r="FE104" s="402">
        <f>IF(AND(157&gt;=MS_Initial_Closing_Start,157&lt;TaxOpStartMonth),(LandCost+FE$103)*EffTaxRateOnValue/12,0)</f>
        <v/>
      </c>
      <c r="FF104" s="402">
        <f>IF(AND(158&gt;=MS_Initial_Closing_Start,158&lt;TaxOpStartMonth),(LandCost+FF$103)*EffTaxRateOnValue/12,0)</f>
        <v/>
      </c>
      <c r="FG104" s="402">
        <f>IF(AND(159&gt;=MS_Initial_Closing_Start,159&lt;TaxOpStartMonth),(LandCost+FG$103)*EffTaxRateOnValue/12,0)</f>
        <v/>
      </c>
      <c r="FH104" s="402">
        <f>IF(AND(160&gt;=MS_Initial_Closing_Start,160&lt;TaxOpStartMonth),(LandCost+FH$103)*EffTaxRateOnValue/12,0)</f>
        <v/>
      </c>
      <c r="FI104" s="402">
        <f>IF(AND(161&gt;=MS_Initial_Closing_Start,161&lt;TaxOpStartMonth),(LandCost+FI$103)*EffTaxRateOnValue/12,0)</f>
        <v/>
      </c>
      <c r="FJ104" s="402">
        <f>IF(AND(162&gt;=MS_Initial_Closing_Start,162&lt;TaxOpStartMonth),(LandCost+FJ$103)*EffTaxRateOnValue/12,0)</f>
        <v/>
      </c>
      <c r="FK104" s="402">
        <f>IF(AND(163&gt;=MS_Initial_Closing_Start,163&lt;TaxOpStartMonth),(LandCost+FK$103)*EffTaxRateOnValue/12,0)</f>
        <v/>
      </c>
      <c r="FL104" s="402">
        <f>IF(AND(164&gt;=MS_Initial_Closing_Start,164&lt;TaxOpStartMonth),(LandCost+FL$103)*EffTaxRateOnValue/12,0)</f>
        <v/>
      </c>
      <c r="FM104" s="402">
        <f>IF(AND(165&gt;=MS_Initial_Closing_Start,165&lt;TaxOpStartMonth),(LandCost+FM$103)*EffTaxRateOnValue/12,0)</f>
        <v/>
      </c>
      <c r="FN104" s="402">
        <f>IF(AND(166&gt;=MS_Initial_Closing_Start,166&lt;TaxOpStartMonth),(LandCost+FN$103)*EffTaxRateOnValue/12,0)</f>
        <v/>
      </c>
      <c r="FO104" s="402">
        <f>IF(AND(167&gt;=MS_Initial_Closing_Start,167&lt;TaxOpStartMonth),(LandCost+FO$103)*EffTaxRateOnValue/12,0)</f>
        <v/>
      </c>
      <c r="FP104" s="402">
        <f>IF(AND(168&gt;=MS_Initial_Closing_Start,168&lt;TaxOpStartMonth),(LandCost+FP$103)*EffTaxRateOnValue/12,0)</f>
        <v/>
      </c>
      <c r="FQ104" s="402">
        <f>IF(AND(169&gt;=MS_Initial_Closing_Start,169&lt;TaxOpStartMonth),(LandCost+FQ$103)*EffTaxRateOnValue/12,0)</f>
        <v/>
      </c>
      <c r="FR104" s="402">
        <f>IF(AND(170&gt;=MS_Initial_Closing_Start,170&lt;TaxOpStartMonth),(LandCost+FR$103)*EffTaxRateOnValue/12,0)</f>
        <v/>
      </c>
      <c r="FS104" s="402">
        <f>IF(AND(171&gt;=MS_Initial_Closing_Start,171&lt;TaxOpStartMonth),(LandCost+FS$103)*EffTaxRateOnValue/12,0)</f>
        <v/>
      </c>
      <c r="FT104" s="402">
        <f>IF(AND(172&gt;=MS_Initial_Closing_Start,172&lt;TaxOpStartMonth),(LandCost+FT$103)*EffTaxRateOnValue/12,0)</f>
        <v/>
      </c>
      <c r="FU104" s="402">
        <f>IF(AND(173&gt;=MS_Initial_Closing_Start,173&lt;TaxOpStartMonth),(LandCost+FU$103)*EffTaxRateOnValue/12,0)</f>
        <v/>
      </c>
      <c r="FV104" s="402">
        <f>IF(AND(174&gt;=MS_Initial_Closing_Start,174&lt;TaxOpStartMonth),(LandCost+FV$103)*EffTaxRateOnValue/12,0)</f>
        <v/>
      </c>
      <c r="FW104" s="402">
        <f>IF(AND(175&gt;=MS_Initial_Closing_Start,175&lt;TaxOpStartMonth),(LandCost+FW$103)*EffTaxRateOnValue/12,0)</f>
        <v/>
      </c>
      <c r="FX104" s="402">
        <f>IF(AND(176&gt;=MS_Initial_Closing_Start,176&lt;TaxOpStartMonth),(LandCost+FX$103)*EffTaxRateOnValue/12,0)</f>
        <v/>
      </c>
      <c r="FY104" s="402">
        <f>IF(AND(177&gt;=MS_Initial_Closing_Start,177&lt;TaxOpStartMonth),(LandCost+FY$103)*EffTaxRateOnValue/12,0)</f>
        <v/>
      </c>
      <c r="FZ104" s="402">
        <f>IF(AND(178&gt;=MS_Initial_Closing_Start,178&lt;TaxOpStartMonth),(LandCost+FZ$103)*EffTaxRateOnValue/12,0)</f>
        <v/>
      </c>
      <c r="GA104" s="402">
        <f>IF(AND(179&gt;=MS_Initial_Closing_Start,179&lt;TaxOpStartMonth),(LandCost+GA$103)*EffTaxRateOnValue/12,0)</f>
        <v/>
      </c>
      <c r="GB104" s="402">
        <f>IF(AND(180&gt;=MS_Initial_Closing_Start,180&lt;TaxOpStartMonth),(LandCost+GB$103)*EffTaxRateOnValue/12,0)</f>
        <v/>
      </c>
      <c r="GC104" s="402">
        <f>IF(AND(181&gt;=MS_Initial_Closing_Start,181&lt;TaxOpStartMonth),(LandCost+GC$103)*EffTaxRateOnValue/12,0)</f>
        <v/>
      </c>
      <c r="GD104" s="402">
        <f>IF(AND(182&gt;=MS_Initial_Closing_Start,182&lt;TaxOpStartMonth),(LandCost+GD$103)*EffTaxRateOnValue/12,0)</f>
        <v/>
      </c>
      <c r="GE104" s="402">
        <f>IF(AND(183&gt;=MS_Initial_Closing_Start,183&lt;TaxOpStartMonth),(LandCost+GE$103)*EffTaxRateOnValue/12,0)</f>
        <v/>
      </c>
      <c r="GF104" s="402">
        <f>IF(AND(184&gt;=MS_Initial_Closing_Start,184&lt;TaxOpStartMonth),(LandCost+GF$103)*EffTaxRateOnValue/12,0)</f>
        <v/>
      </c>
      <c r="GG104" s="402">
        <f>IF(AND(185&gt;=MS_Initial_Closing_Start,185&lt;TaxOpStartMonth),(LandCost+GG$103)*EffTaxRateOnValue/12,0)</f>
        <v/>
      </c>
      <c r="GH104" s="402">
        <f>IF(AND(186&gt;=MS_Initial_Closing_Start,186&lt;TaxOpStartMonth),(LandCost+GH$103)*EffTaxRateOnValue/12,0)</f>
        <v/>
      </c>
      <c r="GI104" s="402">
        <f>IF(AND(187&gt;=MS_Initial_Closing_Start,187&lt;TaxOpStartMonth),(LandCost+GI$103)*EffTaxRateOnValue/12,0)</f>
        <v/>
      </c>
      <c r="GJ104" s="402">
        <f>IF(AND(188&gt;=MS_Initial_Closing_Start,188&lt;TaxOpStartMonth),(LandCost+GJ$103)*EffTaxRateOnValue/12,0)</f>
        <v/>
      </c>
      <c r="GK104" s="402">
        <f>IF(AND(189&gt;=MS_Initial_Closing_Start,189&lt;TaxOpStartMonth),(LandCost+GK$103)*EffTaxRateOnValue/12,0)</f>
        <v/>
      </c>
      <c r="GL104" s="402">
        <f>IF(AND(190&gt;=MS_Initial_Closing_Start,190&lt;TaxOpStartMonth),(LandCost+GL$103)*EffTaxRateOnValue/12,0)</f>
        <v/>
      </c>
      <c r="GM104" s="402">
        <f>IF(AND(191&gt;=MS_Initial_Closing_Start,191&lt;TaxOpStartMonth),(LandCost+GM$103)*EffTaxRateOnValue/12,0)</f>
        <v/>
      </c>
      <c r="GN104" s="402">
        <f>IF(AND(192&gt;=MS_Initial_Closing_Start,192&lt;TaxOpStartMonth),(LandCost+GN$103)*EffTaxRateOnValue/12,0)</f>
        <v/>
      </c>
      <c r="GO104" s="402">
        <f>IF(AND(193&gt;=MS_Initial_Closing_Start,193&lt;TaxOpStartMonth),(LandCost+GO$103)*EffTaxRateOnValue/12,0)</f>
        <v/>
      </c>
      <c r="GP104" s="402">
        <f>IF(AND(194&gt;=MS_Initial_Closing_Start,194&lt;TaxOpStartMonth),(LandCost+GP$103)*EffTaxRateOnValue/12,0)</f>
        <v/>
      </c>
      <c r="GQ104" s="402">
        <f>IF(AND(195&gt;=MS_Initial_Closing_Start,195&lt;TaxOpStartMonth),(LandCost+GQ$103)*EffTaxRateOnValue/12,0)</f>
        <v/>
      </c>
      <c r="GR104" s="402">
        <f>IF(AND(196&gt;=MS_Initial_Closing_Start,196&lt;TaxOpStartMonth),(LandCost+GR$103)*EffTaxRateOnValue/12,0)</f>
        <v/>
      </c>
      <c r="GS104" s="402">
        <f>IF(AND(197&gt;=MS_Initial_Closing_Start,197&lt;TaxOpStartMonth),(LandCost+GS$103)*EffTaxRateOnValue/12,0)</f>
        <v/>
      </c>
      <c r="GT104" s="402">
        <f>IF(AND(198&gt;=MS_Initial_Closing_Start,198&lt;TaxOpStartMonth),(LandCost+GT$103)*EffTaxRateOnValue/12,0)</f>
        <v/>
      </c>
      <c r="GU104" s="402">
        <f>IF(AND(199&gt;=MS_Initial_Closing_Start,199&lt;TaxOpStartMonth),(LandCost+GU$103)*EffTaxRateOnValue/12,0)</f>
        <v/>
      </c>
      <c r="GV104" s="402">
        <f>IF(AND(200&gt;=MS_Initial_Closing_Start,200&lt;TaxOpStartMonth),(LandCost+GV$103)*EffTaxRateOnValue/12,0)</f>
        <v/>
      </c>
      <c r="GW104" s="402">
        <f>IF(AND(201&gt;=MS_Initial_Closing_Start,201&lt;TaxOpStartMonth),(LandCost+GW$103)*EffTaxRateOnValue/12,0)</f>
        <v/>
      </c>
      <c r="GX104" s="402">
        <f>IF(AND(202&gt;=MS_Initial_Closing_Start,202&lt;TaxOpStartMonth),(LandCost+GX$103)*EffTaxRateOnValue/12,0)</f>
        <v/>
      </c>
      <c r="GY104" s="402">
        <f>IF(AND(203&gt;=MS_Initial_Closing_Start,203&lt;TaxOpStartMonth),(LandCost+GY$103)*EffTaxRateOnValue/12,0)</f>
        <v/>
      </c>
      <c r="GZ104" s="402">
        <f>IF(AND(204&gt;=MS_Initial_Closing_Start,204&lt;TaxOpStartMonth),(LandCost+GZ$103)*EffTaxRateOnValue/12,0)</f>
        <v/>
      </c>
      <c r="HA104" s="402">
        <f>IF(AND(205&gt;=MS_Initial_Closing_Start,205&lt;TaxOpStartMonth),(LandCost+HA$103)*EffTaxRateOnValue/12,0)</f>
        <v/>
      </c>
      <c r="HB104" s="402">
        <f>IF(AND(206&gt;=MS_Initial_Closing_Start,206&lt;TaxOpStartMonth),(LandCost+HB$103)*EffTaxRateOnValue/12,0)</f>
        <v/>
      </c>
      <c r="HC104" s="402">
        <f>IF(AND(207&gt;=MS_Initial_Closing_Start,207&lt;TaxOpStartMonth),(LandCost+HC$103)*EffTaxRateOnValue/12,0)</f>
        <v/>
      </c>
      <c r="HD104" s="402">
        <f>IF(AND(208&gt;=MS_Initial_Closing_Start,208&lt;TaxOpStartMonth),(LandCost+HD$103)*EffTaxRateOnValue/12,0)</f>
        <v/>
      </c>
      <c r="HE104" s="402">
        <f>IF(AND(209&gt;=MS_Initial_Closing_Start,209&lt;TaxOpStartMonth),(LandCost+HE$103)*EffTaxRateOnValue/12,0)</f>
        <v/>
      </c>
      <c r="HF104" s="402">
        <f>IF(AND(210&gt;=MS_Initial_Closing_Start,210&lt;TaxOpStartMonth),(LandCost+HF$103)*EffTaxRateOnValue/12,0)</f>
        <v/>
      </c>
      <c r="HG104" s="402">
        <f>IF(AND(211&gt;=MS_Initial_Closing_Start,211&lt;TaxOpStartMonth),(LandCost+HG$103)*EffTaxRateOnValue/12,0)</f>
        <v/>
      </c>
      <c r="HH104" s="402">
        <f>IF(AND(212&gt;=MS_Initial_Closing_Start,212&lt;TaxOpStartMonth),(LandCost+HH$103)*EffTaxRateOnValue/12,0)</f>
        <v/>
      </c>
      <c r="HI104" s="402">
        <f>IF(AND(213&gt;=MS_Initial_Closing_Start,213&lt;TaxOpStartMonth),(LandCost+HI$103)*EffTaxRateOnValue/12,0)</f>
        <v/>
      </c>
      <c r="HJ104" s="402">
        <f>IF(AND(214&gt;=MS_Initial_Closing_Start,214&lt;TaxOpStartMonth),(LandCost+HJ$103)*EffTaxRateOnValue/12,0)</f>
        <v/>
      </c>
      <c r="HK104" s="402">
        <f>IF(AND(215&gt;=MS_Initial_Closing_Start,215&lt;TaxOpStartMonth),(LandCost+HK$103)*EffTaxRateOnValue/12,0)</f>
        <v/>
      </c>
      <c r="HL104" s="402">
        <f>IF(AND(216&gt;=MS_Initial_Closing_Start,216&lt;TaxOpStartMonth),(LandCost+HL$103)*EffTaxRateOnValue/12,0)</f>
        <v/>
      </c>
      <c r="HM104" s="402">
        <f>IF(AND(217&gt;=MS_Initial_Closing_Start,217&lt;TaxOpStartMonth),(LandCost+HM$103)*EffTaxRateOnValue/12,0)</f>
        <v/>
      </c>
      <c r="HN104" s="402">
        <f>IF(AND(218&gt;=MS_Initial_Closing_Start,218&lt;TaxOpStartMonth),(LandCost+HN$103)*EffTaxRateOnValue/12,0)</f>
        <v/>
      </c>
      <c r="HO104" s="402">
        <f>IF(AND(219&gt;=MS_Initial_Closing_Start,219&lt;TaxOpStartMonth),(LandCost+HO$103)*EffTaxRateOnValue/12,0)</f>
        <v/>
      </c>
      <c r="HP104" s="402">
        <f>IF(AND(220&gt;=MS_Initial_Closing_Start,220&lt;TaxOpStartMonth),(LandCost+HP$103)*EffTaxRateOnValue/12,0)</f>
        <v/>
      </c>
      <c r="HQ104" s="402">
        <f>IF(AND(221&gt;=MS_Initial_Closing_Start,221&lt;TaxOpStartMonth),(LandCost+HQ$103)*EffTaxRateOnValue/12,0)</f>
        <v/>
      </c>
      <c r="HR104" s="402">
        <f>IF(AND(222&gt;=MS_Initial_Closing_Start,222&lt;TaxOpStartMonth),(LandCost+HR$103)*EffTaxRateOnValue/12,0)</f>
        <v/>
      </c>
      <c r="HS104" s="402">
        <f>IF(AND(223&gt;=MS_Initial_Closing_Start,223&lt;TaxOpStartMonth),(LandCost+HS$103)*EffTaxRateOnValue/12,0)</f>
        <v/>
      </c>
      <c r="HT104" s="402">
        <f>IF(AND(224&gt;=MS_Initial_Closing_Start,224&lt;TaxOpStartMonth),(LandCost+HT$103)*EffTaxRateOnValue/12,0)</f>
        <v/>
      </c>
      <c r="HU104" s="402">
        <f>IF(AND(225&gt;=MS_Initial_Closing_Start,225&lt;TaxOpStartMonth),(LandCost+HU$103)*EffTaxRateOnValue/12,0)</f>
        <v/>
      </c>
      <c r="HV104" s="402">
        <f>IF(AND(226&gt;=MS_Initial_Closing_Start,226&lt;TaxOpStartMonth),(LandCost+HV$103)*EffTaxRateOnValue/12,0)</f>
        <v/>
      </c>
      <c r="HW104" s="402">
        <f>IF(AND(227&gt;=MS_Initial_Closing_Start,227&lt;TaxOpStartMonth),(LandCost+HW$103)*EffTaxRateOnValue/12,0)</f>
        <v/>
      </c>
      <c r="HX104" s="402">
        <f>IF(AND(228&gt;=MS_Initial_Closing_Start,228&lt;TaxOpStartMonth),(LandCost+HX$103)*EffTaxRateOnValue/12,0)</f>
        <v/>
      </c>
      <c r="HY104" s="402">
        <f>IF(AND(229&gt;=MS_Initial_Closing_Start,229&lt;TaxOpStartMonth),(LandCost+HY$103)*EffTaxRateOnValue/12,0)</f>
        <v/>
      </c>
      <c r="HZ104" s="402">
        <f>IF(AND(230&gt;=MS_Initial_Closing_Start,230&lt;TaxOpStartMonth),(LandCost+HZ$103)*EffTaxRateOnValue/12,0)</f>
        <v/>
      </c>
      <c r="IA104" s="402">
        <f>IF(AND(231&gt;=MS_Initial_Closing_Start,231&lt;TaxOpStartMonth),(LandCost+IA$103)*EffTaxRateOnValue/12,0)</f>
        <v/>
      </c>
      <c r="IB104" s="402">
        <f>IF(AND(232&gt;=MS_Initial_Closing_Start,232&lt;TaxOpStartMonth),(LandCost+IB$103)*EffTaxRateOnValue/12,0)</f>
        <v/>
      </c>
      <c r="IC104" s="402">
        <f>IF(AND(233&gt;=MS_Initial_Closing_Start,233&lt;TaxOpStartMonth),(LandCost+IC$103)*EffTaxRateOnValue/12,0)</f>
        <v/>
      </c>
      <c r="ID104" s="402">
        <f>IF(AND(234&gt;=MS_Initial_Closing_Start,234&lt;TaxOpStartMonth),(LandCost+ID$103)*EffTaxRateOnValue/12,0)</f>
        <v/>
      </c>
      <c r="IE104" s="402">
        <f>IF(AND(235&gt;=MS_Initial_Closing_Start,235&lt;TaxOpStartMonth),(LandCost+IE$103)*EffTaxRateOnValue/12,0)</f>
        <v/>
      </c>
      <c r="IF104" s="402">
        <f>IF(AND(236&gt;=MS_Initial_Closing_Start,236&lt;TaxOpStartMonth),(LandCost+IF$103)*EffTaxRateOnValue/12,0)</f>
        <v/>
      </c>
      <c r="IG104" s="402">
        <f>IF(AND(237&gt;=MS_Initial_Closing_Start,237&lt;TaxOpStartMonth),(LandCost+IG$103)*EffTaxRateOnValue/12,0)</f>
        <v/>
      </c>
      <c r="IH104" s="402">
        <f>IF(AND(238&gt;=MS_Initial_Closing_Start,238&lt;TaxOpStartMonth),(LandCost+IH$103)*EffTaxRateOnValue/12,0)</f>
        <v/>
      </c>
      <c r="II104" s="402">
        <f>IF(AND(239&gt;=MS_Initial_Closing_Start,239&lt;TaxOpStartMonth),(LandCost+II$103)*EffTaxRateOnValue/12,0)</f>
        <v/>
      </c>
      <c r="IJ104" s="402">
        <f>IF(AND(240&gt;=MS_Initial_Closing_Start,240&lt;TaxOpStartMonth),(LandCost+IJ$103)*EffTaxRateOnValue/12,0)</f>
        <v/>
      </c>
      <c r="IK104" s="402">
        <f>IF(AND(241&gt;=MS_Initial_Closing_Start,241&lt;TaxOpStartMonth),(LandCost+IK$103)*EffTaxRateOnValue/12,0)</f>
        <v/>
      </c>
      <c r="IL104" s="402">
        <f>IF(AND(242&gt;=MS_Initial_Closing_Start,242&lt;TaxOpStartMonth),(LandCost+IL$103)*EffTaxRateOnValue/12,0)</f>
        <v/>
      </c>
      <c r="IM104" s="402">
        <f>IF(AND(243&gt;=MS_Initial_Closing_Start,243&lt;TaxOpStartMonth),(LandCost+IM$103)*EffTaxRateOnValue/12,0)</f>
        <v/>
      </c>
      <c r="IN104" s="402">
        <f>IF(AND(244&gt;=MS_Initial_Closing_Start,244&lt;TaxOpStartMonth),(LandCost+IN$103)*EffTaxRateOnValue/12,0)</f>
        <v/>
      </c>
      <c r="IO104" s="402">
        <f>IF(AND(245&gt;=MS_Initial_Closing_Start,245&lt;TaxOpStartMonth),(LandCost+IO$103)*EffTaxRateOnValue/12,0)</f>
        <v/>
      </c>
      <c r="IP104" s="402">
        <f>IF(AND(246&gt;=MS_Initial_Closing_Start,246&lt;TaxOpStartMonth),(LandCost+IP$103)*EffTaxRateOnValue/12,0)</f>
        <v/>
      </c>
      <c r="IQ104" s="402">
        <f>IF(AND(247&gt;=MS_Initial_Closing_Start,247&lt;TaxOpStartMonth),(LandCost+IQ$103)*EffTaxRateOnValue/12,0)</f>
        <v/>
      </c>
      <c r="IR104" s="402">
        <f>IF(AND(248&gt;=MS_Initial_Closing_Start,248&lt;TaxOpStartMonth),(LandCost+IR$103)*EffTaxRateOnValue/12,0)</f>
        <v/>
      </c>
      <c r="IS104" s="402">
        <f>IF(AND(249&gt;=MS_Initial_Closing_Start,249&lt;TaxOpStartMonth),(LandCost+IS$103)*EffTaxRateOnValue/12,0)</f>
        <v/>
      </c>
      <c r="IT104" s="402">
        <f>IF(AND(250&gt;=MS_Initial_Closing_Start,250&lt;TaxOpStartMonth),(LandCost+IT$103)*EffTaxRateOnValue/12,0)</f>
        <v/>
      </c>
      <c r="IU104" s="402">
        <f>IF(AND(251&gt;=MS_Initial_Closing_Start,251&lt;TaxOpStartMonth),(LandCost+IU$103)*EffTaxRateOnValue/12,0)</f>
        <v/>
      </c>
      <c r="IV104" s="402">
        <f>IF(AND(252&gt;=MS_Initial_Closing_Start,252&lt;TaxOpStartMonth),(LandCost+IV$103)*EffTaxRateOnValue/12,0)</f>
        <v/>
      </c>
      <c r="IW104" s="402">
        <f>IF(AND(253&gt;=MS_Initial_Closing_Start,253&lt;TaxOpStartMonth),(LandCost+IW$103)*EffTaxRateOnValue/12,0)</f>
        <v/>
      </c>
      <c r="IX104" s="402">
        <f>IF(AND(254&gt;=MS_Initial_Closing_Start,254&lt;TaxOpStartMonth),(LandCost+IX$103)*EffTaxRateOnValue/12,0)</f>
        <v/>
      </c>
      <c r="IY104" s="402">
        <f>IF(AND(255&gt;=MS_Initial_Closing_Start,255&lt;TaxOpStartMonth),(LandCost+IY$103)*EffTaxRateOnValue/12,0)</f>
        <v/>
      </c>
      <c r="IZ104" s="402">
        <f>IF(AND(256&gt;=MS_Initial_Closing_Start,256&lt;TaxOpStartMonth),(LandCost+IZ$103)*EffTaxRateOnValue/12,0)</f>
        <v/>
      </c>
      <c r="JA104" s="402">
        <f>IF(AND(257&gt;=MS_Initial_Closing_Start,257&lt;TaxOpStartMonth),(LandCost+JA$103)*EffTaxRateOnValue/12,0)</f>
        <v/>
      </c>
      <c r="JB104" s="402">
        <f>IF(AND(258&gt;=MS_Initial_Closing_Start,258&lt;TaxOpStartMonth),(LandCost+JB$103)*EffTaxRateOnValue/12,0)</f>
        <v/>
      </c>
      <c r="JC104" s="402">
        <f>IF(AND(259&gt;=MS_Initial_Closing_Start,259&lt;TaxOpStartMonth),(LandCost+JC$103)*EffTaxRateOnValue/12,0)</f>
        <v/>
      </c>
      <c r="JD104" s="402">
        <f>IF(AND(260&gt;=MS_Initial_Closing_Start,260&lt;TaxOpStartMonth),(LandCost+JD$103)*EffTaxRateOnValue/12,0)</f>
        <v/>
      </c>
      <c r="JE104" s="402">
        <f>IF(AND(261&gt;=MS_Initial_Closing_Start,261&lt;TaxOpStartMonth),(LandCost+JE$103)*EffTaxRateOnValue/12,0)</f>
        <v/>
      </c>
      <c r="JF104" s="402">
        <f>IF(AND(262&gt;=MS_Initial_Closing_Start,262&lt;TaxOpStartMonth),(LandCost+JF$103)*EffTaxRateOnValue/12,0)</f>
        <v/>
      </c>
      <c r="JG104" s="402">
        <f>IF(AND(263&gt;=MS_Initial_Closing_Start,263&lt;TaxOpStartMonth),(LandCost+JG$103)*EffTaxRateOnValue/12,0)</f>
        <v/>
      </c>
      <c r="JH104" s="402">
        <f>IF(AND(264&gt;=MS_Initial_Closing_Start,264&lt;TaxOpStartMonth),(LandCost+JH$103)*EffTaxRateOnValue/12,0)</f>
        <v/>
      </c>
      <c r="JI104" s="402">
        <f>IF(AND(265&gt;=MS_Initial_Closing_Start,265&lt;TaxOpStartMonth),(LandCost+JI$103)*EffTaxRateOnValue/12,0)</f>
        <v/>
      </c>
      <c r="JJ104" s="402">
        <f>IF(AND(266&gt;=MS_Initial_Closing_Start,266&lt;TaxOpStartMonth),(LandCost+JJ$103)*EffTaxRateOnValue/12,0)</f>
        <v/>
      </c>
      <c r="JK104" s="402">
        <f>IF(AND(267&gt;=MS_Initial_Closing_Start,267&lt;TaxOpStartMonth),(LandCost+JK$103)*EffTaxRateOnValue/12,0)</f>
        <v/>
      </c>
      <c r="JL104" s="402">
        <f>IF(AND(268&gt;=MS_Initial_Closing_Start,268&lt;TaxOpStartMonth),(LandCost+JL$103)*EffTaxRateOnValue/12,0)</f>
        <v/>
      </c>
      <c r="JM104" s="402">
        <f>IF(AND(269&gt;=MS_Initial_Closing_Start,269&lt;TaxOpStartMonth),(LandCost+JM$103)*EffTaxRateOnValue/12,0)</f>
        <v/>
      </c>
      <c r="JN104" s="402">
        <f>IF(AND(270&gt;=MS_Initial_Closing_Start,270&lt;TaxOpStartMonth),(LandCost+JN$103)*EffTaxRateOnValue/12,0)</f>
        <v/>
      </c>
      <c r="JO104" s="402">
        <f>IF(AND(271&gt;=MS_Initial_Closing_Start,271&lt;TaxOpStartMonth),(LandCost+JO$103)*EffTaxRateOnValue/12,0)</f>
        <v/>
      </c>
      <c r="JP104" s="402">
        <f>IF(AND(272&gt;=MS_Initial_Closing_Start,272&lt;TaxOpStartMonth),(LandCost+JP$103)*EffTaxRateOnValue/12,0)</f>
        <v/>
      </c>
      <c r="JQ104" s="402">
        <f>IF(AND(273&gt;=MS_Initial_Closing_Start,273&lt;TaxOpStartMonth),(LandCost+JQ$103)*EffTaxRateOnValue/12,0)</f>
        <v/>
      </c>
      <c r="JR104" s="402">
        <f>IF(AND(274&gt;=MS_Initial_Closing_Start,274&lt;TaxOpStartMonth),(LandCost+JR$103)*EffTaxRateOnValue/12,0)</f>
        <v/>
      </c>
      <c r="JS104" s="402">
        <f>IF(AND(275&gt;=MS_Initial_Closing_Start,275&lt;TaxOpStartMonth),(LandCost+JS$103)*EffTaxRateOnValue/12,0)</f>
        <v/>
      </c>
      <c r="JT104" s="402">
        <f>IF(AND(276&gt;=MS_Initial_Closing_Start,276&lt;TaxOpStartMonth),(LandCost+JT$103)*EffTaxRateOnValue/12,0)</f>
        <v/>
      </c>
      <c r="JU104" s="402">
        <f>IF(AND(277&gt;=MS_Initial_Closing_Start,277&lt;TaxOpStartMonth),(LandCost+JU$103)*EffTaxRateOnValue/12,0)</f>
        <v/>
      </c>
      <c r="JV104" s="402">
        <f>IF(AND(278&gt;=MS_Initial_Closing_Start,278&lt;TaxOpStartMonth),(LandCost+JV$103)*EffTaxRateOnValue/12,0)</f>
        <v/>
      </c>
      <c r="JW104" s="402">
        <f>IF(AND(279&gt;=MS_Initial_Closing_Start,279&lt;TaxOpStartMonth),(LandCost+JW$103)*EffTaxRateOnValue/12,0)</f>
        <v/>
      </c>
      <c r="JX104" s="402">
        <f>IF(AND(280&gt;=MS_Initial_Closing_Start,280&lt;TaxOpStartMonth),(LandCost+JX$103)*EffTaxRateOnValue/12,0)</f>
        <v/>
      </c>
      <c r="JY104" s="402">
        <f>IF(AND(281&gt;=MS_Initial_Closing_Start,281&lt;TaxOpStartMonth),(LandCost+JY$103)*EffTaxRateOnValue/12,0)</f>
        <v/>
      </c>
      <c r="JZ104" s="402">
        <f>IF(AND(282&gt;=MS_Initial_Closing_Start,282&lt;TaxOpStartMonth),(LandCost+JZ$103)*EffTaxRateOnValue/12,0)</f>
        <v/>
      </c>
      <c r="KA104" s="402">
        <f>IF(AND(283&gt;=MS_Initial_Closing_Start,283&lt;TaxOpStartMonth),(LandCost+KA$103)*EffTaxRateOnValue/12,0)</f>
        <v/>
      </c>
      <c r="KB104" s="402">
        <f>IF(AND(284&gt;=MS_Initial_Closing_Start,284&lt;TaxOpStartMonth),(LandCost+KB$103)*EffTaxRateOnValue/12,0)</f>
        <v/>
      </c>
      <c r="KC104" s="402">
        <f>IF(AND(285&gt;=MS_Initial_Closing_Start,285&lt;TaxOpStartMonth),(LandCost+KC$103)*EffTaxRateOnValue/12,0)</f>
        <v/>
      </c>
      <c r="KD104" s="402">
        <f>IF(AND(286&gt;=MS_Initial_Closing_Start,286&lt;TaxOpStartMonth),(LandCost+KD$103)*EffTaxRateOnValue/12,0)</f>
        <v/>
      </c>
      <c r="KE104" s="402">
        <f>IF(AND(287&gt;=MS_Initial_Closing_Start,287&lt;TaxOpStartMonth),(LandCost+KE$103)*EffTaxRateOnValue/12,0)</f>
        <v/>
      </c>
      <c r="KF104" s="402">
        <f>IF(AND(288&gt;=MS_Initial_Closing_Start,288&lt;TaxOpStartMonth),(LandCost+KF$103)*EffTaxRateOnValue/12,0)</f>
        <v/>
      </c>
      <c r="KG104" s="402">
        <f>IF(AND(289&gt;=MS_Initial_Closing_Start,289&lt;TaxOpStartMonth),(LandCost+KG$103)*EffTaxRateOnValue/12,0)</f>
        <v/>
      </c>
      <c r="KH104" s="402">
        <f>IF(AND(290&gt;=MS_Initial_Closing_Start,290&lt;TaxOpStartMonth),(LandCost+KH$103)*EffTaxRateOnValue/12,0)</f>
        <v/>
      </c>
      <c r="KI104" s="402">
        <f>IF(AND(291&gt;=MS_Initial_Closing_Start,291&lt;TaxOpStartMonth),(LandCost+KI$103)*EffTaxRateOnValue/12,0)</f>
        <v/>
      </c>
      <c r="KJ104" s="402">
        <f>IF(AND(292&gt;=MS_Initial_Closing_Start,292&lt;TaxOpStartMonth),(LandCost+KJ$103)*EffTaxRateOnValue/12,0)</f>
        <v/>
      </c>
      <c r="KK104" s="402">
        <f>IF(AND(293&gt;=MS_Initial_Closing_Start,293&lt;TaxOpStartMonth),(LandCost+KK$103)*EffTaxRateOnValue/12,0)</f>
        <v/>
      </c>
      <c r="KL104" s="402">
        <f>IF(AND(294&gt;=MS_Initial_Closing_Start,294&lt;TaxOpStartMonth),(LandCost+KL$103)*EffTaxRateOnValue/12,0)</f>
        <v/>
      </c>
      <c r="KM104" s="402">
        <f>IF(AND(295&gt;=MS_Initial_Closing_Start,295&lt;TaxOpStartMonth),(LandCost+KM$103)*EffTaxRateOnValue/12,0)</f>
        <v/>
      </c>
      <c r="KN104" s="402">
        <f>IF(AND(296&gt;=MS_Initial_Closing_Start,296&lt;TaxOpStartMonth),(LandCost+KN$103)*EffTaxRateOnValue/12,0)</f>
        <v/>
      </c>
      <c r="KO104" s="402">
        <f>IF(AND(297&gt;=MS_Initial_Closing_Start,297&lt;TaxOpStartMonth),(LandCost+KO$103)*EffTaxRateOnValue/12,0)</f>
        <v/>
      </c>
      <c r="KP104" s="402">
        <f>IF(AND(298&gt;=MS_Initial_Closing_Start,298&lt;TaxOpStartMonth),(LandCost+KP$103)*EffTaxRateOnValue/12,0)</f>
        <v/>
      </c>
      <c r="KQ104" s="402">
        <f>IF(AND(299&gt;=MS_Initial_Closing_Start,299&lt;TaxOpStartMonth),(LandCost+KQ$103)*EffTaxRateOnValue/12,0)</f>
        <v/>
      </c>
      <c r="KR104" s="402">
        <f>IF(AND(300&gt;=MS_Initial_Closing_Start,300&lt;TaxOpStartMonth),(LandCost+KR$103)*EffTaxRateOnValue/12,0)</f>
        <v/>
      </c>
      <c r="KS104" s="402">
        <f>IF(AND(301&gt;=MS_Initial_Closing_Start,301&lt;TaxOpStartMonth),(LandCost+KS$103)*EffTaxRateOnValue/12,0)</f>
        <v/>
      </c>
      <c r="KT104" s="402">
        <f>IF(AND(302&gt;=MS_Initial_Closing_Start,302&lt;TaxOpStartMonth),(LandCost+KT$103)*EffTaxRateOnValue/12,0)</f>
        <v/>
      </c>
      <c r="KU104" s="402">
        <f>IF(AND(303&gt;=MS_Initial_Closing_Start,303&lt;TaxOpStartMonth),(LandCost+KU$103)*EffTaxRateOnValue/12,0)</f>
        <v/>
      </c>
      <c r="KV104" s="402">
        <f>IF(AND(304&gt;=MS_Initial_Closing_Start,304&lt;TaxOpStartMonth),(LandCost+KV$103)*EffTaxRateOnValue/12,0)</f>
        <v/>
      </c>
      <c r="KW104" s="402">
        <f>IF(AND(305&gt;=MS_Initial_Closing_Start,305&lt;TaxOpStartMonth),(LandCost+KW$103)*EffTaxRateOnValue/12,0)</f>
        <v/>
      </c>
      <c r="KX104" s="402">
        <f>IF(AND(306&gt;=MS_Initial_Closing_Start,306&lt;TaxOpStartMonth),(LandCost+KX$103)*EffTaxRateOnValue/12,0)</f>
        <v/>
      </c>
      <c r="KY104" s="402">
        <f>IF(AND(307&gt;=MS_Initial_Closing_Start,307&lt;TaxOpStartMonth),(LandCost+KY$103)*EffTaxRateOnValue/12,0)</f>
        <v/>
      </c>
      <c r="KZ104" s="402">
        <f>IF(AND(308&gt;=MS_Initial_Closing_Start,308&lt;TaxOpStartMonth),(LandCost+KZ$103)*EffTaxRateOnValue/12,0)</f>
        <v/>
      </c>
      <c r="LA104" s="402">
        <f>IF(AND(309&gt;=MS_Initial_Closing_Start,309&lt;TaxOpStartMonth),(LandCost+LA$103)*EffTaxRateOnValue/12,0)</f>
        <v/>
      </c>
      <c r="LB104" s="402">
        <f>IF(AND(310&gt;=MS_Initial_Closing_Start,310&lt;TaxOpStartMonth),(LandCost+LB$103)*EffTaxRateOnValue/12,0)</f>
        <v/>
      </c>
      <c r="LC104" s="402">
        <f>IF(AND(311&gt;=MS_Initial_Closing_Start,311&lt;TaxOpStartMonth),(LandCost+LC$103)*EffTaxRateOnValue/12,0)</f>
        <v/>
      </c>
      <c r="LD104" s="402">
        <f>IF(AND(312&gt;=MS_Initial_Closing_Start,312&lt;TaxOpStartMonth),(LandCost+LD$103)*EffTaxRateOnValue/12,0)</f>
        <v/>
      </c>
      <c r="LE104" s="402">
        <f>IF(AND(313&gt;=MS_Initial_Closing_Start,313&lt;TaxOpStartMonth),(LandCost+LE$103)*EffTaxRateOnValue/12,0)</f>
        <v/>
      </c>
      <c r="LF104" s="402">
        <f>IF(AND(314&gt;=MS_Initial_Closing_Start,314&lt;TaxOpStartMonth),(LandCost+LF$103)*EffTaxRateOnValue/12,0)</f>
        <v/>
      </c>
      <c r="LG104" s="402">
        <f>IF(AND(315&gt;=MS_Initial_Closing_Start,315&lt;TaxOpStartMonth),(LandCost+LG$103)*EffTaxRateOnValue/12,0)</f>
        <v/>
      </c>
      <c r="LH104" s="402">
        <f>IF(AND(316&gt;=MS_Initial_Closing_Start,316&lt;TaxOpStartMonth),(LandCost+LH$103)*EffTaxRateOnValue/12,0)</f>
        <v/>
      </c>
      <c r="LI104" s="402">
        <f>IF(AND(317&gt;=MS_Initial_Closing_Start,317&lt;TaxOpStartMonth),(LandCost+LI$103)*EffTaxRateOnValue/12,0)</f>
        <v/>
      </c>
      <c r="LJ104" s="402">
        <f>IF(AND(318&gt;=MS_Initial_Closing_Start,318&lt;TaxOpStartMonth),(LandCost+LJ$103)*EffTaxRateOnValue/12,0)</f>
        <v/>
      </c>
      <c r="LK104" s="402">
        <f>IF(AND(319&gt;=MS_Initial_Closing_Start,319&lt;TaxOpStartMonth),(LandCost+LK$103)*EffTaxRateOnValue/12,0)</f>
        <v/>
      </c>
      <c r="LL104" s="402">
        <f>IF(AND(320&gt;=MS_Initial_Closing_Start,320&lt;TaxOpStartMonth),(LandCost+LL$103)*EffTaxRateOnValue/12,0)</f>
        <v/>
      </c>
      <c r="LM104" s="402">
        <f>IF(AND(321&gt;=MS_Initial_Closing_Start,321&lt;TaxOpStartMonth),(LandCost+LM$103)*EffTaxRateOnValue/12,0)</f>
        <v/>
      </c>
      <c r="LN104" s="402">
        <f>IF(AND(322&gt;=MS_Initial_Closing_Start,322&lt;TaxOpStartMonth),(LandCost+LN$103)*EffTaxRateOnValue/12,0)</f>
        <v/>
      </c>
      <c r="LO104" s="402">
        <f>IF(AND(323&gt;=MS_Initial_Closing_Start,323&lt;TaxOpStartMonth),(LandCost+LO$103)*EffTaxRateOnValue/12,0)</f>
        <v/>
      </c>
      <c r="LP104" s="402">
        <f>IF(AND(324&gt;=MS_Initial_Closing_Start,324&lt;TaxOpStartMonth),(LandCost+LP$103)*EffTaxRateOnValue/12,0)</f>
        <v/>
      </c>
      <c r="LQ104" s="402">
        <f>IF(AND(325&gt;=MS_Initial_Closing_Start,325&lt;TaxOpStartMonth),(LandCost+LQ$103)*EffTaxRateOnValue/12,0)</f>
        <v/>
      </c>
      <c r="LR104" s="402">
        <f>IF(AND(326&gt;=MS_Initial_Closing_Start,326&lt;TaxOpStartMonth),(LandCost+LR$103)*EffTaxRateOnValue/12,0)</f>
        <v/>
      </c>
      <c r="LS104" s="402">
        <f>IF(AND(327&gt;=MS_Initial_Closing_Start,327&lt;TaxOpStartMonth),(LandCost+LS$103)*EffTaxRateOnValue/12,0)</f>
        <v/>
      </c>
      <c r="LT104" s="402">
        <f>IF(AND(328&gt;=MS_Initial_Closing_Start,328&lt;TaxOpStartMonth),(LandCost+LT$103)*EffTaxRateOnValue/12,0)</f>
        <v/>
      </c>
      <c r="LU104" s="402">
        <f>IF(AND(329&gt;=MS_Initial_Closing_Start,329&lt;TaxOpStartMonth),(LandCost+LU$103)*EffTaxRateOnValue/12,0)</f>
        <v/>
      </c>
      <c r="LV104" s="402">
        <f>IF(AND(330&gt;=MS_Initial_Closing_Start,330&lt;TaxOpStartMonth),(LandCost+LV$103)*EffTaxRateOnValue/12,0)</f>
        <v/>
      </c>
      <c r="LW104" s="402">
        <f>IF(AND(331&gt;=MS_Initial_Closing_Start,331&lt;TaxOpStartMonth),(LandCost+LW$103)*EffTaxRateOnValue/12,0)</f>
        <v/>
      </c>
      <c r="LX104" s="402">
        <f>IF(AND(332&gt;=MS_Initial_Closing_Start,332&lt;TaxOpStartMonth),(LandCost+LX$103)*EffTaxRateOnValue/12,0)</f>
        <v/>
      </c>
      <c r="LY104" s="402">
        <f>IF(AND(333&gt;=MS_Initial_Closing_Start,333&lt;TaxOpStartMonth),(LandCost+LY$103)*EffTaxRateOnValue/12,0)</f>
        <v/>
      </c>
      <c r="LZ104" s="402">
        <f>IF(AND(334&gt;=MS_Initial_Closing_Start,334&lt;TaxOpStartMonth),(LandCost+LZ$103)*EffTaxRateOnValue/12,0)</f>
        <v/>
      </c>
      <c r="MA104" s="402">
        <f>IF(AND(335&gt;=MS_Initial_Closing_Start,335&lt;TaxOpStartMonth),(LandCost+MA$103)*EffTaxRateOnValue/12,0)</f>
        <v/>
      </c>
      <c r="MB104" s="402">
        <f>IF(AND(336&gt;=MS_Initial_Closing_Start,336&lt;TaxOpStartMonth),(LandCost+MB$103)*EffTaxRateOnValue/12,0)</f>
        <v/>
      </c>
      <c r="MC104" s="402">
        <f>IF(AND(337&gt;=MS_Initial_Closing_Start,337&lt;TaxOpStartMonth),(LandCost+MC$103)*EffTaxRateOnValue/12,0)</f>
        <v/>
      </c>
      <c r="MD104" s="402">
        <f>IF(AND(338&gt;=MS_Initial_Closing_Start,338&lt;TaxOpStartMonth),(LandCost+MD$103)*EffTaxRateOnValue/12,0)</f>
        <v/>
      </c>
      <c r="ME104" s="402">
        <f>IF(AND(339&gt;=MS_Initial_Closing_Start,339&lt;TaxOpStartMonth),(LandCost+ME$103)*EffTaxRateOnValue/12,0)</f>
        <v/>
      </c>
      <c r="MF104" s="402">
        <f>IF(AND(340&gt;=MS_Initial_Closing_Start,340&lt;TaxOpStartMonth),(LandCost+MF$103)*EffTaxRateOnValue/12,0)</f>
        <v/>
      </c>
      <c r="MG104" s="402">
        <f>IF(AND(341&gt;=MS_Initial_Closing_Start,341&lt;TaxOpStartMonth),(LandCost+MG$103)*EffTaxRateOnValue/12,0)</f>
        <v/>
      </c>
      <c r="MH104" s="402">
        <f>IF(AND(342&gt;=MS_Initial_Closing_Start,342&lt;TaxOpStartMonth),(LandCost+MH$103)*EffTaxRateOnValue/12,0)</f>
        <v/>
      </c>
      <c r="MI104" s="402">
        <f>IF(AND(343&gt;=MS_Initial_Closing_Start,343&lt;TaxOpStartMonth),(LandCost+MI$103)*EffTaxRateOnValue/12,0)</f>
        <v/>
      </c>
      <c r="MJ104" s="402">
        <f>IF(AND(344&gt;=MS_Initial_Closing_Start,344&lt;TaxOpStartMonth),(LandCost+MJ$103)*EffTaxRateOnValue/12,0)</f>
        <v/>
      </c>
      <c r="MK104" s="402">
        <f>IF(AND(345&gt;=MS_Initial_Closing_Start,345&lt;TaxOpStartMonth),(LandCost+MK$103)*EffTaxRateOnValue/12,0)</f>
        <v/>
      </c>
      <c r="ML104" s="402">
        <f>IF(AND(346&gt;=MS_Initial_Closing_Start,346&lt;TaxOpStartMonth),(LandCost+ML$103)*EffTaxRateOnValue/12,0)</f>
        <v/>
      </c>
      <c r="MM104" s="402">
        <f>IF(AND(347&gt;=MS_Initial_Closing_Start,347&lt;TaxOpStartMonth),(LandCost+MM$103)*EffTaxRateOnValue/12,0)</f>
        <v/>
      </c>
      <c r="MN104" s="402">
        <f>IF(AND(348&gt;=MS_Initial_Closing_Start,348&lt;TaxOpStartMonth),(LandCost+MN$103)*EffTaxRateOnValue/12,0)</f>
        <v/>
      </c>
      <c r="MO104" s="402">
        <f>IF(AND(349&gt;=MS_Initial_Closing_Start,349&lt;TaxOpStartMonth),(LandCost+MO$103)*EffTaxRateOnValue/12,0)</f>
        <v/>
      </c>
      <c r="MP104" s="402">
        <f>IF(AND(350&gt;=MS_Initial_Closing_Start,350&lt;TaxOpStartMonth),(LandCost+MP$103)*EffTaxRateOnValue/12,0)</f>
        <v/>
      </c>
      <c r="MQ104" s="402">
        <f>IF(AND(351&gt;=MS_Initial_Closing_Start,351&lt;TaxOpStartMonth),(LandCost+MQ$103)*EffTaxRateOnValue/12,0)</f>
        <v/>
      </c>
      <c r="MR104" s="402">
        <f>IF(AND(352&gt;=MS_Initial_Closing_Start,352&lt;TaxOpStartMonth),(LandCost+MR$103)*EffTaxRateOnValue/12,0)</f>
        <v/>
      </c>
      <c r="MS104" s="402">
        <f>IF(AND(353&gt;=MS_Initial_Closing_Start,353&lt;TaxOpStartMonth),(LandCost+MS$103)*EffTaxRateOnValue/12,0)</f>
        <v/>
      </c>
      <c r="MT104" s="402">
        <f>IF(AND(354&gt;=MS_Initial_Closing_Start,354&lt;TaxOpStartMonth),(LandCost+MT$103)*EffTaxRateOnValue/12,0)</f>
        <v/>
      </c>
      <c r="MU104" s="402">
        <f>IF(AND(355&gt;=MS_Initial_Closing_Start,355&lt;TaxOpStartMonth),(LandCost+MU$103)*EffTaxRateOnValue/12,0)</f>
        <v/>
      </c>
      <c r="MV104" s="402">
        <f>IF(AND(356&gt;=MS_Initial_Closing_Start,356&lt;TaxOpStartMonth),(LandCost+MV$103)*EffTaxRateOnValue/12,0)</f>
        <v/>
      </c>
      <c r="MW104" s="402">
        <f>IF(AND(357&gt;=MS_Initial_Closing_Start,357&lt;TaxOpStartMonth),(LandCost+MW$103)*EffTaxRateOnValue/12,0)</f>
        <v/>
      </c>
      <c r="MX104" s="402">
        <f>IF(AND(358&gt;=MS_Initial_Closing_Start,358&lt;TaxOpStartMonth),(LandCost+MX$103)*EffTaxRateOnValue/12,0)</f>
        <v/>
      </c>
      <c r="MY104" s="402">
        <f>IF(AND(359&gt;=MS_Initial_Closing_Start,359&lt;TaxOpStartMonth),(LandCost+MY$103)*EffTaxRateOnValue/12,0)</f>
        <v/>
      </c>
      <c r="MZ104" s="402">
        <f>IF(AND(360&gt;=MS_Initial_Closing_Start,360&lt;TaxOpStartMonth),(LandCost+MZ$103)*EffTaxRateOnValue/12,0)</f>
        <v/>
      </c>
      <c r="NA104" s="402">
        <f>IF(AND(361&gt;=MS_Initial_Closing_Start,361&lt;TaxOpStartMonth),(LandCost+NA$103)*EffTaxRateOnValue/12,0)</f>
        <v/>
      </c>
      <c r="NB104" s="402">
        <f>IF(AND(362&gt;=MS_Initial_Closing_Start,362&lt;TaxOpStartMonth),(LandCost+NB$103)*EffTaxRateOnValue/12,0)</f>
        <v/>
      </c>
      <c r="NC104" s="402">
        <f>IF(AND(363&gt;=MS_Initial_Closing_Start,363&lt;TaxOpStartMonth),(LandCost+NC$103)*EffTaxRateOnValue/12,0)</f>
        <v/>
      </c>
      <c r="ND104" s="402">
        <f>IF(AND(364&gt;=MS_Initial_Closing_Start,364&lt;TaxOpStartMonth),(LandCost+ND$103)*EffTaxRateOnValue/12,0)</f>
        <v/>
      </c>
      <c r="NE104" s="402">
        <f>IF(AND(365&gt;=MS_Initial_Closing_Start,365&lt;TaxOpStartMonth),(LandCost+NE$103)*EffTaxRateOnValue/12,0)</f>
        <v/>
      </c>
      <c r="NF104" s="402">
        <f>IF(AND(366&gt;=MS_Initial_Closing_Start,366&lt;TaxOpStartMonth),(LandCost+NF$103)*EffTaxRateOnValue/12,0)</f>
        <v/>
      </c>
      <c r="NG104" s="402">
        <f>IF(AND(367&gt;=MS_Initial_Closing_Start,367&lt;TaxOpStartMonth),(LandCost+NG$103)*EffTaxRateOnValue/12,0)</f>
        <v/>
      </c>
      <c r="NH104" s="402">
        <f>IF(AND(368&gt;=MS_Initial_Closing_Start,368&lt;TaxOpStartMonth),(LandCost+NH$103)*EffTaxRateOnValue/12,0)</f>
        <v/>
      </c>
      <c r="NI104" s="402">
        <f>IF(AND(369&gt;=MS_Initial_Closing_Start,369&lt;TaxOpStartMonth),(LandCost+NI$103)*EffTaxRateOnValue/12,0)</f>
        <v/>
      </c>
      <c r="NJ104" s="402">
        <f>IF(AND(370&gt;=MS_Initial_Closing_Start,370&lt;TaxOpStartMonth),(LandCost+NJ$103)*EffTaxRateOnValue/12,0)</f>
        <v/>
      </c>
      <c r="NK104" s="402">
        <f>IF(AND(371&gt;=MS_Initial_Closing_Start,371&lt;TaxOpStartMonth),(LandCost+NK$103)*EffTaxRateOnValue/12,0)</f>
        <v/>
      </c>
      <c r="NL104" s="402">
        <f>IF(AND(372&gt;=MS_Initial_Closing_Start,372&lt;TaxOpStartMonth),(LandCost+NL$103)*EffTaxRateOnValue/12,0)</f>
        <v/>
      </c>
    </row>
    <row r="105">
      <c r="B105" s="316" t="inlineStr">
        <is>
          <t>Construction-Period Tax — Total</t>
        </is>
      </c>
      <c r="D105" s="402">
        <f>DevSpend!$D$104</f>
        <v/>
      </c>
    </row>
    <row r="106">
      <c r="B106" s="431" t="inlineStr">
        <is>
          <t>Cost-Curve Reconciliation</t>
        </is>
      </c>
    </row>
    <row r="107">
      <c r="B107" s="316" t="inlineStr">
        <is>
          <t>Max |line curve sum − Budget total|</t>
        </is>
      </c>
      <c r="D107" s="402">
        <f>MAX(ABS(DevSpend!$D$6-Budget!J5),ABS(DevSpend!$D$7-Budget!J6),ABS(DevSpend!$D$8-Budget!J7),ABS(DevSpend!$D$9-Budget!J8),ABS(DevSpend!$D$10-Budget!J9),ABS(DevSpend!$D$11-Budget!J10),ABS(DevSpend!$D$12-Budget!J11),ABS(DevSpend!$D$13-Budget!J12),ABS(DevSpend!$D$14-Budget!J13),ABS(DevSpend!$D$15-Budget!J14),ABS(DevSpend!$D$16-Budget!J15),ABS(DevSpend!$D$17-Budget!J16),ABS(DevSpend!$D$18-Budget!J17),ABS(DevSpend!$D$19-Budget!J18),ABS(DevSpend!$D$20-Budget!J19),ABS(DevSpend!$D$21-Budget!J20),ABS(DevSpend!$D$22-Budget!J21),ABS(DevSpend!$D$23-Budget!J22),ABS(DevSpend!$D$24-Budget!J23),ABS(DevSpend!$D$25-Budget!J24),ABS(DevSpend!$D$26-Budget!J25),ABS(DevSpend!$D$27-Budget!J26),ABS(DevSpend!$D$28-Budget!J27),ABS(DevSpend!$D$29-Budget!J28),ABS(DevSpend!$D$30-Budget!J29),ABS(DevSpend!$D$31-Budget!J30),ABS(DevSpend!$D$32-Budget!J31),ABS(DevSpend!$D$33-Budget!J32),ABS(DevSpend!$D$34-Budget!J33),ABS(DevSpend!$D$35-Budget!J34),ABS(DevSpend!$D$36-Budget!J35),ABS(DevSpend!$D$37-Budget!J36),ABS(DevSpend!$D$38-Budget!J37),ABS(DevSpend!$D$39-Budget!J38),ABS(DevSpend!$D$40-Budget!J39),ABS(DevSpend!$D$41-Budget!J40),ABS(DevSpend!$D$42-Budget!J41),ABS(DevSpend!$D$43-Budget!J42),ABS(DevSpend!$D$44-Budget!J43),ABS(DevSpend!$D$45-Budget!J44),ABS(DevSpend!$D$46-Budget!J45),ABS(DevSpend!$D$47-Budget!J46),ABS(DevSpend!$D$48-Budget!J47),ABS(DevSpend!$D$49-Budget!J48),ABS(DevSpend!$D$50-Budget!J49),ABS(DevSpend!$D$51-Budget!J50),ABS(DevSpend!$D$52-Budget!J51),ABS(DevSpend!$D$53-Budget!J52),ABS(DevSpend!$D$54-Budget!J53),ABS(DevSpend!$D$55-Budget!J54),ABS(DevSpend!$D$56-Budget!J55),ABS(DevSpend!$D$57-Budget!J56),ABS(DevSpend!$D$58-Budget!J57),ABS(DevSpend!$D$59-Budget!J58),ABS(DevSpend!$D$60-Budget!J59),ABS(DevSpend!$D$61-Budget!J60),ABS(DevSpend!$D$62-Budget!J61),ABS(DevSpend!$D$63-Budget!J62),ABS(DevSpend!$D$64-Budget!J63),ABS(DevSpend!$D$65-Budget!J64),ABS(DevSpend!$D$66-Budget!J65),ABS(DevSpend!$D$67-Budget!J66),ABS(DevSpend!$D$68-Budget!J67),ABS(DevSpend!$D$69-Budget!J68),ABS(DevSpend!$D$70-Budget!J69),ABS(DevSpend!$D$71-Budget!J70),ABS(DevSpend!$D$72-Budget!J71),ABS(DevSpend!$D$73-Budget!J72),ABS(DevSpend!$D$74-Budget!J73),ABS(DevSpend!$D$75-Budget!J74),ABS(DevSpend!$D$76-Budget!J75),ABS(DevSpend!$D$77-Budget!J76),ABS(DevSpend!$D$78-Budget!J77),ABS(DevSpend!$D$79-Budget!J78),ABS(DevSpend!$D$80-Budget!J79),ABS(DevSpend!$D$81-Budget!J80),ABS(DevSpend!$D$82-Budget!J81),ABS(DevSpend!$D$83-Budget!J82),ABS(DevSpend!$D$84-Budget!J83),ABS(DevSpend!$D$85-Budget!J84),ABS(DevSpend!$D$86-Budget!J85),ABS(DevSpend!$D$87-Budget!J86),ABS(DevSpend!$D$88-Budget!J87),ABS(DevSpend!$D$89-Budget!J88),ABS(DevSpend!$D$90-Budget!J89),ABS(DevSpend!$D$91-Budget!J90),ABS(DevSpend!$D$92-Budget!J91),ABS(DevSpend!$D$93-Budget!J92),ABS(DevSpend!$D$94-Budget!J93),ABS(DevSpend!$D$95-Budget!J94),ABS(DevSpend!$D$96-Budget!J95),ABS(DevSpend!$D$97-Budget!J96),ABS(DevSpend!$D$98-Budget!J97))</f>
        <v/>
      </c>
    </row>
    <row r="108">
      <c r="B108" s="316" t="inlineStr">
        <is>
          <t>Dev fee curve sum − DevFee</t>
        </is>
      </c>
      <c r="D108" s="402">
        <f>DevSpend!$D$101-DevFee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/>
  </sheetPr>
  <dimension ref="B1:NL57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3.7109375" customWidth="1" style="97" min="1" max="1"/>
    <col width="34" customWidth="1" style="97" min="2" max="2"/>
    <col width="18" customWidth="1" style="97" min="3" max="3"/>
    <col width="16" customWidth="1" style="97" min="4" max="4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Construction Loan — Sizing &amp; Monthly Draw Schedule</t>
        </is>
      </c>
    </row>
    <row r="3">
      <c r="B3" s="71" t="inlineStr">
        <is>
          <t>Loan Sizing (min of LTC / Debt Yield / DSCR)</t>
        </is>
      </c>
      <c r="C3" s="72" t="n"/>
      <c r="D3" s="80" t="n"/>
    </row>
    <row r="4">
      <c r="B4" s="36" t="inlineStr">
        <is>
          <t>Cost Basis for LTC (excl. cap. int.)</t>
        </is>
      </c>
      <c r="C4" s="255">
        <f>DirectCosts+DevFee+ConOtherCosts+ConTaxTotal+OpReserve</f>
        <v/>
      </c>
      <c r="D4" s="53" t="n"/>
    </row>
    <row r="5">
      <c r="B5" s="36" t="inlineStr">
        <is>
          <t>Max Loan by Target LTC</t>
        </is>
      </c>
      <c r="C5" s="255">
        <f>(TargetLTC*ConCostBasis-(1-TargetLTC)*IntReserveEst)/(1-TargetLTC*(ConPointsPct+RecourseFeePct))</f>
        <v/>
      </c>
      <c r="D5" s="53" t="n"/>
    </row>
    <row r="6">
      <c r="B6" s="36" t="inlineStr">
        <is>
          <t>Max Loan by Min Debt Yield</t>
        </is>
      </c>
      <c r="C6" s="255">
        <f>StabNOI_Untrended/ConMinDebtYield</f>
        <v/>
      </c>
      <c r="D6" s="53" t="n"/>
    </row>
    <row r="7">
      <c r="B7" s="36" t="inlineStr">
        <is>
          <t>Max Loan by Min DSCR (I/O)</t>
        </is>
      </c>
      <c r="C7" s="255">
        <f>StabNOI_Untrended/(ConMinDSCR*ConRate)</f>
        <v/>
      </c>
      <c r="D7" s="53" t="n"/>
    </row>
    <row r="8">
      <c r="B8" s="36" t="inlineStr">
        <is>
          <t>Construction Loan Commitment</t>
        </is>
      </c>
      <c r="C8" s="255">
        <f>MIN(MaxByLTC,MaxByDebtYield,MaxByDSCR)</f>
        <v/>
      </c>
      <c r="D8" s="53" t="n"/>
    </row>
    <row r="9">
      <c r="B9" s="36" t="inlineStr">
        <is>
          <t>Origination Points</t>
        </is>
      </c>
      <c r="C9" s="255">
        <f>ConPointsPct*ConCostCommit</f>
        <v/>
      </c>
      <c r="D9" s="53" t="n"/>
    </row>
    <row r="10">
      <c r="B10" s="36" t="inlineStr">
        <is>
          <t>Loan Recourse / Indemnity Fee</t>
        </is>
      </c>
      <c r="C10" s="255">
        <f>RecourseFeePct*ConCostCommit</f>
        <v/>
      </c>
      <c r="D10" s="53" t="n"/>
    </row>
    <row r="11">
      <c r="B11" s="36" t="inlineStr">
        <is>
          <t>Total Uses ex-Interest (final)</t>
        </is>
      </c>
      <c r="C11" s="255">
        <f>DirectCosts+DevFee+ConOtherCosts+ConTaxTotal+ConPoints+RecourseFee+OpReserve</f>
        <v/>
      </c>
      <c r="D11" s="53" t="n"/>
    </row>
    <row r="12">
      <c r="B12" s="36" t="inlineStr">
        <is>
          <t>Debt Share of Uses</t>
        </is>
      </c>
      <c r="C12" s="140">
        <f>ConCostCommit/ConCostExInt</f>
        <v/>
      </c>
      <c r="D12" s="53" t="n"/>
    </row>
    <row r="13">
      <c r="B13" s="40" t="inlineStr">
        <is>
          <t>Equity Budget (ex-Interest)</t>
        </is>
      </c>
      <c r="C13" s="256">
        <f>ConCostExInt-ConCostCommit</f>
        <v/>
      </c>
      <c r="D13" s="66" t="n"/>
    </row>
    <row r="15">
      <c r="B15" s="71" t="inlineStr">
        <is>
          <t>Construction Sizing Tests</t>
        </is>
      </c>
      <c r="C15" s="72" t="n"/>
      <c r="D15" s="80" t="n"/>
    </row>
    <row r="16">
      <c r="B16" s="36" t="inlineStr">
        <is>
          <t>Debt Yield at Commitment</t>
        </is>
      </c>
      <c r="C16" s="142">
        <f>StabNOI_Untrended/ConCostCommit</f>
        <v/>
      </c>
      <c r="D16" s="53" t="n"/>
    </row>
    <row r="17">
      <c r="B17" s="36" t="inlineStr">
        <is>
          <t>DSCR at Commitment (I/O)</t>
        </is>
      </c>
      <c r="C17" s="257">
        <f>StabNOI_Untrended/(ConRate*ConCostCommit)</f>
        <v/>
      </c>
      <c r="D17" s="53" t="n"/>
    </row>
    <row r="18">
      <c r="B18" s="36" t="inlineStr">
        <is>
          <t>Realized LTC (incl. int.)</t>
        </is>
      </c>
      <c r="C18" s="142">
        <f>ConLoanTotal/TDC_Total</f>
        <v/>
      </c>
      <c r="D18" s="53" t="n"/>
    </row>
    <row r="19">
      <c r="B19" s="36" t="inlineStr">
        <is>
          <t>Debt Yield Test Pass</t>
        </is>
      </c>
      <c r="C19" s="144">
        <f>IF(ConDYtest&gt;=ConMinDebtYield,"PASS","FAIL")</f>
        <v/>
      </c>
      <c r="D19" s="53" t="n"/>
    </row>
    <row r="20">
      <c r="B20" s="40" t="inlineStr">
        <is>
          <t>DSCR Test Pass</t>
        </is>
      </c>
      <c r="C20" s="145">
        <f>IF(ConDSCRtest&gt;=ConMinDSCR,"PASS","FAIL")</f>
        <v/>
      </c>
      <c r="D20" s="66" t="n"/>
    </row>
    <row r="21">
      <c r="B21" s="316" t="inlineStr">
        <is>
          <t>Binding Constraint</t>
        </is>
      </c>
      <c r="C21" s="338">
        <f>IF(ConCostCommit=MaxByLTC,"LTC",IF(ConCostCommit=MaxByDebtYield,"Debt Yield","DSCR"))</f>
        <v/>
      </c>
    </row>
    <row r="22">
      <c r="B22" s="34" t="inlineStr">
        <is>
          <t>Monthly Draw Schedule</t>
        </is>
      </c>
      <c r="C22" s="60" t="n"/>
      <c r="D22" s="35" t="n"/>
    </row>
    <row r="23">
      <c r="B23" s="122" t="inlineStr">
        <is>
          <t>Period →</t>
        </is>
      </c>
      <c r="D23" s="75" t="inlineStr">
        <is>
          <t>Total</t>
        </is>
      </c>
      <c r="E23" s="27" t="n">
        <v>1</v>
      </c>
      <c r="F23" s="27" t="n">
        <v>2</v>
      </c>
      <c r="G23" s="27" t="n">
        <v>3</v>
      </c>
      <c r="H23" s="27" t="n">
        <v>4</v>
      </c>
      <c r="I23" s="27" t="n">
        <v>5</v>
      </c>
      <c r="J23" s="27" t="n">
        <v>6</v>
      </c>
      <c r="K23" s="27" t="n">
        <v>7</v>
      </c>
      <c r="L23" s="27" t="n">
        <v>8</v>
      </c>
      <c r="M23" s="27" t="n">
        <v>9</v>
      </c>
      <c r="N23" s="27" t="n">
        <v>10</v>
      </c>
      <c r="O23" s="27" t="n">
        <v>11</v>
      </c>
      <c r="P23" s="27" t="n">
        <v>12</v>
      </c>
      <c r="Q23" s="27" t="n">
        <v>13</v>
      </c>
      <c r="R23" s="27" t="n">
        <v>14</v>
      </c>
      <c r="S23" s="27" t="n">
        <v>15</v>
      </c>
      <c r="T23" s="27" t="n">
        <v>16</v>
      </c>
      <c r="U23" s="27" t="n">
        <v>17</v>
      </c>
      <c r="V23" s="27" t="n">
        <v>18</v>
      </c>
      <c r="W23" s="27" t="n">
        <v>19</v>
      </c>
      <c r="X23" s="27" t="n">
        <v>20</v>
      </c>
      <c r="Y23" s="27" t="n">
        <v>21</v>
      </c>
      <c r="Z23" s="27" t="n">
        <v>22</v>
      </c>
      <c r="AA23" s="27" t="n">
        <v>23</v>
      </c>
      <c r="AB23" s="27" t="n">
        <v>24</v>
      </c>
      <c r="AC23" s="27" t="n">
        <v>25</v>
      </c>
      <c r="AD23" s="27" t="n">
        <v>26</v>
      </c>
      <c r="AE23" s="27" t="n">
        <v>27</v>
      </c>
      <c r="AF23" s="27" t="n">
        <v>28</v>
      </c>
      <c r="AG23" s="27" t="n">
        <v>29</v>
      </c>
      <c r="AH23" s="27" t="n">
        <v>30</v>
      </c>
      <c r="AI23" s="27" t="n">
        <v>31</v>
      </c>
      <c r="AJ23" s="27" t="n">
        <v>32</v>
      </c>
      <c r="AK23" s="27" t="n">
        <v>33</v>
      </c>
      <c r="AL23" s="27" t="n">
        <v>34</v>
      </c>
      <c r="AM23" s="27" t="n">
        <v>35</v>
      </c>
      <c r="AN23" s="27" t="n">
        <v>36</v>
      </c>
      <c r="AO23" s="27" t="n">
        <v>37</v>
      </c>
      <c r="AP23" s="27" t="n">
        <v>38</v>
      </c>
      <c r="AQ23" s="27" t="n">
        <v>39</v>
      </c>
      <c r="AR23" s="27" t="n">
        <v>40</v>
      </c>
      <c r="AS23" s="27" t="n">
        <v>41</v>
      </c>
      <c r="AT23" s="27" t="n">
        <v>42</v>
      </c>
      <c r="AU23" s="27" t="n">
        <v>43</v>
      </c>
      <c r="AV23" s="27" t="n">
        <v>44</v>
      </c>
      <c r="AW23" s="27" t="n">
        <v>45</v>
      </c>
      <c r="AX23" s="27" t="n">
        <v>46</v>
      </c>
      <c r="AY23" s="27" t="n">
        <v>47</v>
      </c>
      <c r="AZ23" s="27" t="n">
        <v>48</v>
      </c>
      <c r="BA23" s="27" t="n">
        <v>49</v>
      </c>
      <c r="BB23" s="27" t="n">
        <v>50</v>
      </c>
      <c r="BC23" s="27" t="n">
        <v>51</v>
      </c>
      <c r="BD23" s="27" t="n">
        <v>52</v>
      </c>
      <c r="BE23" s="27" t="n">
        <v>53</v>
      </c>
      <c r="BF23" s="27" t="n">
        <v>54</v>
      </c>
      <c r="BG23" s="27" t="n">
        <v>55</v>
      </c>
      <c r="BH23" s="27" t="n">
        <v>56</v>
      </c>
      <c r="BI23" s="27" t="n">
        <v>57</v>
      </c>
      <c r="BJ23" s="27" t="n">
        <v>58</v>
      </c>
      <c r="BK23" s="27" t="n">
        <v>59</v>
      </c>
      <c r="BL23" s="27" t="n">
        <v>60</v>
      </c>
      <c r="BM23" s="27" t="n">
        <v>61</v>
      </c>
      <c r="BN23" s="27" t="n">
        <v>62</v>
      </c>
      <c r="BO23" s="27" t="n">
        <v>63</v>
      </c>
      <c r="BP23" s="27" t="n">
        <v>64</v>
      </c>
      <c r="BQ23" s="27" t="n">
        <v>65</v>
      </c>
      <c r="BR23" s="27" t="n">
        <v>66</v>
      </c>
      <c r="BS23" s="27" t="n">
        <v>67</v>
      </c>
      <c r="BT23" s="27" t="n">
        <v>68</v>
      </c>
      <c r="BU23" s="27" t="n">
        <v>69</v>
      </c>
      <c r="BV23" s="27" t="n">
        <v>70</v>
      </c>
      <c r="BW23" s="27" t="n">
        <v>71</v>
      </c>
      <c r="BX23" s="27" t="n">
        <v>72</v>
      </c>
      <c r="BY23" s="27" t="n">
        <v>73</v>
      </c>
      <c r="BZ23" s="27" t="n">
        <v>74</v>
      </c>
      <c r="CA23" s="27" t="n">
        <v>75</v>
      </c>
      <c r="CB23" s="27" t="n">
        <v>76</v>
      </c>
      <c r="CC23" s="27" t="n">
        <v>77</v>
      </c>
      <c r="CD23" s="27" t="n">
        <v>78</v>
      </c>
      <c r="CE23" s="27" t="n">
        <v>79</v>
      </c>
      <c r="CF23" s="27" t="n">
        <v>80</v>
      </c>
      <c r="CG23" s="27" t="n">
        <v>81</v>
      </c>
      <c r="CH23" s="27" t="n">
        <v>82</v>
      </c>
      <c r="CI23" s="27" t="n">
        <v>83</v>
      </c>
      <c r="CJ23" s="27" t="n">
        <v>84</v>
      </c>
      <c r="CK23" s="27" t="n">
        <v>85</v>
      </c>
      <c r="CL23" s="27" t="n">
        <v>86</v>
      </c>
      <c r="CM23" s="27" t="n">
        <v>87</v>
      </c>
      <c r="CN23" s="27" t="n">
        <v>88</v>
      </c>
      <c r="CO23" s="27" t="n">
        <v>89</v>
      </c>
      <c r="CP23" s="27" t="n">
        <v>90</v>
      </c>
      <c r="CQ23" s="27" t="n">
        <v>91</v>
      </c>
      <c r="CR23" s="27" t="n">
        <v>92</v>
      </c>
      <c r="CS23" s="27" t="n">
        <v>93</v>
      </c>
      <c r="CT23" s="27" t="n">
        <v>94</v>
      </c>
      <c r="CU23" s="27" t="n">
        <v>95</v>
      </c>
      <c r="CV23" s="27" t="n">
        <v>96</v>
      </c>
      <c r="CW23" s="27" t="n">
        <v>97</v>
      </c>
      <c r="CX23" s="27" t="n">
        <v>98</v>
      </c>
      <c r="CY23" s="27" t="n">
        <v>99</v>
      </c>
      <c r="CZ23" s="27" t="n">
        <v>100</v>
      </c>
      <c r="DA23" s="27" t="n">
        <v>101</v>
      </c>
      <c r="DB23" s="27" t="n">
        <v>102</v>
      </c>
      <c r="DC23" s="27" t="n">
        <v>103</v>
      </c>
      <c r="DD23" s="27" t="n">
        <v>104</v>
      </c>
      <c r="DE23" s="27" t="n">
        <v>105</v>
      </c>
      <c r="DF23" s="27" t="n">
        <v>106</v>
      </c>
      <c r="DG23" s="27" t="n">
        <v>107</v>
      </c>
      <c r="DH23" s="27" t="n">
        <v>108</v>
      </c>
      <c r="DI23" s="27" t="n">
        <v>109</v>
      </c>
      <c r="DJ23" s="27" t="n">
        <v>110</v>
      </c>
      <c r="DK23" s="27" t="n">
        <v>111</v>
      </c>
      <c r="DL23" s="27" t="n">
        <v>112</v>
      </c>
      <c r="DM23" s="27" t="n">
        <v>113</v>
      </c>
      <c r="DN23" s="27" t="n">
        <v>114</v>
      </c>
      <c r="DO23" s="27" t="n">
        <v>115</v>
      </c>
      <c r="DP23" s="27" t="n">
        <v>116</v>
      </c>
      <c r="DQ23" s="27" t="n">
        <v>117</v>
      </c>
      <c r="DR23" s="27" t="n">
        <v>118</v>
      </c>
      <c r="DS23" s="27" t="n">
        <v>119</v>
      </c>
      <c r="DT23" s="27" t="n">
        <v>120</v>
      </c>
      <c r="DU23" s="27" t="n">
        <v>121</v>
      </c>
      <c r="DV23" s="27" t="n">
        <v>122</v>
      </c>
      <c r="DW23" s="27" t="n">
        <v>123</v>
      </c>
      <c r="DX23" s="27" t="n">
        <v>124</v>
      </c>
      <c r="DY23" s="27" t="n">
        <v>125</v>
      </c>
      <c r="DZ23" s="27" t="n">
        <v>126</v>
      </c>
      <c r="EA23" s="27" t="n">
        <v>127</v>
      </c>
      <c r="EB23" s="27" t="n">
        <v>128</v>
      </c>
      <c r="EC23" s="27" t="n">
        <v>129</v>
      </c>
      <c r="ED23" s="27" t="n">
        <v>130</v>
      </c>
      <c r="EE23" s="27" t="n">
        <v>131</v>
      </c>
      <c r="EF23" s="27" t="n">
        <v>132</v>
      </c>
      <c r="EG23" s="27" t="n">
        <v>133</v>
      </c>
      <c r="EH23" s="27" t="n">
        <v>134</v>
      </c>
      <c r="EI23" s="27" t="n">
        <v>135</v>
      </c>
      <c r="EJ23" s="27" t="n">
        <v>136</v>
      </c>
      <c r="EK23" s="27" t="n">
        <v>137</v>
      </c>
      <c r="EL23" s="27" t="n">
        <v>138</v>
      </c>
      <c r="EM23" s="27" t="n">
        <v>139</v>
      </c>
      <c r="EN23" s="27" t="n">
        <v>140</v>
      </c>
      <c r="EO23" s="27" t="n">
        <v>141</v>
      </c>
      <c r="EP23" s="27" t="n">
        <v>142</v>
      </c>
      <c r="EQ23" s="27" t="n">
        <v>143</v>
      </c>
      <c r="ER23" s="27" t="n">
        <v>144</v>
      </c>
      <c r="ES23" s="27" t="n">
        <v>145</v>
      </c>
      <c r="ET23" s="27" t="n">
        <v>146</v>
      </c>
      <c r="EU23" s="27" t="n">
        <v>147</v>
      </c>
      <c r="EV23" s="27" t="n">
        <v>148</v>
      </c>
      <c r="EW23" s="27" t="n">
        <v>149</v>
      </c>
      <c r="EX23" s="27" t="n">
        <v>150</v>
      </c>
      <c r="EY23" s="27" t="n">
        <v>151</v>
      </c>
      <c r="EZ23" s="27" t="n">
        <v>152</v>
      </c>
      <c r="FA23" s="27" t="n">
        <v>153</v>
      </c>
      <c r="FB23" s="27" t="n">
        <v>154</v>
      </c>
      <c r="FC23" s="27" t="n">
        <v>155</v>
      </c>
      <c r="FD23" s="27" t="n">
        <v>156</v>
      </c>
      <c r="FE23" s="27" t="n">
        <v>157</v>
      </c>
      <c r="FF23" s="27" t="n">
        <v>158</v>
      </c>
      <c r="FG23" s="27" t="n">
        <v>159</v>
      </c>
      <c r="FH23" s="27" t="n">
        <v>160</v>
      </c>
      <c r="FI23" s="27" t="n">
        <v>161</v>
      </c>
      <c r="FJ23" s="27" t="n">
        <v>162</v>
      </c>
      <c r="FK23" s="27" t="n">
        <v>163</v>
      </c>
      <c r="FL23" s="27" t="n">
        <v>164</v>
      </c>
      <c r="FM23" s="27" t="n">
        <v>165</v>
      </c>
      <c r="FN23" s="27" t="n">
        <v>166</v>
      </c>
      <c r="FO23" s="27" t="n">
        <v>167</v>
      </c>
      <c r="FP23" s="27" t="n">
        <v>168</v>
      </c>
      <c r="FQ23" s="27" t="n">
        <v>169</v>
      </c>
      <c r="FR23" s="27" t="n">
        <v>170</v>
      </c>
      <c r="FS23" s="27" t="n">
        <v>171</v>
      </c>
      <c r="FT23" s="27" t="n">
        <v>172</v>
      </c>
      <c r="FU23" s="27" t="n">
        <v>173</v>
      </c>
      <c r="FV23" s="27" t="n">
        <v>174</v>
      </c>
      <c r="FW23" s="27" t="n">
        <v>175</v>
      </c>
      <c r="FX23" s="27" t="n">
        <v>176</v>
      </c>
      <c r="FY23" s="27" t="n">
        <v>177</v>
      </c>
      <c r="FZ23" s="27" t="n">
        <v>178</v>
      </c>
      <c r="GA23" s="27" t="n">
        <v>179</v>
      </c>
      <c r="GB23" s="27" t="n">
        <v>180</v>
      </c>
      <c r="GC23" s="27" t="n">
        <v>181</v>
      </c>
      <c r="GD23" s="27" t="n">
        <v>182</v>
      </c>
      <c r="GE23" s="27" t="n">
        <v>183</v>
      </c>
      <c r="GF23" s="27" t="n">
        <v>184</v>
      </c>
      <c r="GG23" s="27" t="n">
        <v>185</v>
      </c>
      <c r="GH23" s="27" t="n">
        <v>186</v>
      </c>
      <c r="GI23" s="27" t="n">
        <v>187</v>
      </c>
      <c r="GJ23" s="27" t="n">
        <v>188</v>
      </c>
      <c r="GK23" s="27" t="n">
        <v>189</v>
      </c>
      <c r="GL23" s="27" t="n">
        <v>190</v>
      </c>
      <c r="GM23" s="27" t="n">
        <v>191</v>
      </c>
      <c r="GN23" s="27" t="n">
        <v>192</v>
      </c>
      <c r="GO23" s="27" t="n">
        <v>193</v>
      </c>
      <c r="GP23" s="27" t="n">
        <v>194</v>
      </c>
      <c r="GQ23" s="27" t="n">
        <v>195</v>
      </c>
      <c r="GR23" s="27" t="n">
        <v>196</v>
      </c>
      <c r="GS23" s="27" t="n">
        <v>197</v>
      </c>
      <c r="GT23" s="27" t="n">
        <v>198</v>
      </c>
      <c r="GU23" s="27" t="n">
        <v>199</v>
      </c>
      <c r="GV23" s="27" t="n">
        <v>200</v>
      </c>
      <c r="GW23" s="27" t="n">
        <v>201</v>
      </c>
      <c r="GX23" s="27" t="n">
        <v>202</v>
      </c>
      <c r="GY23" s="27" t="n">
        <v>203</v>
      </c>
      <c r="GZ23" s="27" t="n">
        <v>204</v>
      </c>
      <c r="HA23" s="27" t="n">
        <v>205</v>
      </c>
      <c r="HB23" s="27" t="n">
        <v>206</v>
      </c>
      <c r="HC23" s="27" t="n">
        <v>207</v>
      </c>
      <c r="HD23" s="27" t="n">
        <v>208</v>
      </c>
      <c r="HE23" s="27" t="n">
        <v>209</v>
      </c>
      <c r="HF23" s="27" t="n">
        <v>210</v>
      </c>
      <c r="HG23" s="27" t="n">
        <v>211</v>
      </c>
      <c r="HH23" s="27" t="n">
        <v>212</v>
      </c>
      <c r="HI23" s="27" t="n">
        <v>213</v>
      </c>
      <c r="HJ23" s="27" t="n">
        <v>214</v>
      </c>
      <c r="HK23" s="27" t="n">
        <v>215</v>
      </c>
      <c r="HL23" s="27" t="n">
        <v>216</v>
      </c>
      <c r="HM23" s="27" t="n">
        <v>217</v>
      </c>
      <c r="HN23" s="27" t="n">
        <v>218</v>
      </c>
      <c r="HO23" s="27" t="n">
        <v>219</v>
      </c>
      <c r="HP23" s="27" t="n">
        <v>220</v>
      </c>
      <c r="HQ23" s="27" t="n">
        <v>221</v>
      </c>
      <c r="HR23" s="27" t="n">
        <v>222</v>
      </c>
      <c r="HS23" s="27" t="n">
        <v>223</v>
      </c>
      <c r="HT23" s="27" t="n">
        <v>224</v>
      </c>
      <c r="HU23" s="27" t="n">
        <v>225</v>
      </c>
      <c r="HV23" s="27" t="n">
        <v>226</v>
      </c>
      <c r="HW23" s="27" t="n">
        <v>227</v>
      </c>
      <c r="HX23" s="27" t="n">
        <v>228</v>
      </c>
      <c r="HY23" s="27" t="n">
        <v>229</v>
      </c>
      <c r="HZ23" s="27" t="n">
        <v>230</v>
      </c>
      <c r="IA23" s="27" t="n">
        <v>231</v>
      </c>
      <c r="IB23" s="27" t="n">
        <v>232</v>
      </c>
      <c r="IC23" s="27" t="n">
        <v>233</v>
      </c>
      <c r="ID23" s="27" t="n">
        <v>234</v>
      </c>
      <c r="IE23" s="27" t="n">
        <v>235</v>
      </c>
      <c r="IF23" s="27" t="n">
        <v>236</v>
      </c>
      <c r="IG23" s="27" t="n">
        <v>237</v>
      </c>
      <c r="IH23" s="27" t="n">
        <v>238</v>
      </c>
      <c r="II23" s="27" t="n">
        <v>239</v>
      </c>
      <c r="IJ23" s="27" t="n">
        <v>240</v>
      </c>
      <c r="IK23" s="27" t="n">
        <v>241</v>
      </c>
      <c r="IL23" s="27" t="n">
        <v>242</v>
      </c>
      <c r="IM23" s="27" t="n">
        <v>243</v>
      </c>
      <c r="IN23" s="27" t="n">
        <v>244</v>
      </c>
      <c r="IO23" s="27" t="n">
        <v>245</v>
      </c>
      <c r="IP23" s="27" t="n">
        <v>246</v>
      </c>
      <c r="IQ23" s="27" t="n">
        <v>247</v>
      </c>
      <c r="IR23" s="27" t="n">
        <v>248</v>
      </c>
      <c r="IS23" s="27" t="n">
        <v>249</v>
      </c>
      <c r="IT23" s="27" t="n">
        <v>250</v>
      </c>
      <c r="IU23" s="27" t="n">
        <v>251</v>
      </c>
      <c r="IV23" s="27" t="n">
        <v>252</v>
      </c>
      <c r="IW23" s="27" t="n">
        <v>253</v>
      </c>
      <c r="IX23" s="27" t="n">
        <v>254</v>
      </c>
      <c r="IY23" s="27" t="n">
        <v>255</v>
      </c>
      <c r="IZ23" s="27" t="n">
        <v>256</v>
      </c>
      <c r="JA23" s="27" t="n">
        <v>257</v>
      </c>
      <c r="JB23" s="27" t="n">
        <v>258</v>
      </c>
      <c r="JC23" s="27" t="n">
        <v>259</v>
      </c>
      <c r="JD23" s="27" t="n">
        <v>260</v>
      </c>
      <c r="JE23" s="27" t="n">
        <v>261</v>
      </c>
      <c r="JF23" s="27" t="n">
        <v>262</v>
      </c>
      <c r="JG23" s="27" t="n">
        <v>263</v>
      </c>
      <c r="JH23" s="27" t="n">
        <v>264</v>
      </c>
      <c r="JI23" s="27" t="n">
        <v>265</v>
      </c>
      <c r="JJ23" s="27" t="n">
        <v>266</v>
      </c>
      <c r="JK23" s="27" t="n">
        <v>267</v>
      </c>
      <c r="JL23" s="27" t="n">
        <v>268</v>
      </c>
      <c r="JM23" s="27" t="n">
        <v>269</v>
      </c>
      <c r="JN23" s="27" t="n">
        <v>270</v>
      </c>
      <c r="JO23" s="27" t="n">
        <v>271</v>
      </c>
      <c r="JP23" s="27" t="n">
        <v>272</v>
      </c>
      <c r="JQ23" s="27" t="n">
        <v>273</v>
      </c>
      <c r="JR23" s="27" t="n">
        <v>274</v>
      </c>
      <c r="JS23" s="27" t="n">
        <v>275</v>
      </c>
      <c r="JT23" s="27" t="n">
        <v>276</v>
      </c>
      <c r="JU23" s="27" t="n">
        <v>277</v>
      </c>
      <c r="JV23" s="27" t="n">
        <v>278</v>
      </c>
      <c r="JW23" s="27" t="n">
        <v>279</v>
      </c>
      <c r="JX23" s="27" t="n">
        <v>280</v>
      </c>
      <c r="JY23" s="27" t="n">
        <v>281</v>
      </c>
      <c r="JZ23" s="27" t="n">
        <v>282</v>
      </c>
      <c r="KA23" s="27" t="n">
        <v>283</v>
      </c>
      <c r="KB23" s="27" t="n">
        <v>284</v>
      </c>
      <c r="KC23" s="27" t="n">
        <v>285</v>
      </c>
      <c r="KD23" s="27" t="n">
        <v>286</v>
      </c>
      <c r="KE23" s="27" t="n">
        <v>287</v>
      </c>
      <c r="KF23" s="27" t="n">
        <v>288</v>
      </c>
      <c r="KG23" s="27" t="n">
        <v>289</v>
      </c>
      <c r="KH23" s="27" t="n">
        <v>290</v>
      </c>
      <c r="KI23" s="27" t="n">
        <v>291</v>
      </c>
      <c r="KJ23" s="27" t="n">
        <v>292</v>
      </c>
      <c r="KK23" s="27" t="n">
        <v>293</v>
      </c>
      <c r="KL23" s="27" t="n">
        <v>294</v>
      </c>
      <c r="KM23" s="27" t="n">
        <v>295</v>
      </c>
      <c r="KN23" s="27" t="n">
        <v>296</v>
      </c>
      <c r="KO23" s="27" t="n">
        <v>297</v>
      </c>
      <c r="KP23" s="27" t="n">
        <v>298</v>
      </c>
      <c r="KQ23" s="27" t="n">
        <v>299</v>
      </c>
      <c r="KR23" s="27" t="n">
        <v>300</v>
      </c>
      <c r="KS23" s="27" t="n">
        <v>301</v>
      </c>
      <c r="KT23" s="27" t="n">
        <v>302</v>
      </c>
      <c r="KU23" s="27" t="n">
        <v>303</v>
      </c>
      <c r="KV23" s="27" t="n">
        <v>304</v>
      </c>
      <c r="KW23" s="27" t="n">
        <v>305</v>
      </c>
      <c r="KX23" s="27" t="n">
        <v>306</v>
      </c>
      <c r="KY23" s="27" t="n">
        <v>307</v>
      </c>
      <c r="KZ23" s="27" t="n">
        <v>308</v>
      </c>
      <c r="LA23" s="27" t="n">
        <v>309</v>
      </c>
      <c r="LB23" s="27" t="n">
        <v>310</v>
      </c>
      <c r="LC23" s="27" t="n">
        <v>311</v>
      </c>
      <c r="LD23" s="27" t="n">
        <v>312</v>
      </c>
      <c r="LE23" s="27" t="n">
        <v>313</v>
      </c>
      <c r="LF23" s="27" t="n">
        <v>314</v>
      </c>
      <c r="LG23" s="27" t="n">
        <v>315</v>
      </c>
      <c r="LH23" s="27" t="n">
        <v>316</v>
      </c>
      <c r="LI23" s="27" t="n">
        <v>317</v>
      </c>
      <c r="LJ23" s="27" t="n">
        <v>318</v>
      </c>
      <c r="LK23" s="27" t="n">
        <v>319</v>
      </c>
      <c r="LL23" s="27" t="n">
        <v>320</v>
      </c>
      <c r="LM23" s="27" t="n">
        <v>321</v>
      </c>
      <c r="LN23" s="27" t="n">
        <v>322</v>
      </c>
      <c r="LO23" s="27" t="n">
        <v>323</v>
      </c>
      <c r="LP23" s="27" t="n">
        <v>324</v>
      </c>
      <c r="LQ23" s="27" t="n">
        <v>325</v>
      </c>
      <c r="LR23" s="27" t="n">
        <v>326</v>
      </c>
      <c r="LS23" s="27" t="n">
        <v>327</v>
      </c>
      <c r="LT23" s="27" t="n">
        <v>328</v>
      </c>
      <c r="LU23" s="27" t="n">
        <v>329</v>
      </c>
      <c r="LV23" s="27" t="n">
        <v>330</v>
      </c>
      <c r="LW23" s="27" t="n">
        <v>331</v>
      </c>
      <c r="LX23" s="27" t="n">
        <v>332</v>
      </c>
      <c r="LY23" s="27" t="n">
        <v>333</v>
      </c>
      <c r="LZ23" s="27" t="n">
        <v>334</v>
      </c>
      <c r="MA23" s="27" t="n">
        <v>335</v>
      </c>
      <c r="MB23" s="27" t="n">
        <v>336</v>
      </c>
      <c r="MC23" s="27" t="n">
        <v>337</v>
      </c>
      <c r="MD23" s="27" t="n">
        <v>338</v>
      </c>
      <c r="ME23" s="27" t="n">
        <v>339</v>
      </c>
      <c r="MF23" s="27" t="n">
        <v>340</v>
      </c>
      <c r="MG23" s="27" t="n">
        <v>341</v>
      </c>
      <c r="MH23" s="27" t="n">
        <v>342</v>
      </c>
      <c r="MI23" s="27" t="n">
        <v>343</v>
      </c>
      <c r="MJ23" s="27" t="n">
        <v>344</v>
      </c>
      <c r="MK23" s="27" t="n">
        <v>345</v>
      </c>
      <c r="ML23" s="27" t="n">
        <v>346</v>
      </c>
      <c r="MM23" s="27" t="n">
        <v>347</v>
      </c>
      <c r="MN23" s="27" t="n">
        <v>348</v>
      </c>
      <c r="MO23" s="27" t="n">
        <v>349</v>
      </c>
      <c r="MP23" s="27" t="n">
        <v>350</v>
      </c>
      <c r="MQ23" s="27" t="n">
        <v>351</v>
      </c>
      <c r="MR23" s="27" t="n">
        <v>352</v>
      </c>
      <c r="MS23" s="27" t="n">
        <v>353</v>
      </c>
      <c r="MT23" s="27" t="n">
        <v>354</v>
      </c>
      <c r="MU23" s="27" t="n">
        <v>355</v>
      </c>
      <c r="MV23" s="27" t="n">
        <v>356</v>
      </c>
      <c r="MW23" s="27" t="n">
        <v>357</v>
      </c>
      <c r="MX23" s="27" t="n">
        <v>358</v>
      </c>
      <c r="MY23" s="27" t="n">
        <v>359</v>
      </c>
      <c r="MZ23" s="27" t="n">
        <v>360</v>
      </c>
      <c r="NA23" s="27" t="n">
        <v>361</v>
      </c>
      <c r="NB23" s="27" t="n">
        <v>362</v>
      </c>
      <c r="NC23" s="27" t="n">
        <v>363</v>
      </c>
      <c r="ND23" s="27" t="n">
        <v>364</v>
      </c>
      <c r="NE23" s="27" t="n">
        <v>365</v>
      </c>
      <c r="NF23" s="27" t="n">
        <v>366</v>
      </c>
      <c r="NG23" s="27" t="n">
        <v>367</v>
      </c>
      <c r="NH23" s="27" t="n">
        <v>368</v>
      </c>
      <c r="NI23" s="27" t="n">
        <v>369</v>
      </c>
      <c r="NJ23" s="27" t="n">
        <v>370</v>
      </c>
      <c r="NK23" s="27" t="n">
        <v>371</v>
      </c>
      <c r="NL23" s="27" t="n">
        <v>372</v>
      </c>
    </row>
    <row r="24">
      <c r="B24" s="123" t="inlineStr">
        <is>
          <t>Month Start</t>
        </is>
      </c>
      <c r="D24" s="53" t="n"/>
      <c r="E24" s="128">
        <f>EDATE(InceptionDate,0)</f>
        <v/>
      </c>
      <c r="F24" s="128">
        <f>EDATE(InceptionDate,1)</f>
        <v/>
      </c>
      <c r="G24" s="128">
        <f>EDATE(InceptionDate,2)</f>
        <v/>
      </c>
      <c r="H24" s="128">
        <f>EDATE(InceptionDate,3)</f>
        <v/>
      </c>
      <c r="I24" s="128">
        <f>EDATE(InceptionDate,4)</f>
        <v/>
      </c>
      <c r="J24" s="128">
        <f>EDATE(InceptionDate,5)</f>
        <v/>
      </c>
      <c r="K24" s="128">
        <f>EDATE(InceptionDate,6)</f>
        <v/>
      </c>
      <c r="L24" s="128">
        <f>EDATE(InceptionDate,7)</f>
        <v/>
      </c>
      <c r="M24" s="128">
        <f>EDATE(InceptionDate,8)</f>
        <v/>
      </c>
      <c r="N24" s="128">
        <f>EDATE(InceptionDate,9)</f>
        <v/>
      </c>
      <c r="O24" s="128">
        <f>EDATE(InceptionDate,10)</f>
        <v/>
      </c>
      <c r="P24" s="128">
        <f>EDATE(InceptionDate,11)</f>
        <v/>
      </c>
      <c r="Q24" s="128">
        <f>EDATE(InceptionDate,12)</f>
        <v/>
      </c>
      <c r="R24" s="128">
        <f>EDATE(InceptionDate,13)</f>
        <v/>
      </c>
      <c r="S24" s="128">
        <f>EDATE(InceptionDate,14)</f>
        <v/>
      </c>
      <c r="T24" s="128">
        <f>EDATE(InceptionDate,15)</f>
        <v/>
      </c>
      <c r="U24" s="128">
        <f>EDATE(InceptionDate,16)</f>
        <v/>
      </c>
      <c r="V24" s="128">
        <f>EDATE(InceptionDate,17)</f>
        <v/>
      </c>
      <c r="W24" s="128">
        <f>EDATE(InceptionDate,18)</f>
        <v/>
      </c>
      <c r="X24" s="128">
        <f>EDATE(InceptionDate,19)</f>
        <v/>
      </c>
      <c r="Y24" s="128">
        <f>EDATE(InceptionDate,20)</f>
        <v/>
      </c>
      <c r="Z24" s="128">
        <f>EDATE(InceptionDate,21)</f>
        <v/>
      </c>
      <c r="AA24" s="128">
        <f>EDATE(InceptionDate,22)</f>
        <v/>
      </c>
      <c r="AB24" s="128">
        <f>EDATE(InceptionDate,23)</f>
        <v/>
      </c>
      <c r="AC24" s="128">
        <f>EDATE(InceptionDate,24)</f>
        <v/>
      </c>
      <c r="AD24" s="128">
        <f>EDATE(InceptionDate,25)</f>
        <v/>
      </c>
      <c r="AE24" s="128">
        <f>EDATE(InceptionDate,26)</f>
        <v/>
      </c>
      <c r="AF24" s="128">
        <f>EDATE(InceptionDate,27)</f>
        <v/>
      </c>
      <c r="AG24" s="128">
        <f>EDATE(InceptionDate,28)</f>
        <v/>
      </c>
      <c r="AH24" s="128">
        <f>EDATE(InceptionDate,29)</f>
        <v/>
      </c>
      <c r="AI24" s="128">
        <f>EDATE(InceptionDate,30)</f>
        <v/>
      </c>
      <c r="AJ24" s="128">
        <f>EDATE(InceptionDate,31)</f>
        <v/>
      </c>
      <c r="AK24" s="128">
        <f>EDATE(InceptionDate,32)</f>
        <v/>
      </c>
      <c r="AL24" s="128">
        <f>EDATE(InceptionDate,33)</f>
        <v/>
      </c>
      <c r="AM24" s="128">
        <f>EDATE(InceptionDate,34)</f>
        <v/>
      </c>
      <c r="AN24" s="128">
        <f>EDATE(InceptionDate,35)</f>
        <v/>
      </c>
      <c r="AO24" s="128">
        <f>EDATE(InceptionDate,36)</f>
        <v/>
      </c>
      <c r="AP24" s="128">
        <f>EDATE(InceptionDate,37)</f>
        <v/>
      </c>
      <c r="AQ24" s="128">
        <f>EDATE(InceptionDate,38)</f>
        <v/>
      </c>
      <c r="AR24" s="128">
        <f>EDATE(InceptionDate,39)</f>
        <v/>
      </c>
      <c r="AS24" s="128">
        <f>EDATE(InceptionDate,40)</f>
        <v/>
      </c>
      <c r="AT24" s="128">
        <f>EDATE(InceptionDate,41)</f>
        <v/>
      </c>
      <c r="AU24" s="128">
        <f>EDATE(InceptionDate,42)</f>
        <v/>
      </c>
      <c r="AV24" s="128">
        <f>EDATE(InceptionDate,43)</f>
        <v/>
      </c>
      <c r="AW24" s="128">
        <f>EDATE(InceptionDate,44)</f>
        <v/>
      </c>
      <c r="AX24" s="128">
        <f>EDATE(InceptionDate,45)</f>
        <v/>
      </c>
      <c r="AY24" s="128">
        <f>EDATE(InceptionDate,46)</f>
        <v/>
      </c>
      <c r="AZ24" s="128">
        <f>EDATE(InceptionDate,47)</f>
        <v/>
      </c>
      <c r="BA24" s="128">
        <f>EDATE(InceptionDate,48)</f>
        <v/>
      </c>
      <c r="BB24" s="128">
        <f>EDATE(InceptionDate,49)</f>
        <v/>
      </c>
      <c r="BC24" s="128">
        <f>EDATE(InceptionDate,50)</f>
        <v/>
      </c>
      <c r="BD24" s="128">
        <f>EDATE(InceptionDate,51)</f>
        <v/>
      </c>
      <c r="BE24" s="128">
        <f>EDATE(InceptionDate,52)</f>
        <v/>
      </c>
      <c r="BF24" s="128">
        <f>EDATE(InceptionDate,53)</f>
        <v/>
      </c>
      <c r="BG24" s="128">
        <f>EDATE(InceptionDate,54)</f>
        <v/>
      </c>
      <c r="BH24" s="128">
        <f>EDATE(InceptionDate,55)</f>
        <v/>
      </c>
      <c r="BI24" s="128">
        <f>EDATE(InceptionDate,56)</f>
        <v/>
      </c>
      <c r="BJ24" s="128">
        <f>EDATE(InceptionDate,57)</f>
        <v/>
      </c>
      <c r="BK24" s="128">
        <f>EDATE(InceptionDate,58)</f>
        <v/>
      </c>
      <c r="BL24" s="128">
        <f>EDATE(InceptionDate,59)</f>
        <v/>
      </c>
      <c r="BM24" s="128">
        <f>EDATE(InceptionDate,60)</f>
        <v/>
      </c>
      <c r="BN24" s="128">
        <f>EDATE(InceptionDate,61)</f>
        <v/>
      </c>
      <c r="BO24" s="128">
        <f>EDATE(InceptionDate,62)</f>
        <v/>
      </c>
      <c r="BP24" s="128">
        <f>EDATE(InceptionDate,63)</f>
        <v/>
      </c>
      <c r="BQ24" s="128">
        <f>EDATE(InceptionDate,64)</f>
        <v/>
      </c>
      <c r="BR24" s="128">
        <f>EDATE(InceptionDate,65)</f>
        <v/>
      </c>
      <c r="BS24" s="128">
        <f>EDATE(InceptionDate,66)</f>
        <v/>
      </c>
      <c r="BT24" s="128">
        <f>EDATE(InceptionDate,67)</f>
        <v/>
      </c>
      <c r="BU24" s="128">
        <f>EDATE(InceptionDate,68)</f>
        <v/>
      </c>
      <c r="BV24" s="128">
        <f>EDATE(InceptionDate,69)</f>
        <v/>
      </c>
      <c r="BW24" s="128">
        <f>EDATE(InceptionDate,70)</f>
        <v/>
      </c>
      <c r="BX24" s="128">
        <f>EDATE(InceptionDate,71)</f>
        <v/>
      </c>
      <c r="BY24" s="128">
        <f>EDATE(InceptionDate,72)</f>
        <v/>
      </c>
      <c r="BZ24" s="128">
        <f>EDATE(InceptionDate,73)</f>
        <v/>
      </c>
      <c r="CA24" s="128">
        <f>EDATE(InceptionDate,74)</f>
        <v/>
      </c>
      <c r="CB24" s="128">
        <f>EDATE(InceptionDate,75)</f>
        <v/>
      </c>
      <c r="CC24" s="128">
        <f>EDATE(InceptionDate,76)</f>
        <v/>
      </c>
      <c r="CD24" s="128">
        <f>EDATE(InceptionDate,77)</f>
        <v/>
      </c>
      <c r="CE24" s="128">
        <f>EDATE(InceptionDate,78)</f>
        <v/>
      </c>
      <c r="CF24" s="128">
        <f>EDATE(InceptionDate,79)</f>
        <v/>
      </c>
      <c r="CG24" s="128">
        <f>EDATE(InceptionDate,80)</f>
        <v/>
      </c>
      <c r="CH24" s="128">
        <f>EDATE(InceptionDate,81)</f>
        <v/>
      </c>
      <c r="CI24" s="128">
        <f>EDATE(InceptionDate,82)</f>
        <v/>
      </c>
      <c r="CJ24" s="128">
        <f>EDATE(InceptionDate,83)</f>
        <v/>
      </c>
      <c r="CK24" s="128">
        <f>EDATE(InceptionDate,84)</f>
        <v/>
      </c>
      <c r="CL24" s="128">
        <f>EDATE(InceptionDate,85)</f>
        <v/>
      </c>
      <c r="CM24" s="128">
        <f>EDATE(InceptionDate,86)</f>
        <v/>
      </c>
      <c r="CN24" s="128">
        <f>EDATE(InceptionDate,87)</f>
        <v/>
      </c>
      <c r="CO24" s="128">
        <f>EDATE(InceptionDate,88)</f>
        <v/>
      </c>
      <c r="CP24" s="128">
        <f>EDATE(InceptionDate,89)</f>
        <v/>
      </c>
      <c r="CQ24" s="128">
        <f>EDATE(InceptionDate,90)</f>
        <v/>
      </c>
      <c r="CR24" s="128">
        <f>EDATE(InceptionDate,91)</f>
        <v/>
      </c>
      <c r="CS24" s="128">
        <f>EDATE(InceptionDate,92)</f>
        <v/>
      </c>
      <c r="CT24" s="128">
        <f>EDATE(InceptionDate,93)</f>
        <v/>
      </c>
      <c r="CU24" s="128">
        <f>EDATE(InceptionDate,94)</f>
        <v/>
      </c>
      <c r="CV24" s="128">
        <f>EDATE(InceptionDate,95)</f>
        <v/>
      </c>
      <c r="CW24" s="128">
        <f>EDATE(InceptionDate,96)</f>
        <v/>
      </c>
      <c r="CX24" s="128">
        <f>EDATE(InceptionDate,97)</f>
        <v/>
      </c>
      <c r="CY24" s="128">
        <f>EDATE(InceptionDate,98)</f>
        <v/>
      </c>
      <c r="CZ24" s="128">
        <f>EDATE(InceptionDate,99)</f>
        <v/>
      </c>
      <c r="DA24" s="128">
        <f>EDATE(InceptionDate,100)</f>
        <v/>
      </c>
      <c r="DB24" s="128">
        <f>EDATE(InceptionDate,101)</f>
        <v/>
      </c>
      <c r="DC24" s="128">
        <f>EDATE(InceptionDate,102)</f>
        <v/>
      </c>
      <c r="DD24" s="128">
        <f>EDATE(InceptionDate,103)</f>
        <v/>
      </c>
      <c r="DE24" s="128">
        <f>EDATE(InceptionDate,104)</f>
        <v/>
      </c>
      <c r="DF24" s="128">
        <f>EDATE(InceptionDate,105)</f>
        <v/>
      </c>
      <c r="DG24" s="128">
        <f>EDATE(InceptionDate,106)</f>
        <v/>
      </c>
      <c r="DH24" s="128">
        <f>EDATE(InceptionDate,107)</f>
        <v/>
      </c>
      <c r="DI24" s="128">
        <f>EDATE(InceptionDate,108)</f>
        <v/>
      </c>
      <c r="DJ24" s="128">
        <f>EDATE(InceptionDate,109)</f>
        <v/>
      </c>
      <c r="DK24" s="128">
        <f>EDATE(InceptionDate,110)</f>
        <v/>
      </c>
      <c r="DL24" s="128">
        <f>EDATE(InceptionDate,111)</f>
        <v/>
      </c>
      <c r="DM24" s="128">
        <f>EDATE(InceptionDate,112)</f>
        <v/>
      </c>
      <c r="DN24" s="128">
        <f>EDATE(InceptionDate,113)</f>
        <v/>
      </c>
      <c r="DO24" s="128">
        <f>EDATE(InceptionDate,114)</f>
        <v/>
      </c>
      <c r="DP24" s="128">
        <f>EDATE(InceptionDate,115)</f>
        <v/>
      </c>
      <c r="DQ24" s="128">
        <f>EDATE(InceptionDate,116)</f>
        <v/>
      </c>
      <c r="DR24" s="128">
        <f>EDATE(InceptionDate,117)</f>
        <v/>
      </c>
      <c r="DS24" s="128">
        <f>EDATE(InceptionDate,118)</f>
        <v/>
      </c>
      <c r="DT24" s="128">
        <f>EDATE(InceptionDate,119)</f>
        <v/>
      </c>
      <c r="DU24" s="128">
        <f>EDATE(InceptionDate,120)</f>
        <v/>
      </c>
      <c r="DV24" s="128">
        <f>EDATE(InceptionDate,121)</f>
        <v/>
      </c>
      <c r="DW24" s="128">
        <f>EDATE(InceptionDate,122)</f>
        <v/>
      </c>
      <c r="DX24" s="128">
        <f>EDATE(InceptionDate,123)</f>
        <v/>
      </c>
      <c r="DY24" s="128">
        <f>EDATE(InceptionDate,124)</f>
        <v/>
      </c>
      <c r="DZ24" s="128">
        <f>EDATE(InceptionDate,125)</f>
        <v/>
      </c>
      <c r="EA24" s="128">
        <f>EDATE(InceptionDate,126)</f>
        <v/>
      </c>
      <c r="EB24" s="128">
        <f>EDATE(InceptionDate,127)</f>
        <v/>
      </c>
      <c r="EC24" s="128">
        <f>EDATE(InceptionDate,128)</f>
        <v/>
      </c>
      <c r="ED24" s="128">
        <f>EDATE(InceptionDate,129)</f>
        <v/>
      </c>
      <c r="EE24" s="128">
        <f>EDATE(InceptionDate,130)</f>
        <v/>
      </c>
      <c r="EF24" s="128">
        <f>EDATE(InceptionDate,131)</f>
        <v/>
      </c>
      <c r="EG24" s="128">
        <f>EDATE(InceptionDate,132)</f>
        <v/>
      </c>
      <c r="EH24" s="128">
        <f>EDATE(InceptionDate,133)</f>
        <v/>
      </c>
      <c r="EI24" s="128">
        <f>EDATE(InceptionDate,134)</f>
        <v/>
      </c>
      <c r="EJ24" s="128">
        <f>EDATE(InceptionDate,135)</f>
        <v/>
      </c>
      <c r="EK24" s="128">
        <f>EDATE(InceptionDate,136)</f>
        <v/>
      </c>
      <c r="EL24" s="128">
        <f>EDATE(InceptionDate,137)</f>
        <v/>
      </c>
      <c r="EM24" s="128">
        <f>EDATE(InceptionDate,138)</f>
        <v/>
      </c>
      <c r="EN24" s="128">
        <f>EDATE(InceptionDate,139)</f>
        <v/>
      </c>
      <c r="EO24" s="128">
        <f>EDATE(InceptionDate,140)</f>
        <v/>
      </c>
      <c r="EP24" s="128">
        <f>EDATE(InceptionDate,141)</f>
        <v/>
      </c>
      <c r="EQ24" s="128">
        <f>EDATE(InceptionDate,142)</f>
        <v/>
      </c>
      <c r="ER24" s="128">
        <f>EDATE(InceptionDate,143)</f>
        <v/>
      </c>
      <c r="ES24" s="128">
        <f>EDATE(InceptionDate,144)</f>
        <v/>
      </c>
      <c r="ET24" s="128">
        <f>EDATE(InceptionDate,145)</f>
        <v/>
      </c>
      <c r="EU24" s="128">
        <f>EDATE(InceptionDate,146)</f>
        <v/>
      </c>
      <c r="EV24" s="128">
        <f>EDATE(InceptionDate,147)</f>
        <v/>
      </c>
      <c r="EW24" s="128">
        <f>EDATE(InceptionDate,148)</f>
        <v/>
      </c>
      <c r="EX24" s="128">
        <f>EDATE(InceptionDate,149)</f>
        <v/>
      </c>
      <c r="EY24" s="128">
        <f>EDATE(InceptionDate,150)</f>
        <v/>
      </c>
      <c r="EZ24" s="128">
        <f>EDATE(InceptionDate,151)</f>
        <v/>
      </c>
      <c r="FA24" s="128">
        <f>EDATE(InceptionDate,152)</f>
        <v/>
      </c>
      <c r="FB24" s="128">
        <f>EDATE(InceptionDate,153)</f>
        <v/>
      </c>
      <c r="FC24" s="128">
        <f>EDATE(InceptionDate,154)</f>
        <v/>
      </c>
      <c r="FD24" s="128">
        <f>EDATE(InceptionDate,155)</f>
        <v/>
      </c>
      <c r="FE24" s="128">
        <f>EDATE(InceptionDate,156)</f>
        <v/>
      </c>
      <c r="FF24" s="128">
        <f>EDATE(InceptionDate,157)</f>
        <v/>
      </c>
      <c r="FG24" s="128">
        <f>EDATE(InceptionDate,158)</f>
        <v/>
      </c>
      <c r="FH24" s="128">
        <f>EDATE(InceptionDate,159)</f>
        <v/>
      </c>
      <c r="FI24" s="128">
        <f>EDATE(InceptionDate,160)</f>
        <v/>
      </c>
      <c r="FJ24" s="128">
        <f>EDATE(InceptionDate,161)</f>
        <v/>
      </c>
      <c r="FK24" s="128">
        <f>EDATE(InceptionDate,162)</f>
        <v/>
      </c>
      <c r="FL24" s="128">
        <f>EDATE(InceptionDate,163)</f>
        <v/>
      </c>
      <c r="FM24" s="128">
        <f>EDATE(InceptionDate,164)</f>
        <v/>
      </c>
      <c r="FN24" s="128">
        <f>EDATE(InceptionDate,165)</f>
        <v/>
      </c>
      <c r="FO24" s="128">
        <f>EDATE(InceptionDate,166)</f>
        <v/>
      </c>
      <c r="FP24" s="128">
        <f>EDATE(InceptionDate,167)</f>
        <v/>
      </c>
      <c r="FQ24" s="128">
        <f>EDATE(InceptionDate,168)</f>
        <v/>
      </c>
      <c r="FR24" s="128">
        <f>EDATE(InceptionDate,169)</f>
        <v/>
      </c>
      <c r="FS24" s="128">
        <f>EDATE(InceptionDate,170)</f>
        <v/>
      </c>
      <c r="FT24" s="128">
        <f>EDATE(InceptionDate,171)</f>
        <v/>
      </c>
      <c r="FU24" s="128">
        <f>EDATE(InceptionDate,172)</f>
        <v/>
      </c>
      <c r="FV24" s="128">
        <f>EDATE(InceptionDate,173)</f>
        <v/>
      </c>
      <c r="FW24" s="128">
        <f>EDATE(InceptionDate,174)</f>
        <v/>
      </c>
      <c r="FX24" s="128">
        <f>EDATE(InceptionDate,175)</f>
        <v/>
      </c>
      <c r="FY24" s="128">
        <f>EDATE(InceptionDate,176)</f>
        <v/>
      </c>
      <c r="FZ24" s="128">
        <f>EDATE(InceptionDate,177)</f>
        <v/>
      </c>
      <c r="GA24" s="128">
        <f>EDATE(InceptionDate,178)</f>
        <v/>
      </c>
      <c r="GB24" s="128">
        <f>EDATE(InceptionDate,179)</f>
        <v/>
      </c>
      <c r="GC24" s="128">
        <f>EDATE(InceptionDate,180)</f>
        <v/>
      </c>
      <c r="GD24" s="128">
        <f>EDATE(InceptionDate,181)</f>
        <v/>
      </c>
      <c r="GE24" s="128">
        <f>EDATE(InceptionDate,182)</f>
        <v/>
      </c>
      <c r="GF24" s="128">
        <f>EDATE(InceptionDate,183)</f>
        <v/>
      </c>
      <c r="GG24" s="128">
        <f>EDATE(InceptionDate,184)</f>
        <v/>
      </c>
      <c r="GH24" s="128">
        <f>EDATE(InceptionDate,185)</f>
        <v/>
      </c>
      <c r="GI24" s="128">
        <f>EDATE(InceptionDate,186)</f>
        <v/>
      </c>
      <c r="GJ24" s="128">
        <f>EDATE(InceptionDate,187)</f>
        <v/>
      </c>
      <c r="GK24" s="128">
        <f>EDATE(InceptionDate,188)</f>
        <v/>
      </c>
      <c r="GL24" s="128">
        <f>EDATE(InceptionDate,189)</f>
        <v/>
      </c>
      <c r="GM24" s="128">
        <f>EDATE(InceptionDate,190)</f>
        <v/>
      </c>
      <c r="GN24" s="128">
        <f>EDATE(InceptionDate,191)</f>
        <v/>
      </c>
      <c r="GO24" s="128">
        <f>EDATE(InceptionDate,192)</f>
        <v/>
      </c>
      <c r="GP24" s="128">
        <f>EDATE(InceptionDate,193)</f>
        <v/>
      </c>
      <c r="GQ24" s="128">
        <f>EDATE(InceptionDate,194)</f>
        <v/>
      </c>
      <c r="GR24" s="128">
        <f>EDATE(InceptionDate,195)</f>
        <v/>
      </c>
      <c r="GS24" s="128">
        <f>EDATE(InceptionDate,196)</f>
        <v/>
      </c>
      <c r="GT24" s="128">
        <f>EDATE(InceptionDate,197)</f>
        <v/>
      </c>
      <c r="GU24" s="128">
        <f>EDATE(InceptionDate,198)</f>
        <v/>
      </c>
      <c r="GV24" s="128">
        <f>EDATE(InceptionDate,199)</f>
        <v/>
      </c>
      <c r="GW24" s="128">
        <f>EDATE(InceptionDate,200)</f>
        <v/>
      </c>
      <c r="GX24" s="128">
        <f>EDATE(InceptionDate,201)</f>
        <v/>
      </c>
      <c r="GY24" s="128">
        <f>EDATE(InceptionDate,202)</f>
        <v/>
      </c>
      <c r="GZ24" s="128">
        <f>EDATE(InceptionDate,203)</f>
        <v/>
      </c>
      <c r="HA24" s="128">
        <f>EDATE(InceptionDate,204)</f>
        <v/>
      </c>
      <c r="HB24" s="128">
        <f>EDATE(InceptionDate,205)</f>
        <v/>
      </c>
      <c r="HC24" s="128">
        <f>EDATE(InceptionDate,206)</f>
        <v/>
      </c>
      <c r="HD24" s="128">
        <f>EDATE(InceptionDate,207)</f>
        <v/>
      </c>
      <c r="HE24" s="128">
        <f>EDATE(InceptionDate,208)</f>
        <v/>
      </c>
      <c r="HF24" s="128">
        <f>EDATE(InceptionDate,209)</f>
        <v/>
      </c>
      <c r="HG24" s="128">
        <f>EDATE(InceptionDate,210)</f>
        <v/>
      </c>
      <c r="HH24" s="128">
        <f>EDATE(InceptionDate,211)</f>
        <v/>
      </c>
      <c r="HI24" s="128">
        <f>EDATE(InceptionDate,212)</f>
        <v/>
      </c>
      <c r="HJ24" s="128">
        <f>EDATE(InceptionDate,213)</f>
        <v/>
      </c>
      <c r="HK24" s="128">
        <f>EDATE(InceptionDate,214)</f>
        <v/>
      </c>
      <c r="HL24" s="128">
        <f>EDATE(InceptionDate,215)</f>
        <v/>
      </c>
      <c r="HM24" s="128">
        <f>EDATE(InceptionDate,216)</f>
        <v/>
      </c>
      <c r="HN24" s="128">
        <f>EDATE(InceptionDate,217)</f>
        <v/>
      </c>
      <c r="HO24" s="128">
        <f>EDATE(InceptionDate,218)</f>
        <v/>
      </c>
      <c r="HP24" s="128">
        <f>EDATE(InceptionDate,219)</f>
        <v/>
      </c>
      <c r="HQ24" s="128">
        <f>EDATE(InceptionDate,220)</f>
        <v/>
      </c>
      <c r="HR24" s="128">
        <f>EDATE(InceptionDate,221)</f>
        <v/>
      </c>
      <c r="HS24" s="128">
        <f>EDATE(InceptionDate,222)</f>
        <v/>
      </c>
      <c r="HT24" s="128">
        <f>EDATE(InceptionDate,223)</f>
        <v/>
      </c>
      <c r="HU24" s="128">
        <f>EDATE(InceptionDate,224)</f>
        <v/>
      </c>
      <c r="HV24" s="128">
        <f>EDATE(InceptionDate,225)</f>
        <v/>
      </c>
      <c r="HW24" s="128">
        <f>EDATE(InceptionDate,226)</f>
        <v/>
      </c>
      <c r="HX24" s="128">
        <f>EDATE(InceptionDate,227)</f>
        <v/>
      </c>
      <c r="HY24" s="128">
        <f>EDATE(InceptionDate,228)</f>
        <v/>
      </c>
      <c r="HZ24" s="128">
        <f>EDATE(InceptionDate,229)</f>
        <v/>
      </c>
      <c r="IA24" s="128">
        <f>EDATE(InceptionDate,230)</f>
        <v/>
      </c>
      <c r="IB24" s="128">
        <f>EDATE(InceptionDate,231)</f>
        <v/>
      </c>
      <c r="IC24" s="128">
        <f>EDATE(InceptionDate,232)</f>
        <v/>
      </c>
      <c r="ID24" s="128">
        <f>EDATE(InceptionDate,233)</f>
        <v/>
      </c>
      <c r="IE24" s="128">
        <f>EDATE(InceptionDate,234)</f>
        <v/>
      </c>
      <c r="IF24" s="128">
        <f>EDATE(InceptionDate,235)</f>
        <v/>
      </c>
      <c r="IG24" s="128">
        <f>EDATE(InceptionDate,236)</f>
        <v/>
      </c>
      <c r="IH24" s="128">
        <f>EDATE(InceptionDate,237)</f>
        <v/>
      </c>
      <c r="II24" s="128">
        <f>EDATE(InceptionDate,238)</f>
        <v/>
      </c>
      <c r="IJ24" s="128">
        <f>EDATE(InceptionDate,239)</f>
        <v/>
      </c>
      <c r="IK24" s="128">
        <f>EDATE(InceptionDate,240)</f>
        <v/>
      </c>
      <c r="IL24" s="128">
        <f>EDATE(InceptionDate,241)</f>
        <v/>
      </c>
      <c r="IM24" s="128">
        <f>EDATE(InceptionDate,242)</f>
        <v/>
      </c>
      <c r="IN24" s="128">
        <f>EDATE(InceptionDate,243)</f>
        <v/>
      </c>
      <c r="IO24" s="128">
        <f>EDATE(InceptionDate,244)</f>
        <v/>
      </c>
      <c r="IP24" s="128">
        <f>EDATE(InceptionDate,245)</f>
        <v/>
      </c>
      <c r="IQ24" s="128">
        <f>EDATE(InceptionDate,246)</f>
        <v/>
      </c>
      <c r="IR24" s="128">
        <f>EDATE(InceptionDate,247)</f>
        <v/>
      </c>
      <c r="IS24" s="128">
        <f>EDATE(InceptionDate,248)</f>
        <v/>
      </c>
      <c r="IT24" s="128">
        <f>EDATE(InceptionDate,249)</f>
        <v/>
      </c>
      <c r="IU24" s="128">
        <f>EDATE(InceptionDate,250)</f>
        <v/>
      </c>
      <c r="IV24" s="128">
        <f>EDATE(InceptionDate,251)</f>
        <v/>
      </c>
      <c r="IW24" s="128">
        <f>EDATE(InceptionDate,252)</f>
        <v/>
      </c>
      <c r="IX24" s="128">
        <f>EDATE(InceptionDate,253)</f>
        <v/>
      </c>
      <c r="IY24" s="128">
        <f>EDATE(InceptionDate,254)</f>
        <v/>
      </c>
      <c r="IZ24" s="128">
        <f>EDATE(InceptionDate,255)</f>
        <v/>
      </c>
      <c r="JA24" s="128">
        <f>EDATE(InceptionDate,256)</f>
        <v/>
      </c>
      <c r="JB24" s="128">
        <f>EDATE(InceptionDate,257)</f>
        <v/>
      </c>
      <c r="JC24" s="128">
        <f>EDATE(InceptionDate,258)</f>
        <v/>
      </c>
      <c r="JD24" s="128">
        <f>EDATE(InceptionDate,259)</f>
        <v/>
      </c>
      <c r="JE24" s="128">
        <f>EDATE(InceptionDate,260)</f>
        <v/>
      </c>
      <c r="JF24" s="128">
        <f>EDATE(InceptionDate,261)</f>
        <v/>
      </c>
      <c r="JG24" s="128">
        <f>EDATE(InceptionDate,262)</f>
        <v/>
      </c>
      <c r="JH24" s="128">
        <f>EDATE(InceptionDate,263)</f>
        <v/>
      </c>
      <c r="JI24" s="128">
        <f>EDATE(InceptionDate,264)</f>
        <v/>
      </c>
      <c r="JJ24" s="128">
        <f>EDATE(InceptionDate,265)</f>
        <v/>
      </c>
      <c r="JK24" s="128">
        <f>EDATE(InceptionDate,266)</f>
        <v/>
      </c>
      <c r="JL24" s="128">
        <f>EDATE(InceptionDate,267)</f>
        <v/>
      </c>
      <c r="JM24" s="128">
        <f>EDATE(InceptionDate,268)</f>
        <v/>
      </c>
      <c r="JN24" s="128">
        <f>EDATE(InceptionDate,269)</f>
        <v/>
      </c>
      <c r="JO24" s="128">
        <f>EDATE(InceptionDate,270)</f>
        <v/>
      </c>
      <c r="JP24" s="128">
        <f>EDATE(InceptionDate,271)</f>
        <v/>
      </c>
      <c r="JQ24" s="128">
        <f>EDATE(InceptionDate,272)</f>
        <v/>
      </c>
      <c r="JR24" s="128">
        <f>EDATE(InceptionDate,273)</f>
        <v/>
      </c>
      <c r="JS24" s="128">
        <f>EDATE(InceptionDate,274)</f>
        <v/>
      </c>
      <c r="JT24" s="128">
        <f>EDATE(InceptionDate,275)</f>
        <v/>
      </c>
      <c r="JU24" s="128">
        <f>EDATE(InceptionDate,276)</f>
        <v/>
      </c>
      <c r="JV24" s="128">
        <f>EDATE(InceptionDate,277)</f>
        <v/>
      </c>
      <c r="JW24" s="128">
        <f>EDATE(InceptionDate,278)</f>
        <v/>
      </c>
      <c r="JX24" s="128">
        <f>EDATE(InceptionDate,279)</f>
        <v/>
      </c>
      <c r="JY24" s="128">
        <f>EDATE(InceptionDate,280)</f>
        <v/>
      </c>
      <c r="JZ24" s="128">
        <f>EDATE(InceptionDate,281)</f>
        <v/>
      </c>
      <c r="KA24" s="128">
        <f>EDATE(InceptionDate,282)</f>
        <v/>
      </c>
      <c r="KB24" s="128">
        <f>EDATE(InceptionDate,283)</f>
        <v/>
      </c>
      <c r="KC24" s="128">
        <f>EDATE(InceptionDate,284)</f>
        <v/>
      </c>
      <c r="KD24" s="128">
        <f>EDATE(InceptionDate,285)</f>
        <v/>
      </c>
      <c r="KE24" s="128">
        <f>EDATE(InceptionDate,286)</f>
        <v/>
      </c>
      <c r="KF24" s="128">
        <f>EDATE(InceptionDate,287)</f>
        <v/>
      </c>
      <c r="KG24" s="128">
        <f>EDATE(InceptionDate,288)</f>
        <v/>
      </c>
      <c r="KH24" s="128">
        <f>EDATE(InceptionDate,289)</f>
        <v/>
      </c>
      <c r="KI24" s="128">
        <f>EDATE(InceptionDate,290)</f>
        <v/>
      </c>
      <c r="KJ24" s="128">
        <f>EDATE(InceptionDate,291)</f>
        <v/>
      </c>
      <c r="KK24" s="128">
        <f>EDATE(InceptionDate,292)</f>
        <v/>
      </c>
      <c r="KL24" s="128">
        <f>EDATE(InceptionDate,293)</f>
        <v/>
      </c>
      <c r="KM24" s="128">
        <f>EDATE(InceptionDate,294)</f>
        <v/>
      </c>
      <c r="KN24" s="128">
        <f>EDATE(InceptionDate,295)</f>
        <v/>
      </c>
      <c r="KO24" s="128">
        <f>EDATE(InceptionDate,296)</f>
        <v/>
      </c>
      <c r="KP24" s="128">
        <f>EDATE(InceptionDate,297)</f>
        <v/>
      </c>
      <c r="KQ24" s="128">
        <f>EDATE(InceptionDate,298)</f>
        <v/>
      </c>
      <c r="KR24" s="128">
        <f>EDATE(InceptionDate,299)</f>
        <v/>
      </c>
      <c r="KS24" s="128">
        <f>EDATE(InceptionDate,300)</f>
        <v/>
      </c>
      <c r="KT24" s="128">
        <f>EDATE(InceptionDate,301)</f>
        <v/>
      </c>
      <c r="KU24" s="128">
        <f>EDATE(InceptionDate,302)</f>
        <v/>
      </c>
      <c r="KV24" s="128">
        <f>EDATE(InceptionDate,303)</f>
        <v/>
      </c>
      <c r="KW24" s="128">
        <f>EDATE(InceptionDate,304)</f>
        <v/>
      </c>
      <c r="KX24" s="128">
        <f>EDATE(InceptionDate,305)</f>
        <v/>
      </c>
      <c r="KY24" s="128">
        <f>EDATE(InceptionDate,306)</f>
        <v/>
      </c>
      <c r="KZ24" s="128">
        <f>EDATE(InceptionDate,307)</f>
        <v/>
      </c>
      <c r="LA24" s="128">
        <f>EDATE(InceptionDate,308)</f>
        <v/>
      </c>
      <c r="LB24" s="128">
        <f>EDATE(InceptionDate,309)</f>
        <v/>
      </c>
      <c r="LC24" s="128">
        <f>EDATE(InceptionDate,310)</f>
        <v/>
      </c>
      <c r="LD24" s="128">
        <f>EDATE(InceptionDate,311)</f>
        <v/>
      </c>
      <c r="LE24" s="128">
        <f>EDATE(InceptionDate,312)</f>
        <v/>
      </c>
      <c r="LF24" s="128">
        <f>EDATE(InceptionDate,313)</f>
        <v/>
      </c>
      <c r="LG24" s="128">
        <f>EDATE(InceptionDate,314)</f>
        <v/>
      </c>
      <c r="LH24" s="128">
        <f>EDATE(InceptionDate,315)</f>
        <v/>
      </c>
      <c r="LI24" s="128">
        <f>EDATE(InceptionDate,316)</f>
        <v/>
      </c>
      <c r="LJ24" s="128">
        <f>EDATE(InceptionDate,317)</f>
        <v/>
      </c>
      <c r="LK24" s="128">
        <f>EDATE(InceptionDate,318)</f>
        <v/>
      </c>
      <c r="LL24" s="128">
        <f>EDATE(InceptionDate,319)</f>
        <v/>
      </c>
      <c r="LM24" s="128">
        <f>EDATE(InceptionDate,320)</f>
        <v/>
      </c>
      <c r="LN24" s="128">
        <f>EDATE(InceptionDate,321)</f>
        <v/>
      </c>
      <c r="LO24" s="128">
        <f>EDATE(InceptionDate,322)</f>
        <v/>
      </c>
      <c r="LP24" s="128">
        <f>EDATE(InceptionDate,323)</f>
        <v/>
      </c>
      <c r="LQ24" s="128">
        <f>EDATE(InceptionDate,324)</f>
        <v/>
      </c>
      <c r="LR24" s="128">
        <f>EDATE(InceptionDate,325)</f>
        <v/>
      </c>
      <c r="LS24" s="128">
        <f>EDATE(InceptionDate,326)</f>
        <v/>
      </c>
      <c r="LT24" s="128">
        <f>EDATE(InceptionDate,327)</f>
        <v/>
      </c>
      <c r="LU24" s="128">
        <f>EDATE(InceptionDate,328)</f>
        <v/>
      </c>
      <c r="LV24" s="128">
        <f>EDATE(InceptionDate,329)</f>
        <v/>
      </c>
      <c r="LW24" s="128">
        <f>EDATE(InceptionDate,330)</f>
        <v/>
      </c>
      <c r="LX24" s="128">
        <f>EDATE(InceptionDate,331)</f>
        <v/>
      </c>
      <c r="LY24" s="128">
        <f>EDATE(InceptionDate,332)</f>
        <v/>
      </c>
      <c r="LZ24" s="128">
        <f>EDATE(InceptionDate,333)</f>
        <v/>
      </c>
      <c r="MA24" s="128">
        <f>EDATE(InceptionDate,334)</f>
        <v/>
      </c>
      <c r="MB24" s="128">
        <f>EDATE(InceptionDate,335)</f>
        <v/>
      </c>
      <c r="MC24" s="128">
        <f>EDATE(InceptionDate,336)</f>
        <v/>
      </c>
      <c r="MD24" s="128">
        <f>EDATE(InceptionDate,337)</f>
        <v/>
      </c>
      <c r="ME24" s="128">
        <f>EDATE(InceptionDate,338)</f>
        <v/>
      </c>
      <c r="MF24" s="128">
        <f>EDATE(InceptionDate,339)</f>
        <v/>
      </c>
      <c r="MG24" s="128">
        <f>EDATE(InceptionDate,340)</f>
        <v/>
      </c>
      <c r="MH24" s="128">
        <f>EDATE(InceptionDate,341)</f>
        <v/>
      </c>
      <c r="MI24" s="128">
        <f>EDATE(InceptionDate,342)</f>
        <v/>
      </c>
      <c r="MJ24" s="128">
        <f>EDATE(InceptionDate,343)</f>
        <v/>
      </c>
      <c r="MK24" s="128">
        <f>EDATE(InceptionDate,344)</f>
        <v/>
      </c>
      <c r="ML24" s="128">
        <f>EDATE(InceptionDate,345)</f>
        <v/>
      </c>
      <c r="MM24" s="128">
        <f>EDATE(InceptionDate,346)</f>
        <v/>
      </c>
      <c r="MN24" s="128">
        <f>EDATE(InceptionDate,347)</f>
        <v/>
      </c>
      <c r="MO24" s="128">
        <f>EDATE(InceptionDate,348)</f>
        <v/>
      </c>
      <c r="MP24" s="128">
        <f>EDATE(InceptionDate,349)</f>
        <v/>
      </c>
      <c r="MQ24" s="128">
        <f>EDATE(InceptionDate,350)</f>
        <v/>
      </c>
      <c r="MR24" s="128">
        <f>EDATE(InceptionDate,351)</f>
        <v/>
      </c>
      <c r="MS24" s="128">
        <f>EDATE(InceptionDate,352)</f>
        <v/>
      </c>
      <c r="MT24" s="128">
        <f>EDATE(InceptionDate,353)</f>
        <v/>
      </c>
      <c r="MU24" s="128">
        <f>EDATE(InceptionDate,354)</f>
        <v/>
      </c>
      <c r="MV24" s="128">
        <f>EDATE(InceptionDate,355)</f>
        <v/>
      </c>
      <c r="MW24" s="128">
        <f>EDATE(InceptionDate,356)</f>
        <v/>
      </c>
      <c r="MX24" s="128">
        <f>EDATE(InceptionDate,357)</f>
        <v/>
      </c>
      <c r="MY24" s="128">
        <f>EDATE(InceptionDate,358)</f>
        <v/>
      </c>
      <c r="MZ24" s="128">
        <f>EDATE(InceptionDate,359)</f>
        <v/>
      </c>
      <c r="NA24" s="128">
        <f>EDATE(InceptionDate,360)</f>
        <v/>
      </c>
      <c r="NB24" s="128">
        <f>EDATE(InceptionDate,361)</f>
        <v/>
      </c>
      <c r="NC24" s="128">
        <f>EDATE(InceptionDate,362)</f>
        <v/>
      </c>
      <c r="ND24" s="128">
        <f>EDATE(InceptionDate,363)</f>
        <v/>
      </c>
      <c r="NE24" s="128">
        <f>EDATE(InceptionDate,364)</f>
        <v/>
      </c>
      <c r="NF24" s="128">
        <f>EDATE(InceptionDate,365)</f>
        <v/>
      </c>
      <c r="NG24" s="128">
        <f>EDATE(InceptionDate,366)</f>
        <v/>
      </c>
      <c r="NH24" s="128">
        <f>EDATE(InceptionDate,367)</f>
        <v/>
      </c>
      <c r="NI24" s="128">
        <f>EDATE(InceptionDate,368)</f>
        <v/>
      </c>
      <c r="NJ24" s="128">
        <f>EDATE(InceptionDate,369)</f>
        <v/>
      </c>
      <c r="NK24" s="128">
        <f>EDATE(InceptionDate,370)</f>
        <v/>
      </c>
      <c r="NL24" s="128">
        <f>EDATE(InceptionDate,371)</f>
        <v/>
      </c>
    </row>
    <row r="25">
      <c r="B25" s="36" t="inlineStr">
        <is>
          <t>Days in Month</t>
        </is>
      </c>
      <c r="D25" s="124" t="n"/>
      <c r="E25" s="85">
        <f>DAY(EOMONTH(EDATE(InceptionDate,1-1),0))</f>
        <v/>
      </c>
      <c r="F25" s="85">
        <f>DAY(EOMONTH(EDATE(InceptionDate,2-1),0))</f>
        <v/>
      </c>
      <c r="G25" s="85">
        <f>DAY(EOMONTH(EDATE(InceptionDate,3-1),0))</f>
        <v/>
      </c>
      <c r="H25" s="85">
        <f>DAY(EOMONTH(EDATE(InceptionDate,4-1),0))</f>
        <v/>
      </c>
      <c r="I25" s="85">
        <f>DAY(EOMONTH(EDATE(InceptionDate,5-1),0))</f>
        <v/>
      </c>
      <c r="J25" s="85">
        <f>DAY(EOMONTH(EDATE(InceptionDate,6-1),0))</f>
        <v/>
      </c>
      <c r="K25" s="85">
        <f>DAY(EOMONTH(EDATE(InceptionDate,7-1),0))</f>
        <v/>
      </c>
      <c r="L25" s="85">
        <f>DAY(EOMONTH(EDATE(InceptionDate,8-1),0))</f>
        <v/>
      </c>
      <c r="M25" s="85">
        <f>DAY(EOMONTH(EDATE(InceptionDate,9-1),0))</f>
        <v/>
      </c>
      <c r="N25" s="85">
        <f>DAY(EOMONTH(EDATE(InceptionDate,10-1),0))</f>
        <v/>
      </c>
      <c r="O25" s="85">
        <f>DAY(EOMONTH(EDATE(InceptionDate,11-1),0))</f>
        <v/>
      </c>
      <c r="P25" s="85">
        <f>DAY(EOMONTH(EDATE(InceptionDate,12-1),0))</f>
        <v/>
      </c>
      <c r="Q25" s="85">
        <f>DAY(EOMONTH(EDATE(InceptionDate,13-1),0))</f>
        <v/>
      </c>
      <c r="R25" s="85">
        <f>DAY(EOMONTH(EDATE(InceptionDate,14-1),0))</f>
        <v/>
      </c>
      <c r="S25" s="85">
        <f>DAY(EOMONTH(EDATE(InceptionDate,15-1),0))</f>
        <v/>
      </c>
      <c r="T25" s="85">
        <f>DAY(EOMONTH(EDATE(InceptionDate,16-1),0))</f>
        <v/>
      </c>
      <c r="U25" s="85">
        <f>DAY(EOMONTH(EDATE(InceptionDate,17-1),0))</f>
        <v/>
      </c>
      <c r="V25" s="85">
        <f>DAY(EOMONTH(EDATE(InceptionDate,18-1),0))</f>
        <v/>
      </c>
      <c r="W25" s="85">
        <f>DAY(EOMONTH(EDATE(InceptionDate,19-1),0))</f>
        <v/>
      </c>
      <c r="X25" s="85">
        <f>DAY(EOMONTH(EDATE(InceptionDate,20-1),0))</f>
        <v/>
      </c>
      <c r="Y25" s="85">
        <f>DAY(EOMONTH(EDATE(InceptionDate,21-1),0))</f>
        <v/>
      </c>
      <c r="Z25" s="85">
        <f>DAY(EOMONTH(EDATE(InceptionDate,22-1),0))</f>
        <v/>
      </c>
      <c r="AA25" s="85">
        <f>DAY(EOMONTH(EDATE(InceptionDate,23-1),0))</f>
        <v/>
      </c>
      <c r="AB25" s="85">
        <f>DAY(EOMONTH(EDATE(InceptionDate,24-1),0))</f>
        <v/>
      </c>
      <c r="AC25" s="85">
        <f>DAY(EOMONTH(EDATE(InceptionDate,25-1),0))</f>
        <v/>
      </c>
      <c r="AD25" s="85">
        <f>DAY(EOMONTH(EDATE(InceptionDate,26-1),0))</f>
        <v/>
      </c>
      <c r="AE25" s="85">
        <f>DAY(EOMONTH(EDATE(InceptionDate,27-1),0))</f>
        <v/>
      </c>
      <c r="AF25" s="85">
        <f>DAY(EOMONTH(EDATE(InceptionDate,28-1),0))</f>
        <v/>
      </c>
      <c r="AG25" s="85">
        <f>DAY(EOMONTH(EDATE(InceptionDate,29-1),0))</f>
        <v/>
      </c>
      <c r="AH25" s="85">
        <f>DAY(EOMONTH(EDATE(InceptionDate,30-1),0))</f>
        <v/>
      </c>
      <c r="AI25" s="85">
        <f>DAY(EOMONTH(EDATE(InceptionDate,31-1),0))</f>
        <v/>
      </c>
      <c r="AJ25" s="85">
        <f>DAY(EOMONTH(EDATE(InceptionDate,32-1),0))</f>
        <v/>
      </c>
      <c r="AK25" s="85">
        <f>DAY(EOMONTH(EDATE(InceptionDate,33-1),0))</f>
        <v/>
      </c>
      <c r="AL25" s="85">
        <f>DAY(EOMONTH(EDATE(InceptionDate,34-1),0))</f>
        <v/>
      </c>
      <c r="AM25" s="85">
        <f>DAY(EOMONTH(EDATE(InceptionDate,35-1),0))</f>
        <v/>
      </c>
      <c r="AN25" s="85">
        <f>DAY(EOMONTH(EDATE(InceptionDate,36-1),0))</f>
        <v/>
      </c>
      <c r="AO25" s="85">
        <f>DAY(EOMONTH(EDATE(InceptionDate,37-1),0))</f>
        <v/>
      </c>
      <c r="AP25" s="85">
        <f>DAY(EOMONTH(EDATE(InceptionDate,38-1),0))</f>
        <v/>
      </c>
      <c r="AQ25" s="85">
        <f>DAY(EOMONTH(EDATE(InceptionDate,39-1),0))</f>
        <v/>
      </c>
      <c r="AR25" s="85">
        <f>DAY(EOMONTH(EDATE(InceptionDate,40-1),0))</f>
        <v/>
      </c>
      <c r="AS25" s="85">
        <f>DAY(EOMONTH(EDATE(InceptionDate,41-1),0))</f>
        <v/>
      </c>
      <c r="AT25" s="85">
        <f>DAY(EOMONTH(EDATE(InceptionDate,42-1),0))</f>
        <v/>
      </c>
      <c r="AU25" s="85">
        <f>DAY(EOMONTH(EDATE(InceptionDate,43-1),0))</f>
        <v/>
      </c>
      <c r="AV25" s="85">
        <f>DAY(EOMONTH(EDATE(InceptionDate,44-1),0))</f>
        <v/>
      </c>
      <c r="AW25" s="85">
        <f>DAY(EOMONTH(EDATE(InceptionDate,45-1),0))</f>
        <v/>
      </c>
      <c r="AX25" s="85">
        <f>DAY(EOMONTH(EDATE(InceptionDate,46-1),0))</f>
        <v/>
      </c>
      <c r="AY25" s="85">
        <f>DAY(EOMONTH(EDATE(InceptionDate,47-1),0))</f>
        <v/>
      </c>
      <c r="AZ25" s="85">
        <f>DAY(EOMONTH(EDATE(InceptionDate,48-1),0))</f>
        <v/>
      </c>
      <c r="BA25" s="85">
        <f>DAY(EOMONTH(EDATE(InceptionDate,49-1),0))</f>
        <v/>
      </c>
      <c r="BB25" s="85">
        <f>DAY(EOMONTH(EDATE(InceptionDate,50-1),0))</f>
        <v/>
      </c>
      <c r="BC25" s="85">
        <f>DAY(EOMONTH(EDATE(InceptionDate,51-1),0))</f>
        <v/>
      </c>
      <c r="BD25" s="85">
        <f>DAY(EOMONTH(EDATE(InceptionDate,52-1),0))</f>
        <v/>
      </c>
      <c r="BE25" s="85">
        <f>DAY(EOMONTH(EDATE(InceptionDate,53-1),0))</f>
        <v/>
      </c>
      <c r="BF25" s="85">
        <f>DAY(EOMONTH(EDATE(InceptionDate,54-1),0))</f>
        <v/>
      </c>
      <c r="BG25" s="85">
        <f>DAY(EOMONTH(EDATE(InceptionDate,55-1),0))</f>
        <v/>
      </c>
      <c r="BH25" s="85">
        <f>DAY(EOMONTH(EDATE(InceptionDate,56-1),0))</f>
        <v/>
      </c>
      <c r="BI25" s="85">
        <f>DAY(EOMONTH(EDATE(InceptionDate,57-1),0))</f>
        <v/>
      </c>
      <c r="BJ25" s="85">
        <f>DAY(EOMONTH(EDATE(InceptionDate,58-1),0))</f>
        <v/>
      </c>
      <c r="BK25" s="85">
        <f>DAY(EOMONTH(EDATE(InceptionDate,59-1),0))</f>
        <v/>
      </c>
      <c r="BL25" s="85">
        <f>DAY(EOMONTH(EDATE(InceptionDate,60-1),0))</f>
        <v/>
      </c>
      <c r="BM25" s="85">
        <f>DAY(EOMONTH(EDATE(InceptionDate,61-1),0))</f>
        <v/>
      </c>
      <c r="BN25" s="85">
        <f>DAY(EOMONTH(EDATE(InceptionDate,62-1),0))</f>
        <v/>
      </c>
      <c r="BO25" s="85">
        <f>DAY(EOMONTH(EDATE(InceptionDate,63-1),0))</f>
        <v/>
      </c>
      <c r="BP25" s="85">
        <f>DAY(EOMONTH(EDATE(InceptionDate,64-1),0))</f>
        <v/>
      </c>
      <c r="BQ25" s="85">
        <f>DAY(EOMONTH(EDATE(InceptionDate,65-1),0))</f>
        <v/>
      </c>
      <c r="BR25" s="85">
        <f>DAY(EOMONTH(EDATE(InceptionDate,66-1),0))</f>
        <v/>
      </c>
      <c r="BS25" s="85">
        <f>DAY(EOMONTH(EDATE(InceptionDate,67-1),0))</f>
        <v/>
      </c>
      <c r="BT25" s="85">
        <f>DAY(EOMONTH(EDATE(InceptionDate,68-1),0))</f>
        <v/>
      </c>
      <c r="BU25" s="85">
        <f>DAY(EOMONTH(EDATE(InceptionDate,69-1),0))</f>
        <v/>
      </c>
      <c r="BV25" s="85">
        <f>DAY(EOMONTH(EDATE(InceptionDate,70-1),0))</f>
        <v/>
      </c>
      <c r="BW25" s="85">
        <f>DAY(EOMONTH(EDATE(InceptionDate,71-1),0))</f>
        <v/>
      </c>
      <c r="BX25" s="85">
        <f>DAY(EOMONTH(EDATE(InceptionDate,72-1),0))</f>
        <v/>
      </c>
      <c r="BY25" s="85">
        <f>DAY(EOMONTH(EDATE(InceptionDate,73-1),0))</f>
        <v/>
      </c>
      <c r="BZ25" s="85">
        <f>DAY(EOMONTH(EDATE(InceptionDate,74-1),0))</f>
        <v/>
      </c>
      <c r="CA25" s="85">
        <f>DAY(EOMONTH(EDATE(InceptionDate,75-1),0))</f>
        <v/>
      </c>
      <c r="CB25" s="85">
        <f>DAY(EOMONTH(EDATE(InceptionDate,76-1),0))</f>
        <v/>
      </c>
      <c r="CC25" s="85">
        <f>DAY(EOMONTH(EDATE(InceptionDate,77-1),0))</f>
        <v/>
      </c>
      <c r="CD25" s="85">
        <f>DAY(EOMONTH(EDATE(InceptionDate,78-1),0))</f>
        <v/>
      </c>
      <c r="CE25" s="85">
        <f>DAY(EOMONTH(EDATE(InceptionDate,79-1),0))</f>
        <v/>
      </c>
      <c r="CF25" s="85">
        <f>DAY(EOMONTH(EDATE(InceptionDate,80-1),0))</f>
        <v/>
      </c>
      <c r="CG25" s="85">
        <f>DAY(EOMONTH(EDATE(InceptionDate,81-1),0))</f>
        <v/>
      </c>
      <c r="CH25" s="85">
        <f>DAY(EOMONTH(EDATE(InceptionDate,82-1),0))</f>
        <v/>
      </c>
      <c r="CI25" s="85">
        <f>DAY(EOMONTH(EDATE(InceptionDate,83-1),0))</f>
        <v/>
      </c>
      <c r="CJ25" s="85">
        <f>DAY(EOMONTH(EDATE(InceptionDate,84-1),0))</f>
        <v/>
      </c>
      <c r="CK25" s="85">
        <f>DAY(EOMONTH(EDATE(InceptionDate,85-1),0))</f>
        <v/>
      </c>
      <c r="CL25" s="85">
        <f>DAY(EOMONTH(EDATE(InceptionDate,86-1),0))</f>
        <v/>
      </c>
      <c r="CM25" s="85">
        <f>DAY(EOMONTH(EDATE(InceptionDate,87-1),0))</f>
        <v/>
      </c>
      <c r="CN25" s="85">
        <f>DAY(EOMONTH(EDATE(InceptionDate,88-1),0))</f>
        <v/>
      </c>
      <c r="CO25" s="85">
        <f>DAY(EOMONTH(EDATE(InceptionDate,89-1),0))</f>
        <v/>
      </c>
      <c r="CP25" s="85">
        <f>DAY(EOMONTH(EDATE(InceptionDate,90-1),0))</f>
        <v/>
      </c>
      <c r="CQ25" s="85">
        <f>DAY(EOMONTH(EDATE(InceptionDate,91-1),0))</f>
        <v/>
      </c>
      <c r="CR25" s="85">
        <f>DAY(EOMONTH(EDATE(InceptionDate,92-1),0))</f>
        <v/>
      </c>
      <c r="CS25" s="85">
        <f>DAY(EOMONTH(EDATE(InceptionDate,93-1),0))</f>
        <v/>
      </c>
      <c r="CT25" s="85">
        <f>DAY(EOMONTH(EDATE(InceptionDate,94-1),0))</f>
        <v/>
      </c>
      <c r="CU25" s="85">
        <f>DAY(EOMONTH(EDATE(InceptionDate,95-1),0))</f>
        <v/>
      </c>
      <c r="CV25" s="85">
        <f>DAY(EOMONTH(EDATE(InceptionDate,96-1),0))</f>
        <v/>
      </c>
      <c r="CW25" s="85">
        <f>DAY(EOMONTH(EDATE(InceptionDate,97-1),0))</f>
        <v/>
      </c>
      <c r="CX25" s="85">
        <f>DAY(EOMONTH(EDATE(InceptionDate,98-1),0))</f>
        <v/>
      </c>
      <c r="CY25" s="85">
        <f>DAY(EOMONTH(EDATE(InceptionDate,99-1),0))</f>
        <v/>
      </c>
      <c r="CZ25" s="85">
        <f>DAY(EOMONTH(EDATE(InceptionDate,100-1),0))</f>
        <v/>
      </c>
      <c r="DA25" s="85">
        <f>DAY(EOMONTH(EDATE(InceptionDate,101-1),0))</f>
        <v/>
      </c>
      <c r="DB25" s="85">
        <f>DAY(EOMONTH(EDATE(InceptionDate,102-1),0))</f>
        <v/>
      </c>
      <c r="DC25" s="85">
        <f>DAY(EOMONTH(EDATE(InceptionDate,103-1),0))</f>
        <v/>
      </c>
      <c r="DD25" s="85">
        <f>DAY(EOMONTH(EDATE(InceptionDate,104-1),0))</f>
        <v/>
      </c>
      <c r="DE25" s="85">
        <f>DAY(EOMONTH(EDATE(InceptionDate,105-1),0))</f>
        <v/>
      </c>
      <c r="DF25" s="85">
        <f>DAY(EOMONTH(EDATE(InceptionDate,106-1),0))</f>
        <v/>
      </c>
      <c r="DG25" s="85">
        <f>DAY(EOMONTH(EDATE(InceptionDate,107-1),0))</f>
        <v/>
      </c>
      <c r="DH25" s="85">
        <f>DAY(EOMONTH(EDATE(InceptionDate,108-1),0))</f>
        <v/>
      </c>
      <c r="DI25" s="85">
        <f>DAY(EOMONTH(EDATE(InceptionDate,109-1),0))</f>
        <v/>
      </c>
      <c r="DJ25" s="85">
        <f>DAY(EOMONTH(EDATE(InceptionDate,110-1),0))</f>
        <v/>
      </c>
      <c r="DK25" s="85">
        <f>DAY(EOMONTH(EDATE(InceptionDate,111-1),0))</f>
        <v/>
      </c>
      <c r="DL25" s="85">
        <f>DAY(EOMONTH(EDATE(InceptionDate,112-1),0))</f>
        <v/>
      </c>
      <c r="DM25" s="85">
        <f>DAY(EOMONTH(EDATE(InceptionDate,113-1),0))</f>
        <v/>
      </c>
      <c r="DN25" s="85">
        <f>DAY(EOMONTH(EDATE(InceptionDate,114-1),0))</f>
        <v/>
      </c>
      <c r="DO25" s="85">
        <f>DAY(EOMONTH(EDATE(InceptionDate,115-1),0))</f>
        <v/>
      </c>
      <c r="DP25" s="85">
        <f>DAY(EOMONTH(EDATE(InceptionDate,116-1),0))</f>
        <v/>
      </c>
      <c r="DQ25" s="85">
        <f>DAY(EOMONTH(EDATE(InceptionDate,117-1),0))</f>
        <v/>
      </c>
      <c r="DR25" s="85">
        <f>DAY(EOMONTH(EDATE(InceptionDate,118-1),0))</f>
        <v/>
      </c>
      <c r="DS25" s="85">
        <f>DAY(EOMONTH(EDATE(InceptionDate,119-1),0))</f>
        <v/>
      </c>
      <c r="DT25" s="85">
        <f>DAY(EOMONTH(EDATE(InceptionDate,120-1),0))</f>
        <v/>
      </c>
      <c r="DU25" s="85">
        <f>DAY(EOMONTH(EDATE(InceptionDate,121-1),0))</f>
        <v/>
      </c>
      <c r="DV25" s="85">
        <f>DAY(EOMONTH(EDATE(InceptionDate,122-1),0))</f>
        <v/>
      </c>
      <c r="DW25" s="85">
        <f>DAY(EOMONTH(EDATE(InceptionDate,123-1),0))</f>
        <v/>
      </c>
      <c r="DX25" s="85">
        <f>DAY(EOMONTH(EDATE(InceptionDate,124-1),0))</f>
        <v/>
      </c>
      <c r="DY25" s="85">
        <f>DAY(EOMONTH(EDATE(InceptionDate,125-1),0))</f>
        <v/>
      </c>
      <c r="DZ25" s="85">
        <f>DAY(EOMONTH(EDATE(InceptionDate,126-1),0))</f>
        <v/>
      </c>
      <c r="EA25" s="85">
        <f>DAY(EOMONTH(EDATE(InceptionDate,127-1),0))</f>
        <v/>
      </c>
      <c r="EB25" s="85">
        <f>DAY(EOMONTH(EDATE(InceptionDate,128-1),0))</f>
        <v/>
      </c>
      <c r="EC25" s="85">
        <f>DAY(EOMONTH(EDATE(InceptionDate,129-1),0))</f>
        <v/>
      </c>
      <c r="ED25" s="85">
        <f>DAY(EOMONTH(EDATE(InceptionDate,130-1),0))</f>
        <v/>
      </c>
      <c r="EE25" s="85">
        <f>DAY(EOMONTH(EDATE(InceptionDate,131-1),0))</f>
        <v/>
      </c>
      <c r="EF25" s="85">
        <f>DAY(EOMONTH(EDATE(InceptionDate,132-1),0))</f>
        <v/>
      </c>
      <c r="EG25" s="85">
        <f>DAY(EOMONTH(EDATE(InceptionDate,133-1),0))</f>
        <v/>
      </c>
      <c r="EH25" s="85">
        <f>DAY(EOMONTH(EDATE(InceptionDate,134-1),0))</f>
        <v/>
      </c>
      <c r="EI25" s="85">
        <f>DAY(EOMONTH(EDATE(InceptionDate,135-1),0))</f>
        <v/>
      </c>
      <c r="EJ25" s="85">
        <f>DAY(EOMONTH(EDATE(InceptionDate,136-1),0))</f>
        <v/>
      </c>
      <c r="EK25" s="85">
        <f>DAY(EOMONTH(EDATE(InceptionDate,137-1),0))</f>
        <v/>
      </c>
      <c r="EL25" s="85">
        <f>DAY(EOMONTH(EDATE(InceptionDate,138-1),0))</f>
        <v/>
      </c>
      <c r="EM25" s="85">
        <f>DAY(EOMONTH(EDATE(InceptionDate,139-1),0))</f>
        <v/>
      </c>
      <c r="EN25" s="85">
        <f>DAY(EOMONTH(EDATE(InceptionDate,140-1),0))</f>
        <v/>
      </c>
      <c r="EO25" s="85">
        <f>DAY(EOMONTH(EDATE(InceptionDate,141-1),0))</f>
        <v/>
      </c>
      <c r="EP25" s="85">
        <f>DAY(EOMONTH(EDATE(InceptionDate,142-1),0))</f>
        <v/>
      </c>
      <c r="EQ25" s="85">
        <f>DAY(EOMONTH(EDATE(InceptionDate,143-1),0))</f>
        <v/>
      </c>
      <c r="ER25" s="85">
        <f>DAY(EOMONTH(EDATE(InceptionDate,144-1),0))</f>
        <v/>
      </c>
      <c r="ES25" s="85">
        <f>DAY(EOMONTH(EDATE(InceptionDate,145-1),0))</f>
        <v/>
      </c>
      <c r="ET25" s="85">
        <f>DAY(EOMONTH(EDATE(InceptionDate,146-1),0))</f>
        <v/>
      </c>
      <c r="EU25" s="85">
        <f>DAY(EOMONTH(EDATE(InceptionDate,147-1),0))</f>
        <v/>
      </c>
      <c r="EV25" s="85">
        <f>DAY(EOMONTH(EDATE(InceptionDate,148-1),0))</f>
        <v/>
      </c>
      <c r="EW25" s="85">
        <f>DAY(EOMONTH(EDATE(InceptionDate,149-1),0))</f>
        <v/>
      </c>
      <c r="EX25" s="85">
        <f>DAY(EOMONTH(EDATE(InceptionDate,150-1),0))</f>
        <v/>
      </c>
      <c r="EY25" s="85">
        <f>DAY(EOMONTH(EDATE(InceptionDate,151-1),0))</f>
        <v/>
      </c>
      <c r="EZ25" s="85">
        <f>DAY(EOMONTH(EDATE(InceptionDate,152-1),0))</f>
        <v/>
      </c>
      <c r="FA25" s="85">
        <f>DAY(EOMONTH(EDATE(InceptionDate,153-1),0))</f>
        <v/>
      </c>
      <c r="FB25" s="85">
        <f>DAY(EOMONTH(EDATE(InceptionDate,154-1),0))</f>
        <v/>
      </c>
      <c r="FC25" s="85">
        <f>DAY(EOMONTH(EDATE(InceptionDate,155-1),0))</f>
        <v/>
      </c>
      <c r="FD25" s="85">
        <f>DAY(EOMONTH(EDATE(InceptionDate,156-1),0))</f>
        <v/>
      </c>
      <c r="FE25" s="85">
        <f>DAY(EOMONTH(EDATE(InceptionDate,157-1),0))</f>
        <v/>
      </c>
      <c r="FF25" s="85">
        <f>DAY(EOMONTH(EDATE(InceptionDate,158-1),0))</f>
        <v/>
      </c>
      <c r="FG25" s="85">
        <f>DAY(EOMONTH(EDATE(InceptionDate,159-1),0))</f>
        <v/>
      </c>
      <c r="FH25" s="85">
        <f>DAY(EOMONTH(EDATE(InceptionDate,160-1),0))</f>
        <v/>
      </c>
      <c r="FI25" s="85">
        <f>DAY(EOMONTH(EDATE(InceptionDate,161-1),0))</f>
        <v/>
      </c>
      <c r="FJ25" s="85">
        <f>DAY(EOMONTH(EDATE(InceptionDate,162-1),0))</f>
        <v/>
      </c>
      <c r="FK25" s="85">
        <f>DAY(EOMONTH(EDATE(InceptionDate,163-1),0))</f>
        <v/>
      </c>
      <c r="FL25" s="85">
        <f>DAY(EOMONTH(EDATE(InceptionDate,164-1),0))</f>
        <v/>
      </c>
      <c r="FM25" s="85">
        <f>DAY(EOMONTH(EDATE(InceptionDate,165-1),0))</f>
        <v/>
      </c>
      <c r="FN25" s="85">
        <f>DAY(EOMONTH(EDATE(InceptionDate,166-1),0))</f>
        <v/>
      </c>
      <c r="FO25" s="85">
        <f>DAY(EOMONTH(EDATE(InceptionDate,167-1),0))</f>
        <v/>
      </c>
      <c r="FP25" s="85">
        <f>DAY(EOMONTH(EDATE(InceptionDate,168-1),0))</f>
        <v/>
      </c>
      <c r="FQ25" s="85">
        <f>DAY(EOMONTH(EDATE(InceptionDate,169-1),0))</f>
        <v/>
      </c>
      <c r="FR25" s="85">
        <f>DAY(EOMONTH(EDATE(InceptionDate,170-1),0))</f>
        <v/>
      </c>
      <c r="FS25" s="85">
        <f>DAY(EOMONTH(EDATE(InceptionDate,171-1),0))</f>
        <v/>
      </c>
      <c r="FT25" s="85">
        <f>DAY(EOMONTH(EDATE(InceptionDate,172-1),0))</f>
        <v/>
      </c>
      <c r="FU25" s="85">
        <f>DAY(EOMONTH(EDATE(InceptionDate,173-1),0))</f>
        <v/>
      </c>
      <c r="FV25" s="85">
        <f>DAY(EOMONTH(EDATE(InceptionDate,174-1),0))</f>
        <v/>
      </c>
      <c r="FW25" s="85">
        <f>DAY(EOMONTH(EDATE(InceptionDate,175-1),0))</f>
        <v/>
      </c>
      <c r="FX25" s="85">
        <f>DAY(EOMONTH(EDATE(InceptionDate,176-1),0))</f>
        <v/>
      </c>
      <c r="FY25" s="85">
        <f>DAY(EOMONTH(EDATE(InceptionDate,177-1),0))</f>
        <v/>
      </c>
      <c r="FZ25" s="85">
        <f>DAY(EOMONTH(EDATE(InceptionDate,178-1),0))</f>
        <v/>
      </c>
      <c r="GA25" s="85">
        <f>DAY(EOMONTH(EDATE(InceptionDate,179-1),0))</f>
        <v/>
      </c>
      <c r="GB25" s="85">
        <f>DAY(EOMONTH(EDATE(InceptionDate,180-1),0))</f>
        <v/>
      </c>
      <c r="GC25" s="85">
        <f>DAY(EOMONTH(EDATE(InceptionDate,181-1),0))</f>
        <v/>
      </c>
      <c r="GD25" s="85">
        <f>DAY(EOMONTH(EDATE(InceptionDate,182-1),0))</f>
        <v/>
      </c>
      <c r="GE25" s="85">
        <f>DAY(EOMONTH(EDATE(InceptionDate,183-1),0))</f>
        <v/>
      </c>
      <c r="GF25" s="85">
        <f>DAY(EOMONTH(EDATE(InceptionDate,184-1),0))</f>
        <v/>
      </c>
      <c r="GG25" s="85">
        <f>DAY(EOMONTH(EDATE(InceptionDate,185-1),0))</f>
        <v/>
      </c>
      <c r="GH25" s="85">
        <f>DAY(EOMONTH(EDATE(InceptionDate,186-1),0))</f>
        <v/>
      </c>
      <c r="GI25" s="85">
        <f>DAY(EOMONTH(EDATE(InceptionDate,187-1),0))</f>
        <v/>
      </c>
      <c r="GJ25" s="85">
        <f>DAY(EOMONTH(EDATE(InceptionDate,188-1),0))</f>
        <v/>
      </c>
      <c r="GK25" s="85">
        <f>DAY(EOMONTH(EDATE(InceptionDate,189-1),0))</f>
        <v/>
      </c>
      <c r="GL25" s="85">
        <f>DAY(EOMONTH(EDATE(InceptionDate,190-1),0))</f>
        <v/>
      </c>
      <c r="GM25" s="85">
        <f>DAY(EOMONTH(EDATE(InceptionDate,191-1),0))</f>
        <v/>
      </c>
      <c r="GN25" s="85">
        <f>DAY(EOMONTH(EDATE(InceptionDate,192-1),0))</f>
        <v/>
      </c>
      <c r="GO25" s="85">
        <f>DAY(EOMONTH(EDATE(InceptionDate,193-1),0))</f>
        <v/>
      </c>
      <c r="GP25" s="85">
        <f>DAY(EOMONTH(EDATE(InceptionDate,194-1),0))</f>
        <v/>
      </c>
      <c r="GQ25" s="85">
        <f>DAY(EOMONTH(EDATE(InceptionDate,195-1),0))</f>
        <v/>
      </c>
      <c r="GR25" s="85">
        <f>DAY(EOMONTH(EDATE(InceptionDate,196-1),0))</f>
        <v/>
      </c>
      <c r="GS25" s="85">
        <f>DAY(EOMONTH(EDATE(InceptionDate,197-1),0))</f>
        <v/>
      </c>
      <c r="GT25" s="85">
        <f>DAY(EOMONTH(EDATE(InceptionDate,198-1),0))</f>
        <v/>
      </c>
      <c r="GU25" s="85">
        <f>DAY(EOMONTH(EDATE(InceptionDate,199-1),0))</f>
        <v/>
      </c>
      <c r="GV25" s="85">
        <f>DAY(EOMONTH(EDATE(InceptionDate,200-1),0))</f>
        <v/>
      </c>
      <c r="GW25" s="85">
        <f>DAY(EOMONTH(EDATE(InceptionDate,201-1),0))</f>
        <v/>
      </c>
      <c r="GX25" s="85">
        <f>DAY(EOMONTH(EDATE(InceptionDate,202-1),0))</f>
        <v/>
      </c>
      <c r="GY25" s="85">
        <f>DAY(EOMONTH(EDATE(InceptionDate,203-1),0))</f>
        <v/>
      </c>
      <c r="GZ25" s="85">
        <f>DAY(EOMONTH(EDATE(InceptionDate,204-1),0))</f>
        <v/>
      </c>
      <c r="HA25" s="85">
        <f>DAY(EOMONTH(EDATE(InceptionDate,205-1),0))</f>
        <v/>
      </c>
      <c r="HB25" s="85">
        <f>DAY(EOMONTH(EDATE(InceptionDate,206-1),0))</f>
        <v/>
      </c>
      <c r="HC25" s="85">
        <f>DAY(EOMONTH(EDATE(InceptionDate,207-1),0))</f>
        <v/>
      </c>
      <c r="HD25" s="85">
        <f>DAY(EOMONTH(EDATE(InceptionDate,208-1),0))</f>
        <v/>
      </c>
      <c r="HE25" s="85">
        <f>DAY(EOMONTH(EDATE(InceptionDate,209-1),0))</f>
        <v/>
      </c>
      <c r="HF25" s="85">
        <f>DAY(EOMONTH(EDATE(InceptionDate,210-1),0))</f>
        <v/>
      </c>
      <c r="HG25" s="85">
        <f>DAY(EOMONTH(EDATE(InceptionDate,211-1),0))</f>
        <v/>
      </c>
      <c r="HH25" s="85">
        <f>DAY(EOMONTH(EDATE(InceptionDate,212-1),0))</f>
        <v/>
      </c>
      <c r="HI25" s="85">
        <f>DAY(EOMONTH(EDATE(InceptionDate,213-1),0))</f>
        <v/>
      </c>
      <c r="HJ25" s="85">
        <f>DAY(EOMONTH(EDATE(InceptionDate,214-1),0))</f>
        <v/>
      </c>
      <c r="HK25" s="85">
        <f>DAY(EOMONTH(EDATE(InceptionDate,215-1),0))</f>
        <v/>
      </c>
      <c r="HL25" s="85">
        <f>DAY(EOMONTH(EDATE(InceptionDate,216-1),0))</f>
        <v/>
      </c>
      <c r="HM25" s="85">
        <f>DAY(EOMONTH(EDATE(InceptionDate,217-1),0))</f>
        <v/>
      </c>
      <c r="HN25" s="85">
        <f>DAY(EOMONTH(EDATE(InceptionDate,218-1),0))</f>
        <v/>
      </c>
      <c r="HO25" s="85">
        <f>DAY(EOMONTH(EDATE(InceptionDate,219-1),0))</f>
        <v/>
      </c>
      <c r="HP25" s="85">
        <f>DAY(EOMONTH(EDATE(InceptionDate,220-1),0))</f>
        <v/>
      </c>
      <c r="HQ25" s="85">
        <f>DAY(EOMONTH(EDATE(InceptionDate,221-1),0))</f>
        <v/>
      </c>
      <c r="HR25" s="85">
        <f>DAY(EOMONTH(EDATE(InceptionDate,222-1),0))</f>
        <v/>
      </c>
      <c r="HS25" s="85">
        <f>DAY(EOMONTH(EDATE(InceptionDate,223-1),0))</f>
        <v/>
      </c>
      <c r="HT25" s="85">
        <f>DAY(EOMONTH(EDATE(InceptionDate,224-1),0))</f>
        <v/>
      </c>
      <c r="HU25" s="85">
        <f>DAY(EOMONTH(EDATE(InceptionDate,225-1),0))</f>
        <v/>
      </c>
      <c r="HV25" s="85">
        <f>DAY(EOMONTH(EDATE(InceptionDate,226-1),0))</f>
        <v/>
      </c>
      <c r="HW25" s="85">
        <f>DAY(EOMONTH(EDATE(InceptionDate,227-1),0))</f>
        <v/>
      </c>
      <c r="HX25" s="85">
        <f>DAY(EOMONTH(EDATE(InceptionDate,228-1),0))</f>
        <v/>
      </c>
      <c r="HY25" s="85">
        <f>DAY(EOMONTH(EDATE(InceptionDate,229-1),0))</f>
        <v/>
      </c>
      <c r="HZ25" s="85">
        <f>DAY(EOMONTH(EDATE(InceptionDate,230-1),0))</f>
        <v/>
      </c>
      <c r="IA25" s="85">
        <f>DAY(EOMONTH(EDATE(InceptionDate,231-1),0))</f>
        <v/>
      </c>
      <c r="IB25" s="85">
        <f>DAY(EOMONTH(EDATE(InceptionDate,232-1),0))</f>
        <v/>
      </c>
      <c r="IC25" s="85">
        <f>DAY(EOMONTH(EDATE(InceptionDate,233-1),0))</f>
        <v/>
      </c>
      <c r="ID25" s="85">
        <f>DAY(EOMONTH(EDATE(InceptionDate,234-1),0))</f>
        <v/>
      </c>
      <c r="IE25" s="85">
        <f>DAY(EOMONTH(EDATE(InceptionDate,235-1),0))</f>
        <v/>
      </c>
      <c r="IF25" s="85">
        <f>DAY(EOMONTH(EDATE(InceptionDate,236-1),0))</f>
        <v/>
      </c>
      <c r="IG25" s="85">
        <f>DAY(EOMONTH(EDATE(InceptionDate,237-1),0))</f>
        <v/>
      </c>
      <c r="IH25" s="85">
        <f>DAY(EOMONTH(EDATE(InceptionDate,238-1),0))</f>
        <v/>
      </c>
      <c r="II25" s="85">
        <f>DAY(EOMONTH(EDATE(InceptionDate,239-1),0))</f>
        <v/>
      </c>
      <c r="IJ25" s="85">
        <f>DAY(EOMONTH(EDATE(InceptionDate,240-1),0))</f>
        <v/>
      </c>
      <c r="IK25" s="85">
        <f>DAY(EOMONTH(EDATE(InceptionDate,241-1),0))</f>
        <v/>
      </c>
      <c r="IL25" s="85">
        <f>DAY(EOMONTH(EDATE(InceptionDate,242-1),0))</f>
        <v/>
      </c>
      <c r="IM25" s="85">
        <f>DAY(EOMONTH(EDATE(InceptionDate,243-1),0))</f>
        <v/>
      </c>
      <c r="IN25" s="85">
        <f>DAY(EOMONTH(EDATE(InceptionDate,244-1),0))</f>
        <v/>
      </c>
      <c r="IO25" s="85">
        <f>DAY(EOMONTH(EDATE(InceptionDate,245-1),0))</f>
        <v/>
      </c>
      <c r="IP25" s="85">
        <f>DAY(EOMONTH(EDATE(InceptionDate,246-1),0))</f>
        <v/>
      </c>
      <c r="IQ25" s="85">
        <f>DAY(EOMONTH(EDATE(InceptionDate,247-1),0))</f>
        <v/>
      </c>
      <c r="IR25" s="85">
        <f>DAY(EOMONTH(EDATE(InceptionDate,248-1),0))</f>
        <v/>
      </c>
      <c r="IS25" s="85">
        <f>DAY(EOMONTH(EDATE(InceptionDate,249-1),0))</f>
        <v/>
      </c>
      <c r="IT25" s="85">
        <f>DAY(EOMONTH(EDATE(InceptionDate,250-1),0))</f>
        <v/>
      </c>
      <c r="IU25" s="85">
        <f>DAY(EOMONTH(EDATE(InceptionDate,251-1),0))</f>
        <v/>
      </c>
      <c r="IV25" s="85">
        <f>DAY(EOMONTH(EDATE(InceptionDate,252-1),0))</f>
        <v/>
      </c>
      <c r="IW25" s="85">
        <f>DAY(EOMONTH(EDATE(InceptionDate,253-1),0))</f>
        <v/>
      </c>
      <c r="IX25" s="85">
        <f>DAY(EOMONTH(EDATE(InceptionDate,254-1),0))</f>
        <v/>
      </c>
      <c r="IY25" s="85">
        <f>DAY(EOMONTH(EDATE(InceptionDate,255-1),0))</f>
        <v/>
      </c>
      <c r="IZ25" s="85">
        <f>DAY(EOMONTH(EDATE(InceptionDate,256-1),0))</f>
        <v/>
      </c>
      <c r="JA25" s="85">
        <f>DAY(EOMONTH(EDATE(InceptionDate,257-1),0))</f>
        <v/>
      </c>
      <c r="JB25" s="85">
        <f>DAY(EOMONTH(EDATE(InceptionDate,258-1),0))</f>
        <v/>
      </c>
      <c r="JC25" s="85">
        <f>DAY(EOMONTH(EDATE(InceptionDate,259-1),0))</f>
        <v/>
      </c>
      <c r="JD25" s="85">
        <f>DAY(EOMONTH(EDATE(InceptionDate,260-1),0))</f>
        <v/>
      </c>
      <c r="JE25" s="85">
        <f>DAY(EOMONTH(EDATE(InceptionDate,261-1),0))</f>
        <v/>
      </c>
      <c r="JF25" s="85">
        <f>DAY(EOMONTH(EDATE(InceptionDate,262-1),0))</f>
        <v/>
      </c>
      <c r="JG25" s="85">
        <f>DAY(EOMONTH(EDATE(InceptionDate,263-1),0))</f>
        <v/>
      </c>
      <c r="JH25" s="85">
        <f>DAY(EOMONTH(EDATE(InceptionDate,264-1),0))</f>
        <v/>
      </c>
      <c r="JI25" s="85">
        <f>DAY(EOMONTH(EDATE(InceptionDate,265-1),0))</f>
        <v/>
      </c>
      <c r="JJ25" s="85">
        <f>DAY(EOMONTH(EDATE(InceptionDate,266-1),0))</f>
        <v/>
      </c>
      <c r="JK25" s="85">
        <f>DAY(EOMONTH(EDATE(InceptionDate,267-1),0))</f>
        <v/>
      </c>
      <c r="JL25" s="85">
        <f>DAY(EOMONTH(EDATE(InceptionDate,268-1),0))</f>
        <v/>
      </c>
      <c r="JM25" s="85">
        <f>DAY(EOMONTH(EDATE(InceptionDate,269-1),0))</f>
        <v/>
      </c>
      <c r="JN25" s="85">
        <f>DAY(EOMONTH(EDATE(InceptionDate,270-1),0))</f>
        <v/>
      </c>
      <c r="JO25" s="85">
        <f>DAY(EOMONTH(EDATE(InceptionDate,271-1),0))</f>
        <v/>
      </c>
      <c r="JP25" s="85">
        <f>DAY(EOMONTH(EDATE(InceptionDate,272-1),0))</f>
        <v/>
      </c>
      <c r="JQ25" s="85">
        <f>DAY(EOMONTH(EDATE(InceptionDate,273-1),0))</f>
        <v/>
      </c>
      <c r="JR25" s="85">
        <f>DAY(EOMONTH(EDATE(InceptionDate,274-1),0))</f>
        <v/>
      </c>
      <c r="JS25" s="85">
        <f>DAY(EOMONTH(EDATE(InceptionDate,275-1),0))</f>
        <v/>
      </c>
      <c r="JT25" s="85">
        <f>DAY(EOMONTH(EDATE(InceptionDate,276-1),0))</f>
        <v/>
      </c>
      <c r="JU25" s="85">
        <f>DAY(EOMONTH(EDATE(InceptionDate,277-1),0))</f>
        <v/>
      </c>
      <c r="JV25" s="85">
        <f>DAY(EOMONTH(EDATE(InceptionDate,278-1),0))</f>
        <v/>
      </c>
      <c r="JW25" s="85">
        <f>DAY(EOMONTH(EDATE(InceptionDate,279-1),0))</f>
        <v/>
      </c>
      <c r="JX25" s="85">
        <f>DAY(EOMONTH(EDATE(InceptionDate,280-1),0))</f>
        <v/>
      </c>
      <c r="JY25" s="85">
        <f>DAY(EOMONTH(EDATE(InceptionDate,281-1),0))</f>
        <v/>
      </c>
      <c r="JZ25" s="85">
        <f>DAY(EOMONTH(EDATE(InceptionDate,282-1),0))</f>
        <v/>
      </c>
      <c r="KA25" s="85">
        <f>DAY(EOMONTH(EDATE(InceptionDate,283-1),0))</f>
        <v/>
      </c>
      <c r="KB25" s="85">
        <f>DAY(EOMONTH(EDATE(InceptionDate,284-1),0))</f>
        <v/>
      </c>
      <c r="KC25" s="85">
        <f>DAY(EOMONTH(EDATE(InceptionDate,285-1),0))</f>
        <v/>
      </c>
      <c r="KD25" s="85">
        <f>DAY(EOMONTH(EDATE(InceptionDate,286-1),0))</f>
        <v/>
      </c>
      <c r="KE25" s="85">
        <f>DAY(EOMONTH(EDATE(InceptionDate,287-1),0))</f>
        <v/>
      </c>
      <c r="KF25" s="85">
        <f>DAY(EOMONTH(EDATE(InceptionDate,288-1),0))</f>
        <v/>
      </c>
      <c r="KG25" s="85">
        <f>DAY(EOMONTH(EDATE(InceptionDate,289-1),0))</f>
        <v/>
      </c>
      <c r="KH25" s="85">
        <f>DAY(EOMONTH(EDATE(InceptionDate,290-1),0))</f>
        <v/>
      </c>
      <c r="KI25" s="85">
        <f>DAY(EOMONTH(EDATE(InceptionDate,291-1),0))</f>
        <v/>
      </c>
      <c r="KJ25" s="85">
        <f>DAY(EOMONTH(EDATE(InceptionDate,292-1),0))</f>
        <v/>
      </c>
      <c r="KK25" s="85">
        <f>DAY(EOMONTH(EDATE(InceptionDate,293-1),0))</f>
        <v/>
      </c>
      <c r="KL25" s="85">
        <f>DAY(EOMONTH(EDATE(InceptionDate,294-1),0))</f>
        <v/>
      </c>
      <c r="KM25" s="85">
        <f>DAY(EOMONTH(EDATE(InceptionDate,295-1),0))</f>
        <v/>
      </c>
      <c r="KN25" s="85">
        <f>DAY(EOMONTH(EDATE(InceptionDate,296-1),0))</f>
        <v/>
      </c>
      <c r="KO25" s="85">
        <f>DAY(EOMONTH(EDATE(InceptionDate,297-1),0))</f>
        <v/>
      </c>
      <c r="KP25" s="85">
        <f>DAY(EOMONTH(EDATE(InceptionDate,298-1),0))</f>
        <v/>
      </c>
      <c r="KQ25" s="85">
        <f>DAY(EOMONTH(EDATE(InceptionDate,299-1),0))</f>
        <v/>
      </c>
      <c r="KR25" s="85">
        <f>DAY(EOMONTH(EDATE(InceptionDate,300-1),0))</f>
        <v/>
      </c>
      <c r="KS25" s="85">
        <f>DAY(EOMONTH(EDATE(InceptionDate,301-1),0))</f>
        <v/>
      </c>
      <c r="KT25" s="85">
        <f>DAY(EOMONTH(EDATE(InceptionDate,302-1),0))</f>
        <v/>
      </c>
      <c r="KU25" s="85">
        <f>DAY(EOMONTH(EDATE(InceptionDate,303-1),0))</f>
        <v/>
      </c>
      <c r="KV25" s="85">
        <f>DAY(EOMONTH(EDATE(InceptionDate,304-1),0))</f>
        <v/>
      </c>
      <c r="KW25" s="85">
        <f>DAY(EOMONTH(EDATE(InceptionDate,305-1),0))</f>
        <v/>
      </c>
      <c r="KX25" s="85">
        <f>DAY(EOMONTH(EDATE(InceptionDate,306-1),0))</f>
        <v/>
      </c>
      <c r="KY25" s="85">
        <f>DAY(EOMONTH(EDATE(InceptionDate,307-1),0))</f>
        <v/>
      </c>
      <c r="KZ25" s="85">
        <f>DAY(EOMONTH(EDATE(InceptionDate,308-1),0))</f>
        <v/>
      </c>
      <c r="LA25" s="85">
        <f>DAY(EOMONTH(EDATE(InceptionDate,309-1),0))</f>
        <v/>
      </c>
      <c r="LB25" s="85">
        <f>DAY(EOMONTH(EDATE(InceptionDate,310-1),0))</f>
        <v/>
      </c>
      <c r="LC25" s="85">
        <f>DAY(EOMONTH(EDATE(InceptionDate,311-1),0))</f>
        <v/>
      </c>
      <c r="LD25" s="85">
        <f>DAY(EOMONTH(EDATE(InceptionDate,312-1),0))</f>
        <v/>
      </c>
      <c r="LE25" s="85">
        <f>DAY(EOMONTH(EDATE(InceptionDate,313-1),0))</f>
        <v/>
      </c>
      <c r="LF25" s="85">
        <f>DAY(EOMONTH(EDATE(InceptionDate,314-1),0))</f>
        <v/>
      </c>
      <c r="LG25" s="85">
        <f>DAY(EOMONTH(EDATE(InceptionDate,315-1),0))</f>
        <v/>
      </c>
      <c r="LH25" s="85">
        <f>DAY(EOMONTH(EDATE(InceptionDate,316-1),0))</f>
        <v/>
      </c>
      <c r="LI25" s="85">
        <f>DAY(EOMONTH(EDATE(InceptionDate,317-1),0))</f>
        <v/>
      </c>
      <c r="LJ25" s="85">
        <f>DAY(EOMONTH(EDATE(InceptionDate,318-1),0))</f>
        <v/>
      </c>
      <c r="LK25" s="85">
        <f>DAY(EOMONTH(EDATE(InceptionDate,319-1),0))</f>
        <v/>
      </c>
      <c r="LL25" s="85">
        <f>DAY(EOMONTH(EDATE(InceptionDate,320-1),0))</f>
        <v/>
      </c>
      <c r="LM25" s="85">
        <f>DAY(EOMONTH(EDATE(InceptionDate,321-1),0))</f>
        <v/>
      </c>
      <c r="LN25" s="85">
        <f>DAY(EOMONTH(EDATE(InceptionDate,322-1),0))</f>
        <v/>
      </c>
      <c r="LO25" s="85">
        <f>DAY(EOMONTH(EDATE(InceptionDate,323-1),0))</f>
        <v/>
      </c>
      <c r="LP25" s="85">
        <f>DAY(EOMONTH(EDATE(InceptionDate,324-1),0))</f>
        <v/>
      </c>
      <c r="LQ25" s="85">
        <f>DAY(EOMONTH(EDATE(InceptionDate,325-1),0))</f>
        <v/>
      </c>
      <c r="LR25" s="85">
        <f>DAY(EOMONTH(EDATE(InceptionDate,326-1),0))</f>
        <v/>
      </c>
      <c r="LS25" s="85">
        <f>DAY(EOMONTH(EDATE(InceptionDate,327-1),0))</f>
        <v/>
      </c>
      <c r="LT25" s="85">
        <f>DAY(EOMONTH(EDATE(InceptionDate,328-1),0))</f>
        <v/>
      </c>
      <c r="LU25" s="85">
        <f>DAY(EOMONTH(EDATE(InceptionDate,329-1),0))</f>
        <v/>
      </c>
      <c r="LV25" s="85">
        <f>DAY(EOMONTH(EDATE(InceptionDate,330-1),0))</f>
        <v/>
      </c>
      <c r="LW25" s="85">
        <f>DAY(EOMONTH(EDATE(InceptionDate,331-1),0))</f>
        <v/>
      </c>
      <c r="LX25" s="85">
        <f>DAY(EOMONTH(EDATE(InceptionDate,332-1),0))</f>
        <v/>
      </c>
      <c r="LY25" s="85">
        <f>DAY(EOMONTH(EDATE(InceptionDate,333-1),0))</f>
        <v/>
      </c>
      <c r="LZ25" s="85">
        <f>DAY(EOMONTH(EDATE(InceptionDate,334-1),0))</f>
        <v/>
      </c>
      <c r="MA25" s="85">
        <f>DAY(EOMONTH(EDATE(InceptionDate,335-1),0))</f>
        <v/>
      </c>
      <c r="MB25" s="85">
        <f>DAY(EOMONTH(EDATE(InceptionDate,336-1),0))</f>
        <v/>
      </c>
      <c r="MC25" s="85">
        <f>DAY(EOMONTH(EDATE(InceptionDate,337-1),0))</f>
        <v/>
      </c>
      <c r="MD25" s="85">
        <f>DAY(EOMONTH(EDATE(InceptionDate,338-1),0))</f>
        <v/>
      </c>
      <c r="ME25" s="85">
        <f>DAY(EOMONTH(EDATE(InceptionDate,339-1),0))</f>
        <v/>
      </c>
      <c r="MF25" s="85">
        <f>DAY(EOMONTH(EDATE(InceptionDate,340-1),0))</f>
        <v/>
      </c>
      <c r="MG25" s="85">
        <f>DAY(EOMONTH(EDATE(InceptionDate,341-1),0))</f>
        <v/>
      </c>
      <c r="MH25" s="85">
        <f>DAY(EOMONTH(EDATE(InceptionDate,342-1),0))</f>
        <v/>
      </c>
      <c r="MI25" s="85">
        <f>DAY(EOMONTH(EDATE(InceptionDate,343-1),0))</f>
        <v/>
      </c>
      <c r="MJ25" s="85">
        <f>DAY(EOMONTH(EDATE(InceptionDate,344-1),0))</f>
        <v/>
      </c>
      <c r="MK25" s="85">
        <f>DAY(EOMONTH(EDATE(InceptionDate,345-1),0))</f>
        <v/>
      </c>
      <c r="ML25" s="85">
        <f>DAY(EOMONTH(EDATE(InceptionDate,346-1),0))</f>
        <v/>
      </c>
      <c r="MM25" s="85">
        <f>DAY(EOMONTH(EDATE(InceptionDate,347-1),0))</f>
        <v/>
      </c>
      <c r="MN25" s="85">
        <f>DAY(EOMONTH(EDATE(InceptionDate,348-1),0))</f>
        <v/>
      </c>
      <c r="MO25" s="85">
        <f>DAY(EOMONTH(EDATE(InceptionDate,349-1),0))</f>
        <v/>
      </c>
      <c r="MP25" s="85">
        <f>DAY(EOMONTH(EDATE(InceptionDate,350-1),0))</f>
        <v/>
      </c>
      <c r="MQ25" s="85">
        <f>DAY(EOMONTH(EDATE(InceptionDate,351-1),0))</f>
        <v/>
      </c>
      <c r="MR25" s="85">
        <f>DAY(EOMONTH(EDATE(InceptionDate,352-1),0))</f>
        <v/>
      </c>
      <c r="MS25" s="85">
        <f>DAY(EOMONTH(EDATE(InceptionDate,353-1),0))</f>
        <v/>
      </c>
      <c r="MT25" s="85">
        <f>DAY(EOMONTH(EDATE(InceptionDate,354-1),0))</f>
        <v/>
      </c>
      <c r="MU25" s="85">
        <f>DAY(EOMONTH(EDATE(InceptionDate,355-1),0))</f>
        <v/>
      </c>
      <c r="MV25" s="85">
        <f>DAY(EOMONTH(EDATE(InceptionDate,356-1),0))</f>
        <v/>
      </c>
      <c r="MW25" s="85">
        <f>DAY(EOMONTH(EDATE(InceptionDate,357-1),0))</f>
        <v/>
      </c>
      <c r="MX25" s="85">
        <f>DAY(EOMONTH(EDATE(InceptionDate,358-1),0))</f>
        <v/>
      </c>
      <c r="MY25" s="85">
        <f>DAY(EOMONTH(EDATE(InceptionDate,359-1),0))</f>
        <v/>
      </c>
      <c r="MZ25" s="85">
        <f>DAY(EOMONTH(EDATE(InceptionDate,360-1),0))</f>
        <v/>
      </c>
      <c r="NA25" s="85">
        <f>DAY(EOMONTH(EDATE(InceptionDate,361-1),0))</f>
        <v/>
      </c>
      <c r="NB25" s="85">
        <f>DAY(EOMONTH(EDATE(InceptionDate,362-1),0))</f>
        <v/>
      </c>
      <c r="NC25" s="85">
        <f>DAY(EOMONTH(EDATE(InceptionDate,363-1),0))</f>
        <v/>
      </c>
      <c r="ND25" s="85">
        <f>DAY(EOMONTH(EDATE(InceptionDate,364-1),0))</f>
        <v/>
      </c>
      <c r="NE25" s="85">
        <f>DAY(EOMONTH(EDATE(InceptionDate,365-1),0))</f>
        <v/>
      </c>
      <c r="NF25" s="85">
        <f>DAY(EOMONTH(EDATE(InceptionDate,366-1),0))</f>
        <v/>
      </c>
      <c r="NG25" s="85">
        <f>DAY(EOMONTH(EDATE(InceptionDate,367-1),0))</f>
        <v/>
      </c>
      <c r="NH25" s="85">
        <f>DAY(EOMONTH(EDATE(InceptionDate,368-1),0))</f>
        <v/>
      </c>
      <c r="NI25" s="85">
        <f>DAY(EOMONTH(EDATE(InceptionDate,369-1),0))</f>
        <v/>
      </c>
      <c r="NJ25" s="85">
        <f>DAY(EOMONTH(EDATE(InceptionDate,370-1),0))</f>
        <v/>
      </c>
      <c r="NK25" s="85">
        <f>DAY(EOMONTH(EDATE(InceptionDate,371-1),0))</f>
        <v/>
      </c>
      <c r="NL25" s="85">
        <f>DAY(EOMONTH(EDATE(InceptionDate,372-1),0))</f>
        <v/>
      </c>
    </row>
    <row r="26">
      <c r="B26" s="36" t="inlineStr">
        <is>
          <t>Fundable Uses</t>
        </is>
      </c>
      <c r="D26" s="258">
        <f>SUM(E26:NL26)</f>
        <v/>
      </c>
      <c r="E26" s="218">
        <f>DevSpend!E$100+DevSpend!E$101+DevSpend!E$104+IF(1=MS_Initial_Closing_Start,ConOtherCosts+ConPoints+RecourseFee+OpReserve,0)</f>
        <v/>
      </c>
      <c r="F26" s="218">
        <f>DevSpend!F$100+DevSpend!F$101+DevSpend!F$104+IF(2=MS_Initial_Closing_Start,ConOtherCosts+ConPoints+RecourseFee+OpReserve,0)</f>
        <v/>
      </c>
      <c r="G26" s="218">
        <f>DevSpend!G$100+DevSpend!G$101+DevSpend!G$104+IF(3=MS_Initial_Closing_Start,ConOtherCosts+ConPoints+RecourseFee+OpReserve,0)</f>
        <v/>
      </c>
      <c r="H26" s="218">
        <f>DevSpend!H$100+DevSpend!H$101+DevSpend!H$104+IF(4=MS_Initial_Closing_Start,ConOtherCosts+ConPoints+RecourseFee+OpReserve,0)</f>
        <v/>
      </c>
      <c r="I26" s="218">
        <f>DevSpend!I$100+DevSpend!I$101+DevSpend!I$104+IF(5=MS_Initial_Closing_Start,ConOtherCosts+ConPoints+RecourseFee+OpReserve,0)</f>
        <v/>
      </c>
      <c r="J26" s="218">
        <f>DevSpend!J$100+DevSpend!J$101+DevSpend!J$104+IF(6=MS_Initial_Closing_Start,ConOtherCosts+ConPoints+RecourseFee+OpReserve,0)</f>
        <v/>
      </c>
      <c r="K26" s="218">
        <f>DevSpend!K$100+DevSpend!K$101+DevSpend!K$104+IF(7=MS_Initial_Closing_Start,ConOtherCosts+ConPoints+RecourseFee+OpReserve,0)</f>
        <v/>
      </c>
      <c r="L26" s="218">
        <f>DevSpend!L$100+DevSpend!L$101+DevSpend!L$104+IF(8=MS_Initial_Closing_Start,ConOtherCosts+ConPoints+RecourseFee+OpReserve,0)</f>
        <v/>
      </c>
      <c r="M26" s="218">
        <f>DevSpend!M$100+DevSpend!M$101+DevSpend!M$104+IF(9=MS_Initial_Closing_Start,ConOtherCosts+ConPoints+RecourseFee+OpReserve,0)</f>
        <v/>
      </c>
      <c r="N26" s="218">
        <f>DevSpend!N$100+DevSpend!N$101+DevSpend!N$104+IF(10=MS_Initial_Closing_Start,ConOtherCosts+ConPoints+RecourseFee+OpReserve,0)</f>
        <v/>
      </c>
      <c r="O26" s="218">
        <f>DevSpend!O$100+DevSpend!O$101+DevSpend!O$104+IF(11=MS_Initial_Closing_Start,ConOtherCosts+ConPoints+RecourseFee+OpReserve,0)</f>
        <v/>
      </c>
      <c r="P26" s="218">
        <f>DevSpend!P$100+DevSpend!P$101+DevSpend!P$104+IF(12=MS_Initial_Closing_Start,ConOtherCosts+ConPoints+RecourseFee+OpReserve,0)</f>
        <v/>
      </c>
      <c r="Q26" s="218">
        <f>DevSpend!Q$100+DevSpend!Q$101+DevSpend!Q$104+IF(13=MS_Initial_Closing_Start,ConOtherCosts+ConPoints+RecourseFee+OpReserve,0)</f>
        <v/>
      </c>
      <c r="R26" s="218">
        <f>DevSpend!R$100+DevSpend!R$101+DevSpend!R$104+IF(14=MS_Initial_Closing_Start,ConOtherCosts+ConPoints+RecourseFee+OpReserve,0)</f>
        <v/>
      </c>
      <c r="S26" s="218">
        <f>DevSpend!S$100+DevSpend!S$101+DevSpend!S$104+IF(15=MS_Initial_Closing_Start,ConOtherCosts+ConPoints+RecourseFee+OpReserve,0)</f>
        <v/>
      </c>
      <c r="T26" s="218">
        <f>DevSpend!T$100+DevSpend!T$101+DevSpend!T$104+IF(16=MS_Initial_Closing_Start,ConOtherCosts+ConPoints+RecourseFee+OpReserve,0)</f>
        <v/>
      </c>
      <c r="U26" s="218">
        <f>DevSpend!U$100+DevSpend!U$101+DevSpend!U$104+IF(17=MS_Initial_Closing_Start,ConOtherCosts+ConPoints+RecourseFee+OpReserve,0)</f>
        <v/>
      </c>
      <c r="V26" s="218">
        <f>DevSpend!V$100+DevSpend!V$101+DevSpend!V$104+IF(18=MS_Initial_Closing_Start,ConOtherCosts+ConPoints+RecourseFee+OpReserve,0)</f>
        <v/>
      </c>
      <c r="W26" s="218">
        <f>DevSpend!W$100+DevSpend!W$101+DevSpend!W$104+IF(19=MS_Initial_Closing_Start,ConOtherCosts+ConPoints+RecourseFee+OpReserve,0)</f>
        <v/>
      </c>
      <c r="X26" s="218">
        <f>DevSpend!X$100+DevSpend!X$101+DevSpend!X$104+IF(20=MS_Initial_Closing_Start,ConOtherCosts+ConPoints+RecourseFee+OpReserve,0)</f>
        <v/>
      </c>
      <c r="Y26" s="218">
        <f>DevSpend!Y$100+DevSpend!Y$101+DevSpend!Y$104+IF(21=MS_Initial_Closing_Start,ConOtherCosts+ConPoints+RecourseFee+OpReserve,0)</f>
        <v/>
      </c>
      <c r="Z26" s="218">
        <f>DevSpend!Z$100+DevSpend!Z$101+DevSpend!Z$104+IF(22=MS_Initial_Closing_Start,ConOtherCosts+ConPoints+RecourseFee+OpReserve,0)</f>
        <v/>
      </c>
      <c r="AA26" s="218">
        <f>DevSpend!AA$100+DevSpend!AA$101+DevSpend!AA$104+IF(23=MS_Initial_Closing_Start,ConOtherCosts+ConPoints+RecourseFee+OpReserve,0)</f>
        <v/>
      </c>
      <c r="AB26" s="218">
        <f>DevSpend!AB$100+DevSpend!AB$101+DevSpend!AB$104+IF(24=MS_Initial_Closing_Start,ConOtherCosts+ConPoints+RecourseFee+OpReserve,0)</f>
        <v/>
      </c>
      <c r="AC26" s="218">
        <f>DevSpend!AC$100+DevSpend!AC$101+DevSpend!AC$104+IF(25=MS_Initial_Closing_Start,ConOtherCosts+ConPoints+RecourseFee+OpReserve,0)</f>
        <v/>
      </c>
      <c r="AD26" s="218">
        <f>DevSpend!AD$100+DevSpend!AD$101+DevSpend!AD$104+IF(26=MS_Initial_Closing_Start,ConOtherCosts+ConPoints+RecourseFee+OpReserve,0)</f>
        <v/>
      </c>
      <c r="AE26" s="218">
        <f>DevSpend!AE$100+DevSpend!AE$101+DevSpend!AE$104+IF(27=MS_Initial_Closing_Start,ConOtherCosts+ConPoints+RecourseFee+OpReserve,0)</f>
        <v/>
      </c>
      <c r="AF26" s="218">
        <f>DevSpend!AF$100+DevSpend!AF$101+DevSpend!AF$104+IF(28=MS_Initial_Closing_Start,ConOtherCosts+ConPoints+RecourseFee+OpReserve,0)</f>
        <v/>
      </c>
      <c r="AG26" s="218">
        <f>DevSpend!AG$100+DevSpend!AG$101+DevSpend!AG$104+IF(29=MS_Initial_Closing_Start,ConOtherCosts+ConPoints+RecourseFee+OpReserve,0)</f>
        <v/>
      </c>
      <c r="AH26" s="218">
        <f>DevSpend!AH$100+DevSpend!AH$101+DevSpend!AH$104+IF(30=MS_Initial_Closing_Start,ConOtherCosts+ConPoints+RecourseFee+OpReserve,0)</f>
        <v/>
      </c>
      <c r="AI26" s="218">
        <f>DevSpend!AI$100+DevSpend!AI$101+DevSpend!AI$104+IF(31=MS_Initial_Closing_Start,ConOtherCosts+ConPoints+RecourseFee+OpReserve,0)</f>
        <v/>
      </c>
      <c r="AJ26" s="218">
        <f>DevSpend!AJ$100+DevSpend!AJ$101+DevSpend!AJ$104+IF(32=MS_Initial_Closing_Start,ConOtherCosts+ConPoints+RecourseFee+OpReserve,0)</f>
        <v/>
      </c>
      <c r="AK26" s="218">
        <f>DevSpend!AK$100+DevSpend!AK$101+DevSpend!AK$104+IF(33=MS_Initial_Closing_Start,ConOtherCosts+ConPoints+RecourseFee+OpReserve,0)</f>
        <v/>
      </c>
      <c r="AL26" s="218">
        <f>DevSpend!AL$100+DevSpend!AL$101+DevSpend!AL$104+IF(34=MS_Initial_Closing_Start,ConOtherCosts+ConPoints+RecourseFee+OpReserve,0)</f>
        <v/>
      </c>
      <c r="AM26" s="218">
        <f>DevSpend!AM$100+DevSpend!AM$101+DevSpend!AM$104+IF(35=MS_Initial_Closing_Start,ConOtherCosts+ConPoints+RecourseFee+OpReserve,0)</f>
        <v/>
      </c>
      <c r="AN26" s="218">
        <f>DevSpend!AN$100+DevSpend!AN$101+DevSpend!AN$104+IF(36=MS_Initial_Closing_Start,ConOtherCosts+ConPoints+RecourseFee+OpReserve,0)</f>
        <v/>
      </c>
      <c r="AO26" s="218">
        <f>DevSpend!AO$100+DevSpend!AO$101+DevSpend!AO$104+IF(37=MS_Initial_Closing_Start,ConOtherCosts+ConPoints+RecourseFee+OpReserve,0)</f>
        <v/>
      </c>
      <c r="AP26" s="218">
        <f>DevSpend!AP$100+DevSpend!AP$101+DevSpend!AP$104+IF(38=MS_Initial_Closing_Start,ConOtherCosts+ConPoints+RecourseFee+OpReserve,0)</f>
        <v/>
      </c>
      <c r="AQ26" s="218">
        <f>DevSpend!AQ$100+DevSpend!AQ$101+DevSpend!AQ$104+IF(39=MS_Initial_Closing_Start,ConOtherCosts+ConPoints+RecourseFee+OpReserve,0)</f>
        <v/>
      </c>
      <c r="AR26" s="218">
        <f>DevSpend!AR$100+DevSpend!AR$101+DevSpend!AR$104+IF(40=MS_Initial_Closing_Start,ConOtherCosts+ConPoints+RecourseFee+OpReserve,0)</f>
        <v/>
      </c>
      <c r="AS26" s="218">
        <f>DevSpend!AS$100+DevSpend!AS$101+DevSpend!AS$104+IF(41=MS_Initial_Closing_Start,ConOtherCosts+ConPoints+RecourseFee+OpReserve,0)</f>
        <v/>
      </c>
      <c r="AT26" s="218">
        <f>DevSpend!AT$100+DevSpend!AT$101+DevSpend!AT$104+IF(42=MS_Initial_Closing_Start,ConOtherCosts+ConPoints+RecourseFee+OpReserve,0)</f>
        <v/>
      </c>
      <c r="AU26" s="218">
        <f>DevSpend!AU$100+DevSpend!AU$101+DevSpend!AU$104+IF(43=MS_Initial_Closing_Start,ConOtherCosts+ConPoints+RecourseFee+OpReserve,0)</f>
        <v/>
      </c>
      <c r="AV26" s="218">
        <f>DevSpend!AV$100+DevSpend!AV$101+DevSpend!AV$104+IF(44=MS_Initial_Closing_Start,ConOtherCosts+ConPoints+RecourseFee+OpReserve,0)</f>
        <v/>
      </c>
      <c r="AW26" s="218">
        <f>DevSpend!AW$100+DevSpend!AW$101+DevSpend!AW$104+IF(45=MS_Initial_Closing_Start,ConOtherCosts+ConPoints+RecourseFee+OpReserve,0)</f>
        <v/>
      </c>
      <c r="AX26" s="218">
        <f>DevSpend!AX$100+DevSpend!AX$101+DevSpend!AX$104+IF(46=MS_Initial_Closing_Start,ConOtherCosts+ConPoints+RecourseFee+OpReserve,0)</f>
        <v/>
      </c>
      <c r="AY26" s="218">
        <f>DevSpend!AY$100+DevSpend!AY$101+DevSpend!AY$104+IF(47=MS_Initial_Closing_Start,ConOtherCosts+ConPoints+RecourseFee+OpReserve,0)</f>
        <v/>
      </c>
      <c r="AZ26" s="218">
        <f>DevSpend!AZ$100+DevSpend!AZ$101+DevSpend!AZ$104+IF(48=MS_Initial_Closing_Start,ConOtherCosts+ConPoints+RecourseFee+OpReserve,0)</f>
        <v/>
      </c>
      <c r="BA26" s="218">
        <f>DevSpend!BA$100+DevSpend!BA$101+DevSpend!BA$104+IF(49=MS_Initial_Closing_Start,ConOtherCosts+ConPoints+RecourseFee+OpReserve,0)</f>
        <v/>
      </c>
      <c r="BB26" s="218">
        <f>DevSpend!BB$100+DevSpend!BB$101+DevSpend!BB$104+IF(50=MS_Initial_Closing_Start,ConOtherCosts+ConPoints+RecourseFee+OpReserve,0)</f>
        <v/>
      </c>
      <c r="BC26" s="218">
        <f>DevSpend!BC$100+DevSpend!BC$101+DevSpend!BC$104+IF(51=MS_Initial_Closing_Start,ConOtherCosts+ConPoints+RecourseFee+OpReserve,0)</f>
        <v/>
      </c>
      <c r="BD26" s="218">
        <f>DevSpend!BD$100+DevSpend!BD$101+DevSpend!BD$104+IF(52=MS_Initial_Closing_Start,ConOtherCosts+ConPoints+RecourseFee+OpReserve,0)</f>
        <v/>
      </c>
      <c r="BE26" s="218">
        <f>DevSpend!BE$100+DevSpend!BE$101+DevSpend!BE$104+IF(53=MS_Initial_Closing_Start,ConOtherCosts+ConPoints+RecourseFee+OpReserve,0)</f>
        <v/>
      </c>
      <c r="BF26" s="218">
        <f>DevSpend!BF$100+DevSpend!BF$101+DevSpend!BF$104+IF(54=MS_Initial_Closing_Start,ConOtherCosts+ConPoints+RecourseFee+OpReserve,0)</f>
        <v/>
      </c>
      <c r="BG26" s="218">
        <f>DevSpend!BG$100+DevSpend!BG$101+DevSpend!BG$104+IF(55=MS_Initial_Closing_Start,ConOtherCosts+ConPoints+RecourseFee+OpReserve,0)</f>
        <v/>
      </c>
      <c r="BH26" s="218">
        <f>DevSpend!BH$100+DevSpend!BH$101+DevSpend!BH$104+IF(56=MS_Initial_Closing_Start,ConOtherCosts+ConPoints+RecourseFee+OpReserve,0)</f>
        <v/>
      </c>
      <c r="BI26" s="218">
        <f>DevSpend!BI$100+DevSpend!BI$101+DevSpend!BI$104+IF(57=MS_Initial_Closing_Start,ConOtherCosts+ConPoints+RecourseFee+OpReserve,0)</f>
        <v/>
      </c>
      <c r="BJ26" s="218">
        <f>DevSpend!BJ$100+DevSpend!BJ$101+DevSpend!BJ$104+IF(58=MS_Initial_Closing_Start,ConOtherCosts+ConPoints+RecourseFee+OpReserve,0)</f>
        <v/>
      </c>
      <c r="BK26" s="218">
        <f>DevSpend!BK$100+DevSpend!BK$101+DevSpend!BK$104+IF(59=MS_Initial_Closing_Start,ConOtherCosts+ConPoints+RecourseFee+OpReserve,0)</f>
        <v/>
      </c>
      <c r="BL26" s="218">
        <f>DevSpend!BL$100+DevSpend!BL$101+DevSpend!BL$104+IF(60=MS_Initial_Closing_Start,ConOtherCosts+ConPoints+RecourseFee+OpReserve,0)</f>
        <v/>
      </c>
      <c r="BM26" s="218">
        <f>DevSpend!BM$100+DevSpend!BM$101+DevSpend!BM$104+IF(61=MS_Initial_Closing_Start,ConOtherCosts+ConPoints+RecourseFee+OpReserve,0)</f>
        <v/>
      </c>
      <c r="BN26" s="218">
        <f>DevSpend!BN$100+DevSpend!BN$101+DevSpend!BN$104+IF(62=MS_Initial_Closing_Start,ConOtherCosts+ConPoints+RecourseFee+OpReserve,0)</f>
        <v/>
      </c>
      <c r="BO26" s="218">
        <f>DevSpend!BO$100+DevSpend!BO$101+DevSpend!BO$104+IF(63=MS_Initial_Closing_Start,ConOtherCosts+ConPoints+RecourseFee+OpReserve,0)</f>
        <v/>
      </c>
      <c r="BP26" s="218">
        <f>DevSpend!BP$100+DevSpend!BP$101+DevSpend!BP$104+IF(64=MS_Initial_Closing_Start,ConOtherCosts+ConPoints+RecourseFee+OpReserve,0)</f>
        <v/>
      </c>
      <c r="BQ26" s="218">
        <f>DevSpend!BQ$100+DevSpend!BQ$101+DevSpend!BQ$104+IF(65=MS_Initial_Closing_Start,ConOtherCosts+ConPoints+RecourseFee+OpReserve,0)</f>
        <v/>
      </c>
      <c r="BR26" s="218">
        <f>DevSpend!BR$100+DevSpend!BR$101+DevSpend!BR$104+IF(66=MS_Initial_Closing_Start,ConOtherCosts+ConPoints+RecourseFee+OpReserve,0)</f>
        <v/>
      </c>
      <c r="BS26" s="218">
        <f>DevSpend!BS$100+DevSpend!BS$101+DevSpend!BS$104+IF(67=MS_Initial_Closing_Start,ConOtherCosts+ConPoints+RecourseFee+OpReserve,0)</f>
        <v/>
      </c>
      <c r="BT26" s="218">
        <f>DevSpend!BT$100+DevSpend!BT$101+DevSpend!BT$104+IF(68=MS_Initial_Closing_Start,ConOtherCosts+ConPoints+RecourseFee+OpReserve,0)</f>
        <v/>
      </c>
      <c r="BU26" s="218">
        <f>DevSpend!BU$100+DevSpend!BU$101+DevSpend!BU$104+IF(69=MS_Initial_Closing_Start,ConOtherCosts+ConPoints+RecourseFee+OpReserve,0)</f>
        <v/>
      </c>
      <c r="BV26" s="218">
        <f>DevSpend!BV$100+DevSpend!BV$101+DevSpend!BV$104+IF(70=MS_Initial_Closing_Start,ConOtherCosts+ConPoints+RecourseFee+OpReserve,0)</f>
        <v/>
      </c>
      <c r="BW26" s="218">
        <f>DevSpend!BW$100+DevSpend!BW$101+DevSpend!BW$104+IF(71=MS_Initial_Closing_Start,ConOtherCosts+ConPoints+RecourseFee+OpReserve,0)</f>
        <v/>
      </c>
      <c r="BX26" s="218">
        <f>DevSpend!BX$100+DevSpend!BX$101+DevSpend!BX$104+IF(72=MS_Initial_Closing_Start,ConOtherCosts+ConPoints+RecourseFee+OpReserve,0)</f>
        <v/>
      </c>
      <c r="BY26" s="218">
        <f>DevSpend!BY$100+DevSpend!BY$101+DevSpend!BY$104+IF(73=MS_Initial_Closing_Start,ConOtherCosts+ConPoints+RecourseFee+OpReserve,0)</f>
        <v/>
      </c>
      <c r="BZ26" s="218">
        <f>DevSpend!BZ$100+DevSpend!BZ$101+DevSpend!BZ$104+IF(74=MS_Initial_Closing_Start,ConOtherCosts+ConPoints+RecourseFee+OpReserve,0)</f>
        <v/>
      </c>
      <c r="CA26" s="218">
        <f>DevSpend!CA$100+DevSpend!CA$101+DevSpend!CA$104+IF(75=MS_Initial_Closing_Start,ConOtherCosts+ConPoints+RecourseFee+OpReserve,0)</f>
        <v/>
      </c>
      <c r="CB26" s="218">
        <f>DevSpend!CB$100+DevSpend!CB$101+DevSpend!CB$104+IF(76=MS_Initial_Closing_Start,ConOtherCosts+ConPoints+RecourseFee+OpReserve,0)</f>
        <v/>
      </c>
      <c r="CC26" s="218">
        <f>DevSpend!CC$100+DevSpend!CC$101+DevSpend!CC$104+IF(77=MS_Initial_Closing_Start,ConOtherCosts+ConPoints+RecourseFee+OpReserve,0)</f>
        <v/>
      </c>
      <c r="CD26" s="218">
        <f>DevSpend!CD$100+DevSpend!CD$101+DevSpend!CD$104+IF(78=MS_Initial_Closing_Start,ConOtherCosts+ConPoints+RecourseFee+OpReserve,0)</f>
        <v/>
      </c>
      <c r="CE26" s="218">
        <f>DevSpend!CE$100+DevSpend!CE$101+DevSpend!CE$104+IF(79=MS_Initial_Closing_Start,ConOtherCosts+ConPoints+RecourseFee+OpReserve,0)</f>
        <v/>
      </c>
      <c r="CF26" s="218">
        <f>DevSpend!CF$100+DevSpend!CF$101+DevSpend!CF$104+IF(80=MS_Initial_Closing_Start,ConOtherCosts+ConPoints+RecourseFee+OpReserve,0)</f>
        <v/>
      </c>
      <c r="CG26" s="218">
        <f>DevSpend!CG$100+DevSpend!CG$101+DevSpend!CG$104+IF(81=MS_Initial_Closing_Start,ConOtherCosts+ConPoints+RecourseFee+OpReserve,0)</f>
        <v/>
      </c>
      <c r="CH26" s="218">
        <f>DevSpend!CH$100+DevSpend!CH$101+DevSpend!CH$104+IF(82=MS_Initial_Closing_Start,ConOtherCosts+ConPoints+RecourseFee+OpReserve,0)</f>
        <v/>
      </c>
      <c r="CI26" s="218">
        <f>DevSpend!CI$100+DevSpend!CI$101+DevSpend!CI$104+IF(83=MS_Initial_Closing_Start,ConOtherCosts+ConPoints+RecourseFee+OpReserve,0)</f>
        <v/>
      </c>
      <c r="CJ26" s="218">
        <f>DevSpend!CJ$100+DevSpend!CJ$101+DevSpend!CJ$104+IF(84=MS_Initial_Closing_Start,ConOtherCosts+ConPoints+RecourseFee+OpReserve,0)</f>
        <v/>
      </c>
      <c r="CK26" s="218">
        <f>DevSpend!CK$100+DevSpend!CK$101+DevSpend!CK$104+IF(85=MS_Initial_Closing_Start,ConOtherCosts+ConPoints+RecourseFee+OpReserve,0)</f>
        <v/>
      </c>
      <c r="CL26" s="218">
        <f>DevSpend!CL$100+DevSpend!CL$101+DevSpend!CL$104+IF(86=MS_Initial_Closing_Start,ConOtherCosts+ConPoints+RecourseFee+OpReserve,0)</f>
        <v/>
      </c>
      <c r="CM26" s="218">
        <f>DevSpend!CM$100+DevSpend!CM$101+DevSpend!CM$104+IF(87=MS_Initial_Closing_Start,ConOtherCosts+ConPoints+RecourseFee+OpReserve,0)</f>
        <v/>
      </c>
      <c r="CN26" s="218">
        <f>DevSpend!CN$100+DevSpend!CN$101+DevSpend!CN$104+IF(88=MS_Initial_Closing_Start,ConOtherCosts+ConPoints+RecourseFee+OpReserve,0)</f>
        <v/>
      </c>
      <c r="CO26" s="218">
        <f>DevSpend!CO$100+DevSpend!CO$101+DevSpend!CO$104+IF(89=MS_Initial_Closing_Start,ConOtherCosts+ConPoints+RecourseFee+OpReserve,0)</f>
        <v/>
      </c>
      <c r="CP26" s="218">
        <f>DevSpend!CP$100+DevSpend!CP$101+DevSpend!CP$104+IF(90=MS_Initial_Closing_Start,ConOtherCosts+ConPoints+RecourseFee+OpReserve,0)</f>
        <v/>
      </c>
      <c r="CQ26" s="218">
        <f>DevSpend!CQ$100+DevSpend!CQ$101+DevSpend!CQ$104+IF(91=MS_Initial_Closing_Start,ConOtherCosts+ConPoints+RecourseFee+OpReserve,0)</f>
        <v/>
      </c>
      <c r="CR26" s="218">
        <f>DevSpend!CR$100+DevSpend!CR$101+DevSpend!CR$104+IF(92=MS_Initial_Closing_Start,ConOtherCosts+ConPoints+RecourseFee+OpReserve,0)</f>
        <v/>
      </c>
      <c r="CS26" s="218">
        <f>DevSpend!CS$100+DevSpend!CS$101+DevSpend!CS$104+IF(93=MS_Initial_Closing_Start,ConOtherCosts+ConPoints+RecourseFee+OpReserve,0)</f>
        <v/>
      </c>
      <c r="CT26" s="218">
        <f>DevSpend!CT$100+DevSpend!CT$101+DevSpend!CT$104+IF(94=MS_Initial_Closing_Start,ConOtherCosts+ConPoints+RecourseFee+OpReserve,0)</f>
        <v/>
      </c>
      <c r="CU26" s="218">
        <f>DevSpend!CU$100+DevSpend!CU$101+DevSpend!CU$104+IF(95=MS_Initial_Closing_Start,ConOtherCosts+ConPoints+RecourseFee+OpReserve,0)</f>
        <v/>
      </c>
      <c r="CV26" s="218">
        <f>DevSpend!CV$100+DevSpend!CV$101+DevSpend!CV$104+IF(96=MS_Initial_Closing_Start,ConOtherCosts+ConPoints+RecourseFee+OpReserve,0)</f>
        <v/>
      </c>
      <c r="CW26" s="218">
        <f>DevSpend!CW$100+DevSpend!CW$101+DevSpend!CW$104+IF(97=MS_Initial_Closing_Start,ConOtherCosts+ConPoints+RecourseFee+OpReserve,0)</f>
        <v/>
      </c>
      <c r="CX26" s="218">
        <f>DevSpend!CX$100+DevSpend!CX$101+DevSpend!CX$104+IF(98=MS_Initial_Closing_Start,ConOtherCosts+ConPoints+RecourseFee+OpReserve,0)</f>
        <v/>
      </c>
      <c r="CY26" s="218">
        <f>DevSpend!CY$100+DevSpend!CY$101+DevSpend!CY$104+IF(99=MS_Initial_Closing_Start,ConOtherCosts+ConPoints+RecourseFee+OpReserve,0)</f>
        <v/>
      </c>
      <c r="CZ26" s="218">
        <f>DevSpend!CZ$100+DevSpend!CZ$101+DevSpend!CZ$104+IF(100=MS_Initial_Closing_Start,ConOtherCosts+ConPoints+RecourseFee+OpReserve,0)</f>
        <v/>
      </c>
      <c r="DA26" s="218">
        <f>DevSpend!DA$100+DevSpend!DA$101+DevSpend!DA$104+IF(101=MS_Initial_Closing_Start,ConOtherCosts+ConPoints+RecourseFee+OpReserve,0)</f>
        <v/>
      </c>
      <c r="DB26" s="218">
        <f>DevSpend!DB$100+DevSpend!DB$101+DevSpend!DB$104+IF(102=MS_Initial_Closing_Start,ConOtherCosts+ConPoints+RecourseFee+OpReserve,0)</f>
        <v/>
      </c>
      <c r="DC26" s="218">
        <f>DevSpend!DC$100+DevSpend!DC$101+DevSpend!DC$104+IF(103=MS_Initial_Closing_Start,ConOtherCosts+ConPoints+RecourseFee+OpReserve,0)</f>
        <v/>
      </c>
      <c r="DD26" s="218">
        <f>DevSpend!DD$100+DevSpend!DD$101+DevSpend!DD$104+IF(104=MS_Initial_Closing_Start,ConOtherCosts+ConPoints+RecourseFee+OpReserve,0)</f>
        <v/>
      </c>
      <c r="DE26" s="218">
        <f>DevSpend!DE$100+DevSpend!DE$101+DevSpend!DE$104+IF(105=MS_Initial_Closing_Start,ConOtherCosts+ConPoints+RecourseFee+OpReserve,0)</f>
        <v/>
      </c>
      <c r="DF26" s="218">
        <f>DevSpend!DF$100+DevSpend!DF$101+DevSpend!DF$104+IF(106=MS_Initial_Closing_Start,ConOtherCosts+ConPoints+RecourseFee+OpReserve,0)</f>
        <v/>
      </c>
      <c r="DG26" s="218">
        <f>DevSpend!DG$100+DevSpend!DG$101+DevSpend!DG$104+IF(107=MS_Initial_Closing_Start,ConOtherCosts+ConPoints+RecourseFee+OpReserve,0)</f>
        <v/>
      </c>
      <c r="DH26" s="218">
        <f>DevSpend!DH$100+DevSpend!DH$101+DevSpend!DH$104+IF(108=MS_Initial_Closing_Start,ConOtherCosts+ConPoints+RecourseFee+OpReserve,0)</f>
        <v/>
      </c>
      <c r="DI26" s="218">
        <f>DevSpend!DI$100+DevSpend!DI$101+DevSpend!DI$104+IF(109=MS_Initial_Closing_Start,ConOtherCosts+ConPoints+RecourseFee+OpReserve,0)</f>
        <v/>
      </c>
      <c r="DJ26" s="218">
        <f>DevSpend!DJ$100+DevSpend!DJ$101+DevSpend!DJ$104+IF(110=MS_Initial_Closing_Start,ConOtherCosts+ConPoints+RecourseFee+OpReserve,0)</f>
        <v/>
      </c>
      <c r="DK26" s="218">
        <f>DevSpend!DK$100+DevSpend!DK$101+DevSpend!DK$104+IF(111=MS_Initial_Closing_Start,ConOtherCosts+ConPoints+RecourseFee+OpReserve,0)</f>
        <v/>
      </c>
      <c r="DL26" s="218">
        <f>DevSpend!DL$100+DevSpend!DL$101+DevSpend!DL$104+IF(112=MS_Initial_Closing_Start,ConOtherCosts+ConPoints+RecourseFee+OpReserve,0)</f>
        <v/>
      </c>
      <c r="DM26" s="218">
        <f>DevSpend!DM$100+DevSpend!DM$101+DevSpend!DM$104+IF(113=MS_Initial_Closing_Start,ConOtherCosts+ConPoints+RecourseFee+OpReserve,0)</f>
        <v/>
      </c>
      <c r="DN26" s="218">
        <f>DevSpend!DN$100+DevSpend!DN$101+DevSpend!DN$104+IF(114=MS_Initial_Closing_Start,ConOtherCosts+ConPoints+RecourseFee+OpReserve,0)</f>
        <v/>
      </c>
      <c r="DO26" s="218">
        <f>DevSpend!DO$100+DevSpend!DO$101+DevSpend!DO$104+IF(115=MS_Initial_Closing_Start,ConOtherCosts+ConPoints+RecourseFee+OpReserve,0)</f>
        <v/>
      </c>
      <c r="DP26" s="218">
        <f>DevSpend!DP$100+DevSpend!DP$101+DevSpend!DP$104+IF(116=MS_Initial_Closing_Start,ConOtherCosts+ConPoints+RecourseFee+OpReserve,0)</f>
        <v/>
      </c>
      <c r="DQ26" s="218">
        <f>DevSpend!DQ$100+DevSpend!DQ$101+DevSpend!DQ$104+IF(117=MS_Initial_Closing_Start,ConOtherCosts+ConPoints+RecourseFee+OpReserve,0)</f>
        <v/>
      </c>
      <c r="DR26" s="218">
        <f>DevSpend!DR$100+DevSpend!DR$101+DevSpend!DR$104+IF(118=MS_Initial_Closing_Start,ConOtherCosts+ConPoints+RecourseFee+OpReserve,0)</f>
        <v/>
      </c>
      <c r="DS26" s="218">
        <f>DevSpend!DS$100+DevSpend!DS$101+DevSpend!DS$104+IF(119=MS_Initial_Closing_Start,ConOtherCosts+ConPoints+RecourseFee+OpReserve,0)</f>
        <v/>
      </c>
      <c r="DT26" s="218">
        <f>DevSpend!DT$100+DevSpend!DT$101+DevSpend!DT$104+IF(120=MS_Initial_Closing_Start,ConOtherCosts+ConPoints+RecourseFee+OpReserve,0)</f>
        <v/>
      </c>
      <c r="DU26" s="218">
        <f>DevSpend!DU$100+DevSpend!DU$101+DevSpend!DU$104+IF(121=MS_Initial_Closing_Start,ConOtherCosts+ConPoints+RecourseFee+OpReserve,0)</f>
        <v/>
      </c>
      <c r="DV26" s="218">
        <f>DevSpend!DV$100+DevSpend!DV$101+DevSpend!DV$104+IF(122=MS_Initial_Closing_Start,ConOtherCosts+ConPoints+RecourseFee+OpReserve,0)</f>
        <v/>
      </c>
      <c r="DW26" s="218">
        <f>DevSpend!DW$100+DevSpend!DW$101+DevSpend!DW$104+IF(123=MS_Initial_Closing_Start,ConOtherCosts+ConPoints+RecourseFee+OpReserve,0)</f>
        <v/>
      </c>
      <c r="DX26" s="218">
        <f>DevSpend!DX$100+DevSpend!DX$101+DevSpend!DX$104+IF(124=MS_Initial_Closing_Start,ConOtherCosts+ConPoints+RecourseFee+OpReserve,0)</f>
        <v/>
      </c>
      <c r="DY26" s="218">
        <f>DevSpend!DY$100+DevSpend!DY$101+DevSpend!DY$104+IF(125=MS_Initial_Closing_Start,ConOtherCosts+ConPoints+RecourseFee+OpReserve,0)</f>
        <v/>
      </c>
      <c r="DZ26" s="218">
        <f>DevSpend!DZ$100+DevSpend!DZ$101+DevSpend!DZ$104+IF(126=MS_Initial_Closing_Start,ConOtherCosts+ConPoints+RecourseFee+OpReserve,0)</f>
        <v/>
      </c>
      <c r="EA26" s="218">
        <f>DevSpend!EA$100+DevSpend!EA$101+DevSpend!EA$104+IF(127=MS_Initial_Closing_Start,ConOtherCosts+ConPoints+RecourseFee+OpReserve,0)</f>
        <v/>
      </c>
      <c r="EB26" s="218">
        <f>DevSpend!EB$100+DevSpend!EB$101+DevSpend!EB$104+IF(128=MS_Initial_Closing_Start,ConOtherCosts+ConPoints+RecourseFee+OpReserve,0)</f>
        <v/>
      </c>
      <c r="EC26" s="218">
        <f>DevSpend!EC$100+DevSpend!EC$101+DevSpend!EC$104+IF(129=MS_Initial_Closing_Start,ConOtherCosts+ConPoints+RecourseFee+OpReserve,0)</f>
        <v/>
      </c>
      <c r="ED26" s="218">
        <f>DevSpend!ED$100+DevSpend!ED$101+DevSpend!ED$104+IF(130=MS_Initial_Closing_Start,ConOtherCosts+ConPoints+RecourseFee+OpReserve,0)</f>
        <v/>
      </c>
      <c r="EE26" s="218">
        <f>DevSpend!EE$100+DevSpend!EE$101+DevSpend!EE$104+IF(131=MS_Initial_Closing_Start,ConOtherCosts+ConPoints+RecourseFee+OpReserve,0)</f>
        <v/>
      </c>
      <c r="EF26" s="218">
        <f>DevSpend!EF$100+DevSpend!EF$101+DevSpend!EF$104+IF(132=MS_Initial_Closing_Start,ConOtherCosts+ConPoints+RecourseFee+OpReserve,0)</f>
        <v/>
      </c>
      <c r="EG26" s="218">
        <f>DevSpend!EG$100+DevSpend!EG$101+DevSpend!EG$104+IF(133=MS_Initial_Closing_Start,ConOtherCosts+ConPoints+RecourseFee+OpReserve,0)</f>
        <v/>
      </c>
      <c r="EH26" s="218">
        <f>DevSpend!EH$100+DevSpend!EH$101+DevSpend!EH$104+IF(134=MS_Initial_Closing_Start,ConOtherCosts+ConPoints+RecourseFee+OpReserve,0)</f>
        <v/>
      </c>
      <c r="EI26" s="218">
        <f>DevSpend!EI$100+DevSpend!EI$101+DevSpend!EI$104+IF(135=MS_Initial_Closing_Start,ConOtherCosts+ConPoints+RecourseFee+OpReserve,0)</f>
        <v/>
      </c>
      <c r="EJ26" s="218">
        <f>DevSpend!EJ$100+DevSpend!EJ$101+DevSpend!EJ$104+IF(136=MS_Initial_Closing_Start,ConOtherCosts+ConPoints+RecourseFee+OpReserve,0)</f>
        <v/>
      </c>
      <c r="EK26" s="218">
        <f>DevSpend!EK$100+DevSpend!EK$101+DevSpend!EK$104+IF(137=MS_Initial_Closing_Start,ConOtherCosts+ConPoints+RecourseFee+OpReserve,0)</f>
        <v/>
      </c>
      <c r="EL26" s="218">
        <f>DevSpend!EL$100+DevSpend!EL$101+DevSpend!EL$104+IF(138=MS_Initial_Closing_Start,ConOtherCosts+ConPoints+RecourseFee+OpReserve,0)</f>
        <v/>
      </c>
      <c r="EM26" s="218">
        <f>DevSpend!EM$100+DevSpend!EM$101+DevSpend!EM$104+IF(139=MS_Initial_Closing_Start,ConOtherCosts+ConPoints+RecourseFee+OpReserve,0)</f>
        <v/>
      </c>
      <c r="EN26" s="218">
        <f>DevSpend!EN$100+DevSpend!EN$101+DevSpend!EN$104+IF(140=MS_Initial_Closing_Start,ConOtherCosts+ConPoints+RecourseFee+OpReserve,0)</f>
        <v/>
      </c>
      <c r="EO26" s="218">
        <f>DevSpend!EO$100+DevSpend!EO$101+DevSpend!EO$104+IF(141=MS_Initial_Closing_Start,ConOtherCosts+ConPoints+RecourseFee+OpReserve,0)</f>
        <v/>
      </c>
      <c r="EP26" s="218">
        <f>DevSpend!EP$100+DevSpend!EP$101+DevSpend!EP$104+IF(142=MS_Initial_Closing_Start,ConOtherCosts+ConPoints+RecourseFee+OpReserve,0)</f>
        <v/>
      </c>
      <c r="EQ26" s="218">
        <f>DevSpend!EQ$100+DevSpend!EQ$101+DevSpend!EQ$104+IF(143=MS_Initial_Closing_Start,ConOtherCosts+ConPoints+RecourseFee+OpReserve,0)</f>
        <v/>
      </c>
      <c r="ER26" s="218">
        <f>DevSpend!ER$100+DevSpend!ER$101+DevSpend!ER$104+IF(144=MS_Initial_Closing_Start,ConOtherCosts+ConPoints+RecourseFee+OpReserve,0)</f>
        <v/>
      </c>
      <c r="ES26" s="218">
        <f>DevSpend!ES$100+DevSpend!ES$101+DevSpend!ES$104+IF(145=MS_Initial_Closing_Start,ConOtherCosts+ConPoints+RecourseFee+OpReserve,0)</f>
        <v/>
      </c>
      <c r="ET26" s="218">
        <f>DevSpend!ET$100+DevSpend!ET$101+DevSpend!ET$104+IF(146=MS_Initial_Closing_Start,ConOtherCosts+ConPoints+RecourseFee+OpReserve,0)</f>
        <v/>
      </c>
      <c r="EU26" s="218">
        <f>DevSpend!EU$100+DevSpend!EU$101+DevSpend!EU$104+IF(147=MS_Initial_Closing_Start,ConOtherCosts+ConPoints+RecourseFee+OpReserve,0)</f>
        <v/>
      </c>
      <c r="EV26" s="218">
        <f>DevSpend!EV$100+DevSpend!EV$101+DevSpend!EV$104+IF(148=MS_Initial_Closing_Start,ConOtherCosts+ConPoints+RecourseFee+OpReserve,0)</f>
        <v/>
      </c>
      <c r="EW26" s="218">
        <f>DevSpend!EW$100+DevSpend!EW$101+DevSpend!EW$104+IF(149=MS_Initial_Closing_Start,ConOtherCosts+ConPoints+RecourseFee+OpReserve,0)</f>
        <v/>
      </c>
      <c r="EX26" s="218">
        <f>DevSpend!EX$100+DevSpend!EX$101+DevSpend!EX$104+IF(150=MS_Initial_Closing_Start,ConOtherCosts+ConPoints+RecourseFee+OpReserve,0)</f>
        <v/>
      </c>
      <c r="EY26" s="218">
        <f>DevSpend!EY$100+DevSpend!EY$101+DevSpend!EY$104+IF(151=MS_Initial_Closing_Start,ConOtherCosts+ConPoints+RecourseFee+OpReserve,0)</f>
        <v/>
      </c>
      <c r="EZ26" s="218">
        <f>DevSpend!EZ$100+DevSpend!EZ$101+DevSpend!EZ$104+IF(152=MS_Initial_Closing_Start,ConOtherCosts+ConPoints+RecourseFee+OpReserve,0)</f>
        <v/>
      </c>
      <c r="FA26" s="218">
        <f>DevSpend!FA$100+DevSpend!FA$101+DevSpend!FA$104+IF(153=MS_Initial_Closing_Start,ConOtherCosts+ConPoints+RecourseFee+OpReserve,0)</f>
        <v/>
      </c>
      <c r="FB26" s="218">
        <f>DevSpend!FB$100+DevSpend!FB$101+DevSpend!FB$104+IF(154=MS_Initial_Closing_Start,ConOtherCosts+ConPoints+RecourseFee+OpReserve,0)</f>
        <v/>
      </c>
      <c r="FC26" s="218">
        <f>DevSpend!FC$100+DevSpend!FC$101+DevSpend!FC$104+IF(155=MS_Initial_Closing_Start,ConOtherCosts+ConPoints+RecourseFee+OpReserve,0)</f>
        <v/>
      </c>
      <c r="FD26" s="218">
        <f>DevSpend!FD$100+DevSpend!FD$101+DevSpend!FD$104+IF(156=MS_Initial_Closing_Start,ConOtherCosts+ConPoints+RecourseFee+OpReserve,0)</f>
        <v/>
      </c>
      <c r="FE26" s="218">
        <f>DevSpend!FE$100+DevSpend!FE$101+DevSpend!FE$104+IF(157=MS_Initial_Closing_Start,ConOtherCosts+ConPoints+RecourseFee+OpReserve,0)</f>
        <v/>
      </c>
      <c r="FF26" s="218">
        <f>DevSpend!FF$100+DevSpend!FF$101+DevSpend!FF$104+IF(158=MS_Initial_Closing_Start,ConOtherCosts+ConPoints+RecourseFee+OpReserve,0)</f>
        <v/>
      </c>
      <c r="FG26" s="218">
        <f>DevSpend!FG$100+DevSpend!FG$101+DevSpend!FG$104+IF(159=MS_Initial_Closing_Start,ConOtherCosts+ConPoints+RecourseFee+OpReserve,0)</f>
        <v/>
      </c>
      <c r="FH26" s="218">
        <f>DevSpend!FH$100+DevSpend!FH$101+DevSpend!FH$104+IF(160=MS_Initial_Closing_Start,ConOtherCosts+ConPoints+RecourseFee+OpReserve,0)</f>
        <v/>
      </c>
      <c r="FI26" s="218">
        <f>DevSpend!FI$100+DevSpend!FI$101+DevSpend!FI$104+IF(161=MS_Initial_Closing_Start,ConOtherCosts+ConPoints+RecourseFee+OpReserve,0)</f>
        <v/>
      </c>
      <c r="FJ26" s="218">
        <f>DevSpend!FJ$100+DevSpend!FJ$101+DevSpend!FJ$104+IF(162=MS_Initial_Closing_Start,ConOtherCosts+ConPoints+RecourseFee+OpReserve,0)</f>
        <v/>
      </c>
      <c r="FK26" s="218">
        <f>DevSpend!FK$100+DevSpend!FK$101+DevSpend!FK$104+IF(163=MS_Initial_Closing_Start,ConOtherCosts+ConPoints+RecourseFee+OpReserve,0)</f>
        <v/>
      </c>
      <c r="FL26" s="218">
        <f>DevSpend!FL$100+DevSpend!FL$101+DevSpend!FL$104+IF(164=MS_Initial_Closing_Start,ConOtherCosts+ConPoints+RecourseFee+OpReserve,0)</f>
        <v/>
      </c>
      <c r="FM26" s="218">
        <f>DevSpend!FM$100+DevSpend!FM$101+DevSpend!FM$104+IF(165=MS_Initial_Closing_Start,ConOtherCosts+ConPoints+RecourseFee+OpReserve,0)</f>
        <v/>
      </c>
      <c r="FN26" s="218">
        <f>DevSpend!FN$100+DevSpend!FN$101+DevSpend!FN$104+IF(166=MS_Initial_Closing_Start,ConOtherCosts+ConPoints+RecourseFee+OpReserve,0)</f>
        <v/>
      </c>
      <c r="FO26" s="218">
        <f>DevSpend!FO$100+DevSpend!FO$101+DevSpend!FO$104+IF(167=MS_Initial_Closing_Start,ConOtherCosts+ConPoints+RecourseFee+OpReserve,0)</f>
        <v/>
      </c>
      <c r="FP26" s="218">
        <f>DevSpend!FP$100+DevSpend!FP$101+DevSpend!FP$104+IF(168=MS_Initial_Closing_Start,ConOtherCosts+ConPoints+RecourseFee+OpReserve,0)</f>
        <v/>
      </c>
      <c r="FQ26" s="218">
        <f>DevSpend!FQ$100+DevSpend!FQ$101+DevSpend!FQ$104+IF(169=MS_Initial_Closing_Start,ConOtherCosts+ConPoints+RecourseFee+OpReserve,0)</f>
        <v/>
      </c>
      <c r="FR26" s="218">
        <f>DevSpend!FR$100+DevSpend!FR$101+DevSpend!FR$104+IF(170=MS_Initial_Closing_Start,ConOtherCosts+ConPoints+RecourseFee+OpReserve,0)</f>
        <v/>
      </c>
      <c r="FS26" s="218">
        <f>DevSpend!FS$100+DevSpend!FS$101+DevSpend!FS$104+IF(171=MS_Initial_Closing_Start,ConOtherCosts+ConPoints+RecourseFee+OpReserve,0)</f>
        <v/>
      </c>
      <c r="FT26" s="218">
        <f>DevSpend!FT$100+DevSpend!FT$101+DevSpend!FT$104+IF(172=MS_Initial_Closing_Start,ConOtherCosts+ConPoints+RecourseFee+OpReserve,0)</f>
        <v/>
      </c>
      <c r="FU26" s="218">
        <f>DevSpend!FU$100+DevSpend!FU$101+DevSpend!FU$104+IF(173=MS_Initial_Closing_Start,ConOtherCosts+ConPoints+RecourseFee+OpReserve,0)</f>
        <v/>
      </c>
      <c r="FV26" s="218">
        <f>DevSpend!FV$100+DevSpend!FV$101+DevSpend!FV$104+IF(174=MS_Initial_Closing_Start,ConOtherCosts+ConPoints+RecourseFee+OpReserve,0)</f>
        <v/>
      </c>
      <c r="FW26" s="218">
        <f>DevSpend!FW$100+DevSpend!FW$101+DevSpend!FW$104+IF(175=MS_Initial_Closing_Start,ConOtherCosts+ConPoints+RecourseFee+OpReserve,0)</f>
        <v/>
      </c>
      <c r="FX26" s="218">
        <f>DevSpend!FX$100+DevSpend!FX$101+DevSpend!FX$104+IF(176=MS_Initial_Closing_Start,ConOtherCosts+ConPoints+RecourseFee+OpReserve,0)</f>
        <v/>
      </c>
      <c r="FY26" s="218">
        <f>DevSpend!FY$100+DevSpend!FY$101+DevSpend!FY$104+IF(177=MS_Initial_Closing_Start,ConOtherCosts+ConPoints+RecourseFee+OpReserve,0)</f>
        <v/>
      </c>
      <c r="FZ26" s="218">
        <f>DevSpend!FZ$100+DevSpend!FZ$101+DevSpend!FZ$104+IF(178=MS_Initial_Closing_Start,ConOtherCosts+ConPoints+RecourseFee+OpReserve,0)</f>
        <v/>
      </c>
      <c r="GA26" s="218">
        <f>DevSpend!GA$100+DevSpend!GA$101+DevSpend!GA$104+IF(179=MS_Initial_Closing_Start,ConOtherCosts+ConPoints+RecourseFee+OpReserve,0)</f>
        <v/>
      </c>
      <c r="GB26" s="218">
        <f>DevSpend!GB$100+DevSpend!GB$101+DevSpend!GB$104+IF(180=MS_Initial_Closing_Start,ConOtherCosts+ConPoints+RecourseFee+OpReserve,0)</f>
        <v/>
      </c>
      <c r="GC26" s="218">
        <f>DevSpend!GC$100+DevSpend!GC$101+DevSpend!GC$104+IF(181=MS_Initial_Closing_Start,ConOtherCosts+ConPoints+RecourseFee+OpReserve,0)</f>
        <v/>
      </c>
      <c r="GD26" s="218">
        <f>DevSpend!GD$100+DevSpend!GD$101+DevSpend!GD$104+IF(182=MS_Initial_Closing_Start,ConOtherCosts+ConPoints+RecourseFee+OpReserve,0)</f>
        <v/>
      </c>
      <c r="GE26" s="218">
        <f>DevSpend!GE$100+DevSpend!GE$101+DevSpend!GE$104+IF(183=MS_Initial_Closing_Start,ConOtherCosts+ConPoints+RecourseFee+OpReserve,0)</f>
        <v/>
      </c>
      <c r="GF26" s="218">
        <f>DevSpend!GF$100+DevSpend!GF$101+DevSpend!GF$104+IF(184=MS_Initial_Closing_Start,ConOtherCosts+ConPoints+RecourseFee+OpReserve,0)</f>
        <v/>
      </c>
      <c r="GG26" s="218">
        <f>DevSpend!GG$100+DevSpend!GG$101+DevSpend!GG$104+IF(185=MS_Initial_Closing_Start,ConOtherCosts+ConPoints+RecourseFee+OpReserve,0)</f>
        <v/>
      </c>
      <c r="GH26" s="218">
        <f>DevSpend!GH$100+DevSpend!GH$101+DevSpend!GH$104+IF(186=MS_Initial_Closing_Start,ConOtherCosts+ConPoints+RecourseFee+OpReserve,0)</f>
        <v/>
      </c>
      <c r="GI26" s="218">
        <f>DevSpend!GI$100+DevSpend!GI$101+DevSpend!GI$104+IF(187=MS_Initial_Closing_Start,ConOtherCosts+ConPoints+RecourseFee+OpReserve,0)</f>
        <v/>
      </c>
      <c r="GJ26" s="218">
        <f>DevSpend!GJ$100+DevSpend!GJ$101+DevSpend!GJ$104+IF(188=MS_Initial_Closing_Start,ConOtherCosts+ConPoints+RecourseFee+OpReserve,0)</f>
        <v/>
      </c>
      <c r="GK26" s="218">
        <f>DevSpend!GK$100+DevSpend!GK$101+DevSpend!GK$104+IF(189=MS_Initial_Closing_Start,ConOtherCosts+ConPoints+RecourseFee+OpReserve,0)</f>
        <v/>
      </c>
      <c r="GL26" s="218">
        <f>DevSpend!GL$100+DevSpend!GL$101+DevSpend!GL$104+IF(190=MS_Initial_Closing_Start,ConOtherCosts+ConPoints+RecourseFee+OpReserve,0)</f>
        <v/>
      </c>
      <c r="GM26" s="218">
        <f>DevSpend!GM$100+DevSpend!GM$101+DevSpend!GM$104+IF(191=MS_Initial_Closing_Start,ConOtherCosts+ConPoints+RecourseFee+OpReserve,0)</f>
        <v/>
      </c>
      <c r="GN26" s="218">
        <f>DevSpend!GN$100+DevSpend!GN$101+DevSpend!GN$104+IF(192=MS_Initial_Closing_Start,ConOtherCosts+ConPoints+RecourseFee+OpReserve,0)</f>
        <v/>
      </c>
      <c r="GO26" s="218">
        <f>DevSpend!GO$100+DevSpend!GO$101+DevSpend!GO$104+IF(193=MS_Initial_Closing_Start,ConOtherCosts+ConPoints+RecourseFee+OpReserve,0)</f>
        <v/>
      </c>
      <c r="GP26" s="218">
        <f>DevSpend!GP$100+DevSpend!GP$101+DevSpend!GP$104+IF(194=MS_Initial_Closing_Start,ConOtherCosts+ConPoints+RecourseFee+OpReserve,0)</f>
        <v/>
      </c>
      <c r="GQ26" s="218">
        <f>DevSpend!GQ$100+DevSpend!GQ$101+DevSpend!GQ$104+IF(195=MS_Initial_Closing_Start,ConOtherCosts+ConPoints+RecourseFee+OpReserve,0)</f>
        <v/>
      </c>
      <c r="GR26" s="218">
        <f>DevSpend!GR$100+DevSpend!GR$101+DevSpend!GR$104+IF(196=MS_Initial_Closing_Start,ConOtherCosts+ConPoints+RecourseFee+OpReserve,0)</f>
        <v/>
      </c>
      <c r="GS26" s="218">
        <f>DevSpend!GS$100+DevSpend!GS$101+DevSpend!GS$104+IF(197=MS_Initial_Closing_Start,ConOtherCosts+ConPoints+RecourseFee+OpReserve,0)</f>
        <v/>
      </c>
      <c r="GT26" s="218">
        <f>DevSpend!GT$100+DevSpend!GT$101+DevSpend!GT$104+IF(198=MS_Initial_Closing_Start,ConOtherCosts+ConPoints+RecourseFee+OpReserve,0)</f>
        <v/>
      </c>
      <c r="GU26" s="218">
        <f>DevSpend!GU$100+DevSpend!GU$101+DevSpend!GU$104+IF(199=MS_Initial_Closing_Start,ConOtherCosts+ConPoints+RecourseFee+OpReserve,0)</f>
        <v/>
      </c>
      <c r="GV26" s="218">
        <f>DevSpend!GV$100+DevSpend!GV$101+DevSpend!GV$104+IF(200=MS_Initial_Closing_Start,ConOtherCosts+ConPoints+RecourseFee+OpReserve,0)</f>
        <v/>
      </c>
      <c r="GW26" s="218">
        <f>DevSpend!GW$100+DevSpend!GW$101+DevSpend!GW$104+IF(201=MS_Initial_Closing_Start,ConOtherCosts+ConPoints+RecourseFee+OpReserve,0)</f>
        <v/>
      </c>
      <c r="GX26" s="218">
        <f>DevSpend!GX$100+DevSpend!GX$101+DevSpend!GX$104+IF(202=MS_Initial_Closing_Start,ConOtherCosts+ConPoints+RecourseFee+OpReserve,0)</f>
        <v/>
      </c>
      <c r="GY26" s="218">
        <f>DevSpend!GY$100+DevSpend!GY$101+DevSpend!GY$104+IF(203=MS_Initial_Closing_Start,ConOtherCosts+ConPoints+RecourseFee+OpReserve,0)</f>
        <v/>
      </c>
      <c r="GZ26" s="218">
        <f>DevSpend!GZ$100+DevSpend!GZ$101+DevSpend!GZ$104+IF(204=MS_Initial_Closing_Start,ConOtherCosts+ConPoints+RecourseFee+OpReserve,0)</f>
        <v/>
      </c>
      <c r="HA26" s="218">
        <f>DevSpend!HA$100+DevSpend!HA$101+DevSpend!HA$104+IF(205=MS_Initial_Closing_Start,ConOtherCosts+ConPoints+RecourseFee+OpReserve,0)</f>
        <v/>
      </c>
      <c r="HB26" s="218">
        <f>DevSpend!HB$100+DevSpend!HB$101+DevSpend!HB$104+IF(206=MS_Initial_Closing_Start,ConOtherCosts+ConPoints+RecourseFee+OpReserve,0)</f>
        <v/>
      </c>
      <c r="HC26" s="218">
        <f>DevSpend!HC$100+DevSpend!HC$101+DevSpend!HC$104+IF(207=MS_Initial_Closing_Start,ConOtherCosts+ConPoints+RecourseFee+OpReserve,0)</f>
        <v/>
      </c>
      <c r="HD26" s="218">
        <f>DevSpend!HD$100+DevSpend!HD$101+DevSpend!HD$104+IF(208=MS_Initial_Closing_Start,ConOtherCosts+ConPoints+RecourseFee+OpReserve,0)</f>
        <v/>
      </c>
      <c r="HE26" s="218">
        <f>DevSpend!HE$100+DevSpend!HE$101+DevSpend!HE$104+IF(209=MS_Initial_Closing_Start,ConOtherCosts+ConPoints+RecourseFee+OpReserve,0)</f>
        <v/>
      </c>
      <c r="HF26" s="218">
        <f>DevSpend!HF$100+DevSpend!HF$101+DevSpend!HF$104+IF(210=MS_Initial_Closing_Start,ConOtherCosts+ConPoints+RecourseFee+OpReserve,0)</f>
        <v/>
      </c>
      <c r="HG26" s="218">
        <f>DevSpend!HG$100+DevSpend!HG$101+DevSpend!HG$104+IF(211=MS_Initial_Closing_Start,ConOtherCosts+ConPoints+RecourseFee+OpReserve,0)</f>
        <v/>
      </c>
      <c r="HH26" s="218">
        <f>DevSpend!HH$100+DevSpend!HH$101+DevSpend!HH$104+IF(212=MS_Initial_Closing_Start,ConOtherCosts+ConPoints+RecourseFee+OpReserve,0)</f>
        <v/>
      </c>
      <c r="HI26" s="218">
        <f>DevSpend!HI$100+DevSpend!HI$101+DevSpend!HI$104+IF(213=MS_Initial_Closing_Start,ConOtherCosts+ConPoints+RecourseFee+OpReserve,0)</f>
        <v/>
      </c>
      <c r="HJ26" s="218">
        <f>DevSpend!HJ$100+DevSpend!HJ$101+DevSpend!HJ$104+IF(214=MS_Initial_Closing_Start,ConOtherCosts+ConPoints+RecourseFee+OpReserve,0)</f>
        <v/>
      </c>
      <c r="HK26" s="218">
        <f>DevSpend!HK$100+DevSpend!HK$101+DevSpend!HK$104+IF(215=MS_Initial_Closing_Start,ConOtherCosts+ConPoints+RecourseFee+OpReserve,0)</f>
        <v/>
      </c>
      <c r="HL26" s="218">
        <f>DevSpend!HL$100+DevSpend!HL$101+DevSpend!HL$104+IF(216=MS_Initial_Closing_Start,ConOtherCosts+ConPoints+RecourseFee+OpReserve,0)</f>
        <v/>
      </c>
      <c r="HM26" s="218">
        <f>DevSpend!HM$100+DevSpend!HM$101+DevSpend!HM$104+IF(217=MS_Initial_Closing_Start,ConOtherCosts+ConPoints+RecourseFee+OpReserve,0)</f>
        <v/>
      </c>
      <c r="HN26" s="218">
        <f>DevSpend!HN$100+DevSpend!HN$101+DevSpend!HN$104+IF(218=MS_Initial_Closing_Start,ConOtherCosts+ConPoints+RecourseFee+OpReserve,0)</f>
        <v/>
      </c>
      <c r="HO26" s="218">
        <f>DevSpend!HO$100+DevSpend!HO$101+DevSpend!HO$104+IF(219=MS_Initial_Closing_Start,ConOtherCosts+ConPoints+RecourseFee+OpReserve,0)</f>
        <v/>
      </c>
      <c r="HP26" s="218">
        <f>DevSpend!HP$100+DevSpend!HP$101+DevSpend!HP$104+IF(220=MS_Initial_Closing_Start,ConOtherCosts+ConPoints+RecourseFee+OpReserve,0)</f>
        <v/>
      </c>
      <c r="HQ26" s="218">
        <f>DevSpend!HQ$100+DevSpend!HQ$101+DevSpend!HQ$104+IF(221=MS_Initial_Closing_Start,ConOtherCosts+ConPoints+RecourseFee+OpReserve,0)</f>
        <v/>
      </c>
      <c r="HR26" s="218">
        <f>DevSpend!HR$100+DevSpend!HR$101+DevSpend!HR$104+IF(222=MS_Initial_Closing_Start,ConOtherCosts+ConPoints+RecourseFee+OpReserve,0)</f>
        <v/>
      </c>
      <c r="HS26" s="218">
        <f>DevSpend!HS$100+DevSpend!HS$101+DevSpend!HS$104+IF(223=MS_Initial_Closing_Start,ConOtherCosts+ConPoints+RecourseFee+OpReserve,0)</f>
        <v/>
      </c>
      <c r="HT26" s="218">
        <f>DevSpend!HT$100+DevSpend!HT$101+DevSpend!HT$104+IF(224=MS_Initial_Closing_Start,ConOtherCosts+ConPoints+RecourseFee+OpReserve,0)</f>
        <v/>
      </c>
      <c r="HU26" s="218">
        <f>DevSpend!HU$100+DevSpend!HU$101+DevSpend!HU$104+IF(225=MS_Initial_Closing_Start,ConOtherCosts+ConPoints+RecourseFee+OpReserve,0)</f>
        <v/>
      </c>
      <c r="HV26" s="218">
        <f>DevSpend!HV$100+DevSpend!HV$101+DevSpend!HV$104+IF(226=MS_Initial_Closing_Start,ConOtherCosts+ConPoints+RecourseFee+OpReserve,0)</f>
        <v/>
      </c>
      <c r="HW26" s="218">
        <f>DevSpend!HW$100+DevSpend!HW$101+DevSpend!HW$104+IF(227=MS_Initial_Closing_Start,ConOtherCosts+ConPoints+RecourseFee+OpReserve,0)</f>
        <v/>
      </c>
      <c r="HX26" s="218">
        <f>DevSpend!HX$100+DevSpend!HX$101+DevSpend!HX$104+IF(228=MS_Initial_Closing_Start,ConOtherCosts+ConPoints+RecourseFee+OpReserve,0)</f>
        <v/>
      </c>
      <c r="HY26" s="218">
        <f>DevSpend!HY$100+DevSpend!HY$101+DevSpend!HY$104+IF(229=MS_Initial_Closing_Start,ConOtherCosts+ConPoints+RecourseFee+OpReserve,0)</f>
        <v/>
      </c>
      <c r="HZ26" s="218">
        <f>DevSpend!HZ$100+DevSpend!HZ$101+DevSpend!HZ$104+IF(230=MS_Initial_Closing_Start,ConOtherCosts+ConPoints+RecourseFee+OpReserve,0)</f>
        <v/>
      </c>
      <c r="IA26" s="218">
        <f>DevSpend!IA$100+DevSpend!IA$101+DevSpend!IA$104+IF(231=MS_Initial_Closing_Start,ConOtherCosts+ConPoints+RecourseFee+OpReserve,0)</f>
        <v/>
      </c>
      <c r="IB26" s="218">
        <f>DevSpend!IB$100+DevSpend!IB$101+DevSpend!IB$104+IF(232=MS_Initial_Closing_Start,ConOtherCosts+ConPoints+RecourseFee+OpReserve,0)</f>
        <v/>
      </c>
      <c r="IC26" s="218">
        <f>DevSpend!IC$100+DevSpend!IC$101+DevSpend!IC$104+IF(233=MS_Initial_Closing_Start,ConOtherCosts+ConPoints+RecourseFee+OpReserve,0)</f>
        <v/>
      </c>
      <c r="ID26" s="218">
        <f>DevSpend!ID$100+DevSpend!ID$101+DevSpend!ID$104+IF(234=MS_Initial_Closing_Start,ConOtherCosts+ConPoints+RecourseFee+OpReserve,0)</f>
        <v/>
      </c>
      <c r="IE26" s="218">
        <f>DevSpend!IE$100+DevSpend!IE$101+DevSpend!IE$104+IF(235=MS_Initial_Closing_Start,ConOtherCosts+ConPoints+RecourseFee+OpReserve,0)</f>
        <v/>
      </c>
      <c r="IF26" s="218">
        <f>DevSpend!IF$100+DevSpend!IF$101+DevSpend!IF$104+IF(236=MS_Initial_Closing_Start,ConOtherCosts+ConPoints+RecourseFee+OpReserve,0)</f>
        <v/>
      </c>
      <c r="IG26" s="218">
        <f>DevSpend!IG$100+DevSpend!IG$101+DevSpend!IG$104+IF(237=MS_Initial_Closing_Start,ConOtherCosts+ConPoints+RecourseFee+OpReserve,0)</f>
        <v/>
      </c>
      <c r="IH26" s="218">
        <f>DevSpend!IH$100+DevSpend!IH$101+DevSpend!IH$104+IF(238=MS_Initial_Closing_Start,ConOtherCosts+ConPoints+RecourseFee+OpReserve,0)</f>
        <v/>
      </c>
      <c r="II26" s="218">
        <f>DevSpend!II$100+DevSpend!II$101+DevSpend!II$104+IF(239=MS_Initial_Closing_Start,ConOtherCosts+ConPoints+RecourseFee+OpReserve,0)</f>
        <v/>
      </c>
      <c r="IJ26" s="218">
        <f>DevSpend!IJ$100+DevSpend!IJ$101+DevSpend!IJ$104+IF(240=MS_Initial_Closing_Start,ConOtherCosts+ConPoints+RecourseFee+OpReserve,0)</f>
        <v/>
      </c>
      <c r="IK26" s="218">
        <f>DevSpend!IK$100+DevSpend!IK$101+DevSpend!IK$104+IF(241=MS_Initial_Closing_Start,ConOtherCosts+ConPoints+RecourseFee+OpReserve,0)</f>
        <v/>
      </c>
      <c r="IL26" s="218">
        <f>DevSpend!IL$100+DevSpend!IL$101+DevSpend!IL$104+IF(242=MS_Initial_Closing_Start,ConOtherCosts+ConPoints+RecourseFee+OpReserve,0)</f>
        <v/>
      </c>
      <c r="IM26" s="218">
        <f>DevSpend!IM$100+DevSpend!IM$101+DevSpend!IM$104+IF(243=MS_Initial_Closing_Start,ConOtherCosts+ConPoints+RecourseFee+OpReserve,0)</f>
        <v/>
      </c>
      <c r="IN26" s="218">
        <f>DevSpend!IN$100+DevSpend!IN$101+DevSpend!IN$104+IF(244=MS_Initial_Closing_Start,ConOtherCosts+ConPoints+RecourseFee+OpReserve,0)</f>
        <v/>
      </c>
      <c r="IO26" s="218">
        <f>DevSpend!IO$100+DevSpend!IO$101+DevSpend!IO$104+IF(245=MS_Initial_Closing_Start,ConOtherCosts+ConPoints+RecourseFee+OpReserve,0)</f>
        <v/>
      </c>
      <c r="IP26" s="218">
        <f>DevSpend!IP$100+DevSpend!IP$101+DevSpend!IP$104+IF(246=MS_Initial_Closing_Start,ConOtherCosts+ConPoints+RecourseFee+OpReserve,0)</f>
        <v/>
      </c>
      <c r="IQ26" s="218">
        <f>DevSpend!IQ$100+DevSpend!IQ$101+DevSpend!IQ$104+IF(247=MS_Initial_Closing_Start,ConOtherCosts+ConPoints+RecourseFee+OpReserve,0)</f>
        <v/>
      </c>
      <c r="IR26" s="218">
        <f>DevSpend!IR$100+DevSpend!IR$101+DevSpend!IR$104+IF(248=MS_Initial_Closing_Start,ConOtherCosts+ConPoints+RecourseFee+OpReserve,0)</f>
        <v/>
      </c>
      <c r="IS26" s="218">
        <f>DevSpend!IS$100+DevSpend!IS$101+DevSpend!IS$104+IF(249=MS_Initial_Closing_Start,ConOtherCosts+ConPoints+RecourseFee+OpReserve,0)</f>
        <v/>
      </c>
      <c r="IT26" s="218">
        <f>DevSpend!IT$100+DevSpend!IT$101+DevSpend!IT$104+IF(250=MS_Initial_Closing_Start,ConOtherCosts+ConPoints+RecourseFee+OpReserve,0)</f>
        <v/>
      </c>
      <c r="IU26" s="218">
        <f>DevSpend!IU$100+DevSpend!IU$101+DevSpend!IU$104+IF(251=MS_Initial_Closing_Start,ConOtherCosts+ConPoints+RecourseFee+OpReserve,0)</f>
        <v/>
      </c>
      <c r="IV26" s="218">
        <f>DevSpend!IV$100+DevSpend!IV$101+DevSpend!IV$104+IF(252=MS_Initial_Closing_Start,ConOtherCosts+ConPoints+RecourseFee+OpReserve,0)</f>
        <v/>
      </c>
      <c r="IW26" s="218">
        <f>DevSpend!IW$100+DevSpend!IW$101+DevSpend!IW$104+IF(253=MS_Initial_Closing_Start,ConOtherCosts+ConPoints+RecourseFee+OpReserve,0)</f>
        <v/>
      </c>
      <c r="IX26" s="218">
        <f>DevSpend!IX$100+DevSpend!IX$101+DevSpend!IX$104+IF(254=MS_Initial_Closing_Start,ConOtherCosts+ConPoints+RecourseFee+OpReserve,0)</f>
        <v/>
      </c>
      <c r="IY26" s="218">
        <f>DevSpend!IY$100+DevSpend!IY$101+DevSpend!IY$104+IF(255=MS_Initial_Closing_Start,ConOtherCosts+ConPoints+RecourseFee+OpReserve,0)</f>
        <v/>
      </c>
      <c r="IZ26" s="218">
        <f>DevSpend!IZ$100+DevSpend!IZ$101+DevSpend!IZ$104+IF(256=MS_Initial_Closing_Start,ConOtherCosts+ConPoints+RecourseFee+OpReserve,0)</f>
        <v/>
      </c>
      <c r="JA26" s="218">
        <f>DevSpend!JA$100+DevSpend!JA$101+DevSpend!JA$104+IF(257=MS_Initial_Closing_Start,ConOtherCosts+ConPoints+RecourseFee+OpReserve,0)</f>
        <v/>
      </c>
      <c r="JB26" s="218">
        <f>DevSpend!JB$100+DevSpend!JB$101+DevSpend!JB$104+IF(258=MS_Initial_Closing_Start,ConOtherCosts+ConPoints+RecourseFee+OpReserve,0)</f>
        <v/>
      </c>
      <c r="JC26" s="218">
        <f>DevSpend!JC$100+DevSpend!JC$101+DevSpend!JC$104+IF(259=MS_Initial_Closing_Start,ConOtherCosts+ConPoints+RecourseFee+OpReserve,0)</f>
        <v/>
      </c>
      <c r="JD26" s="218">
        <f>DevSpend!JD$100+DevSpend!JD$101+DevSpend!JD$104+IF(260=MS_Initial_Closing_Start,ConOtherCosts+ConPoints+RecourseFee+OpReserve,0)</f>
        <v/>
      </c>
      <c r="JE26" s="218">
        <f>DevSpend!JE$100+DevSpend!JE$101+DevSpend!JE$104+IF(261=MS_Initial_Closing_Start,ConOtherCosts+ConPoints+RecourseFee+OpReserve,0)</f>
        <v/>
      </c>
      <c r="JF26" s="218">
        <f>DevSpend!JF$100+DevSpend!JF$101+DevSpend!JF$104+IF(262=MS_Initial_Closing_Start,ConOtherCosts+ConPoints+RecourseFee+OpReserve,0)</f>
        <v/>
      </c>
      <c r="JG26" s="218">
        <f>DevSpend!JG$100+DevSpend!JG$101+DevSpend!JG$104+IF(263=MS_Initial_Closing_Start,ConOtherCosts+ConPoints+RecourseFee+OpReserve,0)</f>
        <v/>
      </c>
      <c r="JH26" s="218">
        <f>DevSpend!JH$100+DevSpend!JH$101+DevSpend!JH$104+IF(264=MS_Initial_Closing_Start,ConOtherCosts+ConPoints+RecourseFee+OpReserve,0)</f>
        <v/>
      </c>
      <c r="JI26" s="218">
        <f>DevSpend!JI$100+DevSpend!JI$101+DevSpend!JI$104+IF(265=MS_Initial_Closing_Start,ConOtherCosts+ConPoints+RecourseFee+OpReserve,0)</f>
        <v/>
      </c>
      <c r="JJ26" s="218">
        <f>DevSpend!JJ$100+DevSpend!JJ$101+DevSpend!JJ$104+IF(266=MS_Initial_Closing_Start,ConOtherCosts+ConPoints+RecourseFee+OpReserve,0)</f>
        <v/>
      </c>
      <c r="JK26" s="218">
        <f>DevSpend!JK$100+DevSpend!JK$101+DevSpend!JK$104+IF(267=MS_Initial_Closing_Start,ConOtherCosts+ConPoints+RecourseFee+OpReserve,0)</f>
        <v/>
      </c>
      <c r="JL26" s="218">
        <f>DevSpend!JL$100+DevSpend!JL$101+DevSpend!JL$104+IF(268=MS_Initial_Closing_Start,ConOtherCosts+ConPoints+RecourseFee+OpReserve,0)</f>
        <v/>
      </c>
      <c r="JM26" s="218">
        <f>DevSpend!JM$100+DevSpend!JM$101+DevSpend!JM$104+IF(269=MS_Initial_Closing_Start,ConOtherCosts+ConPoints+RecourseFee+OpReserve,0)</f>
        <v/>
      </c>
      <c r="JN26" s="218">
        <f>DevSpend!JN$100+DevSpend!JN$101+DevSpend!JN$104+IF(270=MS_Initial_Closing_Start,ConOtherCosts+ConPoints+RecourseFee+OpReserve,0)</f>
        <v/>
      </c>
      <c r="JO26" s="218">
        <f>DevSpend!JO$100+DevSpend!JO$101+DevSpend!JO$104+IF(271=MS_Initial_Closing_Start,ConOtherCosts+ConPoints+RecourseFee+OpReserve,0)</f>
        <v/>
      </c>
      <c r="JP26" s="218">
        <f>DevSpend!JP$100+DevSpend!JP$101+DevSpend!JP$104+IF(272=MS_Initial_Closing_Start,ConOtherCosts+ConPoints+RecourseFee+OpReserve,0)</f>
        <v/>
      </c>
      <c r="JQ26" s="218">
        <f>DevSpend!JQ$100+DevSpend!JQ$101+DevSpend!JQ$104+IF(273=MS_Initial_Closing_Start,ConOtherCosts+ConPoints+RecourseFee+OpReserve,0)</f>
        <v/>
      </c>
      <c r="JR26" s="218">
        <f>DevSpend!JR$100+DevSpend!JR$101+DevSpend!JR$104+IF(274=MS_Initial_Closing_Start,ConOtherCosts+ConPoints+RecourseFee+OpReserve,0)</f>
        <v/>
      </c>
      <c r="JS26" s="218">
        <f>DevSpend!JS$100+DevSpend!JS$101+DevSpend!JS$104+IF(275=MS_Initial_Closing_Start,ConOtherCosts+ConPoints+RecourseFee+OpReserve,0)</f>
        <v/>
      </c>
      <c r="JT26" s="218">
        <f>DevSpend!JT$100+DevSpend!JT$101+DevSpend!JT$104+IF(276=MS_Initial_Closing_Start,ConOtherCosts+ConPoints+RecourseFee+OpReserve,0)</f>
        <v/>
      </c>
      <c r="JU26" s="218">
        <f>DevSpend!JU$100+DevSpend!JU$101+DevSpend!JU$104+IF(277=MS_Initial_Closing_Start,ConOtherCosts+ConPoints+RecourseFee+OpReserve,0)</f>
        <v/>
      </c>
      <c r="JV26" s="218">
        <f>DevSpend!JV$100+DevSpend!JV$101+DevSpend!JV$104+IF(278=MS_Initial_Closing_Start,ConOtherCosts+ConPoints+RecourseFee+OpReserve,0)</f>
        <v/>
      </c>
      <c r="JW26" s="218">
        <f>DevSpend!JW$100+DevSpend!JW$101+DevSpend!JW$104+IF(279=MS_Initial_Closing_Start,ConOtherCosts+ConPoints+RecourseFee+OpReserve,0)</f>
        <v/>
      </c>
      <c r="JX26" s="218">
        <f>DevSpend!JX$100+DevSpend!JX$101+DevSpend!JX$104+IF(280=MS_Initial_Closing_Start,ConOtherCosts+ConPoints+RecourseFee+OpReserve,0)</f>
        <v/>
      </c>
      <c r="JY26" s="218">
        <f>DevSpend!JY$100+DevSpend!JY$101+DevSpend!JY$104+IF(281=MS_Initial_Closing_Start,ConOtherCosts+ConPoints+RecourseFee+OpReserve,0)</f>
        <v/>
      </c>
      <c r="JZ26" s="218">
        <f>DevSpend!JZ$100+DevSpend!JZ$101+DevSpend!JZ$104+IF(282=MS_Initial_Closing_Start,ConOtherCosts+ConPoints+RecourseFee+OpReserve,0)</f>
        <v/>
      </c>
      <c r="KA26" s="218">
        <f>DevSpend!KA$100+DevSpend!KA$101+DevSpend!KA$104+IF(283=MS_Initial_Closing_Start,ConOtherCosts+ConPoints+RecourseFee+OpReserve,0)</f>
        <v/>
      </c>
      <c r="KB26" s="218">
        <f>DevSpend!KB$100+DevSpend!KB$101+DevSpend!KB$104+IF(284=MS_Initial_Closing_Start,ConOtherCosts+ConPoints+RecourseFee+OpReserve,0)</f>
        <v/>
      </c>
      <c r="KC26" s="218">
        <f>DevSpend!KC$100+DevSpend!KC$101+DevSpend!KC$104+IF(285=MS_Initial_Closing_Start,ConOtherCosts+ConPoints+RecourseFee+OpReserve,0)</f>
        <v/>
      </c>
      <c r="KD26" s="218">
        <f>DevSpend!KD$100+DevSpend!KD$101+DevSpend!KD$104+IF(286=MS_Initial_Closing_Start,ConOtherCosts+ConPoints+RecourseFee+OpReserve,0)</f>
        <v/>
      </c>
      <c r="KE26" s="218">
        <f>DevSpend!KE$100+DevSpend!KE$101+DevSpend!KE$104+IF(287=MS_Initial_Closing_Start,ConOtherCosts+ConPoints+RecourseFee+OpReserve,0)</f>
        <v/>
      </c>
      <c r="KF26" s="218">
        <f>DevSpend!KF$100+DevSpend!KF$101+DevSpend!KF$104+IF(288=MS_Initial_Closing_Start,ConOtherCosts+ConPoints+RecourseFee+OpReserve,0)</f>
        <v/>
      </c>
      <c r="KG26" s="218">
        <f>DevSpend!KG$100+DevSpend!KG$101+DevSpend!KG$104+IF(289=MS_Initial_Closing_Start,ConOtherCosts+ConPoints+RecourseFee+OpReserve,0)</f>
        <v/>
      </c>
      <c r="KH26" s="218">
        <f>DevSpend!KH$100+DevSpend!KH$101+DevSpend!KH$104+IF(290=MS_Initial_Closing_Start,ConOtherCosts+ConPoints+RecourseFee+OpReserve,0)</f>
        <v/>
      </c>
      <c r="KI26" s="218">
        <f>DevSpend!KI$100+DevSpend!KI$101+DevSpend!KI$104+IF(291=MS_Initial_Closing_Start,ConOtherCosts+ConPoints+RecourseFee+OpReserve,0)</f>
        <v/>
      </c>
      <c r="KJ26" s="218">
        <f>DevSpend!KJ$100+DevSpend!KJ$101+DevSpend!KJ$104+IF(292=MS_Initial_Closing_Start,ConOtherCosts+ConPoints+RecourseFee+OpReserve,0)</f>
        <v/>
      </c>
      <c r="KK26" s="218">
        <f>DevSpend!KK$100+DevSpend!KK$101+DevSpend!KK$104+IF(293=MS_Initial_Closing_Start,ConOtherCosts+ConPoints+RecourseFee+OpReserve,0)</f>
        <v/>
      </c>
      <c r="KL26" s="218">
        <f>DevSpend!KL$100+DevSpend!KL$101+DevSpend!KL$104+IF(294=MS_Initial_Closing_Start,ConOtherCosts+ConPoints+RecourseFee+OpReserve,0)</f>
        <v/>
      </c>
      <c r="KM26" s="218">
        <f>DevSpend!KM$100+DevSpend!KM$101+DevSpend!KM$104+IF(295=MS_Initial_Closing_Start,ConOtherCosts+ConPoints+RecourseFee+OpReserve,0)</f>
        <v/>
      </c>
      <c r="KN26" s="218">
        <f>DevSpend!KN$100+DevSpend!KN$101+DevSpend!KN$104+IF(296=MS_Initial_Closing_Start,ConOtherCosts+ConPoints+RecourseFee+OpReserve,0)</f>
        <v/>
      </c>
      <c r="KO26" s="218">
        <f>DevSpend!KO$100+DevSpend!KO$101+DevSpend!KO$104+IF(297=MS_Initial_Closing_Start,ConOtherCosts+ConPoints+RecourseFee+OpReserve,0)</f>
        <v/>
      </c>
      <c r="KP26" s="218">
        <f>DevSpend!KP$100+DevSpend!KP$101+DevSpend!KP$104+IF(298=MS_Initial_Closing_Start,ConOtherCosts+ConPoints+RecourseFee+OpReserve,0)</f>
        <v/>
      </c>
      <c r="KQ26" s="218">
        <f>DevSpend!KQ$100+DevSpend!KQ$101+DevSpend!KQ$104+IF(299=MS_Initial_Closing_Start,ConOtherCosts+ConPoints+RecourseFee+OpReserve,0)</f>
        <v/>
      </c>
      <c r="KR26" s="218">
        <f>DevSpend!KR$100+DevSpend!KR$101+DevSpend!KR$104+IF(300=MS_Initial_Closing_Start,ConOtherCosts+ConPoints+RecourseFee+OpReserve,0)</f>
        <v/>
      </c>
      <c r="KS26" s="218">
        <f>DevSpend!KS$100+DevSpend!KS$101+DevSpend!KS$104+IF(301=MS_Initial_Closing_Start,ConOtherCosts+ConPoints+RecourseFee+OpReserve,0)</f>
        <v/>
      </c>
      <c r="KT26" s="218">
        <f>DevSpend!KT$100+DevSpend!KT$101+DevSpend!KT$104+IF(302=MS_Initial_Closing_Start,ConOtherCosts+ConPoints+RecourseFee+OpReserve,0)</f>
        <v/>
      </c>
      <c r="KU26" s="218">
        <f>DevSpend!KU$100+DevSpend!KU$101+DevSpend!KU$104+IF(303=MS_Initial_Closing_Start,ConOtherCosts+ConPoints+RecourseFee+OpReserve,0)</f>
        <v/>
      </c>
      <c r="KV26" s="218">
        <f>DevSpend!KV$100+DevSpend!KV$101+DevSpend!KV$104+IF(304=MS_Initial_Closing_Start,ConOtherCosts+ConPoints+RecourseFee+OpReserve,0)</f>
        <v/>
      </c>
      <c r="KW26" s="218">
        <f>DevSpend!KW$100+DevSpend!KW$101+DevSpend!KW$104+IF(305=MS_Initial_Closing_Start,ConOtherCosts+ConPoints+RecourseFee+OpReserve,0)</f>
        <v/>
      </c>
      <c r="KX26" s="218">
        <f>DevSpend!KX$100+DevSpend!KX$101+DevSpend!KX$104+IF(306=MS_Initial_Closing_Start,ConOtherCosts+ConPoints+RecourseFee+OpReserve,0)</f>
        <v/>
      </c>
      <c r="KY26" s="218">
        <f>DevSpend!KY$100+DevSpend!KY$101+DevSpend!KY$104+IF(307=MS_Initial_Closing_Start,ConOtherCosts+ConPoints+RecourseFee+OpReserve,0)</f>
        <v/>
      </c>
      <c r="KZ26" s="218">
        <f>DevSpend!KZ$100+DevSpend!KZ$101+DevSpend!KZ$104+IF(308=MS_Initial_Closing_Start,ConOtherCosts+ConPoints+RecourseFee+OpReserve,0)</f>
        <v/>
      </c>
      <c r="LA26" s="218">
        <f>DevSpend!LA$100+DevSpend!LA$101+DevSpend!LA$104+IF(309=MS_Initial_Closing_Start,ConOtherCosts+ConPoints+RecourseFee+OpReserve,0)</f>
        <v/>
      </c>
      <c r="LB26" s="218">
        <f>DevSpend!LB$100+DevSpend!LB$101+DevSpend!LB$104+IF(310=MS_Initial_Closing_Start,ConOtherCosts+ConPoints+RecourseFee+OpReserve,0)</f>
        <v/>
      </c>
      <c r="LC26" s="218">
        <f>DevSpend!LC$100+DevSpend!LC$101+DevSpend!LC$104+IF(311=MS_Initial_Closing_Start,ConOtherCosts+ConPoints+RecourseFee+OpReserve,0)</f>
        <v/>
      </c>
      <c r="LD26" s="218">
        <f>DevSpend!LD$100+DevSpend!LD$101+DevSpend!LD$104+IF(312=MS_Initial_Closing_Start,ConOtherCosts+ConPoints+RecourseFee+OpReserve,0)</f>
        <v/>
      </c>
      <c r="LE26" s="218">
        <f>DevSpend!LE$100+DevSpend!LE$101+DevSpend!LE$104+IF(313=MS_Initial_Closing_Start,ConOtherCosts+ConPoints+RecourseFee+OpReserve,0)</f>
        <v/>
      </c>
      <c r="LF26" s="218">
        <f>DevSpend!LF$100+DevSpend!LF$101+DevSpend!LF$104+IF(314=MS_Initial_Closing_Start,ConOtherCosts+ConPoints+RecourseFee+OpReserve,0)</f>
        <v/>
      </c>
      <c r="LG26" s="218">
        <f>DevSpend!LG$100+DevSpend!LG$101+DevSpend!LG$104+IF(315=MS_Initial_Closing_Start,ConOtherCosts+ConPoints+RecourseFee+OpReserve,0)</f>
        <v/>
      </c>
      <c r="LH26" s="218">
        <f>DevSpend!LH$100+DevSpend!LH$101+DevSpend!LH$104+IF(316=MS_Initial_Closing_Start,ConOtherCosts+ConPoints+RecourseFee+OpReserve,0)</f>
        <v/>
      </c>
      <c r="LI26" s="218">
        <f>DevSpend!LI$100+DevSpend!LI$101+DevSpend!LI$104+IF(317=MS_Initial_Closing_Start,ConOtherCosts+ConPoints+RecourseFee+OpReserve,0)</f>
        <v/>
      </c>
      <c r="LJ26" s="218">
        <f>DevSpend!LJ$100+DevSpend!LJ$101+DevSpend!LJ$104+IF(318=MS_Initial_Closing_Start,ConOtherCosts+ConPoints+RecourseFee+OpReserve,0)</f>
        <v/>
      </c>
      <c r="LK26" s="218">
        <f>DevSpend!LK$100+DevSpend!LK$101+DevSpend!LK$104+IF(319=MS_Initial_Closing_Start,ConOtherCosts+ConPoints+RecourseFee+OpReserve,0)</f>
        <v/>
      </c>
      <c r="LL26" s="218">
        <f>DevSpend!LL$100+DevSpend!LL$101+DevSpend!LL$104+IF(320=MS_Initial_Closing_Start,ConOtherCosts+ConPoints+RecourseFee+OpReserve,0)</f>
        <v/>
      </c>
      <c r="LM26" s="218">
        <f>DevSpend!LM$100+DevSpend!LM$101+DevSpend!LM$104+IF(321=MS_Initial_Closing_Start,ConOtherCosts+ConPoints+RecourseFee+OpReserve,0)</f>
        <v/>
      </c>
      <c r="LN26" s="218">
        <f>DevSpend!LN$100+DevSpend!LN$101+DevSpend!LN$104+IF(322=MS_Initial_Closing_Start,ConOtherCosts+ConPoints+RecourseFee+OpReserve,0)</f>
        <v/>
      </c>
      <c r="LO26" s="218">
        <f>DevSpend!LO$100+DevSpend!LO$101+DevSpend!LO$104+IF(323=MS_Initial_Closing_Start,ConOtherCosts+ConPoints+RecourseFee+OpReserve,0)</f>
        <v/>
      </c>
      <c r="LP26" s="218">
        <f>DevSpend!LP$100+DevSpend!LP$101+DevSpend!LP$104+IF(324=MS_Initial_Closing_Start,ConOtherCosts+ConPoints+RecourseFee+OpReserve,0)</f>
        <v/>
      </c>
      <c r="LQ26" s="218">
        <f>DevSpend!LQ$100+DevSpend!LQ$101+DevSpend!LQ$104+IF(325=MS_Initial_Closing_Start,ConOtherCosts+ConPoints+RecourseFee+OpReserve,0)</f>
        <v/>
      </c>
      <c r="LR26" s="218">
        <f>DevSpend!LR$100+DevSpend!LR$101+DevSpend!LR$104+IF(326=MS_Initial_Closing_Start,ConOtherCosts+ConPoints+RecourseFee+OpReserve,0)</f>
        <v/>
      </c>
      <c r="LS26" s="218">
        <f>DevSpend!LS$100+DevSpend!LS$101+DevSpend!LS$104+IF(327=MS_Initial_Closing_Start,ConOtherCosts+ConPoints+RecourseFee+OpReserve,0)</f>
        <v/>
      </c>
      <c r="LT26" s="218">
        <f>DevSpend!LT$100+DevSpend!LT$101+DevSpend!LT$104+IF(328=MS_Initial_Closing_Start,ConOtherCosts+ConPoints+RecourseFee+OpReserve,0)</f>
        <v/>
      </c>
      <c r="LU26" s="218">
        <f>DevSpend!LU$100+DevSpend!LU$101+DevSpend!LU$104+IF(329=MS_Initial_Closing_Start,ConOtherCosts+ConPoints+RecourseFee+OpReserve,0)</f>
        <v/>
      </c>
      <c r="LV26" s="218">
        <f>DevSpend!LV$100+DevSpend!LV$101+DevSpend!LV$104+IF(330=MS_Initial_Closing_Start,ConOtherCosts+ConPoints+RecourseFee+OpReserve,0)</f>
        <v/>
      </c>
      <c r="LW26" s="218">
        <f>DevSpend!LW$100+DevSpend!LW$101+DevSpend!LW$104+IF(331=MS_Initial_Closing_Start,ConOtherCosts+ConPoints+RecourseFee+OpReserve,0)</f>
        <v/>
      </c>
      <c r="LX26" s="218">
        <f>DevSpend!LX$100+DevSpend!LX$101+DevSpend!LX$104+IF(332=MS_Initial_Closing_Start,ConOtherCosts+ConPoints+RecourseFee+OpReserve,0)</f>
        <v/>
      </c>
      <c r="LY26" s="218">
        <f>DevSpend!LY$100+DevSpend!LY$101+DevSpend!LY$104+IF(333=MS_Initial_Closing_Start,ConOtherCosts+ConPoints+RecourseFee+OpReserve,0)</f>
        <v/>
      </c>
      <c r="LZ26" s="218">
        <f>DevSpend!LZ$100+DevSpend!LZ$101+DevSpend!LZ$104+IF(334=MS_Initial_Closing_Start,ConOtherCosts+ConPoints+RecourseFee+OpReserve,0)</f>
        <v/>
      </c>
      <c r="MA26" s="218">
        <f>DevSpend!MA$100+DevSpend!MA$101+DevSpend!MA$104+IF(335=MS_Initial_Closing_Start,ConOtherCosts+ConPoints+RecourseFee+OpReserve,0)</f>
        <v/>
      </c>
      <c r="MB26" s="218">
        <f>DevSpend!MB$100+DevSpend!MB$101+DevSpend!MB$104+IF(336=MS_Initial_Closing_Start,ConOtherCosts+ConPoints+RecourseFee+OpReserve,0)</f>
        <v/>
      </c>
      <c r="MC26" s="218">
        <f>DevSpend!MC$100+DevSpend!MC$101+DevSpend!MC$104+IF(337=MS_Initial_Closing_Start,ConOtherCosts+ConPoints+RecourseFee+OpReserve,0)</f>
        <v/>
      </c>
      <c r="MD26" s="218">
        <f>DevSpend!MD$100+DevSpend!MD$101+DevSpend!MD$104+IF(338=MS_Initial_Closing_Start,ConOtherCosts+ConPoints+RecourseFee+OpReserve,0)</f>
        <v/>
      </c>
      <c r="ME26" s="218">
        <f>DevSpend!ME$100+DevSpend!ME$101+DevSpend!ME$104+IF(339=MS_Initial_Closing_Start,ConOtherCosts+ConPoints+RecourseFee+OpReserve,0)</f>
        <v/>
      </c>
      <c r="MF26" s="218">
        <f>DevSpend!MF$100+DevSpend!MF$101+DevSpend!MF$104+IF(340=MS_Initial_Closing_Start,ConOtherCosts+ConPoints+RecourseFee+OpReserve,0)</f>
        <v/>
      </c>
      <c r="MG26" s="218">
        <f>DevSpend!MG$100+DevSpend!MG$101+DevSpend!MG$104+IF(341=MS_Initial_Closing_Start,ConOtherCosts+ConPoints+RecourseFee+OpReserve,0)</f>
        <v/>
      </c>
      <c r="MH26" s="218">
        <f>DevSpend!MH$100+DevSpend!MH$101+DevSpend!MH$104+IF(342=MS_Initial_Closing_Start,ConOtherCosts+ConPoints+RecourseFee+OpReserve,0)</f>
        <v/>
      </c>
      <c r="MI26" s="218">
        <f>DevSpend!MI$100+DevSpend!MI$101+DevSpend!MI$104+IF(343=MS_Initial_Closing_Start,ConOtherCosts+ConPoints+RecourseFee+OpReserve,0)</f>
        <v/>
      </c>
      <c r="MJ26" s="218">
        <f>DevSpend!MJ$100+DevSpend!MJ$101+DevSpend!MJ$104+IF(344=MS_Initial_Closing_Start,ConOtherCosts+ConPoints+RecourseFee+OpReserve,0)</f>
        <v/>
      </c>
      <c r="MK26" s="218">
        <f>DevSpend!MK$100+DevSpend!MK$101+DevSpend!MK$104+IF(345=MS_Initial_Closing_Start,ConOtherCosts+ConPoints+RecourseFee+OpReserve,0)</f>
        <v/>
      </c>
      <c r="ML26" s="218">
        <f>DevSpend!ML$100+DevSpend!ML$101+DevSpend!ML$104+IF(346=MS_Initial_Closing_Start,ConOtherCosts+ConPoints+RecourseFee+OpReserve,0)</f>
        <v/>
      </c>
      <c r="MM26" s="218">
        <f>DevSpend!MM$100+DevSpend!MM$101+DevSpend!MM$104+IF(347=MS_Initial_Closing_Start,ConOtherCosts+ConPoints+RecourseFee+OpReserve,0)</f>
        <v/>
      </c>
      <c r="MN26" s="218">
        <f>DevSpend!MN$100+DevSpend!MN$101+DevSpend!MN$104+IF(348=MS_Initial_Closing_Start,ConOtherCosts+ConPoints+RecourseFee+OpReserve,0)</f>
        <v/>
      </c>
      <c r="MO26" s="218">
        <f>DevSpend!MO$100+DevSpend!MO$101+DevSpend!MO$104+IF(349=MS_Initial_Closing_Start,ConOtherCosts+ConPoints+RecourseFee+OpReserve,0)</f>
        <v/>
      </c>
      <c r="MP26" s="218">
        <f>DevSpend!MP$100+DevSpend!MP$101+DevSpend!MP$104+IF(350=MS_Initial_Closing_Start,ConOtherCosts+ConPoints+RecourseFee+OpReserve,0)</f>
        <v/>
      </c>
      <c r="MQ26" s="218">
        <f>DevSpend!MQ$100+DevSpend!MQ$101+DevSpend!MQ$104+IF(351=MS_Initial_Closing_Start,ConOtherCosts+ConPoints+RecourseFee+OpReserve,0)</f>
        <v/>
      </c>
      <c r="MR26" s="218">
        <f>DevSpend!MR$100+DevSpend!MR$101+DevSpend!MR$104+IF(352=MS_Initial_Closing_Start,ConOtherCosts+ConPoints+RecourseFee+OpReserve,0)</f>
        <v/>
      </c>
      <c r="MS26" s="218">
        <f>DevSpend!MS$100+DevSpend!MS$101+DevSpend!MS$104+IF(353=MS_Initial_Closing_Start,ConOtherCosts+ConPoints+RecourseFee+OpReserve,0)</f>
        <v/>
      </c>
      <c r="MT26" s="218">
        <f>DevSpend!MT$100+DevSpend!MT$101+DevSpend!MT$104+IF(354=MS_Initial_Closing_Start,ConOtherCosts+ConPoints+RecourseFee+OpReserve,0)</f>
        <v/>
      </c>
      <c r="MU26" s="218">
        <f>DevSpend!MU$100+DevSpend!MU$101+DevSpend!MU$104+IF(355=MS_Initial_Closing_Start,ConOtherCosts+ConPoints+RecourseFee+OpReserve,0)</f>
        <v/>
      </c>
      <c r="MV26" s="218">
        <f>DevSpend!MV$100+DevSpend!MV$101+DevSpend!MV$104+IF(356=MS_Initial_Closing_Start,ConOtherCosts+ConPoints+RecourseFee+OpReserve,0)</f>
        <v/>
      </c>
      <c r="MW26" s="218">
        <f>DevSpend!MW$100+DevSpend!MW$101+DevSpend!MW$104+IF(357=MS_Initial_Closing_Start,ConOtherCosts+ConPoints+RecourseFee+OpReserve,0)</f>
        <v/>
      </c>
      <c r="MX26" s="218">
        <f>DevSpend!MX$100+DevSpend!MX$101+DevSpend!MX$104+IF(358=MS_Initial_Closing_Start,ConOtherCosts+ConPoints+RecourseFee+OpReserve,0)</f>
        <v/>
      </c>
      <c r="MY26" s="218">
        <f>DevSpend!MY$100+DevSpend!MY$101+DevSpend!MY$104+IF(359=MS_Initial_Closing_Start,ConOtherCosts+ConPoints+RecourseFee+OpReserve,0)</f>
        <v/>
      </c>
      <c r="MZ26" s="218">
        <f>DevSpend!MZ$100+DevSpend!MZ$101+DevSpend!MZ$104+IF(360=MS_Initial_Closing_Start,ConOtherCosts+ConPoints+RecourseFee+OpReserve,0)</f>
        <v/>
      </c>
      <c r="NA26" s="218">
        <f>DevSpend!NA$100+DevSpend!NA$101+DevSpend!NA$104+IF(361=MS_Initial_Closing_Start,ConOtherCosts+ConPoints+RecourseFee+OpReserve,0)</f>
        <v/>
      </c>
      <c r="NB26" s="218">
        <f>DevSpend!NB$100+DevSpend!NB$101+DevSpend!NB$104+IF(362=MS_Initial_Closing_Start,ConOtherCosts+ConPoints+RecourseFee+OpReserve,0)</f>
        <v/>
      </c>
      <c r="NC26" s="218">
        <f>DevSpend!NC$100+DevSpend!NC$101+DevSpend!NC$104+IF(363=MS_Initial_Closing_Start,ConOtherCosts+ConPoints+RecourseFee+OpReserve,0)</f>
        <v/>
      </c>
      <c r="ND26" s="218">
        <f>DevSpend!ND$100+DevSpend!ND$101+DevSpend!ND$104+IF(364=MS_Initial_Closing_Start,ConOtherCosts+ConPoints+RecourseFee+OpReserve,0)</f>
        <v/>
      </c>
      <c r="NE26" s="218">
        <f>DevSpend!NE$100+DevSpend!NE$101+DevSpend!NE$104+IF(365=MS_Initial_Closing_Start,ConOtherCosts+ConPoints+RecourseFee+OpReserve,0)</f>
        <v/>
      </c>
      <c r="NF26" s="218">
        <f>DevSpend!NF$100+DevSpend!NF$101+DevSpend!NF$104+IF(366=MS_Initial_Closing_Start,ConOtherCosts+ConPoints+RecourseFee+OpReserve,0)</f>
        <v/>
      </c>
      <c r="NG26" s="218">
        <f>DevSpend!NG$100+DevSpend!NG$101+DevSpend!NG$104+IF(367=MS_Initial_Closing_Start,ConOtherCosts+ConPoints+RecourseFee+OpReserve,0)</f>
        <v/>
      </c>
      <c r="NH26" s="218">
        <f>DevSpend!NH$100+DevSpend!NH$101+DevSpend!NH$104+IF(368=MS_Initial_Closing_Start,ConOtherCosts+ConPoints+RecourseFee+OpReserve,0)</f>
        <v/>
      </c>
      <c r="NI26" s="218">
        <f>DevSpend!NI$100+DevSpend!NI$101+DevSpend!NI$104+IF(369=MS_Initial_Closing_Start,ConOtherCosts+ConPoints+RecourseFee+OpReserve,0)</f>
        <v/>
      </c>
      <c r="NJ26" s="218">
        <f>DevSpend!NJ$100+DevSpend!NJ$101+DevSpend!NJ$104+IF(370=MS_Initial_Closing_Start,ConOtherCosts+ConPoints+RecourseFee+OpReserve,0)</f>
        <v/>
      </c>
      <c r="NK26" s="218">
        <f>DevSpend!NK$100+DevSpend!NK$101+DevSpend!NK$104+IF(371=MS_Initial_Closing_Start,ConOtherCosts+ConPoints+RecourseFee+OpReserve,0)</f>
        <v/>
      </c>
      <c r="NL26" s="218">
        <f>DevSpend!NL$100+DevSpend!NL$101+DevSpend!NL$104+IF(372=MS_Initial_Closing_Start,ConOtherCosts+ConPoints+RecourseFee+OpReserve,0)</f>
        <v/>
      </c>
    </row>
    <row r="27">
      <c r="B27" s="36" t="inlineStr">
        <is>
          <t>Equity Draw</t>
        </is>
      </c>
      <c r="D27" s="258">
        <f>SUM(E27:NL27)</f>
        <v/>
      </c>
      <c r="E27" s="218">
        <f>IF(FundingOrderPari=1,(1-DebtShare)*E$26,MIN(E$26,MAX(0,EquityBudget-(0))))</f>
        <v/>
      </c>
      <c r="F27" s="218">
        <f>IF(FundingOrderPari=1,(1-DebtShare)*F$26,MIN(F$26,MAX(0,EquityBudget-(E$28))))</f>
        <v/>
      </c>
      <c r="G27" s="218">
        <f>IF(FundingOrderPari=1,(1-DebtShare)*G$26,MIN(G$26,MAX(0,EquityBudget-(F$28))))</f>
        <v/>
      </c>
      <c r="H27" s="218">
        <f>IF(FundingOrderPari=1,(1-DebtShare)*H$26,MIN(H$26,MAX(0,EquityBudget-(G$28))))</f>
        <v/>
      </c>
      <c r="I27" s="218">
        <f>IF(FundingOrderPari=1,(1-DebtShare)*I$26,MIN(I$26,MAX(0,EquityBudget-(H$28))))</f>
        <v/>
      </c>
      <c r="J27" s="218">
        <f>IF(FundingOrderPari=1,(1-DebtShare)*J$26,MIN(J$26,MAX(0,EquityBudget-(I$28))))</f>
        <v/>
      </c>
      <c r="K27" s="218">
        <f>IF(FundingOrderPari=1,(1-DebtShare)*K$26,MIN(K$26,MAX(0,EquityBudget-(J$28))))</f>
        <v/>
      </c>
      <c r="L27" s="218">
        <f>IF(FundingOrderPari=1,(1-DebtShare)*L$26,MIN(L$26,MAX(0,EquityBudget-(K$28))))</f>
        <v/>
      </c>
      <c r="M27" s="218">
        <f>IF(FundingOrderPari=1,(1-DebtShare)*M$26,MIN(M$26,MAX(0,EquityBudget-(L$28))))</f>
        <v/>
      </c>
      <c r="N27" s="218">
        <f>IF(FundingOrderPari=1,(1-DebtShare)*N$26,MIN(N$26,MAX(0,EquityBudget-(M$28))))</f>
        <v/>
      </c>
      <c r="O27" s="218">
        <f>IF(FundingOrderPari=1,(1-DebtShare)*O$26,MIN(O$26,MAX(0,EquityBudget-(N$28))))</f>
        <v/>
      </c>
      <c r="P27" s="218">
        <f>IF(FundingOrderPari=1,(1-DebtShare)*P$26,MIN(P$26,MAX(0,EquityBudget-(O$28))))</f>
        <v/>
      </c>
      <c r="Q27" s="218">
        <f>IF(FundingOrderPari=1,(1-DebtShare)*Q$26,MIN(Q$26,MAX(0,EquityBudget-(P$28))))</f>
        <v/>
      </c>
      <c r="R27" s="218">
        <f>IF(FundingOrderPari=1,(1-DebtShare)*R$26,MIN(R$26,MAX(0,EquityBudget-(Q$28))))</f>
        <v/>
      </c>
      <c r="S27" s="218">
        <f>IF(FundingOrderPari=1,(1-DebtShare)*S$26,MIN(S$26,MAX(0,EquityBudget-(R$28))))</f>
        <v/>
      </c>
      <c r="T27" s="218">
        <f>IF(FundingOrderPari=1,(1-DebtShare)*T$26,MIN(T$26,MAX(0,EquityBudget-(S$28))))</f>
        <v/>
      </c>
      <c r="U27" s="218">
        <f>IF(FundingOrderPari=1,(1-DebtShare)*U$26,MIN(U$26,MAX(0,EquityBudget-(T$28))))</f>
        <v/>
      </c>
      <c r="V27" s="218">
        <f>IF(FundingOrderPari=1,(1-DebtShare)*V$26,MIN(V$26,MAX(0,EquityBudget-(U$28))))</f>
        <v/>
      </c>
      <c r="W27" s="218">
        <f>IF(FundingOrderPari=1,(1-DebtShare)*W$26,MIN(W$26,MAX(0,EquityBudget-(V$28))))</f>
        <v/>
      </c>
      <c r="X27" s="218">
        <f>IF(FundingOrderPari=1,(1-DebtShare)*X$26,MIN(X$26,MAX(0,EquityBudget-(W$28))))</f>
        <v/>
      </c>
      <c r="Y27" s="218">
        <f>IF(FundingOrderPari=1,(1-DebtShare)*Y$26,MIN(Y$26,MAX(0,EquityBudget-(X$28))))</f>
        <v/>
      </c>
      <c r="Z27" s="218">
        <f>IF(FundingOrderPari=1,(1-DebtShare)*Z$26,MIN(Z$26,MAX(0,EquityBudget-(Y$28))))</f>
        <v/>
      </c>
      <c r="AA27" s="218">
        <f>IF(FundingOrderPari=1,(1-DebtShare)*AA$26,MIN(AA$26,MAX(0,EquityBudget-(Z$28))))</f>
        <v/>
      </c>
      <c r="AB27" s="218">
        <f>IF(FundingOrderPari=1,(1-DebtShare)*AB$26,MIN(AB$26,MAX(0,EquityBudget-(AA$28))))</f>
        <v/>
      </c>
      <c r="AC27" s="218">
        <f>IF(FundingOrderPari=1,(1-DebtShare)*AC$26,MIN(AC$26,MAX(0,EquityBudget-(AB$28))))</f>
        <v/>
      </c>
      <c r="AD27" s="218">
        <f>IF(FundingOrderPari=1,(1-DebtShare)*AD$26,MIN(AD$26,MAX(0,EquityBudget-(AC$28))))</f>
        <v/>
      </c>
      <c r="AE27" s="218">
        <f>IF(FundingOrderPari=1,(1-DebtShare)*AE$26,MIN(AE$26,MAX(0,EquityBudget-(AD$28))))</f>
        <v/>
      </c>
      <c r="AF27" s="218">
        <f>IF(FundingOrderPari=1,(1-DebtShare)*AF$26,MIN(AF$26,MAX(0,EquityBudget-(AE$28))))</f>
        <v/>
      </c>
      <c r="AG27" s="218">
        <f>IF(FundingOrderPari=1,(1-DebtShare)*AG$26,MIN(AG$26,MAX(0,EquityBudget-(AF$28))))</f>
        <v/>
      </c>
      <c r="AH27" s="218">
        <f>IF(FundingOrderPari=1,(1-DebtShare)*AH$26,MIN(AH$26,MAX(0,EquityBudget-(AG$28))))</f>
        <v/>
      </c>
      <c r="AI27" s="218">
        <f>IF(FundingOrderPari=1,(1-DebtShare)*AI$26,MIN(AI$26,MAX(0,EquityBudget-(AH$28))))</f>
        <v/>
      </c>
      <c r="AJ27" s="218">
        <f>IF(FundingOrderPari=1,(1-DebtShare)*AJ$26,MIN(AJ$26,MAX(0,EquityBudget-(AI$28))))</f>
        <v/>
      </c>
      <c r="AK27" s="218">
        <f>IF(FundingOrderPari=1,(1-DebtShare)*AK$26,MIN(AK$26,MAX(0,EquityBudget-(AJ$28))))</f>
        <v/>
      </c>
      <c r="AL27" s="218">
        <f>IF(FundingOrderPari=1,(1-DebtShare)*AL$26,MIN(AL$26,MAX(0,EquityBudget-(AK$28))))</f>
        <v/>
      </c>
      <c r="AM27" s="218">
        <f>IF(FundingOrderPari=1,(1-DebtShare)*AM$26,MIN(AM$26,MAX(0,EquityBudget-(AL$28))))</f>
        <v/>
      </c>
      <c r="AN27" s="218">
        <f>IF(FundingOrderPari=1,(1-DebtShare)*AN$26,MIN(AN$26,MAX(0,EquityBudget-(AM$28))))</f>
        <v/>
      </c>
      <c r="AO27" s="218">
        <f>IF(FundingOrderPari=1,(1-DebtShare)*AO$26,MIN(AO$26,MAX(0,EquityBudget-(AN$28))))</f>
        <v/>
      </c>
      <c r="AP27" s="218">
        <f>IF(FundingOrderPari=1,(1-DebtShare)*AP$26,MIN(AP$26,MAX(0,EquityBudget-(AO$28))))</f>
        <v/>
      </c>
      <c r="AQ27" s="218">
        <f>IF(FundingOrderPari=1,(1-DebtShare)*AQ$26,MIN(AQ$26,MAX(0,EquityBudget-(AP$28))))</f>
        <v/>
      </c>
      <c r="AR27" s="218">
        <f>IF(FundingOrderPari=1,(1-DebtShare)*AR$26,MIN(AR$26,MAX(0,EquityBudget-(AQ$28))))</f>
        <v/>
      </c>
      <c r="AS27" s="218">
        <f>IF(FundingOrderPari=1,(1-DebtShare)*AS$26,MIN(AS$26,MAX(0,EquityBudget-(AR$28))))</f>
        <v/>
      </c>
      <c r="AT27" s="218">
        <f>IF(FundingOrderPari=1,(1-DebtShare)*AT$26,MIN(AT$26,MAX(0,EquityBudget-(AS$28))))</f>
        <v/>
      </c>
      <c r="AU27" s="218">
        <f>IF(FundingOrderPari=1,(1-DebtShare)*AU$26,MIN(AU$26,MAX(0,EquityBudget-(AT$28))))</f>
        <v/>
      </c>
      <c r="AV27" s="218">
        <f>IF(FundingOrderPari=1,(1-DebtShare)*AV$26,MIN(AV$26,MAX(0,EquityBudget-(AU$28))))</f>
        <v/>
      </c>
      <c r="AW27" s="218">
        <f>IF(FundingOrderPari=1,(1-DebtShare)*AW$26,MIN(AW$26,MAX(0,EquityBudget-(AV$28))))</f>
        <v/>
      </c>
      <c r="AX27" s="218">
        <f>IF(FundingOrderPari=1,(1-DebtShare)*AX$26,MIN(AX$26,MAX(0,EquityBudget-(AW$28))))</f>
        <v/>
      </c>
      <c r="AY27" s="218">
        <f>IF(FundingOrderPari=1,(1-DebtShare)*AY$26,MIN(AY$26,MAX(0,EquityBudget-(AX$28))))</f>
        <v/>
      </c>
      <c r="AZ27" s="218">
        <f>IF(FundingOrderPari=1,(1-DebtShare)*AZ$26,MIN(AZ$26,MAX(0,EquityBudget-(AY$28))))</f>
        <v/>
      </c>
      <c r="BA27" s="218">
        <f>IF(FundingOrderPari=1,(1-DebtShare)*BA$26,MIN(BA$26,MAX(0,EquityBudget-(AZ$28))))</f>
        <v/>
      </c>
      <c r="BB27" s="218">
        <f>IF(FundingOrderPari=1,(1-DebtShare)*BB$26,MIN(BB$26,MAX(0,EquityBudget-(BA$28))))</f>
        <v/>
      </c>
      <c r="BC27" s="218">
        <f>IF(FundingOrderPari=1,(1-DebtShare)*BC$26,MIN(BC$26,MAX(0,EquityBudget-(BB$28))))</f>
        <v/>
      </c>
      <c r="BD27" s="218">
        <f>IF(FundingOrderPari=1,(1-DebtShare)*BD$26,MIN(BD$26,MAX(0,EquityBudget-(BC$28))))</f>
        <v/>
      </c>
      <c r="BE27" s="218">
        <f>IF(FundingOrderPari=1,(1-DebtShare)*BE$26,MIN(BE$26,MAX(0,EquityBudget-(BD$28))))</f>
        <v/>
      </c>
      <c r="BF27" s="218">
        <f>IF(FundingOrderPari=1,(1-DebtShare)*BF$26,MIN(BF$26,MAX(0,EquityBudget-(BE$28))))</f>
        <v/>
      </c>
      <c r="BG27" s="218">
        <f>IF(FundingOrderPari=1,(1-DebtShare)*BG$26,MIN(BG$26,MAX(0,EquityBudget-(BF$28))))</f>
        <v/>
      </c>
      <c r="BH27" s="218">
        <f>IF(FundingOrderPari=1,(1-DebtShare)*BH$26,MIN(BH$26,MAX(0,EquityBudget-(BG$28))))</f>
        <v/>
      </c>
      <c r="BI27" s="218">
        <f>IF(FundingOrderPari=1,(1-DebtShare)*BI$26,MIN(BI$26,MAX(0,EquityBudget-(BH$28))))</f>
        <v/>
      </c>
      <c r="BJ27" s="218">
        <f>IF(FundingOrderPari=1,(1-DebtShare)*BJ$26,MIN(BJ$26,MAX(0,EquityBudget-(BI$28))))</f>
        <v/>
      </c>
      <c r="BK27" s="218">
        <f>IF(FundingOrderPari=1,(1-DebtShare)*BK$26,MIN(BK$26,MAX(0,EquityBudget-(BJ$28))))</f>
        <v/>
      </c>
      <c r="BL27" s="218">
        <f>IF(FundingOrderPari=1,(1-DebtShare)*BL$26,MIN(BL$26,MAX(0,EquityBudget-(BK$28))))</f>
        <v/>
      </c>
      <c r="BM27" s="218">
        <f>IF(FundingOrderPari=1,(1-DebtShare)*BM$26,MIN(BM$26,MAX(0,EquityBudget-(BL$28))))</f>
        <v/>
      </c>
      <c r="BN27" s="218">
        <f>IF(FundingOrderPari=1,(1-DebtShare)*BN$26,MIN(BN$26,MAX(0,EquityBudget-(BM$28))))</f>
        <v/>
      </c>
      <c r="BO27" s="218">
        <f>IF(FundingOrderPari=1,(1-DebtShare)*BO$26,MIN(BO$26,MAX(0,EquityBudget-(BN$28))))</f>
        <v/>
      </c>
      <c r="BP27" s="218">
        <f>IF(FundingOrderPari=1,(1-DebtShare)*BP$26,MIN(BP$26,MAX(0,EquityBudget-(BO$28))))</f>
        <v/>
      </c>
      <c r="BQ27" s="218">
        <f>IF(FundingOrderPari=1,(1-DebtShare)*BQ$26,MIN(BQ$26,MAX(0,EquityBudget-(BP$28))))</f>
        <v/>
      </c>
      <c r="BR27" s="218">
        <f>IF(FundingOrderPari=1,(1-DebtShare)*BR$26,MIN(BR$26,MAX(0,EquityBudget-(BQ$28))))</f>
        <v/>
      </c>
      <c r="BS27" s="218">
        <f>IF(FundingOrderPari=1,(1-DebtShare)*BS$26,MIN(BS$26,MAX(0,EquityBudget-(BR$28))))</f>
        <v/>
      </c>
      <c r="BT27" s="218">
        <f>IF(FundingOrderPari=1,(1-DebtShare)*BT$26,MIN(BT$26,MAX(0,EquityBudget-(BS$28))))</f>
        <v/>
      </c>
      <c r="BU27" s="218">
        <f>IF(FundingOrderPari=1,(1-DebtShare)*BU$26,MIN(BU$26,MAX(0,EquityBudget-(BT$28))))</f>
        <v/>
      </c>
      <c r="BV27" s="218">
        <f>IF(FundingOrderPari=1,(1-DebtShare)*BV$26,MIN(BV$26,MAX(0,EquityBudget-(BU$28))))</f>
        <v/>
      </c>
      <c r="BW27" s="218">
        <f>IF(FundingOrderPari=1,(1-DebtShare)*BW$26,MIN(BW$26,MAX(0,EquityBudget-(BV$28))))</f>
        <v/>
      </c>
      <c r="BX27" s="218">
        <f>IF(FundingOrderPari=1,(1-DebtShare)*BX$26,MIN(BX$26,MAX(0,EquityBudget-(BW$28))))</f>
        <v/>
      </c>
      <c r="BY27" s="218">
        <f>IF(FundingOrderPari=1,(1-DebtShare)*BY$26,MIN(BY$26,MAX(0,EquityBudget-(BX$28))))</f>
        <v/>
      </c>
      <c r="BZ27" s="218">
        <f>IF(FundingOrderPari=1,(1-DebtShare)*BZ$26,MIN(BZ$26,MAX(0,EquityBudget-(BY$28))))</f>
        <v/>
      </c>
      <c r="CA27" s="218">
        <f>IF(FundingOrderPari=1,(1-DebtShare)*CA$26,MIN(CA$26,MAX(0,EquityBudget-(BZ$28))))</f>
        <v/>
      </c>
      <c r="CB27" s="218">
        <f>IF(FundingOrderPari=1,(1-DebtShare)*CB$26,MIN(CB$26,MAX(0,EquityBudget-(CA$28))))</f>
        <v/>
      </c>
      <c r="CC27" s="218">
        <f>IF(FundingOrderPari=1,(1-DebtShare)*CC$26,MIN(CC$26,MAX(0,EquityBudget-(CB$28))))</f>
        <v/>
      </c>
      <c r="CD27" s="218">
        <f>IF(FundingOrderPari=1,(1-DebtShare)*CD$26,MIN(CD$26,MAX(0,EquityBudget-(CC$28))))</f>
        <v/>
      </c>
      <c r="CE27" s="218">
        <f>IF(FundingOrderPari=1,(1-DebtShare)*CE$26,MIN(CE$26,MAX(0,EquityBudget-(CD$28))))</f>
        <v/>
      </c>
      <c r="CF27" s="218">
        <f>IF(FundingOrderPari=1,(1-DebtShare)*CF$26,MIN(CF$26,MAX(0,EquityBudget-(CE$28))))</f>
        <v/>
      </c>
      <c r="CG27" s="218">
        <f>IF(FundingOrderPari=1,(1-DebtShare)*CG$26,MIN(CG$26,MAX(0,EquityBudget-(CF$28))))</f>
        <v/>
      </c>
      <c r="CH27" s="218">
        <f>IF(FundingOrderPari=1,(1-DebtShare)*CH$26,MIN(CH$26,MAX(0,EquityBudget-(CG$28))))</f>
        <v/>
      </c>
      <c r="CI27" s="218">
        <f>IF(FundingOrderPari=1,(1-DebtShare)*CI$26,MIN(CI$26,MAX(0,EquityBudget-(CH$28))))</f>
        <v/>
      </c>
      <c r="CJ27" s="218">
        <f>IF(FundingOrderPari=1,(1-DebtShare)*CJ$26,MIN(CJ$26,MAX(0,EquityBudget-(CI$28))))</f>
        <v/>
      </c>
      <c r="CK27" s="218">
        <f>IF(FundingOrderPari=1,(1-DebtShare)*CK$26,MIN(CK$26,MAX(0,EquityBudget-(CJ$28))))</f>
        <v/>
      </c>
      <c r="CL27" s="218">
        <f>IF(FundingOrderPari=1,(1-DebtShare)*CL$26,MIN(CL$26,MAX(0,EquityBudget-(CK$28))))</f>
        <v/>
      </c>
      <c r="CM27" s="218">
        <f>IF(FundingOrderPari=1,(1-DebtShare)*CM$26,MIN(CM$26,MAX(0,EquityBudget-(CL$28))))</f>
        <v/>
      </c>
      <c r="CN27" s="218">
        <f>IF(FundingOrderPari=1,(1-DebtShare)*CN$26,MIN(CN$26,MAX(0,EquityBudget-(CM$28))))</f>
        <v/>
      </c>
      <c r="CO27" s="218">
        <f>IF(FundingOrderPari=1,(1-DebtShare)*CO$26,MIN(CO$26,MAX(0,EquityBudget-(CN$28))))</f>
        <v/>
      </c>
      <c r="CP27" s="218">
        <f>IF(FundingOrderPari=1,(1-DebtShare)*CP$26,MIN(CP$26,MAX(0,EquityBudget-(CO$28))))</f>
        <v/>
      </c>
      <c r="CQ27" s="218">
        <f>IF(FundingOrderPari=1,(1-DebtShare)*CQ$26,MIN(CQ$26,MAX(0,EquityBudget-(CP$28))))</f>
        <v/>
      </c>
      <c r="CR27" s="218">
        <f>IF(FundingOrderPari=1,(1-DebtShare)*CR$26,MIN(CR$26,MAX(0,EquityBudget-(CQ$28))))</f>
        <v/>
      </c>
      <c r="CS27" s="218">
        <f>IF(FundingOrderPari=1,(1-DebtShare)*CS$26,MIN(CS$26,MAX(0,EquityBudget-(CR$28))))</f>
        <v/>
      </c>
      <c r="CT27" s="218">
        <f>IF(FundingOrderPari=1,(1-DebtShare)*CT$26,MIN(CT$26,MAX(0,EquityBudget-(CS$28))))</f>
        <v/>
      </c>
      <c r="CU27" s="218">
        <f>IF(FundingOrderPari=1,(1-DebtShare)*CU$26,MIN(CU$26,MAX(0,EquityBudget-(CT$28))))</f>
        <v/>
      </c>
      <c r="CV27" s="218">
        <f>IF(FundingOrderPari=1,(1-DebtShare)*CV$26,MIN(CV$26,MAX(0,EquityBudget-(CU$28))))</f>
        <v/>
      </c>
      <c r="CW27" s="218">
        <f>IF(FundingOrderPari=1,(1-DebtShare)*CW$26,MIN(CW$26,MAX(0,EquityBudget-(CV$28))))</f>
        <v/>
      </c>
      <c r="CX27" s="218">
        <f>IF(FundingOrderPari=1,(1-DebtShare)*CX$26,MIN(CX$26,MAX(0,EquityBudget-(CW$28))))</f>
        <v/>
      </c>
      <c r="CY27" s="218">
        <f>IF(FundingOrderPari=1,(1-DebtShare)*CY$26,MIN(CY$26,MAX(0,EquityBudget-(CX$28))))</f>
        <v/>
      </c>
      <c r="CZ27" s="218">
        <f>IF(FundingOrderPari=1,(1-DebtShare)*CZ$26,MIN(CZ$26,MAX(0,EquityBudget-(CY$28))))</f>
        <v/>
      </c>
      <c r="DA27" s="218">
        <f>IF(FundingOrderPari=1,(1-DebtShare)*DA$26,MIN(DA$26,MAX(0,EquityBudget-(CZ$28))))</f>
        <v/>
      </c>
      <c r="DB27" s="218">
        <f>IF(FundingOrderPari=1,(1-DebtShare)*DB$26,MIN(DB$26,MAX(0,EquityBudget-(DA$28))))</f>
        <v/>
      </c>
      <c r="DC27" s="218">
        <f>IF(FundingOrderPari=1,(1-DebtShare)*DC$26,MIN(DC$26,MAX(0,EquityBudget-(DB$28))))</f>
        <v/>
      </c>
      <c r="DD27" s="218">
        <f>IF(FundingOrderPari=1,(1-DebtShare)*DD$26,MIN(DD$26,MAX(0,EquityBudget-(DC$28))))</f>
        <v/>
      </c>
      <c r="DE27" s="218">
        <f>IF(FundingOrderPari=1,(1-DebtShare)*DE$26,MIN(DE$26,MAX(0,EquityBudget-(DD$28))))</f>
        <v/>
      </c>
      <c r="DF27" s="218">
        <f>IF(FundingOrderPari=1,(1-DebtShare)*DF$26,MIN(DF$26,MAX(0,EquityBudget-(DE$28))))</f>
        <v/>
      </c>
      <c r="DG27" s="218">
        <f>IF(FundingOrderPari=1,(1-DebtShare)*DG$26,MIN(DG$26,MAX(0,EquityBudget-(DF$28))))</f>
        <v/>
      </c>
      <c r="DH27" s="218">
        <f>IF(FundingOrderPari=1,(1-DebtShare)*DH$26,MIN(DH$26,MAX(0,EquityBudget-(DG$28))))</f>
        <v/>
      </c>
      <c r="DI27" s="218">
        <f>IF(FundingOrderPari=1,(1-DebtShare)*DI$26,MIN(DI$26,MAX(0,EquityBudget-(DH$28))))</f>
        <v/>
      </c>
      <c r="DJ27" s="218">
        <f>IF(FundingOrderPari=1,(1-DebtShare)*DJ$26,MIN(DJ$26,MAX(0,EquityBudget-(DI$28))))</f>
        <v/>
      </c>
      <c r="DK27" s="218">
        <f>IF(FundingOrderPari=1,(1-DebtShare)*DK$26,MIN(DK$26,MAX(0,EquityBudget-(DJ$28))))</f>
        <v/>
      </c>
      <c r="DL27" s="218">
        <f>IF(FundingOrderPari=1,(1-DebtShare)*DL$26,MIN(DL$26,MAX(0,EquityBudget-(DK$28))))</f>
        <v/>
      </c>
      <c r="DM27" s="218">
        <f>IF(FundingOrderPari=1,(1-DebtShare)*DM$26,MIN(DM$26,MAX(0,EquityBudget-(DL$28))))</f>
        <v/>
      </c>
      <c r="DN27" s="218">
        <f>IF(FundingOrderPari=1,(1-DebtShare)*DN$26,MIN(DN$26,MAX(0,EquityBudget-(DM$28))))</f>
        <v/>
      </c>
      <c r="DO27" s="218">
        <f>IF(FundingOrderPari=1,(1-DebtShare)*DO$26,MIN(DO$26,MAX(0,EquityBudget-(DN$28))))</f>
        <v/>
      </c>
      <c r="DP27" s="218">
        <f>IF(FundingOrderPari=1,(1-DebtShare)*DP$26,MIN(DP$26,MAX(0,EquityBudget-(DO$28))))</f>
        <v/>
      </c>
      <c r="DQ27" s="218">
        <f>IF(FundingOrderPari=1,(1-DebtShare)*DQ$26,MIN(DQ$26,MAX(0,EquityBudget-(DP$28))))</f>
        <v/>
      </c>
      <c r="DR27" s="218">
        <f>IF(FundingOrderPari=1,(1-DebtShare)*DR$26,MIN(DR$26,MAX(0,EquityBudget-(DQ$28))))</f>
        <v/>
      </c>
      <c r="DS27" s="218">
        <f>IF(FundingOrderPari=1,(1-DebtShare)*DS$26,MIN(DS$26,MAX(0,EquityBudget-(DR$28))))</f>
        <v/>
      </c>
      <c r="DT27" s="218">
        <f>IF(FundingOrderPari=1,(1-DebtShare)*DT$26,MIN(DT$26,MAX(0,EquityBudget-(DS$28))))</f>
        <v/>
      </c>
      <c r="DU27" s="218">
        <f>IF(FundingOrderPari=1,(1-DebtShare)*DU$26,MIN(DU$26,MAX(0,EquityBudget-(DT$28))))</f>
        <v/>
      </c>
      <c r="DV27" s="218">
        <f>IF(FundingOrderPari=1,(1-DebtShare)*DV$26,MIN(DV$26,MAX(0,EquityBudget-(DU$28))))</f>
        <v/>
      </c>
      <c r="DW27" s="218">
        <f>IF(FundingOrderPari=1,(1-DebtShare)*DW$26,MIN(DW$26,MAX(0,EquityBudget-(DV$28))))</f>
        <v/>
      </c>
      <c r="DX27" s="218">
        <f>IF(FundingOrderPari=1,(1-DebtShare)*DX$26,MIN(DX$26,MAX(0,EquityBudget-(DW$28))))</f>
        <v/>
      </c>
      <c r="DY27" s="218">
        <f>IF(FundingOrderPari=1,(1-DebtShare)*DY$26,MIN(DY$26,MAX(0,EquityBudget-(DX$28))))</f>
        <v/>
      </c>
      <c r="DZ27" s="218">
        <f>IF(FundingOrderPari=1,(1-DebtShare)*DZ$26,MIN(DZ$26,MAX(0,EquityBudget-(DY$28))))</f>
        <v/>
      </c>
      <c r="EA27" s="218">
        <f>IF(FundingOrderPari=1,(1-DebtShare)*EA$26,MIN(EA$26,MAX(0,EquityBudget-(DZ$28))))</f>
        <v/>
      </c>
      <c r="EB27" s="218">
        <f>IF(FundingOrderPari=1,(1-DebtShare)*EB$26,MIN(EB$26,MAX(0,EquityBudget-(EA$28))))</f>
        <v/>
      </c>
      <c r="EC27" s="218">
        <f>IF(FundingOrderPari=1,(1-DebtShare)*EC$26,MIN(EC$26,MAX(0,EquityBudget-(EB$28))))</f>
        <v/>
      </c>
      <c r="ED27" s="218">
        <f>IF(FundingOrderPari=1,(1-DebtShare)*ED$26,MIN(ED$26,MAX(0,EquityBudget-(EC$28))))</f>
        <v/>
      </c>
      <c r="EE27" s="218">
        <f>IF(FundingOrderPari=1,(1-DebtShare)*EE$26,MIN(EE$26,MAX(0,EquityBudget-(ED$28))))</f>
        <v/>
      </c>
      <c r="EF27" s="218">
        <f>IF(FundingOrderPari=1,(1-DebtShare)*EF$26,MIN(EF$26,MAX(0,EquityBudget-(EE$28))))</f>
        <v/>
      </c>
      <c r="EG27" s="218">
        <f>IF(FundingOrderPari=1,(1-DebtShare)*EG$26,MIN(EG$26,MAX(0,EquityBudget-(EF$28))))</f>
        <v/>
      </c>
      <c r="EH27" s="218">
        <f>IF(FundingOrderPari=1,(1-DebtShare)*EH$26,MIN(EH$26,MAX(0,EquityBudget-(EG$28))))</f>
        <v/>
      </c>
      <c r="EI27" s="218">
        <f>IF(FundingOrderPari=1,(1-DebtShare)*EI$26,MIN(EI$26,MAX(0,EquityBudget-(EH$28))))</f>
        <v/>
      </c>
      <c r="EJ27" s="218">
        <f>IF(FundingOrderPari=1,(1-DebtShare)*EJ$26,MIN(EJ$26,MAX(0,EquityBudget-(EI$28))))</f>
        <v/>
      </c>
      <c r="EK27" s="218">
        <f>IF(FundingOrderPari=1,(1-DebtShare)*EK$26,MIN(EK$26,MAX(0,EquityBudget-(EJ$28))))</f>
        <v/>
      </c>
      <c r="EL27" s="218">
        <f>IF(FundingOrderPari=1,(1-DebtShare)*EL$26,MIN(EL$26,MAX(0,EquityBudget-(EK$28))))</f>
        <v/>
      </c>
      <c r="EM27" s="218">
        <f>IF(FundingOrderPari=1,(1-DebtShare)*EM$26,MIN(EM$26,MAX(0,EquityBudget-(EL$28))))</f>
        <v/>
      </c>
      <c r="EN27" s="218">
        <f>IF(FundingOrderPari=1,(1-DebtShare)*EN$26,MIN(EN$26,MAX(0,EquityBudget-(EM$28))))</f>
        <v/>
      </c>
      <c r="EO27" s="218">
        <f>IF(FundingOrderPari=1,(1-DebtShare)*EO$26,MIN(EO$26,MAX(0,EquityBudget-(EN$28))))</f>
        <v/>
      </c>
      <c r="EP27" s="218">
        <f>IF(FundingOrderPari=1,(1-DebtShare)*EP$26,MIN(EP$26,MAX(0,EquityBudget-(EO$28))))</f>
        <v/>
      </c>
      <c r="EQ27" s="218">
        <f>IF(FundingOrderPari=1,(1-DebtShare)*EQ$26,MIN(EQ$26,MAX(0,EquityBudget-(EP$28))))</f>
        <v/>
      </c>
      <c r="ER27" s="218">
        <f>IF(FundingOrderPari=1,(1-DebtShare)*ER$26,MIN(ER$26,MAX(0,EquityBudget-(EQ$28))))</f>
        <v/>
      </c>
      <c r="ES27" s="218">
        <f>IF(FundingOrderPari=1,(1-DebtShare)*ES$26,MIN(ES$26,MAX(0,EquityBudget-(ER$28))))</f>
        <v/>
      </c>
      <c r="ET27" s="218">
        <f>IF(FundingOrderPari=1,(1-DebtShare)*ET$26,MIN(ET$26,MAX(0,EquityBudget-(ES$28))))</f>
        <v/>
      </c>
      <c r="EU27" s="218">
        <f>IF(FundingOrderPari=1,(1-DebtShare)*EU$26,MIN(EU$26,MAX(0,EquityBudget-(ET$28))))</f>
        <v/>
      </c>
      <c r="EV27" s="218">
        <f>IF(FundingOrderPari=1,(1-DebtShare)*EV$26,MIN(EV$26,MAX(0,EquityBudget-(EU$28))))</f>
        <v/>
      </c>
      <c r="EW27" s="218">
        <f>IF(FundingOrderPari=1,(1-DebtShare)*EW$26,MIN(EW$26,MAX(0,EquityBudget-(EV$28))))</f>
        <v/>
      </c>
      <c r="EX27" s="218">
        <f>IF(FundingOrderPari=1,(1-DebtShare)*EX$26,MIN(EX$26,MAX(0,EquityBudget-(EW$28))))</f>
        <v/>
      </c>
      <c r="EY27" s="218">
        <f>IF(FundingOrderPari=1,(1-DebtShare)*EY$26,MIN(EY$26,MAX(0,EquityBudget-(EX$28))))</f>
        <v/>
      </c>
      <c r="EZ27" s="218">
        <f>IF(FundingOrderPari=1,(1-DebtShare)*EZ$26,MIN(EZ$26,MAX(0,EquityBudget-(EY$28))))</f>
        <v/>
      </c>
      <c r="FA27" s="218">
        <f>IF(FundingOrderPari=1,(1-DebtShare)*FA$26,MIN(FA$26,MAX(0,EquityBudget-(EZ$28))))</f>
        <v/>
      </c>
      <c r="FB27" s="218">
        <f>IF(FundingOrderPari=1,(1-DebtShare)*FB$26,MIN(FB$26,MAX(0,EquityBudget-(FA$28))))</f>
        <v/>
      </c>
      <c r="FC27" s="218">
        <f>IF(FundingOrderPari=1,(1-DebtShare)*FC$26,MIN(FC$26,MAX(0,EquityBudget-(FB$28))))</f>
        <v/>
      </c>
      <c r="FD27" s="218">
        <f>IF(FundingOrderPari=1,(1-DebtShare)*FD$26,MIN(FD$26,MAX(0,EquityBudget-(FC$28))))</f>
        <v/>
      </c>
      <c r="FE27" s="218">
        <f>IF(FundingOrderPari=1,(1-DebtShare)*FE$26,MIN(FE$26,MAX(0,EquityBudget-(FD$28))))</f>
        <v/>
      </c>
      <c r="FF27" s="218">
        <f>IF(FundingOrderPari=1,(1-DebtShare)*FF$26,MIN(FF$26,MAX(0,EquityBudget-(FE$28))))</f>
        <v/>
      </c>
      <c r="FG27" s="218">
        <f>IF(FundingOrderPari=1,(1-DebtShare)*FG$26,MIN(FG$26,MAX(0,EquityBudget-(FF$28))))</f>
        <v/>
      </c>
      <c r="FH27" s="218">
        <f>IF(FundingOrderPari=1,(1-DebtShare)*FH$26,MIN(FH$26,MAX(0,EquityBudget-(FG$28))))</f>
        <v/>
      </c>
      <c r="FI27" s="218">
        <f>IF(FundingOrderPari=1,(1-DebtShare)*FI$26,MIN(FI$26,MAX(0,EquityBudget-(FH$28))))</f>
        <v/>
      </c>
      <c r="FJ27" s="218">
        <f>IF(FundingOrderPari=1,(1-DebtShare)*FJ$26,MIN(FJ$26,MAX(0,EquityBudget-(FI$28))))</f>
        <v/>
      </c>
      <c r="FK27" s="218">
        <f>IF(FundingOrderPari=1,(1-DebtShare)*FK$26,MIN(FK$26,MAX(0,EquityBudget-(FJ$28))))</f>
        <v/>
      </c>
      <c r="FL27" s="218">
        <f>IF(FundingOrderPari=1,(1-DebtShare)*FL$26,MIN(FL$26,MAX(0,EquityBudget-(FK$28))))</f>
        <v/>
      </c>
      <c r="FM27" s="218">
        <f>IF(FundingOrderPari=1,(1-DebtShare)*FM$26,MIN(FM$26,MAX(0,EquityBudget-(FL$28))))</f>
        <v/>
      </c>
      <c r="FN27" s="218">
        <f>IF(FundingOrderPari=1,(1-DebtShare)*FN$26,MIN(FN$26,MAX(0,EquityBudget-(FM$28))))</f>
        <v/>
      </c>
      <c r="FO27" s="218">
        <f>IF(FundingOrderPari=1,(1-DebtShare)*FO$26,MIN(FO$26,MAX(0,EquityBudget-(FN$28))))</f>
        <v/>
      </c>
      <c r="FP27" s="218">
        <f>IF(FundingOrderPari=1,(1-DebtShare)*FP$26,MIN(FP$26,MAX(0,EquityBudget-(FO$28))))</f>
        <v/>
      </c>
      <c r="FQ27" s="218">
        <f>IF(FundingOrderPari=1,(1-DebtShare)*FQ$26,MIN(FQ$26,MAX(0,EquityBudget-(FP$28))))</f>
        <v/>
      </c>
      <c r="FR27" s="218">
        <f>IF(FundingOrderPari=1,(1-DebtShare)*FR$26,MIN(FR$26,MAX(0,EquityBudget-(FQ$28))))</f>
        <v/>
      </c>
      <c r="FS27" s="218">
        <f>IF(FundingOrderPari=1,(1-DebtShare)*FS$26,MIN(FS$26,MAX(0,EquityBudget-(FR$28))))</f>
        <v/>
      </c>
      <c r="FT27" s="218">
        <f>IF(FundingOrderPari=1,(1-DebtShare)*FT$26,MIN(FT$26,MAX(0,EquityBudget-(FS$28))))</f>
        <v/>
      </c>
      <c r="FU27" s="218">
        <f>IF(FundingOrderPari=1,(1-DebtShare)*FU$26,MIN(FU$26,MAX(0,EquityBudget-(FT$28))))</f>
        <v/>
      </c>
      <c r="FV27" s="218">
        <f>IF(FundingOrderPari=1,(1-DebtShare)*FV$26,MIN(FV$26,MAX(0,EquityBudget-(FU$28))))</f>
        <v/>
      </c>
      <c r="FW27" s="218">
        <f>IF(FundingOrderPari=1,(1-DebtShare)*FW$26,MIN(FW$26,MAX(0,EquityBudget-(FV$28))))</f>
        <v/>
      </c>
      <c r="FX27" s="218">
        <f>IF(FundingOrderPari=1,(1-DebtShare)*FX$26,MIN(FX$26,MAX(0,EquityBudget-(FW$28))))</f>
        <v/>
      </c>
      <c r="FY27" s="218">
        <f>IF(FundingOrderPari=1,(1-DebtShare)*FY$26,MIN(FY$26,MAX(0,EquityBudget-(FX$28))))</f>
        <v/>
      </c>
      <c r="FZ27" s="218">
        <f>IF(FundingOrderPari=1,(1-DebtShare)*FZ$26,MIN(FZ$26,MAX(0,EquityBudget-(FY$28))))</f>
        <v/>
      </c>
      <c r="GA27" s="218">
        <f>IF(FundingOrderPari=1,(1-DebtShare)*GA$26,MIN(GA$26,MAX(0,EquityBudget-(FZ$28))))</f>
        <v/>
      </c>
      <c r="GB27" s="218">
        <f>IF(FundingOrderPari=1,(1-DebtShare)*GB$26,MIN(GB$26,MAX(0,EquityBudget-(GA$28))))</f>
        <v/>
      </c>
      <c r="GC27" s="218">
        <f>IF(FundingOrderPari=1,(1-DebtShare)*GC$26,MIN(GC$26,MAX(0,EquityBudget-(GB$28))))</f>
        <v/>
      </c>
      <c r="GD27" s="218">
        <f>IF(FundingOrderPari=1,(1-DebtShare)*GD$26,MIN(GD$26,MAX(0,EquityBudget-(GC$28))))</f>
        <v/>
      </c>
      <c r="GE27" s="218">
        <f>IF(FundingOrderPari=1,(1-DebtShare)*GE$26,MIN(GE$26,MAX(0,EquityBudget-(GD$28))))</f>
        <v/>
      </c>
      <c r="GF27" s="218">
        <f>IF(FundingOrderPari=1,(1-DebtShare)*GF$26,MIN(GF$26,MAX(0,EquityBudget-(GE$28))))</f>
        <v/>
      </c>
      <c r="GG27" s="218">
        <f>IF(FundingOrderPari=1,(1-DebtShare)*GG$26,MIN(GG$26,MAX(0,EquityBudget-(GF$28))))</f>
        <v/>
      </c>
      <c r="GH27" s="218">
        <f>IF(FundingOrderPari=1,(1-DebtShare)*GH$26,MIN(GH$26,MAX(0,EquityBudget-(GG$28))))</f>
        <v/>
      </c>
      <c r="GI27" s="218">
        <f>IF(FundingOrderPari=1,(1-DebtShare)*GI$26,MIN(GI$26,MAX(0,EquityBudget-(GH$28))))</f>
        <v/>
      </c>
      <c r="GJ27" s="218">
        <f>IF(FundingOrderPari=1,(1-DebtShare)*GJ$26,MIN(GJ$26,MAX(0,EquityBudget-(GI$28))))</f>
        <v/>
      </c>
      <c r="GK27" s="218">
        <f>IF(FundingOrderPari=1,(1-DebtShare)*GK$26,MIN(GK$26,MAX(0,EquityBudget-(GJ$28))))</f>
        <v/>
      </c>
      <c r="GL27" s="218">
        <f>IF(FundingOrderPari=1,(1-DebtShare)*GL$26,MIN(GL$26,MAX(0,EquityBudget-(GK$28))))</f>
        <v/>
      </c>
      <c r="GM27" s="218">
        <f>IF(FundingOrderPari=1,(1-DebtShare)*GM$26,MIN(GM$26,MAX(0,EquityBudget-(GL$28))))</f>
        <v/>
      </c>
      <c r="GN27" s="218">
        <f>IF(FundingOrderPari=1,(1-DebtShare)*GN$26,MIN(GN$26,MAX(0,EquityBudget-(GM$28))))</f>
        <v/>
      </c>
      <c r="GO27" s="218">
        <f>IF(FundingOrderPari=1,(1-DebtShare)*GO$26,MIN(GO$26,MAX(0,EquityBudget-(GN$28))))</f>
        <v/>
      </c>
      <c r="GP27" s="218">
        <f>IF(FundingOrderPari=1,(1-DebtShare)*GP$26,MIN(GP$26,MAX(0,EquityBudget-(GO$28))))</f>
        <v/>
      </c>
      <c r="GQ27" s="218">
        <f>IF(FundingOrderPari=1,(1-DebtShare)*GQ$26,MIN(GQ$26,MAX(0,EquityBudget-(GP$28))))</f>
        <v/>
      </c>
      <c r="GR27" s="218">
        <f>IF(FundingOrderPari=1,(1-DebtShare)*GR$26,MIN(GR$26,MAX(0,EquityBudget-(GQ$28))))</f>
        <v/>
      </c>
      <c r="GS27" s="218">
        <f>IF(FundingOrderPari=1,(1-DebtShare)*GS$26,MIN(GS$26,MAX(0,EquityBudget-(GR$28))))</f>
        <v/>
      </c>
      <c r="GT27" s="218">
        <f>IF(FundingOrderPari=1,(1-DebtShare)*GT$26,MIN(GT$26,MAX(0,EquityBudget-(GS$28))))</f>
        <v/>
      </c>
      <c r="GU27" s="218">
        <f>IF(FundingOrderPari=1,(1-DebtShare)*GU$26,MIN(GU$26,MAX(0,EquityBudget-(GT$28))))</f>
        <v/>
      </c>
      <c r="GV27" s="218">
        <f>IF(FundingOrderPari=1,(1-DebtShare)*GV$26,MIN(GV$26,MAX(0,EquityBudget-(GU$28))))</f>
        <v/>
      </c>
      <c r="GW27" s="218">
        <f>IF(FundingOrderPari=1,(1-DebtShare)*GW$26,MIN(GW$26,MAX(0,EquityBudget-(GV$28))))</f>
        <v/>
      </c>
      <c r="GX27" s="218">
        <f>IF(FundingOrderPari=1,(1-DebtShare)*GX$26,MIN(GX$26,MAX(0,EquityBudget-(GW$28))))</f>
        <v/>
      </c>
      <c r="GY27" s="218">
        <f>IF(FundingOrderPari=1,(1-DebtShare)*GY$26,MIN(GY$26,MAX(0,EquityBudget-(GX$28))))</f>
        <v/>
      </c>
      <c r="GZ27" s="218">
        <f>IF(FundingOrderPari=1,(1-DebtShare)*GZ$26,MIN(GZ$26,MAX(0,EquityBudget-(GY$28))))</f>
        <v/>
      </c>
      <c r="HA27" s="218">
        <f>IF(FundingOrderPari=1,(1-DebtShare)*HA$26,MIN(HA$26,MAX(0,EquityBudget-(GZ$28))))</f>
        <v/>
      </c>
      <c r="HB27" s="218">
        <f>IF(FundingOrderPari=1,(1-DebtShare)*HB$26,MIN(HB$26,MAX(0,EquityBudget-(HA$28))))</f>
        <v/>
      </c>
      <c r="HC27" s="218">
        <f>IF(FundingOrderPari=1,(1-DebtShare)*HC$26,MIN(HC$26,MAX(0,EquityBudget-(HB$28))))</f>
        <v/>
      </c>
      <c r="HD27" s="218">
        <f>IF(FundingOrderPari=1,(1-DebtShare)*HD$26,MIN(HD$26,MAX(0,EquityBudget-(HC$28))))</f>
        <v/>
      </c>
      <c r="HE27" s="218">
        <f>IF(FundingOrderPari=1,(1-DebtShare)*HE$26,MIN(HE$26,MAX(0,EquityBudget-(HD$28))))</f>
        <v/>
      </c>
      <c r="HF27" s="218">
        <f>IF(FundingOrderPari=1,(1-DebtShare)*HF$26,MIN(HF$26,MAX(0,EquityBudget-(HE$28))))</f>
        <v/>
      </c>
      <c r="HG27" s="218">
        <f>IF(FundingOrderPari=1,(1-DebtShare)*HG$26,MIN(HG$26,MAX(0,EquityBudget-(HF$28))))</f>
        <v/>
      </c>
      <c r="HH27" s="218">
        <f>IF(FundingOrderPari=1,(1-DebtShare)*HH$26,MIN(HH$26,MAX(0,EquityBudget-(HG$28))))</f>
        <v/>
      </c>
      <c r="HI27" s="218">
        <f>IF(FundingOrderPari=1,(1-DebtShare)*HI$26,MIN(HI$26,MAX(0,EquityBudget-(HH$28))))</f>
        <v/>
      </c>
      <c r="HJ27" s="218">
        <f>IF(FundingOrderPari=1,(1-DebtShare)*HJ$26,MIN(HJ$26,MAX(0,EquityBudget-(HI$28))))</f>
        <v/>
      </c>
      <c r="HK27" s="218">
        <f>IF(FundingOrderPari=1,(1-DebtShare)*HK$26,MIN(HK$26,MAX(0,EquityBudget-(HJ$28))))</f>
        <v/>
      </c>
      <c r="HL27" s="218">
        <f>IF(FundingOrderPari=1,(1-DebtShare)*HL$26,MIN(HL$26,MAX(0,EquityBudget-(HK$28))))</f>
        <v/>
      </c>
      <c r="HM27" s="218">
        <f>IF(FundingOrderPari=1,(1-DebtShare)*HM$26,MIN(HM$26,MAX(0,EquityBudget-(HL$28))))</f>
        <v/>
      </c>
      <c r="HN27" s="218">
        <f>IF(FundingOrderPari=1,(1-DebtShare)*HN$26,MIN(HN$26,MAX(0,EquityBudget-(HM$28))))</f>
        <v/>
      </c>
      <c r="HO27" s="218">
        <f>IF(FundingOrderPari=1,(1-DebtShare)*HO$26,MIN(HO$26,MAX(0,EquityBudget-(HN$28))))</f>
        <v/>
      </c>
      <c r="HP27" s="218">
        <f>IF(FundingOrderPari=1,(1-DebtShare)*HP$26,MIN(HP$26,MAX(0,EquityBudget-(HO$28))))</f>
        <v/>
      </c>
      <c r="HQ27" s="218">
        <f>IF(FundingOrderPari=1,(1-DebtShare)*HQ$26,MIN(HQ$26,MAX(0,EquityBudget-(HP$28))))</f>
        <v/>
      </c>
      <c r="HR27" s="218">
        <f>IF(FundingOrderPari=1,(1-DebtShare)*HR$26,MIN(HR$26,MAX(0,EquityBudget-(HQ$28))))</f>
        <v/>
      </c>
      <c r="HS27" s="218">
        <f>IF(FundingOrderPari=1,(1-DebtShare)*HS$26,MIN(HS$26,MAX(0,EquityBudget-(HR$28))))</f>
        <v/>
      </c>
      <c r="HT27" s="218">
        <f>IF(FundingOrderPari=1,(1-DebtShare)*HT$26,MIN(HT$26,MAX(0,EquityBudget-(HS$28))))</f>
        <v/>
      </c>
      <c r="HU27" s="218">
        <f>IF(FundingOrderPari=1,(1-DebtShare)*HU$26,MIN(HU$26,MAX(0,EquityBudget-(HT$28))))</f>
        <v/>
      </c>
      <c r="HV27" s="218">
        <f>IF(FundingOrderPari=1,(1-DebtShare)*HV$26,MIN(HV$26,MAX(0,EquityBudget-(HU$28))))</f>
        <v/>
      </c>
      <c r="HW27" s="218">
        <f>IF(FundingOrderPari=1,(1-DebtShare)*HW$26,MIN(HW$26,MAX(0,EquityBudget-(HV$28))))</f>
        <v/>
      </c>
      <c r="HX27" s="218">
        <f>IF(FundingOrderPari=1,(1-DebtShare)*HX$26,MIN(HX$26,MAX(0,EquityBudget-(HW$28))))</f>
        <v/>
      </c>
      <c r="HY27" s="218">
        <f>IF(FundingOrderPari=1,(1-DebtShare)*HY$26,MIN(HY$26,MAX(0,EquityBudget-(HX$28))))</f>
        <v/>
      </c>
      <c r="HZ27" s="218">
        <f>IF(FundingOrderPari=1,(1-DebtShare)*HZ$26,MIN(HZ$26,MAX(0,EquityBudget-(HY$28))))</f>
        <v/>
      </c>
      <c r="IA27" s="218">
        <f>IF(FundingOrderPari=1,(1-DebtShare)*IA$26,MIN(IA$26,MAX(0,EquityBudget-(HZ$28))))</f>
        <v/>
      </c>
      <c r="IB27" s="218">
        <f>IF(FundingOrderPari=1,(1-DebtShare)*IB$26,MIN(IB$26,MAX(0,EquityBudget-(IA$28))))</f>
        <v/>
      </c>
      <c r="IC27" s="218">
        <f>IF(FundingOrderPari=1,(1-DebtShare)*IC$26,MIN(IC$26,MAX(0,EquityBudget-(IB$28))))</f>
        <v/>
      </c>
      <c r="ID27" s="218">
        <f>IF(FundingOrderPari=1,(1-DebtShare)*ID$26,MIN(ID$26,MAX(0,EquityBudget-(IC$28))))</f>
        <v/>
      </c>
      <c r="IE27" s="218">
        <f>IF(FundingOrderPari=1,(1-DebtShare)*IE$26,MIN(IE$26,MAX(0,EquityBudget-(ID$28))))</f>
        <v/>
      </c>
      <c r="IF27" s="218">
        <f>IF(FundingOrderPari=1,(1-DebtShare)*IF$26,MIN(IF$26,MAX(0,EquityBudget-(IE$28))))</f>
        <v/>
      </c>
      <c r="IG27" s="218">
        <f>IF(FundingOrderPari=1,(1-DebtShare)*IG$26,MIN(IG$26,MAX(0,EquityBudget-(IF$28))))</f>
        <v/>
      </c>
      <c r="IH27" s="218">
        <f>IF(FundingOrderPari=1,(1-DebtShare)*IH$26,MIN(IH$26,MAX(0,EquityBudget-(IG$28))))</f>
        <v/>
      </c>
      <c r="II27" s="218">
        <f>IF(FundingOrderPari=1,(1-DebtShare)*II$26,MIN(II$26,MAX(0,EquityBudget-(IH$28))))</f>
        <v/>
      </c>
      <c r="IJ27" s="218">
        <f>IF(FundingOrderPari=1,(1-DebtShare)*IJ$26,MIN(IJ$26,MAX(0,EquityBudget-(II$28))))</f>
        <v/>
      </c>
      <c r="IK27" s="218">
        <f>IF(FundingOrderPari=1,(1-DebtShare)*IK$26,MIN(IK$26,MAX(0,EquityBudget-(IJ$28))))</f>
        <v/>
      </c>
      <c r="IL27" s="218">
        <f>IF(FundingOrderPari=1,(1-DebtShare)*IL$26,MIN(IL$26,MAX(0,EquityBudget-(IK$28))))</f>
        <v/>
      </c>
      <c r="IM27" s="218">
        <f>IF(FundingOrderPari=1,(1-DebtShare)*IM$26,MIN(IM$26,MAX(0,EquityBudget-(IL$28))))</f>
        <v/>
      </c>
      <c r="IN27" s="218">
        <f>IF(FundingOrderPari=1,(1-DebtShare)*IN$26,MIN(IN$26,MAX(0,EquityBudget-(IM$28))))</f>
        <v/>
      </c>
      <c r="IO27" s="218">
        <f>IF(FundingOrderPari=1,(1-DebtShare)*IO$26,MIN(IO$26,MAX(0,EquityBudget-(IN$28))))</f>
        <v/>
      </c>
      <c r="IP27" s="218">
        <f>IF(FundingOrderPari=1,(1-DebtShare)*IP$26,MIN(IP$26,MAX(0,EquityBudget-(IO$28))))</f>
        <v/>
      </c>
      <c r="IQ27" s="218">
        <f>IF(FundingOrderPari=1,(1-DebtShare)*IQ$26,MIN(IQ$26,MAX(0,EquityBudget-(IP$28))))</f>
        <v/>
      </c>
      <c r="IR27" s="218">
        <f>IF(FundingOrderPari=1,(1-DebtShare)*IR$26,MIN(IR$26,MAX(0,EquityBudget-(IQ$28))))</f>
        <v/>
      </c>
      <c r="IS27" s="218">
        <f>IF(FundingOrderPari=1,(1-DebtShare)*IS$26,MIN(IS$26,MAX(0,EquityBudget-(IR$28))))</f>
        <v/>
      </c>
      <c r="IT27" s="218">
        <f>IF(FundingOrderPari=1,(1-DebtShare)*IT$26,MIN(IT$26,MAX(0,EquityBudget-(IS$28))))</f>
        <v/>
      </c>
      <c r="IU27" s="218">
        <f>IF(FundingOrderPari=1,(1-DebtShare)*IU$26,MIN(IU$26,MAX(0,EquityBudget-(IT$28))))</f>
        <v/>
      </c>
      <c r="IV27" s="218">
        <f>IF(FundingOrderPari=1,(1-DebtShare)*IV$26,MIN(IV$26,MAX(0,EquityBudget-(IU$28))))</f>
        <v/>
      </c>
      <c r="IW27" s="218">
        <f>IF(FundingOrderPari=1,(1-DebtShare)*IW$26,MIN(IW$26,MAX(0,EquityBudget-(IV$28))))</f>
        <v/>
      </c>
      <c r="IX27" s="218">
        <f>IF(FundingOrderPari=1,(1-DebtShare)*IX$26,MIN(IX$26,MAX(0,EquityBudget-(IW$28))))</f>
        <v/>
      </c>
      <c r="IY27" s="218">
        <f>IF(FundingOrderPari=1,(1-DebtShare)*IY$26,MIN(IY$26,MAX(0,EquityBudget-(IX$28))))</f>
        <v/>
      </c>
      <c r="IZ27" s="218">
        <f>IF(FundingOrderPari=1,(1-DebtShare)*IZ$26,MIN(IZ$26,MAX(0,EquityBudget-(IY$28))))</f>
        <v/>
      </c>
      <c r="JA27" s="218">
        <f>IF(FundingOrderPari=1,(1-DebtShare)*JA$26,MIN(JA$26,MAX(0,EquityBudget-(IZ$28))))</f>
        <v/>
      </c>
      <c r="JB27" s="218">
        <f>IF(FundingOrderPari=1,(1-DebtShare)*JB$26,MIN(JB$26,MAX(0,EquityBudget-(JA$28))))</f>
        <v/>
      </c>
      <c r="JC27" s="218">
        <f>IF(FundingOrderPari=1,(1-DebtShare)*JC$26,MIN(JC$26,MAX(0,EquityBudget-(JB$28))))</f>
        <v/>
      </c>
      <c r="JD27" s="218">
        <f>IF(FundingOrderPari=1,(1-DebtShare)*JD$26,MIN(JD$26,MAX(0,EquityBudget-(JC$28))))</f>
        <v/>
      </c>
      <c r="JE27" s="218">
        <f>IF(FundingOrderPari=1,(1-DebtShare)*JE$26,MIN(JE$26,MAX(0,EquityBudget-(JD$28))))</f>
        <v/>
      </c>
      <c r="JF27" s="218">
        <f>IF(FundingOrderPari=1,(1-DebtShare)*JF$26,MIN(JF$26,MAX(0,EquityBudget-(JE$28))))</f>
        <v/>
      </c>
      <c r="JG27" s="218">
        <f>IF(FundingOrderPari=1,(1-DebtShare)*JG$26,MIN(JG$26,MAX(0,EquityBudget-(JF$28))))</f>
        <v/>
      </c>
      <c r="JH27" s="218">
        <f>IF(FundingOrderPari=1,(1-DebtShare)*JH$26,MIN(JH$26,MAX(0,EquityBudget-(JG$28))))</f>
        <v/>
      </c>
      <c r="JI27" s="218">
        <f>IF(FundingOrderPari=1,(1-DebtShare)*JI$26,MIN(JI$26,MAX(0,EquityBudget-(JH$28))))</f>
        <v/>
      </c>
      <c r="JJ27" s="218">
        <f>IF(FundingOrderPari=1,(1-DebtShare)*JJ$26,MIN(JJ$26,MAX(0,EquityBudget-(JI$28))))</f>
        <v/>
      </c>
      <c r="JK27" s="218">
        <f>IF(FundingOrderPari=1,(1-DebtShare)*JK$26,MIN(JK$26,MAX(0,EquityBudget-(JJ$28))))</f>
        <v/>
      </c>
      <c r="JL27" s="218">
        <f>IF(FundingOrderPari=1,(1-DebtShare)*JL$26,MIN(JL$26,MAX(0,EquityBudget-(JK$28))))</f>
        <v/>
      </c>
      <c r="JM27" s="218">
        <f>IF(FundingOrderPari=1,(1-DebtShare)*JM$26,MIN(JM$26,MAX(0,EquityBudget-(JL$28))))</f>
        <v/>
      </c>
      <c r="JN27" s="218">
        <f>IF(FundingOrderPari=1,(1-DebtShare)*JN$26,MIN(JN$26,MAX(0,EquityBudget-(JM$28))))</f>
        <v/>
      </c>
      <c r="JO27" s="218">
        <f>IF(FundingOrderPari=1,(1-DebtShare)*JO$26,MIN(JO$26,MAX(0,EquityBudget-(JN$28))))</f>
        <v/>
      </c>
      <c r="JP27" s="218">
        <f>IF(FundingOrderPari=1,(1-DebtShare)*JP$26,MIN(JP$26,MAX(0,EquityBudget-(JO$28))))</f>
        <v/>
      </c>
      <c r="JQ27" s="218">
        <f>IF(FundingOrderPari=1,(1-DebtShare)*JQ$26,MIN(JQ$26,MAX(0,EquityBudget-(JP$28))))</f>
        <v/>
      </c>
      <c r="JR27" s="218">
        <f>IF(FundingOrderPari=1,(1-DebtShare)*JR$26,MIN(JR$26,MAX(0,EquityBudget-(JQ$28))))</f>
        <v/>
      </c>
      <c r="JS27" s="218">
        <f>IF(FundingOrderPari=1,(1-DebtShare)*JS$26,MIN(JS$26,MAX(0,EquityBudget-(JR$28))))</f>
        <v/>
      </c>
      <c r="JT27" s="218">
        <f>IF(FundingOrderPari=1,(1-DebtShare)*JT$26,MIN(JT$26,MAX(0,EquityBudget-(JS$28))))</f>
        <v/>
      </c>
      <c r="JU27" s="218">
        <f>IF(FundingOrderPari=1,(1-DebtShare)*JU$26,MIN(JU$26,MAX(0,EquityBudget-(JT$28))))</f>
        <v/>
      </c>
      <c r="JV27" s="218">
        <f>IF(FundingOrderPari=1,(1-DebtShare)*JV$26,MIN(JV$26,MAX(0,EquityBudget-(JU$28))))</f>
        <v/>
      </c>
      <c r="JW27" s="218">
        <f>IF(FundingOrderPari=1,(1-DebtShare)*JW$26,MIN(JW$26,MAX(0,EquityBudget-(JV$28))))</f>
        <v/>
      </c>
      <c r="JX27" s="218">
        <f>IF(FundingOrderPari=1,(1-DebtShare)*JX$26,MIN(JX$26,MAX(0,EquityBudget-(JW$28))))</f>
        <v/>
      </c>
      <c r="JY27" s="218">
        <f>IF(FundingOrderPari=1,(1-DebtShare)*JY$26,MIN(JY$26,MAX(0,EquityBudget-(JX$28))))</f>
        <v/>
      </c>
      <c r="JZ27" s="218">
        <f>IF(FundingOrderPari=1,(1-DebtShare)*JZ$26,MIN(JZ$26,MAX(0,EquityBudget-(JY$28))))</f>
        <v/>
      </c>
      <c r="KA27" s="218">
        <f>IF(FundingOrderPari=1,(1-DebtShare)*KA$26,MIN(KA$26,MAX(0,EquityBudget-(JZ$28))))</f>
        <v/>
      </c>
      <c r="KB27" s="218">
        <f>IF(FundingOrderPari=1,(1-DebtShare)*KB$26,MIN(KB$26,MAX(0,EquityBudget-(KA$28))))</f>
        <v/>
      </c>
      <c r="KC27" s="218">
        <f>IF(FundingOrderPari=1,(1-DebtShare)*KC$26,MIN(KC$26,MAX(0,EquityBudget-(KB$28))))</f>
        <v/>
      </c>
      <c r="KD27" s="218">
        <f>IF(FundingOrderPari=1,(1-DebtShare)*KD$26,MIN(KD$26,MAX(0,EquityBudget-(KC$28))))</f>
        <v/>
      </c>
      <c r="KE27" s="218">
        <f>IF(FundingOrderPari=1,(1-DebtShare)*KE$26,MIN(KE$26,MAX(0,EquityBudget-(KD$28))))</f>
        <v/>
      </c>
      <c r="KF27" s="218">
        <f>IF(FundingOrderPari=1,(1-DebtShare)*KF$26,MIN(KF$26,MAX(0,EquityBudget-(KE$28))))</f>
        <v/>
      </c>
      <c r="KG27" s="218">
        <f>IF(FundingOrderPari=1,(1-DebtShare)*KG$26,MIN(KG$26,MAX(0,EquityBudget-(KF$28))))</f>
        <v/>
      </c>
      <c r="KH27" s="218">
        <f>IF(FundingOrderPari=1,(1-DebtShare)*KH$26,MIN(KH$26,MAX(0,EquityBudget-(KG$28))))</f>
        <v/>
      </c>
      <c r="KI27" s="218">
        <f>IF(FundingOrderPari=1,(1-DebtShare)*KI$26,MIN(KI$26,MAX(0,EquityBudget-(KH$28))))</f>
        <v/>
      </c>
      <c r="KJ27" s="218">
        <f>IF(FundingOrderPari=1,(1-DebtShare)*KJ$26,MIN(KJ$26,MAX(0,EquityBudget-(KI$28))))</f>
        <v/>
      </c>
      <c r="KK27" s="218">
        <f>IF(FundingOrderPari=1,(1-DebtShare)*KK$26,MIN(KK$26,MAX(0,EquityBudget-(KJ$28))))</f>
        <v/>
      </c>
      <c r="KL27" s="218">
        <f>IF(FundingOrderPari=1,(1-DebtShare)*KL$26,MIN(KL$26,MAX(0,EquityBudget-(KK$28))))</f>
        <v/>
      </c>
      <c r="KM27" s="218">
        <f>IF(FundingOrderPari=1,(1-DebtShare)*KM$26,MIN(KM$26,MAX(0,EquityBudget-(KL$28))))</f>
        <v/>
      </c>
      <c r="KN27" s="218">
        <f>IF(FundingOrderPari=1,(1-DebtShare)*KN$26,MIN(KN$26,MAX(0,EquityBudget-(KM$28))))</f>
        <v/>
      </c>
      <c r="KO27" s="218">
        <f>IF(FundingOrderPari=1,(1-DebtShare)*KO$26,MIN(KO$26,MAX(0,EquityBudget-(KN$28))))</f>
        <v/>
      </c>
      <c r="KP27" s="218">
        <f>IF(FundingOrderPari=1,(1-DebtShare)*KP$26,MIN(KP$26,MAX(0,EquityBudget-(KO$28))))</f>
        <v/>
      </c>
      <c r="KQ27" s="218">
        <f>IF(FundingOrderPari=1,(1-DebtShare)*KQ$26,MIN(KQ$26,MAX(0,EquityBudget-(KP$28))))</f>
        <v/>
      </c>
      <c r="KR27" s="218">
        <f>IF(FundingOrderPari=1,(1-DebtShare)*KR$26,MIN(KR$26,MAX(0,EquityBudget-(KQ$28))))</f>
        <v/>
      </c>
      <c r="KS27" s="218">
        <f>IF(FundingOrderPari=1,(1-DebtShare)*KS$26,MIN(KS$26,MAX(0,EquityBudget-(KR$28))))</f>
        <v/>
      </c>
      <c r="KT27" s="218">
        <f>IF(FundingOrderPari=1,(1-DebtShare)*KT$26,MIN(KT$26,MAX(0,EquityBudget-(KS$28))))</f>
        <v/>
      </c>
      <c r="KU27" s="218">
        <f>IF(FundingOrderPari=1,(1-DebtShare)*KU$26,MIN(KU$26,MAX(0,EquityBudget-(KT$28))))</f>
        <v/>
      </c>
      <c r="KV27" s="218">
        <f>IF(FundingOrderPari=1,(1-DebtShare)*KV$26,MIN(KV$26,MAX(0,EquityBudget-(KU$28))))</f>
        <v/>
      </c>
      <c r="KW27" s="218">
        <f>IF(FundingOrderPari=1,(1-DebtShare)*KW$26,MIN(KW$26,MAX(0,EquityBudget-(KV$28))))</f>
        <v/>
      </c>
      <c r="KX27" s="218">
        <f>IF(FundingOrderPari=1,(1-DebtShare)*KX$26,MIN(KX$26,MAX(0,EquityBudget-(KW$28))))</f>
        <v/>
      </c>
      <c r="KY27" s="218">
        <f>IF(FundingOrderPari=1,(1-DebtShare)*KY$26,MIN(KY$26,MAX(0,EquityBudget-(KX$28))))</f>
        <v/>
      </c>
      <c r="KZ27" s="218">
        <f>IF(FundingOrderPari=1,(1-DebtShare)*KZ$26,MIN(KZ$26,MAX(0,EquityBudget-(KY$28))))</f>
        <v/>
      </c>
      <c r="LA27" s="218">
        <f>IF(FundingOrderPari=1,(1-DebtShare)*LA$26,MIN(LA$26,MAX(0,EquityBudget-(KZ$28))))</f>
        <v/>
      </c>
      <c r="LB27" s="218">
        <f>IF(FundingOrderPari=1,(1-DebtShare)*LB$26,MIN(LB$26,MAX(0,EquityBudget-(LA$28))))</f>
        <v/>
      </c>
      <c r="LC27" s="218">
        <f>IF(FundingOrderPari=1,(1-DebtShare)*LC$26,MIN(LC$26,MAX(0,EquityBudget-(LB$28))))</f>
        <v/>
      </c>
      <c r="LD27" s="218">
        <f>IF(FundingOrderPari=1,(1-DebtShare)*LD$26,MIN(LD$26,MAX(0,EquityBudget-(LC$28))))</f>
        <v/>
      </c>
      <c r="LE27" s="218">
        <f>IF(FundingOrderPari=1,(1-DebtShare)*LE$26,MIN(LE$26,MAX(0,EquityBudget-(LD$28))))</f>
        <v/>
      </c>
      <c r="LF27" s="218">
        <f>IF(FundingOrderPari=1,(1-DebtShare)*LF$26,MIN(LF$26,MAX(0,EquityBudget-(LE$28))))</f>
        <v/>
      </c>
      <c r="LG27" s="218">
        <f>IF(FundingOrderPari=1,(1-DebtShare)*LG$26,MIN(LG$26,MAX(0,EquityBudget-(LF$28))))</f>
        <v/>
      </c>
      <c r="LH27" s="218">
        <f>IF(FundingOrderPari=1,(1-DebtShare)*LH$26,MIN(LH$26,MAX(0,EquityBudget-(LG$28))))</f>
        <v/>
      </c>
      <c r="LI27" s="218">
        <f>IF(FundingOrderPari=1,(1-DebtShare)*LI$26,MIN(LI$26,MAX(0,EquityBudget-(LH$28))))</f>
        <v/>
      </c>
      <c r="LJ27" s="218">
        <f>IF(FundingOrderPari=1,(1-DebtShare)*LJ$26,MIN(LJ$26,MAX(0,EquityBudget-(LI$28))))</f>
        <v/>
      </c>
      <c r="LK27" s="218">
        <f>IF(FundingOrderPari=1,(1-DebtShare)*LK$26,MIN(LK$26,MAX(0,EquityBudget-(LJ$28))))</f>
        <v/>
      </c>
      <c r="LL27" s="218">
        <f>IF(FundingOrderPari=1,(1-DebtShare)*LL$26,MIN(LL$26,MAX(0,EquityBudget-(LK$28))))</f>
        <v/>
      </c>
      <c r="LM27" s="218">
        <f>IF(FundingOrderPari=1,(1-DebtShare)*LM$26,MIN(LM$26,MAX(0,EquityBudget-(LL$28))))</f>
        <v/>
      </c>
      <c r="LN27" s="218">
        <f>IF(FundingOrderPari=1,(1-DebtShare)*LN$26,MIN(LN$26,MAX(0,EquityBudget-(LM$28))))</f>
        <v/>
      </c>
      <c r="LO27" s="218">
        <f>IF(FundingOrderPari=1,(1-DebtShare)*LO$26,MIN(LO$26,MAX(0,EquityBudget-(LN$28))))</f>
        <v/>
      </c>
      <c r="LP27" s="218">
        <f>IF(FundingOrderPari=1,(1-DebtShare)*LP$26,MIN(LP$26,MAX(0,EquityBudget-(LO$28))))</f>
        <v/>
      </c>
      <c r="LQ27" s="218">
        <f>IF(FundingOrderPari=1,(1-DebtShare)*LQ$26,MIN(LQ$26,MAX(0,EquityBudget-(LP$28))))</f>
        <v/>
      </c>
      <c r="LR27" s="218">
        <f>IF(FundingOrderPari=1,(1-DebtShare)*LR$26,MIN(LR$26,MAX(0,EquityBudget-(LQ$28))))</f>
        <v/>
      </c>
      <c r="LS27" s="218">
        <f>IF(FundingOrderPari=1,(1-DebtShare)*LS$26,MIN(LS$26,MAX(0,EquityBudget-(LR$28))))</f>
        <v/>
      </c>
      <c r="LT27" s="218">
        <f>IF(FundingOrderPari=1,(1-DebtShare)*LT$26,MIN(LT$26,MAX(0,EquityBudget-(LS$28))))</f>
        <v/>
      </c>
      <c r="LU27" s="218">
        <f>IF(FundingOrderPari=1,(1-DebtShare)*LU$26,MIN(LU$26,MAX(0,EquityBudget-(LT$28))))</f>
        <v/>
      </c>
      <c r="LV27" s="218">
        <f>IF(FundingOrderPari=1,(1-DebtShare)*LV$26,MIN(LV$26,MAX(0,EquityBudget-(LU$28))))</f>
        <v/>
      </c>
      <c r="LW27" s="218">
        <f>IF(FundingOrderPari=1,(1-DebtShare)*LW$26,MIN(LW$26,MAX(0,EquityBudget-(LV$28))))</f>
        <v/>
      </c>
      <c r="LX27" s="218">
        <f>IF(FundingOrderPari=1,(1-DebtShare)*LX$26,MIN(LX$26,MAX(0,EquityBudget-(LW$28))))</f>
        <v/>
      </c>
      <c r="LY27" s="218">
        <f>IF(FundingOrderPari=1,(1-DebtShare)*LY$26,MIN(LY$26,MAX(0,EquityBudget-(LX$28))))</f>
        <v/>
      </c>
      <c r="LZ27" s="218">
        <f>IF(FundingOrderPari=1,(1-DebtShare)*LZ$26,MIN(LZ$26,MAX(0,EquityBudget-(LY$28))))</f>
        <v/>
      </c>
      <c r="MA27" s="218">
        <f>IF(FundingOrderPari=1,(1-DebtShare)*MA$26,MIN(MA$26,MAX(0,EquityBudget-(LZ$28))))</f>
        <v/>
      </c>
      <c r="MB27" s="218">
        <f>IF(FundingOrderPari=1,(1-DebtShare)*MB$26,MIN(MB$26,MAX(0,EquityBudget-(MA$28))))</f>
        <v/>
      </c>
      <c r="MC27" s="218">
        <f>IF(FundingOrderPari=1,(1-DebtShare)*MC$26,MIN(MC$26,MAX(0,EquityBudget-(MB$28))))</f>
        <v/>
      </c>
      <c r="MD27" s="218">
        <f>IF(FundingOrderPari=1,(1-DebtShare)*MD$26,MIN(MD$26,MAX(0,EquityBudget-(MC$28))))</f>
        <v/>
      </c>
      <c r="ME27" s="218">
        <f>IF(FundingOrderPari=1,(1-DebtShare)*ME$26,MIN(ME$26,MAX(0,EquityBudget-(MD$28))))</f>
        <v/>
      </c>
      <c r="MF27" s="218">
        <f>IF(FundingOrderPari=1,(1-DebtShare)*MF$26,MIN(MF$26,MAX(0,EquityBudget-(ME$28))))</f>
        <v/>
      </c>
      <c r="MG27" s="218">
        <f>IF(FundingOrderPari=1,(1-DebtShare)*MG$26,MIN(MG$26,MAX(0,EquityBudget-(MF$28))))</f>
        <v/>
      </c>
      <c r="MH27" s="218">
        <f>IF(FundingOrderPari=1,(1-DebtShare)*MH$26,MIN(MH$26,MAX(0,EquityBudget-(MG$28))))</f>
        <v/>
      </c>
      <c r="MI27" s="218">
        <f>IF(FundingOrderPari=1,(1-DebtShare)*MI$26,MIN(MI$26,MAX(0,EquityBudget-(MH$28))))</f>
        <v/>
      </c>
      <c r="MJ27" s="218">
        <f>IF(FundingOrderPari=1,(1-DebtShare)*MJ$26,MIN(MJ$26,MAX(0,EquityBudget-(MI$28))))</f>
        <v/>
      </c>
      <c r="MK27" s="218">
        <f>IF(FundingOrderPari=1,(1-DebtShare)*MK$26,MIN(MK$26,MAX(0,EquityBudget-(MJ$28))))</f>
        <v/>
      </c>
      <c r="ML27" s="218">
        <f>IF(FundingOrderPari=1,(1-DebtShare)*ML$26,MIN(ML$26,MAX(0,EquityBudget-(MK$28))))</f>
        <v/>
      </c>
      <c r="MM27" s="218">
        <f>IF(FundingOrderPari=1,(1-DebtShare)*MM$26,MIN(MM$26,MAX(0,EquityBudget-(ML$28))))</f>
        <v/>
      </c>
      <c r="MN27" s="218">
        <f>IF(FundingOrderPari=1,(1-DebtShare)*MN$26,MIN(MN$26,MAX(0,EquityBudget-(MM$28))))</f>
        <v/>
      </c>
      <c r="MO27" s="218">
        <f>IF(FundingOrderPari=1,(1-DebtShare)*MO$26,MIN(MO$26,MAX(0,EquityBudget-(MN$28))))</f>
        <v/>
      </c>
      <c r="MP27" s="218">
        <f>IF(FundingOrderPari=1,(1-DebtShare)*MP$26,MIN(MP$26,MAX(0,EquityBudget-(MO$28))))</f>
        <v/>
      </c>
      <c r="MQ27" s="218">
        <f>IF(FundingOrderPari=1,(1-DebtShare)*MQ$26,MIN(MQ$26,MAX(0,EquityBudget-(MP$28))))</f>
        <v/>
      </c>
      <c r="MR27" s="218">
        <f>IF(FundingOrderPari=1,(1-DebtShare)*MR$26,MIN(MR$26,MAX(0,EquityBudget-(MQ$28))))</f>
        <v/>
      </c>
      <c r="MS27" s="218">
        <f>IF(FundingOrderPari=1,(1-DebtShare)*MS$26,MIN(MS$26,MAX(0,EquityBudget-(MR$28))))</f>
        <v/>
      </c>
      <c r="MT27" s="218">
        <f>IF(FundingOrderPari=1,(1-DebtShare)*MT$26,MIN(MT$26,MAX(0,EquityBudget-(MS$28))))</f>
        <v/>
      </c>
      <c r="MU27" s="218">
        <f>IF(FundingOrderPari=1,(1-DebtShare)*MU$26,MIN(MU$26,MAX(0,EquityBudget-(MT$28))))</f>
        <v/>
      </c>
      <c r="MV27" s="218">
        <f>IF(FundingOrderPari=1,(1-DebtShare)*MV$26,MIN(MV$26,MAX(0,EquityBudget-(MU$28))))</f>
        <v/>
      </c>
      <c r="MW27" s="218">
        <f>IF(FundingOrderPari=1,(1-DebtShare)*MW$26,MIN(MW$26,MAX(0,EquityBudget-(MV$28))))</f>
        <v/>
      </c>
      <c r="MX27" s="218">
        <f>IF(FundingOrderPari=1,(1-DebtShare)*MX$26,MIN(MX$26,MAX(0,EquityBudget-(MW$28))))</f>
        <v/>
      </c>
      <c r="MY27" s="218">
        <f>IF(FundingOrderPari=1,(1-DebtShare)*MY$26,MIN(MY$26,MAX(0,EquityBudget-(MX$28))))</f>
        <v/>
      </c>
      <c r="MZ27" s="218">
        <f>IF(FundingOrderPari=1,(1-DebtShare)*MZ$26,MIN(MZ$26,MAX(0,EquityBudget-(MY$28))))</f>
        <v/>
      </c>
      <c r="NA27" s="218">
        <f>IF(FundingOrderPari=1,(1-DebtShare)*NA$26,MIN(NA$26,MAX(0,EquityBudget-(MZ$28))))</f>
        <v/>
      </c>
      <c r="NB27" s="218">
        <f>IF(FundingOrderPari=1,(1-DebtShare)*NB$26,MIN(NB$26,MAX(0,EquityBudget-(NA$28))))</f>
        <v/>
      </c>
      <c r="NC27" s="218">
        <f>IF(FundingOrderPari=1,(1-DebtShare)*NC$26,MIN(NC$26,MAX(0,EquityBudget-(NB$28))))</f>
        <v/>
      </c>
      <c r="ND27" s="218">
        <f>IF(FundingOrderPari=1,(1-DebtShare)*ND$26,MIN(ND$26,MAX(0,EquityBudget-(NC$28))))</f>
        <v/>
      </c>
      <c r="NE27" s="218">
        <f>IF(FundingOrderPari=1,(1-DebtShare)*NE$26,MIN(NE$26,MAX(0,EquityBudget-(ND$28))))</f>
        <v/>
      </c>
      <c r="NF27" s="218">
        <f>IF(FundingOrderPari=1,(1-DebtShare)*NF$26,MIN(NF$26,MAX(0,EquityBudget-(NE$28))))</f>
        <v/>
      </c>
      <c r="NG27" s="218">
        <f>IF(FundingOrderPari=1,(1-DebtShare)*NG$26,MIN(NG$26,MAX(0,EquityBudget-(NF$28))))</f>
        <v/>
      </c>
      <c r="NH27" s="218">
        <f>IF(FundingOrderPari=1,(1-DebtShare)*NH$26,MIN(NH$26,MAX(0,EquityBudget-(NG$28))))</f>
        <v/>
      </c>
      <c r="NI27" s="218">
        <f>IF(FundingOrderPari=1,(1-DebtShare)*NI$26,MIN(NI$26,MAX(0,EquityBudget-(NH$28))))</f>
        <v/>
      </c>
      <c r="NJ27" s="218">
        <f>IF(FundingOrderPari=1,(1-DebtShare)*NJ$26,MIN(NJ$26,MAX(0,EquityBudget-(NI$28))))</f>
        <v/>
      </c>
      <c r="NK27" s="218">
        <f>IF(FundingOrderPari=1,(1-DebtShare)*NK$26,MIN(NK$26,MAX(0,EquityBudget-(NJ$28))))</f>
        <v/>
      </c>
      <c r="NL27" s="218">
        <f>IF(FundingOrderPari=1,(1-DebtShare)*NL$26,MIN(NL$26,MAX(0,EquityBudget-(NK$28))))</f>
        <v/>
      </c>
    </row>
    <row r="28">
      <c r="B28" s="36" t="inlineStr">
        <is>
          <t>Cumulative Equity</t>
        </is>
      </c>
      <c r="D28" s="253" t="n"/>
      <c r="E28" s="218">
        <f>0+E$27</f>
        <v/>
      </c>
      <c r="F28" s="218">
        <f>E$28+F$27</f>
        <v/>
      </c>
      <c r="G28" s="218">
        <f>F$28+G$27</f>
        <v/>
      </c>
      <c r="H28" s="218">
        <f>G$28+H$27</f>
        <v/>
      </c>
      <c r="I28" s="218">
        <f>H$28+I$27</f>
        <v/>
      </c>
      <c r="J28" s="218">
        <f>I$28+J$27</f>
        <v/>
      </c>
      <c r="K28" s="218">
        <f>J$28+K$27</f>
        <v/>
      </c>
      <c r="L28" s="218">
        <f>K$28+L$27</f>
        <v/>
      </c>
      <c r="M28" s="218">
        <f>L$28+M$27</f>
        <v/>
      </c>
      <c r="N28" s="218">
        <f>M$28+N$27</f>
        <v/>
      </c>
      <c r="O28" s="218">
        <f>N$28+O$27</f>
        <v/>
      </c>
      <c r="P28" s="218">
        <f>O$28+P$27</f>
        <v/>
      </c>
      <c r="Q28" s="218">
        <f>P$28+Q$27</f>
        <v/>
      </c>
      <c r="R28" s="218">
        <f>Q$28+R$27</f>
        <v/>
      </c>
      <c r="S28" s="218">
        <f>R$28+S$27</f>
        <v/>
      </c>
      <c r="T28" s="218">
        <f>S$28+T$27</f>
        <v/>
      </c>
      <c r="U28" s="218">
        <f>T$28+U$27</f>
        <v/>
      </c>
      <c r="V28" s="218">
        <f>U$28+V$27</f>
        <v/>
      </c>
      <c r="W28" s="218">
        <f>V$28+W$27</f>
        <v/>
      </c>
      <c r="X28" s="218">
        <f>W$28+X$27</f>
        <v/>
      </c>
      <c r="Y28" s="218">
        <f>X$28+Y$27</f>
        <v/>
      </c>
      <c r="Z28" s="218">
        <f>Y$28+Z$27</f>
        <v/>
      </c>
      <c r="AA28" s="218">
        <f>Z$28+AA$27</f>
        <v/>
      </c>
      <c r="AB28" s="218">
        <f>AA$28+AB$27</f>
        <v/>
      </c>
      <c r="AC28" s="218">
        <f>AB$28+AC$27</f>
        <v/>
      </c>
      <c r="AD28" s="218">
        <f>AC$28+AD$27</f>
        <v/>
      </c>
      <c r="AE28" s="218">
        <f>AD$28+AE$27</f>
        <v/>
      </c>
      <c r="AF28" s="218">
        <f>AE$28+AF$27</f>
        <v/>
      </c>
      <c r="AG28" s="218">
        <f>AF$28+AG$27</f>
        <v/>
      </c>
      <c r="AH28" s="218">
        <f>AG$28+AH$27</f>
        <v/>
      </c>
      <c r="AI28" s="218">
        <f>AH$28+AI$27</f>
        <v/>
      </c>
      <c r="AJ28" s="218">
        <f>AI$28+AJ$27</f>
        <v/>
      </c>
      <c r="AK28" s="218">
        <f>AJ$28+AK$27</f>
        <v/>
      </c>
      <c r="AL28" s="218">
        <f>AK$28+AL$27</f>
        <v/>
      </c>
      <c r="AM28" s="218">
        <f>AL$28+AM$27</f>
        <v/>
      </c>
      <c r="AN28" s="218">
        <f>AM$28+AN$27</f>
        <v/>
      </c>
      <c r="AO28" s="218">
        <f>AN$28+AO$27</f>
        <v/>
      </c>
      <c r="AP28" s="218">
        <f>AO$28+AP$27</f>
        <v/>
      </c>
      <c r="AQ28" s="218">
        <f>AP$28+AQ$27</f>
        <v/>
      </c>
      <c r="AR28" s="218">
        <f>AQ$28+AR$27</f>
        <v/>
      </c>
      <c r="AS28" s="218">
        <f>AR$28+AS$27</f>
        <v/>
      </c>
      <c r="AT28" s="218">
        <f>AS$28+AT$27</f>
        <v/>
      </c>
      <c r="AU28" s="218">
        <f>AT$28+AU$27</f>
        <v/>
      </c>
      <c r="AV28" s="218">
        <f>AU$28+AV$27</f>
        <v/>
      </c>
      <c r="AW28" s="218">
        <f>AV$28+AW$27</f>
        <v/>
      </c>
      <c r="AX28" s="218">
        <f>AW$28+AX$27</f>
        <v/>
      </c>
      <c r="AY28" s="218">
        <f>AX$28+AY$27</f>
        <v/>
      </c>
      <c r="AZ28" s="218">
        <f>AY$28+AZ$27</f>
        <v/>
      </c>
      <c r="BA28" s="218">
        <f>AZ$28+BA$27</f>
        <v/>
      </c>
      <c r="BB28" s="218">
        <f>BA$28+BB$27</f>
        <v/>
      </c>
      <c r="BC28" s="218">
        <f>BB$28+BC$27</f>
        <v/>
      </c>
      <c r="BD28" s="218">
        <f>BC$28+BD$27</f>
        <v/>
      </c>
      <c r="BE28" s="218">
        <f>BD$28+BE$27</f>
        <v/>
      </c>
      <c r="BF28" s="218">
        <f>BE$28+BF$27</f>
        <v/>
      </c>
      <c r="BG28" s="218">
        <f>BF$28+BG$27</f>
        <v/>
      </c>
      <c r="BH28" s="218">
        <f>BG$28+BH$27</f>
        <v/>
      </c>
      <c r="BI28" s="218">
        <f>BH$28+BI$27</f>
        <v/>
      </c>
      <c r="BJ28" s="218">
        <f>BI$28+BJ$27</f>
        <v/>
      </c>
      <c r="BK28" s="218">
        <f>BJ$28+BK$27</f>
        <v/>
      </c>
      <c r="BL28" s="218">
        <f>BK$28+BL$27</f>
        <v/>
      </c>
      <c r="BM28" s="218">
        <f>BL$28+BM$27</f>
        <v/>
      </c>
      <c r="BN28" s="218">
        <f>BM$28+BN$27</f>
        <v/>
      </c>
      <c r="BO28" s="218">
        <f>BN$28+BO$27</f>
        <v/>
      </c>
      <c r="BP28" s="218">
        <f>BO$28+BP$27</f>
        <v/>
      </c>
      <c r="BQ28" s="218">
        <f>BP$28+BQ$27</f>
        <v/>
      </c>
      <c r="BR28" s="218">
        <f>BQ$28+BR$27</f>
        <v/>
      </c>
      <c r="BS28" s="218">
        <f>BR$28+BS$27</f>
        <v/>
      </c>
      <c r="BT28" s="218">
        <f>BS$28+BT$27</f>
        <v/>
      </c>
      <c r="BU28" s="218">
        <f>BT$28+BU$27</f>
        <v/>
      </c>
      <c r="BV28" s="218">
        <f>BU$28+BV$27</f>
        <v/>
      </c>
      <c r="BW28" s="218">
        <f>BV$28+BW$27</f>
        <v/>
      </c>
      <c r="BX28" s="218">
        <f>BW$28+BX$27</f>
        <v/>
      </c>
      <c r="BY28" s="218">
        <f>BX$28+BY$27</f>
        <v/>
      </c>
      <c r="BZ28" s="218">
        <f>BY$28+BZ$27</f>
        <v/>
      </c>
      <c r="CA28" s="218">
        <f>BZ$28+CA$27</f>
        <v/>
      </c>
      <c r="CB28" s="218">
        <f>CA$28+CB$27</f>
        <v/>
      </c>
      <c r="CC28" s="218">
        <f>CB$28+CC$27</f>
        <v/>
      </c>
      <c r="CD28" s="218">
        <f>CC$28+CD$27</f>
        <v/>
      </c>
      <c r="CE28" s="218">
        <f>CD$28+CE$27</f>
        <v/>
      </c>
      <c r="CF28" s="218">
        <f>CE$28+CF$27</f>
        <v/>
      </c>
      <c r="CG28" s="218">
        <f>CF$28+CG$27</f>
        <v/>
      </c>
      <c r="CH28" s="218">
        <f>CG$28+CH$27</f>
        <v/>
      </c>
      <c r="CI28" s="218">
        <f>CH$28+CI$27</f>
        <v/>
      </c>
      <c r="CJ28" s="218">
        <f>CI$28+CJ$27</f>
        <v/>
      </c>
      <c r="CK28" s="218">
        <f>CJ$28+CK$27</f>
        <v/>
      </c>
      <c r="CL28" s="218">
        <f>CK$28+CL$27</f>
        <v/>
      </c>
      <c r="CM28" s="218">
        <f>CL$28+CM$27</f>
        <v/>
      </c>
      <c r="CN28" s="218">
        <f>CM$28+CN$27</f>
        <v/>
      </c>
      <c r="CO28" s="218">
        <f>CN$28+CO$27</f>
        <v/>
      </c>
      <c r="CP28" s="218">
        <f>CO$28+CP$27</f>
        <v/>
      </c>
      <c r="CQ28" s="218">
        <f>CP$28+CQ$27</f>
        <v/>
      </c>
      <c r="CR28" s="218">
        <f>CQ$28+CR$27</f>
        <v/>
      </c>
      <c r="CS28" s="218">
        <f>CR$28+CS$27</f>
        <v/>
      </c>
      <c r="CT28" s="218">
        <f>CS$28+CT$27</f>
        <v/>
      </c>
      <c r="CU28" s="218">
        <f>CT$28+CU$27</f>
        <v/>
      </c>
      <c r="CV28" s="218">
        <f>CU$28+CV$27</f>
        <v/>
      </c>
      <c r="CW28" s="218">
        <f>CV$28+CW$27</f>
        <v/>
      </c>
      <c r="CX28" s="218">
        <f>CW$28+CX$27</f>
        <v/>
      </c>
      <c r="CY28" s="218">
        <f>CX$28+CY$27</f>
        <v/>
      </c>
      <c r="CZ28" s="218">
        <f>CY$28+CZ$27</f>
        <v/>
      </c>
      <c r="DA28" s="218">
        <f>CZ$28+DA$27</f>
        <v/>
      </c>
      <c r="DB28" s="218">
        <f>DA$28+DB$27</f>
        <v/>
      </c>
      <c r="DC28" s="218">
        <f>DB$28+DC$27</f>
        <v/>
      </c>
      <c r="DD28" s="218">
        <f>DC$28+DD$27</f>
        <v/>
      </c>
      <c r="DE28" s="218">
        <f>DD$28+DE$27</f>
        <v/>
      </c>
      <c r="DF28" s="218">
        <f>DE$28+DF$27</f>
        <v/>
      </c>
      <c r="DG28" s="218">
        <f>DF$28+DG$27</f>
        <v/>
      </c>
      <c r="DH28" s="218">
        <f>DG$28+DH$27</f>
        <v/>
      </c>
      <c r="DI28" s="218">
        <f>DH$28+DI$27</f>
        <v/>
      </c>
      <c r="DJ28" s="218">
        <f>DI$28+DJ$27</f>
        <v/>
      </c>
      <c r="DK28" s="218">
        <f>DJ$28+DK$27</f>
        <v/>
      </c>
      <c r="DL28" s="218">
        <f>DK$28+DL$27</f>
        <v/>
      </c>
      <c r="DM28" s="218">
        <f>DL$28+DM$27</f>
        <v/>
      </c>
      <c r="DN28" s="218">
        <f>DM$28+DN$27</f>
        <v/>
      </c>
      <c r="DO28" s="218">
        <f>DN$28+DO$27</f>
        <v/>
      </c>
      <c r="DP28" s="218">
        <f>DO$28+DP$27</f>
        <v/>
      </c>
      <c r="DQ28" s="218">
        <f>DP$28+DQ$27</f>
        <v/>
      </c>
      <c r="DR28" s="218">
        <f>DQ$28+DR$27</f>
        <v/>
      </c>
      <c r="DS28" s="218">
        <f>DR$28+DS$27</f>
        <v/>
      </c>
      <c r="DT28" s="218">
        <f>DS$28+DT$27</f>
        <v/>
      </c>
      <c r="DU28" s="218">
        <f>DT$28+DU$27</f>
        <v/>
      </c>
      <c r="DV28" s="218">
        <f>DU$28+DV$27</f>
        <v/>
      </c>
      <c r="DW28" s="218">
        <f>DV$28+DW$27</f>
        <v/>
      </c>
      <c r="DX28" s="218">
        <f>DW$28+DX$27</f>
        <v/>
      </c>
      <c r="DY28" s="218">
        <f>DX$28+DY$27</f>
        <v/>
      </c>
      <c r="DZ28" s="218">
        <f>DY$28+DZ$27</f>
        <v/>
      </c>
      <c r="EA28" s="218">
        <f>DZ$28+EA$27</f>
        <v/>
      </c>
      <c r="EB28" s="218">
        <f>EA$28+EB$27</f>
        <v/>
      </c>
      <c r="EC28" s="218">
        <f>EB$28+EC$27</f>
        <v/>
      </c>
      <c r="ED28" s="218">
        <f>EC$28+ED$27</f>
        <v/>
      </c>
      <c r="EE28" s="218">
        <f>ED$28+EE$27</f>
        <v/>
      </c>
      <c r="EF28" s="218">
        <f>EE$28+EF$27</f>
        <v/>
      </c>
      <c r="EG28" s="218">
        <f>EF$28+EG$27</f>
        <v/>
      </c>
      <c r="EH28" s="218">
        <f>EG$28+EH$27</f>
        <v/>
      </c>
      <c r="EI28" s="218">
        <f>EH$28+EI$27</f>
        <v/>
      </c>
      <c r="EJ28" s="218">
        <f>EI$28+EJ$27</f>
        <v/>
      </c>
      <c r="EK28" s="218">
        <f>EJ$28+EK$27</f>
        <v/>
      </c>
      <c r="EL28" s="218">
        <f>EK$28+EL$27</f>
        <v/>
      </c>
      <c r="EM28" s="218">
        <f>EL$28+EM$27</f>
        <v/>
      </c>
      <c r="EN28" s="218">
        <f>EM$28+EN$27</f>
        <v/>
      </c>
      <c r="EO28" s="218">
        <f>EN$28+EO$27</f>
        <v/>
      </c>
      <c r="EP28" s="218">
        <f>EO$28+EP$27</f>
        <v/>
      </c>
      <c r="EQ28" s="218">
        <f>EP$28+EQ$27</f>
        <v/>
      </c>
      <c r="ER28" s="218">
        <f>EQ$28+ER$27</f>
        <v/>
      </c>
      <c r="ES28" s="218">
        <f>ER$28+ES$27</f>
        <v/>
      </c>
      <c r="ET28" s="218">
        <f>ES$28+ET$27</f>
        <v/>
      </c>
      <c r="EU28" s="218">
        <f>ET$28+EU$27</f>
        <v/>
      </c>
      <c r="EV28" s="218">
        <f>EU$28+EV$27</f>
        <v/>
      </c>
      <c r="EW28" s="218">
        <f>EV$28+EW$27</f>
        <v/>
      </c>
      <c r="EX28" s="218">
        <f>EW$28+EX$27</f>
        <v/>
      </c>
      <c r="EY28" s="218">
        <f>EX$28+EY$27</f>
        <v/>
      </c>
      <c r="EZ28" s="218">
        <f>EY$28+EZ$27</f>
        <v/>
      </c>
      <c r="FA28" s="218">
        <f>EZ$28+FA$27</f>
        <v/>
      </c>
      <c r="FB28" s="218">
        <f>FA$28+FB$27</f>
        <v/>
      </c>
      <c r="FC28" s="218">
        <f>FB$28+FC$27</f>
        <v/>
      </c>
      <c r="FD28" s="218">
        <f>FC$28+FD$27</f>
        <v/>
      </c>
      <c r="FE28" s="218">
        <f>FD$28+FE$27</f>
        <v/>
      </c>
      <c r="FF28" s="218">
        <f>FE$28+FF$27</f>
        <v/>
      </c>
      <c r="FG28" s="218">
        <f>FF$28+FG$27</f>
        <v/>
      </c>
      <c r="FH28" s="218">
        <f>FG$28+FH$27</f>
        <v/>
      </c>
      <c r="FI28" s="218">
        <f>FH$28+FI$27</f>
        <v/>
      </c>
      <c r="FJ28" s="218">
        <f>FI$28+FJ$27</f>
        <v/>
      </c>
      <c r="FK28" s="218">
        <f>FJ$28+FK$27</f>
        <v/>
      </c>
      <c r="FL28" s="218">
        <f>FK$28+FL$27</f>
        <v/>
      </c>
      <c r="FM28" s="218">
        <f>FL$28+FM$27</f>
        <v/>
      </c>
      <c r="FN28" s="218">
        <f>FM$28+FN$27</f>
        <v/>
      </c>
      <c r="FO28" s="218">
        <f>FN$28+FO$27</f>
        <v/>
      </c>
      <c r="FP28" s="218">
        <f>FO$28+FP$27</f>
        <v/>
      </c>
      <c r="FQ28" s="218">
        <f>FP$28+FQ$27</f>
        <v/>
      </c>
      <c r="FR28" s="218">
        <f>FQ$28+FR$27</f>
        <v/>
      </c>
      <c r="FS28" s="218">
        <f>FR$28+FS$27</f>
        <v/>
      </c>
      <c r="FT28" s="218">
        <f>FS$28+FT$27</f>
        <v/>
      </c>
      <c r="FU28" s="218">
        <f>FT$28+FU$27</f>
        <v/>
      </c>
      <c r="FV28" s="218">
        <f>FU$28+FV$27</f>
        <v/>
      </c>
      <c r="FW28" s="218">
        <f>FV$28+FW$27</f>
        <v/>
      </c>
      <c r="FX28" s="218">
        <f>FW$28+FX$27</f>
        <v/>
      </c>
      <c r="FY28" s="218">
        <f>FX$28+FY$27</f>
        <v/>
      </c>
      <c r="FZ28" s="218">
        <f>FY$28+FZ$27</f>
        <v/>
      </c>
      <c r="GA28" s="218">
        <f>FZ$28+GA$27</f>
        <v/>
      </c>
      <c r="GB28" s="218">
        <f>GA$28+GB$27</f>
        <v/>
      </c>
      <c r="GC28" s="218">
        <f>GB$28+GC$27</f>
        <v/>
      </c>
      <c r="GD28" s="218">
        <f>GC$28+GD$27</f>
        <v/>
      </c>
      <c r="GE28" s="218">
        <f>GD$28+GE$27</f>
        <v/>
      </c>
      <c r="GF28" s="218">
        <f>GE$28+GF$27</f>
        <v/>
      </c>
      <c r="GG28" s="218">
        <f>GF$28+GG$27</f>
        <v/>
      </c>
      <c r="GH28" s="218">
        <f>GG$28+GH$27</f>
        <v/>
      </c>
      <c r="GI28" s="218">
        <f>GH$28+GI$27</f>
        <v/>
      </c>
      <c r="GJ28" s="218">
        <f>GI$28+GJ$27</f>
        <v/>
      </c>
      <c r="GK28" s="218">
        <f>GJ$28+GK$27</f>
        <v/>
      </c>
      <c r="GL28" s="218">
        <f>GK$28+GL$27</f>
        <v/>
      </c>
      <c r="GM28" s="218">
        <f>GL$28+GM$27</f>
        <v/>
      </c>
      <c r="GN28" s="218">
        <f>GM$28+GN$27</f>
        <v/>
      </c>
      <c r="GO28" s="218">
        <f>GN$28+GO$27</f>
        <v/>
      </c>
      <c r="GP28" s="218">
        <f>GO$28+GP$27</f>
        <v/>
      </c>
      <c r="GQ28" s="218">
        <f>GP$28+GQ$27</f>
        <v/>
      </c>
      <c r="GR28" s="218">
        <f>GQ$28+GR$27</f>
        <v/>
      </c>
      <c r="GS28" s="218">
        <f>GR$28+GS$27</f>
        <v/>
      </c>
      <c r="GT28" s="218">
        <f>GS$28+GT$27</f>
        <v/>
      </c>
      <c r="GU28" s="218">
        <f>GT$28+GU$27</f>
        <v/>
      </c>
      <c r="GV28" s="218">
        <f>GU$28+GV$27</f>
        <v/>
      </c>
      <c r="GW28" s="218">
        <f>GV$28+GW$27</f>
        <v/>
      </c>
      <c r="GX28" s="218">
        <f>GW$28+GX$27</f>
        <v/>
      </c>
      <c r="GY28" s="218">
        <f>GX$28+GY$27</f>
        <v/>
      </c>
      <c r="GZ28" s="218">
        <f>GY$28+GZ$27</f>
        <v/>
      </c>
      <c r="HA28" s="218">
        <f>GZ$28+HA$27</f>
        <v/>
      </c>
      <c r="HB28" s="218">
        <f>HA$28+HB$27</f>
        <v/>
      </c>
      <c r="HC28" s="218">
        <f>HB$28+HC$27</f>
        <v/>
      </c>
      <c r="HD28" s="218">
        <f>HC$28+HD$27</f>
        <v/>
      </c>
      <c r="HE28" s="218">
        <f>HD$28+HE$27</f>
        <v/>
      </c>
      <c r="HF28" s="218">
        <f>HE$28+HF$27</f>
        <v/>
      </c>
      <c r="HG28" s="218">
        <f>HF$28+HG$27</f>
        <v/>
      </c>
      <c r="HH28" s="218">
        <f>HG$28+HH$27</f>
        <v/>
      </c>
      <c r="HI28" s="218">
        <f>HH$28+HI$27</f>
        <v/>
      </c>
      <c r="HJ28" s="218">
        <f>HI$28+HJ$27</f>
        <v/>
      </c>
      <c r="HK28" s="218">
        <f>HJ$28+HK$27</f>
        <v/>
      </c>
      <c r="HL28" s="218">
        <f>HK$28+HL$27</f>
        <v/>
      </c>
      <c r="HM28" s="218">
        <f>HL$28+HM$27</f>
        <v/>
      </c>
      <c r="HN28" s="218">
        <f>HM$28+HN$27</f>
        <v/>
      </c>
      <c r="HO28" s="218">
        <f>HN$28+HO$27</f>
        <v/>
      </c>
      <c r="HP28" s="218">
        <f>HO$28+HP$27</f>
        <v/>
      </c>
      <c r="HQ28" s="218">
        <f>HP$28+HQ$27</f>
        <v/>
      </c>
      <c r="HR28" s="218">
        <f>HQ$28+HR$27</f>
        <v/>
      </c>
      <c r="HS28" s="218">
        <f>HR$28+HS$27</f>
        <v/>
      </c>
      <c r="HT28" s="218">
        <f>HS$28+HT$27</f>
        <v/>
      </c>
      <c r="HU28" s="218">
        <f>HT$28+HU$27</f>
        <v/>
      </c>
      <c r="HV28" s="218">
        <f>HU$28+HV$27</f>
        <v/>
      </c>
      <c r="HW28" s="218">
        <f>HV$28+HW$27</f>
        <v/>
      </c>
      <c r="HX28" s="218">
        <f>HW$28+HX$27</f>
        <v/>
      </c>
      <c r="HY28" s="218">
        <f>HX$28+HY$27</f>
        <v/>
      </c>
      <c r="HZ28" s="218">
        <f>HY$28+HZ$27</f>
        <v/>
      </c>
      <c r="IA28" s="218">
        <f>HZ$28+IA$27</f>
        <v/>
      </c>
      <c r="IB28" s="218">
        <f>IA$28+IB$27</f>
        <v/>
      </c>
      <c r="IC28" s="218">
        <f>IB$28+IC$27</f>
        <v/>
      </c>
      <c r="ID28" s="218">
        <f>IC$28+ID$27</f>
        <v/>
      </c>
      <c r="IE28" s="218">
        <f>ID$28+IE$27</f>
        <v/>
      </c>
      <c r="IF28" s="218">
        <f>IE$28+IF$27</f>
        <v/>
      </c>
      <c r="IG28" s="218">
        <f>IF$28+IG$27</f>
        <v/>
      </c>
      <c r="IH28" s="218">
        <f>IG$28+IH$27</f>
        <v/>
      </c>
      <c r="II28" s="218">
        <f>IH$28+II$27</f>
        <v/>
      </c>
      <c r="IJ28" s="218">
        <f>II$28+IJ$27</f>
        <v/>
      </c>
      <c r="IK28" s="218">
        <f>IJ$28+IK$27</f>
        <v/>
      </c>
      <c r="IL28" s="218">
        <f>IK$28+IL$27</f>
        <v/>
      </c>
      <c r="IM28" s="218">
        <f>IL$28+IM$27</f>
        <v/>
      </c>
      <c r="IN28" s="218">
        <f>IM$28+IN$27</f>
        <v/>
      </c>
      <c r="IO28" s="218">
        <f>IN$28+IO$27</f>
        <v/>
      </c>
      <c r="IP28" s="218">
        <f>IO$28+IP$27</f>
        <v/>
      </c>
      <c r="IQ28" s="218">
        <f>IP$28+IQ$27</f>
        <v/>
      </c>
      <c r="IR28" s="218">
        <f>IQ$28+IR$27</f>
        <v/>
      </c>
      <c r="IS28" s="218">
        <f>IR$28+IS$27</f>
        <v/>
      </c>
      <c r="IT28" s="218">
        <f>IS$28+IT$27</f>
        <v/>
      </c>
      <c r="IU28" s="218">
        <f>IT$28+IU$27</f>
        <v/>
      </c>
      <c r="IV28" s="218">
        <f>IU$28+IV$27</f>
        <v/>
      </c>
      <c r="IW28" s="218">
        <f>IV$28+IW$27</f>
        <v/>
      </c>
      <c r="IX28" s="218">
        <f>IW$28+IX$27</f>
        <v/>
      </c>
      <c r="IY28" s="218">
        <f>IX$28+IY$27</f>
        <v/>
      </c>
      <c r="IZ28" s="218">
        <f>IY$28+IZ$27</f>
        <v/>
      </c>
      <c r="JA28" s="218">
        <f>IZ$28+JA$27</f>
        <v/>
      </c>
      <c r="JB28" s="218">
        <f>JA$28+JB$27</f>
        <v/>
      </c>
      <c r="JC28" s="218">
        <f>JB$28+JC$27</f>
        <v/>
      </c>
      <c r="JD28" s="218">
        <f>JC$28+JD$27</f>
        <v/>
      </c>
      <c r="JE28" s="218">
        <f>JD$28+JE$27</f>
        <v/>
      </c>
      <c r="JF28" s="218">
        <f>JE$28+JF$27</f>
        <v/>
      </c>
      <c r="JG28" s="218">
        <f>JF$28+JG$27</f>
        <v/>
      </c>
      <c r="JH28" s="218">
        <f>JG$28+JH$27</f>
        <v/>
      </c>
      <c r="JI28" s="218">
        <f>JH$28+JI$27</f>
        <v/>
      </c>
      <c r="JJ28" s="218">
        <f>JI$28+JJ$27</f>
        <v/>
      </c>
      <c r="JK28" s="218">
        <f>JJ$28+JK$27</f>
        <v/>
      </c>
      <c r="JL28" s="218">
        <f>JK$28+JL$27</f>
        <v/>
      </c>
      <c r="JM28" s="218">
        <f>JL$28+JM$27</f>
        <v/>
      </c>
      <c r="JN28" s="218">
        <f>JM$28+JN$27</f>
        <v/>
      </c>
      <c r="JO28" s="218">
        <f>JN$28+JO$27</f>
        <v/>
      </c>
      <c r="JP28" s="218">
        <f>JO$28+JP$27</f>
        <v/>
      </c>
      <c r="JQ28" s="218">
        <f>JP$28+JQ$27</f>
        <v/>
      </c>
      <c r="JR28" s="218">
        <f>JQ$28+JR$27</f>
        <v/>
      </c>
      <c r="JS28" s="218">
        <f>JR$28+JS$27</f>
        <v/>
      </c>
      <c r="JT28" s="218">
        <f>JS$28+JT$27</f>
        <v/>
      </c>
      <c r="JU28" s="218">
        <f>JT$28+JU$27</f>
        <v/>
      </c>
      <c r="JV28" s="218">
        <f>JU$28+JV$27</f>
        <v/>
      </c>
      <c r="JW28" s="218">
        <f>JV$28+JW$27</f>
        <v/>
      </c>
      <c r="JX28" s="218">
        <f>JW$28+JX$27</f>
        <v/>
      </c>
      <c r="JY28" s="218">
        <f>JX$28+JY$27</f>
        <v/>
      </c>
      <c r="JZ28" s="218">
        <f>JY$28+JZ$27</f>
        <v/>
      </c>
      <c r="KA28" s="218">
        <f>JZ$28+KA$27</f>
        <v/>
      </c>
      <c r="KB28" s="218">
        <f>KA$28+KB$27</f>
        <v/>
      </c>
      <c r="KC28" s="218">
        <f>KB$28+KC$27</f>
        <v/>
      </c>
      <c r="KD28" s="218">
        <f>KC$28+KD$27</f>
        <v/>
      </c>
      <c r="KE28" s="218">
        <f>KD$28+KE$27</f>
        <v/>
      </c>
      <c r="KF28" s="218">
        <f>KE$28+KF$27</f>
        <v/>
      </c>
      <c r="KG28" s="218">
        <f>KF$28+KG$27</f>
        <v/>
      </c>
      <c r="KH28" s="218">
        <f>KG$28+KH$27</f>
        <v/>
      </c>
      <c r="KI28" s="218">
        <f>KH$28+KI$27</f>
        <v/>
      </c>
      <c r="KJ28" s="218">
        <f>KI$28+KJ$27</f>
        <v/>
      </c>
      <c r="KK28" s="218">
        <f>KJ$28+KK$27</f>
        <v/>
      </c>
      <c r="KL28" s="218">
        <f>KK$28+KL$27</f>
        <v/>
      </c>
      <c r="KM28" s="218">
        <f>KL$28+KM$27</f>
        <v/>
      </c>
      <c r="KN28" s="218">
        <f>KM$28+KN$27</f>
        <v/>
      </c>
      <c r="KO28" s="218">
        <f>KN$28+KO$27</f>
        <v/>
      </c>
      <c r="KP28" s="218">
        <f>KO$28+KP$27</f>
        <v/>
      </c>
      <c r="KQ28" s="218">
        <f>KP$28+KQ$27</f>
        <v/>
      </c>
      <c r="KR28" s="218">
        <f>KQ$28+KR$27</f>
        <v/>
      </c>
      <c r="KS28" s="218">
        <f>KR$28+KS$27</f>
        <v/>
      </c>
      <c r="KT28" s="218">
        <f>KS$28+KT$27</f>
        <v/>
      </c>
      <c r="KU28" s="218">
        <f>KT$28+KU$27</f>
        <v/>
      </c>
      <c r="KV28" s="218">
        <f>KU$28+KV$27</f>
        <v/>
      </c>
      <c r="KW28" s="218">
        <f>KV$28+KW$27</f>
        <v/>
      </c>
      <c r="KX28" s="218">
        <f>KW$28+KX$27</f>
        <v/>
      </c>
      <c r="KY28" s="218">
        <f>KX$28+KY$27</f>
        <v/>
      </c>
      <c r="KZ28" s="218">
        <f>KY$28+KZ$27</f>
        <v/>
      </c>
      <c r="LA28" s="218">
        <f>KZ$28+LA$27</f>
        <v/>
      </c>
      <c r="LB28" s="218">
        <f>LA$28+LB$27</f>
        <v/>
      </c>
      <c r="LC28" s="218">
        <f>LB$28+LC$27</f>
        <v/>
      </c>
      <c r="LD28" s="218">
        <f>LC$28+LD$27</f>
        <v/>
      </c>
      <c r="LE28" s="218">
        <f>LD$28+LE$27</f>
        <v/>
      </c>
      <c r="LF28" s="218">
        <f>LE$28+LF$27</f>
        <v/>
      </c>
      <c r="LG28" s="218">
        <f>LF$28+LG$27</f>
        <v/>
      </c>
      <c r="LH28" s="218">
        <f>LG$28+LH$27</f>
        <v/>
      </c>
      <c r="LI28" s="218">
        <f>LH$28+LI$27</f>
        <v/>
      </c>
      <c r="LJ28" s="218">
        <f>LI$28+LJ$27</f>
        <v/>
      </c>
      <c r="LK28" s="218">
        <f>LJ$28+LK$27</f>
        <v/>
      </c>
      <c r="LL28" s="218">
        <f>LK$28+LL$27</f>
        <v/>
      </c>
      <c r="LM28" s="218">
        <f>LL$28+LM$27</f>
        <v/>
      </c>
      <c r="LN28" s="218">
        <f>LM$28+LN$27</f>
        <v/>
      </c>
      <c r="LO28" s="218">
        <f>LN$28+LO$27</f>
        <v/>
      </c>
      <c r="LP28" s="218">
        <f>LO$28+LP$27</f>
        <v/>
      </c>
      <c r="LQ28" s="218">
        <f>LP$28+LQ$27</f>
        <v/>
      </c>
      <c r="LR28" s="218">
        <f>LQ$28+LR$27</f>
        <v/>
      </c>
      <c r="LS28" s="218">
        <f>LR$28+LS$27</f>
        <v/>
      </c>
      <c r="LT28" s="218">
        <f>LS$28+LT$27</f>
        <v/>
      </c>
      <c r="LU28" s="218">
        <f>LT$28+LU$27</f>
        <v/>
      </c>
      <c r="LV28" s="218">
        <f>LU$28+LV$27</f>
        <v/>
      </c>
      <c r="LW28" s="218">
        <f>LV$28+LW$27</f>
        <v/>
      </c>
      <c r="LX28" s="218">
        <f>LW$28+LX$27</f>
        <v/>
      </c>
      <c r="LY28" s="218">
        <f>LX$28+LY$27</f>
        <v/>
      </c>
      <c r="LZ28" s="218">
        <f>LY$28+LZ$27</f>
        <v/>
      </c>
      <c r="MA28" s="218">
        <f>LZ$28+MA$27</f>
        <v/>
      </c>
      <c r="MB28" s="218">
        <f>MA$28+MB$27</f>
        <v/>
      </c>
      <c r="MC28" s="218">
        <f>MB$28+MC$27</f>
        <v/>
      </c>
      <c r="MD28" s="218">
        <f>MC$28+MD$27</f>
        <v/>
      </c>
      <c r="ME28" s="218">
        <f>MD$28+ME$27</f>
        <v/>
      </c>
      <c r="MF28" s="218">
        <f>ME$28+MF$27</f>
        <v/>
      </c>
      <c r="MG28" s="218">
        <f>MF$28+MG$27</f>
        <v/>
      </c>
      <c r="MH28" s="218">
        <f>MG$28+MH$27</f>
        <v/>
      </c>
      <c r="MI28" s="218">
        <f>MH$28+MI$27</f>
        <v/>
      </c>
      <c r="MJ28" s="218">
        <f>MI$28+MJ$27</f>
        <v/>
      </c>
      <c r="MK28" s="218">
        <f>MJ$28+MK$27</f>
        <v/>
      </c>
      <c r="ML28" s="218">
        <f>MK$28+ML$27</f>
        <v/>
      </c>
      <c r="MM28" s="218">
        <f>ML$28+MM$27</f>
        <v/>
      </c>
      <c r="MN28" s="218">
        <f>MM$28+MN$27</f>
        <v/>
      </c>
      <c r="MO28" s="218">
        <f>MN$28+MO$27</f>
        <v/>
      </c>
      <c r="MP28" s="218">
        <f>MO$28+MP$27</f>
        <v/>
      </c>
      <c r="MQ28" s="218">
        <f>MP$28+MQ$27</f>
        <v/>
      </c>
      <c r="MR28" s="218">
        <f>MQ$28+MR$27</f>
        <v/>
      </c>
      <c r="MS28" s="218">
        <f>MR$28+MS$27</f>
        <v/>
      </c>
      <c r="MT28" s="218">
        <f>MS$28+MT$27</f>
        <v/>
      </c>
      <c r="MU28" s="218">
        <f>MT$28+MU$27</f>
        <v/>
      </c>
      <c r="MV28" s="218">
        <f>MU$28+MV$27</f>
        <v/>
      </c>
      <c r="MW28" s="218">
        <f>MV$28+MW$27</f>
        <v/>
      </c>
      <c r="MX28" s="218">
        <f>MW$28+MX$27</f>
        <v/>
      </c>
      <c r="MY28" s="218">
        <f>MX$28+MY$27</f>
        <v/>
      </c>
      <c r="MZ28" s="218">
        <f>MY$28+MZ$27</f>
        <v/>
      </c>
      <c r="NA28" s="218">
        <f>MZ$28+NA$27</f>
        <v/>
      </c>
      <c r="NB28" s="218">
        <f>NA$28+NB$27</f>
        <v/>
      </c>
      <c r="NC28" s="218">
        <f>NB$28+NC$27</f>
        <v/>
      </c>
      <c r="ND28" s="218">
        <f>NC$28+ND$27</f>
        <v/>
      </c>
      <c r="NE28" s="218">
        <f>ND$28+NE$27</f>
        <v/>
      </c>
      <c r="NF28" s="218">
        <f>NE$28+NF$27</f>
        <v/>
      </c>
      <c r="NG28" s="218">
        <f>NF$28+NG$27</f>
        <v/>
      </c>
      <c r="NH28" s="218">
        <f>NG$28+NH$27</f>
        <v/>
      </c>
      <c r="NI28" s="218">
        <f>NH$28+NI$27</f>
        <v/>
      </c>
      <c r="NJ28" s="218">
        <f>NI$28+NJ$27</f>
        <v/>
      </c>
      <c r="NK28" s="218">
        <f>NJ$28+NK$27</f>
        <v/>
      </c>
      <c r="NL28" s="218">
        <f>NK$28+NL$27</f>
        <v/>
      </c>
    </row>
    <row r="29">
      <c r="B29" s="36" t="inlineStr">
        <is>
          <t>Debt Draw</t>
        </is>
      </c>
      <c r="D29" s="258">
        <f>SUM(E29:NL29)</f>
        <v/>
      </c>
      <c r="E29" s="218">
        <f>E$26-E$27</f>
        <v/>
      </c>
      <c r="F29" s="218">
        <f>F$26-F$27</f>
        <v/>
      </c>
      <c r="G29" s="218">
        <f>G$26-G$27</f>
        <v/>
      </c>
      <c r="H29" s="218">
        <f>H$26-H$27</f>
        <v/>
      </c>
      <c r="I29" s="218">
        <f>I$26-I$27</f>
        <v/>
      </c>
      <c r="J29" s="218">
        <f>J$26-J$27</f>
        <v/>
      </c>
      <c r="K29" s="218">
        <f>K$26-K$27</f>
        <v/>
      </c>
      <c r="L29" s="218">
        <f>L$26-L$27</f>
        <v/>
      </c>
      <c r="M29" s="218">
        <f>M$26-M$27</f>
        <v/>
      </c>
      <c r="N29" s="218">
        <f>N$26-N$27</f>
        <v/>
      </c>
      <c r="O29" s="218">
        <f>O$26-O$27</f>
        <v/>
      </c>
      <c r="P29" s="218">
        <f>P$26-P$27</f>
        <v/>
      </c>
      <c r="Q29" s="218">
        <f>Q$26-Q$27</f>
        <v/>
      </c>
      <c r="R29" s="218">
        <f>R$26-R$27</f>
        <v/>
      </c>
      <c r="S29" s="218">
        <f>S$26-S$27</f>
        <v/>
      </c>
      <c r="T29" s="218">
        <f>T$26-T$27</f>
        <v/>
      </c>
      <c r="U29" s="218">
        <f>U$26-U$27</f>
        <v/>
      </c>
      <c r="V29" s="218">
        <f>V$26-V$27</f>
        <v/>
      </c>
      <c r="W29" s="218">
        <f>W$26-W$27</f>
        <v/>
      </c>
      <c r="X29" s="218">
        <f>X$26-X$27</f>
        <v/>
      </c>
      <c r="Y29" s="218">
        <f>Y$26-Y$27</f>
        <v/>
      </c>
      <c r="Z29" s="218">
        <f>Z$26-Z$27</f>
        <v/>
      </c>
      <c r="AA29" s="218">
        <f>AA$26-AA$27</f>
        <v/>
      </c>
      <c r="AB29" s="218">
        <f>AB$26-AB$27</f>
        <v/>
      </c>
      <c r="AC29" s="218">
        <f>AC$26-AC$27</f>
        <v/>
      </c>
      <c r="AD29" s="218">
        <f>AD$26-AD$27</f>
        <v/>
      </c>
      <c r="AE29" s="218">
        <f>AE$26-AE$27</f>
        <v/>
      </c>
      <c r="AF29" s="218">
        <f>AF$26-AF$27</f>
        <v/>
      </c>
      <c r="AG29" s="218">
        <f>AG$26-AG$27</f>
        <v/>
      </c>
      <c r="AH29" s="218">
        <f>AH$26-AH$27</f>
        <v/>
      </c>
      <c r="AI29" s="218">
        <f>AI$26-AI$27</f>
        <v/>
      </c>
      <c r="AJ29" s="218">
        <f>AJ$26-AJ$27</f>
        <v/>
      </c>
      <c r="AK29" s="218">
        <f>AK$26-AK$27</f>
        <v/>
      </c>
      <c r="AL29" s="218">
        <f>AL$26-AL$27</f>
        <v/>
      </c>
      <c r="AM29" s="218">
        <f>AM$26-AM$27</f>
        <v/>
      </c>
      <c r="AN29" s="218">
        <f>AN$26-AN$27</f>
        <v/>
      </c>
      <c r="AO29" s="218">
        <f>AO$26-AO$27</f>
        <v/>
      </c>
      <c r="AP29" s="218">
        <f>AP$26-AP$27</f>
        <v/>
      </c>
      <c r="AQ29" s="218">
        <f>AQ$26-AQ$27</f>
        <v/>
      </c>
      <c r="AR29" s="218">
        <f>AR$26-AR$27</f>
        <v/>
      </c>
      <c r="AS29" s="218">
        <f>AS$26-AS$27</f>
        <v/>
      </c>
      <c r="AT29" s="218">
        <f>AT$26-AT$27</f>
        <v/>
      </c>
      <c r="AU29" s="218">
        <f>AU$26-AU$27</f>
        <v/>
      </c>
      <c r="AV29" s="218">
        <f>AV$26-AV$27</f>
        <v/>
      </c>
      <c r="AW29" s="218">
        <f>AW$26-AW$27</f>
        <v/>
      </c>
      <c r="AX29" s="218">
        <f>AX$26-AX$27</f>
        <v/>
      </c>
      <c r="AY29" s="218">
        <f>AY$26-AY$27</f>
        <v/>
      </c>
      <c r="AZ29" s="218">
        <f>AZ$26-AZ$27</f>
        <v/>
      </c>
      <c r="BA29" s="218">
        <f>BA$26-BA$27</f>
        <v/>
      </c>
      <c r="BB29" s="218">
        <f>BB$26-BB$27</f>
        <v/>
      </c>
      <c r="BC29" s="218">
        <f>BC$26-BC$27</f>
        <v/>
      </c>
      <c r="BD29" s="218">
        <f>BD$26-BD$27</f>
        <v/>
      </c>
      <c r="BE29" s="218">
        <f>BE$26-BE$27</f>
        <v/>
      </c>
      <c r="BF29" s="218">
        <f>BF$26-BF$27</f>
        <v/>
      </c>
      <c r="BG29" s="218">
        <f>BG$26-BG$27</f>
        <v/>
      </c>
      <c r="BH29" s="218">
        <f>BH$26-BH$27</f>
        <v/>
      </c>
      <c r="BI29" s="218">
        <f>BI$26-BI$27</f>
        <v/>
      </c>
      <c r="BJ29" s="218">
        <f>BJ$26-BJ$27</f>
        <v/>
      </c>
      <c r="BK29" s="218">
        <f>BK$26-BK$27</f>
        <v/>
      </c>
      <c r="BL29" s="218">
        <f>BL$26-BL$27</f>
        <v/>
      </c>
      <c r="BM29" s="218">
        <f>BM$26-BM$27</f>
        <v/>
      </c>
      <c r="BN29" s="218">
        <f>BN$26-BN$27</f>
        <v/>
      </c>
      <c r="BO29" s="218">
        <f>BO$26-BO$27</f>
        <v/>
      </c>
      <c r="BP29" s="218">
        <f>BP$26-BP$27</f>
        <v/>
      </c>
      <c r="BQ29" s="218">
        <f>BQ$26-BQ$27</f>
        <v/>
      </c>
      <c r="BR29" s="218">
        <f>BR$26-BR$27</f>
        <v/>
      </c>
      <c r="BS29" s="218">
        <f>BS$26-BS$27</f>
        <v/>
      </c>
      <c r="BT29" s="218">
        <f>BT$26-BT$27</f>
        <v/>
      </c>
      <c r="BU29" s="218">
        <f>BU$26-BU$27</f>
        <v/>
      </c>
      <c r="BV29" s="218">
        <f>BV$26-BV$27</f>
        <v/>
      </c>
      <c r="BW29" s="218">
        <f>BW$26-BW$27</f>
        <v/>
      </c>
      <c r="BX29" s="218">
        <f>BX$26-BX$27</f>
        <v/>
      </c>
      <c r="BY29" s="218">
        <f>BY$26-BY$27</f>
        <v/>
      </c>
      <c r="BZ29" s="218">
        <f>BZ$26-BZ$27</f>
        <v/>
      </c>
      <c r="CA29" s="218">
        <f>CA$26-CA$27</f>
        <v/>
      </c>
      <c r="CB29" s="218">
        <f>CB$26-CB$27</f>
        <v/>
      </c>
      <c r="CC29" s="218">
        <f>CC$26-CC$27</f>
        <v/>
      </c>
      <c r="CD29" s="218">
        <f>CD$26-CD$27</f>
        <v/>
      </c>
      <c r="CE29" s="218">
        <f>CE$26-CE$27</f>
        <v/>
      </c>
      <c r="CF29" s="218">
        <f>CF$26-CF$27</f>
        <v/>
      </c>
      <c r="CG29" s="218">
        <f>CG$26-CG$27</f>
        <v/>
      </c>
      <c r="CH29" s="218">
        <f>CH$26-CH$27</f>
        <v/>
      </c>
      <c r="CI29" s="218">
        <f>CI$26-CI$27</f>
        <v/>
      </c>
      <c r="CJ29" s="218">
        <f>CJ$26-CJ$27</f>
        <v/>
      </c>
      <c r="CK29" s="218">
        <f>CK$26-CK$27</f>
        <v/>
      </c>
      <c r="CL29" s="218">
        <f>CL$26-CL$27</f>
        <v/>
      </c>
      <c r="CM29" s="218">
        <f>CM$26-CM$27</f>
        <v/>
      </c>
      <c r="CN29" s="218">
        <f>CN$26-CN$27</f>
        <v/>
      </c>
      <c r="CO29" s="218">
        <f>CO$26-CO$27</f>
        <v/>
      </c>
      <c r="CP29" s="218">
        <f>CP$26-CP$27</f>
        <v/>
      </c>
      <c r="CQ29" s="218">
        <f>CQ$26-CQ$27</f>
        <v/>
      </c>
      <c r="CR29" s="218">
        <f>CR$26-CR$27</f>
        <v/>
      </c>
      <c r="CS29" s="218">
        <f>CS$26-CS$27</f>
        <v/>
      </c>
      <c r="CT29" s="218">
        <f>CT$26-CT$27</f>
        <v/>
      </c>
      <c r="CU29" s="218">
        <f>CU$26-CU$27</f>
        <v/>
      </c>
      <c r="CV29" s="218">
        <f>CV$26-CV$27</f>
        <v/>
      </c>
      <c r="CW29" s="218">
        <f>CW$26-CW$27</f>
        <v/>
      </c>
      <c r="CX29" s="218">
        <f>CX$26-CX$27</f>
        <v/>
      </c>
      <c r="CY29" s="218">
        <f>CY$26-CY$27</f>
        <v/>
      </c>
      <c r="CZ29" s="218">
        <f>CZ$26-CZ$27</f>
        <v/>
      </c>
      <c r="DA29" s="218">
        <f>DA$26-DA$27</f>
        <v/>
      </c>
      <c r="DB29" s="218">
        <f>DB$26-DB$27</f>
        <v/>
      </c>
      <c r="DC29" s="218">
        <f>DC$26-DC$27</f>
        <v/>
      </c>
      <c r="DD29" s="218">
        <f>DD$26-DD$27</f>
        <v/>
      </c>
      <c r="DE29" s="218">
        <f>DE$26-DE$27</f>
        <v/>
      </c>
      <c r="DF29" s="218">
        <f>DF$26-DF$27</f>
        <v/>
      </c>
      <c r="DG29" s="218">
        <f>DG$26-DG$27</f>
        <v/>
      </c>
      <c r="DH29" s="218">
        <f>DH$26-DH$27</f>
        <v/>
      </c>
      <c r="DI29" s="218">
        <f>DI$26-DI$27</f>
        <v/>
      </c>
      <c r="DJ29" s="218">
        <f>DJ$26-DJ$27</f>
        <v/>
      </c>
      <c r="DK29" s="218">
        <f>DK$26-DK$27</f>
        <v/>
      </c>
      <c r="DL29" s="218">
        <f>DL$26-DL$27</f>
        <v/>
      </c>
      <c r="DM29" s="218">
        <f>DM$26-DM$27</f>
        <v/>
      </c>
      <c r="DN29" s="218">
        <f>DN$26-DN$27</f>
        <v/>
      </c>
      <c r="DO29" s="218">
        <f>DO$26-DO$27</f>
        <v/>
      </c>
      <c r="DP29" s="218">
        <f>DP$26-DP$27</f>
        <v/>
      </c>
      <c r="DQ29" s="218">
        <f>DQ$26-DQ$27</f>
        <v/>
      </c>
      <c r="DR29" s="218">
        <f>DR$26-DR$27</f>
        <v/>
      </c>
      <c r="DS29" s="218">
        <f>DS$26-DS$27</f>
        <v/>
      </c>
      <c r="DT29" s="218">
        <f>DT$26-DT$27</f>
        <v/>
      </c>
      <c r="DU29" s="218">
        <f>DU$26-DU$27</f>
        <v/>
      </c>
      <c r="DV29" s="218">
        <f>DV$26-DV$27</f>
        <v/>
      </c>
      <c r="DW29" s="218">
        <f>DW$26-DW$27</f>
        <v/>
      </c>
      <c r="DX29" s="218">
        <f>DX$26-DX$27</f>
        <v/>
      </c>
      <c r="DY29" s="218">
        <f>DY$26-DY$27</f>
        <v/>
      </c>
      <c r="DZ29" s="218">
        <f>DZ$26-DZ$27</f>
        <v/>
      </c>
      <c r="EA29" s="218">
        <f>EA$26-EA$27</f>
        <v/>
      </c>
      <c r="EB29" s="218">
        <f>EB$26-EB$27</f>
        <v/>
      </c>
      <c r="EC29" s="218">
        <f>EC$26-EC$27</f>
        <v/>
      </c>
      <c r="ED29" s="218">
        <f>ED$26-ED$27</f>
        <v/>
      </c>
      <c r="EE29" s="218">
        <f>EE$26-EE$27</f>
        <v/>
      </c>
      <c r="EF29" s="218">
        <f>EF$26-EF$27</f>
        <v/>
      </c>
      <c r="EG29" s="218">
        <f>EG$26-EG$27</f>
        <v/>
      </c>
      <c r="EH29" s="218">
        <f>EH$26-EH$27</f>
        <v/>
      </c>
      <c r="EI29" s="218">
        <f>EI$26-EI$27</f>
        <v/>
      </c>
      <c r="EJ29" s="218">
        <f>EJ$26-EJ$27</f>
        <v/>
      </c>
      <c r="EK29" s="218">
        <f>EK$26-EK$27</f>
        <v/>
      </c>
      <c r="EL29" s="218">
        <f>EL$26-EL$27</f>
        <v/>
      </c>
      <c r="EM29" s="218">
        <f>EM$26-EM$27</f>
        <v/>
      </c>
      <c r="EN29" s="218">
        <f>EN$26-EN$27</f>
        <v/>
      </c>
      <c r="EO29" s="218">
        <f>EO$26-EO$27</f>
        <v/>
      </c>
      <c r="EP29" s="218">
        <f>EP$26-EP$27</f>
        <v/>
      </c>
      <c r="EQ29" s="218">
        <f>EQ$26-EQ$27</f>
        <v/>
      </c>
      <c r="ER29" s="218">
        <f>ER$26-ER$27</f>
        <v/>
      </c>
      <c r="ES29" s="218">
        <f>ES$26-ES$27</f>
        <v/>
      </c>
      <c r="ET29" s="218">
        <f>ET$26-ET$27</f>
        <v/>
      </c>
      <c r="EU29" s="218">
        <f>EU$26-EU$27</f>
        <v/>
      </c>
      <c r="EV29" s="218">
        <f>EV$26-EV$27</f>
        <v/>
      </c>
      <c r="EW29" s="218">
        <f>EW$26-EW$27</f>
        <v/>
      </c>
      <c r="EX29" s="218">
        <f>EX$26-EX$27</f>
        <v/>
      </c>
      <c r="EY29" s="218">
        <f>EY$26-EY$27</f>
        <v/>
      </c>
      <c r="EZ29" s="218">
        <f>EZ$26-EZ$27</f>
        <v/>
      </c>
      <c r="FA29" s="218">
        <f>FA$26-FA$27</f>
        <v/>
      </c>
      <c r="FB29" s="218">
        <f>FB$26-FB$27</f>
        <v/>
      </c>
      <c r="FC29" s="218">
        <f>FC$26-FC$27</f>
        <v/>
      </c>
      <c r="FD29" s="218">
        <f>FD$26-FD$27</f>
        <v/>
      </c>
      <c r="FE29" s="218">
        <f>FE$26-FE$27</f>
        <v/>
      </c>
      <c r="FF29" s="218">
        <f>FF$26-FF$27</f>
        <v/>
      </c>
      <c r="FG29" s="218">
        <f>FG$26-FG$27</f>
        <v/>
      </c>
      <c r="FH29" s="218">
        <f>FH$26-FH$27</f>
        <v/>
      </c>
      <c r="FI29" s="218">
        <f>FI$26-FI$27</f>
        <v/>
      </c>
      <c r="FJ29" s="218">
        <f>FJ$26-FJ$27</f>
        <v/>
      </c>
      <c r="FK29" s="218">
        <f>FK$26-FK$27</f>
        <v/>
      </c>
      <c r="FL29" s="218">
        <f>FL$26-FL$27</f>
        <v/>
      </c>
      <c r="FM29" s="218">
        <f>FM$26-FM$27</f>
        <v/>
      </c>
      <c r="FN29" s="218">
        <f>FN$26-FN$27</f>
        <v/>
      </c>
      <c r="FO29" s="218">
        <f>FO$26-FO$27</f>
        <v/>
      </c>
      <c r="FP29" s="218">
        <f>FP$26-FP$27</f>
        <v/>
      </c>
      <c r="FQ29" s="218">
        <f>FQ$26-FQ$27</f>
        <v/>
      </c>
      <c r="FR29" s="218">
        <f>FR$26-FR$27</f>
        <v/>
      </c>
      <c r="FS29" s="218">
        <f>FS$26-FS$27</f>
        <v/>
      </c>
      <c r="FT29" s="218">
        <f>FT$26-FT$27</f>
        <v/>
      </c>
      <c r="FU29" s="218">
        <f>FU$26-FU$27</f>
        <v/>
      </c>
      <c r="FV29" s="218">
        <f>FV$26-FV$27</f>
        <v/>
      </c>
      <c r="FW29" s="218">
        <f>FW$26-FW$27</f>
        <v/>
      </c>
      <c r="FX29" s="218">
        <f>FX$26-FX$27</f>
        <v/>
      </c>
      <c r="FY29" s="218">
        <f>FY$26-FY$27</f>
        <v/>
      </c>
      <c r="FZ29" s="218">
        <f>FZ$26-FZ$27</f>
        <v/>
      </c>
      <c r="GA29" s="218">
        <f>GA$26-GA$27</f>
        <v/>
      </c>
      <c r="GB29" s="218">
        <f>GB$26-GB$27</f>
        <v/>
      </c>
      <c r="GC29" s="218">
        <f>GC$26-GC$27</f>
        <v/>
      </c>
      <c r="GD29" s="218">
        <f>GD$26-GD$27</f>
        <v/>
      </c>
      <c r="GE29" s="218">
        <f>GE$26-GE$27</f>
        <v/>
      </c>
      <c r="GF29" s="218">
        <f>GF$26-GF$27</f>
        <v/>
      </c>
      <c r="GG29" s="218">
        <f>GG$26-GG$27</f>
        <v/>
      </c>
      <c r="GH29" s="218">
        <f>GH$26-GH$27</f>
        <v/>
      </c>
      <c r="GI29" s="218">
        <f>GI$26-GI$27</f>
        <v/>
      </c>
      <c r="GJ29" s="218">
        <f>GJ$26-GJ$27</f>
        <v/>
      </c>
      <c r="GK29" s="218">
        <f>GK$26-GK$27</f>
        <v/>
      </c>
      <c r="GL29" s="218">
        <f>GL$26-GL$27</f>
        <v/>
      </c>
      <c r="GM29" s="218">
        <f>GM$26-GM$27</f>
        <v/>
      </c>
      <c r="GN29" s="218">
        <f>GN$26-GN$27</f>
        <v/>
      </c>
      <c r="GO29" s="218">
        <f>GO$26-GO$27</f>
        <v/>
      </c>
      <c r="GP29" s="218">
        <f>GP$26-GP$27</f>
        <v/>
      </c>
      <c r="GQ29" s="218">
        <f>GQ$26-GQ$27</f>
        <v/>
      </c>
      <c r="GR29" s="218">
        <f>GR$26-GR$27</f>
        <v/>
      </c>
      <c r="GS29" s="218">
        <f>GS$26-GS$27</f>
        <v/>
      </c>
      <c r="GT29" s="218">
        <f>GT$26-GT$27</f>
        <v/>
      </c>
      <c r="GU29" s="218">
        <f>GU$26-GU$27</f>
        <v/>
      </c>
      <c r="GV29" s="218">
        <f>GV$26-GV$27</f>
        <v/>
      </c>
      <c r="GW29" s="218">
        <f>GW$26-GW$27</f>
        <v/>
      </c>
      <c r="GX29" s="218">
        <f>GX$26-GX$27</f>
        <v/>
      </c>
      <c r="GY29" s="218">
        <f>GY$26-GY$27</f>
        <v/>
      </c>
      <c r="GZ29" s="218">
        <f>GZ$26-GZ$27</f>
        <v/>
      </c>
      <c r="HA29" s="218">
        <f>HA$26-HA$27</f>
        <v/>
      </c>
      <c r="HB29" s="218">
        <f>HB$26-HB$27</f>
        <v/>
      </c>
      <c r="HC29" s="218">
        <f>HC$26-HC$27</f>
        <v/>
      </c>
      <c r="HD29" s="218">
        <f>HD$26-HD$27</f>
        <v/>
      </c>
      <c r="HE29" s="218">
        <f>HE$26-HE$27</f>
        <v/>
      </c>
      <c r="HF29" s="218">
        <f>HF$26-HF$27</f>
        <v/>
      </c>
      <c r="HG29" s="218">
        <f>HG$26-HG$27</f>
        <v/>
      </c>
      <c r="HH29" s="218">
        <f>HH$26-HH$27</f>
        <v/>
      </c>
      <c r="HI29" s="218">
        <f>HI$26-HI$27</f>
        <v/>
      </c>
      <c r="HJ29" s="218">
        <f>HJ$26-HJ$27</f>
        <v/>
      </c>
      <c r="HK29" s="218">
        <f>HK$26-HK$27</f>
        <v/>
      </c>
      <c r="HL29" s="218">
        <f>HL$26-HL$27</f>
        <v/>
      </c>
      <c r="HM29" s="218">
        <f>HM$26-HM$27</f>
        <v/>
      </c>
      <c r="HN29" s="218">
        <f>HN$26-HN$27</f>
        <v/>
      </c>
      <c r="HO29" s="218">
        <f>HO$26-HO$27</f>
        <v/>
      </c>
      <c r="HP29" s="218">
        <f>HP$26-HP$27</f>
        <v/>
      </c>
      <c r="HQ29" s="218">
        <f>HQ$26-HQ$27</f>
        <v/>
      </c>
      <c r="HR29" s="218">
        <f>HR$26-HR$27</f>
        <v/>
      </c>
      <c r="HS29" s="218">
        <f>HS$26-HS$27</f>
        <v/>
      </c>
      <c r="HT29" s="218">
        <f>HT$26-HT$27</f>
        <v/>
      </c>
      <c r="HU29" s="218">
        <f>HU$26-HU$27</f>
        <v/>
      </c>
      <c r="HV29" s="218">
        <f>HV$26-HV$27</f>
        <v/>
      </c>
      <c r="HW29" s="218">
        <f>HW$26-HW$27</f>
        <v/>
      </c>
      <c r="HX29" s="218">
        <f>HX$26-HX$27</f>
        <v/>
      </c>
      <c r="HY29" s="218">
        <f>HY$26-HY$27</f>
        <v/>
      </c>
      <c r="HZ29" s="218">
        <f>HZ$26-HZ$27</f>
        <v/>
      </c>
      <c r="IA29" s="218">
        <f>IA$26-IA$27</f>
        <v/>
      </c>
      <c r="IB29" s="218">
        <f>IB$26-IB$27</f>
        <v/>
      </c>
      <c r="IC29" s="218">
        <f>IC$26-IC$27</f>
        <v/>
      </c>
      <c r="ID29" s="218">
        <f>ID$26-ID$27</f>
        <v/>
      </c>
      <c r="IE29" s="218">
        <f>IE$26-IE$27</f>
        <v/>
      </c>
      <c r="IF29" s="218">
        <f>IF$26-IF$27</f>
        <v/>
      </c>
      <c r="IG29" s="218">
        <f>IG$26-IG$27</f>
        <v/>
      </c>
      <c r="IH29" s="218">
        <f>IH$26-IH$27</f>
        <v/>
      </c>
      <c r="II29" s="218">
        <f>II$26-II$27</f>
        <v/>
      </c>
      <c r="IJ29" s="218">
        <f>IJ$26-IJ$27</f>
        <v/>
      </c>
      <c r="IK29" s="218">
        <f>IK$26-IK$27</f>
        <v/>
      </c>
      <c r="IL29" s="218">
        <f>IL$26-IL$27</f>
        <v/>
      </c>
      <c r="IM29" s="218">
        <f>IM$26-IM$27</f>
        <v/>
      </c>
      <c r="IN29" s="218">
        <f>IN$26-IN$27</f>
        <v/>
      </c>
      <c r="IO29" s="218">
        <f>IO$26-IO$27</f>
        <v/>
      </c>
      <c r="IP29" s="218">
        <f>IP$26-IP$27</f>
        <v/>
      </c>
      <c r="IQ29" s="218">
        <f>IQ$26-IQ$27</f>
        <v/>
      </c>
      <c r="IR29" s="218">
        <f>IR$26-IR$27</f>
        <v/>
      </c>
      <c r="IS29" s="218">
        <f>IS$26-IS$27</f>
        <v/>
      </c>
      <c r="IT29" s="218">
        <f>IT$26-IT$27</f>
        <v/>
      </c>
      <c r="IU29" s="218">
        <f>IU$26-IU$27</f>
        <v/>
      </c>
      <c r="IV29" s="218">
        <f>IV$26-IV$27</f>
        <v/>
      </c>
      <c r="IW29" s="218">
        <f>IW$26-IW$27</f>
        <v/>
      </c>
      <c r="IX29" s="218">
        <f>IX$26-IX$27</f>
        <v/>
      </c>
      <c r="IY29" s="218">
        <f>IY$26-IY$27</f>
        <v/>
      </c>
      <c r="IZ29" s="218">
        <f>IZ$26-IZ$27</f>
        <v/>
      </c>
      <c r="JA29" s="218">
        <f>JA$26-JA$27</f>
        <v/>
      </c>
      <c r="JB29" s="218">
        <f>JB$26-JB$27</f>
        <v/>
      </c>
      <c r="JC29" s="218">
        <f>JC$26-JC$27</f>
        <v/>
      </c>
      <c r="JD29" s="218">
        <f>JD$26-JD$27</f>
        <v/>
      </c>
      <c r="JE29" s="218">
        <f>JE$26-JE$27</f>
        <v/>
      </c>
      <c r="JF29" s="218">
        <f>JF$26-JF$27</f>
        <v/>
      </c>
      <c r="JG29" s="218">
        <f>JG$26-JG$27</f>
        <v/>
      </c>
      <c r="JH29" s="218">
        <f>JH$26-JH$27</f>
        <v/>
      </c>
      <c r="JI29" s="218">
        <f>JI$26-JI$27</f>
        <v/>
      </c>
      <c r="JJ29" s="218">
        <f>JJ$26-JJ$27</f>
        <v/>
      </c>
      <c r="JK29" s="218">
        <f>JK$26-JK$27</f>
        <v/>
      </c>
      <c r="JL29" s="218">
        <f>JL$26-JL$27</f>
        <v/>
      </c>
      <c r="JM29" s="218">
        <f>JM$26-JM$27</f>
        <v/>
      </c>
      <c r="JN29" s="218">
        <f>JN$26-JN$27</f>
        <v/>
      </c>
      <c r="JO29" s="218">
        <f>JO$26-JO$27</f>
        <v/>
      </c>
      <c r="JP29" s="218">
        <f>JP$26-JP$27</f>
        <v/>
      </c>
      <c r="JQ29" s="218">
        <f>JQ$26-JQ$27</f>
        <v/>
      </c>
      <c r="JR29" s="218">
        <f>JR$26-JR$27</f>
        <v/>
      </c>
      <c r="JS29" s="218">
        <f>JS$26-JS$27</f>
        <v/>
      </c>
      <c r="JT29" s="218">
        <f>JT$26-JT$27</f>
        <v/>
      </c>
      <c r="JU29" s="218">
        <f>JU$26-JU$27</f>
        <v/>
      </c>
      <c r="JV29" s="218">
        <f>JV$26-JV$27</f>
        <v/>
      </c>
      <c r="JW29" s="218">
        <f>JW$26-JW$27</f>
        <v/>
      </c>
      <c r="JX29" s="218">
        <f>JX$26-JX$27</f>
        <v/>
      </c>
      <c r="JY29" s="218">
        <f>JY$26-JY$27</f>
        <v/>
      </c>
      <c r="JZ29" s="218">
        <f>JZ$26-JZ$27</f>
        <v/>
      </c>
      <c r="KA29" s="218">
        <f>KA$26-KA$27</f>
        <v/>
      </c>
      <c r="KB29" s="218">
        <f>KB$26-KB$27</f>
        <v/>
      </c>
      <c r="KC29" s="218">
        <f>KC$26-KC$27</f>
        <v/>
      </c>
      <c r="KD29" s="218">
        <f>KD$26-KD$27</f>
        <v/>
      </c>
      <c r="KE29" s="218">
        <f>KE$26-KE$27</f>
        <v/>
      </c>
      <c r="KF29" s="218">
        <f>KF$26-KF$27</f>
        <v/>
      </c>
      <c r="KG29" s="218">
        <f>KG$26-KG$27</f>
        <v/>
      </c>
      <c r="KH29" s="218">
        <f>KH$26-KH$27</f>
        <v/>
      </c>
      <c r="KI29" s="218">
        <f>KI$26-KI$27</f>
        <v/>
      </c>
      <c r="KJ29" s="218">
        <f>KJ$26-KJ$27</f>
        <v/>
      </c>
      <c r="KK29" s="218">
        <f>KK$26-KK$27</f>
        <v/>
      </c>
      <c r="KL29" s="218">
        <f>KL$26-KL$27</f>
        <v/>
      </c>
      <c r="KM29" s="218">
        <f>KM$26-KM$27</f>
        <v/>
      </c>
      <c r="KN29" s="218">
        <f>KN$26-KN$27</f>
        <v/>
      </c>
      <c r="KO29" s="218">
        <f>KO$26-KO$27</f>
        <v/>
      </c>
      <c r="KP29" s="218">
        <f>KP$26-KP$27</f>
        <v/>
      </c>
      <c r="KQ29" s="218">
        <f>KQ$26-KQ$27</f>
        <v/>
      </c>
      <c r="KR29" s="218">
        <f>KR$26-KR$27</f>
        <v/>
      </c>
      <c r="KS29" s="218">
        <f>KS$26-KS$27</f>
        <v/>
      </c>
      <c r="KT29" s="218">
        <f>KT$26-KT$27</f>
        <v/>
      </c>
      <c r="KU29" s="218">
        <f>KU$26-KU$27</f>
        <v/>
      </c>
      <c r="KV29" s="218">
        <f>KV$26-KV$27</f>
        <v/>
      </c>
      <c r="KW29" s="218">
        <f>KW$26-KW$27</f>
        <v/>
      </c>
      <c r="KX29" s="218">
        <f>KX$26-KX$27</f>
        <v/>
      </c>
      <c r="KY29" s="218">
        <f>KY$26-KY$27</f>
        <v/>
      </c>
      <c r="KZ29" s="218">
        <f>KZ$26-KZ$27</f>
        <v/>
      </c>
      <c r="LA29" s="218">
        <f>LA$26-LA$27</f>
        <v/>
      </c>
      <c r="LB29" s="218">
        <f>LB$26-LB$27</f>
        <v/>
      </c>
      <c r="LC29" s="218">
        <f>LC$26-LC$27</f>
        <v/>
      </c>
      <c r="LD29" s="218">
        <f>LD$26-LD$27</f>
        <v/>
      </c>
      <c r="LE29" s="218">
        <f>LE$26-LE$27</f>
        <v/>
      </c>
      <c r="LF29" s="218">
        <f>LF$26-LF$27</f>
        <v/>
      </c>
      <c r="LG29" s="218">
        <f>LG$26-LG$27</f>
        <v/>
      </c>
      <c r="LH29" s="218">
        <f>LH$26-LH$27</f>
        <v/>
      </c>
      <c r="LI29" s="218">
        <f>LI$26-LI$27</f>
        <v/>
      </c>
      <c r="LJ29" s="218">
        <f>LJ$26-LJ$27</f>
        <v/>
      </c>
      <c r="LK29" s="218">
        <f>LK$26-LK$27</f>
        <v/>
      </c>
      <c r="LL29" s="218">
        <f>LL$26-LL$27</f>
        <v/>
      </c>
      <c r="LM29" s="218">
        <f>LM$26-LM$27</f>
        <v/>
      </c>
      <c r="LN29" s="218">
        <f>LN$26-LN$27</f>
        <v/>
      </c>
      <c r="LO29" s="218">
        <f>LO$26-LO$27</f>
        <v/>
      </c>
      <c r="LP29" s="218">
        <f>LP$26-LP$27</f>
        <v/>
      </c>
      <c r="LQ29" s="218">
        <f>LQ$26-LQ$27</f>
        <v/>
      </c>
      <c r="LR29" s="218">
        <f>LR$26-LR$27</f>
        <v/>
      </c>
      <c r="LS29" s="218">
        <f>LS$26-LS$27</f>
        <v/>
      </c>
      <c r="LT29" s="218">
        <f>LT$26-LT$27</f>
        <v/>
      </c>
      <c r="LU29" s="218">
        <f>LU$26-LU$27</f>
        <v/>
      </c>
      <c r="LV29" s="218">
        <f>LV$26-LV$27</f>
        <v/>
      </c>
      <c r="LW29" s="218">
        <f>LW$26-LW$27</f>
        <v/>
      </c>
      <c r="LX29" s="218">
        <f>LX$26-LX$27</f>
        <v/>
      </c>
      <c r="LY29" s="218">
        <f>LY$26-LY$27</f>
        <v/>
      </c>
      <c r="LZ29" s="218">
        <f>LZ$26-LZ$27</f>
        <v/>
      </c>
      <c r="MA29" s="218">
        <f>MA$26-MA$27</f>
        <v/>
      </c>
      <c r="MB29" s="218">
        <f>MB$26-MB$27</f>
        <v/>
      </c>
      <c r="MC29" s="218">
        <f>MC$26-MC$27</f>
        <v/>
      </c>
      <c r="MD29" s="218">
        <f>MD$26-MD$27</f>
        <v/>
      </c>
      <c r="ME29" s="218">
        <f>ME$26-ME$27</f>
        <v/>
      </c>
      <c r="MF29" s="218">
        <f>MF$26-MF$27</f>
        <v/>
      </c>
      <c r="MG29" s="218">
        <f>MG$26-MG$27</f>
        <v/>
      </c>
      <c r="MH29" s="218">
        <f>MH$26-MH$27</f>
        <v/>
      </c>
      <c r="MI29" s="218">
        <f>MI$26-MI$27</f>
        <v/>
      </c>
      <c r="MJ29" s="218">
        <f>MJ$26-MJ$27</f>
        <v/>
      </c>
      <c r="MK29" s="218">
        <f>MK$26-MK$27</f>
        <v/>
      </c>
      <c r="ML29" s="218">
        <f>ML$26-ML$27</f>
        <v/>
      </c>
      <c r="MM29" s="218">
        <f>MM$26-MM$27</f>
        <v/>
      </c>
      <c r="MN29" s="218">
        <f>MN$26-MN$27</f>
        <v/>
      </c>
      <c r="MO29" s="218">
        <f>MO$26-MO$27</f>
        <v/>
      </c>
      <c r="MP29" s="218">
        <f>MP$26-MP$27</f>
        <v/>
      </c>
      <c r="MQ29" s="218">
        <f>MQ$26-MQ$27</f>
        <v/>
      </c>
      <c r="MR29" s="218">
        <f>MR$26-MR$27</f>
        <v/>
      </c>
      <c r="MS29" s="218">
        <f>MS$26-MS$27</f>
        <v/>
      </c>
      <c r="MT29" s="218">
        <f>MT$26-MT$27</f>
        <v/>
      </c>
      <c r="MU29" s="218">
        <f>MU$26-MU$27</f>
        <v/>
      </c>
      <c r="MV29" s="218">
        <f>MV$26-MV$27</f>
        <v/>
      </c>
      <c r="MW29" s="218">
        <f>MW$26-MW$27</f>
        <v/>
      </c>
      <c r="MX29" s="218">
        <f>MX$26-MX$27</f>
        <v/>
      </c>
      <c r="MY29" s="218">
        <f>MY$26-MY$27</f>
        <v/>
      </c>
      <c r="MZ29" s="218">
        <f>MZ$26-MZ$27</f>
        <v/>
      </c>
      <c r="NA29" s="218">
        <f>NA$26-NA$27</f>
        <v/>
      </c>
      <c r="NB29" s="218">
        <f>NB$26-NB$27</f>
        <v/>
      </c>
      <c r="NC29" s="218">
        <f>NC$26-NC$27</f>
        <v/>
      </c>
      <c r="ND29" s="218">
        <f>ND$26-ND$27</f>
        <v/>
      </c>
      <c r="NE29" s="218">
        <f>NE$26-NE$27</f>
        <v/>
      </c>
      <c r="NF29" s="218">
        <f>NF$26-NF$27</f>
        <v/>
      </c>
      <c r="NG29" s="218">
        <f>NG$26-NG$27</f>
        <v/>
      </c>
      <c r="NH29" s="218">
        <f>NH$26-NH$27</f>
        <v/>
      </c>
      <c r="NI29" s="218">
        <f>NI$26-NI$27</f>
        <v/>
      </c>
      <c r="NJ29" s="218">
        <f>NJ$26-NJ$27</f>
        <v/>
      </c>
      <c r="NK29" s="218">
        <f>NK$26-NK$27</f>
        <v/>
      </c>
      <c r="NL29" s="218">
        <f>NL$26-NL$27</f>
        <v/>
      </c>
    </row>
    <row r="30">
      <c r="B30" s="36" t="inlineStr">
        <is>
          <t>Monthly Interest Rate</t>
        </is>
      </c>
      <c r="D30" s="259" t="n"/>
      <c r="E30" s="260">
        <f>IF(Timeline!E$42=1,IF(ConActual360=1,ConRate*E$25/360,ConRate/12),0)</f>
        <v/>
      </c>
      <c r="F30" s="260">
        <f>IF(Timeline!F$42=1,IF(ConActual360=1,ConRate*F$25/360,ConRate/12),0)</f>
        <v/>
      </c>
      <c r="G30" s="260">
        <f>IF(Timeline!G$42=1,IF(ConActual360=1,ConRate*G$25/360,ConRate/12),0)</f>
        <v/>
      </c>
      <c r="H30" s="260">
        <f>IF(Timeline!H$42=1,IF(ConActual360=1,ConRate*H$25/360,ConRate/12),0)</f>
        <v/>
      </c>
      <c r="I30" s="260">
        <f>IF(Timeline!I$42=1,IF(ConActual360=1,ConRate*I$25/360,ConRate/12),0)</f>
        <v/>
      </c>
      <c r="J30" s="260">
        <f>IF(Timeline!J$42=1,IF(ConActual360=1,ConRate*J$25/360,ConRate/12),0)</f>
        <v/>
      </c>
      <c r="K30" s="260">
        <f>IF(Timeline!K$42=1,IF(ConActual360=1,ConRate*K$25/360,ConRate/12),0)</f>
        <v/>
      </c>
      <c r="L30" s="260">
        <f>IF(Timeline!L$42=1,IF(ConActual360=1,ConRate*L$25/360,ConRate/12),0)</f>
        <v/>
      </c>
      <c r="M30" s="260">
        <f>IF(Timeline!M$42=1,IF(ConActual360=1,ConRate*M$25/360,ConRate/12),0)</f>
        <v/>
      </c>
      <c r="N30" s="260">
        <f>IF(Timeline!N$42=1,IF(ConActual360=1,ConRate*N$25/360,ConRate/12),0)</f>
        <v/>
      </c>
      <c r="O30" s="260">
        <f>IF(Timeline!O$42=1,IF(ConActual360=1,ConRate*O$25/360,ConRate/12),0)</f>
        <v/>
      </c>
      <c r="P30" s="260">
        <f>IF(Timeline!P$42=1,IF(ConActual360=1,ConRate*P$25/360,ConRate/12),0)</f>
        <v/>
      </c>
      <c r="Q30" s="260">
        <f>IF(Timeline!Q$42=1,IF(ConActual360=1,ConRate*Q$25/360,ConRate/12),0)</f>
        <v/>
      </c>
      <c r="R30" s="260">
        <f>IF(Timeline!R$42=1,IF(ConActual360=1,ConRate*R$25/360,ConRate/12),0)</f>
        <v/>
      </c>
      <c r="S30" s="260">
        <f>IF(Timeline!S$42=1,IF(ConActual360=1,ConRate*S$25/360,ConRate/12),0)</f>
        <v/>
      </c>
      <c r="T30" s="260">
        <f>IF(Timeline!T$42=1,IF(ConActual360=1,ConRate*T$25/360,ConRate/12),0)</f>
        <v/>
      </c>
      <c r="U30" s="260">
        <f>IF(Timeline!U$42=1,IF(ConActual360=1,ConRate*U$25/360,ConRate/12),0)</f>
        <v/>
      </c>
      <c r="V30" s="260">
        <f>IF(Timeline!V$42=1,IF(ConActual360=1,ConRate*V$25/360,ConRate/12),0)</f>
        <v/>
      </c>
      <c r="W30" s="260">
        <f>IF(Timeline!W$42=1,IF(ConActual360=1,ConRate*W$25/360,ConRate/12),0)</f>
        <v/>
      </c>
      <c r="X30" s="260">
        <f>IF(Timeline!X$42=1,IF(ConActual360=1,ConRate*X$25/360,ConRate/12),0)</f>
        <v/>
      </c>
      <c r="Y30" s="260">
        <f>IF(Timeline!Y$42=1,IF(ConActual360=1,ConRate*Y$25/360,ConRate/12),0)</f>
        <v/>
      </c>
      <c r="Z30" s="260">
        <f>IF(Timeline!Z$42=1,IF(ConActual360=1,ConRate*Z$25/360,ConRate/12),0)</f>
        <v/>
      </c>
      <c r="AA30" s="260">
        <f>IF(Timeline!AA$42=1,IF(ConActual360=1,ConRate*AA$25/360,ConRate/12),0)</f>
        <v/>
      </c>
      <c r="AB30" s="260">
        <f>IF(Timeline!AB$42=1,IF(ConActual360=1,ConRate*AB$25/360,ConRate/12),0)</f>
        <v/>
      </c>
      <c r="AC30" s="260">
        <f>IF(Timeline!AC$42=1,IF(ConActual360=1,ConRate*AC$25/360,ConRate/12),0)</f>
        <v/>
      </c>
      <c r="AD30" s="260">
        <f>IF(Timeline!AD$42=1,IF(ConActual360=1,ConRate*AD$25/360,ConRate/12),0)</f>
        <v/>
      </c>
      <c r="AE30" s="260">
        <f>IF(Timeline!AE$42=1,IF(ConActual360=1,ConRate*AE$25/360,ConRate/12),0)</f>
        <v/>
      </c>
      <c r="AF30" s="260">
        <f>IF(Timeline!AF$42=1,IF(ConActual360=1,ConRate*AF$25/360,ConRate/12),0)</f>
        <v/>
      </c>
      <c r="AG30" s="260">
        <f>IF(Timeline!AG$42=1,IF(ConActual360=1,ConRate*AG$25/360,ConRate/12),0)</f>
        <v/>
      </c>
      <c r="AH30" s="260">
        <f>IF(Timeline!AH$42=1,IF(ConActual360=1,ConRate*AH$25/360,ConRate/12),0)</f>
        <v/>
      </c>
      <c r="AI30" s="260">
        <f>IF(Timeline!AI$42=1,IF(ConActual360=1,ConRate*AI$25/360,ConRate/12),0)</f>
        <v/>
      </c>
      <c r="AJ30" s="260">
        <f>IF(Timeline!AJ$42=1,IF(ConActual360=1,ConRate*AJ$25/360,ConRate/12),0)</f>
        <v/>
      </c>
      <c r="AK30" s="260">
        <f>IF(Timeline!AK$42=1,IF(ConActual360=1,ConRate*AK$25/360,ConRate/12),0)</f>
        <v/>
      </c>
      <c r="AL30" s="260">
        <f>IF(Timeline!AL$42=1,IF(ConActual360=1,ConRate*AL$25/360,ConRate/12),0)</f>
        <v/>
      </c>
      <c r="AM30" s="260">
        <f>IF(Timeline!AM$42=1,IF(ConActual360=1,ConRate*AM$25/360,ConRate/12),0)</f>
        <v/>
      </c>
      <c r="AN30" s="260">
        <f>IF(Timeline!AN$42=1,IF(ConActual360=1,ConRate*AN$25/360,ConRate/12),0)</f>
        <v/>
      </c>
      <c r="AO30" s="260">
        <f>IF(Timeline!AO$42=1,IF(ConActual360=1,ConRate*AO$25/360,ConRate/12),0)</f>
        <v/>
      </c>
      <c r="AP30" s="260">
        <f>IF(Timeline!AP$42=1,IF(ConActual360=1,ConRate*AP$25/360,ConRate/12),0)</f>
        <v/>
      </c>
      <c r="AQ30" s="260">
        <f>IF(Timeline!AQ$42=1,IF(ConActual360=1,ConRate*AQ$25/360,ConRate/12),0)</f>
        <v/>
      </c>
      <c r="AR30" s="260">
        <f>IF(Timeline!AR$42=1,IF(ConActual360=1,ConRate*AR$25/360,ConRate/12),0)</f>
        <v/>
      </c>
      <c r="AS30" s="260">
        <f>IF(Timeline!AS$42=1,IF(ConActual360=1,ConRate*AS$25/360,ConRate/12),0)</f>
        <v/>
      </c>
      <c r="AT30" s="260">
        <f>IF(Timeline!AT$42=1,IF(ConActual360=1,ConRate*AT$25/360,ConRate/12),0)</f>
        <v/>
      </c>
      <c r="AU30" s="260">
        <f>IF(Timeline!AU$42=1,IF(ConActual360=1,ConRate*AU$25/360,ConRate/12),0)</f>
        <v/>
      </c>
      <c r="AV30" s="260">
        <f>IF(Timeline!AV$42=1,IF(ConActual360=1,ConRate*AV$25/360,ConRate/12),0)</f>
        <v/>
      </c>
      <c r="AW30" s="260">
        <f>IF(Timeline!AW$42=1,IF(ConActual360=1,ConRate*AW$25/360,ConRate/12),0)</f>
        <v/>
      </c>
      <c r="AX30" s="260">
        <f>IF(Timeline!AX$42=1,IF(ConActual360=1,ConRate*AX$25/360,ConRate/12),0)</f>
        <v/>
      </c>
      <c r="AY30" s="260">
        <f>IF(Timeline!AY$42=1,IF(ConActual360=1,ConRate*AY$25/360,ConRate/12),0)</f>
        <v/>
      </c>
      <c r="AZ30" s="260">
        <f>IF(Timeline!AZ$42=1,IF(ConActual360=1,ConRate*AZ$25/360,ConRate/12),0)</f>
        <v/>
      </c>
      <c r="BA30" s="260">
        <f>IF(Timeline!BA$42=1,IF(ConActual360=1,ConRate*BA$25/360,ConRate/12),0)</f>
        <v/>
      </c>
      <c r="BB30" s="260">
        <f>IF(Timeline!BB$42=1,IF(ConActual360=1,ConRate*BB$25/360,ConRate/12),0)</f>
        <v/>
      </c>
      <c r="BC30" s="260">
        <f>IF(Timeline!BC$42=1,IF(ConActual360=1,ConRate*BC$25/360,ConRate/12),0)</f>
        <v/>
      </c>
      <c r="BD30" s="260">
        <f>IF(Timeline!BD$42=1,IF(ConActual360=1,ConRate*BD$25/360,ConRate/12),0)</f>
        <v/>
      </c>
      <c r="BE30" s="260">
        <f>IF(Timeline!BE$42=1,IF(ConActual360=1,ConRate*BE$25/360,ConRate/12),0)</f>
        <v/>
      </c>
      <c r="BF30" s="260">
        <f>IF(Timeline!BF$42=1,IF(ConActual360=1,ConRate*BF$25/360,ConRate/12),0)</f>
        <v/>
      </c>
      <c r="BG30" s="260">
        <f>IF(Timeline!BG$42=1,IF(ConActual360=1,ConRate*BG$25/360,ConRate/12),0)</f>
        <v/>
      </c>
      <c r="BH30" s="260">
        <f>IF(Timeline!BH$42=1,IF(ConActual360=1,ConRate*BH$25/360,ConRate/12),0)</f>
        <v/>
      </c>
      <c r="BI30" s="260">
        <f>IF(Timeline!BI$42=1,IF(ConActual360=1,ConRate*BI$25/360,ConRate/12),0)</f>
        <v/>
      </c>
      <c r="BJ30" s="260">
        <f>IF(Timeline!BJ$42=1,IF(ConActual360=1,ConRate*BJ$25/360,ConRate/12),0)</f>
        <v/>
      </c>
      <c r="BK30" s="260">
        <f>IF(Timeline!BK$42=1,IF(ConActual360=1,ConRate*BK$25/360,ConRate/12),0)</f>
        <v/>
      </c>
      <c r="BL30" s="260">
        <f>IF(Timeline!BL$42=1,IF(ConActual360=1,ConRate*BL$25/360,ConRate/12),0)</f>
        <v/>
      </c>
      <c r="BM30" s="260">
        <f>IF(Timeline!BM$42=1,IF(ConActual360=1,ConRate*BM$25/360,ConRate/12),0)</f>
        <v/>
      </c>
      <c r="BN30" s="260">
        <f>IF(Timeline!BN$42=1,IF(ConActual360=1,ConRate*BN$25/360,ConRate/12),0)</f>
        <v/>
      </c>
      <c r="BO30" s="260">
        <f>IF(Timeline!BO$42=1,IF(ConActual360=1,ConRate*BO$25/360,ConRate/12),0)</f>
        <v/>
      </c>
      <c r="BP30" s="260">
        <f>IF(Timeline!BP$42=1,IF(ConActual360=1,ConRate*BP$25/360,ConRate/12),0)</f>
        <v/>
      </c>
      <c r="BQ30" s="260">
        <f>IF(Timeline!BQ$42=1,IF(ConActual360=1,ConRate*BQ$25/360,ConRate/12),0)</f>
        <v/>
      </c>
      <c r="BR30" s="260">
        <f>IF(Timeline!BR$42=1,IF(ConActual360=1,ConRate*BR$25/360,ConRate/12),0)</f>
        <v/>
      </c>
      <c r="BS30" s="260">
        <f>IF(Timeline!BS$42=1,IF(ConActual360=1,ConRate*BS$25/360,ConRate/12),0)</f>
        <v/>
      </c>
      <c r="BT30" s="260">
        <f>IF(Timeline!BT$42=1,IF(ConActual360=1,ConRate*BT$25/360,ConRate/12),0)</f>
        <v/>
      </c>
      <c r="BU30" s="260">
        <f>IF(Timeline!BU$42=1,IF(ConActual360=1,ConRate*BU$25/360,ConRate/12),0)</f>
        <v/>
      </c>
      <c r="BV30" s="260">
        <f>IF(Timeline!BV$42=1,IF(ConActual360=1,ConRate*BV$25/360,ConRate/12),0)</f>
        <v/>
      </c>
      <c r="BW30" s="260">
        <f>IF(Timeline!BW$42=1,IF(ConActual360=1,ConRate*BW$25/360,ConRate/12),0)</f>
        <v/>
      </c>
      <c r="BX30" s="260">
        <f>IF(Timeline!BX$42=1,IF(ConActual360=1,ConRate*BX$25/360,ConRate/12),0)</f>
        <v/>
      </c>
      <c r="BY30" s="260">
        <f>IF(Timeline!BY$42=1,IF(ConActual360=1,ConRate*BY$25/360,ConRate/12),0)</f>
        <v/>
      </c>
      <c r="BZ30" s="260">
        <f>IF(Timeline!BZ$42=1,IF(ConActual360=1,ConRate*BZ$25/360,ConRate/12),0)</f>
        <v/>
      </c>
      <c r="CA30" s="260">
        <f>IF(Timeline!CA$42=1,IF(ConActual360=1,ConRate*CA$25/360,ConRate/12),0)</f>
        <v/>
      </c>
      <c r="CB30" s="260">
        <f>IF(Timeline!CB$42=1,IF(ConActual360=1,ConRate*CB$25/360,ConRate/12),0)</f>
        <v/>
      </c>
      <c r="CC30" s="260">
        <f>IF(Timeline!CC$42=1,IF(ConActual360=1,ConRate*CC$25/360,ConRate/12),0)</f>
        <v/>
      </c>
      <c r="CD30" s="260">
        <f>IF(Timeline!CD$42=1,IF(ConActual360=1,ConRate*CD$25/360,ConRate/12),0)</f>
        <v/>
      </c>
      <c r="CE30" s="260">
        <f>IF(Timeline!CE$42=1,IF(ConActual360=1,ConRate*CE$25/360,ConRate/12),0)</f>
        <v/>
      </c>
      <c r="CF30" s="260">
        <f>IF(Timeline!CF$42=1,IF(ConActual360=1,ConRate*CF$25/360,ConRate/12),0)</f>
        <v/>
      </c>
      <c r="CG30" s="260">
        <f>IF(Timeline!CG$42=1,IF(ConActual360=1,ConRate*CG$25/360,ConRate/12),0)</f>
        <v/>
      </c>
      <c r="CH30" s="260">
        <f>IF(Timeline!CH$42=1,IF(ConActual360=1,ConRate*CH$25/360,ConRate/12),0)</f>
        <v/>
      </c>
      <c r="CI30" s="260">
        <f>IF(Timeline!CI$42=1,IF(ConActual360=1,ConRate*CI$25/360,ConRate/12),0)</f>
        <v/>
      </c>
      <c r="CJ30" s="260">
        <f>IF(Timeline!CJ$42=1,IF(ConActual360=1,ConRate*CJ$25/360,ConRate/12),0)</f>
        <v/>
      </c>
      <c r="CK30" s="260">
        <f>IF(Timeline!CK$42=1,IF(ConActual360=1,ConRate*CK$25/360,ConRate/12),0)</f>
        <v/>
      </c>
      <c r="CL30" s="260">
        <f>IF(Timeline!CL$42=1,IF(ConActual360=1,ConRate*CL$25/360,ConRate/12),0)</f>
        <v/>
      </c>
      <c r="CM30" s="260">
        <f>IF(Timeline!CM$42=1,IF(ConActual360=1,ConRate*CM$25/360,ConRate/12),0)</f>
        <v/>
      </c>
      <c r="CN30" s="260">
        <f>IF(Timeline!CN$42=1,IF(ConActual360=1,ConRate*CN$25/360,ConRate/12),0)</f>
        <v/>
      </c>
      <c r="CO30" s="260">
        <f>IF(Timeline!CO$42=1,IF(ConActual360=1,ConRate*CO$25/360,ConRate/12),0)</f>
        <v/>
      </c>
      <c r="CP30" s="260">
        <f>IF(Timeline!CP$42=1,IF(ConActual360=1,ConRate*CP$25/360,ConRate/12),0)</f>
        <v/>
      </c>
      <c r="CQ30" s="260">
        <f>IF(Timeline!CQ$42=1,IF(ConActual360=1,ConRate*CQ$25/360,ConRate/12),0)</f>
        <v/>
      </c>
      <c r="CR30" s="260">
        <f>IF(Timeline!CR$42=1,IF(ConActual360=1,ConRate*CR$25/360,ConRate/12),0)</f>
        <v/>
      </c>
      <c r="CS30" s="260">
        <f>IF(Timeline!CS$42=1,IF(ConActual360=1,ConRate*CS$25/360,ConRate/12),0)</f>
        <v/>
      </c>
      <c r="CT30" s="260">
        <f>IF(Timeline!CT$42=1,IF(ConActual360=1,ConRate*CT$25/360,ConRate/12),0)</f>
        <v/>
      </c>
      <c r="CU30" s="260">
        <f>IF(Timeline!CU$42=1,IF(ConActual360=1,ConRate*CU$25/360,ConRate/12),0)</f>
        <v/>
      </c>
      <c r="CV30" s="260">
        <f>IF(Timeline!CV$42=1,IF(ConActual360=1,ConRate*CV$25/360,ConRate/12),0)</f>
        <v/>
      </c>
      <c r="CW30" s="260">
        <f>IF(Timeline!CW$42=1,IF(ConActual360=1,ConRate*CW$25/360,ConRate/12),0)</f>
        <v/>
      </c>
      <c r="CX30" s="260">
        <f>IF(Timeline!CX$42=1,IF(ConActual360=1,ConRate*CX$25/360,ConRate/12),0)</f>
        <v/>
      </c>
      <c r="CY30" s="260">
        <f>IF(Timeline!CY$42=1,IF(ConActual360=1,ConRate*CY$25/360,ConRate/12),0)</f>
        <v/>
      </c>
      <c r="CZ30" s="260">
        <f>IF(Timeline!CZ$42=1,IF(ConActual360=1,ConRate*CZ$25/360,ConRate/12),0)</f>
        <v/>
      </c>
      <c r="DA30" s="260">
        <f>IF(Timeline!DA$42=1,IF(ConActual360=1,ConRate*DA$25/360,ConRate/12),0)</f>
        <v/>
      </c>
      <c r="DB30" s="260">
        <f>IF(Timeline!DB$42=1,IF(ConActual360=1,ConRate*DB$25/360,ConRate/12),0)</f>
        <v/>
      </c>
      <c r="DC30" s="260">
        <f>IF(Timeline!DC$42=1,IF(ConActual360=1,ConRate*DC$25/360,ConRate/12),0)</f>
        <v/>
      </c>
      <c r="DD30" s="260">
        <f>IF(Timeline!DD$42=1,IF(ConActual360=1,ConRate*DD$25/360,ConRate/12),0)</f>
        <v/>
      </c>
      <c r="DE30" s="260">
        <f>IF(Timeline!DE$42=1,IF(ConActual360=1,ConRate*DE$25/360,ConRate/12),0)</f>
        <v/>
      </c>
      <c r="DF30" s="260">
        <f>IF(Timeline!DF$42=1,IF(ConActual360=1,ConRate*DF$25/360,ConRate/12),0)</f>
        <v/>
      </c>
      <c r="DG30" s="260">
        <f>IF(Timeline!DG$42=1,IF(ConActual360=1,ConRate*DG$25/360,ConRate/12),0)</f>
        <v/>
      </c>
      <c r="DH30" s="260">
        <f>IF(Timeline!DH$42=1,IF(ConActual360=1,ConRate*DH$25/360,ConRate/12),0)</f>
        <v/>
      </c>
      <c r="DI30" s="260">
        <f>IF(Timeline!DI$42=1,IF(ConActual360=1,ConRate*DI$25/360,ConRate/12),0)</f>
        <v/>
      </c>
      <c r="DJ30" s="260">
        <f>IF(Timeline!DJ$42=1,IF(ConActual360=1,ConRate*DJ$25/360,ConRate/12),0)</f>
        <v/>
      </c>
      <c r="DK30" s="260">
        <f>IF(Timeline!DK$42=1,IF(ConActual360=1,ConRate*DK$25/360,ConRate/12),0)</f>
        <v/>
      </c>
      <c r="DL30" s="260">
        <f>IF(Timeline!DL$42=1,IF(ConActual360=1,ConRate*DL$25/360,ConRate/12),0)</f>
        <v/>
      </c>
      <c r="DM30" s="260">
        <f>IF(Timeline!DM$42=1,IF(ConActual360=1,ConRate*DM$25/360,ConRate/12),0)</f>
        <v/>
      </c>
      <c r="DN30" s="260">
        <f>IF(Timeline!DN$42=1,IF(ConActual360=1,ConRate*DN$25/360,ConRate/12),0)</f>
        <v/>
      </c>
      <c r="DO30" s="260">
        <f>IF(Timeline!DO$42=1,IF(ConActual360=1,ConRate*DO$25/360,ConRate/12),0)</f>
        <v/>
      </c>
      <c r="DP30" s="260">
        <f>IF(Timeline!DP$42=1,IF(ConActual360=1,ConRate*DP$25/360,ConRate/12),0)</f>
        <v/>
      </c>
      <c r="DQ30" s="260">
        <f>IF(Timeline!DQ$42=1,IF(ConActual360=1,ConRate*DQ$25/360,ConRate/12),0)</f>
        <v/>
      </c>
      <c r="DR30" s="260">
        <f>IF(Timeline!DR$42=1,IF(ConActual360=1,ConRate*DR$25/360,ConRate/12),0)</f>
        <v/>
      </c>
      <c r="DS30" s="260">
        <f>IF(Timeline!DS$42=1,IF(ConActual360=1,ConRate*DS$25/360,ConRate/12),0)</f>
        <v/>
      </c>
      <c r="DT30" s="260">
        <f>IF(Timeline!DT$42=1,IF(ConActual360=1,ConRate*DT$25/360,ConRate/12),0)</f>
        <v/>
      </c>
      <c r="DU30" s="260">
        <f>IF(Timeline!DU$42=1,IF(ConActual360=1,ConRate*DU$25/360,ConRate/12),0)</f>
        <v/>
      </c>
      <c r="DV30" s="260">
        <f>IF(Timeline!DV$42=1,IF(ConActual360=1,ConRate*DV$25/360,ConRate/12),0)</f>
        <v/>
      </c>
      <c r="DW30" s="260">
        <f>IF(Timeline!DW$42=1,IF(ConActual360=1,ConRate*DW$25/360,ConRate/12),0)</f>
        <v/>
      </c>
      <c r="DX30" s="260">
        <f>IF(Timeline!DX$42=1,IF(ConActual360=1,ConRate*DX$25/360,ConRate/12),0)</f>
        <v/>
      </c>
      <c r="DY30" s="260">
        <f>IF(Timeline!DY$42=1,IF(ConActual360=1,ConRate*DY$25/360,ConRate/12),0)</f>
        <v/>
      </c>
      <c r="DZ30" s="260">
        <f>IF(Timeline!DZ$42=1,IF(ConActual360=1,ConRate*DZ$25/360,ConRate/12),0)</f>
        <v/>
      </c>
      <c r="EA30" s="260">
        <f>IF(Timeline!EA$42=1,IF(ConActual360=1,ConRate*EA$25/360,ConRate/12),0)</f>
        <v/>
      </c>
      <c r="EB30" s="260">
        <f>IF(Timeline!EB$42=1,IF(ConActual360=1,ConRate*EB$25/360,ConRate/12),0)</f>
        <v/>
      </c>
      <c r="EC30" s="260">
        <f>IF(Timeline!EC$42=1,IF(ConActual360=1,ConRate*EC$25/360,ConRate/12),0)</f>
        <v/>
      </c>
      <c r="ED30" s="260">
        <f>IF(Timeline!ED$42=1,IF(ConActual360=1,ConRate*ED$25/360,ConRate/12),0)</f>
        <v/>
      </c>
      <c r="EE30" s="260">
        <f>IF(Timeline!EE$42=1,IF(ConActual360=1,ConRate*EE$25/360,ConRate/12),0)</f>
        <v/>
      </c>
      <c r="EF30" s="260">
        <f>IF(Timeline!EF$42=1,IF(ConActual360=1,ConRate*EF$25/360,ConRate/12),0)</f>
        <v/>
      </c>
      <c r="EG30" s="260">
        <f>IF(Timeline!EG$42=1,IF(ConActual360=1,ConRate*EG$25/360,ConRate/12),0)</f>
        <v/>
      </c>
      <c r="EH30" s="260">
        <f>IF(Timeline!EH$42=1,IF(ConActual360=1,ConRate*EH$25/360,ConRate/12),0)</f>
        <v/>
      </c>
      <c r="EI30" s="260">
        <f>IF(Timeline!EI$42=1,IF(ConActual360=1,ConRate*EI$25/360,ConRate/12),0)</f>
        <v/>
      </c>
      <c r="EJ30" s="260">
        <f>IF(Timeline!EJ$42=1,IF(ConActual360=1,ConRate*EJ$25/360,ConRate/12),0)</f>
        <v/>
      </c>
      <c r="EK30" s="260">
        <f>IF(Timeline!EK$42=1,IF(ConActual360=1,ConRate*EK$25/360,ConRate/12),0)</f>
        <v/>
      </c>
      <c r="EL30" s="260">
        <f>IF(Timeline!EL$42=1,IF(ConActual360=1,ConRate*EL$25/360,ConRate/12),0)</f>
        <v/>
      </c>
      <c r="EM30" s="260">
        <f>IF(Timeline!EM$42=1,IF(ConActual360=1,ConRate*EM$25/360,ConRate/12),0)</f>
        <v/>
      </c>
      <c r="EN30" s="260">
        <f>IF(Timeline!EN$42=1,IF(ConActual360=1,ConRate*EN$25/360,ConRate/12),0)</f>
        <v/>
      </c>
      <c r="EO30" s="260">
        <f>IF(Timeline!EO$42=1,IF(ConActual360=1,ConRate*EO$25/360,ConRate/12),0)</f>
        <v/>
      </c>
      <c r="EP30" s="260">
        <f>IF(Timeline!EP$42=1,IF(ConActual360=1,ConRate*EP$25/360,ConRate/12),0)</f>
        <v/>
      </c>
      <c r="EQ30" s="260">
        <f>IF(Timeline!EQ$42=1,IF(ConActual360=1,ConRate*EQ$25/360,ConRate/12),0)</f>
        <v/>
      </c>
      <c r="ER30" s="260">
        <f>IF(Timeline!ER$42=1,IF(ConActual360=1,ConRate*ER$25/360,ConRate/12),0)</f>
        <v/>
      </c>
      <c r="ES30" s="260">
        <f>IF(Timeline!ES$42=1,IF(ConActual360=1,ConRate*ES$25/360,ConRate/12),0)</f>
        <v/>
      </c>
      <c r="ET30" s="260">
        <f>IF(Timeline!ET$42=1,IF(ConActual360=1,ConRate*ET$25/360,ConRate/12),0)</f>
        <v/>
      </c>
      <c r="EU30" s="260">
        <f>IF(Timeline!EU$42=1,IF(ConActual360=1,ConRate*EU$25/360,ConRate/12),0)</f>
        <v/>
      </c>
      <c r="EV30" s="260">
        <f>IF(Timeline!EV$42=1,IF(ConActual360=1,ConRate*EV$25/360,ConRate/12),0)</f>
        <v/>
      </c>
      <c r="EW30" s="260">
        <f>IF(Timeline!EW$42=1,IF(ConActual360=1,ConRate*EW$25/360,ConRate/12),0)</f>
        <v/>
      </c>
      <c r="EX30" s="260">
        <f>IF(Timeline!EX$42=1,IF(ConActual360=1,ConRate*EX$25/360,ConRate/12),0)</f>
        <v/>
      </c>
      <c r="EY30" s="260">
        <f>IF(Timeline!EY$42=1,IF(ConActual360=1,ConRate*EY$25/360,ConRate/12),0)</f>
        <v/>
      </c>
      <c r="EZ30" s="260">
        <f>IF(Timeline!EZ$42=1,IF(ConActual360=1,ConRate*EZ$25/360,ConRate/12),0)</f>
        <v/>
      </c>
      <c r="FA30" s="260">
        <f>IF(Timeline!FA$42=1,IF(ConActual360=1,ConRate*FA$25/360,ConRate/12),0)</f>
        <v/>
      </c>
      <c r="FB30" s="260">
        <f>IF(Timeline!FB$42=1,IF(ConActual360=1,ConRate*FB$25/360,ConRate/12),0)</f>
        <v/>
      </c>
      <c r="FC30" s="260">
        <f>IF(Timeline!FC$42=1,IF(ConActual360=1,ConRate*FC$25/360,ConRate/12),0)</f>
        <v/>
      </c>
      <c r="FD30" s="260">
        <f>IF(Timeline!FD$42=1,IF(ConActual360=1,ConRate*FD$25/360,ConRate/12),0)</f>
        <v/>
      </c>
      <c r="FE30" s="260">
        <f>IF(Timeline!FE$42=1,IF(ConActual360=1,ConRate*FE$25/360,ConRate/12),0)</f>
        <v/>
      </c>
      <c r="FF30" s="260">
        <f>IF(Timeline!FF$42=1,IF(ConActual360=1,ConRate*FF$25/360,ConRate/12),0)</f>
        <v/>
      </c>
      <c r="FG30" s="260">
        <f>IF(Timeline!FG$42=1,IF(ConActual360=1,ConRate*FG$25/360,ConRate/12),0)</f>
        <v/>
      </c>
      <c r="FH30" s="260">
        <f>IF(Timeline!FH$42=1,IF(ConActual360=1,ConRate*FH$25/360,ConRate/12),0)</f>
        <v/>
      </c>
      <c r="FI30" s="260">
        <f>IF(Timeline!FI$42=1,IF(ConActual360=1,ConRate*FI$25/360,ConRate/12),0)</f>
        <v/>
      </c>
      <c r="FJ30" s="260">
        <f>IF(Timeline!FJ$42=1,IF(ConActual360=1,ConRate*FJ$25/360,ConRate/12),0)</f>
        <v/>
      </c>
      <c r="FK30" s="260">
        <f>IF(Timeline!FK$42=1,IF(ConActual360=1,ConRate*FK$25/360,ConRate/12),0)</f>
        <v/>
      </c>
      <c r="FL30" s="260">
        <f>IF(Timeline!FL$42=1,IF(ConActual360=1,ConRate*FL$25/360,ConRate/12),0)</f>
        <v/>
      </c>
      <c r="FM30" s="260">
        <f>IF(Timeline!FM$42=1,IF(ConActual360=1,ConRate*FM$25/360,ConRate/12),0)</f>
        <v/>
      </c>
      <c r="FN30" s="260">
        <f>IF(Timeline!FN$42=1,IF(ConActual360=1,ConRate*FN$25/360,ConRate/12),0)</f>
        <v/>
      </c>
      <c r="FO30" s="260">
        <f>IF(Timeline!FO$42=1,IF(ConActual360=1,ConRate*FO$25/360,ConRate/12),0)</f>
        <v/>
      </c>
      <c r="FP30" s="260">
        <f>IF(Timeline!FP$42=1,IF(ConActual360=1,ConRate*FP$25/360,ConRate/12),0)</f>
        <v/>
      </c>
      <c r="FQ30" s="260">
        <f>IF(Timeline!FQ$42=1,IF(ConActual360=1,ConRate*FQ$25/360,ConRate/12),0)</f>
        <v/>
      </c>
      <c r="FR30" s="260">
        <f>IF(Timeline!FR$42=1,IF(ConActual360=1,ConRate*FR$25/360,ConRate/12),0)</f>
        <v/>
      </c>
      <c r="FS30" s="260">
        <f>IF(Timeline!FS$42=1,IF(ConActual360=1,ConRate*FS$25/360,ConRate/12),0)</f>
        <v/>
      </c>
      <c r="FT30" s="260">
        <f>IF(Timeline!FT$42=1,IF(ConActual360=1,ConRate*FT$25/360,ConRate/12),0)</f>
        <v/>
      </c>
      <c r="FU30" s="260">
        <f>IF(Timeline!FU$42=1,IF(ConActual360=1,ConRate*FU$25/360,ConRate/12),0)</f>
        <v/>
      </c>
      <c r="FV30" s="260">
        <f>IF(Timeline!FV$42=1,IF(ConActual360=1,ConRate*FV$25/360,ConRate/12),0)</f>
        <v/>
      </c>
      <c r="FW30" s="260">
        <f>IF(Timeline!FW$42=1,IF(ConActual360=1,ConRate*FW$25/360,ConRate/12),0)</f>
        <v/>
      </c>
      <c r="FX30" s="260">
        <f>IF(Timeline!FX$42=1,IF(ConActual360=1,ConRate*FX$25/360,ConRate/12),0)</f>
        <v/>
      </c>
      <c r="FY30" s="260">
        <f>IF(Timeline!FY$42=1,IF(ConActual360=1,ConRate*FY$25/360,ConRate/12),0)</f>
        <v/>
      </c>
      <c r="FZ30" s="260">
        <f>IF(Timeline!FZ$42=1,IF(ConActual360=1,ConRate*FZ$25/360,ConRate/12),0)</f>
        <v/>
      </c>
      <c r="GA30" s="260">
        <f>IF(Timeline!GA$42=1,IF(ConActual360=1,ConRate*GA$25/360,ConRate/12),0)</f>
        <v/>
      </c>
      <c r="GB30" s="260">
        <f>IF(Timeline!GB$42=1,IF(ConActual360=1,ConRate*GB$25/360,ConRate/12),0)</f>
        <v/>
      </c>
      <c r="GC30" s="260">
        <f>IF(Timeline!GC$42=1,IF(ConActual360=1,ConRate*GC$25/360,ConRate/12),0)</f>
        <v/>
      </c>
      <c r="GD30" s="260">
        <f>IF(Timeline!GD$42=1,IF(ConActual360=1,ConRate*GD$25/360,ConRate/12),0)</f>
        <v/>
      </c>
      <c r="GE30" s="260">
        <f>IF(Timeline!GE$42=1,IF(ConActual360=1,ConRate*GE$25/360,ConRate/12),0)</f>
        <v/>
      </c>
      <c r="GF30" s="260">
        <f>IF(Timeline!GF$42=1,IF(ConActual360=1,ConRate*GF$25/360,ConRate/12),0)</f>
        <v/>
      </c>
      <c r="GG30" s="260">
        <f>IF(Timeline!GG$42=1,IF(ConActual360=1,ConRate*GG$25/360,ConRate/12),0)</f>
        <v/>
      </c>
      <c r="GH30" s="260">
        <f>IF(Timeline!GH$42=1,IF(ConActual360=1,ConRate*GH$25/360,ConRate/12),0)</f>
        <v/>
      </c>
      <c r="GI30" s="260">
        <f>IF(Timeline!GI$42=1,IF(ConActual360=1,ConRate*GI$25/360,ConRate/12),0)</f>
        <v/>
      </c>
      <c r="GJ30" s="260">
        <f>IF(Timeline!GJ$42=1,IF(ConActual360=1,ConRate*GJ$25/360,ConRate/12),0)</f>
        <v/>
      </c>
      <c r="GK30" s="260">
        <f>IF(Timeline!GK$42=1,IF(ConActual360=1,ConRate*GK$25/360,ConRate/12),0)</f>
        <v/>
      </c>
      <c r="GL30" s="260">
        <f>IF(Timeline!GL$42=1,IF(ConActual360=1,ConRate*GL$25/360,ConRate/12),0)</f>
        <v/>
      </c>
      <c r="GM30" s="260">
        <f>IF(Timeline!GM$42=1,IF(ConActual360=1,ConRate*GM$25/360,ConRate/12),0)</f>
        <v/>
      </c>
      <c r="GN30" s="260">
        <f>IF(Timeline!GN$42=1,IF(ConActual360=1,ConRate*GN$25/360,ConRate/12),0)</f>
        <v/>
      </c>
      <c r="GO30" s="260">
        <f>IF(Timeline!GO$42=1,IF(ConActual360=1,ConRate*GO$25/360,ConRate/12),0)</f>
        <v/>
      </c>
      <c r="GP30" s="260">
        <f>IF(Timeline!GP$42=1,IF(ConActual360=1,ConRate*GP$25/360,ConRate/12),0)</f>
        <v/>
      </c>
      <c r="GQ30" s="260">
        <f>IF(Timeline!GQ$42=1,IF(ConActual360=1,ConRate*GQ$25/360,ConRate/12),0)</f>
        <v/>
      </c>
      <c r="GR30" s="260">
        <f>IF(Timeline!GR$42=1,IF(ConActual360=1,ConRate*GR$25/360,ConRate/12),0)</f>
        <v/>
      </c>
      <c r="GS30" s="260">
        <f>IF(Timeline!GS$42=1,IF(ConActual360=1,ConRate*GS$25/360,ConRate/12),0)</f>
        <v/>
      </c>
      <c r="GT30" s="260">
        <f>IF(Timeline!GT$42=1,IF(ConActual360=1,ConRate*GT$25/360,ConRate/12),0)</f>
        <v/>
      </c>
      <c r="GU30" s="260">
        <f>IF(Timeline!GU$42=1,IF(ConActual360=1,ConRate*GU$25/360,ConRate/12),0)</f>
        <v/>
      </c>
      <c r="GV30" s="260">
        <f>IF(Timeline!GV$42=1,IF(ConActual360=1,ConRate*GV$25/360,ConRate/12),0)</f>
        <v/>
      </c>
      <c r="GW30" s="260">
        <f>IF(Timeline!GW$42=1,IF(ConActual360=1,ConRate*GW$25/360,ConRate/12),0)</f>
        <v/>
      </c>
      <c r="GX30" s="260">
        <f>IF(Timeline!GX$42=1,IF(ConActual360=1,ConRate*GX$25/360,ConRate/12),0)</f>
        <v/>
      </c>
      <c r="GY30" s="260">
        <f>IF(Timeline!GY$42=1,IF(ConActual360=1,ConRate*GY$25/360,ConRate/12),0)</f>
        <v/>
      </c>
      <c r="GZ30" s="260">
        <f>IF(Timeline!GZ$42=1,IF(ConActual360=1,ConRate*GZ$25/360,ConRate/12),0)</f>
        <v/>
      </c>
      <c r="HA30" s="260">
        <f>IF(Timeline!HA$42=1,IF(ConActual360=1,ConRate*HA$25/360,ConRate/12),0)</f>
        <v/>
      </c>
      <c r="HB30" s="260">
        <f>IF(Timeline!HB$42=1,IF(ConActual360=1,ConRate*HB$25/360,ConRate/12),0)</f>
        <v/>
      </c>
      <c r="HC30" s="260">
        <f>IF(Timeline!HC$42=1,IF(ConActual360=1,ConRate*HC$25/360,ConRate/12),0)</f>
        <v/>
      </c>
      <c r="HD30" s="260">
        <f>IF(Timeline!HD$42=1,IF(ConActual360=1,ConRate*HD$25/360,ConRate/12),0)</f>
        <v/>
      </c>
      <c r="HE30" s="260">
        <f>IF(Timeline!HE$42=1,IF(ConActual360=1,ConRate*HE$25/360,ConRate/12),0)</f>
        <v/>
      </c>
      <c r="HF30" s="260">
        <f>IF(Timeline!HF$42=1,IF(ConActual360=1,ConRate*HF$25/360,ConRate/12),0)</f>
        <v/>
      </c>
      <c r="HG30" s="260">
        <f>IF(Timeline!HG$42=1,IF(ConActual360=1,ConRate*HG$25/360,ConRate/12),0)</f>
        <v/>
      </c>
      <c r="HH30" s="260">
        <f>IF(Timeline!HH$42=1,IF(ConActual360=1,ConRate*HH$25/360,ConRate/12),0)</f>
        <v/>
      </c>
      <c r="HI30" s="260">
        <f>IF(Timeline!HI$42=1,IF(ConActual360=1,ConRate*HI$25/360,ConRate/12),0)</f>
        <v/>
      </c>
      <c r="HJ30" s="260">
        <f>IF(Timeline!HJ$42=1,IF(ConActual360=1,ConRate*HJ$25/360,ConRate/12),0)</f>
        <v/>
      </c>
      <c r="HK30" s="260">
        <f>IF(Timeline!HK$42=1,IF(ConActual360=1,ConRate*HK$25/360,ConRate/12),0)</f>
        <v/>
      </c>
      <c r="HL30" s="260">
        <f>IF(Timeline!HL$42=1,IF(ConActual360=1,ConRate*HL$25/360,ConRate/12),0)</f>
        <v/>
      </c>
      <c r="HM30" s="260">
        <f>IF(Timeline!HM$42=1,IF(ConActual360=1,ConRate*HM$25/360,ConRate/12),0)</f>
        <v/>
      </c>
      <c r="HN30" s="260">
        <f>IF(Timeline!HN$42=1,IF(ConActual360=1,ConRate*HN$25/360,ConRate/12),0)</f>
        <v/>
      </c>
      <c r="HO30" s="260">
        <f>IF(Timeline!HO$42=1,IF(ConActual360=1,ConRate*HO$25/360,ConRate/12),0)</f>
        <v/>
      </c>
      <c r="HP30" s="260">
        <f>IF(Timeline!HP$42=1,IF(ConActual360=1,ConRate*HP$25/360,ConRate/12),0)</f>
        <v/>
      </c>
      <c r="HQ30" s="260">
        <f>IF(Timeline!HQ$42=1,IF(ConActual360=1,ConRate*HQ$25/360,ConRate/12),0)</f>
        <v/>
      </c>
      <c r="HR30" s="260">
        <f>IF(Timeline!HR$42=1,IF(ConActual360=1,ConRate*HR$25/360,ConRate/12),0)</f>
        <v/>
      </c>
      <c r="HS30" s="260">
        <f>IF(Timeline!HS$42=1,IF(ConActual360=1,ConRate*HS$25/360,ConRate/12),0)</f>
        <v/>
      </c>
      <c r="HT30" s="260">
        <f>IF(Timeline!HT$42=1,IF(ConActual360=1,ConRate*HT$25/360,ConRate/12),0)</f>
        <v/>
      </c>
      <c r="HU30" s="260">
        <f>IF(Timeline!HU$42=1,IF(ConActual360=1,ConRate*HU$25/360,ConRate/12),0)</f>
        <v/>
      </c>
      <c r="HV30" s="260">
        <f>IF(Timeline!HV$42=1,IF(ConActual360=1,ConRate*HV$25/360,ConRate/12),0)</f>
        <v/>
      </c>
      <c r="HW30" s="260">
        <f>IF(Timeline!HW$42=1,IF(ConActual360=1,ConRate*HW$25/360,ConRate/12),0)</f>
        <v/>
      </c>
      <c r="HX30" s="260">
        <f>IF(Timeline!HX$42=1,IF(ConActual360=1,ConRate*HX$25/360,ConRate/12),0)</f>
        <v/>
      </c>
      <c r="HY30" s="260">
        <f>IF(Timeline!HY$42=1,IF(ConActual360=1,ConRate*HY$25/360,ConRate/12),0)</f>
        <v/>
      </c>
      <c r="HZ30" s="260">
        <f>IF(Timeline!HZ$42=1,IF(ConActual360=1,ConRate*HZ$25/360,ConRate/12),0)</f>
        <v/>
      </c>
      <c r="IA30" s="260">
        <f>IF(Timeline!IA$42=1,IF(ConActual360=1,ConRate*IA$25/360,ConRate/12),0)</f>
        <v/>
      </c>
      <c r="IB30" s="260">
        <f>IF(Timeline!IB$42=1,IF(ConActual360=1,ConRate*IB$25/360,ConRate/12),0)</f>
        <v/>
      </c>
      <c r="IC30" s="260">
        <f>IF(Timeline!IC$42=1,IF(ConActual360=1,ConRate*IC$25/360,ConRate/12),0)</f>
        <v/>
      </c>
      <c r="ID30" s="260">
        <f>IF(Timeline!ID$42=1,IF(ConActual360=1,ConRate*ID$25/360,ConRate/12),0)</f>
        <v/>
      </c>
      <c r="IE30" s="260">
        <f>IF(Timeline!IE$42=1,IF(ConActual360=1,ConRate*IE$25/360,ConRate/12),0)</f>
        <v/>
      </c>
      <c r="IF30" s="260">
        <f>IF(Timeline!IF$42=1,IF(ConActual360=1,ConRate*IF$25/360,ConRate/12),0)</f>
        <v/>
      </c>
      <c r="IG30" s="260">
        <f>IF(Timeline!IG$42=1,IF(ConActual360=1,ConRate*IG$25/360,ConRate/12),0)</f>
        <v/>
      </c>
      <c r="IH30" s="260">
        <f>IF(Timeline!IH$42=1,IF(ConActual360=1,ConRate*IH$25/360,ConRate/12),0)</f>
        <v/>
      </c>
      <c r="II30" s="260">
        <f>IF(Timeline!II$42=1,IF(ConActual360=1,ConRate*II$25/360,ConRate/12),0)</f>
        <v/>
      </c>
      <c r="IJ30" s="260">
        <f>IF(Timeline!IJ$42=1,IF(ConActual360=1,ConRate*IJ$25/360,ConRate/12),0)</f>
        <v/>
      </c>
      <c r="IK30" s="260">
        <f>IF(Timeline!IK$42=1,IF(ConActual360=1,ConRate*IK$25/360,ConRate/12),0)</f>
        <v/>
      </c>
      <c r="IL30" s="260">
        <f>IF(Timeline!IL$42=1,IF(ConActual360=1,ConRate*IL$25/360,ConRate/12),0)</f>
        <v/>
      </c>
      <c r="IM30" s="260">
        <f>IF(Timeline!IM$42=1,IF(ConActual360=1,ConRate*IM$25/360,ConRate/12),0)</f>
        <v/>
      </c>
      <c r="IN30" s="260">
        <f>IF(Timeline!IN$42=1,IF(ConActual360=1,ConRate*IN$25/360,ConRate/12),0)</f>
        <v/>
      </c>
      <c r="IO30" s="260">
        <f>IF(Timeline!IO$42=1,IF(ConActual360=1,ConRate*IO$25/360,ConRate/12),0)</f>
        <v/>
      </c>
      <c r="IP30" s="260">
        <f>IF(Timeline!IP$42=1,IF(ConActual360=1,ConRate*IP$25/360,ConRate/12),0)</f>
        <v/>
      </c>
      <c r="IQ30" s="260">
        <f>IF(Timeline!IQ$42=1,IF(ConActual360=1,ConRate*IQ$25/360,ConRate/12),0)</f>
        <v/>
      </c>
      <c r="IR30" s="260">
        <f>IF(Timeline!IR$42=1,IF(ConActual360=1,ConRate*IR$25/360,ConRate/12),0)</f>
        <v/>
      </c>
      <c r="IS30" s="260">
        <f>IF(Timeline!IS$42=1,IF(ConActual360=1,ConRate*IS$25/360,ConRate/12),0)</f>
        <v/>
      </c>
      <c r="IT30" s="260">
        <f>IF(Timeline!IT$42=1,IF(ConActual360=1,ConRate*IT$25/360,ConRate/12),0)</f>
        <v/>
      </c>
      <c r="IU30" s="260">
        <f>IF(Timeline!IU$42=1,IF(ConActual360=1,ConRate*IU$25/360,ConRate/12),0)</f>
        <v/>
      </c>
      <c r="IV30" s="260">
        <f>IF(Timeline!IV$42=1,IF(ConActual360=1,ConRate*IV$25/360,ConRate/12),0)</f>
        <v/>
      </c>
      <c r="IW30" s="260">
        <f>IF(Timeline!IW$42=1,IF(ConActual360=1,ConRate*IW$25/360,ConRate/12),0)</f>
        <v/>
      </c>
      <c r="IX30" s="260">
        <f>IF(Timeline!IX$42=1,IF(ConActual360=1,ConRate*IX$25/360,ConRate/12),0)</f>
        <v/>
      </c>
      <c r="IY30" s="260">
        <f>IF(Timeline!IY$42=1,IF(ConActual360=1,ConRate*IY$25/360,ConRate/12),0)</f>
        <v/>
      </c>
      <c r="IZ30" s="260">
        <f>IF(Timeline!IZ$42=1,IF(ConActual360=1,ConRate*IZ$25/360,ConRate/12),0)</f>
        <v/>
      </c>
      <c r="JA30" s="260">
        <f>IF(Timeline!JA$42=1,IF(ConActual360=1,ConRate*JA$25/360,ConRate/12),0)</f>
        <v/>
      </c>
      <c r="JB30" s="260">
        <f>IF(Timeline!JB$42=1,IF(ConActual360=1,ConRate*JB$25/360,ConRate/12),0)</f>
        <v/>
      </c>
      <c r="JC30" s="260">
        <f>IF(Timeline!JC$42=1,IF(ConActual360=1,ConRate*JC$25/360,ConRate/12),0)</f>
        <v/>
      </c>
      <c r="JD30" s="260">
        <f>IF(Timeline!JD$42=1,IF(ConActual360=1,ConRate*JD$25/360,ConRate/12),0)</f>
        <v/>
      </c>
      <c r="JE30" s="260">
        <f>IF(Timeline!JE$42=1,IF(ConActual360=1,ConRate*JE$25/360,ConRate/12),0)</f>
        <v/>
      </c>
      <c r="JF30" s="260">
        <f>IF(Timeline!JF$42=1,IF(ConActual360=1,ConRate*JF$25/360,ConRate/12),0)</f>
        <v/>
      </c>
      <c r="JG30" s="260">
        <f>IF(Timeline!JG$42=1,IF(ConActual360=1,ConRate*JG$25/360,ConRate/12),0)</f>
        <v/>
      </c>
      <c r="JH30" s="260">
        <f>IF(Timeline!JH$42=1,IF(ConActual360=1,ConRate*JH$25/360,ConRate/12),0)</f>
        <v/>
      </c>
      <c r="JI30" s="260">
        <f>IF(Timeline!JI$42=1,IF(ConActual360=1,ConRate*JI$25/360,ConRate/12),0)</f>
        <v/>
      </c>
      <c r="JJ30" s="260">
        <f>IF(Timeline!JJ$42=1,IF(ConActual360=1,ConRate*JJ$25/360,ConRate/12),0)</f>
        <v/>
      </c>
      <c r="JK30" s="260">
        <f>IF(Timeline!JK$42=1,IF(ConActual360=1,ConRate*JK$25/360,ConRate/12),0)</f>
        <v/>
      </c>
      <c r="JL30" s="260">
        <f>IF(Timeline!JL$42=1,IF(ConActual360=1,ConRate*JL$25/360,ConRate/12),0)</f>
        <v/>
      </c>
      <c r="JM30" s="260">
        <f>IF(Timeline!JM$42=1,IF(ConActual360=1,ConRate*JM$25/360,ConRate/12),0)</f>
        <v/>
      </c>
      <c r="JN30" s="260">
        <f>IF(Timeline!JN$42=1,IF(ConActual360=1,ConRate*JN$25/360,ConRate/12),0)</f>
        <v/>
      </c>
      <c r="JO30" s="260">
        <f>IF(Timeline!JO$42=1,IF(ConActual360=1,ConRate*JO$25/360,ConRate/12),0)</f>
        <v/>
      </c>
      <c r="JP30" s="260">
        <f>IF(Timeline!JP$42=1,IF(ConActual360=1,ConRate*JP$25/360,ConRate/12),0)</f>
        <v/>
      </c>
      <c r="JQ30" s="260">
        <f>IF(Timeline!JQ$42=1,IF(ConActual360=1,ConRate*JQ$25/360,ConRate/12),0)</f>
        <v/>
      </c>
      <c r="JR30" s="260">
        <f>IF(Timeline!JR$42=1,IF(ConActual360=1,ConRate*JR$25/360,ConRate/12),0)</f>
        <v/>
      </c>
      <c r="JS30" s="260">
        <f>IF(Timeline!JS$42=1,IF(ConActual360=1,ConRate*JS$25/360,ConRate/12),0)</f>
        <v/>
      </c>
      <c r="JT30" s="260">
        <f>IF(Timeline!JT$42=1,IF(ConActual360=1,ConRate*JT$25/360,ConRate/12),0)</f>
        <v/>
      </c>
      <c r="JU30" s="260">
        <f>IF(Timeline!JU$42=1,IF(ConActual360=1,ConRate*JU$25/360,ConRate/12),0)</f>
        <v/>
      </c>
      <c r="JV30" s="260">
        <f>IF(Timeline!JV$42=1,IF(ConActual360=1,ConRate*JV$25/360,ConRate/12),0)</f>
        <v/>
      </c>
      <c r="JW30" s="260">
        <f>IF(Timeline!JW$42=1,IF(ConActual360=1,ConRate*JW$25/360,ConRate/12),0)</f>
        <v/>
      </c>
      <c r="JX30" s="260">
        <f>IF(Timeline!JX$42=1,IF(ConActual360=1,ConRate*JX$25/360,ConRate/12),0)</f>
        <v/>
      </c>
      <c r="JY30" s="260">
        <f>IF(Timeline!JY$42=1,IF(ConActual360=1,ConRate*JY$25/360,ConRate/12),0)</f>
        <v/>
      </c>
      <c r="JZ30" s="260">
        <f>IF(Timeline!JZ$42=1,IF(ConActual360=1,ConRate*JZ$25/360,ConRate/12),0)</f>
        <v/>
      </c>
      <c r="KA30" s="260">
        <f>IF(Timeline!KA$42=1,IF(ConActual360=1,ConRate*KA$25/360,ConRate/12),0)</f>
        <v/>
      </c>
      <c r="KB30" s="260">
        <f>IF(Timeline!KB$42=1,IF(ConActual360=1,ConRate*KB$25/360,ConRate/12),0)</f>
        <v/>
      </c>
      <c r="KC30" s="260">
        <f>IF(Timeline!KC$42=1,IF(ConActual360=1,ConRate*KC$25/360,ConRate/12),0)</f>
        <v/>
      </c>
      <c r="KD30" s="260">
        <f>IF(Timeline!KD$42=1,IF(ConActual360=1,ConRate*KD$25/360,ConRate/12),0)</f>
        <v/>
      </c>
      <c r="KE30" s="260">
        <f>IF(Timeline!KE$42=1,IF(ConActual360=1,ConRate*KE$25/360,ConRate/12),0)</f>
        <v/>
      </c>
      <c r="KF30" s="260">
        <f>IF(Timeline!KF$42=1,IF(ConActual360=1,ConRate*KF$25/360,ConRate/12),0)</f>
        <v/>
      </c>
      <c r="KG30" s="260">
        <f>IF(Timeline!KG$42=1,IF(ConActual360=1,ConRate*KG$25/360,ConRate/12),0)</f>
        <v/>
      </c>
      <c r="KH30" s="260">
        <f>IF(Timeline!KH$42=1,IF(ConActual360=1,ConRate*KH$25/360,ConRate/12),0)</f>
        <v/>
      </c>
      <c r="KI30" s="260">
        <f>IF(Timeline!KI$42=1,IF(ConActual360=1,ConRate*KI$25/360,ConRate/12),0)</f>
        <v/>
      </c>
      <c r="KJ30" s="260">
        <f>IF(Timeline!KJ$42=1,IF(ConActual360=1,ConRate*KJ$25/360,ConRate/12),0)</f>
        <v/>
      </c>
      <c r="KK30" s="260">
        <f>IF(Timeline!KK$42=1,IF(ConActual360=1,ConRate*KK$25/360,ConRate/12),0)</f>
        <v/>
      </c>
      <c r="KL30" s="260">
        <f>IF(Timeline!KL$42=1,IF(ConActual360=1,ConRate*KL$25/360,ConRate/12),0)</f>
        <v/>
      </c>
      <c r="KM30" s="260">
        <f>IF(Timeline!KM$42=1,IF(ConActual360=1,ConRate*KM$25/360,ConRate/12),0)</f>
        <v/>
      </c>
      <c r="KN30" s="260">
        <f>IF(Timeline!KN$42=1,IF(ConActual360=1,ConRate*KN$25/360,ConRate/12),0)</f>
        <v/>
      </c>
      <c r="KO30" s="260">
        <f>IF(Timeline!KO$42=1,IF(ConActual360=1,ConRate*KO$25/360,ConRate/12),0)</f>
        <v/>
      </c>
      <c r="KP30" s="260">
        <f>IF(Timeline!KP$42=1,IF(ConActual360=1,ConRate*KP$25/360,ConRate/12),0)</f>
        <v/>
      </c>
      <c r="KQ30" s="260">
        <f>IF(Timeline!KQ$42=1,IF(ConActual360=1,ConRate*KQ$25/360,ConRate/12),0)</f>
        <v/>
      </c>
      <c r="KR30" s="260">
        <f>IF(Timeline!KR$42=1,IF(ConActual360=1,ConRate*KR$25/360,ConRate/12),0)</f>
        <v/>
      </c>
      <c r="KS30" s="260">
        <f>IF(Timeline!KS$42=1,IF(ConActual360=1,ConRate*KS$25/360,ConRate/12),0)</f>
        <v/>
      </c>
      <c r="KT30" s="260">
        <f>IF(Timeline!KT$42=1,IF(ConActual360=1,ConRate*KT$25/360,ConRate/12),0)</f>
        <v/>
      </c>
      <c r="KU30" s="260">
        <f>IF(Timeline!KU$42=1,IF(ConActual360=1,ConRate*KU$25/360,ConRate/12),0)</f>
        <v/>
      </c>
      <c r="KV30" s="260">
        <f>IF(Timeline!KV$42=1,IF(ConActual360=1,ConRate*KV$25/360,ConRate/12),0)</f>
        <v/>
      </c>
      <c r="KW30" s="260">
        <f>IF(Timeline!KW$42=1,IF(ConActual360=1,ConRate*KW$25/360,ConRate/12),0)</f>
        <v/>
      </c>
      <c r="KX30" s="260">
        <f>IF(Timeline!KX$42=1,IF(ConActual360=1,ConRate*KX$25/360,ConRate/12),0)</f>
        <v/>
      </c>
      <c r="KY30" s="260">
        <f>IF(Timeline!KY$42=1,IF(ConActual360=1,ConRate*KY$25/360,ConRate/12),0)</f>
        <v/>
      </c>
      <c r="KZ30" s="260">
        <f>IF(Timeline!KZ$42=1,IF(ConActual360=1,ConRate*KZ$25/360,ConRate/12),0)</f>
        <v/>
      </c>
      <c r="LA30" s="260">
        <f>IF(Timeline!LA$42=1,IF(ConActual360=1,ConRate*LA$25/360,ConRate/12),0)</f>
        <v/>
      </c>
      <c r="LB30" s="260">
        <f>IF(Timeline!LB$42=1,IF(ConActual360=1,ConRate*LB$25/360,ConRate/12),0)</f>
        <v/>
      </c>
      <c r="LC30" s="260">
        <f>IF(Timeline!LC$42=1,IF(ConActual360=1,ConRate*LC$25/360,ConRate/12),0)</f>
        <v/>
      </c>
      <c r="LD30" s="260">
        <f>IF(Timeline!LD$42=1,IF(ConActual360=1,ConRate*LD$25/360,ConRate/12),0)</f>
        <v/>
      </c>
      <c r="LE30" s="260">
        <f>IF(Timeline!LE$42=1,IF(ConActual360=1,ConRate*LE$25/360,ConRate/12),0)</f>
        <v/>
      </c>
      <c r="LF30" s="260">
        <f>IF(Timeline!LF$42=1,IF(ConActual360=1,ConRate*LF$25/360,ConRate/12),0)</f>
        <v/>
      </c>
      <c r="LG30" s="260">
        <f>IF(Timeline!LG$42=1,IF(ConActual360=1,ConRate*LG$25/360,ConRate/12),0)</f>
        <v/>
      </c>
      <c r="LH30" s="260">
        <f>IF(Timeline!LH$42=1,IF(ConActual360=1,ConRate*LH$25/360,ConRate/12),0)</f>
        <v/>
      </c>
      <c r="LI30" s="260">
        <f>IF(Timeline!LI$42=1,IF(ConActual360=1,ConRate*LI$25/360,ConRate/12),0)</f>
        <v/>
      </c>
      <c r="LJ30" s="260">
        <f>IF(Timeline!LJ$42=1,IF(ConActual360=1,ConRate*LJ$25/360,ConRate/12),0)</f>
        <v/>
      </c>
      <c r="LK30" s="260">
        <f>IF(Timeline!LK$42=1,IF(ConActual360=1,ConRate*LK$25/360,ConRate/12),0)</f>
        <v/>
      </c>
      <c r="LL30" s="260">
        <f>IF(Timeline!LL$42=1,IF(ConActual360=1,ConRate*LL$25/360,ConRate/12),0)</f>
        <v/>
      </c>
      <c r="LM30" s="260">
        <f>IF(Timeline!LM$42=1,IF(ConActual360=1,ConRate*LM$25/360,ConRate/12),0)</f>
        <v/>
      </c>
      <c r="LN30" s="260">
        <f>IF(Timeline!LN$42=1,IF(ConActual360=1,ConRate*LN$25/360,ConRate/12),0)</f>
        <v/>
      </c>
      <c r="LO30" s="260">
        <f>IF(Timeline!LO$42=1,IF(ConActual360=1,ConRate*LO$25/360,ConRate/12),0)</f>
        <v/>
      </c>
      <c r="LP30" s="260">
        <f>IF(Timeline!LP$42=1,IF(ConActual360=1,ConRate*LP$25/360,ConRate/12),0)</f>
        <v/>
      </c>
      <c r="LQ30" s="260">
        <f>IF(Timeline!LQ$42=1,IF(ConActual360=1,ConRate*LQ$25/360,ConRate/12),0)</f>
        <v/>
      </c>
      <c r="LR30" s="260">
        <f>IF(Timeline!LR$42=1,IF(ConActual360=1,ConRate*LR$25/360,ConRate/12),0)</f>
        <v/>
      </c>
      <c r="LS30" s="260">
        <f>IF(Timeline!LS$42=1,IF(ConActual360=1,ConRate*LS$25/360,ConRate/12),0)</f>
        <v/>
      </c>
      <c r="LT30" s="260">
        <f>IF(Timeline!LT$42=1,IF(ConActual360=1,ConRate*LT$25/360,ConRate/12),0)</f>
        <v/>
      </c>
      <c r="LU30" s="260">
        <f>IF(Timeline!LU$42=1,IF(ConActual360=1,ConRate*LU$25/360,ConRate/12),0)</f>
        <v/>
      </c>
      <c r="LV30" s="260">
        <f>IF(Timeline!LV$42=1,IF(ConActual360=1,ConRate*LV$25/360,ConRate/12),0)</f>
        <v/>
      </c>
      <c r="LW30" s="260">
        <f>IF(Timeline!LW$42=1,IF(ConActual360=1,ConRate*LW$25/360,ConRate/12),0)</f>
        <v/>
      </c>
      <c r="LX30" s="260">
        <f>IF(Timeline!LX$42=1,IF(ConActual360=1,ConRate*LX$25/360,ConRate/12),0)</f>
        <v/>
      </c>
      <c r="LY30" s="260">
        <f>IF(Timeline!LY$42=1,IF(ConActual360=1,ConRate*LY$25/360,ConRate/12),0)</f>
        <v/>
      </c>
      <c r="LZ30" s="260">
        <f>IF(Timeline!LZ$42=1,IF(ConActual360=1,ConRate*LZ$25/360,ConRate/12),0)</f>
        <v/>
      </c>
      <c r="MA30" s="260">
        <f>IF(Timeline!MA$42=1,IF(ConActual360=1,ConRate*MA$25/360,ConRate/12),0)</f>
        <v/>
      </c>
      <c r="MB30" s="260">
        <f>IF(Timeline!MB$42=1,IF(ConActual360=1,ConRate*MB$25/360,ConRate/12),0)</f>
        <v/>
      </c>
      <c r="MC30" s="260">
        <f>IF(Timeline!MC$42=1,IF(ConActual360=1,ConRate*MC$25/360,ConRate/12),0)</f>
        <v/>
      </c>
      <c r="MD30" s="260">
        <f>IF(Timeline!MD$42=1,IF(ConActual360=1,ConRate*MD$25/360,ConRate/12),0)</f>
        <v/>
      </c>
      <c r="ME30" s="260">
        <f>IF(Timeline!ME$42=1,IF(ConActual360=1,ConRate*ME$25/360,ConRate/12),0)</f>
        <v/>
      </c>
      <c r="MF30" s="260">
        <f>IF(Timeline!MF$42=1,IF(ConActual360=1,ConRate*MF$25/360,ConRate/12),0)</f>
        <v/>
      </c>
      <c r="MG30" s="260">
        <f>IF(Timeline!MG$42=1,IF(ConActual360=1,ConRate*MG$25/360,ConRate/12),0)</f>
        <v/>
      </c>
      <c r="MH30" s="260">
        <f>IF(Timeline!MH$42=1,IF(ConActual360=1,ConRate*MH$25/360,ConRate/12),0)</f>
        <v/>
      </c>
      <c r="MI30" s="260">
        <f>IF(Timeline!MI$42=1,IF(ConActual360=1,ConRate*MI$25/360,ConRate/12),0)</f>
        <v/>
      </c>
      <c r="MJ30" s="260">
        <f>IF(Timeline!MJ$42=1,IF(ConActual360=1,ConRate*MJ$25/360,ConRate/12),0)</f>
        <v/>
      </c>
      <c r="MK30" s="260">
        <f>IF(Timeline!MK$42=1,IF(ConActual360=1,ConRate*MK$25/360,ConRate/12),0)</f>
        <v/>
      </c>
      <c r="ML30" s="260">
        <f>IF(Timeline!ML$42=1,IF(ConActual360=1,ConRate*ML$25/360,ConRate/12),0)</f>
        <v/>
      </c>
      <c r="MM30" s="260">
        <f>IF(Timeline!MM$42=1,IF(ConActual360=1,ConRate*MM$25/360,ConRate/12),0)</f>
        <v/>
      </c>
      <c r="MN30" s="260">
        <f>IF(Timeline!MN$42=1,IF(ConActual360=1,ConRate*MN$25/360,ConRate/12),0)</f>
        <v/>
      </c>
      <c r="MO30" s="260">
        <f>IF(Timeline!MO$42=1,IF(ConActual360=1,ConRate*MO$25/360,ConRate/12),0)</f>
        <v/>
      </c>
      <c r="MP30" s="260">
        <f>IF(Timeline!MP$42=1,IF(ConActual360=1,ConRate*MP$25/360,ConRate/12),0)</f>
        <v/>
      </c>
      <c r="MQ30" s="260">
        <f>IF(Timeline!MQ$42=1,IF(ConActual360=1,ConRate*MQ$25/360,ConRate/12),0)</f>
        <v/>
      </c>
      <c r="MR30" s="260">
        <f>IF(Timeline!MR$42=1,IF(ConActual360=1,ConRate*MR$25/360,ConRate/12),0)</f>
        <v/>
      </c>
      <c r="MS30" s="260">
        <f>IF(Timeline!MS$42=1,IF(ConActual360=1,ConRate*MS$25/360,ConRate/12),0)</f>
        <v/>
      </c>
      <c r="MT30" s="260">
        <f>IF(Timeline!MT$42=1,IF(ConActual360=1,ConRate*MT$25/360,ConRate/12),0)</f>
        <v/>
      </c>
      <c r="MU30" s="260">
        <f>IF(Timeline!MU$42=1,IF(ConActual360=1,ConRate*MU$25/360,ConRate/12),0)</f>
        <v/>
      </c>
      <c r="MV30" s="260">
        <f>IF(Timeline!MV$42=1,IF(ConActual360=1,ConRate*MV$25/360,ConRate/12),0)</f>
        <v/>
      </c>
      <c r="MW30" s="260">
        <f>IF(Timeline!MW$42=1,IF(ConActual360=1,ConRate*MW$25/360,ConRate/12),0)</f>
        <v/>
      </c>
      <c r="MX30" s="260">
        <f>IF(Timeline!MX$42=1,IF(ConActual360=1,ConRate*MX$25/360,ConRate/12),0)</f>
        <v/>
      </c>
      <c r="MY30" s="260">
        <f>IF(Timeline!MY$42=1,IF(ConActual360=1,ConRate*MY$25/360,ConRate/12),0)</f>
        <v/>
      </c>
      <c r="MZ30" s="260">
        <f>IF(Timeline!MZ$42=1,IF(ConActual360=1,ConRate*MZ$25/360,ConRate/12),0)</f>
        <v/>
      </c>
      <c r="NA30" s="260">
        <f>IF(Timeline!NA$42=1,IF(ConActual360=1,ConRate*NA$25/360,ConRate/12),0)</f>
        <v/>
      </c>
      <c r="NB30" s="260">
        <f>IF(Timeline!NB$42=1,IF(ConActual360=1,ConRate*NB$25/360,ConRate/12),0)</f>
        <v/>
      </c>
      <c r="NC30" s="260">
        <f>IF(Timeline!NC$42=1,IF(ConActual360=1,ConRate*NC$25/360,ConRate/12),0)</f>
        <v/>
      </c>
      <c r="ND30" s="260">
        <f>IF(Timeline!ND$42=1,IF(ConActual360=1,ConRate*ND$25/360,ConRate/12),0)</f>
        <v/>
      </c>
      <c r="NE30" s="260">
        <f>IF(Timeline!NE$42=1,IF(ConActual360=1,ConRate*NE$25/360,ConRate/12),0)</f>
        <v/>
      </c>
      <c r="NF30" s="260">
        <f>IF(Timeline!NF$42=1,IF(ConActual360=1,ConRate*NF$25/360,ConRate/12),0)</f>
        <v/>
      </c>
      <c r="NG30" s="260">
        <f>IF(Timeline!NG$42=1,IF(ConActual360=1,ConRate*NG$25/360,ConRate/12),0)</f>
        <v/>
      </c>
      <c r="NH30" s="260">
        <f>IF(Timeline!NH$42=1,IF(ConActual360=1,ConRate*NH$25/360,ConRate/12),0)</f>
        <v/>
      </c>
      <c r="NI30" s="260">
        <f>IF(Timeline!NI$42=1,IF(ConActual360=1,ConRate*NI$25/360,ConRate/12),0)</f>
        <v/>
      </c>
      <c r="NJ30" s="260">
        <f>IF(Timeline!NJ$42=1,IF(ConActual360=1,ConRate*NJ$25/360,ConRate/12),0)</f>
        <v/>
      </c>
      <c r="NK30" s="260">
        <f>IF(Timeline!NK$42=1,IF(ConActual360=1,ConRate*NK$25/360,ConRate/12),0)</f>
        <v/>
      </c>
      <c r="NL30" s="260">
        <f>IF(Timeline!NL$42=1,IF(ConActual360=1,ConRate*NL$25/360,ConRate/12),0)</f>
        <v/>
      </c>
    </row>
    <row r="31">
      <c r="B31" s="36" t="inlineStr">
        <is>
          <t>Interest Accrued (capitalized)</t>
        </is>
      </c>
      <c r="D31" s="258">
        <f>SUM(E31:NL31)</f>
        <v/>
      </c>
      <c r="E31" s="218">
        <f>0</f>
        <v/>
      </c>
      <c r="F31" s="218">
        <f>IF(Timeline!F$42=1,F$30*E32*IF(OR(InterestMethodCurrentPay=0,F$23&lt;IntConvMonth),1,0),0)</f>
        <v/>
      </c>
      <c r="G31" s="218">
        <f>IF(Timeline!G$42=1,G$30*F32*IF(OR(InterestMethodCurrentPay=0,G$23&lt;IntConvMonth),1,0),0)</f>
        <v/>
      </c>
      <c r="H31" s="218">
        <f>IF(Timeline!H$42=1,H$30*G32*IF(OR(InterestMethodCurrentPay=0,H$23&lt;IntConvMonth),1,0),0)</f>
        <v/>
      </c>
      <c r="I31" s="218">
        <f>IF(Timeline!I$42=1,I$30*H32*IF(OR(InterestMethodCurrentPay=0,I$23&lt;IntConvMonth),1,0),0)</f>
        <v/>
      </c>
      <c r="J31" s="218">
        <f>IF(Timeline!J$42=1,J$30*I32*IF(OR(InterestMethodCurrentPay=0,J$23&lt;IntConvMonth),1,0),0)</f>
        <v/>
      </c>
      <c r="K31" s="218">
        <f>IF(Timeline!K$42=1,K$30*J32*IF(OR(InterestMethodCurrentPay=0,K$23&lt;IntConvMonth),1,0),0)</f>
        <v/>
      </c>
      <c r="L31" s="218">
        <f>IF(Timeline!L$42=1,L$30*K32*IF(OR(InterestMethodCurrentPay=0,L$23&lt;IntConvMonth),1,0),0)</f>
        <v/>
      </c>
      <c r="M31" s="218">
        <f>IF(Timeline!M$42=1,M$30*L32*IF(OR(InterestMethodCurrentPay=0,M$23&lt;IntConvMonth),1,0),0)</f>
        <v/>
      </c>
      <c r="N31" s="218">
        <f>IF(Timeline!N$42=1,N$30*M32*IF(OR(InterestMethodCurrentPay=0,N$23&lt;IntConvMonth),1,0),0)</f>
        <v/>
      </c>
      <c r="O31" s="218">
        <f>IF(Timeline!O$42=1,O$30*N32*IF(OR(InterestMethodCurrentPay=0,O$23&lt;IntConvMonth),1,0),0)</f>
        <v/>
      </c>
      <c r="P31" s="218">
        <f>IF(Timeline!P$42=1,P$30*O32*IF(OR(InterestMethodCurrentPay=0,P$23&lt;IntConvMonth),1,0),0)</f>
        <v/>
      </c>
      <c r="Q31" s="218">
        <f>IF(Timeline!Q$42=1,Q$30*P32*IF(OR(InterestMethodCurrentPay=0,Q$23&lt;IntConvMonth),1,0),0)</f>
        <v/>
      </c>
      <c r="R31" s="218">
        <f>IF(Timeline!R$42=1,R$30*Q32*IF(OR(InterestMethodCurrentPay=0,R$23&lt;IntConvMonth),1,0),0)</f>
        <v/>
      </c>
      <c r="S31" s="218">
        <f>IF(Timeline!S$42=1,S$30*R32*IF(OR(InterestMethodCurrentPay=0,S$23&lt;IntConvMonth),1,0),0)</f>
        <v/>
      </c>
      <c r="T31" s="218">
        <f>IF(Timeline!T$42=1,T$30*S32*IF(OR(InterestMethodCurrentPay=0,T$23&lt;IntConvMonth),1,0),0)</f>
        <v/>
      </c>
      <c r="U31" s="218">
        <f>IF(Timeline!U$42=1,U$30*T32*IF(OR(InterestMethodCurrentPay=0,U$23&lt;IntConvMonth),1,0),0)</f>
        <v/>
      </c>
      <c r="V31" s="218">
        <f>IF(Timeline!V$42=1,V$30*U32*IF(OR(InterestMethodCurrentPay=0,V$23&lt;IntConvMonth),1,0),0)</f>
        <v/>
      </c>
      <c r="W31" s="218">
        <f>IF(Timeline!W$42=1,W$30*V32*IF(OR(InterestMethodCurrentPay=0,W$23&lt;IntConvMonth),1,0),0)</f>
        <v/>
      </c>
      <c r="X31" s="218">
        <f>IF(Timeline!X$42=1,X$30*W32*IF(OR(InterestMethodCurrentPay=0,X$23&lt;IntConvMonth),1,0),0)</f>
        <v/>
      </c>
      <c r="Y31" s="218">
        <f>IF(Timeline!Y$42=1,Y$30*X32*IF(OR(InterestMethodCurrentPay=0,Y$23&lt;IntConvMonth),1,0),0)</f>
        <v/>
      </c>
      <c r="Z31" s="218">
        <f>IF(Timeline!Z$42=1,Z$30*Y32*IF(OR(InterestMethodCurrentPay=0,Z$23&lt;IntConvMonth),1,0),0)</f>
        <v/>
      </c>
      <c r="AA31" s="218">
        <f>IF(Timeline!AA$42=1,AA$30*Z32*IF(OR(InterestMethodCurrentPay=0,AA$23&lt;IntConvMonth),1,0),0)</f>
        <v/>
      </c>
      <c r="AB31" s="218">
        <f>IF(Timeline!AB$42=1,AB$30*AA32*IF(OR(InterestMethodCurrentPay=0,AB$23&lt;IntConvMonth),1,0),0)</f>
        <v/>
      </c>
      <c r="AC31" s="218">
        <f>IF(Timeline!AC$42=1,AC$30*AB32*IF(OR(InterestMethodCurrentPay=0,AC$23&lt;IntConvMonth),1,0),0)</f>
        <v/>
      </c>
      <c r="AD31" s="218">
        <f>IF(Timeline!AD$42=1,AD$30*AC32*IF(OR(InterestMethodCurrentPay=0,AD$23&lt;IntConvMonth),1,0),0)</f>
        <v/>
      </c>
      <c r="AE31" s="218">
        <f>IF(Timeline!AE$42=1,AE$30*AD32*IF(OR(InterestMethodCurrentPay=0,AE$23&lt;IntConvMonth),1,0),0)</f>
        <v/>
      </c>
      <c r="AF31" s="218">
        <f>IF(Timeline!AF$42=1,AF$30*AE32*IF(OR(InterestMethodCurrentPay=0,AF$23&lt;IntConvMonth),1,0),0)</f>
        <v/>
      </c>
      <c r="AG31" s="218">
        <f>IF(Timeline!AG$42=1,AG$30*AF32*IF(OR(InterestMethodCurrentPay=0,AG$23&lt;IntConvMonth),1,0),0)</f>
        <v/>
      </c>
      <c r="AH31" s="218">
        <f>IF(Timeline!AH$42=1,AH$30*AG32*IF(OR(InterestMethodCurrentPay=0,AH$23&lt;IntConvMonth),1,0),0)</f>
        <v/>
      </c>
      <c r="AI31" s="218">
        <f>IF(Timeline!AI$42=1,AI$30*AH32*IF(OR(InterestMethodCurrentPay=0,AI$23&lt;IntConvMonth),1,0),0)</f>
        <v/>
      </c>
      <c r="AJ31" s="218">
        <f>IF(Timeline!AJ$42=1,AJ$30*AI32*IF(OR(InterestMethodCurrentPay=0,AJ$23&lt;IntConvMonth),1,0),0)</f>
        <v/>
      </c>
      <c r="AK31" s="218">
        <f>IF(Timeline!AK$42=1,AK$30*AJ32*IF(OR(InterestMethodCurrentPay=0,AK$23&lt;IntConvMonth),1,0),0)</f>
        <v/>
      </c>
      <c r="AL31" s="218">
        <f>IF(Timeline!AL$42=1,AL$30*AK32*IF(OR(InterestMethodCurrentPay=0,AL$23&lt;IntConvMonth),1,0),0)</f>
        <v/>
      </c>
      <c r="AM31" s="218">
        <f>IF(Timeline!AM$42=1,AM$30*AL32*IF(OR(InterestMethodCurrentPay=0,AM$23&lt;IntConvMonth),1,0),0)</f>
        <v/>
      </c>
      <c r="AN31" s="218">
        <f>IF(Timeline!AN$42=1,AN$30*AM32*IF(OR(InterestMethodCurrentPay=0,AN$23&lt;IntConvMonth),1,0),0)</f>
        <v/>
      </c>
      <c r="AO31" s="218">
        <f>IF(Timeline!AO$42=1,AO$30*AN32*IF(OR(InterestMethodCurrentPay=0,AO$23&lt;IntConvMonth),1,0),0)</f>
        <v/>
      </c>
      <c r="AP31" s="218">
        <f>IF(Timeline!AP$42=1,AP$30*AO32*IF(OR(InterestMethodCurrentPay=0,AP$23&lt;IntConvMonth),1,0),0)</f>
        <v/>
      </c>
      <c r="AQ31" s="218">
        <f>IF(Timeline!AQ$42=1,AQ$30*AP32*IF(OR(InterestMethodCurrentPay=0,AQ$23&lt;IntConvMonth),1,0),0)</f>
        <v/>
      </c>
      <c r="AR31" s="218">
        <f>IF(Timeline!AR$42=1,AR$30*AQ32*IF(OR(InterestMethodCurrentPay=0,AR$23&lt;IntConvMonth),1,0),0)</f>
        <v/>
      </c>
      <c r="AS31" s="218">
        <f>IF(Timeline!AS$42=1,AS$30*AR32*IF(OR(InterestMethodCurrentPay=0,AS$23&lt;IntConvMonth),1,0),0)</f>
        <v/>
      </c>
      <c r="AT31" s="218">
        <f>IF(Timeline!AT$42=1,AT$30*AS32*IF(OR(InterestMethodCurrentPay=0,AT$23&lt;IntConvMonth),1,0),0)</f>
        <v/>
      </c>
      <c r="AU31" s="218">
        <f>IF(Timeline!AU$42=1,AU$30*AT32*IF(OR(InterestMethodCurrentPay=0,AU$23&lt;IntConvMonth),1,0),0)</f>
        <v/>
      </c>
      <c r="AV31" s="218">
        <f>IF(Timeline!AV$42=1,AV$30*AU32*IF(OR(InterestMethodCurrentPay=0,AV$23&lt;IntConvMonth),1,0),0)</f>
        <v/>
      </c>
      <c r="AW31" s="218">
        <f>IF(Timeline!AW$42=1,AW$30*AV32*IF(OR(InterestMethodCurrentPay=0,AW$23&lt;IntConvMonth),1,0),0)</f>
        <v/>
      </c>
      <c r="AX31" s="218">
        <f>IF(Timeline!AX$42=1,AX$30*AW32*IF(OR(InterestMethodCurrentPay=0,AX$23&lt;IntConvMonth),1,0),0)</f>
        <v/>
      </c>
      <c r="AY31" s="218">
        <f>IF(Timeline!AY$42=1,AY$30*AX32*IF(OR(InterestMethodCurrentPay=0,AY$23&lt;IntConvMonth),1,0),0)</f>
        <v/>
      </c>
      <c r="AZ31" s="218">
        <f>IF(Timeline!AZ$42=1,AZ$30*AY32*IF(OR(InterestMethodCurrentPay=0,AZ$23&lt;IntConvMonth),1,0),0)</f>
        <v/>
      </c>
      <c r="BA31" s="218">
        <f>IF(Timeline!BA$42=1,BA$30*AZ32*IF(OR(InterestMethodCurrentPay=0,BA$23&lt;IntConvMonth),1,0),0)</f>
        <v/>
      </c>
      <c r="BB31" s="218">
        <f>IF(Timeline!BB$42=1,BB$30*BA32*IF(OR(InterestMethodCurrentPay=0,BB$23&lt;IntConvMonth),1,0),0)</f>
        <v/>
      </c>
      <c r="BC31" s="218">
        <f>IF(Timeline!BC$42=1,BC$30*BB32*IF(OR(InterestMethodCurrentPay=0,BC$23&lt;IntConvMonth),1,0),0)</f>
        <v/>
      </c>
      <c r="BD31" s="218">
        <f>IF(Timeline!BD$42=1,BD$30*BC32*IF(OR(InterestMethodCurrentPay=0,BD$23&lt;IntConvMonth),1,0),0)</f>
        <v/>
      </c>
      <c r="BE31" s="218">
        <f>IF(Timeline!BE$42=1,BE$30*BD32*IF(OR(InterestMethodCurrentPay=0,BE$23&lt;IntConvMonth),1,0),0)</f>
        <v/>
      </c>
      <c r="BF31" s="218">
        <f>IF(Timeline!BF$42=1,BF$30*BE32*IF(OR(InterestMethodCurrentPay=0,BF$23&lt;IntConvMonth),1,0),0)</f>
        <v/>
      </c>
      <c r="BG31" s="218">
        <f>IF(Timeline!BG$42=1,BG$30*BF32*IF(OR(InterestMethodCurrentPay=0,BG$23&lt;IntConvMonth),1,0),0)</f>
        <v/>
      </c>
      <c r="BH31" s="218">
        <f>IF(Timeline!BH$42=1,BH$30*BG32*IF(OR(InterestMethodCurrentPay=0,BH$23&lt;IntConvMonth),1,0),0)</f>
        <v/>
      </c>
      <c r="BI31" s="218">
        <f>IF(Timeline!BI$42=1,BI$30*BH32*IF(OR(InterestMethodCurrentPay=0,BI$23&lt;IntConvMonth),1,0),0)</f>
        <v/>
      </c>
      <c r="BJ31" s="218">
        <f>IF(Timeline!BJ$42=1,BJ$30*BI32*IF(OR(InterestMethodCurrentPay=0,BJ$23&lt;IntConvMonth),1,0),0)</f>
        <v/>
      </c>
      <c r="BK31" s="218">
        <f>IF(Timeline!BK$42=1,BK$30*BJ32*IF(OR(InterestMethodCurrentPay=0,BK$23&lt;IntConvMonth),1,0),0)</f>
        <v/>
      </c>
      <c r="BL31" s="218">
        <f>IF(Timeline!BL$42=1,BL$30*BK32*IF(OR(InterestMethodCurrentPay=0,BL$23&lt;IntConvMonth),1,0),0)</f>
        <v/>
      </c>
      <c r="BM31" s="218">
        <f>IF(Timeline!BM$42=1,BM$30*BL32*IF(OR(InterestMethodCurrentPay=0,BM$23&lt;IntConvMonth),1,0),0)</f>
        <v/>
      </c>
      <c r="BN31" s="218">
        <f>IF(Timeline!BN$42=1,BN$30*BM32*IF(OR(InterestMethodCurrentPay=0,BN$23&lt;IntConvMonth),1,0),0)</f>
        <v/>
      </c>
      <c r="BO31" s="218">
        <f>IF(Timeline!BO$42=1,BO$30*BN32*IF(OR(InterestMethodCurrentPay=0,BO$23&lt;IntConvMonth),1,0),0)</f>
        <v/>
      </c>
      <c r="BP31" s="218">
        <f>IF(Timeline!BP$42=1,BP$30*BO32*IF(OR(InterestMethodCurrentPay=0,BP$23&lt;IntConvMonth),1,0),0)</f>
        <v/>
      </c>
      <c r="BQ31" s="218">
        <f>IF(Timeline!BQ$42=1,BQ$30*BP32*IF(OR(InterestMethodCurrentPay=0,BQ$23&lt;IntConvMonth),1,0),0)</f>
        <v/>
      </c>
      <c r="BR31" s="218">
        <f>IF(Timeline!BR$42=1,BR$30*BQ32*IF(OR(InterestMethodCurrentPay=0,BR$23&lt;IntConvMonth),1,0),0)</f>
        <v/>
      </c>
      <c r="BS31" s="218">
        <f>IF(Timeline!BS$42=1,BS$30*BR32*IF(OR(InterestMethodCurrentPay=0,BS$23&lt;IntConvMonth),1,0),0)</f>
        <v/>
      </c>
      <c r="BT31" s="218">
        <f>IF(Timeline!BT$42=1,BT$30*BS32*IF(OR(InterestMethodCurrentPay=0,BT$23&lt;IntConvMonth),1,0),0)</f>
        <v/>
      </c>
      <c r="BU31" s="218">
        <f>IF(Timeline!BU$42=1,BU$30*BT32*IF(OR(InterestMethodCurrentPay=0,BU$23&lt;IntConvMonth),1,0),0)</f>
        <v/>
      </c>
      <c r="BV31" s="218">
        <f>IF(Timeline!BV$42=1,BV$30*BU32*IF(OR(InterestMethodCurrentPay=0,BV$23&lt;IntConvMonth),1,0),0)</f>
        <v/>
      </c>
      <c r="BW31" s="218">
        <f>IF(Timeline!BW$42=1,BW$30*BV32*IF(OR(InterestMethodCurrentPay=0,BW$23&lt;IntConvMonth),1,0),0)</f>
        <v/>
      </c>
      <c r="BX31" s="218">
        <f>IF(Timeline!BX$42=1,BX$30*BW32*IF(OR(InterestMethodCurrentPay=0,BX$23&lt;IntConvMonth),1,0),0)</f>
        <v/>
      </c>
      <c r="BY31" s="218">
        <f>IF(Timeline!BY$42=1,BY$30*BX32*IF(OR(InterestMethodCurrentPay=0,BY$23&lt;IntConvMonth),1,0),0)</f>
        <v/>
      </c>
      <c r="BZ31" s="218">
        <f>IF(Timeline!BZ$42=1,BZ$30*BY32*IF(OR(InterestMethodCurrentPay=0,BZ$23&lt;IntConvMonth),1,0),0)</f>
        <v/>
      </c>
      <c r="CA31" s="218">
        <f>IF(Timeline!CA$42=1,CA$30*BZ32*IF(OR(InterestMethodCurrentPay=0,CA$23&lt;IntConvMonth),1,0),0)</f>
        <v/>
      </c>
      <c r="CB31" s="218">
        <f>IF(Timeline!CB$42=1,CB$30*CA32*IF(OR(InterestMethodCurrentPay=0,CB$23&lt;IntConvMonth),1,0),0)</f>
        <v/>
      </c>
      <c r="CC31" s="218">
        <f>IF(Timeline!CC$42=1,CC$30*CB32*IF(OR(InterestMethodCurrentPay=0,CC$23&lt;IntConvMonth),1,0),0)</f>
        <v/>
      </c>
      <c r="CD31" s="218">
        <f>IF(Timeline!CD$42=1,CD$30*CC32*IF(OR(InterestMethodCurrentPay=0,CD$23&lt;IntConvMonth),1,0),0)</f>
        <v/>
      </c>
      <c r="CE31" s="218">
        <f>IF(Timeline!CE$42=1,CE$30*CD32*IF(OR(InterestMethodCurrentPay=0,CE$23&lt;IntConvMonth),1,0),0)</f>
        <v/>
      </c>
      <c r="CF31" s="218">
        <f>IF(Timeline!CF$42=1,CF$30*CE32*IF(OR(InterestMethodCurrentPay=0,CF$23&lt;IntConvMonth),1,0),0)</f>
        <v/>
      </c>
      <c r="CG31" s="218">
        <f>IF(Timeline!CG$42=1,CG$30*CF32*IF(OR(InterestMethodCurrentPay=0,CG$23&lt;IntConvMonth),1,0),0)</f>
        <v/>
      </c>
      <c r="CH31" s="218">
        <f>IF(Timeline!CH$42=1,CH$30*CG32*IF(OR(InterestMethodCurrentPay=0,CH$23&lt;IntConvMonth),1,0),0)</f>
        <v/>
      </c>
      <c r="CI31" s="218">
        <f>IF(Timeline!CI$42=1,CI$30*CH32*IF(OR(InterestMethodCurrentPay=0,CI$23&lt;IntConvMonth),1,0),0)</f>
        <v/>
      </c>
      <c r="CJ31" s="218">
        <f>IF(Timeline!CJ$42=1,CJ$30*CI32*IF(OR(InterestMethodCurrentPay=0,CJ$23&lt;IntConvMonth),1,0),0)</f>
        <v/>
      </c>
      <c r="CK31" s="218">
        <f>IF(Timeline!CK$42=1,CK$30*CJ32*IF(OR(InterestMethodCurrentPay=0,CK$23&lt;IntConvMonth),1,0),0)</f>
        <v/>
      </c>
      <c r="CL31" s="218">
        <f>IF(Timeline!CL$42=1,CL$30*CK32*IF(OR(InterestMethodCurrentPay=0,CL$23&lt;IntConvMonth),1,0),0)</f>
        <v/>
      </c>
      <c r="CM31" s="218">
        <f>IF(Timeline!CM$42=1,CM$30*CL32*IF(OR(InterestMethodCurrentPay=0,CM$23&lt;IntConvMonth),1,0),0)</f>
        <v/>
      </c>
      <c r="CN31" s="218">
        <f>IF(Timeline!CN$42=1,CN$30*CM32*IF(OR(InterestMethodCurrentPay=0,CN$23&lt;IntConvMonth),1,0),0)</f>
        <v/>
      </c>
      <c r="CO31" s="218">
        <f>IF(Timeline!CO$42=1,CO$30*CN32*IF(OR(InterestMethodCurrentPay=0,CO$23&lt;IntConvMonth),1,0),0)</f>
        <v/>
      </c>
      <c r="CP31" s="218">
        <f>IF(Timeline!CP$42=1,CP$30*CO32*IF(OR(InterestMethodCurrentPay=0,CP$23&lt;IntConvMonth),1,0),0)</f>
        <v/>
      </c>
      <c r="CQ31" s="218">
        <f>IF(Timeline!CQ$42=1,CQ$30*CP32*IF(OR(InterestMethodCurrentPay=0,CQ$23&lt;IntConvMonth),1,0),0)</f>
        <v/>
      </c>
      <c r="CR31" s="218">
        <f>IF(Timeline!CR$42=1,CR$30*CQ32*IF(OR(InterestMethodCurrentPay=0,CR$23&lt;IntConvMonth),1,0),0)</f>
        <v/>
      </c>
      <c r="CS31" s="218">
        <f>IF(Timeline!CS$42=1,CS$30*CR32*IF(OR(InterestMethodCurrentPay=0,CS$23&lt;IntConvMonth),1,0),0)</f>
        <v/>
      </c>
      <c r="CT31" s="218">
        <f>IF(Timeline!CT$42=1,CT$30*CS32*IF(OR(InterestMethodCurrentPay=0,CT$23&lt;IntConvMonth),1,0),0)</f>
        <v/>
      </c>
      <c r="CU31" s="218">
        <f>IF(Timeline!CU$42=1,CU$30*CT32*IF(OR(InterestMethodCurrentPay=0,CU$23&lt;IntConvMonth),1,0),0)</f>
        <v/>
      </c>
      <c r="CV31" s="218">
        <f>IF(Timeline!CV$42=1,CV$30*CU32*IF(OR(InterestMethodCurrentPay=0,CV$23&lt;IntConvMonth),1,0),0)</f>
        <v/>
      </c>
      <c r="CW31" s="218">
        <f>IF(Timeline!CW$42=1,CW$30*CV32*IF(OR(InterestMethodCurrentPay=0,CW$23&lt;IntConvMonth),1,0),0)</f>
        <v/>
      </c>
      <c r="CX31" s="218">
        <f>IF(Timeline!CX$42=1,CX$30*CW32*IF(OR(InterestMethodCurrentPay=0,CX$23&lt;IntConvMonth),1,0),0)</f>
        <v/>
      </c>
      <c r="CY31" s="218">
        <f>IF(Timeline!CY$42=1,CY$30*CX32*IF(OR(InterestMethodCurrentPay=0,CY$23&lt;IntConvMonth),1,0),0)</f>
        <v/>
      </c>
      <c r="CZ31" s="218">
        <f>IF(Timeline!CZ$42=1,CZ$30*CY32*IF(OR(InterestMethodCurrentPay=0,CZ$23&lt;IntConvMonth),1,0),0)</f>
        <v/>
      </c>
      <c r="DA31" s="218">
        <f>IF(Timeline!DA$42=1,DA$30*CZ32*IF(OR(InterestMethodCurrentPay=0,DA$23&lt;IntConvMonth),1,0),0)</f>
        <v/>
      </c>
      <c r="DB31" s="218">
        <f>IF(Timeline!DB$42=1,DB$30*DA32*IF(OR(InterestMethodCurrentPay=0,DB$23&lt;IntConvMonth),1,0),0)</f>
        <v/>
      </c>
      <c r="DC31" s="218">
        <f>IF(Timeline!DC$42=1,DC$30*DB32*IF(OR(InterestMethodCurrentPay=0,DC$23&lt;IntConvMonth),1,0),0)</f>
        <v/>
      </c>
      <c r="DD31" s="218">
        <f>IF(Timeline!DD$42=1,DD$30*DC32*IF(OR(InterestMethodCurrentPay=0,DD$23&lt;IntConvMonth),1,0),0)</f>
        <v/>
      </c>
      <c r="DE31" s="218">
        <f>IF(Timeline!DE$42=1,DE$30*DD32*IF(OR(InterestMethodCurrentPay=0,DE$23&lt;IntConvMonth),1,0),0)</f>
        <v/>
      </c>
      <c r="DF31" s="218">
        <f>IF(Timeline!DF$42=1,DF$30*DE32*IF(OR(InterestMethodCurrentPay=0,DF$23&lt;IntConvMonth),1,0),0)</f>
        <v/>
      </c>
      <c r="DG31" s="218">
        <f>IF(Timeline!DG$42=1,DG$30*DF32*IF(OR(InterestMethodCurrentPay=0,DG$23&lt;IntConvMonth),1,0),0)</f>
        <v/>
      </c>
      <c r="DH31" s="218">
        <f>IF(Timeline!DH$42=1,DH$30*DG32*IF(OR(InterestMethodCurrentPay=0,DH$23&lt;IntConvMonth),1,0),0)</f>
        <v/>
      </c>
      <c r="DI31" s="218">
        <f>IF(Timeline!DI$42=1,DI$30*DH32*IF(OR(InterestMethodCurrentPay=0,DI$23&lt;IntConvMonth),1,0),0)</f>
        <v/>
      </c>
      <c r="DJ31" s="218">
        <f>IF(Timeline!DJ$42=1,DJ$30*DI32*IF(OR(InterestMethodCurrentPay=0,DJ$23&lt;IntConvMonth),1,0),0)</f>
        <v/>
      </c>
      <c r="DK31" s="218">
        <f>IF(Timeline!DK$42=1,DK$30*DJ32*IF(OR(InterestMethodCurrentPay=0,DK$23&lt;IntConvMonth),1,0),0)</f>
        <v/>
      </c>
      <c r="DL31" s="218">
        <f>IF(Timeline!DL$42=1,DL$30*DK32*IF(OR(InterestMethodCurrentPay=0,DL$23&lt;IntConvMonth),1,0),0)</f>
        <v/>
      </c>
      <c r="DM31" s="218">
        <f>IF(Timeline!DM$42=1,DM$30*DL32*IF(OR(InterestMethodCurrentPay=0,DM$23&lt;IntConvMonth),1,0),0)</f>
        <v/>
      </c>
      <c r="DN31" s="218">
        <f>IF(Timeline!DN$42=1,DN$30*DM32*IF(OR(InterestMethodCurrentPay=0,DN$23&lt;IntConvMonth),1,0),0)</f>
        <v/>
      </c>
      <c r="DO31" s="218">
        <f>IF(Timeline!DO$42=1,DO$30*DN32*IF(OR(InterestMethodCurrentPay=0,DO$23&lt;IntConvMonth),1,0),0)</f>
        <v/>
      </c>
      <c r="DP31" s="218">
        <f>IF(Timeline!DP$42=1,DP$30*DO32*IF(OR(InterestMethodCurrentPay=0,DP$23&lt;IntConvMonth),1,0),0)</f>
        <v/>
      </c>
      <c r="DQ31" s="218">
        <f>IF(Timeline!DQ$42=1,DQ$30*DP32*IF(OR(InterestMethodCurrentPay=0,DQ$23&lt;IntConvMonth),1,0),0)</f>
        <v/>
      </c>
      <c r="DR31" s="218">
        <f>IF(Timeline!DR$42=1,DR$30*DQ32*IF(OR(InterestMethodCurrentPay=0,DR$23&lt;IntConvMonth),1,0),0)</f>
        <v/>
      </c>
      <c r="DS31" s="218">
        <f>IF(Timeline!DS$42=1,DS$30*DR32*IF(OR(InterestMethodCurrentPay=0,DS$23&lt;IntConvMonth),1,0),0)</f>
        <v/>
      </c>
      <c r="DT31" s="218">
        <f>IF(Timeline!DT$42=1,DT$30*DS32*IF(OR(InterestMethodCurrentPay=0,DT$23&lt;IntConvMonth),1,0),0)</f>
        <v/>
      </c>
      <c r="DU31" s="218">
        <f>IF(Timeline!DU$42=1,DU$30*DT32*IF(OR(InterestMethodCurrentPay=0,DU$23&lt;IntConvMonth),1,0),0)</f>
        <v/>
      </c>
      <c r="DV31" s="218">
        <f>IF(Timeline!DV$42=1,DV$30*DU32*IF(OR(InterestMethodCurrentPay=0,DV$23&lt;IntConvMonth),1,0),0)</f>
        <v/>
      </c>
      <c r="DW31" s="218">
        <f>IF(Timeline!DW$42=1,DW$30*DV32*IF(OR(InterestMethodCurrentPay=0,DW$23&lt;IntConvMonth),1,0),0)</f>
        <v/>
      </c>
      <c r="DX31" s="218">
        <f>IF(Timeline!DX$42=1,DX$30*DW32*IF(OR(InterestMethodCurrentPay=0,DX$23&lt;IntConvMonth),1,0),0)</f>
        <v/>
      </c>
      <c r="DY31" s="218">
        <f>IF(Timeline!DY$42=1,DY$30*DX32*IF(OR(InterestMethodCurrentPay=0,DY$23&lt;IntConvMonth),1,0),0)</f>
        <v/>
      </c>
      <c r="DZ31" s="218">
        <f>IF(Timeline!DZ$42=1,DZ$30*DY32*IF(OR(InterestMethodCurrentPay=0,DZ$23&lt;IntConvMonth),1,0),0)</f>
        <v/>
      </c>
      <c r="EA31" s="218">
        <f>IF(Timeline!EA$42=1,EA$30*DZ32*IF(OR(InterestMethodCurrentPay=0,EA$23&lt;IntConvMonth),1,0),0)</f>
        <v/>
      </c>
      <c r="EB31" s="218">
        <f>IF(Timeline!EB$42=1,EB$30*EA32*IF(OR(InterestMethodCurrentPay=0,EB$23&lt;IntConvMonth),1,0),0)</f>
        <v/>
      </c>
      <c r="EC31" s="218">
        <f>IF(Timeline!EC$42=1,EC$30*EB32*IF(OR(InterestMethodCurrentPay=0,EC$23&lt;IntConvMonth),1,0),0)</f>
        <v/>
      </c>
      <c r="ED31" s="218">
        <f>IF(Timeline!ED$42=1,ED$30*EC32*IF(OR(InterestMethodCurrentPay=0,ED$23&lt;IntConvMonth),1,0),0)</f>
        <v/>
      </c>
      <c r="EE31" s="218">
        <f>IF(Timeline!EE$42=1,EE$30*ED32*IF(OR(InterestMethodCurrentPay=0,EE$23&lt;IntConvMonth),1,0),0)</f>
        <v/>
      </c>
      <c r="EF31" s="218">
        <f>IF(Timeline!EF$42=1,EF$30*EE32*IF(OR(InterestMethodCurrentPay=0,EF$23&lt;IntConvMonth),1,0),0)</f>
        <v/>
      </c>
      <c r="EG31" s="218">
        <f>IF(Timeline!EG$42=1,EG$30*EF32*IF(OR(InterestMethodCurrentPay=0,EG$23&lt;IntConvMonth),1,0),0)</f>
        <v/>
      </c>
      <c r="EH31" s="218">
        <f>IF(Timeline!EH$42=1,EH$30*EG32*IF(OR(InterestMethodCurrentPay=0,EH$23&lt;IntConvMonth),1,0),0)</f>
        <v/>
      </c>
      <c r="EI31" s="218">
        <f>IF(Timeline!EI$42=1,EI$30*EH32*IF(OR(InterestMethodCurrentPay=0,EI$23&lt;IntConvMonth),1,0),0)</f>
        <v/>
      </c>
      <c r="EJ31" s="218">
        <f>IF(Timeline!EJ$42=1,EJ$30*EI32*IF(OR(InterestMethodCurrentPay=0,EJ$23&lt;IntConvMonth),1,0),0)</f>
        <v/>
      </c>
      <c r="EK31" s="218">
        <f>IF(Timeline!EK$42=1,EK$30*EJ32*IF(OR(InterestMethodCurrentPay=0,EK$23&lt;IntConvMonth),1,0),0)</f>
        <v/>
      </c>
      <c r="EL31" s="218">
        <f>IF(Timeline!EL$42=1,EL$30*EK32*IF(OR(InterestMethodCurrentPay=0,EL$23&lt;IntConvMonth),1,0),0)</f>
        <v/>
      </c>
      <c r="EM31" s="218">
        <f>IF(Timeline!EM$42=1,EM$30*EL32*IF(OR(InterestMethodCurrentPay=0,EM$23&lt;IntConvMonth),1,0),0)</f>
        <v/>
      </c>
      <c r="EN31" s="218">
        <f>IF(Timeline!EN$42=1,EN$30*EM32*IF(OR(InterestMethodCurrentPay=0,EN$23&lt;IntConvMonth),1,0),0)</f>
        <v/>
      </c>
      <c r="EO31" s="218">
        <f>IF(Timeline!EO$42=1,EO$30*EN32*IF(OR(InterestMethodCurrentPay=0,EO$23&lt;IntConvMonth),1,0),0)</f>
        <v/>
      </c>
      <c r="EP31" s="218">
        <f>IF(Timeline!EP$42=1,EP$30*EO32*IF(OR(InterestMethodCurrentPay=0,EP$23&lt;IntConvMonth),1,0),0)</f>
        <v/>
      </c>
      <c r="EQ31" s="218">
        <f>IF(Timeline!EQ$42=1,EQ$30*EP32*IF(OR(InterestMethodCurrentPay=0,EQ$23&lt;IntConvMonth),1,0),0)</f>
        <v/>
      </c>
      <c r="ER31" s="218">
        <f>IF(Timeline!ER$42=1,ER$30*EQ32*IF(OR(InterestMethodCurrentPay=0,ER$23&lt;IntConvMonth),1,0),0)</f>
        <v/>
      </c>
      <c r="ES31" s="218">
        <f>IF(Timeline!ES$42=1,ES$30*ER32*IF(OR(InterestMethodCurrentPay=0,ES$23&lt;IntConvMonth),1,0),0)</f>
        <v/>
      </c>
      <c r="ET31" s="218">
        <f>IF(Timeline!ET$42=1,ET$30*ES32*IF(OR(InterestMethodCurrentPay=0,ET$23&lt;IntConvMonth),1,0),0)</f>
        <v/>
      </c>
      <c r="EU31" s="218">
        <f>IF(Timeline!EU$42=1,EU$30*ET32*IF(OR(InterestMethodCurrentPay=0,EU$23&lt;IntConvMonth),1,0),0)</f>
        <v/>
      </c>
      <c r="EV31" s="218">
        <f>IF(Timeline!EV$42=1,EV$30*EU32*IF(OR(InterestMethodCurrentPay=0,EV$23&lt;IntConvMonth),1,0),0)</f>
        <v/>
      </c>
      <c r="EW31" s="218">
        <f>IF(Timeline!EW$42=1,EW$30*EV32*IF(OR(InterestMethodCurrentPay=0,EW$23&lt;IntConvMonth),1,0),0)</f>
        <v/>
      </c>
      <c r="EX31" s="218">
        <f>IF(Timeline!EX$42=1,EX$30*EW32*IF(OR(InterestMethodCurrentPay=0,EX$23&lt;IntConvMonth),1,0),0)</f>
        <v/>
      </c>
      <c r="EY31" s="218">
        <f>IF(Timeline!EY$42=1,EY$30*EX32*IF(OR(InterestMethodCurrentPay=0,EY$23&lt;IntConvMonth),1,0),0)</f>
        <v/>
      </c>
      <c r="EZ31" s="218">
        <f>IF(Timeline!EZ$42=1,EZ$30*EY32*IF(OR(InterestMethodCurrentPay=0,EZ$23&lt;IntConvMonth),1,0),0)</f>
        <v/>
      </c>
      <c r="FA31" s="218">
        <f>IF(Timeline!FA$42=1,FA$30*EZ32*IF(OR(InterestMethodCurrentPay=0,FA$23&lt;IntConvMonth),1,0),0)</f>
        <v/>
      </c>
      <c r="FB31" s="218">
        <f>IF(Timeline!FB$42=1,FB$30*FA32*IF(OR(InterestMethodCurrentPay=0,FB$23&lt;IntConvMonth),1,0),0)</f>
        <v/>
      </c>
      <c r="FC31" s="218">
        <f>IF(Timeline!FC$42=1,FC$30*FB32*IF(OR(InterestMethodCurrentPay=0,FC$23&lt;IntConvMonth),1,0),0)</f>
        <v/>
      </c>
      <c r="FD31" s="218">
        <f>IF(Timeline!FD$42=1,FD$30*FC32*IF(OR(InterestMethodCurrentPay=0,FD$23&lt;IntConvMonth),1,0),0)</f>
        <v/>
      </c>
      <c r="FE31" s="218">
        <f>IF(Timeline!FE$42=1,FE$30*FD32*IF(OR(InterestMethodCurrentPay=0,FE$23&lt;IntConvMonth),1,0),0)</f>
        <v/>
      </c>
      <c r="FF31" s="218">
        <f>IF(Timeline!FF$42=1,FF$30*FE32*IF(OR(InterestMethodCurrentPay=0,FF$23&lt;IntConvMonth),1,0),0)</f>
        <v/>
      </c>
      <c r="FG31" s="218">
        <f>IF(Timeline!FG$42=1,FG$30*FF32*IF(OR(InterestMethodCurrentPay=0,FG$23&lt;IntConvMonth),1,0),0)</f>
        <v/>
      </c>
      <c r="FH31" s="218">
        <f>IF(Timeline!FH$42=1,FH$30*FG32*IF(OR(InterestMethodCurrentPay=0,FH$23&lt;IntConvMonth),1,0),0)</f>
        <v/>
      </c>
      <c r="FI31" s="218">
        <f>IF(Timeline!FI$42=1,FI$30*FH32*IF(OR(InterestMethodCurrentPay=0,FI$23&lt;IntConvMonth),1,0),0)</f>
        <v/>
      </c>
      <c r="FJ31" s="218">
        <f>IF(Timeline!FJ$42=1,FJ$30*FI32*IF(OR(InterestMethodCurrentPay=0,FJ$23&lt;IntConvMonth),1,0),0)</f>
        <v/>
      </c>
      <c r="FK31" s="218">
        <f>IF(Timeline!FK$42=1,FK$30*FJ32*IF(OR(InterestMethodCurrentPay=0,FK$23&lt;IntConvMonth),1,0),0)</f>
        <v/>
      </c>
      <c r="FL31" s="218">
        <f>IF(Timeline!FL$42=1,FL$30*FK32*IF(OR(InterestMethodCurrentPay=0,FL$23&lt;IntConvMonth),1,0),0)</f>
        <v/>
      </c>
      <c r="FM31" s="218">
        <f>IF(Timeline!FM$42=1,FM$30*FL32*IF(OR(InterestMethodCurrentPay=0,FM$23&lt;IntConvMonth),1,0),0)</f>
        <v/>
      </c>
      <c r="FN31" s="218">
        <f>IF(Timeline!FN$42=1,FN$30*FM32*IF(OR(InterestMethodCurrentPay=0,FN$23&lt;IntConvMonth),1,0),0)</f>
        <v/>
      </c>
      <c r="FO31" s="218">
        <f>IF(Timeline!FO$42=1,FO$30*FN32*IF(OR(InterestMethodCurrentPay=0,FO$23&lt;IntConvMonth),1,0),0)</f>
        <v/>
      </c>
      <c r="FP31" s="218">
        <f>IF(Timeline!FP$42=1,FP$30*FO32*IF(OR(InterestMethodCurrentPay=0,FP$23&lt;IntConvMonth),1,0),0)</f>
        <v/>
      </c>
      <c r="FQ31" s="218">
        <f>IF(Timeline!FQ$42=1,FQ$30*FP32*IF(OR(InterestMethodCurrentPay=0,FQ$23&lt;IntConvMonth),1,0),0)</f>
        <v/>
      </c>
      <c r="FR31" s="218">
        <f>IF(Timeline!FR$42=1,FR$30*FQ32*IF(OR(InterestMethodCurrentPay=0,FR$23&lt;IntConvMonth),1,0),0)</f>
        <v/>
      </c>
      <c r="FS31" s="218">
        <f>IF(Timeline!FS$42=1,FS$30*FR32*IF(OR(InterestMethodCurrentPay=0,FS$23&lt;IntConvMonth),1,0),0)</f>
        <v/>
      </c>
      <c r="FT31" s="218">
        <f>IF(Timeline!FT$42=1,FT$30*FS32*IF(OR(InterestMethodCurrentPay=0,FT$23&lt;IntConvMonth),1,0),0)</f>
        <v/>
      </c>
      <c r="FU31" s="218">
        <f>IF(Timeline!FU$42=1,FU$30*FT32*IF(OR(InterestMethodCurrentPay=0,FU$23&lt;IntConvMonth),1,0),0)</f>
        <v/>
      </c>
      <c r="FV31" s="218">
        <f>IF(Timeline!FV$42=1,FV$30*FU32*IF(OR(InterestMethodCurrentPay=0,FV$23&lt;IntConvMonth),1,0),0)</f>
        <v/>
      </c>
      <c r="FW31" s="218">
        <f>IF(Timeline!FW$42=1,FW$30*FV32*IF(OR(InterestMethodCurrentPay=0,FW$23&lt;IntConvMonth),1,0),0)</f>
        <v/>
      </c>
      <c r="FX31" s="218">
        <f>IF(Timeline!FX$42=1,FX$30*FW32*IF(OR(InterestMethodCurrentPay=0,FX$23&lt;IntConvMonth),1,0),0)</f>
        <v/>
      </c>
      <c r="FY31" s="218">
        <f>IF(Timeline!FY$42=1,FY$30*FX32*IF(OR(InterestMethodCurrentPay=0,FY$23&lt;IntConvMonth),1,0),0)</f>
        <v/>
      </c>
      <c r="FZ31" s="218">
        <f>IF(Timeline!FZ$42=1,FZ$30*FY32*IF(OR(InterestMethodCurrentPay=0,FZ$23&lt;IntConvMonth),1,0),0)</f>
        <v/>
      </c>
      <c r="GA31" s="218">
        <f>IF(Timeline!GA$42=1,GA$30*FZ32*IF(OR(InterestMethodCurrentPay=0,GA$23&lt;IntConvMonth),1,0),0)</f>
        <v/>
      </c>
      <c r="GB31" s="218">
        <f>IF(Timeline!GB$42=1,GB$30*GA32*IF(OR(InterestMethodCurrentPay=0,GB$23&lt;IntConvMonth),1,0),0)</f>
        <v/>
      </c>
      <c r="GC31" s="218">
        <f>IF(Timeline!GC$42=1,GC$30*GB32*IF(OR(InterestMethodCurrentPay=0,GC$23&lt;IntConvMonth),1,0),0)</f>
        <v/>
      </c>
      <c r="GD31" s="218">
        <f>IF(Timeline!GD$42=1,GD$30*GC32*IF(OR(InterestMethodCurrentPay=0,GD$23&lt;IntConvMonth),1,0),0)</f>
        <v/>
      </c>
      <c r="GE31" s="218">
        <f>IF(Timeline!GE$42=1,GE$30*GD32*IF(OR(InterestMethodCurrentPay=0,GE$23&lt;IntConvMonth),1,0),0)</f>
        <v/>
      </c>
      <c r="GF31" s="218">
        <f>IF(Timeline!GF$42=1,GF$30*GE32*IF(OR(InterestMethodCurrentPay=0,GF$23&lt;IntConvMonth),1,0),0)</f>
        <v/>
      </c>
      <c r="GG31" s="218">
        <f>IF(Timeline!GG$42=1,GG$30*GF32*IF(OR(InterestMethodCurrentPay=0,GG$23&lt;IntConvMonth),1,0),0)</f>
        <v/>
      </c>
      <c r="GH31" s="218">
        <f>IF(Timeline!GH$42=1,GH$30*GG32*IF(OR(InterestMethodCurrentPay=0,GH$23&lt;IntConvMonth),1,0),0)</f>
        <v/>
      </c>
      <c r="GI31" s="218">
        <f>IF(Timeline!GI$42=1,GI$30*GH32*IF(OR(InterestMethodCurrentPay=0,GI$23&lt;IntConvMonth),1,0),0)</f>
        <v/>
      </c>
      <c r="GJ31" s="218">
        <f>IF(Timeline!GJ$42=1,GJ$30*GI32*IF(OR(InterestMethodCurrentPay=0,GJ$23&lt;IntConvMonth),1,0),0)</f>
        <v/>
      </c>
      <c r="GK31" s="218">
        <f>IF(Timeline!GK$42=1,GK$30*GJ32*IF(OR(InterestMethodCurrentPay=0,GK$23&lt;IntConvMonth),1,0),0)</f>
        <v/>
      </c>
      <c r="GL31" s="218">
        <f>IF(Timeline!GL$42=1,GL$30*GK32*IF(OR(InterestMethodCurrentPay=0,GL$23&lt;IntConvMonth),1,0),0)</f>
        <v/>
      </c>
      <c r="GM31" s="218">
        <f>IF(Timeline!GM$42=1,GM$30*GL32*IF(OR(InterestMethodCurrentPay=0,GM$23&lt;IntConvMonth),1,0),0)</f>
        <v/>
      </c>
      <c r="GN31" s="218">
        <f>IF(Timeline!GN$42=1,GN$30*GM32*IF(OR(InterestMethodCurrentPay=0,GN$23&lt;IntConvMonth),1,0),0)</f>
        <v/>
      </c>
      <c r="GO31" s="218">
        <f>IF(Timeline!GO$42=1,GO$30*GN32*IF(OR(InterestMethodCurrentPay=0,GO$23&lt;IntConvMonth),1,0),0)</f>
        <v/>
      </c>
      <c r="GP31" s="218">
        <f>IF(Timeline!GP$42=1,GP$30*GO32*IF(OR(InterestMethodCurrentPay=0,GP$23&lt;IntConvMonth),1,0),0)</f>
        <v/>
      </c>
      <c r="GQ31" s="218">
        <f>IF(Timeline!GQ$42=1,GQ$30*GP32*IF(OR(InterestMethodCurrentPay=0,GQ$23&lt;IntConvMonth),1,0),0)</f>
        <v/>
      </c>
      <c r="GR31" s="218">
        <f>IF(Timeline!GR$42=1,GR$30*GQ32*IF(OR(InterestMethodCurrentPay=0,GR$23&lt;IntConvMonth),1,0),0)</f>
        <v/>
      </c>
      <c r="GS31" s="218">
        <f>IF(Timeline!GS$42=1,GS$30*GR32*IF(OR(InterestMethodCurrentPay=0,GS$23&lt;IntConvMonth),1,0),0)</f>
        <v/>
      </c>
      <c r="GT31" s="218">
        <f>IF(Timeline!GT$42=1,GT$30*GS32*IF(OR(InterestMethodCurrentPay=0,GT$23&lt;IntConvMonth),1,0),0)</f>
        <v/>
      </c>
      <c r="GU31" s="218">
        <f>IF(Timeline!GU$42=1,GU$30*GT32*IF(OR(InterestMethodCurrentPay=0,GU$23&lt;IntConvMonth),1,0),0)</f>
        <v/>
      </c>
      <c r="GV31" s="218">
        <f>IF(Timeline!GV$42=1,GV$30*GU32*IF(OR(InterestMethodCurrentPay=0,GV$23&lt;IntConvMonth),1,0),0)</f>
        <v/>
      </c>
      <c r="GW31" s="218">
        <f>IF(Timeline!GW$42=1,GW$30*GV32*IF(OR(InterestMethodCurrentPay=0,GW$23&lt;IntConvMonth),1,0),0)</f>
        <v/>
      </c>
      <c r="GX31" s="218">
        <f>IF(Timeline!GX$42=1,GX$30*GW32*IF(OR(InterestMethodCurrentPay=0,GX$23&lt;IntConvMonth),1,0),0)</f>
        <v/>
      </c>
      <c r="GY31" s="218">
        <f>IF(Timeline!GY$42=1,GY$30*GX32*IF(OR(InterestMethodCurrentPay=0,GY$23&lt;IntConvMonth),1,0),0)</f>
        <v/>
      </c>
      <c r="GZ31" s="218">
        <f>IF(Timeline!GZ$42=1,GZ$30*GY32*IF(OR(InterestMethodCurrentPay=0,GZ$23&lt;IntConvMonth),1,0),0)</f>
        <v/>
      </c>
      <c r="HA31" s="218">
        <f>IF(Timeline!HA$42=1,HA$30*GZ32*IF(OR(InterestMethodCurrentPay=0,HA$23&lt;IntConvMonth),1,0),0)</f>
        <v/>
      </c>
      <c r="HB31" s="218">
        <f>IF(Timeline!HB$42=1,HB$30*HA32*IF(OR(InterestMethodCurrentPay=0,HB$23&lt;IntConvMonth),1,0),0)</f>
        <v/>
      </c>
      <c r="HC31" s="218">
        <f>IF(Timeline!HC$42=1,HC$30*HB32*IF(OR(InterestMethodCurrentPay=0,HC$23&lt;IntConvMonth),1,0),0)</f>
        <v/>
      </c>
      <c r="HD31" s="218">
        <f>IF(Timeline!HD$42=1,HD$30*HC32*IF(OR(InterestMethodCurrentPay=0,HD$23&lt;IntConvMonth),1,0),0)</f>
        <v/>
      </c>
      <c r="HE31" s="218">
        <f>IF(Timeline!HE$42=1,HE$30*HD32*IF(OR(InterestMethodCurrentPay=0,HE$23&lt;IntConvMonth),1,0),0)</f>
        <v/>
      </c>
      <c r="HF31" s="218">
        <f>IF(Timeline!HF$42=1,HF$30*HE32*IF(OR(InterestMethodCurrentPay=0,HF$23&lt;IntConvMonth),1,0),0)</f>
        <v/>
      </c>
      <c r="HG31" s="218">
        <f>IF(Timeline!HG$42=1,HG$30*HF32*IF(OR(InterestMethodCurrentPay=0,HG$23&lt;IntConvMonth),1,0),0)</f>
        <v/>
      </c>
      <c r="HH31" s="218">
        <f>IF(Timeline!HH$42=1,HH$30*HG32*IF(OR(InterestMethodCurrentPay=0,HH$23&lt;IntConvMonth),1,0),0)</f>
        <v/>
      </c>
      <c r="HI31" s="218">
        <f>IF(Timeline!HI$42=1,HI$30*HH32*IF(OR(InterestMethodCurrentPay=0,HI$23&lt;IntConvMonth),1,0),0)</f>
        <v/>
      </c>
      <c r="HJ31" s="218">
        <f>IF(Timeline!HJ$42=1,HJ$30*HI32*IF(OR(InterestMethodCurrentPay=0,HJ$23&lt;IntConvMonth),1,0),0)</f>
        <v/>
      </c>
      <c r="HK31" s="218">
        <f>IF(Timeline!HK$42=1,HK$30*HJ32*IF(OR(InterestMethodCurrentPay=0,HK$23&lt;IntConvMonth),1,0),0)</f>
        <v/>
      </c>
      <c r="HL31" s="218">
        <f>IF(Timeline!HL$42=1,HL$30*HK32*IF(OR(InterestMethodCurrentPay=0,HL$23&lt;IntConvMonth),1,0),0)</f>
        <v/>
      </c>
      <c r="HM31" s="218">
        <f>IF(Timeline!HM$42=1,HM$30*HL32*IF(OR(InterestMethodCurrentPay=0,HM$23&lt;IntConvMonth),1,0),0)</f>
        <v/>
      </c>
      <c r="HN31" s="218">
        <f>IF(Timeline!HN$42=1,HN$30*HM32*IF(OR(InterestMethodCurrentPay=0,HN$23&lt;IntConvMonth),1,0),0)</f>
        <v/>
      </c>
      <c r="HO31" s="218">
        <f>IF(Timeline!HO$42=1,HO$30*HN32*IF(OR(InterestMethodCurrentPay=0,HO$23&lt;IntConvMonth),1,0),0)</f>
        <v/>
      </c>
      <c r="HP31" s="218">
        <f>IF(Timeline!HP$42=1,HP$30*HO32*IF(OR(InterestMethodCurrentPay=0,HP$23&lt;IntConvMonth),1,0),0)</f>
        <v/>
      </c>
      <c r="HQ31" s="218">
        <f>IF(Timeline!HQ$42=1,HQ$30*HP32*IF(OR(InterestMethodCurrentPay=0,HQ$23&lt;IntConvMonth),1,0),0)</f>
        <v/>
      </c>
      <c r="HR31" s="218">
        <f>IF(Timeline!HR$42=1,HR$30*HQ32*IF(OR(InterestMethodCurrentPay=0,HR$23&lt;IntConvMonth),1,0),0)</f>
        <v/>
      </c>
      <c r="HS31" s="218">
        <f>IF(Timeline!HS$42=1,HS$30*HR32*IF(OR(InterestMethodCurrentPay=0,HS$23&lt;IntConvMonth),1,0),0)</f>
        <v/>
      </c>
      <c r="HT31" s="218">
        <f>IF(Timeline!HT$42=1,HT$30*HS32*IF(OR(InterestMethodCurrentPay=0,HT$23&lt;IntConvMonth),1,0),0)</f>
        <v/>
      </c>
      <c r="HU31" s="218">
        <f>IF(Timeline!HU$42=1,HU$30*HT32*IF(OR(InterestMethodCurrentPay=0,HU$23&lt;IntConvMonth),1,0),0)</f>
        <v/>
      </c>
      <c r="HV31" s="218">
        <f>IF(Timeline!HV$42=1,HV$30*HU32*IF(OR(InterestMethodCurrentPay=0,HV$23&lt;IntConvMonth),1,0),0)</f>
        <v/>
      </c>
      <c r="HW31" s="218">
        <f>IF(Timeline!HW$42=1,HW$30*HV32*IF(OR(InterestMethodCurrentPay=0,HW$23&lt;IntConvMonth),1,0),0)</f>
        <v/>
      </c>
      <c r="HX31" s="218">
        <f>IF(Timeline!HX$42=1,HX$30*HW32*IF(OR(InterestMethodCurrentPay=0,HX$23&lt;IntConvMonth),1,0),0)</f>
        <v/>
      </c>
      <c r="HY31" s="218">
        <f>IF(Timeline!HY$42=1,HY$30*HX32*IF(OR(InterestMethodCurrentPay=0,HY$23&lt;IntConvMonth),1,0),0)</f>
        <v/>
      </c>
      <c r="HZ31" s="218">
        <f>IF(Timeline!HZ$42=1,HZ$30*HY32*IF(OR(InterestMethodCurrentPay=0,HZ$23&lt;IntConvMonth),1,0),0)</f>
        <v/>
      </c>
      <c r="IA31" s="218">
        <f>IF(Timeline!IA$42=1,IA$30*HZ32*IF(OR(InterestMethodCurrentPay=0,IA$23&lt;IntConvMonth),1,0),0)</f>
        <v/>
      </c>
      <c r="IB31" s="218">
        <f>IF(Timeline!IB$42=1,IB$30*IA32*IF(OR(InterestMethodCurrentPay=0,IB$23&lt;IntConvMonth),1,0),0)</f>
        <v/>
      </c>
      <c r="IC31" s="218">
        <f>IF(Timeline!IC$42=1,IC$30*IB32*IF(OR(InterestMethodCurrentPay=0,IC$23&lt;IntConvMonth),1,0),0)</f>
        <v/>
      </c>
      <c r="ID31" s="218">
        <f>IF(Timeline!ID$42=1,ID$30*IC32*IF(OR(InterestMethodCurrentPay=0,ID$23&lt;IntConvMonth),1,0),0)</f>
        <v/>
      </c>
      <c r="IE31" s="218">
        <f>IF(Timeline!IE$42=1,IE$30*ID32*IF(OR(InterestMethodCurrentPay=0,IE$23&lt;IntConvMonth),1,0),0)</f>
        <v/>
      </c>
      <c r="IF31" s="218">
        <f>IF(Timeline!IF$42=1,IF$30*IE32*IF(OR(InterestMethodCurrentPay=0,IF$23&lt;IntConvMonth),1,0),0)</f>
        <v/>
      </c>
      <c r="IG31" s="218">
        <f>IF(Timeline!IG$42=1,IG$30*IF32*IF(OR(InterestMethodCurrentPay=0,IG$23&lt;IntConvMonth),1,0),0)</f>
        <v/>
      </c>
      <c r="IH31" s="218">
        <f>IF(Timeline!IH$42=1,IH$30*IG32*IF(OR(InterestMethodCurrentPay=0,IH$23&lt;IntConvMonth),1,0),0)</f>
        <v/>
      </c>
      <c r="II31" s="218">
        <f>IF(Timeline!II$42=1,II$30*IH32*IF(OR(InterestMethodCurrentPay=0,II$23&lt;IntConvMonth),1,0),0)</f>
        <v/>
      </c>
      <c r="IJ31" s="218">
        <f>IF(Timeline!IJ$42=1,IJ$30*II32*IF(OR(InterestMethodCurrentPay=0,IJ$23&lt;IntConvMonth),1,0),0)</f>
        <v/>
      </c>
      <c r="IK31" s="218">
        <f>IF(Timeline!IK$42=1,IK$30*IJ32*IF(OR(InterestMethodCurrentPay=0,IK$23&lt;IntConvMonth),1,0),0)</f>
        <v/>
      </c>
      <c r="IL31" s="218">
        <f>IF(Timeline!IL$42=1,IL$30*IK32*IF(OR(InterestMethodCurrentPay=0,IL$23&lt;IntConvMonth),1,0),0)</f>
        <v/>
      </c>
      <c r="IM31" s="218">
        <f>IF(Timeline!IM$42=1,IM$30*IL32*IF(OR(InterestMethodCurrentPay=0,IM$23&lt;IntConvMonth),1,0),0)</f>
        <v/>
      </c>
      <c r="IN31" s="218">
        <f>IF(Timeline!IN$42=1,IN$30*IM32*IF(OR(InterestMethodCurrentPay=0,IN$23&lt;IntConvMonth),1,0),0)</f>
        <v/>
      </c>
      <c r="IO31" s="218">
        <f>IF(Timeline!IO$42=1,IO$30*IN32*IF(OR(InterestMethodCurrentPay=0,IO$23&lt;IntConvMonth),1,0),0)</f>
        <v/>
      </c>
      <c r="IP31" s="218">
        <f>IF(Timeline!IP$42=1,IP$30*IO32*IF(OR(InterestMethodCurrentPay=0,IP$23&lt;IntConvMonth),1,0),0)</f>
        <v/>
      </c>
      <c r="IQ31" s="218">
        <f>IF(Timeline!IQ$42=1,IQ$30*IP32*IF(OR(InterestMethodCurrentPay=0,IQ$23&lt;IntConvMonth),1,0),0)</f>
        <v/>
      </c>
      <c r="IR31" s="218">
        <f>IF(Timeline!IR$42=1,IR$30*IQ32*IF(OR(InterestMethodCurrentPay=0,IR$23&lt;IntConvMonth),1,0),0)</f>
        <v/>
      </c>
      <c r="IS31" s="218">
        <f>IF(Timeline!IS$42=1,IS$30*IR32*IF(OR(InterestMethodCurrentPay=0,IS$23&lt;IntConvMonth),1,0),0)</f>
        <v/>
      </c>
      <c r="IT31" s="218">
        <f>IF(Timeline!IT$42=1,IT$30*IS32*IF(OR(InterestMethodCurrentPay=0,IT$23&lt;IntConvMonth),1,0),0)</f>
        <v/>
      </c>
      <c r="IU31" s="218">
        <f>IF(Timeline!IU$42=1,IU$30*IT32*IF(OR(InterestMethodCurrentPay=0,IU$23&lt;IntConvMonth),1,0),0)</f>
        <v/>
      </c>
      <c r="IV31" s="218">
        <f>IF(Timeline!IV$42=1,IV$30*IU32*IF(OR(InterestMethodCurrentPay=0,IV$23&lt;IntConvMonth),1,0),0)</f>
        <v/>
      </c>
      <c r="IW31" s="218">
        <f>IF(Timeline!IW$42=1,IW$30*IV32*IF(OR(InterestMethodCurrentPay=0,IW$23&lt;IntConvMonth),1,0),0)</f>
        <v/>
      </c>
      <c r="IX31" s="218">
        <f>IF(Timeline!IX$42=1,IX$30*IW32*IF(OR(InterestMethodCurrentPay=0,IX$23&lt;IntConvMonth),1,0),0)</f>
        <v/>
      </c>
      <c r="IY31" s="218">
        <f>IF(Timeline!IY$42=1,IY$30*IX32*IF(OR(InterestMethodCurrentPay=0,IY$23&lt;IntConvMonth),1,0),0)</f>
        <v/>
      </c>
      <c r="IZ31" s="218">
        <f>IF(Timeline!IZ$42=1,IZ$30*IY32*IF(OR(InterestMethodCurrentPay=0,IZ$23&lt;IntConvMonth),1,0),0)</f>
        <v/>
      </c>
      <c r="JA31" s="218">
        <f>IF(Timeline!JA$42=1,JA$30*IZ32*IF(OR(InterestMethodCurrentPay=0,JA$23&lt;IntConvMonth),1,0),0)</f>
        <v/>
      </c>
      <c r="JB31" s="218">
        <f>IF(Timeline!JB$42=1,JB$30*JA32*IF(OR(InterestMethodCurrentPay=0,JB$23&lt;IntConvMonth),1,0),0)</f>
        <v/>
      </c>
      <c r="JC31" s="218">
        <f>IF(Timeline!JC$42=1,JC$30*JB32*IF(OR(InterestMethodCurrentPay=0,JC$23&lt;IntConvMonth),1,0),0)</f>
        <v/>
      </c>
      <c r="JD31" s="218">
        <f>IF(Timeline!JD$42=1,JD$30*JC32*IF(OR(InterestMethodCurrentPay=0,JD$23&lt;IntConvMonth),1,0),0)</f>
        <v/>
      </c>
      <c r="JE31" s="218">
        <f>IF(Timeline!JE$42=1,JE$30*JD32*IF(OR(InterestMethodCurrentPay=0,JE$23&lt;IntConvMonth),1,0),0)</f>
        <v/>
      </c>
      <c r="JF31" s="218">
        <f>IF(Timeline!JF$42=1,JF$30*JE32*IF(OR(InterestMethodCurrentPay=0,JF$23&lt;IntConvMonth),1,0),0)</f>
        <v/>
      </c>
      <c r="JG31" s="218">
        <f>IF(Timeline!JG$42=1,JG$30*JF32*IF(OR(InterestMethodCurrentPay=0,JG$23&lt;IntConvMonth),1,0),0)</f>
        <v/>
      </c>
      <c r="JH31" s="218">
        <f>IF(Timeline!JH$42=1,JH$30*JG32*IF(OR(InterestMethodCurrentPay=0,JH$23&lt;IntConvMonth),1,0),0)</f>
        <v/>
      </c>
      <c r="JI31" s="218">
        <f>IF(Timeline!JI$42=1,JI$30*JH32*IF(OR(InterestMethodCurrentPay=0,JI$23&lt;IntConvMonth),1,0),0)</f>
        <v/>
      </c>
      <c r="JJ31" s="218">
        <f>IF(Timeline!JJ$42=1,JJ$30*JI32*IF(OR(InterestMethodCurrentPay=0,JJ$23&lt;IntConvMonth),1,0),0)</f>
        <v/>
      </c>
      <c r="JK31" s="218">
        <f>IF(Timeline!JK$42=1,JK$30*JJ32*IF(OR(InterestMethodCurrentPay=0,JK$23&lt;IntConvMonth),1,0),0)</f>
        <v/>
      </c>
      <c r="JL31" s="218">
        <f>IF(Timeline!JL$42=1,JL$30*JK32*IF(OR(InterestMethodCurrentPay=0,JL$23&lt;IntConvMonth),1,0),0)</f>
        <v/>
      </c>
      <c r="JM31" s="218">
        <f>IF(Timeline!JM$42=1,JM$30*JL32*IF(OR(InterestMethodCurrentPay=0,JM$23&lt;IntConvMonth),1,0),0)</f>
        <v/>
      </c>
      <c r="JN31" s="218">
        <f>IF(Timeline!JN$42=1,JN$30*JM32*IF(OR(InterestMethodCurrentPay=0,JN$23&lt;IntConvMonth),1,0),0)</f>
        <v/>
      </c>
      <c r="JO31" s="218">
        <f>IF(Timeline!JO$42=1,JO$30*JN32*IF(OR(InterestMethodCurrentPay=0,JO$23&lt;IntConvMonth),1,0),0)</f>
        <v/>
      </c>
      <c r="JP31" s="218">
        <f>IF(Timeline!JP$42=1,JP$30*JO32*IF(OR(InterestMethodCurrentPay=0,JP$23&lt;IntConvMonth),1,0),0)</f>
        <v/>
      </c>
      <c r="JQ31" s="218">
        <f>IF(Timeline!JQ$42=1,JQ$30*JP32*IF(OR(InterestMethodCurrentPay=0,JQ$23&lt;IntConvMonth),1,0),0)</f>
        <v/>
      </c>
      <c r="JR31" s="218">
        <f>IF(Timeline!JR$42=1,JR$30*JQ32*IF(OR(InterestMethodCurrentPay=0,JR$23&lt;IntConvMonth),1,0),0)</f>
        <v/>
      </c>
      <c r="JS31" s="218">
        <f>IF(Timeline!JS$42=1,JS$30*JR32*IF(OR(InterestMethodCurrentPay=0,JS$23&lt;IntConvMonth),1,0),0)</f>
        <v/>
      </c>
      <c r="JT31" s="218">
        <f>IF(Timeline!JT$42=1,JT$30*JS32*IF(OR(InterestMethodCurrentPay=0,JT$23&lt;IntConvMonth),1,0),0)</f>
        <v/>
      </c>
      <c r="JU31" s="218">
        <f>IF(Timeline!JU$42=1,JU$30*JT32*IF(OR(InterestMethodCurrentPay=0,JU$23&lt;IntConvMonth),1,0),0)</f>
        <v/>
      </c>
      <c r="JV31" s="218">
        <f>IF(Timeline!JV$42=1,JV$30*JU32*IF(OR(InterestMethodCurrentPay=0,JV$23&lt;IntConvMonth),1,0),0)</f>
        <v/>
      </c>
      <c r="JW31" s="218">
        <f>IF(Timeline!JW$42=1,JW$30*JV32*IF(OR(InterestMethodCurrentPay=0,JW$23&lt;IntConvMonth),1,0),0)</f>
        <v/>
      </c>
      <c r="JX31" s="218">
        <f>IF(Timeline!JX$42=1,JX$30*JW32*IF(OR(InterestMethodCurrentPay=0,JX$23&lt;IntConvMonth),1,0),0)</f>
        <v/>
      </c>
      <c r="JY31" s="218">
        <f>IF(Timeline!JY$42=1,JY$30*JX32*IF(OR(InterestMethodCurrentPay=0,JY$23&lt;IntConvMonth),1,0),0)</f>
        <v/>
      </c>
      <c r="JZ31" s="218">
        <f>IF(Timeline!JZ$42=1,JZ$30*JY32*IF(OR(InterestMethodCurrentPay=0,JZ$23&lt;IntConvMonth),1,0),0)</f>
        <v/>
      </c>
      <c r="KA31" s="218">
        <f>IF(Timeline!KA$42=1,KA$30*JZ32*IF(OR(InterestMethodCurrentPay=0,KA$23&lt;IntConvMonth),1,0),0)</f>
        <v/>
      </c>
      <c r="KB31" s="218">
        <f>IF(Timeline!KB$42=1,KB$30*KA32*IF(OR(InterestMethodCurrentPay=0,KB$23&lt;IntConvMonth),1,0),0)</f>
        <v/>
      </c>
      <c r="KC31" s="218">
        <f>IF(Timeline!KC$42=1,KC$30*KB32*IF(OR(InterestMethodCurrentPay=0,KC$23&lt;IntConvMonth),1,0),0)</f>
        <v/>
      </c>
      <c r="KD31" s="218">
        <f>IF(Timeline!KD$42=1,KD$30*KC32*IF(OR(InterestMethodCurrentPay=0,KD$23&lt;IntConvMonth),1,0),0)</f>
        <v/>
      </c>
      <c r="KE31" s="218">
        <f>IF(Timeline!KE$42=1,KE$30*KD32*IF(OR(InterestMethodCurrentPay=0,KE$23&lt;IntConvMonth),1,0),0)</f>
        <v/>
      </c>
      <c r="KF31" s="218">
        <f>IF(Timeline!KF$42=1,KF$30*KE32*IF(OR(InterestMethodCurrentPay=0,KF$23&lt;IntConvMonth),1,0),0)</f>
        <v/>
      </c>
      <c r="KG31" s="218">
        <f>IF(Timeline!KG$42=1,KG$30*KF32*IF(OR(InterestMethodCurrentPay=0,KG$23&lt;IntConvMonth),1,0),0)</f>
        <v/>
      </c>
      <c r="KH31" s="218">
        <f>IF(Timeline!KH$42=1,KH$30*KG32*IF(OR(InterestMethodCurrentPay=0,KH$23&lt;IntConvMonth),1,0),0)</f>
        <v/>
      </c>
      <c r="KI31" s="218">
        <f>IF(Timeline!KI$42=1,KI$30*KH32*IF(OR(InterestMethodCurrentPay=0,KI$23&lt;IntConvMonth),1,0),0)</f>
        <v/>
      </c>
      <c r="KJ31" s="218">
        <f>IF(Timeline!KJ$42=1,KJ$30*KI32*IF(OR(InterestMethodCurrentPay=0,KJ$23&lt;IntConvMonth),1,0),0)</f>
        <v/>
      </c>
      <c r="KK31" s="218">
        <f>IF(Timeline!KK$42=1,KK$30*KJ32*IF(OR(InterestMethodCurrentPay=0,KK$23&lt;IntConvMonth),1,0),0)</f>
        <v/>
      </c>
      <c r="KL31" s="218">
        <f>IF(Timeline!KL$42=1,KL$30*KK32*IF(OR(InterestMethodCurrentPay=0,KL$23&lt;IntConvMonth),1,0),0)</f>
        <v/>
      </c>
      <c r="KM31" s="218">
        <f>IF(Timeline!KM$42=1,KM$30*KL32*IF(OR(InterestMethodCurrentPay=0,KM$23&lt;IntConvMonth),1,0),0)</f>
        <v/>
      </c>
      <c r="KN31" s="218">
        <f>IF(Timeline!KN$42=1,KN$30*KM32*IF(OR(InterestMethodCurrentPay=0,KN$23&lt;IntConvMonth),1,0),0)</f>
        <v/>
      </c>
      <c r="KO31" s="218">
        <f>IF(Timeline!KO$42=1,KO$30*KN32*IF(OR(InterestMethodCurrentPay=0,KO$23&lt;IntConvMonth),1,0),0)</f>
        <v/>
      </c>
      <c r="KP31" s="218">
        <f>IF(Timeline!KP$42=1,KP$30*KO32*IF(OR(InterestMethodCurrentPay=0,KP$23&lt;IntConvMonth),1,0),0)</f>
        <v/>
      </c>
      <c r="KQ31" s="218">
        <f>IF(Timeline!KQ$42=1,KQ$30*KP32*IF(OR(InterestMethodCurrentPay=0,KQ$23&lt;IntConvMonth),1,0),0)</f>
        <v/>
      </c>
      <c r="KR31" s="218">
        <f>IF(Timeline!KR$42=1,KR$30*KQ32*IF(OR(InterestMethodCurrentPay=0,KR$23&lt;IntConvMonth),1,0),0)</f>
        <v/>
      </c>
      <c r="KS31" s="218">
        <f>IF(Timeline!KS$42=1,KS$30*KR32*IF(OR(InterestMethodCurrentPay=0,KS$23&lt;IntConvMonth),1,0),0)</f>
        <v/>
      </c>
      <c r="KT31" s="218">
        <f>IF(Timeline!KT$42=1,KT$30*KS32*IF(OR(InterestMethodCurrentPay=0,KT$23&lt;IntConvMonth),1,0),0)</f>
        <v/>
      </c>
      <c r="KU31" s="218">
        <f>IF(Timeline!KU$42=1,KU$30*KT32*IF(OR(InterestMethodCurrentPay=0,KU$23&lt;IntConvMonth),1,0),0)</f>
        <v/>
      </c>
      <c r="KV31" s="218">
        <f>IF(Timeline!KV$42=1,KV$30*KU32*IF(OR(InterestMethodCurrentPay=0,KV$23&lt;IntConvMonth),1,0),0)</f>
        <v/>
      </c>
      <c r="KW31" s="218">
        <f>IF(Timeline!KW$42=1,KW$30*KV32*IF(OR(InterestMethodCurrentPay=0,KW$23&lt;IntConvMonth),1,0),0)</f>
        <v/>
      </c>
      <c r="KX31" s="218">
        <f>IF(Timeline!KX$42=1,KX$30*KW32*IF(OR(InterestMethodCurrentPay=0,KX$23&lt;IntConvMonth),1,0),0)</f>
        <v/>
      </c>
      <c r="KY31" s="218">
        <f>IF(Timeline!KY$42=1,KY$30*KX32*IF(OR(InterestMethodCurrentPay=0,KY$23&lt;IntConvMonth),1,0),0)</f>
        <v/>
      </c>
      <c r="KZ31" s="218">
        <f>IF(Timeline!KZ$42=1,KZ$30*KY32*IF(OR(InterestMethodCurrentPay=0,KZ$23&lt;IntConvMonth),1,0),0)</f>
        <v/>
      </c>
      <c r="LA31" s="218">
        <f>IF(Timeline!LA$42=1,LA$30*KZ32*IF(OR(InterestMethodCurrentPay=0,LA$23&lt;IntConvMonth),1,0),0)</f>
        <v/>
      </c>
      <c r="LB31" s="218">
        <f>IF(Timeline!LB$42=1,LB$30*LA32*IF(OR(InterestMethodCurrentPay=0,LB$23&lt;IntConvMonth),1,0),0)</f>
        <v/>
      </c>
      <c r="LC31" s="218">
        <f>IF(Timeline!LC$42=1,LC$30*LB32*IF(OR(InterestMethodCurrentPay=0,LC$23&lt;IntConvMonth),1,0),0)</f>
        <v/>
      </c>
      <c r="LD31" s="218">
        <f>IF(Timeline!LD$42=1,LD$30*LC32*IF(OR(InterestMethodCurrentPay=0,LD$23&lt;IntConvMonth),1,0),0)</f>
        <v/>
      </c>
      <c r="LE31" s="218">
        <f>IF(Timeline!LE$42=1,LE$30*LD32*IF(OR(InterestMethodCurrentPay=0,LE$23&lt;IntConvMonth),1,0),0)</f>
        <v/>
      </c>
      <c r="LF31" s="218">
        <f>IF(Timeline!LF$42=1,LF$30*LE32*IF(OR(InterestMethodCurrentPay=0,LF$23&lt;IntConvMonth),1,0),0)</f>
        <v/>
      </c>
      <c r="LG31" s="218">
        <f>IF(Timeline!LG$42=1,LG$30*LF32*IF(OR(InterestMethodCurrentPay=0,LG$23&lt;IntConvMonth),1,0),0)</f>
        <v/>
      </c>
      <c r="LH31" s="218">
        <f>IF(Timeline!LH$42=1,LH$30*LG32*IF(OR(InterestMethodCurrentPay=0,LH$23&lt;IntConvMonth),1,0),0)</f>
        <v/>
      </c>
      <c r="LI31" s="218">
        <f>IF(Timeline!LI$42=1,LI$30*LH32*IF(OR(InterestMethodCurrentPay=0,LI$23&lt;IntConvMonth),1,0),0)</f>
        <v/>
      </c>
      <c r="LJ31" s="218">
        <f>IF(Timeline!LJ$42=1,LJ$30*LI32*IF(OR(InterestMethodCurrentPay=0,LJ$23&lt;IntConvMonth),1,0),0)</f>
        <v/>
      </c>
      <c r="LK31" s="218">
        <f>IF(Timeline!LK$42=1,LK$30*LJ32*IF(OR(InterestMethodCurrentPay=0,LK$23&lt;IntConvMonth),1,0),0)</f>
        <v/>
      </c>
      <c r="LL31" s="218">
        <f>IF(Timeline!LL$42=1,LL$30*LK32*IF(OR(InterestMethodCurrentPay=0,LL$23&lt;IntConvMonth),1,0),0)</f>
        <v/>
      </c>
      <c r="LM31" s="218">
        <f>IF(Timeline!LM$42=1,LM$30*LL32*IF(OR(InterestMethodCurrentPay=0,LM$23&lt;IntConvMonth),1,0),0)</f>
        <v/>
      </c>
      <c r="LN31" s="218">
        <f>IF(Timeline!LN$42=1,LN$30*LM32*IF(OR(InterestMethodCurrentPay=0,LN$23&lt;IntConvMonth),1,0),0)</f>
        <v/>
      </c>
      <c r="LO31" s="218">
        <f>IF(Timeline!LO$42=1,LO$30*LN32*IF(OR(InterestMethodCurrentPay=0,LO$23&lt;IntConvMonth),1,0),0)</f>
        <v/>
      </c>
      <c r="LP31" s="218">
        <f>IF(Timeline!LP$42=1,LP$30*LO32*IF(OR(InterestMethodCurrentPay=0,LP$23&lt;IntConvMonth),1,0),0)</f>
        <v/>
      </c>
      <c r="LQ31" s="218">
        <f>IF(Timeline!LQ$42=1,LQ$30*LP32*IF(OR(InterestMethodCurrentPay=0,LQ$23&lt;IntConvMonth),1,0),0)</f>
        <v/>
      </c>
      <c r="LR31" s="218">
        <f>IF(Timeline!LR$42=1,LR$30*LQ32*IF(OR(InterestMethodCurrentPay=0,LR$23&lt;IntConvMonth),1,0),0)</f>
        <v/>
      </c>
      <c r="LS31" s="218">
        <f>IF(Timeline!LS$42=1,LS$30*LR32*IF(OR(InterestMethodCurrentPay=0,LS$23&lt;IntConvMonth),1,0),0)</f>
        <v/>
      </c>
      <c r="LT31" s="218">
        <f>IF(Timeline!LT$42=1,LT$30*LS32*IF(OR(InterestMethodCurrentPay=0,LT$23&lt;IntConvMonth),1,0),0)</f>
        <v/>
      </c>
      <c r="LU31" s="218">
        <f>IF(Timeline!LU$42=1,LU$30*LT32*IF(OR(InterestMethodCurrentPay=0,LU$23&lt;IntConvMonth),1,0),0)</f>
        <v/>
      </c>
      <c r="LV31" s="218">
        <f>IF(Timeline!LV$42=1,LV$30*LU32*IF(OR(InterestMethodCurrentPay=0,LV$23&lt;IntConvMonth),1,0),0)</f>
        <v/>
      </c>
      <c r="LW31" s="218">
        <f>IF(Timeline!LW$42=1,LW$30*LV32*IF(OR(InterestMethodCurrentPay=0,LW$23&lt;IntConvMonth),1,0),0)</f>
        <v/>
      </c>
      <c r="LX31" s="218">
        <f>IF(Timeline!LX$42=1,LX$30*LW32*IF(OR(InterestMethodCurrentPay=0,LX$23&lt;IntConvMonth),1,0),0)</f>
        <v/>
      </c>
      <c r="LY31" s="218">
        <f>IF(Timeline!LY$42=1,LY$30*LX32*IF(OR(InterestMethodCurrentPay=0,LY$23&lt;IntConvMonth),1,0),0)</f>
        <v/>
      </c>
      <c r="LZ31" s="218">
        <f>IF(Timeline!LZ$42=1,LZ$30*LY32*IF(OR(InterestMethodCurrentPay=0,LZ$23&lt;IntConvMonth),1,0),0)</f>
        <v/>
      </c>
      <c r="MA31" s="218">
        <f>IF(Timeline!MA$42=1,MA$30*LZ32*IF(OR(InterestMethodCurrentPay=0,MA$23&lt;IntConvMonth),1,0),0)</f>
        <v/>
      </c>
      <c r="MB31" s="218">
        <f>IF(Timeline!MB$42=1,MB$30*MA32*IF(OR(InterestMethodCurrentPay=0,MB$23&lt;IntConvMonth),1,0),0)</f>
        <v/>
      </c>
      <c r="MC31" s="218">
        <f>IF(Timeline!MC$42=1,MC$30*MB32*IF(OR(InterestMethodCurrentPay=0,MC$23&lt;IntConvMonth),1,0),0)</f>
        <v/>
      </c>
      <c r="MD31" s="218">
        <f>IF(Timeline!MD$42=1,MD$30*MC32*IF(OR(InterestMethodCurrentPay=0,MD$23&lt;IntConvMonth),1,0),0)</f>
        <v/>
      </c>
      <c r="ME31" s="218">
        <f>IF(Timeline!ME$42=1,ME$30*MD32*IF(OR(InterestMethodCurrentPay=0,ME$23&lt;IntConvMonth),1,0),0)</f>
        <v/>
      </c>
      <c r="MF31" s="218">
        <f>IF(Timeline!MF$42=1,MF$30*ME32*IF(OR(InterestMethodCurrentPay=0,MF$23&lt;IntConvMonth),1,0),0)</f>
        <v/>
      </c>
      <c r="MG31" s="218">
        <f>IF(Timeline!MG$42=1,MG$30*MF32*IF(OR(InterestMethodCurrentPay=0,MG$23&lt;IntConvMonth),1,0),0)</f>
        <v/>
      </c>
      <c r="MH31" s="218">
        <f>IF(Timeline!MH$42=1,MH$30*MG32*IF(OR(InterestMethodCurrentPay=0,MH$23&lt;IntConvMonth),1,0),0)</f>
        <v/>
      </c>
      <c r="MI31" s="218">
        <f>IF(Timeline!MI$42=1,MI$30*MH32*IF(OR(InterestMethodCurrentPay=0,MI$23&lt;IntConvMonth),1,0),0)</f>
        <v/>
      </c>
      <c r="MJ31" s="218">
        <f>IF(Timeline!MJ$42=1,MJ$30*MI32*IF(OR(InterestMethodCurrentPay=0,MJ$23&lt;IntConvMonth),1,0),0)</f>
        <v/>
      </c>
      <c r="MK31" s="218">
        <f>IF(Timeline!MK$42=1,MK$30*MJ32*IF(OR(InterestMethodCurrentPay=0,MK$23&lt;IntConvMonth),1,0),0)</f>
        <v/>
      </c>
      <c r="ML31" s="218">
        <f>IF(Timeline!ML$42=1,ML$30*MK32*IF(OR(InterestMethodCurrentPay=0,ML$23&lt;IntConvMonth),1,0),0)</f>
        <v/>
      </c>
      <c r="MM31" s="218">
        <f>IF(Timeline!MM$42=1,MM$30*ML32*IF(OR(InterestMethodCurrentPay=0,MM$23&lt;IntConvMonth),1,0),0)</f>
        <v/>
      </c>
      <c r="MN31" s="218">
        <f>IF(Timeline!MN$42=1,MN$30*MM32*IF(OR(InterestMethodCurrentPay=0,MN$23&lt;IntConvMonth),1,0),0)</f>
        <v/>
      </c>
      <c r="MO31" s="218">
        <f>IF(Timeline!MO$42=1,MO$30*MN32*IF(OR(InterestMethodCurrentPay=0,MO$23&lt;IntConvMonth),1,0),0)</f>
        <v/>
      </c>
      <c r="MP31" s="218">
        <f>IF(Timeline!MP$42=1,MP$30*MO32*IF(OR(InterestMethodCurrentPay=0,MP$23&lt;IntConvMonth),1,0),0)</f>
        <v/>
      </c>
      <c r="MQ31" s="218">
        <f>IF(Timeline!MQ$42=1,MQ$30*MP32*IF(OR(InterestMethodCurrentPay=0,MQ$23&lt;IntConvMonth),1,0),0)</f>
        <v/>
      </c>
      <c r="MR31" s="218">
        <f>IF(Timeline!MR$42=1,MR$30*MQ32*IF(OR(InterestMethodCurrentPay=0,MR$23&lt;IntConvMonth),1,0),0)</f>
        <v/>
      </c>
      <c r="MS31" s="218">
        <f>IF(Timeline!MS$42=1,MS$30*MR32*IF(OR(InterestMethodCurrentPay=0,MS$23&lt;IntConvMonth),1,0),0)</f>
        <v/>
      </c>
      <c r="MT31" s="218">
        <f>IF(Timeline!MT$42=1,MT$30*MS32*IF(OR(InterestMethodCurrentPay=0,MT$23&lt;IntConvMonth),1,0),0)</f>
        <v/>
      </c>
      <c r="MU31" s="218">
        <f>IF(Timeline!MU$42=1,MU$30*MT32*IF(OR(InterestMethodCurrentPay=0,MU$23&lt;IntConvMonth),1,0),0)</f>
        <v/>
      </c>
      <c r="MV31" s="218">
        <f>IF(Timeline!MV$42=1,MV$30*MU32*IF(OR(InterestMethodCurrentPay=0,MV$23&lt;IntConvMonth),1,0),0)</f>
        <v/>
      </c>
      <c r="MW31" s="218">
        <f>IF(Timeline!MW$42=1,MW$30*MV32*IF(OR(InterestMethodCurrentPay=0,MW$23&lt;IntConvMonth),1,0),0)</f>
        <v/>
      </c>
      <c r="MX31" s="218">
        <f>IF(Timeline!MX$42=1,MX$30*MW32*IF(OR(InterestMethodCurrentPay=0,MX$23&lt;IntConvMonth),1,0),0)</f>
        <v/>
      </c>
      <c r="MY31" s="218">
        <f>IF(Timeline!MY$42=1,MY$30*MX32*IF(OR(InterestMethodCurrentPay=0,MY$23&lt;IntConvMonth),1,0),0)</f>
        <v/>
      </c>
      <c r="MZ31" s="218">
        <f>IF(Timeline!MZ$42=1,MZ$30*MY32*IF(OR(InterestMethodCurrentPay=0,MZ$23&lt;IntConvMonth),1,0),0)</f>
        <v/>
      </c>
      <c r="NA31" s="218">
        <f>IF(Timeline!NA$42=1,NA$30*MZ32*IF(OR(InterestMethodCurrentPay=0,NA$23&lt;IntConvMonth),1,0),0)</f>
        <v/>
      </c>
      <c r="NB31" s="218">
        <f>IF(Timeline!NB$42=1,NB$30*NA32*IF(OR(InterestMethodCurrentPay=0,NB$23&lt;IntConvMonth),1,0),0)</f>
        <v/>
      </c>
      <c r="NC31" s="218">
        <f>IF(Timeline!NC$42=1,NC$30*NB32*IF(OR(InterestMethodCurrentPay=0,NC$23&lt;IntConvMonth),1,0),0)</f>
        <v/>
      </c>
      <c r="ND31" s="218">
        <f>IF(Timeline!ND$42=1,ND$30*NC32*IF(OR(InterestMethodCurrentPay=0,ND$23&lt;IntConvMonth),1,0),0)</f>
        <v/>
      </c>
      <c r="NE31" s="218">
        <f>IF(Timeline!NE$42=1,NE$30*ND32*IF(OR(InterestMethodCurrentPay=0,NE$23&lt;IntConvMonth),1,0),0)</f>
        <v/>
      </c>
      <c r="NF31" s="218">
        <f>IF(Timeline!NF$42=1,NF$30*NE32*IF(OR(InterestMethodCurrentPay=0,NF$23&lt;IntConvMonth),1,0),0)</f>
        <v/>
      </c>
      <c r="NG31" s="218">
        <f>IF(Timeline!NG$42=1,NG$30*NF32*IF(OR(InterestMethodCurrentPay=0,NG$23&lt;IntConvMonth),1,0),0)</f>
        <v/>
      </c>
      <c r="NH31" s="218">
        <f>IF(Timeline!NH$42=1,NH$30*NG32*IF(OR(InterestMethodCurrentPay=0,NH$23&lt;IntConvMonth),1,0),0)</f>
        <v/>
      </c>
      <c r="NI31" s="218">
        <f>IF(Timeline!NI$42=1,NI$30*NH32*IF(OR(InterestMethodCurrentPay=0,NI$23&lt;IntConvMonth),1,0),0)</f>
        <v/>
      </c>
      <c r="NJ31" s="218">
        <f>IF(Timeline!NJ$42=1,NJ$30*NI32*IF(OR(InterestMethodCurrentPay=0,NJ$23&lt;IntConvMonth),1,0),0)</f>
        <v/>
      </c>
      <c r="NK31" s="218">
        <f>IF(Timeline!NK$42=1,NK$30*NJ32*IF(OR(InterestMethodCurrentPay=0,NK$23&lt;IntConvMonth),1,0),0)</f>
        <v/>
      </c>
      <c r="NL31" s="218">
        <f>IF(Timeline!NL$42=1,NL$30*NK32*IF(OR(InterestMethodCurrentPay=0,NL$23&lt;IntConvMonth),1,0),0)</f>
        <v/>
      </c>
    </row>
    <row r="32">
      <c r="B32" s="40" t="inlineStr">
        <is>
          <t>Construction Loan Balance</t>
        </is>
      </c>
      <c r="C32" s="79" t="n"/>
      <c r="D32" s="261" t="n"/>
      <c r="E32" s="218">
        <f>IF(1&gt;ConPayoffMonth,0,0+E$29+E$31)</f>
        <v/>
      </c>
      <c r="F32" s="218">
        <f>IF(2&gt;ConPayoffMonth,0,E$32+F$29+F$31)</f>
        <v/>
      </c>
      <c r="G32" s="218">
        <f>IF(3&gt;ConPayoffMonth,0,F$32+G$29+G$31)</f>
        <v/>
      </c>
      <c r="H32" s="218">
        <f>IF(4&gt;ConPayoffMonth,0,G$32+H$29+H$31)</f>
        <v/>
      </c>
      <c r="I32" s="218">
        <f>IF(5&gt;ConPayoffMonth,0,H$32+I$29+I$31)</f>
        <v/>
      </c>
      <c r="J32" s="218">
        <f>IF(6&gt;ConPayoffMonth,0,I$32+J$29+J$31)</f>
        <v/>
      </c>
      <c r="K32" s="218">
        <f>IF(7&gt;ConPayoffMonth,0,J$32+K$29+K$31)</f>
        <v/>
      </c>
      <c r="L32" s="218">
        <f>IF(8&gt;ConPayoffMonth,0,K$32+L$29+L$31)</f>
        <v/>
      </c>
      <c r="M32" s="218">
        <f>IF(9&gt;ConPayoffMonth,0,L$32+M$29+M$31)</f>
        <v/>
      </c>
      <c r="N32" s="218">
        <f>IF(10&gt;ConPayoffMonth,0,M$32+N$29+N$31)</f>
        <v/>
      </c>
      <c r="O32" s="218">
        <f>IF(11&gt;ConPayoffMonth,0,N$32+O$29+O$31)</f>
        <v/>
      </c>
      <c r="P32" s="218">
        <f>IF(12&gt;ConPayoffMonth,0,O$32+P$29+P$31)</f>
        <v/>
      </c>
      <c r="Q32" s="218">
        <f>IF(13&gt;ConPayoffMonth,0,P$32+Q$29+Q$31)</f>
        <v/>
      </c>
      <c r="R32" s="218">
        <f>IF(14&gt;ConPayoffMonth,0,Q$32+R$29+R$31)</f>
        <v/>
      </c>
      <c r="S32" s="218">
        <f>IF(15&gt;ConPayoffMonth,0,R$32+S$29+S$31)</f>
        <v/>
      </c>
      <c r="T32" s="218">
        <f>IF(16&gt;ConPayoffMonth,0,S$32+T$29+T$31)</f>
        <v/>
      </c>
      <c r="U32" s="218">
        <f>IF(17&gt;ConPayoffMonth,0,T$32+U$29+U$31)</f>
        <v/>
      </c>
      <c r="V32" s="218">
        <f>IF(18&gt;ConPayoffMonth,0,U$32+V$29+V$31)</f>
        <v/>
      </c>
      <c r="W32" s="218">
        <f>IF(19&gt;ConPayoffMonth,0,V$32+W$29+W$31)</f>
        <v/>
      </c>
      <c r="X32" s="218">
        <f>IF(20&gt;ConPayoffMonth,0,W$32+X$29+X$31)</f>
        <v/>
      </c>
      <c r="Y32" s="218">
        <f>IF(21&gt;ConPayoffMonth,0,X$32+Y$29+Y$31)</f>
        <v/>
      </c>
      <c r="Z32" s="218">
        <f>IF(22&gt;ConPayoffMonth,0,Y$32+Z$29+Z$31)</f>
        <v/>
      </c>
      <c r="AA32" s="218">
        <f>IF(23&gt;ConPayoffMonth,0,Z$32+AA$29+AA$31)</f>
        <v/>
      </c>
      <c r="AB32" s="218">
        <f>IF(24&gt;ConPayoffMonth,0,AA$32+AB$29+AB$31)</f>
        <v/>
      </c>
      <c r="AC32" s="218">
        <f>IF(25&gt;ConPayoffMonth,0,AB$32+AC$29+AC$31)</f>
        <v/>
      </c>
      <c r="AD32" s="218">
        <f>IF(26&gt;ConPayoffMonth,0,AC$32+AD$29+AD$31)</f>
        <v/>
      </c>
      <c r="AE32" s="218">
        <f>IF(27&gt;ConPayoffMonth,0,AD$32+AE$29+AE$31)</f>
        <v/>
      </c>
      <c r="AF32" s="218">
        <f>IF(28&gt;ConPayoffMonth,0,AE$32+AF$29+AF$31)</f>
        <v/>
      </c>
      <c r="AG32" s="218">
        <f>IF(29&gt;ConPayoffMonth,0,AF$32+AG$29+AG$31)</f>
        <v/>
      </c>
      <c r="AH32" s="218">
        <f>IF(30&gt;ConPayoffMonth,0,AG$32+AH$29+AH$31)</f>
        <v/>
      </c>
      <c r="AI32" s="218">
        <f>IF(31&gt;ConPayoffMonth,0,AH$32+AI$29+AI$31)</f>
        <v/>
      </c>
      <c r="AJ32" s="218">
        <f>IF(32&gt;ConPayoffMonth,0,AI$32+AJ$29+AJ$31)</f>
        <v/>
      </c>
      <c r="AK32" s="218">
        <f>IF(33&gt;ConPayoffMonth,0,AJ$32+AK$29+AK$31)</f>
        <v/>
      </c>
      <c r="AL32" s="218">
        <f>IF(34&gt;ConPayoffMonth,0,AK$32+AL$29+AL$31)</f>
        <v/>
      </c>
      <c r="AM32" s="218">
        <f>IF(35&gt;ConPayoffMonth,0,AL$32+AM$29+AM$31)</f>
        <v/>
      </c>
      <c r="AN32" s="218">
        <f>IF(36&gt;ConPayoffMonth,0,AM$32+AN$29+AN$31)</f>
        <v/>
      </c>
      <c r="AO32" s="218">
        <f>IF(37&gt;ConPayoffMonth,0,AN$32+AO$29+AO$31)</f>
        <v/>
      </c>
      <c r="AP32" s="218">
        <f>IF(38&gt;ConPayoffMonth,0,AO$32+AP$29+AP$31)</f>
        <v/>
      </c>
      <c r="AQ32" s="218">
        <f>IF(39&gt;ConPayoffMonth,0,AP$32+AQ$29+AQ$31)</f>
        <v/>
      </c>
      <c r="AR32" s="218">
        <f>IF(40&gt;ConPayoffMonth,0,AQ$32+AR$29+AR$31)</f>
        <v/>
      </c>
      <c r="AS32" s="218">
        <f>IF(41&gt;ConPayoffMonth,0,AR$32+AS$29+AS$31)</f>
        <v/>
      </c>
      <c r="AT32" s="218">
        <f>IF(42&gt;ConPayoffMonth,0,AS$32+AT$29+AT$31)</f>
        <v/>
      </c>
      <c r="AU32" s="218">
        <f>IF(43&gt;ConPayoffMonth,0,AT$32+AU$29+AU$31)</f>
        <v/>
      </c>
      <c r="AV32" s="218">
        <f>IF(44&gt;ConPayoffMonth,0,AU$32+AV$29+AV$31)</f>
        <v/>
      </c>
      <c r="AW32" s="218">
        <f>IF(45&gt;ConPayoffMonth,0,AV$32+AW$29+AW$31)</f>
        <v/>
      </c>
      <c r="AX32" s="218">
        <f>IF(46&gt;ConPayoffMonth,0,AW$32+AX$29+AX$31)</f>
        <v/>
      </c>
      <c r="AY32" s="218">
        <f>IF(47&gt;ConPayoffMonth,0,AX$32+AY$29+AY$31)</f>
        <v/>
      </c>
      <c r="AZ32" s="218">
        <f>IF(48&gt;ConPayoffMonth,0,AY$32+AZ$29+AZ$31)</f>
        <v/>
      </c>
      <c r="BA32" s="218">
        <f>IF(49&gt;ConPayoffMonth,0,AZ$32+BA$29+BA$31)</f>
        <v/>
      </c>
      <c r="BB32" s="218">
        <f>IF(50&gt;ConPayoffMonth,0,BA$32+BB$29+BB$31)</f>
        <v/>
      </c>
      <c r="BC32" s="218">
        <f>IF(51&gt;ConPayoffMonth,0,BB$32+BC$29+BC$31)</f>
        <v/>
      </c>
      <c r="BD32" s="218">
        <f>IF(52&gt;ConPayoffMonth,0,BC$32+BD$29+BD$31)</f>
        <v/>
      </c>
      <c r="BE32" s="218">
        <f>IF(53&gt;ConPayoffMonth,0,BD$32+BE$29+BE$31)</f>
        <v/>
      </c>
      <c r="BF32" s="218">
        <f>IF(54&gt;ConPayoffMonth,0,BE$32+BF$29+BF$31)</f>
        <v/>
      </c>
      <c r="BG32" s="218">
        <f>IF(55&gt;ConPayoffMonth,0,BF$32+BG$29+BG$31)</f>
        <v/>
      </c>
      <c r="BH32" s="218">
        <f>IF(56&gt;ConPayoffMonth,0,BG$32+BH$29+BH$31)</f>
        <v/>
      </c>
      <c r="BI32" s="218">
        <f>IF(57&gt;ConPayoffMonth,0,BH$32+BI$29+BI$31)</f>
        <v/>
      </c>
      <c r="BJ32" s="218">
        <f>IF(58&gt;ConPayoffMonth,0,BI$32+BJ$29+BJ$31)</f>
        <v/>
      </c>
      <c r="BK32" s="218">
        <f>IF(59&gt;ConPayoffMonth,0,BJ$32+BK$29+BK$31)</f>
        <v/>
      </c>
      <c r="BL32" s="218">
        <f>IF(60&gt;ConPayoffMonth,0,BK$32+BL$29+BL$31)</f>
        <v/>
      </c>
      <c r="BM32" s="218">
        <f>IF(61&gt;ConPayoffMonth,0,BL$32+BM$29+BM$31)</f>
        <v/>
      </c>
      <c r="BN32" s="218">
        <f>IF(62&gt;ConPayoffMonth,0,BM$32+BN$29+BN$31)</f>
        <v/>
      </c>
      <c r="BO32" s="218">
        <f>IF(63&gt;ConPayoffMonth,0,BN$32+BO$29+BO$31)</f>
        <v/>
      </c>
      <c r="BP32" s="218">
        <f>IF(64&gt;ConPayoffMonth,0,BO$32+BP$29+BP$31)</f>
        <v/>
      </c>
      <c r="BQ32" s="218">
        <f>IF(65&gt;ConPayoffMonth,0,BP$32+BQ$29+BQ$31)</f>
        <v/>
      </c>
      <c r="BR32" s="218">
        <f>IF(66&gt;ConPayoffMonth,0,BQ$32+BR$29+BR$31)</f>
        <v/>
      </c>
      <c r="BS32" s="218">
        <f>IF(67&gt;ConPayoffMonth,0,BR$32+BS$29+BS$31)</f>
        <v/>
      </c>
      <c r="BT32" s="218">
        <f>IF(68&gt;ConPayoffMonth,0,BS$32+BT$29+BT$31)</f>
        <v/>
      </c>
      <c r="BU32" s="218">
        <f>IF(69&gt;ConPayoffMonth,0,BT$32+BU$29+BU$31)</f>
        <v/>
      </c>
      <c r="BV32" s="218">
        <f>IF(70&gt;ConPayoffMonth,0,BU$32+BV$29+BV$31)</f>
        <v/>
      </c>
      <c r="BW32" s="218">
        <f>IF(71&gt;ConPayoffMonth,0,BV$32+BW$29+BW$31)</f>
        <v/>
      </c>
      <c r="BX32" s="218">
        <f>IF(72&gt;ConPayoffMonth,0,BW$32+BX$29+BX$31)</f>
        <v/>
      </c>
      <c r="BY32" s="218">
        <f>IF(73&gt;ConPayoffMonth,0,BX$32+BY$29+BY$31)</f>
        <v/>
      </c>
      <c r="BZ32" s="218">
        <f>IF(74&gt;ConPayoffMonth,0,BY$32+BZ$29+BZ$31)</f>
        <v/>
      </c>
      <c r="CA32" s="218">
        <f>IF(75&gt;ConPayoffMonth,0,BZ$32+CA$29+CA$31)</f>
        <v/>
      </c>
      <c r="CB32" s="218">
        <f>IF(76&gt;ConPayoffMonth,0,CA$32+CB$29+CB$31)</f>
        <v/>
      </c>
      <c r="CC32" s="218">
        <f>IF(77&gt;ConPayoffMonth,0,CB$32+CC$29+CC$31)</f>
        <v/>
      </c>
      <c r="CD32" s="218">
        <f>IF(78&gt;ConPayoffMonth,0,CC$32+CD$29+CD$31)</f>
        <v/>
      </c>
      <c r="CE32" s="218">
        <f>IF(79&gt;ConPayoffMonth,0,CD$32+CE$29+CE$31)</f>
        <v/>
      </c>
      <c r="CF32" s="218">
        <f>IF(80&gt;ConPayoffMonth,0,CE$32+CF$29+CF$31)</f>
        <v/>
      </c>
      <c r="CG32" s="218">
        <f>IF(81&gt;ConPayoffMonth,0,CF$32+CG$29+CG$31)</f>
        <v/>
      </c>
      <c r="CH32" s="218">
        <f>IF(82&gt;ConPayoffMonth,0,CG$32+CH$29+CH$31)</f>
        <v/>
      </c>
      <c r="CI32" s="218">
        <f>IF(83&gt;ConPayoffMonth,0,CH$32+CI$29+CI$31)</f>
        <v/>
      </c>
      <c r="CJ32" s="218">
        <f>IF(84&gt;ConPayoffMonth,0,CI$32+CJ$29+CJ$31)</f>
        <v/>
      </c>
      <c r="CK32" s="218">
        <f>IF(85&gt;ConPayoffMonth,0,CJ$32+CK$29+CK$31)</f>
        <v/>
      </c>
      <c r="CL32" s="218">
        <f>IF(86&gt;ConPayoffMonth,0,CK$32+CL$29+CL$31)</f>
        <v/>
      </c>
      <c r="CM32" s="218">
        <f>IF(87&gt;ConPayoffMonth,0,CL$32+CM$29+CM$31)</f>
        <v/>
      </c>
      <c r="CN32" s="218">
        <f>IF(88&gt;ConPayoffMonth,0,CM$32+CN$29+CN$31)</f>
        <v/>
      </c>
      <c r="CO32" s="218">
        <f>IF(89&gt;ConPayoffMonth,0,CN$32+CO$29+CO$31)</f>
        <v/>
      </c>
      <c r="CP32" s="218">
        <f>IF(90&gt;ConPayoffMonth,0,CO$32+CP$29+CP$31)</f>
        <v/>
      </c>
      <c r="CQ32" s="218">
        <f>IF(91&gt;ConPayoffMonth,0,CP$32+CQ$29+CQ$31)</f>
        <v/>
      </c>
      <c r="CR32" s="218">
        <f>IF(92&gt;ConPayoffMonth,0,CQ$32+CR$29+CR$31)</f>
        <v/>
      </c>
      <c r="CS32" s="218">
        <f>IF(93&gt;ConPayoffMonth,0,CR$32+CS$29+CS$31)</f>
        <v/>
      </c>
      <c r="CT32" s="218">
        <f>IF(94&gt;ConPayoffMonth,0,CS$32+CT$29+CT$31)</f>
        <v/>
      </c>
      <c r="CU32" s="218">
        <f>IF(95&gt;ConPayoffMonth,0,CT$32+CU$29+CU$31)</f>
        <v/>
      </c>
      <c r="CV32" s="218">
        <f>IF(96&gt;ConPayoffMonth,0,CU$32+CV$29+CV$31)</f>
        <v/>
      </c>
      <c r="CW32" s="218">
        <f>IF(97&gt;ConPayoffMonth,0,CV$32+CW$29+CW$31)</f>
        <v/>
      </c>
      <c r="CX32" s="218">
        <f>IF(98&gt;ConPayoffMonth,0,CW$32+CX$29+CX$31)</f>
        <v/>
      </c>
      <c r="CY32" s="218">
        <f>IF(99&gt;ConPayoffMonth,0,CX$32+CY$29+CY$31)</f>
        <v/>
      </c>
      <c r="CZ32" s="218">
        <f>IF(100&gt;ConPayoffMonth,0,CY$32+CZ$29+CZ$31)</f>
        <v/>
      </c>
      <c r="DA32" s="218">
        <f>IF(101&gt;ConPayoffMonth,0,CZ$32+DA$29+DA$31)</f>
        <v/>
      </c>
      <c r="DB32" s="218">
        <f>IF(102&gt;ConPayoffMonth,0,DA$32+DB$29+DB$31)</f>
        <v/>
      </c>
      <c r="DC32" s="218">
        <f>IF(103&gt;ConPayoffMonth,0,DB$32+DC$29+DC$31)</f>
        <v/>
      </c>
      <c r="DD32" s="218">
        <f>IF(104&gt;ConPayoffMonth,0,DC$32+DD$29+DD$31)</f>
        <v/>
      </c>
      <c r="DE32" s="218">
        <f>IF(105&gt;ConPayoffMonth,0,DD$32+DE$29+DE$31)</f>
        <v/>
      </c>
      <c r="DF32" s="218">
        <f>IF(106&gt;ConPayoffMonth,0,DE$32+DF$29+DF$31)</f>
        <v/>
      </c>
      <c r="DG32" s="218">
        <f>IF(107&gt;ConPayoffMonth,0,DF$32+DG$29+DG$31)</f>
        <v/>
      </c>
      <c r="DH32" s="218">
        <f>IF(108&gt;ConPayoffMonth,0,DG$32+DH$29+DH$31)</f>
        <v/>
      </c>
      <c r="DI32" s="218">
        <f>IF(109&gt;ConPayoffMonth,0,DH$32+DI$29+DI$31)</f>
        <v/>
      </c>
      <c r="DJ32" s="218">
        <f>IF(110&gt;ConPayoffMonth,0,DI$32+DJ$29+DJ$31)</f>
        <v/>
      </c>
      <c r="DK32" s="218">
        <f>IF(111&gt;ConPayoffMonth,0,DJ$32+DK$29+DK$31)</f>
        <v/>
      </c>
      <c r="DL32" s="218">
        <f>IF(112&gt;ConPayoffMonth,0,DK$32+DL$29+DL$31)</f>
        <v/>
      </c>
      <c r="DM32" s="218">
        <f>IF(113&gt;ConPayoffMonth,0,DL$32+DM$29+DM$31)</f>
        <v/>
      </c>
      <c r="DN32" s="218">
        <f>IF(114&gt;ConPayoffMonth,0,DM$32+DN$29+DN$31)</f>
        <v/>
      </c>
      <c r="DO32" s="218">
        <f>IF(115&gt;ConPayoffMonth,0,DN$32+DO$29+DO$31)</f>
        <v/>
      </c>
      <c r="DP32" s="218">
        <f>IF(116&gt;ConPayoffMonth,0,DO$32+DP$29+DP$31)</f>
        <v/>
      </c>
      <c r="DQ32" s="218">
        <f>IF(117&gt;ConPayoffMonth,0,DP$32+DQ$29+DQ$31)</f>
        <v/>
      </c>
      <c r="DR32" s="218">
        <f>IF(118&gt;ConPayoffMonth,0,DQ$32+DR$29+DR$31)</f>
        <v/>
      </c>
      <c r="DS32" s="218">
        <f>IF(119&gt;ConPayoffMonth,0,DR$32+DS$29+DS$31)</f>
        <v/>
      </c>
      <c r="DT32" s="218">
        <f>IF(120&gt;ConPayoffMonth,0,DS$32+DT$29+DT$31)</f>
        <v/>
      </c>
      <c r="DU32" s="218">
        <f>IF(121&gt;ConPayoffMonth,0,DT$32+DU$29+DU$31)</f>
        <v/>
      </c>
      <c r="DV32" s="218">
        <f>IF(122&gt;ConPayoffMonth,0,DU$32+DV$29+DV$31)</f>
        <v/>
      </c>
      <c r="DW32" s="218">
        <f>IF(123&gt;ConPayoffMonth,0,DV$32+DW$29+DW$31)</f>
        <v/>
      </c>
      <c r="DX32" s="218">
        <f>IF(124&gt;ConPayoffMonth,0,DW$32+DX$29+DX$31)</f>
        <v/>
      </c>
      <c r="DY32" s="218">
        <f>IF(125&gt;ConPayoffMonth,0,DX$32+DY$29+DY$31)</f>
        <v/>
      </c>
      <c r="DZ32" s="218">
        <f>IF(126&gt;ConPayoffMonth,0,DY$32+DZ$29+DZ$31)</f>
        <v/>
      </c>
      <c r="EA32" s="218">
        <f>IF(127&gt;ConPayoffMonth,0,DZ$32+EA$29+EA$31)</f>
        <v/>
      </c>
      <c r="EB32" s="218">
        <f>IF(128&gt;ConPayoffMonth,0,EA$32+EB$29+EB$31)</f>
        <v/>
      </c>
      <c r="EC32" s="218">
        <f>IF(129&gt;ConPayoffMonth,0,EB$32+EC$29+EC$31)</f>
        <v/>
      </c>
      <c r="ED32" s="218">
        <f>IF(130&gt;ConPayoffMonth,0,EC$32+ED$29+ED$31)</f>
        <v/>
      </c>
      <c r="EE32" s="218">
        <f>IF(131&gt;ConPayoffMonth,0,ED$32+EE$29+EE$31)</f>
        <v/>
      </c>
      <c r="EF32" s="218">
        <f>IF(132&gt;ConPayoffMonth,0,EE$32+EF$29+EF$31)</f>
        <v/>
      </c>
      <c r="EG32" s="218">
        <f>IF(133&gt;ConPayoffMonth,0,EF$32+EG$29+EG$31)</f>
        <v/>
      </c>
      <c r="EH32" s="218">
        <f>IF(134&gt;ConPayoffMonth,0,EG$32+EH$29+EH$31)</f>
        <v/>
      </c>
      <c r="EI32" s="218">
        <f>IF(135&gt;ConPayoffMonth,0,EH$32+EI$29+EI$31)</f>
        <v/>
      </c>
      <c r="EJ32" s="218">
        <f>IF(136&gt;ConPayoffMonth,0,EI$32+EJ$29+EJ$31)</f>
        <v/>
      </c>
      <c r="EK32" s="218">
        <f>IF(137&gt;ConPayoffMonth,0,EJ$32+EK$29+EK$31)</f>
        <v/>
      </c>
      <c r="EL32" s="218">
        <f>IF(138&gt;ConPayoffMonth,0,EK$32+EL$29+EL$31)</f>
        <v/>
      </c>
      <c r="EM32" s="218">
        <f>IF(139&gt;ConPayoffMonth,0,EL$32+EM$29+EM$31)</f>
        <v/>
      </c>
      <c r="EN32" s="218">
        <f>IF(140&gt;ConPayoffMonth,0,EM$32+EN$29+EN$31)</f>
        <v/>
      </c>
      <c r="EO32" s="218">
        <f>IF(141&gt;ConPayoffMonth,0,EN$32+EO$29+EO$31)</f>
        <v/>
      </c>
      <c r="EP32" s="218">
        <f>IF(142&gt;ConPayoffMonth,0,EO$32+EP$29+EP$31)</f>
        <v/>
      </c>
      <c r="EQ32" s="218">
        <f>IF(143&gt;ConPayoffMonth,0,EP$32+EQ$29+EQ$31)</f>
        <v/>
      </c>
      <c r="ER32" s="218">
        <f>IF(144&gt;ConPayoffMonth,0,EQ$32+ER$29+ER$31)</f>
        <v/>
      </c>
      <c r="ES32" s="218">
        <f>IF(145&gt;ConPayoffMonth,0,ER$32+ES$29+ES$31)</f>
        <v/>
      </c>
      <c r="ET32" s="218">
        <f>IF(146&gt;ConPayoffMonth,0,ES$32+ET$29+ET$31)</f>
        <v/>
      </c>
      <c r="EU32" s="218">
        <f>IF(147&gt;ConPayoffMonth,0,ET$32+EU$29+EU$31)</f>
        <v/>
      </c>
      <c r="EV32" s="218">
        <f>IF(148&gt;ConPayoffMonth,0,EU$32+EV$29+EV$31)</f>
        <v/>
      </c>
      <c r="EW32" s="218">
        <f>IF(149&gt;ConPayoffMonth,0,EV$32+EW$29+EW$31)</f>
        <v/>
      </c>
      <c r="EX32" s="218">
        <f>IF(150&gt;ConPayoffMonth,0,EW$32+EX$29+EX$31)</f>
        <v/>
      </c>
      <c r="EY32" s="218">
        <f>IF(151&gt;ConPayoffMonth,0,EX$32+EY$29+EY$31)</f>
        <v/>
      </c>
      <c r="EZ32" s="218">
        <f>IF(152&gt;ConPayoffMonth,0,EY$32+EZ$29+EZ$31)</f>
        <v/>
      </c>
      <c r="FA32" s="218">
        <f>IF(153&gt;ConPayoffMonth,0,EZ$32+FA$29+FA$31)</f>
        <v/>
      </c>
      <c r="FB32" s="218">
        <f>IF(154&gt;ConPayoffMonth,0,FA$32+FB$29+FB$31)</f>
        <v/>
      </c>
      <c r="FC32" s="218">
        <f>IF(155&gt;ConPayoffMonth,0,FB$32+FC$29+FC$31)</f>
        <v/>
      </c>
      <c r="FD32" s="218">
        <f>IF(156&gt;ConPayoffMonth,0,FC$32+FD$29+FD$31)</f>
        <v/>
      </c>
      <c r="FE32" s="218">
        <f>IF(157&gt;ConPayoffMonth,0,FD$32+FE$29+FE$31)</f>
        <v/>
      </c>
      <c r="FF32" s="218">
        <f>IF(158&gt;ConPayoffMonth,0,FE$32+FF$29+FF$31)</f>
        <v/>
      </c>
      <c r="FG32" s="218">
        <f>IF(159&gt;ConPayoffMonth,0,FF$32+FG$29+FG$31)</f>
        <v/>
      </c>
      <c r="FH32" s="218">
        <f>IF(160&gt;ConPayoffMonth,0,FG$32+FH$29+FH$31)</f>
        <v/>
      </c>
      <c r="FI32" s="218">
        <f>IF(161&gt;ConPayoffMonth,0,FH$32+FI$29+FI$31)</f>
        <v/>
      </c>
      <c r="FJ32" s="218">
        <f>IF(162&gt;ConPayoffMonth,0,FI$32+FJ$29+FJ$31)</f>
        <v/>
      </c>
      <c r="FK32" s="218">
        <f>IF(163&gt;ConPayoffMonth,0,FJ$32+FK$29+FK$31)</f>
        <v/>
      </c>
      <c r="FL32" s="218">
        <f>IF(164&gt;ConPayoffMonth,0,FK$32+FL$29+FL$31)</f>
        <v/>
      </c>
      <c r="FM32" s="218">
        <f>IF(165&gt;ConPayoffMonth,0,FL$32+FM$29+FM$31)</f>
        <v/>
      </c>
      <c r="FN32" s="218">
        <f>IF(166&gt;ConPayoffMonth,0,FM$32+FN$29+FN$31)</f>
        <v/>
      </c>
      <c r="FO32" s="218">
        <f>IF(167&gt;ConPayoffMonth,0,FN$32+FO$29+FO$31)</f>
        <v/>
      </c>
      <c r="FP32" s="218">
        <f>IF(168&gt;ConPayoffMonth,0,FO$32+FP$29+FP$31)</f>
        <v/>
      </c>
      <c r="FQ32" s="218">
        <f>IF(169&gt;ConPayoffMonth,0,FP$32+FQ$29+FQ$31)</f>
        <v/>
      </c>
      <c r="FR32" s="218">
        <f>IF(170&gt;ConPayoffMonth,0,FQ$32+FR$29+FR$31)</f>
        <v/>
      </c>
      <c r="FS32" s="218">
        <f>IF(171&gt;ConPayoffMonth,0,FR$32+FS$29+FS$31)</f>
        <v/>
      </c>
      <c r="FT32" s="218">
        <f>IF(172&gt;ConPayoffMonth,0,FS$32+FT$29+FT$31)</f>
        <v/>
      </c>
      <c r="FU32" s="218">
        <f>IF(173&gt;ConPayoffMonth,0,FT$32+FU$29+FU$31)</f>
        <v/>
      </c>
      <c r="FV32" s="218">
        <f>IF(174&gt;ConPayoffMonth,0,FU$32+FV$29+FV$31)</f>
        <v/>
      </c>
      <c r="FW32" s="218">
        <f>IF(175&gt;ConPayoffMonth,0,FV$32+FW$29+FW$31)</f>
        <v/>
      </c>
      <c r="FX32" s="218">
        <f>IF(176&gt;ConPayoffMonth,0,FW$32+FX$29+FX$31)</f>
        <v/>
      </c>
      <c r="FY32" s="218">
        <f>IF(177&gt;ConPayoffMonth,0,FX$32+FY$29+FY$31)</f>
        <v/>
      </c>
      <c r="FZ32" s="218">
        <f>IF(178&gt;ConPayoffMonth,0,FY$32+FZ$29+FZ$31)</f>
        <v/>
      </c>
      <c r="GA32" s="218">
        <f>IF(179&gt;ConPayoffMonth,0,FZ$32+GA$29+GA$31)</f>
        <v/>
      </c>
      <c r="GB32" s="218">
        <f>IF(180&gt;ConPayoffMonth,0,GA$32+GB$29+GB$31)</f>
        <v/>
      </c>
      <c r="GC32" s="218">
        <f>IF(181&gt;ConPayoffMonth,0,GB$32+GC$29+GC$31)</f>
        <v/>
      </c>
      <c r="GD32" s="218">
        <f>IF(182&gt;ConPayoffMonth,0,GC$32+GD$29+GD$31)</f>
        <v/>
      </c>
      <c r="GE32" s="218">
        <f>IF(183&gt;ConPayoffMonth,0,GD$32+GE$29+GE$31)</f>
        <v/>
      </c>
      <c r="GF32" s="218">
        <f>IF(184&gt;ConPayoffMonth,0,GE$32+GF$29+GF$31)</f>
        <v/>
      </c>
      <c r="GG32" s="218">
        <f>IF(185&gt;ConPayoffMonth,0,GF$32+GG$29+GG$31)</f>
        <v/>
      </c>
      <c r="GH32" s="218">
        <f>IF(186&gt;ConPayoffMonth,0,GG$32+GH$29+GH$31)</f>
        <v/>
      </c>
      <c r="GI32" s="218">
        <f>IF(187&gt;ConPayoffMonth,0,GH$32+GI$29+GI$31)</f>
        <v/>
      </c>
      <c r="GJ32" s="218">
        <f>IF(188&gt;ConPayoffMonth,0,GI$32+GJ$29+GJ$31)</f>
        <v/>
      </c>
      <c r="GK32" s="218">
        <f>IF(189&gt;ConPayoffMonth,0,GJ$32+GK$29+GK$31)</f>
        <v/>
      </c>
      <c r="GL32" s="218">
        <f>IF(190&gt;ConPayoffMonth,0,GK$32+GL$29+GL$31)</f>
        <v/>
      </c>
      <c r="GM32" s="218">
        <f>IF(191&gt;ConPayoffMonth,0,GL$32+GM$29+GM$31)</f>
        <v/>
      </c>
      <c r="GN32" s="218">
        <f>IF(192&gt;ConPayoffMonth,0,GM$32+GN$29+GN$31)</f>
        <v/>
      </c>
      <c r="GO32" s="218">
        <f>IF(193&gt;ConPayoffMonth,0,GN$32+GO$29+GO$31)</f>
        <v/>
      </c>
      <c r="GP32" s="218">
        <f>IF(194&gt;ConPayoffMonth,0,GO$32+GP$29+GP$31)</f>
        <v/>
      </c>
      <c r="GQ32" s="218">
        <f>IF(195&gt;ConPayoffMonth,0,GP$32+GQ$29+GQ$31)</f>
        <v/>
      </c>
      <c r="GR32" s="218">
        <f>IF(196&gt;ConPayoffMonth,0,GQ$32+GR$29+GR$31)</f>
        <v/>
      </c>
      <c r="GS32" s="218">
        <f>IF(197&gt;ConPayoffMonth,0,GR$32+GS$29+GS$31)</f>
        <v/>
      </c>
      <c r="GT32" s="218">
        <f>IF(198&gt;ConPayoffMonth,0,GS$32+GT$29+GT$31)</f>
        <v/>
      </c>
      <c r="GU32" s="218">
        <f>IF(199&gt;ConPayoffMonth,0,GT$32+GU$29+GU$31)</f>
        <v/>
      </c>
      <c r="GV32" s="218">
        <f>IF(200&gt;ConPayoffMonth,0,GU$32+GV$29+GV$31)</f>
        <v/>
      </c>
      <c r="GW32" s="218">
        <f>IF(201&gt;ConPayoffMonth,0,GV$32+GW$29+GW$31)</f>
        <v/>
      </c>
      <c r="GX32" s="218">
        <f>IF(202&gt;ConPayoffMonth,0,GW$32+GX$29+GX$31)</f>
        <v/>
      </c>
      <c r="GY32" s="218">
        <f>IF(203&gt;ConPayoffMonth,0,GX$32+GY$29+GY$31)</f>
        <v/>
      </c>
      <c r="GZ32" s="218">
        <f>IF(204&gt;ConPayoffMonth,0,GY$32+GZ$29+GZ$31)</f>
        <v/>
      </c>
      <c r="HA32" s="218">
        <f>IF(205&gt;ConPayoffMonth,0,GZ$32+HA$29+HA$31)</f>
        <v/>
      </c>
      <c r="HB32" s="218">
        <f>IF(206&gt;ConPayoffMonth,0,HA$32+HB$29+HB$31)</f>
        <v/>
      </c>
      <c r="HC32" s="218">
        <f>IF(207&gt;ConPayoffMonth,0,HB$32+HC$29+HC$31)</f>
        <v/>
      </c>
      <c r="HD32" s="218">
        <f>IF(208&gt;ConPayoffMonth,0,HC$32+HD$29+HD$31)</f>
        <v/>
      </c>
      <c r="HE32" s="218">
        <f>IF(209&gt;ConPayoffMonth,0,HD$32+HE$29+HE$31)</f>
        <v/>
      </c>
      <c r="HF32" s="218">
        <f>IF(210&gt;ConPayoffMonth,0,HE$32+HF$29+HF$31)</f>
        <v/>
      </c>
      <c r="HG32" s="218">
        <f>IF(211&gt;ConPayoffMonth,0,HF$32+HG$29+HG$31)</f>
        <v/>
      </c>
      <c r="HH32" s="218">
        <f>IF(212&gt;ConPayoffMonth,0,HG$32+HH$29+HH$31)</f>
        <v/>
      </c>
      <c r="HI32" s="218">
        <f>IF(213&gt;ConPayoffMonth,0,HH$32+HI$29+HI$31)</f>
        <v/>
      </c>
      <c r="HJ32" s="218">
        <f>IF(214&gt;ConPayoffMonth,0,HI$32+HJ$29+HJ$31)</f>
        <v/>
      </c>
      <c r="HK32" s="218">
        <f>IF(215&gt;ConPayoffMonth,0,HJ$32+HK$29+HK$31)</f>
        <v/>
      </c>
      <c r="HL32" s="218">
        <f>IF(216&gt;ConPayoffMonth,0,HK$32+HL$29+HL$31)</f>
        <v/>
      </c>
      <c r="HM32" s="218">
        <f>IF(217&gt;ConPayoffMonth,0,HL$32+HM$29+HM$31)</f>
        <v/>
      </c>
      <c r="HN32" s="218">
        <f>IF(218&gt;ConPayoffMonth,0,HM$32+HN$29+HN$31)</f>
        <v/>
      </c>
      <c r="HO32" s="218">
        <f>IF(219&gt;ConPayoffMonth,0,HN$32+HO$29+HO$31)</f>
        <v/>
      </c>
      <c r="HP32" s="218">
        <f>IF(220&gt;ConPayoffMonth,0,HO$32+HP$29+HP$31)</f>
        <v/>
      </c>
      <c r="HQ32" s="218">
        <f>IF(221&gt;ConPayoffMonth,0,HP$32+HQ$29+HQ$31)</f>
        <v/>
      </c>
      <c r="HR32" s="218">
        <f>IF(222&gt;ConPayoffMonth,0,HQ$32+HR$29+HR$31)</f>
        <v/>
      </c>
      <c r="HS32" s="218">
        <f>IF(223&gt;ConPayoffMonth,0,HR$32+HS$29+HS$31)</f>
        <v/>
      </c>
      <c r="HT32" s="218">
        <f>IF(224&gt;ConPayoffMonth,0,HS$32+HT$29+HT$31)</f>
        <v/>
      </c>
      <c r="HU32" s="218">
        <f>IF(225&gt;ConPayoffMonth,0,HT$32+HU$29+HU$31)</f>
        <v/>
      </c>
      <c r="HV32" s="218">
        <f>IF(226&gt;ConPayoffMonth,0,HU$32+HV$29+HV$31)</f>
        <v/>
      </c>
      <c r="HW32" s="218">
        <f>IF(227&gt;ConPayoffMonth,0,HV$32+HW$29+HW$31)</f>
        <v/>
      </c>
      <c r="HX32" s="218">
        <f>IF(228&gt;ConPayoffMonth,0,HW$32+HX$29+HX$31)</f>
        <v/>
      </c>
      <c r="HY32" s="218">
        <f>IF(229&gt;ConPayoffMonth,0,HX$32+HY$29+HY$31)</f>
        <v/>
      </c>
      <c r="HZ32" s="218">
        <f>IF(230&gt;ConPayoffMonth,0,HY$32+HZ$29+HZ$31)</f>
        <v/>
      </c>
      <c r="IA32" s="218">
        <f>IF(231&gt;ConPayoffMonth,0,HZ$32+IA$29+IA$31)</f>
        <v/>
      </c>
      <c r="IB32" s="218">
        <f>IF(232&gt;ConPayoffMonth,0,IA$32+IB$29+IB$31)</f>
        <v/>
      </c>
      <c r="IC32" s="218">
        <f>IF(233&gt;ConPayoffMonth,0,IB$32+IC$29+IC$31)</f>
        <v/>
      </c>
      <c r="ID32" s="218">
        <f>IF(234&gt;ConPayoffMonth,0,IC$32+ID$29+ID$31)</f>
        <v/>
      </c>
      <c r="IE32" s="218">
        <f>IF(235&gt;ConPayoffMonth,0,ID$32+IE$29+IE$31)</f>
        <v/>
      </c>
      <c r="IF32" s="218">
        <f>IF(236&gt;ConPayoffMonth,0,IE$32+IF$29+IF$31)</f>
        <v/>
      </c>
      <c r="IG32" s="218">
        <f>IF(237&gt;ConPayoffMonth,0,IF$32+IG$29+IG$31)</f>
        <v/>
      </c>
      <c r="IH32" s="218">
        <f>IF(238&gt;ConPayoffMonth,0,IG$32+IH$29+IH$31)</f>
        <v/>
      </c>
      <c r="II32" s="218">
        <f>IF(239&gt;ConPayoffMonth,0,IH$32+II$29+II$31)</f>
        <v/>
      </c>
      <c r="IJ32" s="218">
        <f>IF(240&gt;ConPayoffMonth,0,II$32+IJ$29+IJ$31)</f>
        <v/>
      </c>
      <c r="IK32" s="218">
        <f>IF(241&gt;ConPayoffMonth,0,IJ$32+IK$29+IK$31)</f>
        <v/>
      </c>
      <c r="IL32" s="218">
        <f>IF(242&gt;ConPayoffMonth,0,IK$32+IL$29+IL$31)</f>
        <v/>
      </c>
      <c r="IM32" s="218">
        <f>IF(243&gt;ConPayoffMonth,0,IL$32+IM$29+IM$31)</f>
        <v/>
      </c>
      <c r="IN32" s="218">
        <f>IF(244&gt;ConPayoffMonth,0,IM$32+IN$29+IN$31)</f>
        <v/>
      </c>
      <c r="IO32" s="218">
        <f>IF(245&gt;ConPayoffMonth,0,IN$32+IO$29+IO$31)</f>
        <v/>
      </c>
      <c r="IP32" s="218">
        <f>IF(246&gt;ConPayoffMonth,0,IO$32+IP$29+IP$31)</f>
        <v/>
      </c>
      <c r="IQ32" s="218">
        <f>IF(247&gt;ConPayoffMonth,0,IP$32+IQ$29+IQ$31)</f>
        <v/>
      </c>
      <c r="IR32" s="218">
        <f>IF(248&gt;ConPayoffMonth,0,IQ$32+IR$29+IR$31)</f>
        <v/>
      </c>
      <c r="IS32" s="218">
        <f>IF(249&gt;ConPayoffMonth,0,IR$32+IS$29+IS$31)</f>
        <v/>
      </c>
      <c r="IT32" s="218">
        <f>IF(250&gt;ConPayoffMonth,0,IS$32+IT$29+IT$31)</f>
        <v/>
      </c>
      <c r="IU32" s="218">
        <f>IF(251&gt;ConPayoffMonth,0,IT$32+IU$29+IU$31)</f>
        <v/>
      </c>
      <c r="IV32" s="218">
        <f>IF(252&gt;ConPayoffMonth,0,IU$32+IV$29+IV$31)</f>
        <v/>
      </c>
      <c r="IW32" s="218">
        <f>IF(253&gt;ConPayoffMonth,0,IV$32+IW$29+IW$31)</f>
        <v/>
      </c>
      <c r="IX32" s="218">
        <f>IF(254&gt;ConPayoffMonth,0,IW$32+IX$29+IX$31)</f>
        <v/>
      </c>
      <c r="IY32" s="218">
        <f>IF(255&gt;ConPayoffMonth,0,IX$32+IY$29+IY$31)</f>
        <v/>
      </c>
      <c r="IZ32" s="218">
        <f>IF(256&gt;ConPayoffMonth,0,IY$32+IZ$29+IZ$31)</f>
        <v/>
      </c>
      <c r="JA32" s="218">
        <f>IF(257&gt;ConPayoffMonth,0,IZ$32+JA$29+JA$31)</f>
        <v/>
      </c>
      <c r="JB32" s="218">
        <f>IF(258&gt;ConPayoffMonth,0,JA$32+JB$29+JB$31)</f>
        <v/>
      </c>
      <c r="JC32" s="218">
        <f>IF(259&gt;ConPayoffMonth,0,JB$32+JC$29+JC$31)</f>
        <v/>
      </c>
      <c r="JD32" s="218">
        <f>IF(260&gt;ConPayoffMonth,0,JC$32+JD$29+JD$31)</f>
        <v/>
      </c>
      <c r="JE32" s="218">
        <f>IF(261&gt;ConPayoffMonth,0,JD$32+JE$29+JE$31)</f>
        <v/>
      </c>
      <c r="JF32" s="218">
        <f>IF(262&gt;ConPayoffMonth,0,JE$32+JF$29+JF$31)</f>
        <v/>
      </c>
      <c r="JG32" s="218">
        <f>IF(263&gt;ConPayoffMonth,0,JF$32+JG$29+JG$31)</f>
        <v/>
      </c>
      <c r="JH32" s="218">
        <f>IF(264&gt;ConPayoffMonth,0,JG$32+JH$29+JH$31)</f>
        <v/>
      </c>
      <c r="JI32" s="218">
        <f>IF(265&gt;ConPayoffMonth,0,JH$32+JI$29+JI$31)</f>
        <v/>
      </c>
      <c r="JJ32" s="218">
        <f>IF(266&gt;ConPayoffMonth,0,JI$32+JJ$29+JJ$31)</f>
        <v/>
      </c>
      <c r="JK32" s="218">
        <f>IF(267&gt;ConPayoffMonth,0,JJ$32+JK$29+JK$31)</f>
        <v/>
      </c>
      <c r="JL32" s="218">
        <f>IF(268&gt;ConPayoffMonth,0,JK$32+JL$29+JL$31)</f>
        <v/>
      </c>
      <c r="JM32" s="218">
        <f>IF(269&gt;ConPayoffMonth,0,JL$32+JM$29+JM$31)</f>
        <v/>
      </c>
      <c r="JN32" s="218">
        <f>IF(270&gt;ConPayoffMonth,0,JM$32+JN$29+JN$31)</f>
        <v/>
      </c>
      <c r="JO32" s="218">
        <f>IF(271&gt;ConPayoffMonth,0,JN$32+JO$29+JO$31)</f>
        <v/>
      </c>
      <c r="JP32" s="218">
        <f>IF(272&gt;ConPayoffMonth,0,JO$32+JP$29+JP$31)</f>
        <v/>
      </c>
      <c r="JQ32" s="218">
        <f>IF(273&gt;ConPayoffMonth,0,JP$32+JQ$29+JQ$31)</f>
        <v/>
      </c>
      <c r="JR32" s="218">
        <f>IF(274&gt;ConPayoffMonth,0,JQ$32+JR$29+JR$31)</f>
        <v/>
      </c>
      <c r="JS32" s="218">
        <f>IF(275&gt;ConPayoffMonth,0,JR$32+JS$29+JS$31)</f>
        <v/>
      </c>
      <c r="JT32" s="218">
        <f>IF(276&gt;ConPayoffMonth,0,JS$32+JT$29+JT$31)</f>
        <v/>
      </c>
      <c r="JU32" s="218">
        <f>IF(277&gt;ConPayoffMonth,0,JT$32+JU$29+JU$31)</f>
        <v/>
      </c>
      <c r="JV32" s="218">
        <f>IF(278&gt;ConPayoffMonth,0,JU$32+JV$29+JV$31)</f>
        <v/>
      </c>
      <c r="JW32" s="218">
        <f>IF(279&gt;ConPayoffMonth,0,JV$32+JW$29+JW$31)</f>
        <v/>
      </c>
      <c r="JX32" s="218">
        <f>IF(280&gt;ConPayoffMonth,0,JW$32+JX$29+JX$31)</f>
        <v/>
      </c>
      <c r="JY32" s="218">
        <f>IF(281&gt;ConPayoffMonth,0,JX$32+JY$29+JY$31)</f>
        <v/>
      </c>
      <c r="JZ32" s="218">
        <f>IF(282&gt;ConPayoffMonth,0,JY$32+JZ$29+JZ$31)</f>
        <v/>
      </c>
      <c r="KA32" s="218">
        <f>IF(283&gt;ConPayoffMonth,0,JZ$32+KA$29+KA$31)</f>
        <v/>
      </c>
      <c r="KB32" s="218">
        <f>IF(284&gt;ConPayoffMonth,0,KA$32+KB$29+KB$31)</f>
        <v/>
      </c>
      <c r="KC32" s="218">
        <f>IF(285&gt;ConPayoffMonth,0,KB$32+KC$29+KC$31)</f>
        <v/>
      </c>
      <c r="KD32" s="218">
        <f>IF(286&gt;ConPayoffMonth,0,KC$32+KD$29+KD$31)</f>
        <v/>
      </c>
      <c r="KE32" s="218">
        <f>IF(287&gt;ConPayoffMonth,0,KD$32+KE$29+KE$31)</f>
        <v/>
      </c>
      <c r="KF32" s="218">
        <f>IF(288&gt;ConPayoffMonth,0,KE$32+KF$29+KF$31)</f>
        <v/>
      </c>
      <c r="KG32" s="218">
        <f>IF(289&gt;ConPayoffMonth,0,KF$32+KG$29+KG$31)</f>
        <v/>
      </c>
      <c r="KH32" s="218">
        <f>IF(290&gt;ConPayoffMonth,0,KG$32+KH$29+KH$31)</f>
        <v/>
      </c>
      <c r="KI32" s="218">
        <f>IF(291&gt;ConPayoffMonth,0,KH$32+KI$29+KI$31)</f>
        <v/>
      </c>
      <c r="KJ32" s="218">
        <f>IF(292&gt;ConPayoffMonth,0,KI$32+KJ$29+KJ$31)</f>
        <v/>
      </c>
      <c r="KK32" s="218">
        <f>IF(293&gt;ConPayoffMonth,0,KJ$32+KK$29+KK$31)</f>
        <v/>
      </c>
      <c r="KL32" s="218">
        <f>IF(294&gt;ConPayoffMonth,0,KK$32+KL$29+KL$31)</f>
        <v/>
      </c>
      <c r="KM32" s="218">
        <f>IF(295&gt;ConPayoffMonth,0,KL$32+KM$29+KM$31)</f>
        <v/>
      </c>
      <c r="KN32" s="218">
        <f>IF(296&gt;ConPayoffMonth,0,KM$32+KN$29+KN$31)</f>
        <v/>
      </c>
      <c r="KO32" s="218">
        <f>IF(297&gt;ConPayoffMonth,0,KN$32+KO$29+KO$31)</f>
        <v/>
      </c>
      <c r="KP32" s="218">
        <f>IF(298&gt;ConPayoffMonth,0,KO$32+KP$29+KP$31)</f>
        <v/>
      </c>
      <c r="KQ32" s="218">
        <f>IF(299&gt;ConPayoffMonth,0,KP$32+KQ$29+KQ$31)</f>
        <v/>
      </c>
      <c r="KR32" s="218">
        <f>IF(300&gt;ConPayoffMonth,0,KQ$32+KR$29+KR$31)</f>
        <v/>
      </c>
      <c r="KS32" s="218">
        <f>IF(301&gt;ConPayoffMonth,0,KR$32+KS$29+KS$31)</f>
        <v/>
      </c>
      <c r="KT32" s="218">
        <f>IF(302&gt;ConPayoffMonth,0,KS$32+KT$29+KT$31)</f>
        <v/>
      </c>
      <c r="KU32" s="218">
        <f>IF(303&gt;ConPayoffMonth,0,KT$32+KU$29+KU$31)</f>
        <v/>
      </c>
      <c r="KV32" s="218">
        <f>IF(304&gt;ConPayoffMonth,0,KU$32+KV$29+KV$31)</f>
        <v/>
      </c>
      <c r="KW32" s="218">
        <f>IF(305&gt;ConPayoffMonth,0,KV$32+KW$29+KW$31)</f>
        <v/>
      </c>
      <c r="KX32" s="218">
        <f>IF(306&gt;ConPayoffMonth,0,KW$32+KX$29+KX$31)</f>
        <v/>
      </c>
      <c r="KY32" s="218">
        <f>IF(307&gt;ConPayoffMonth,0,KX$32+KY$29+KY$31)</f>
        <v/>
      </c>
      <c r="KZ32" s="218">
        <f>IF(308&gt;ConPayoffMonth,0,KY$32+KZ$29+KZ$31)</f>
        <v/>
      </c>
      <c r="LA32" s="218">
        <f>IF(309&gt;ConPayoffMonth,0,KZ$32+LA$29+LA$31)</f>
        <v/>
      </c>
      <c r="LB32" s="218">
        <f>IF(310&gt;ConPayoffMonth,0,LA$32+LB$29+LB$31)</f>
        <v/>
      </c>
      <c r="LC32" s="218">
        <f>IF(311&gt;ConPayoffMonth,0,LB$32+LC$29+LC$31)</f>
        <v/>
      </c>
      <c r="LD32" s="218">
        <f>IF(312&gt;ConPayoffMonth,0,LC$32+LD$29+LD$31)</f>
        <v/>
      </c>
      <c r="LE32" s="218">
        <f>IF(313&gt;ConPayoffMonth,0,LD$32+LE$29+LE$31)</f>
        <v/>
      </c>
      <c r="LF32" s="218">
        <f>IF(314&gt;ConPayoffMonth,0,LE$32+LF$29+LF$31)</f>
        <v/>
      </c>
      <c r="LG32" s="218">
        <f>IF(315&gt;ConPayoffMonth,0,LF$32+LG$29+LG$31)</f>
        <v/>
      </c>
      <c r="LH32" s="218">
        <f>IF(316&gt;ConPayoffMonth,0,LG$32+LH$29+LH$31)</f>
        <v/>
      </c>
      <c r="LI32" s="218">
        <f>IF(317&gt;ConPayoffMonth,0,LH$32+LI$29+LI$31)</f>
        <v/>
      </c>
      <c r="LJ32" s="218">
        <f>IF(318&gt;ConPayoffMonth,0,LI$32+LJ$29+LJ$31)</f>
        <v/>
      </c>
      <c r="LK32" s="218">
        <f>IF(319&gt;ConPayoffMonth,0,LJ$32+LK$29+LK$31)</f>
        <v/>
      </c>
      <c r="LL32" s="218">
        <f>IF(320&gt;ConPayoffMonth,0,LK$32+LL$29+LL$31)</f>
        <v/>
      </c>
      <c r="LM32" s="218">
        <f>IF(321&gt;ConPayoffMonth,0,LL$32+LM$29+LM$31)</f>
        <v/>
      </c>
      <c r="LN32" s="218">
        <f>IF(322&gt;ConPayoffMonth,0,LM$32+LN$29+LN$31)</f>
        <v/>
      </c>
      <c r="LO32" s="218">
        <f>IF(323&gt;ConPayoffMonth,0,LN$32+LO$29+LO$31)</f>
        <v/>
      </c>
      <c r="LP32" s="218">
        <f>IF(324&gt;ConPayoffMonth,0,LO$32+LP$29+LP$31)</f>
        <v/>
      </c>
      <c r="LQ32" s="218">
        <f>IF(325&gt;ConPayoffMonth,0,LP$32+LQ$29+LQ$31)</f>
        <v/>
      </c>
      <c r="LR32" s="218">
        <f>IF(326&gt;ConPayoffMonth,0,LQ$32+LR$29+LR$31)</f>
        <v/>
      </c>
      <c r="LS32" s="218">
        <f>IF(327&gt;ConPayoffMonth,0,LR$32+LS$29+LS$31)</f>
        <v/>
      </c>
      <c r="LT32" s="218">
        <f>IF(328&gt;ConPayoffMonth,0,LS$32+LT$29+LT$31)</f>
        <v/>
      </c>
      <c r="LU32" s="218">
        <f>IF(329&gt;ConPayoffMonth,0,LT$32+LU$29+LU$31)</f>
        <v/>
      </c>
      <c r="LV32" s="218">
        <f>IF(330&gt;ConPayoffMonth,0,LU$32+LV$29+LV$31)</f>
        <v/>
      </c>
      <c r="LW32" s="218">
        <f>IF(331&gt;ConPayoffMonth,0,LV$32+LW$29+LW$31)</f>
        <v/>
      </c>
      <c r="LX32" s="218">
        <f>IF(332&gt;ConPayoffMonth,0,LW$32+LX$29+LX$31)</f>
        <v/>
      </c>
      <c r="LY32" s="218">
        <f>IF(333&gt;ConPayoffMonth,0,LX$32+LY$29+LY$31)</f>
        <v/>
      </c>
      <c r="LZ32" s="218">
        <f>IF(334&gt;ConPayoffMonth,0,LY$32+LZ$29+LZ$31)</f>
        <v/>
      </c>
      <c r="MA32" s="218">
        <f>IF(335&gt;ConPayoffMonth,0,LZ$32+MA$29+MA$31)</f>
        <v/>
      </c>
      <c r="MB32" s="218">
        <f>IF(336&gt;ConPayoffMonth,0,MA$32+MB$29+MB$31)</f>
        <v/>
      </c>
      <c r="MC32" s="218">
        <f>IF(337&gt;ConPayoffMonth,0,MB$32+MC$29+MC$31)</f>
        <v/>
      </c>
      <c r="MD32" s="218">
        <f>IF(338&gt;ConPayoffMonth,0,MC$32+MD$29+MD$31)</f>
        <v/>
      </c>
      <c r="ME32" s="218">
        <f>IF(339&gt;ConPayoffMonth,0,MD$32+ME$29+ME$31)</f>
        <v/>
      </c>
      <c r="MF32" s="218">
        <f>IF(340&gt;ConPayoffMonth,0,ME$32+MF$29+MF$31)</f>
        <v/>
      </c>
      <c r="MG32" s="218">
        <f>IF(341&gt;ConPayoffMonth,0,MF$32+MG$29+MG$31)</f>
        <v/>
      </c>
      <c r="MH32" s="218">
        <f>IF(342&gt;ConPayoffMonth,0,MG$32+MH$29+MH$31)</f>
        <v/>
      </c>
      <c r="MI32" s="218">
        <f>IF(343&gt;ConPayoffMonth,0,MH$32+MI$29+MI$31)</f>
        <v/>
      </c>
      <c r="MJ32" s="218">
        <f>IF(344&gt;ConPayoffMonth,0,MI$32+MJ$29+MJ$31)</f>
        <v/>
      </c>
      <c r="MK32" s="218">
        <f>IF(345&gt;ConPayoffMonth,0,MJ$32+MK$29+MK$31)</f>
        <v/>
      </c>
      <c r="ML32" s="218">
        <f>IF(346&gt;ConPayoffMonth,0,MK$32+ML$29+ML$31)</f>
        <v/>
      </c>
      <c r="MM32" s="218">
        <f>IF(347&gt;ConPayoffMonth,0,ML$32+MM$29+MM$31)</f>
        <v/>
      </c>
      <c r="MN32" s="218">
        <f>IF(348&gt;ConPayoffMonth,0,MM$32+MN$29+MN$31)</f>
        <v/>
      </c>
      <c r="MO32" s="218">
        <f>IF(349&gt;ConPayoffMonth,0,MN$32+MO$29+MO$31)</f>
        <v/>
      </c>
      <c r="MP32" s="218">
        <f>IF(350&gt;ConPayoffMonth,0,MO$32+MP$29+MP$31)</f>
        <v/>
      </c>
      <c r="MQ32" s="218">
        <f>IF(351&gt;ConPayoffMonth,0,MP$32+MQ$29+MQ$31)</f>
        <v/>
      </c>
      <c r="MR32" s="218">
        <f>IF(352&gt;ConPayoffMonth,0,MQ$32+MR$29+MR$31)</f>
        <v/>
      </c>
      <c r="MS32" s="218">
        <f>IF(353&gt;ConPayoffMonth,0,MR$32+MS$29+MS$31)</f>
        <v/>
      </c>
      <c r="MT32" s="218">
        <f>IF(354&gt;ConPayoffMonth,0,MS$32+MT$29+MT$31)</f>
        <v/>
      </c>
      <c r="MU32" s="218">
        <f>IF(355&gt;ConPayoffMonth,0,MT$32+MU$29+MU$31)</f>
        <v/>
      </c>
      <c r="MV32" s="218">
        <f>IF(356&gt;ConPayoffMonth,0,MU$32+MV$29+MV$31)</f>
        <v/>
      </c>
      <c r="MW32" s="218">
        <f>IF(357&gt;ConPayoffMonth,0,MV$32+MW$29+MW$31)</f>
        <v/>
      </c>
      <c r="MX32" s="218">
        <f>IF(358&gt;ConPayoffMonth,0,MW$32+MX$29+MX$31)</f>
        <v/>
      </c>
      <c r="MY32" s="218">
        <f>IF(359&gt;ConPayoffMonth,0,MX$32+MY$29+MY$31)</f>
        <v/>
      </c>
      <c r="MZ32" s="218">
        <f>IF(360&gt;ConPayoffMonth,0,MY$32+MZ$29+MZ$31)</f>
        <v/>
      </c>
      <c r="NA32" s="218">
        <f>IF(361&gt;ConPayoffMonth,0,MZ$32+NA$29+NA$31)</f>
        <v/>
      </c>
      <c r="NB32" s="218">
        <f>IF(362&gt;ConPayoffMonth,0,NA$32+NB$29+NB$31)</f>
        <v/>
      </c>
      <c r="NC32" s="218">
        <f>IF(363&gt;ConPayoffMonth,0,NB$32+NC$29+NC$31)</f>
        <v/>
      </c>
      <c r="ND32" s="218">
        <f>IF(364&gt;ConPayoffMonth,0,NC$32+ND$29+ND$31)</f>
        <v/>
      </c>
      <c r="NE32" s="218">
        <f>IF(365&gt;ConPayoffMonth,0,ND$32+NE$29+NE$31)</f>
        <v/>
      </c>
      <c r="NF32" s="218">
        <f>IF(366&gt;ConPayoffMonth,0,NE$32+NF$29+NF$31)</f>
        <v/>
      </c>
      <c r="NG32" s="218">
        <f>IF(367&gt;ConPayoffMonth,0,NF$32+NG$29+NG$31)</f>
        <v/>
      </c>
      <c r="NH32" s="218">
        <f>IF(368&gt;ConPayoffMonth,0,NG$32+NH$29+NH$31)</f>
        <v/>
      </c>
      <c r="NI32" s="218">
        <f>IF(369&gt;ConPayoffMonth,0,NH$32+NI$29+NI$31)</f>
        <v/>
      </c>
      <c r="NJ32" s="218">
        <f>IF(370&gt;ConPayoffMonth,0,NI$32+NJ$29+NJ$31)</f>
        <v/>
      </c>
      <c r="NK32" s="218">
        <f>IF(371&gt;ConPayoffMonth,0,NJ$32+NK$29+NK$31)</f>
        <v/>
      </c>
      <c r="NL32" s="218">
        <f>IF(372&gt;ConPayoffMonth,0,NK$32+NL$29+NL$31)</f>
        <v/>
      </c>
    </row>
    <row r="34">
      <c r="B34" s="34" t="inlineStr">
        <is>
          <t>Interest Reserve &amp; Loan Totals</t>
        </is>
      </c>
      <c r="C34" s="60" t="n"/>
      <c r="D34" s="35" t="n"/>
    </row>
    <row r="35">
      <c r="B35" s="36" t="inlineStr">
        <is>
          <t>Interest Reserve — Accrued</t>
        </is>
      </c>
      <c r="C35" s="262">
        <f>ConLoan!$D$31</f>
        <v/>
      </c>
      <c r="D35" s="53" t="n"/>
    </row>
    <row r="36">
      <c r="B36" s="36" t="inlineStr">
        <is>
          <t>Interest Reserve — Funded (w/ override)</t>
        </is>
      </c>
      <c r="C36" s="262">
        <f>IF(LenderReqReserveOverride&gt;0,LenderReqReserveOverride,InterestReserveAccrued)</f>
        <v/>
      </c>
      <c r="D36" s="53" t="n"/>
    </row>
    <row r="37">
      <c r="B37" s="36" t="inlineStr">
        <is>
          <t>Construction Loan Total</t>
        </is>
      </c>
      <c r="C37" s="262">
        <f>ConCostCommit+InterestReserveFunded</f>
        <v/>
      </c>
      <c r="D37" s="53" t="n"/>
    </row>
    <row r="38">
      <c r="B38" s="36" t="inlineStr">
        <is>
          <t>Construction Loan Payoff Balance</t>
        </is>
      </c>
      <c r="C38" s="262">
        <f>INDEX(E32:NL32,ConPayoffMonth)</f>
        <v/>
      </c>
      <c r="D38" s="53" t="n"/>
    </row>
    <row r="39">
      <c r="B39" s="36" t="inlineStr">
        <is>
          <t>Total Development Cost (TDC)</t>
        </is>
      </c>
      <c r="C39" s="262">
        <f>ConCostExInt+InterestReserveFunded</f>
        <v/>
      </c>
      <c r="D39" s="53" t="n"/>
    </row>
    <row r="40">
      <c r="B40" s="36" t="inlineStr">
        <is>
          <t>Total Equity</t>
        </is>
      </c>
      <c r="C40" s="262">
        <f>TDC_Total-ConLoanTotal</f>
        <v/>
      </c>
      <c r="D40" s="53" t="n"/>
    </row>
    <row r="41">
      <c r="B41" s="40" t="inlineStr">
        <is>
          <t>Loan-to-Cost (realized)</t>
        </is>
      </c>
      <c r="C41" s="150">
        <f>ConLoanTotal/TDC_Total</f>
        <v/>
      </c>
      <c r="D41" s="66" t="n"/>
    </row>
    <row r="43">
      <c r="B43" s="71" t="inlineStr">
        <is>
          <t>Construction Reconciliation</t>
        </is>
      </c>
      <c r="C43" s="72" t="n"/>
      <c r="D43" s="80" t="n"/>
    </row>
    <row r="44">
      <c r="B44" s="36" t="inlineStr">
        <is>
          <t>Σ Debt Draws − Commitment</t>
        </is>
      </c>
      <c r="C44" s="218">
        <f>ConLoan!$D$29-ConCostCommit</f>
        <v/>
      </c>
      <c r="D44" s="53" t="n"/>
    </row>
    <row r="45">
      <c r="B45" s="36" t="inlineStr">
        <is>
          <t>Σ Equity Draws − Equity Budget</t>
        </is>
      </c>
      <c r="C45" s="218">
        <f>ConLoan!$D$27-EquityBudget</f>
        <v/>
      </c>
      <c r="D45" s="53" t="n"/>
    </row>
    <row r="46">
      <c r="B46" s="36" t="inlineStr">
        <is>
          <t>Σ Uses − Total Uses ex-Int</t>
        </is>
      </c>
      <c r="C46" s="218">
        <f>ConLoan!$D$26-ConCostExInt</f>
        <v/>
      </c>
      <c r="D46" s="53" t="n"/>
    </row>
    <row r="47">
      <c r="B47" s="36" t="inlineStr">
        <is>
          <t>Ending Balance (must be 0)</t>
        </is>
      </c>
      <c r="C47" s="218">
        <f>INDEX(E32:NL32,ConPayoffMonth+1)</f>
        <v/>
      </c>
      <c r="D47" s="53" t="n"/>
    </row>
    <row r="48">
      <c r="B48" s="40" t="inlineStr">
        <is>
          <t>Reserve Funded − Accrued (&gt;=0)</t>
        </is>
      </c>
      <c r="C48" s="263">
        <f>InterestReserveFunded-InterestReserveAccrued</f>
        <v/>
      </c>
      <c r="D48" s="66" t="n"/>
    </row>
    <row r="50">
      <c r="B50" s="310" t="inlineStr">
        <is>
          <t>Interest — Current Pay (post-conversion)</t>
        </is>
      </c>
      <c r="D50" s="280">
        <f>SUM(E50:NL50)</f>
        <v/>
      </c>
      <c r="E50" s="374">
        <f>0</f>
        <v/>
      </c>
      <c r="F50" s="374">
        <f>IF(AND(Timeline!F$42=1,InterestMethodCurrentPay=1,F$23&gt;=IntConvMonth),F$30*E32,0)</f>
        <v/>
      </c>
      <c r="G50" s="374">
        <f>IF(AND(Timeline!G$42=1,InterestMethodCurrentPay=1,G$23&gt;=IntConvMonth),G$30*F32,0)</f>
        <v/>
      </c>
      <c r="H50" s="374">
        <f>IF(AND(Timeline!H$42=1,InterestMethodCurrentPay=1,H$23&gt;=IntConvMonth),H$30*G32,0)</f>
        <v/>
      </c>
      <c r="I50" s="374">
        <f>IF(AND(Timeline!I$42=1,InterestMethodCurrentPay=1,I$23&gt;=IntConvMonth),I$30*H32,0)</f>
        <v/>
      </c>
      <c r="J50" s="374">
        <f>IF(AND(Timeline!J$42=1,InterestMethodCurrentPay=1,J$23&gt;=IntConvMonth),J$30*I32,0)</f>
        <v/>
      </c>
      <c r="K50" s="374">
        <f>IF(AND(Timeline!K$42=1,InterestMethodCurrentPay=1,K$23&gt;=IntConvMonth),K$30*J32,0)</f>
        <v/>
      </c>
      <c r="L50" s="374">
        <f>IF(AND(Timeline!L$42=1,InterestMethodCurrentPay=1,L$23&gt;=IntConvMonth),L$30*K32,0)</f>
        <v/>
      </c>
      <c r="M50" s="374">
        <f>IF(AND(Timeline!M$42=1,InterestMethodCurrentPay=1,M$23&gt;=IntConvMonth),M$30*L32,0)</f>
        <v/>
      </c>
      <c r="N50" s="374">
        <f>IF(AND(Timeline!N$42=1,InterestMethodCurrentPay=1,N$23&gt;=IntConvMonth),N$30*M32,0)</f>
        <v/>
      </c>
      <c r="O50" s="374">
        <f>IF(AND(Timeline!O$42=1,InterestMethodCurrentPay=1,O$23&gt;=IntConvMonth),O$30*N32,0)</f>
        <v/>
      </c>
      <c r="P50" s="374">
        <f>IF(AND(Timeline!P$42=1,InterestMethodCurrentPay=1,P$23&gt;=IntConvMonth),P$30*O32,0)</f>
        <v/>
      </c>
      <c r="Q50" s="374">
        <f>IF(AND(Timeline!Q$42=1,InterestMethodCurrentPay=1,Q$23&gt;=IntConvMonth),Q$30*P32,0)</f>
        <v/>
      </c>
      <c r="R50" s="374">
        <f>IF(AND(Timeline!R$42=1,InterestMethodCurrentPay=1,R$23&gt;=IntConvMonth),R$30*Q32,0)</f>
        <v/>
      </c>
      <c r="S50" s="374">
        <f>IF(AND(Timeline!S$42=1,InterestMethodCurrentPay=1,S$23&gt;=IntConvMonth),S$30*R32,0)</f>
        <v/>
      </c>
      <c r="T50" s="374">
        <f>IF(AND(Timeline!T$42=1,InterestMethodCurrentPay=1,T$23&gt;=IntConvMonth),T$30*S32,0)</f>
        <v/>
      </c>
      <c r="U50" s="374">
        <f>IF(AND(Timeline!U$42=1,InterestMethodCurrentPay=1,U$23&gt;=IntConvMonth),U$30*T32,0)</f>
        <v/>
      </c>
      <c r="V50" s="374">
        <f>IF(AND(Timeline!V$42=1,InterestMethodCurrentPay=1,V$23&gt;=IntConvMonth),V$30*U32,0)</f>
        <v/>
      </c>
      <c r="W50" s="374">
        <f>IF(AND(Timeline!W$42=1,InterestMethodCurrentPay=1,W$23&gt;=IntConvMonth),W$30*V32,0)</f>
        <v/>
      </c>
      <c r="X50" s="374">
        <f>IF(AND(Timeline!X$42=1,InterestMethodCurrentPay=1,X$23&gt;=IntConvMonth),X$30*W32,0)</f>
        <v/>
      </c>
      <c r="Y50" s="374">
        <f>IF(AND(Timeline!Y$42=1,InterestMethodCurrentPay=1,Y$23&gt;=IntConvMonth),Y$30*X32,0)</f>
        <v/>
      </c>
      <c r="Z50" s="374">
        <f>IF(AND(Timeline!Z$42=1,InterestMethodCurrentPay=1,Z$23&gt;=IntConvMonth),Z$30*Y32,0)</f>
        <v/>
      </c>
      <c r="AA50" s="374">
        <f>IF(AND(Timeline!AA$42=1,InterestMethodCurrentPay=1,AA$23&gt;=IntConvMonth),AA$30*Z32,0)</f>
        <v/>
      </c>
      <c r="AB50" s="374">
        <f>IF(AND(Timeline!AB$42=1,InterestMethodCurrentPay=1,AB$23&gt;=IntConvMonth),AB$30*AA32,0)</f>
        <v/>
      </c>
      <c r="AC50" s="374">
        <f>IF(AND(Timeline!AC$42=1,InterestMethodCurrentPay=1,AC$23&gt;=IntConvMonth),AC$30*AB32,0)</f>
        <v/>
      </c>
      <c r="AD50" s="374">
        <f>IF(AND(Timeline!AD$42=1,InterestMethodCurrentPay=1,AD$23&gt;=IntConvMonth),AD$30*AC32,0)</f>
        <v/>
      </c>
      <c r="AE50" s="374">
        <f>IF(AND(Timeline!AE$42=1,InterestMethodCurrentPay=1,AE$23&gt;=IntConvMonth),AE$30*AD32,0)</f>
        <v/>
      </c>
      <c r="AF50" s="374">
        <f>IF(AND(Timeline!AF$42=1,InterestMethodCurrentPay=1,AF$23&gt;=IntConvMonth),AF$30*AE32,0)</f>
        <v/>
      </c>
      <c r="AG50" s="374">
        <f>IF(AND(Timeline!AG$42=1,InterestMethodCurrentPay=1,AG$23&gt;=IntConvMonth),AG$30*AF32,0)</f>
        <v/>
      </c>
      <c r="AH50" s="374">
        <f>IF(AND(Timeline!AH$42=1,InterestMethodCurrentPay=1,AH$23&gt;=IntConvMonth),AH$30*AG32,0)</f>
        <v/>
      </c>
      <c r="AI50" s="374">
        <f>IF(AND(Timeline!AI$42=1,InterestMethodCurrentPay=1,AI$23&gt;=IntConvMonth),AI$30*AH32,0)</f>
        <v/>
      </c>
      <c r="AJ50" s="374">
        <f>IF(AND(Timeline!AJ$42=1,InterestMethodCurrentPay=1,AJ$23&gt;=IntConvMonth),AJ$30*AI32,0)</f>
        <v/>
      </c>
      <c r="AK50" s="374">
        <f>IF(AND(Timeline!AK$42=1,InterestMethodCurrentPay=1,AK$23&gt;=IntConvMonth),AK$30*AJ32,0)</f>
        <v/>
      </c>
      <c r="AL50" s="374">
        <f>IF(AND(Timeline!AL$42=1,InterestMethodCurrentPay=1,AL$23&gt;=IntConvMonth),AL$30*AK32,0)</f>
        <v/>
      </c>
      <c r="AM50" s="374">
        <f>IF(AND(Timeline!AM$42=1,InterestMethodCurrentPay=1,AM$23&gt;=IntConvMonth),AM$30*AL32,0)</f>
        <v/>
      </c>
      <c r="AN50" s="374">
        <f>IF(AND(Timeline!AN$42=1,InterestMethodCurrentPay=1,AN$23&gt;=IntConvMonth),AN$30*AM32,0)</f>
        <v/>
      </c>
      <c r="AO50" s="374">
        <f>IF(AND(Timeline!AO$42=1,InterestMethodCurrentPay=1,AO$23&gt;=IntConvMonth),AO$30*AN32,0)</f>
        <v/>
      </c>
      <c r="AP50" s="374">
        <f>IF(AND(Timeline!AP$42=1,InterestMethodCurrentPay=1,AP$23&gt;=IntConvMonth),AP$30*AO32,0)</f>
        <v/>
      </c>
      <c r="AQ50" s="374">
        <f>IF(AND(Timeline!AQ$42=1,InterestMethodCurrentPay=1,AQ$23&gt;=IntConvMonth),AQ$30*AP32,0)</f>
        <v/>
      </c>
      <c r="AR50" s="374">
        <f>IF(AND(Timeline!AR$42=1,InterestMethodCurrentPay=1,AR$23&gt;=IntConvMonth),AR$30*AQ32,0)</f>
        <v/>
      </c>
      <c r="AS50" s="374">
        <f>IF(AND(Timeline!AS$42=1,InterestMethodCurrentPay=1,AS$23&gt;=IntConvMonth),AS$30*AR32,0)</f>
        <v/>
      </c>
      <c r="AT50" s="374">
        <f>IF(AND(Timeline!AT$42=1,InterestMethodCurrentPay=1,AT$23&gt;=IntConvMonth),AT$30*AS32,0)</f>
        <v/>
      </c>
      <c r="AU50" s="374">
        <f>IF(AND(Timeline!AU$42=1,InterestMethodCurrentPay=1,AU$23&gt;=IntConvMonth),AU$30*AT32,0)</f>
        <v/>
      </c>
      <c r="AV50" s="374">
        <f>IF(AND(Timeline!AV$42=1,InterestMethodCurrentPay=1,AV$23&gt;=IntConvMonth),AV$30*AU32,0)</f>
        <v/>
      </c>
      <c r="AW50" s="374">
        <f>IF(AND(Timeline!AW$42=1,InterestMethodCurrentPay=1,AW$23&gt;=IntConvMonth),AW$30*AV32,0)</f>
        <v/>
      </c>
      <c r="AX50" s="374">
        <f>IF(AND(Timeline!AX$42=1,InterestMethodCurrentPay=1,AX$23&gt;=IntConvMonth),AX$30*AW32,0)</f>
        <v/>
      </c>
      <c r="AY50" s="374">
        <f>IF(AND(Timeline!AY$42=1,InterestMethodCurrentPay=1,AY$23&gt;=IntConvMonth),AY$30*AX32,0)</f>
        <v/>
      </c>
      <c r="AZ50" s="374">
        <f>IF(AND(Timeline!AZ$42=1,InterestMethodCurrentPay=1,AZ$23&gt;=IntConvMonth),AZ$30*AY32,0)</f>
        <v/>
      </c>
      <c r="BA50" s="374">
        <f>IF(AND(Timeline!BA$42=1,InterestMethodCurrentPay=1,BA$23&gt;=IntConvMonth),BA$30*AZ32,0)</f>
        <v/>
      </c>
      <c r="BB50" s="374">
        <f>IF(AND(Timeline!BB$42=1,InterestMethodCurrentPay=1,BB$23&gt;=IntConvMonth),BB$30*BA32,0)</f>
        <v/>
      </c>
      <c r="BC50" s="374">
        <f>IF(AND(Timeline!BC$42=1,InterestMethodCurrentPay=1,BC$23&gt;=IntConvMonth),BC$30*BB32,0)</f>
        <v/>
      </c>
      <c r="BD50" s="374">
        <f>IF(AND(Timeline!BD$42=1,InterestMethodCurrentPay=1,BD$23&gt;=IntConvMonth),BD$30*BC32,0)</f>
        <v/>
      </c>
      <c r="BE50" s="374">
        <f>IF(AND(Timeline!BE$42=1,InterestMethodCurrentPay=1,BE$23&gt;=IntConvMonth),BE$30*BD32,0)</f>
        <v/>
      </c>
      <c r="BF50" s="374">
        <f>IF(AND(Timeline!BF$42=1,InterestMethodCurrentPay=1,BF$23&gt;=IntConvMonth),BF$30*BE32,0)</f>
        <v/>
      </c>
      <c r="BG50" s="374">
        <f>IF(AND(Timeline!BG$42=1,InterestMethodCurrentPay=1,BG$23&gt;=IntConvMonth),BG$30*BF32,0)</f>
        <v/>
      </c>
      <c r="BH50" s="374">
        <f>IF(AND(Timeline!BH$42=1,InterestMethodCurrentPay=1,BH$23&gt;=IntConvMonth),BH$30*BG32,0)</f>
        <v/>
      </c>
      <c r="BI50" s="374">
        <f>IF(AND(Timeline!BI$42=1,InterestMethodCurrentPay=1,BI$23&gt;=IntConvMonth),BI$30*BH32,0)</f>
        <v/>
      </c>
      <c r="BJ50" s="374">
        <f>IF(AND(Timeline!BJ$42=1,InterestMethodCurrentPay=1,BJ$23&gt;=IntConvMonth),BJ$30*BI32,0)</f>
        <v/>
      </c>
      <c r="BK50" s="374">
        <f>IF(AND(Timeline!BK$42=1,InterestMethodCurrentPay=1,BK$23&gt;=IntConvMonth),BK$30*BJ32,0)</f>
        <v/>
      </c>
      <c r="BL50" s="374">
        <f>IF(AND(Timeline!BL$42=1,InterestMethodCurrentPay=1,BL$23&gt;=IntConvMonth),BL$30*BK32,0)</f>
        <v/>
      </c>
      <c r="BM50" s="374">
        <f>IF(AND(Timeline!BM$42=1,InterestMethodCurrentPay=1,BM$23&gt;=IntConvMonth),BM$30*BL32,0)</f>
        <v/>
      </c>
      <c r="BN50" s="374">
        <f>IF(AND(Timeline!BN$42=1,InterestMethodCurrentPay=1,BN$23&gt;=IntConvMonth),BN$30*BM32,0)</f>
        <v/>
      </c>
      <c r="BO50" s="374">
        <f>IF(AND(Timeline!BO$42=1,InterestMethodCurrentPay=1,BO$23&gt;=IntConvMonth),BO$30*BN32,0)</f>
        <v/>
      </c>
      <c r="BP50" s="374">
        <f>IF(AND(Timeline!BP$42=1,InterestMethodCurrentPay=1,BP$23&gt;=IntConvMonth),BP$30*BO32,0)</f>
        <v/>
      </c>
      <c r="BQ50" s="374">
        <f>IF(AND(Timeline!BQ$42=1,InterestMethodCurrentPay=1,BQ$23&gt;=IntConvMonth),BQ$30*BP32,0)</f>
        <v/>
      </c>
      <c r="BR50" s="374">
        <f>IF(AND(Timeline!BR$42=1,InterestMethodCurrentPay=1,BR$23&gt;=IntConvMonth),BR$30*BQ32,0)</f>
        <v/>
      </c>
      <c r="BS50" s="374">
        <f>IF(AND(Timeline!BS$42=1,InterestMethodCurrentPay=1,BS$23&gt;=IntConvMonth),BS$30*BR32,0)</f>
        <v/>
      </c>
      <c r="BT50" s="374">
        <f>IF(AND(Timeline!BT$42=1,InterestMethodCurrentPay=1,BT$23&gt;=IntConvMonth),BT$30*BS32,0)</f>
        <v/>
      </c>
      <c r="BU50" s="374">
        <f>IF(AND(Timeline!BU$42=1,InterestMethodCurrentPay=1,BU$23&gt;=IntConvMonth),BU$30*BT32,0)</f>
        <v/>
      </c>
      <c r="BV50" s="374">
        <f>IF(AND(Timeline!BV$42=1,InterestMethodCurrentPay=1,BV$23&gt;=IntConvMonth),BV$30*BU32,0)</f>
        <v/>
      </c>
      <c r="BW50" s="374">
        <f>IF(AND(Timeline!BW$42=1,InterestMethodCurrentPay=1,BW$23&gt;=IntConvMonth),BW$30*BV32,0)</f>
        <v/>
      </c>
      <c r="BX50" s="374">
        <f>IF(AND(Timeline!BX$42=1,InterestMethodCurrentPay=1,BX$23&gt;=IntConvMonth),BX$30*BW32,0)</f>
        <v/>
      </c>
      <c r="BY50" s="374">
        <f>IF(AND(Timeline!BY$42=1,InterestMethodCurrentPay=1,BY$23&gt;=IntConvMonth),BY$30*BX32,0)</f>
        <v/>
      </c>
      <c r="BZ50" s="374">
        <f>IF(AND(Timeline!BZ$42=1,InterestMethodCurrentPay=1,BZ$23&gt;=IntConvMonth),BZ$30*BY32,0)</f>
        <v/>
      </c>
      <c r="CA50" s="374">
        <f>IF(AND(Timeline!CA$42=1,InterestMethodCurrentPay=1,CA$23&gt;=IntConvMonth),CA$30*BZ32,0)</f>
        <v/>
      </c>
      <c r="CB50" s="374">
        <f>IF(AND(Timeline!CB$42=1,InterestMethodCurrentPay=1,CB$23&gt;=IntConvMonth),CB$30*CA32,0)</f>
        <v/>
      </c>
      <c r="CC50" s="374">
        <f>IF(AND(Timeline!CC$42=1,InterestMethodCurrentPay=1,CC$23&gt;=IntConvMonth),CC$30*CB32,0)</f>
        <v/>
      </c>
      <c r="CD50" s="374">
        <f>IF(AND(Timeline!CD$42=1,InterestMethodCurrentPay=1,CD$23&gt;=IntConvMonth),CD$30*CC32,0)</f>
        <v/>
      </c>
      <c r="CE50" s="374">
        <f>IF(AND(Timeline!CE$42=1,InterestMethodCurrentPay=1,CE$23&gt;=IntConvMonth),CE$30*CD32,0)</f>
        <v/>
      </c>
      <c r="CF50" s="374">
        <f>IF(AND(Timeline!CF$42=1,InterestMethodCurrentPay=1,CF$23&gt;=IntConvMonth),CF$30*CE32,0)</f>
        <v/>
      </c>
      <c r="CG50" s="374">
        <f>IF(AND(Timeline!CG$42=1,InterestMethodCurrentPay=1,CG$23&gt;=IntConvMonth),CG$30*CF32,0)</f>
        <v/>
      </c>
      <c r="CH50" s="374">
        <f>IF(AND(Timeline!CH$42=1,InterestMethodCurrentPay=1,CH$23&gt;=IntConvMonth),CH$30*CG32,0)</f>
        <v/>
      </c>
      <c r="CI50" s="374">
        <f>IF(AND(Timeline!CI$42=1,InterestMethodCurrentPay=1,CI$23&gt;=IntConvMonth),CI$30*CH32,0)</f>
        <v/>
      </c>
      <c r="CJ50" s="374">
        <f>IF(AND(Timeline!CJ$42=1,InterestMethodCurrentPay=1,CJ$23&gt;=IntConvMonth),CJ$30*CI32,0)</f>
        <v/>
      </c>
      <c r="CK50" s="374">
        <f>IF(AND(Timeline!CK$42=1,InterestMethodCurrentPay=1,CK$23&gt;=IntConvMonth),CK$30*CJ32,0)</f>
        <v/>
      </c>
      <c r="CL50" s="374">
        <f>IF(AND(Timeline!CL$42=1,InterestMethodCurrentPay=1,CL$23&gt;=IntConvMonth),CL$30*CK32,0)</f>
        <v/>
      </c>
      <c r="CM50" s="374">
        <f>IF(AND(Timeline!CM$42=1,InterestMethodCurrentPay=1,CM$23&gt;=IntConvMonth),CM$30*CL32,0)</f>
        <v/>
      </c>
      <c r="CN50" s="374">
        <f>IF(AND(Timeline!CN$42=1,InterestMethodCurrentPay=1,CN$23&gt;=IntConvMonth),CN$30*CM32,0)</f>
        <v/>
      </c>
      <c r="CO50" s="374">
        <f>IF(AND(Timeline!CO$42=1,InterestMethodCurrentPay=1,CO$23&gt;=IntConvMonth),CO$30*CN32,0)</f>
        <v/>
      </c>
      <c r="CP50" s="374">
        <f>IF(AND(Timeline!CP$42=1,InterestMethodCurrentPay=1,CP$23&gt;=IntConvMonth),CP$30*CO32,0)</f>
        <v/>
      </c>
      <c r="CQ50" s="374">
        <f>IF(AND(Timeline!CQ$42=1,InterestMethodCurrentPay=1,CQ$23&gt;=IntConvMonth),CQ$30*CP32,0)</f>
        <v/>
      </c>
      <c r="CR50" s="374">
        <f>IF(AND(Timeline!CR$42=1,InterestMethodCurrentPay=1,CR$23&gt;=IntConvMonth),CR$30*CQ32,0)</f>
        <v/>
      </c>
      <c r="CS50" s="374">
        <f>IF(AND(Timeline!CS$42=1,InterestMethodCurrentPay=1,CS$23&gt;=IntConvMonth),CS$30*CR32,0)</f>
        <v/>
      </c>
      <c r="CT50" s="374">
        <f>IF(AND(Timeline!CT$42=1,InterestMethodCurrentPay=1,CT$23&gt;=IntConvMonth),CT$30*CS32,0)</f>
        <v/>
      </c>
      <c r="CU50" s="374">
        <f>IF(AND(Timeline!CU$42=1,InterestMethodCurrentPay=1,CU$23&gt;=IntConvMonth),CU$30*CT32,0)</f>
        <v/>
      </c>
      <c r="CV50" s="374">
        <f>IF(AND(Timeline!CV$42=1,InterestMethodCurrentPay=1,CV$23&gt;=IntConvMonth),CV$30*CU32,0)</f>
        <v/>
      </c>
      <c r="CW50" s="374">
        <f>IF(AND(Timeline!CW$42=1,InterestMethodCurrentPay=1,CW$23&gt;=IntConvMonth),CW$30*CV32,0)</f>
        <v/>
      </c>
      <c r="CX50" s="374">
        <f>IF(AND(Timeline!CX$42=1,InterestMethodCurrentPay=1,CX$23&gt;=IntConvMonth),CX$30*CW32,0)</f>
        <v/>
      </c>
      <c r="CY50" s="374">
        <f>IF(AND(Timeline!CY$42=1,InterestMethodCurrentPay=1,CY$23&gt;=IntConvMonth),CY$30*CX32,0)</f>
        <v/>
      </c>
      <c r="CZ50" s="374">
        <f>IF(AND(Timeline!CZ$42=1,InterestMethodCurrentPay=1,CZ$23&gt;=IntConvMonth),CZ$30*CY32,0)</f>
        <v/>
      </c>
      <c r="DA50" s="374">
        <f>IF(AND(Timeline!DA$42=1,InterestMethodCurrentPay=1,DA$23&gt;=IntConvMonth),DA$30*CZ32,0)</f>
        <v/>
      </c>
      <c r="DB50" s="374">
        <f>IF(AND(Timeline!DB$42=1,InterestMethodCurrentPay=1,DB$23&gt;=IntConvMonth),DB$30*DA32,0)</f>
        <v/>
      </c>
      <c r="DC50" s="374">
        <f>IF(AND(Timeline!DC$42=1,InterestMethodCurrentPay=1,DC$23&gt;=IntConvMonth),DC$30*DB32,0)</f>
        <v/>
      </c>
      <c r="DD50" s="374">
        <f>IF(AND(Timeline!DD$42=1,InterestMethodCurrentPay=1,DD$23&gt;=IntConvMonth),DD$30*DC32,0)</f>
        <v/>
      </c>
      <c r="DE50" s="374">
        <f>IF(AND(Timeline!DE$42=1,InterestMethodCurrentPay=1,DE$23&gt;=IntConvMonth),DE$30*DD32,0)</f>
        <v/>
      </c>
      <c r="DF50" s="374">
        <f>IF(AND(Timeline!DF$42=1,InterestMethodCurrentPay=1,DF$23&gt;=IntConvMonth),DF$30*DE32,0)</f>
        <v/>
      </c>
      <c r="DG50" s="374">
        <f>IF(AND(Timeline!DG$42=1,InterestMethodCurrentPay=1,DG$23&gt;=IntConvMonth),DG$30*DF32,0)</f>
        <v/>
      </c>
      <c r="DH50" s="374">
        <f>IF(AND(Timeline!DH$42=1,InterestMethodCurrentPay=1,DH$23&gt;=IntConvMonth),DH$30*DG32,0)</f>
        <v/>
      </c>
      <c r="DI50" s="374">
        <f>IF(AND(Timeline!DI$42=1,InterestMethodCurrentPay=1,DI$23&gt;=IntConvMonth),DI$30*DH32,0)</f>
        <v/>
      </c>
      <c r="DJ50" s="374">
        <f>IF(AND(Timeline!DJ$42=1,InterestMethodCurrentPay=1,DJ$23&gt;=IntConvMonth),DJ$30*DI32,0)</f>
        <v/>
      </c>
      <c r="DK50" s="374">
        <f>IF(AND(Timeline!DK$42=1,InterestMethodCurrentPay=1,DK$23&gt;=IntConvMonth),DK$30*DJ32,0)</f>
        <v/>
      </c>
      <c r="DL50" s="374">
        <f>IF(AND(Timeline!DL$42=1,InterestMethodCurrentPay=1,DL$23&gt;=IntConvMonth),DL$30*DK32,0)</f>
        <v/>
      </c>
      <c r="DM50" s="374">
        <f>IF(AND(Timeline!DM$42=1,InterestMethodCurrentPay=1,DM$23&gt;=IntConvMonth),DM$30*DL32,0)</f>
        <v/>
      </c>
      <c r="DN50" s="374">
        <f>IF(AND(Timeline!DN$42=1,InterestMethodCurrentPay=1,DN$23&gt;=IntConvMonth),DN$30*DM32,0)</f>
        <v/>
      </c>
      <c r="DO50" s="374">
        <f>IF(AND(Timeline!DO$42=1,InterestMethodCurrentPay=1,DO$23&gt;=IntConvMonth),DO$30*DN32,0)</f>
        <v/>
      </c>
      <c r="DP50" s="374">
        <f>IF(AND(Timeline!DP$42=1,InterestMethodCurrentPay=1,DP$23&gt;=IntConvMonth),DP$30*DO32,0)</f>
        <v/>
      </c>
      <c r="DQ50" s="374">
        <f>IF(AND(Timeline!DQ$42=1,InterestMethodCurrentPay=1,DQ$23&gt;=IntConvMonth),DQ$30*DP32,0)</f>
        <v/>
      </c>
      <c r="DR50" s="374">
        <f>IF(AND(Timeline!DR$42=1,InterestMethodCurrentPay=1,DR$23&gt;=IntConvMonth),DR$30*DQ32,0)</f>
        <v/>
      </c>
      <c r="DS50" s="374">
        <f>IF(AND(Timeline!DS$42=1,InterestMethodCurrentPay=1,DS$23&gt;=IntConvMonth),DS$30*DR32,0)</f>
        <v/>
      </c>
      <c r="DT50" s="374">
        <f>IF(AND(Timeline!DT$42=1,InterestMethodCurrentPay=1,DT$23&gt;=IntConvMonth),DT$30*DS32,0)</f>
        <v/>
      </c>
      <c r="DU50" s="374">
        <f>IF(AND(Timeline!DU$42=1,InterestMethodCurrentPay=1,DU$23&gt;=IntConvMonth),DU$30*DT32,0)</f>
        <v/>
      </c>
      <c r="DV50" s="374">
        <f>IF(AND(Timeline!DV$42=1,InterestMethodCurrentPay=1,DV$23&gt;=IntConvMonth),DV$30*DU32,0)</f>
        <v/>
      </c>
      <c r="DW50" s="374">
        <f>IF(AND(Timeline!DW$42=1,InterestMethodCurrentPay=1,DW$23&gt;=IntConvMonth),DW$30*DV32,0)</f>
        <v/>
      </c>
      <c r="DX50" s="374">
        <f>IF(AND(Timeline!DX$42=1,InterestMethodCurrentPay=1,DX$23&gt;=IntConvMonth),DX$30*DW32,0)</f>
        <v/>
      </c>
      <c r="DY50" s="374">
        <f>IF(AND(Timeline!DY$42=1,InterestMethodCurrentPay=1,DY$23&gt;=IntConvMonth),DY$30*DX32,0)</f>
        <v/>
      </c>
      <c r="DZ50" s="374">
        <f>IF(AND(Timeline!DZ$42=1,InterestMethodCurrentPay=1,DZ$23&gt;=IntConvMonth),DZ$30*DY32,0)</f>
        <v/>
      </c>
      <c r="EA50" s="374">
        <f>IF(AND(Timeline!EA$42=1,InterestMethodCurrentPay=1,EA$23&gt;=IntConvMonth),EA$30*DZ32,0)</f>
        <v/>
      </c>
      <c r="EB50" s="374">
        <f>IF(AND(Timeline!EB$42=1,InterestMethodCurrentPay=1,EB$23&gt;=IntConvMonth),EB$30*EA32,0)</f>
        <v/>
      </c>
      <c r="EC50" s="374">
        <f>IF(AND(Timeline!EC$42=1,InterestMethodCurrentPay=1,EC$23&gt;=IntConvMonth),EC$30*EB32,0)</f>
        <v/>
      </c>
      <c r="ED50" s="374">
        <f>IF(AND(Timeline!ED$42=1,InterestMethodCurrentPay=1,ED$23&gt;=IntConvMonth),ED$30*EC32,0)</f>
        <v/>
      </c>
      <c r="EE50" s="374">
        <f>IF(AND(Timeline!EE$42=1,InterestMethodCurrentPay=1,EE$23&gt;=IntConvMonth),EE$30*ED32,0)</f>
        <v/>
      </c>
      <c r="EF50" s="374">
        <f>IF(AND(Timeline!EF$42=1,InterestMethodCurrentPay=1,EF$23&gt;=IntConvMonth),EF$30*EE32,0)</f>
        <v/>
      </c>
      <c r="EG50" s="374">
        <f>IF(AND(Timeline!EG$42=1,InterestMethodCurrentPay=1,EG$23&gt;=IntConvMonth),EG$30*EF32,0)</f>
        <v/>
      </c>
      <c r="EH50" s="374">
        <f>IF(AND(Timeline!EH$42=1,InterestMethodCurrentPay=1,EH$23&gt;=IntConvMonth),EH$30*EG32,0)</f>
        <v/>
      </c>
      <c r="EI50" s="374">
        <f>IF(AND(Timeline!EI$42=1,InterestMethodCurrentPay=1,EI$23&gt;=IntConvMonth),EI$30*EH32,0)</f>
        <v/>
      </c>
      <c r="EJ50" s="374">
        <f>IF(AND(Timeline!EJ$42=1,InterestMethodCurrentPay=1,EJ$23&gt;=IntConvMonth),EJ$30*EI32,0)</f>
        <v/>
      </c>
      <c r="EK50" s="374">
        <f>IF(AND(Timeline!EK$42=1,InterestMethodCurrentPay=1,EK$23&gt;=IntConvMonth),EK$30*EJ32,0)</f>
        <v/>
      </c>
      <c r="EL50" s="374">
        <f>IF(AND(Timeline!EL$42=1,InterestMethodCurrentPay=1,EL$23&gt;=IntConvMonth),EL$30*EK32,0)</f>
        <v/>
      </c>
      <c r="EM50" s="374">
        <f>IF(AND(Timeline!EM$42=1,InterestMethodCurrentPay=1,EM$23&gt;=IntConvMonth),EM$30*EL32,0)</f>
        <v/>
      </c>
      <c r="EN50" s="374">
        <f>IF(AND(Timeline!EN$42=1,InterestMethodCurrentPay=1,EN$23&gt;=IntConvMonth),EN$30*EM32,0)</f>
        <v/>
      </c>
      <c r="EO50" s="374">
        <f>IF(AND(Timeline!EO$42=1,InterestMethodCurrentPay=1,EO$23&gt;=IntConvMonth),EO$30*EN32,0)</f>
        <v/>
      </c>
      <c r="EP50" s="374">
        <f>IF(AND(Timeline!EP$42=1,InterestMethodCurrentPay=1,EP$23&gt;=IntConvMonth),EP$30*EO32,0)</f>
        <v/>
      </c>
      <c r="EQ50" s="374">
        <f>IF(AND(Timeline!EQ$42=1,InterestMethodCurrentPay=1,EQ$23&gt;=IntConvMonth),EQ$30*EP32,0)</f>
        <v/>
      </c>
      <c r="ER50" s="374">
        <f>IF(AND(Timeline!ER$42=1,InterestMethodCurrentPay=1,ER$23&gt;=IntConvMonth),ER$30*EQ32,0)</f>
        <v/>
      </c>
      <c r="ES50" s="374">
        <f>IF(AND(Timeline!ES$42=1,InterestMethodCurrentPay=1,ES$23&gt;=IntConvMonth),ES$30*ER32,0)</f>
        <v/>
      </c>
      <c r="ET50" s="374">
        <f>IF(AND(Timeline!ET$42=1,InterestMethodCurrentPay=1,ET$23&gt;=IntConvMonth),ET$30*ES32,0)</f>
        <v/>
      </c>
      <c r="EU50" s="374">
        <f>IF(AND(Timeline!EU$42=1,InterestMethodCurrentPay=1,EU$23&gt;=IntConvMonth),EU$30*ET32,0)</f>
        <v/>
      </c>
      <c r="EV50" s="374">
        <f>IF(AND(Timeline!EV$42=1,InterestMethodCurrentPay=1,EV$23&gt;=IntConvMonth),EV$30*EU32,0)</f>
        <v/>
      </c>
      <c r="EW50" s="374">
        <f>IF(AND(Timeline!EW$42=1,InterestMethodCurrentPay=1,EW$23&gt;=IntConvMonth),EW$30*EV32,0)</f>
        <v/>
      </c>
      <c r="EX50" s="374">
        <f>IF(AND(Timeline!EX$42=1,InterestMethodCurrentPay=1,EX$23&gt;=IntConvMonth),EX$30*EW32,0)</f>
        <v/>
      </c>
      <c r="EY50" s="374">
        <f>IF(AND(Timeline!EY$42=1,InterestMethodCurrentPay=1,EY$23&gt;=IntConvMonth),EY$30*EX32,0)</f>
        <v/>
      </c>
      <c r="EZ50" s="374">
        <f>IF(AND(Timeline!EZ$42=1,InterestMethodCurrentPay=1,EZ$23&gt;=IntConvMonth),EZ$30*EY32,0)</f>
        <v/>
      </c>
      <c r="FA50" s="374">
        <f>IF(AND(Timeline!FA$42=1,InterestMethodCurrentPay=1,FA$23&gt;=IntConvMonth),FA$30*EZ32,0)</f>
        <v/>
      </c>
      <c r="FB50" s="374">
        <f>IF(AND(Timeline!FB$42=1,InterestMethodCurrentPay=1,FB$23&gt;=IntConvMonth),FB$30*FA32,0)</f>
        <v/>
      </c>
      <c r="FC50" s="374">
        <f>IF(AND(Timeline!FC$42=1,InterestMethodCurrentPay=1,FC$23&gt;=IntConvMonth),FC$30*FB32,0)</f>
        <v/>
      </c>
      <c r="FD50" s="374">
        <f>IF(AND(Timeline!FD$42=1,InterestMethodCurrentPay=1,FD$23&gt;=IntConvMonth),FD$30*FC32,0)</f>
        <v/>
      </c>
      <c r="FE50" s="374">
        <f>IF(AND(Timeline!FE$42=1,InterestMethodCurrentPay=1,FE$23&gt;=IntConvMonth),FE$30*FD32,0)</f>
        <v/>
      </c>
      <c r="FF50" s="374">
        <f>IF(AND(Timeline!FF$42=1,InterestMethodCurrentPay=1,FF$23&gt;=IntConvMonth),FF$30*FE32,0)</f>
        <v/>
      </c>
      <c r="FG50" s="374">
        <f>IF(AND(Timeline!FG$42=1,InterestMethodCurrentPay=1,FG$23&gt;=IntConvMonth),FG$30*FF32,0)</f>
        <v/>
      </c>
      <c r="FH50" s="374">
        <f>IF(AND(Timeline!FH$42=1,InterestMethodCurrentPay=1,FH$23&gt;=IntConvMonth),FH$30*FG32,0)</f>
        <v/>
      </c>
      <c r="FI50" s="374">
        <f>IF(AND(Timeline!FI$42=1,InterestMethodCurrentPay=1,FI$23&gt;=IntConvMonth),FI$30*FH32,0)</f>
        <v/>
      </c>
      <c r="FJ50" s="374">
        <f>IF(AND(Timeline!FJ$42=1,InterestMethodCurrentPay=1,FJ$23&gt;=IntConvMonth),FJ$30*FI32,0)</f>
        <v/>
      </c>
      <c r="FK50" s="374">
        <f>IF(AND(Timeline!FK$42=1,InterestMethodCurrentPay=1,FK$23&gt;=IntConvMonth),FK$30*FJ32,0)</f>
        <v/>
      </c>
      <c r="FL50" s="374">
        <f>IF(AND(Timeline!FL$42=1,InterestMethodCurrentPay=1,FL$23&gt;=IntConvMonth),FL$30*FK32,0)</f>
        <v/>
      </c>
      <c r="FM50" s="374">
        <f>IF(AND(Timeline!FM$42=1,InterestMethodCurrentPay=1,FM$23&gt;=IntConvMonth),FM$30*FL32,0)</f>
        <v/>
      </c>
      <c r="FN50" s="374">
        <f>IF(AND(Timeline!FN$42=1,InterestMethodCurrentPay=1,FN$23&gt;=IntConvMonth),FN$30*FM32,0)</f>
        <v/>
      </c>
      <c r="FO50" s="374">
        <f>IF(AND(Timeline!FO$42=1,InterestMethodCurrentPay=1,FO$23&gt;=IntConvMonth),FO$30*FN32,0)</f>
        <v/>
      </c>
      <c r="FP50" s="374">
        <f>IF(AND(Timeline!FP$42=1,InterestMethodCurrentPay=1,FP$23&gt;=IntConvMonth),FP$30*FO32,0)</f>
        <v/>
      </c>
      <c r="FQ50" s="374">
        <f>IF(AND(Timeline!FQ$42=1,InterestMethodCurrentPay=1,FQ$23&gt;=IntConvMonth),FQ$30*FP32,0)</f>
        <v/>
      </c>
      <c r="FR50" s="374">
        <f>IF(AND(Timeline!FR$42=1,InterestMethodCurrentPay=1,FR$23&gt;=IntConvMonth),FR$30*FQ32,0)</f>
        <v/>
      </c>
      <c r="FS50" s="374">
        <f>IF(AND(Timeline!FS$42=1,InterestMethodCurrentPay=1,FS$23&gt;=IntConvMonth),FS$30*FR32,0)</f>
        <v/>
      </c>
      <c r="FT50" s="374">
        <f>IF(AND(Timeline!FT$42=1,InterestMethodCurrentPay=1,FT$23&gt;=IntConvMonth),FT$30*FS32,0)</f>
        <v/>
      </c>
      <c r="FU50" s="374">
        <f>IF(AND(Timeline!FU$42=1,InterestMethodCurrentPay=1,FU$23&gt;=IntConvMonth),FU$30*FT32,0)</f>
        <v/>
      </c>
      <c r="FV50" s="374">
        <f>IF(AND(Timeline!FV$42=1,InterestMethodCurrentPay=1,FV$23&gt;=IntConvMonth),FV$30*FU32,0)</f>
        <v/>
      </c>
      <c r="FW50" s="374">
        <f>IF(AND(Timeline!FW$42=1,InterestMethodCurrentPay=1,FW$23&gt;=IntConvMonth),FW$30*FV32,0)</f>
        <v/>
      </c>
      <c r="FX50" s="374">
        <f>IF(AND(Timeline!FX$42=1,InterestMethodCurrentPay=1,FX$23&gt;=IntConvMonth),FX$30*FW32,0)</f>
        <v/>
      </c>
      <c r="FY50" s="374">
        <f>IF(AND(Timeline!FY$42=1,InterestMethodCurrentPay=1,FY$23&gt;=IntConvMonth),FY$30*FX32,0)</f>
        <v/>
      </c>
      <c r="FZ50" s="374">
        <f>IF(AND(Timeline!FZ$42=1,InterestMethodCurrentPay=1,FZ$23&gt;=IntConvMonth),FZ$30*FY32,0)</f>
        <v/>
      </c>
      <c r="GA50" s="374">
        <f>IF(AND(Timeline!GA$42=1,InterestMethodCurrentPay=1,GA$23&gt;=IntConvMonth),GA$30*FZ32,0)</f>
        <v/>
      </c>
      <c r="GB50" s="374">
        <f>IF(AND(Timeline!GB$42=1,InterestMethodCurrentPay=1,GB$23&gt;=IntConvMonth),GB$30*GA32,0)</f>
        <v/>
      </c>
      <c r="GC50" s="374">
        <f>IF(AND(Timeline!GC$42=1,InterestMethodCurrentPay=1,GC$23&gt;=IntConvMonth),GC$30*GB32,0)</f>
        <v/>
      </c>
      <c r="GD50" s="374">
        <f>IF(AND(Timeline!GD$42=1,InterestMethodCurrentPay=1,GD$23&gt;=IntConvMonth),GD$30*GC32,0)</f>
        <v/>
      </c>
      <c r="GE50" s="374">
        <f>IF(AND(Timeline!GE$42=1,InterestMethodCurrentPay=1,GE$23&gt;=IntConvMonth),GE$30*GD32,0)</f>
        <v/>
      </c>
      <c r="GF50" s="374">
        <f>IF(AND(Timeline!GF$42=1,InterestMethodCurrentPay=1,GF$23&gt;=IntConvMonth),GF$30*GE32,0)</f>
        <v/>
      </c>
      <c r="GG50" s="374">
        <f>IF(AND(Timeline!GG$42=1,InterestMethodCurrentPay=1,GG$23&gt;=IntConvMonth),GG$30*GF32,0)</f>
        <v/>
      </c>
      <c r="GH50" s="374">
        <f>IF(AND(Timeline!GH$42=1,InterestMethodCurrentPay=1,GH$23&gt;=IntConvMonth),GH$30*GG32,0)</f>
        <v/>
      </c>
      <c r="GI50" s="374">
        <f>IF(AND(Timeline!GI$42=1,InterestMethodCurrentPay=1,GI$23&gt;=IntConvMonth),GI$30*GH32,0)</f>
        <v/>
      </c>
      <c r="GJ50" s="374">
        <f>IF(AND(Timeline!GJ$42=1,InterestMethodCurrentPay=1,GJ$23&gt;=IntConvMonth),GJ$30*GI32,0)</f>
        <v/>
      </c>
      <c r="GK50" s="374">
        <f>IF(AND(Timeline!GK$42=1,InterestMethodCurrentPay=1,GK$23&gt;=IntConvMonth),GK$30*GJ32,0)</f>
        <v/>
      </c>
      <c r="GL50" s="374">
        <f>IF(AND(Timeline!GL$42=1,InterestMethodCurrentPay=1,GL$23&gt;=IntConvMonth),GL$30*GK32,0)</f>
        <v/>
      </c>
      <c r="GM50" s="374">
        <f>IF(AND(Timeline!GM$42=1,InterestMethodCurrentPay=1,GM$23&gt;=IntConvMonth),GM$30*GL32,0)</f>
        <v/>
      </c>
      <c r="GN50" s="374">
        <f>IF(AND(Timeline!GN$42=1,InterestMethodCurrentPay=1,GN$23&gt;=IntConvMonth),GN$30*GM32,0)</f>
        <v/>
      </c>
      <c r="GO50" s="374">
        <f>IF(AND(Timeline!GO$42=1,InterestMethodCurrentPay=1,GO$23&gt;=IntConvMonth),GO$30*GN32,0)</f>
        <v/>
      </c>
      <c r="GP50" s="374">
        <f>IF(AND(Timeline!GP$42=1,InterestMethodCurrentPay=1,GP$23&gt;=IntConvMonth),GP$30*GO32,0)</f>
        <v/>
      </c>
      <c r="GQ50" s="374">
        <f>IF(AND(Timeline!GQ$42=1,InterestMethodCurrentPay=1,GQ$23&gt;=IntConvMonth),GQ$30*GP32,0)</f>
        <v/>
      </c>
      <c r="GR50" s="374">
        <f>IF(AND(Timeline!GR$42=1,InterestMethodCurrentPay=1,GR$23&gt;=IntConvMonth),GR$30*GQ32,0)</f>
        <v/>
      </c>
      <c r="GS50" s="374">
        <f>IF(AND(Timeline!GS$42=1,InterestMethodCurrentPay=1,GS$23&gt;=IntConvMonth),GS$30*GR32,0)</f>
        <v/>
      </c>
      <c r="GT50" s="374">
        <f>IF(AND(Timeline!GT$42=1,InterestMethodCurrentPay=1,GT$23&gt;=IntConvMonth),GT$30*GS32,0)</f>
        <v/>
      </c>
      <c r="GU50" s="374">
        <f>IF(AND(Timeline!GU$42=1,InterestMethodCurrentPay=1,GU$23&gt;=IntConvMonth),GU$30*GT32,0)</f>
        <v/>
      </c>
      <c r="GV50" s="374">
        <f>IF(AND(Timeline!GV$42=1,InterestMethodCurrentPay=1,GV$23&gt;=IntConvMonth),GV$30*GU32,0)</f>
        <v/>
      </c>
      <c r="GW50" s="374">
        <f>IF(AND(Timeline!GW$42=1,InterestMethodCurrentPay=1,GW$23&gt;=IntConvMonth),GW$30*GV32,0)</f>
        <v/>
      </c>
      <c r="GX50" s="374">
        <f>IF(AND(Timeline!GX$42=1,InterestMethodCurrentPay=1,GX$23&gt;=IntConvMonth),GX$30*GW32,0)</f>
        <v/>
      </c>
      <c r="GY50" s="374">
        <f>IF(AND(Timeline!GY$42=1,InterestMethodCurrentPay=1,GY$23&gt;=IntConvMonth),GY$30*GX32,0)</f>
        <v/>
      </c>
      <c r="GZ50" s="374">
        <f>IF(AND(Timeline!GZ$42=1,InterestMethodCurrentPay=1,GZ$23&gt;=IntConvMonth),GZ$30*GY32,0)</f>
        <v/>
      </c>
      <c r="HA50" s="374">
        <f>IF(AND(Timeline!HA$42=1,InterestMethodCurrentPay=1,HA$23&gt;=IntConvMonth),HA$30*GZ32,0)</f>
        <v/>
      </c>
      <c r="HB50" s="374">
        <f>IF(AND(Timeline!HB$42=1,InterestMethodCurrentPay=1,HB$23&gt;=IntConvMonth),HB$30*HA32,0)</f>
        <v/>
      </c>
      <c r="HC50" s="374">
        <f>IF(AND(Timeline!HC$42=1,InterestMethodCurrentPay=1,HC$23&gt;=IntConvMonth),HC$30*HB32,0)</f>
        <v/>
      </c>
      <c r="HD50" s="374">
        <f>IF(AND(Timeline!HD$42=1,InterestMethodCurrentPay=1,HD$23&gt;=IntConvMonth),HD$30*HC32,0)</f>
        <v/>
      </c>
      <c r="HE50" s="374">
        <f>IF(AND(Timeline!HE$42=1,InterestMethodCurrentPay=1,HE$23&gt;=IntConvMonth),HE$30*HD32,0)</f>
        <v/>
      </c>
      <c r="HF50" s="374">
        <f>IF(AND(Timeline!HF$42=1,InterestMethodCurrentPay=1,HF$23&gt;=IntConvMonth),HF$30*HE32,0)</f>
        <v/>
      </c>
      <c r="HG50" s="374">
        <f>IF(AND(Timeline!HG$42=1,InterestMethodCurrentPay=1,HG$23&gt;=IntConvMonth),HG$30*HF32,0)</f>
        <v/>
      </c>
      <c r="HH50" s="374">
        <f>IF(AND(Timeline!HH$42=1,InterestMethodCurrentPay=1,HH$23&gt;=IntConvMonth),HH$30*HG32,0)</f>
        <v/>
      </c>
      <c r="HI50" s="374">
        <f>IF(AND(Timeline!HI$42=1,InterestMethodCurrentPay=1,HI$23&gt;=IntConvMonth),HI$30*HH32,0)</f>
        <v/>
      </c>
      <c r="HJ50" s="374">
        <f>IF(AND(Timeline!HJ$42=1,InterestMethodCurrentPay=1,HJ$23&gt;=IntConvMonth),HJ$30*HI32,0)</f>
        <v/>
      </c>
      <c r="HK50" s="374">
        <f>IF(AND(Timeline!HK$42=1,InterestMethodCurrentPay=1,HK$23&gt;=IntConvMonth),HK$30*HJ32,0)</f>
        <v/>
      </c>
      <c r="HL50" s="374">
        <f>IF(AND(Timeline!HL$42=1,InterestMethodCurrentPay=1,HL$23&gt;=IntConvMonth),HL$30*HK32,0)</f>
        <v/>
      </c>
      <c r="HM50" s="374">
        <f>IF(AND(Timeline!HM$42=1,InterestMethodCurrentPay=1,HM$23&gt;=IntConvMonth),HM$30*HL32,0)</f>
        <v/>
      </c>
      <c r="HN50" s="374">
        <f>IF(AND(Timeline!HN$42=1,InterestMethodCurrentPay=1,HN$23&gt;=IntConvMonth),HN$30*HM32,0)</f>
        <v/>
      </c>
      <c r="HO50" s="374">
        <f>IF(AND(Timeline!HO$42=1,InterestMethodCurrentPay=1,HO$23&gt;=IntConvMonth),HO$30*HN32,0)</f>
        <v/>
      </c>
      <c r="HP50" s="374">
        <f>IF(AND(Timeline!HP$42=1,InterestMethodCurrentPay=1,HP$23&gt;=IntConvMonth),HP$30*HO32,0)</f>
        <v/>
      </c>
      <c r="HQ50" s="374">
        <f>IF(AND(Timeline!HQ$42=1,InterestMethodCurrentPay=1,HQ$23&gt;=IntConvMonth),HQ$30*HP32,0)</f>
        <v/>
      </c>
      <c r="HR50" s="374">
        <f>IF(AND(Timeline!HR$42=1,InterestMethodCurrentPay=1,HR$23&gt;=IntConvMonth),HR$30*HQ32,0)</f>
        <v/>
      </c>
      <c r="HS50" s="374">
        <f>IF(AND(Timeline!HS$42=1,InterestMethodCurrentPay=1,HS$23&gt;=IntConvMonth),HS$30*HR32,0)</f>
        <v/>
      </c>
      <c r="HT50" s="374">
        <f>IF(AND(Timeline!HT$42=1,InterestMethodCurrentPay=1,HT$23&gt;=IntConvMonth),HT$30*HS32,0)</f>
        <v/>
      </c>
      <c r="HU50" s="374">
        <f>IF(AND(Timeline!HU$42=1,InterestMethodCurrentPay=1,HU$23&gt;=IntConvMonth),HU$30*HT32,0)</f>
        <v/>
      </c>
      <c r="HV50" s="374">
        <f>IF(AND(Timeline!HV$42=1,InterestMethodCurrentPay=1,HV$23&gt;=IntConvMonth),HV$30*HU32,0)</f>
        <v/>
      </c>
      <c r="HW50" s="374">
        <f>IF(AND(Timeline!HW$42=1,InterestMethodCurrentPay=1,HW$23&gt;=IntConvMonth),HW$30*HV32,0)</f>
        <v/>
      </c>
      <c r="HX50" s="374">
        <f>IF(AND(Timeline!HX$42=1,InterestMethodCurrentPay=1,HX$23&gt;=IntConvMonth),HX$30*HW32,0)</f>
        <v/>
      </c>
      <c r="HY50" s="374">
        <f>IF(AND(Timeline!HY$42=1,InterestMethodCurrentPay=1,HY$23&gt;=IntConvMonth),HY$30*HX32,0)</f>
        <v/>
      </c>
      <c r="HZ50" s="374">
        <f>IF(AND(Timeline!HZ$42=1,InterestMethodCurrentPay=1,HZ$23&gt;=IntConvMonth),HZ$30*HY32,0)</f>
        <v/>
      </c>
      <c r="IA50" s="374">
        <f>IF(AND(Timeline!IA$42=1,InterestMethodCurrentPay=1,IA$23&gt;=IntConvMonth),IA$30*HZ32,0)</f>
        <v/>
      </c>
      <c r="IB50" s="374">
        <f>IF(AND(Timeline!IB$42=1,InterestMethodCurrentPay=1,IB$23&gt;=IntConvMonth),IB$30*IA32,0)</f>
        <v/>
      </c>
      <c r="IC50" s="374">
        <f>IF(AND(Timeline!IC$42=1,InterestMethodCurrentPay=1,IC$23&gt;=IntConvMonth),IC$30*IB32,0)</f>
        <v/>
      </c>
      <c r="ID50" s="374">
        <f>IF(AND(Timeline!ID$42=1,InterestMethodCurrentPay=1,ID$23&gt;=IntConvMonth),ID$30*IC32,0)</f>
        <v/>
      </c>
      <c r="IE50" s="374">
        <f>IF(AND(Timeline!IE$42=1,InterestMethodCurrentPay=1,IE$23&gt;=IntConvMonth),IE$30*ID32,0)</f>
        <v/>
      </c>
      <c r="IF50" s="374">
        <f>IF(AND(Timeline!IF$42=1,InterestMethodCurrentPay=1,IF$23&gt;=IntConvMonth),IF$30*IE32,0)</f>
        <v/>
      </c>
      <c r="IG50" s="374">
        <f>IF(AND(Timeline!IG$42=1,InterestMethodCurrentPay=1,IG$23&gt;=IntConvMonth),IG$30*IF32,0)</f>
        <v/>
      </c>
      <c r="IH50" s="374">
        <f>IF(AND(Timeline!IH$42=1,InterestMethodCurrentPay=1,IH$23&gt;=IntConvMonth),IH$30*IG32,0)</f>
        <v/>
      </c>
      <c r="II50" s="374">
        <f>IF(AND(Timeline!II$42=1,InterestMethodCurrentPay=1,II$23&gt;=IntConvMonth),II$30*IH32,0)</f>
        <v/>
      </c>
      <c r="IJ50" s="374">
        <f>IF(AND(Timeline!IJ$42=1,InterestMethodCurrentPay=1,IJ$23&gt;=IntConvMonth),IJ$30*II32,0)</f>
        <v/>
      </c>
      <c r="IK50" s="374">
        <f>IF(AND(Timeline!IK$42=1,InterestMethodCurrentPay=1,IK$23&gt;=IntConvMonth),IK$30*IJ32,0)</f>
        <v/>
      </c>
      <c r="IL50" s="374">
        <f>IF(AND(Timeline!IL$42=1,InterestMethodCurrentPay=1,IL$23&gt;=IntConvMonth),IL$30*IK32,0)</f>
        <v/>
      </c>
      <c r="IM50" s="374">
        <f>IF(AND(Timeline!IM$42=1,InterestMethodCurrentPay=1,IM$23&gt;=IntConvMonth),IM$30*IL32,0)</f>
        <v/>
      </c>
      <c r="IN50" s="374">
        <f>IF(AND(Timeline!IN$42=1,InterestMethodCurrentPay=1,IN$23&gt;=IntConvMonth),IN$30*IM32,0)</f>
        <v/>
      </c>
      <c r="IO50" s="374">
        <f>IF(AND(Timeline!IO$42=1,InterestMethodCurrentPay=1,IO$23&gt;=IntConvMonth),IO$30*IN32,0)</f>
        <v/>
      </c>
      <c r="IP50" s="374">
        <f>IF(AND(Timeline!IP$42=1,InterestMethodCurrentPay=1,IP$23&gt;=IntConvMonth),IP$30*IO32,0)</f>
        <v/>
      </c>
      <c r="IQ50" s="374">
        <f>IF(AND(Timeline!IQ$42=1,InterestMethodCurrentPay=1,IQ$23&gt;=IntConvMonth),IQ$30*IP32,0)</f>
        <v/>
      </c>
      <c r="IR50" s="374">
        <f>IF(AND(Timeline!IR$42=1,InterestMethodCurrentPay=1,IR$23&gt;=IntConvMonth),IR$30*IQ32,0)</f>
        <v/>
      </c>
      <c r="IS50" s="374">
        <f>IF(AND(Timeline!IS$42=1,InterestMethodCurrentPay=1,IS$23&gt;=IntConvMonth),IS$30*IR32,0)</f>
        <v/>
      </c>
      <c r="IT50" s="374">
        <f>IF(AND(Timeline!IT$42=1,InterestMethodCurrentPay=1,IT$23&gt;=IntConvMonth),IT$30*IS32,0)</f>
        <v/>
      </c>
      <c r="IU50" s="374">
        <f>IF(AND(Timeline!IU$42=1,InterestMethodCurrentPay=1,IU$23&gt;=IntConvMonth),IU$30*IT32,0)</f>
        <v/>
      </c>
      <c r="IV50" s="374">
        <f>IF(AND(Timeline!IV$42=1,InterestMethodCurrentPay=1,IV$23&gt;=IntConvMonth),IV$30*IU32,0)</f>
        <v/>
      </c>
      <c r="IW50" s="374">
        <f>IF(AND(Timeline!IW$42=1,InterestMethodCurrentPay=1,IW$23&gt;=IntConvMonth),IW$30*IV32,0)</f>
        <v/>
      </c>
      <c r="IX50" s="374">
        <f>IF(AND(Timeline!IX$42=1,InterestMethodCurrentPay=1,IX$23&gt;=IntConvMonth),IX$30*IW32,0)</f>
        <v/>
      </c>
      <c r="IY50" s="374">
        <f>IF(AND(Timeline!IY$42=1,InterestMethodCurrentPay=1,IY$23&gt;=IntConvMonth),IY$30*IX32,0)</f>
        <v/>
      </c>
      <c r="IZ50" s="374">
        <f>IF(AND(Timeline!IZ$42=1,InterestMethodCurrentPay=1,IZ$23&gt;=IntConvMonth),IZ$30*IY32,0)</f>
        <v/>
      </c>
      <c r="JA50" s="374">
        <f>IF(AND(Timeline!JA$42=1,InterestMethodCurrentPay=1,JA$23&gt;=IntConvMonth),JA$30*IZ32,0)</f>
        <v/>
      </c>
      <c r="JB50" s="374">
        <f>IF(AND(Timeline!JB$42=1,InterestMethodCurrentPay=1,JB$23&gt;=IntConvMonth),JB$30*JA32,0)</f>
        <v/>
      </c>
      <c r="JC50" s="374">
        <f>IF(AND(Timeline!JC$42=1,InterestMethodCurrentPay=1,JC$23&gt;=IntConvMonth),JC$30*JB32,0)</f>
        <v/>
      </c>
      <c r="JD50" s="374">
        <f>IF(AND(Timeline!JD$42=1,InterestMethodCurrentPay=1,JD$23&gt;=IntConvMonth),JD$30*JC32,0)</f>
        <v/>
      </c>
      <c r="JE50" s="374">
        <f>IF(AND(Timeline!JE$42=1,InterestMethodCurrentPay=1,JE$23&gt;=IntConvMonth),JE$30*JD32,0)</f>
        <v/>
      </c>
      <c r="JF50" s="374">
        <f>IF(AND(Timeline!JF$42=1,InterestMethodCurrentPay=1,JF$23&gt;=IntConvMonth),JF$30*JE32,0)</f>
        <v/>
      </c>
      <c r="JG50" s="374">
        <f>IF(AND(Timeline!JG$42=1,InterestMethodCurrentPay=1,JG$23&gt;=IntConvMonth),JG$30*JF32,0)</f>
        <v/>
      </c>
      <c r="JH50" s="374">
        <f>IF(AND(Timeline!JH$42=1,InterestMethodCurrentPay=1,JH$23&gt;=IntConvMonth),JH$30*JG32,0)</f>
        <v/>
      </c>
      <c r="JI50" s="374">
        <f>IF(AND(Timeline!JI$42=1,InterestMethodCurrentPay=1,JI$23&gt;=IntConvMonth),JI$30*JH32,0)</f>
        <v/>
      </c>
      <c r="JJ50" s="374">
        <f>IF(AND(Timeline!JJ$42=1,InterestMethodCurrentPay=1,JJ$23&gt;=IntConvMonth),JJ$30*JI32,0)</f>
        <v/>
      </c>
      <c r="JK50" s="374">
        <f>IF(AND(Timeline!JK$42=1,InterestMethodCurrentPay=1,JK$23&gt;=IntConvMonth),JK$30*JJ32,0)</f>
        <v/>
      </c>
      <c r="JL50" s="374">
        <f>IF(AND(Timeline!JL$42=1,InterestMethodCurrentPay=1,JL$23&gt;=IntConvMonth),JL$30*JK32,0)</f>
        <v/>
      </c>
      <c r="JM50" s="374">
        <f>IF(AND(Timeline!JM$42=1,InterestMethodCurrentPay=1,JM$23&gt;=IntConvMonth),JM$30*JL32,0)</f>
        <v/>
      </c>
      <c r="JN50" s="374">
        <f>IF(AND(Timeline!JN$42=1,InterestMethodCurrentPay=1,JN$23&gt;=IntConvMonth),JN$30*JM32,0)</f>
        <v/>
      </c>
      <c r="JO50" s="374">
        <f>IF(AND(Timeline!JO$42=1,InterestMethodCurrentPay=1,JO$23&gt;=IntConvMonth),JO$30*JN32,0)</f>
        <v/>
      </c>
      <c r="JP50" s="374">
        <f>IF(AND(Timeline!JP$42=1,InterestMethodCurrentPay=1,JP$23&gt;=IntConvMonth),JP$30*JO32,0)</f>
        <v/>
      </c>
      <c r="JQ50" s="374">
        <f>IF(AND(Timeline!JQ$42=1,InterestMethodCurrentPay=1,JQ$23&gt;=IntConvMonth),JQ$30*JP32,0)</f>
        <v/>
      </c>
      <c r="JR50" s="374">
        <f>IF(AND(Timeline!JR$42=1,InterestMethodCurrentPay=1,JR$23&gt;=IntConvMonth),JR$30*JQ32,0)</f>
        <v/>
      </c>
      <c r="JS50" s="374">
        <f>IF(AND(Timeline!JS$42=1,InterestMethodCurrentPay=1,JS$23&gt;=IntConvMonth),JS$30*JR32,0)</f>
        <v/>
      </c>
      <c r="JT50" s="374">
        <f>IF(AND(Timeline!JT$42=1,InterestMethodCurrentPay=1,JT$23&gt;=IntConvMonth),JT$30*JS32,0)</f>
        <v/>
      </c>
      <c r="JU50" s="374">
        <f>IF(AND(Timeline!JU$42=1,InterestMethodCurrentPay=1,JU$23&gt;=IntConvMonth),JU$30*JT32,0)</f>
        <v/>
      </c>
      <c r="JV50" s="374">
        <f>IF(AND(Timeline!JV$42=1,InterestMethodCurrentPay=1,JV$23&gt;=IntConvMonth),JV$30*JU32,0)</f>
        <v/>
      </c>
      <c r="JW50" s="374">
        <f>IF(AND(Timeline!JW$42=1,InterestMethodCurrentPay=1,JW$23&gt;=IntConvMonth),JW$30*JV32,0)</f>
        <v/>
      </c>
      <c r="JX50" s="374">
        <f>IF(AND(Timeline!JX$42=1,InterestMethodCurrentPay=1,JX$23&gt;=IntConvMonth),JX$30*JW32,0)</f>
        <v/>
      </c>
      <c r="JY50" s="374">
        <f>IF(AND(Timeline!JY$42=1,InterestMethodCurrentPay=1,JY$23&gt;=IntConvMonth),JY$30*JX32,0)</f>
        <v/>
      </c>
      <c r="JZ50" s="374">
        <f>IF(AND(Timeline!JZ$42=1,InterestMethodCurrentPay=1,JZ$23&gt;=IntConvMonth),JZ$30*JY32,0)</f>
        <v/>
      </c>
      <c r="KA50" s="374">
        <f>IF(AND(Timeline!KA$42=1,InterestMethodCurrentPay=1,KA$23&gt;=IntConvMonth),KA$30*JZ32,0)</f>
        <v/>
      </c>
      <c r="KB50" s="374">
        <f>IF(AND(Timeline!KB$42=1,InterestMethodCurrentPay=1,KB$23&gt;=IntConvMonth),KB$30*KA32,0)</f>
        <v/>
      </c>
      <c r="KC50" s="374">
        <f>IF(AND(Timeline!KC$42=1,InterestMethodCurrentPay=1,KC$23&gt;=IntConvMonth),KC$30*KB32,0)</f>
        <v/>
      </c>
      <c r="KD50" s="374">
        <f>IF(AND(Timeline!KD$42=1,InterestMethodCurrentPay=1,KD$23&gt;=IntConvMonth),KD$30*KC32,0)</f>
        <v/>
      </c>
      <c r="KE50" s="374">
        <f>IF(AND(Timeline!KE$42=1,InterestMethodCurrentPay=1,KE$23&gt;=IntConvMonth),KE$30*KD32,0)</f>
        <v/>
      </c>
      <c r="KF50" s="374">
        <f>IF(AND(Timeline!KF$42=1,InterestMethodCurrentPay=1,KF$23&gt;=IntConvMonth),KF$30*KE32,0)</f>
        <v/>
      </c>
      <c r="KG50" s="374">
        <f>IF(AND(Timeline!KG$42=1,InterestMethodCurrentPay=1,KG$23&gt;=IntConvMonth),KG$30*KF32,0)</f>
        <v/>
      </c>
      <c r="KH50" s="374">
        <f>IF(AND(Timeline!KH$42=1,InterestMethodCurrentPay=1,KH$23&gt;=IntConvMonth),KH$30*KG32,0)</f>
        <v/>
      </c>
      <c r="KI50" s="374">
        <f>IF(AND(Timeline!KI$42=1,InterestMethodCurrentPay=1,KI$23&gt;=IntConvMonth),KI$30*KH32,0)</f>
        <v/>
      </c>
      <c r="KJ50" s="374">
        <f>IF(AND(Timeline!KJ$42=1,InterestMethodCurrentPay=1,KJ$23&gt;=IntConvMonth),KJ$30*KI32,0)</f>
        <v/>
      </c>
      <c r="KK50" s="374">
        <f>IF(AND(Timeline!KK$42=1,InterestMethodCurrentPay=1,KK$23&gt;=IntConvMonth),KK$30*KJ32,0)</f>
        <v/>
      </c>
      <c r="KL50" s="374">
        <f>IF(AND(Timeline!KL$42=1,InterestMethodCurrentPay=1,KL$23&gt;=IntConvMonth),KL$30*KK32,0)</f>
        <v/>
      </c>
      <c r="KM50" s="374">
        <f>IF(AND(Timeline!KM$42=1,InterestMethodCurrentPay=1,KM$23&gt;=IntConvMonth),KM$30*KL32,0)</f>
        <v/>
      </c>
      <c r="KN50" s="374">
        <f>IF(AND(Timeline!KN$42=1,InterestMethodCurrentPay=1,KN$23&gt;=IntConvMonth),KN$30*KM32,0)</f>
        <v/>
      </c>
      <c r="KO50" s="374">
        <f>IF(AND(Timeline!KO$42=1,InterestMethodCurrentPay=1,KO$23&gt;=IntConvMonth),KO$30*KN32,0)</f>
        <v/>
      </c>
      <c r="KP50" s="374">
        <f>IF(AND(Timeline!KP$42=1,InterestMethodCurrentPay=1,KP$23&gt;=IntConvMonth),KP$30*KO32,0)</f>
        <v/>
      </c>
      <c r="KQ50" s="374">
        <f>IF(AND(Timeline!KQ$42=1,InterestMethodCurrentPay=1,KQ$23&gt;=IntConvMonth),KQ$30*KP32,0)</f>
        <v/>
      </c>
      <c r="KR50" s="374">
        <f>IF(AND(Timeline!KR$42=1,InterestMethodCurrentPay=1,KR$23&gt;=IntConvMonth),KR$30*KQ32,0)</f>
        <v/>
      </c>
      <c r="KS50" s="374">
        <f>IF(AND(Timeline!KS$42=1,InterestMethodCurrentPay=1,KS$23&gt;=IntConvMonth),KS$30*KR32,0)</f>
        <v/>
      </c>
      <c r="KT50" s="374">
        <f>IF(AND(Timeline!KT$42=1,InterestMethodCurrentPay=1,KT$23&gt;=IntConvMonth),KT$30*KS32,0)</f>
        <v/>
      </c>
      <c r="KU50" s="374">
        <f>IF(AND(Timeline!KU$42=1,InterestMethodCurrentPay=1,KU$23&gt;=IntConvMonth),KU$30*KT32,0)</f>
        <v/>
      </c>
      <c r="KV50" s="374">
        <f>IF(AND(Timeline!KV$42=1,InterestMethodCurrentPay=1,KV$23&gt;=IntConvMonth),KV$30*KU32,0)</f>
        <v/>
      </c>
      <c r="KW50" s="374">
        <f>IF(AND(Timeline!KW$42=1,InterestMethodCurrentPay=1,KW$23&gt;=IntConvMonth),KW$30*KV32,0)</f>
        <v/>
      </c>
      <c r="KX50" s="374">
        <f>IF(AND(Timeline!KX$42=1,InterestMethodCurrentPay=1,KX$23&gt;=IntConvMonth),KX$30*KW32,0)</f>
        <v/>
      </c>
      <c r="KY50" s="374">
        <f>IF(AND(Timeline!KY$42=1,InterestMethodCurrentPay=1,KY$23&gt;=IntConvMonth),KY$30*KX32,0)</f>
        <v/>
      </c>
      <c r="KZ50" s="374">
        <f>IF(AND(Timeline!KZ$42=1,InterestMethodCurrentPay=1,KZ$23&gt;=IntConvMonth),KZ$30*KY32,0)</f>
        <v/>
      </c>
      <c r="LA50" s="374">
        <f>IF(AND(Timeline!LA$42=1,InterestMethodCurrentPay=1,LA$23&gt;=IntConvMonth),LA$30*KZ32,0)</f>
        <v/>
      </c>
      <c r="LB50" s="374">
        <f>IF(AND(Timeline!LB$42=1,InterestMethodCurrentPay=1,LB$23&gt;=IntConvMonth),LB$30*LA32,0)</f>
        <v/>
      </c>
      <c r="LC50" s="374">
        <f>IF(AND(Timeline!LC$42=1,InterestMethodCurrentPay=1,LC$23&gt;=IntConvMonth),LC$30*LB32,0)</f>
        <v/>
      </c>
      <c r="LD50" s="374">
        <f>IF(AND(Timeline!LD$42=1,InterestMethodCurrentPay=1,LD$23&gt;=IntConvMonth),LD$30*LC32,0)</f>
        <v/>
      </c>
      <c r="LE50" s="374">
        <f>IF(AND(Timeline!LE$42=1,InterestMethodCurrentPay=1,LE$23&gt;=IntConvMonth),LE$30*LD32,0)</f>
        <v/>
      </c>
      <c r="LF50" s="374">
        <f>IF(AND(Timeline!LF$42=1,InterestMethodCurrentPay=1,LF$23&gt;=IntConvMonth),LF$30*LE32,0)</f>
        <v/>
      </c>
      <c r="LG50" s="374">
        <f>IF(AND(Timeline!LG$42=1,InterestMethodCurrentPay=1,LG$23&gt;=IntConvMonth),LG$30*LF32,0)</f>
        <v/>
      </c>
      <c r="LH50" s="374">
        <f>IF(AND(Timeline!LH$42=1,InterestMethodCurrentPay=1,LH$23&gt;=IntConvMonth),LH$30*LG32,0)</f>
        <v/>
      </c>
      <c r="LI50" s="374">
        <f>IF(AND(Timeline!LI$42=1,InterestMethodCurrentPay=1,LI$23&gt;=IntConvMonth),LI$30*LH32,0)</f>
        <v/>
      </c>
      <c r="LJ50" s="374">
        <f>IF(AND(Timeline!LJ$42=1,InterestMethodCurrentPay=1,LJ$23&gt;=IntConvMonth),LJ$30*LI32,0)</f>
        <v/>
      </c>
      <c r="LK50" s="374">
        <f>IF(AND(Timeline!LK$42=1,InterestMethodCurrentPay=1,LK$23&gt;=IntConvMonth),LK$30*LJ32,0)</f>
        <v/>
      </c>
      <c r="LL50" s="374">
        <f>IF(AND(Timeline!LL$42=1,InterestMethodCurrentPay=1,LL$23&gt;=IntConvMonth),LL$30*LK32,0)</f>
        <v/>
      </c>
      <c r="LM50" s="374">
        <f>IF(AND(Timeline!LM$42=1,InterestMethodCurrentPay=1,LM$23&gt;=IntConvMonth),LM$30*LL32,0)</f>
        <v/>
      </c>
      <c r="LN50" s="374">
        <f>IF(AND(Timeline!LN$42=1,InterestMethodCurrentPay=1,LN$23&gt;=IntConvMonth),LN$30*LM32,0)</f>
        <v/>
      </c>
      <c r="LO50" s="374">
        <f>IF(AND(Timeline!LO$42=1,InterestMethodCurrentPay=1,LO$23&gt;=IntConvMonth),LO$30*LN32,0)</f>
        <v/>
      </c>
      <c r="LP50" s="374">
        <f>IF(AND(Timeline!LP$42=1,InterestMethodCurrentPay=1,LP$23&gt;=IntConvMonth),LP$30*LO32,0)</f>
        <v/>
      </c>
      <c r="LQ50" s="374">
        <f>IF(AND(Timeline!LQ$42=1,InterestMethodCurrentPay=1,LQ$23&gt;=IntConvMonth),LQ$30*LP32,0)</f>
        <v/>
      </c>
      <c r="LR50" s="374">
        <f>IF(AND(Timeline!LR$42=1,InterestMethodCurrentPay=1,LR$23&gt;=IntConvMonth),LR$30*LQ32,0)</f>
        <v/>
      </c>
      <c r="LS50" s="374">
        <f>IF(AND(Timeline!LS$42=1,InterestMethodCurrentPay=1,LS$23&gt;=IntConvMonth),LS$30*LR32,0)</f>
        <v/>
      </c>
      <c r="LT50" s="374">
        <f>IF(AND(Timeline!LT$42=1,InterestMethodCurrentPay=1,LT$23&gt;=IntConvMonth),LT$30*LS32,0)</f>
        <v/>
      </c>
      <c r="LU50" s="374">
        <f>IF(AND(Timeline!LU$42=1,InterestMethodCurrentPay=1,LU$23&gt;=IntConvMonth),LU$30*LT32,0)</f>
        <v/>
      </c>
      <c r="LV50" s="374">
        <f>IF(AND(Timeline!LV$42=1,InterestMethodCurrentPay=1,LV$23&gt;=IntConvMonth),LV$30*LU32,0)</f>
        <v/>
      </c>
      <c r="LW50" s="374">
        <f>IF(AND(Timeline!LW$42=1,InterestMethodCurrentPay=1,LW$23&gt;=IntConvMonth),LW$30*LV32,0)</f>
        <v/>
      </c>
      <c r="LX50" s="374">
        <f>IF(AND(Timeline!LX$42=1,InterestMethodCurrentPay=1,LX$23&gt;=IntConvMonth),LX$30*LW32,0)</f>
        <v/>
      </c>
      <c r="LY50" s="374">
        <f>IF(AND(Timeline!LY$42=1,InterestMethodCurrentPay=1,LY$23&gt;=IntConvMonth),LY$30*LX32,0)</f>
        <v/>
      </c>
      <c r="LZ50" s="374">
        <f>IF(AND(Timeline!LZ$42=1,InterestMethodCurrentPay=1,LZ$23&gt;=IntConvMonth),LZ$30*LY32,0)</f>
        <v/>
      </c>
      <c r="MA50" s="374">
        <f>IF(AND(Timeline!MA$42=1,InterestMethodCurrentPay=1,MA$23&gt;=IntConvMonth),MA$30*LZ32,0)</f>
        <v/>
      </c>
      <c r="MB50" s="374">
        <f>IF(AND(Timeline!MB$42=1,InterestMethodCurrentPay=1,MB$23&gt;=IntConvMonth),MB$30*MA32,0)</f>
        <v/>
      </c>
      <c r="MC50" s="374">
        <f>IF(AND(Timeline!MC$42=1,InterestMethodCurrentPay=1,MC$23&gt;=IntConvMonth),MC$30*MB32,0)</f>
        <v/>
      </c>
      <c r="MD50" s="374">
        <f>IF(AND(Timeline!MD$42=1,InterestMethodCurrentPay=1,MD$23&gt;=IntConvMonth),MD$30*MC32,0)</f>
        <v/>
      </c>
      <c r="ME50" s="374">
        <f>IF(AND(Timeline!ME$42=1,InterestMethodCurrentPay=1,ME$23&gt;=IntConvMonth),ME$30*MD32,0)</f>
        <v/>
      </c>
      <c r="MF50" s="374">
        <f>IF(AND(Timeline!MF$42=1,InterestMethodCurrentPay=1,MF$23&gt;=IntConvMonth),MF$30*ME32,0)</f>
        <v/>
      </c>
      <c r="MG50" s="374">
        <f>IF(AND(Timeline!MG$42=1,InterestMethodCurrentPay=1,MG$23&gt;=IntConvMonth),MG$30*MF32,0)</f>
        <v/>
      </c>
      <c r="MH50" s="374">
        <f>IF(AND(Timeline!MH$42=1,InterestMethodCurrentPay=1,MH$23&gt;=IntConvMonth),MH$30*MG32,0)</f>
        <v/>
      </c>
      <c r="MI50" s="374">
        <f>IF(AND(Timeline!MI$42=1,InterestMethodCurrentPay=1,MI$23&gt;=IntConvMonth),MI$30*MH32,0)</f>
        <v/>
      </c>
      <c r="MJ50" s="374">
        <f>IF(AND(Timeline!MJ$42=1,InterestMethodCurrentPay=1,MJ$23&gt;=IntConvMonth),MJ$30*MI32,0)</f>
        <v/>
      </c>
      <c r="MK50" s="374">
        <f>IF(AND(Timeline!MK$42=1,InterestMethodCurrentPay=1,MK$23&gt;=IntConvMonth),MK$30*MJ32,0)</f>
        <v/>
      </c>
      <c r="ML50" s="374">
        <f>IF(AND(Timeline!ML$42=1,InterestMethodCurrentPay=1,ML$23&gt;=IntConvMonth),ML$30*MK32,0)</f>
        <v/>
      </c>
      <c r="MM50" s="374">
        <f>IF(AND(Timeline!MM$42=1,InterestMethodCurrentPay=1,MM$23&gt;=IntConvMonth),MM$30*ML32,0)</f>
        <v/>
      </c>
      <c r="MN50" s="374">
        <f>IF(AND(Timeline!MN$42=1,InterestMethodCurrentPay=1,MN$23&gt;=IntConvMonth),MN$30*MM32,0)</f>
        <v/>
      </c>
      <c r="MO50" s="374">
        <f>IF(AND(Timeline!MO$42=1,InterestMethodCurrentPay=1,MO$23&gt;=IntConvMonth),MO$30*MN32,0)</f>
        <v/>
      </c>
      <c r="MP50" s="374">
        <f>IF(AND(Timeline!MP$42=1,InterestMethodCurrentPay=1,MP$23&gt;=IntConvMonth),MP$30*MO32,0)</f>
        <v/>
      </c>
      <c r="MQ50" s="374">
        <f>IF(AND(Timeline!MQ$42=1,InterestMethodCurrentPay=1,MQ$23&gt;=IntConvMonth),MQ$30*MP32,0)</f>
        <v/>
      </c>
      <c r="MR50" s="374">
        <f>IF(AND(Timeline!MR$42=1,InterestMethodCurrentPay=1,MR$23&gt;=IntConvMonth),MR$30*MQ32,0)</f>
        <v/>
      </c>
      <c r="MS50" s="374">
        <f>IF(AND(Timeline!MS$42=1,InterestMethodCurrentPay=1,MS$23&gt;=IntConvMonth),MS$30*MR32,0)</f>
        <v/>
      </c>
      <c r="MT50" s="374">
        <f>IF(AND(Timeline!MT$42=1,InterestMethodCurrentPay=1,MT$23&gt;=IntConvMonth),MT$30*MS32,0)</f>
        <v/>
      </c>
      <c r="MU50" s="374">
        <f>IF(AND(Timeline!MU$42=1,InterestMethodCurrentPay=1,MU$23&gt;=IntConvMonth),MU$30*MT32,0)</f>
        <v/>
      </c>
      <c r="MV50" s="374">
        <f>IF(AND(Timeline!MV$42=1,InterestMethodCurrentPay=1,MV$23&gt;=IntConvMonth),MV$30*MU32,0)</f>
        <v/>
      </c>
      <c r="MW50" s="374">
        <f>IF(AND(Timeline!MW$42=1,InterestMethodCurrentPay=1,MW$23&gt;=IntConvMonth),MW$30*MV32,0)</f>
        <v/>
      </c>
      <c r="MX50" s="374">
        <f>IF(AND(Timeline!MX$42=1,InterestMethodCurrentPay=1,MX$23&gt;=IntConvMonth),MX$30*MW32,0)</f>
        <v/>
      </c>
      <c r="MY50" s="374">
        <f>IF(AND(Timeline!MY$42=1,InterestMethodCurrentPay=1,MY$23&gt;=IntConvMonth),MY$30*MX32,0)</f>
        <v/>
      </c>
      <c r="MZ50" s="374">
        <f>IF(AND(Timeline!MZ$42=1,InterestMethodCurrentPay=1,MZ$23&gt;=IntConvMonth),MZ$30*MY32,0)</f>
        <v/>
      </c>
      <c r="NA50" s="374">
        <f>IF(AND(Timeline!NA$42=1,InterestMethodCurrentPay=1,NA$23&gt;=IntConvMonth),NA$30*MZ32,0)</f>
        <v/>
      </c>
      <c r="NB50" s="374">
        <f>IF(AND(Timeline!NB$42=1,InterestMethodCurrentPay=1,NB$23&gt;=IntConvMonth),NB$30*NA32,0)</f>
        <v/>
      </c>
      <c r="NC50" s="374">
        <f>IF(AND(Timeline!NC$42=1,InterestMethodCurrentPay=1,NC$23&gt;=IntConvMonth),NC$30*NB32,0)</f>
        <v/>
      </c>
      <c r="ND50" s="374">
        <f>IF(AND(Timeline!ND$42=1,InterestMethodCurrentPay=1,ND$23&gt;=IntConvMonth),ND$30*NC32,0)</f>
        <v/>
      </c>
      <c r="NE50" s="374">
        <f>IF(AND(Timeline!NE$42=1,InterestMethodCurrentPay=1,NE$23&gt;=IntConvMonth),NE$30*ND32,0)</f>
        <v/>
      </c>
      <c r="NF50" s="374">
        <f>IF(AND(Timeline!NF$42=1,InterestMethodCurrentPay=1,NF$23&gt;=IntConvMonth),NF$30*NE32,0)</f>
        <v/>
      </c>
      <c r="NG50" s="374">
        <f>IF(AND(Timeline!NG$42=1,InterestMethodCurrentPay=1,NG$23&gt;=IntConvMonth),NG$30*NF32,0)</f>
        <v/>
      </c>
      <c r="NH50" s="374">
        <f>IF(AND(Timeline!NH$42=1,InterestMethodCurrentPay=1,NH$23&gt;=IntConvMonth),NH$30*NG32,0)</f>
        <v/>
      </c>
      <c r="NI50" s="374">
        <f>IF(AND(Timeline!NI$42=1,InterestMethodCurrentPay=1,NI$23&gt;=IntConvMonth),NI$30*NH32,0)</f>
        <v/>
      </c>
      <c r="NJ50" s="374">
        <f>IF(AND(Timeline!NJ$42=1,InterestMethodCurrentPay=1,NJ$23&gt;=IntConvMonth),NJ$30*NI32,0)</f>
        <v/>
      </c>
      <c r="NK50" s="374">
        <f>IF(AND(Timeline!NK$42=1,InterestMethodCurrentPay=1,NK$23&gt;=IntConvMonth),NK$30*NJ32,0)</f>
        <v/>
      </c>
      <c r="NL50" s="374">
        <f>IF(AND(Timeline!NL$42=1,InterestMethodCurrentPay=1,NL$23&gt;=IntConvMonth),NL$30*NK32,0)</f>
        <v/>
      </c>
    </row>
    <row r="51">
      <c r="B51" s="310" t="inlineStr">
        <is>
          <t>Interest Reserve Balance (drawdown)</t>
        </is>
      </c>
      <c r="E51" s="374">
        <f>InterestReserveFunded-E31</f>
        <v/>
      </c>
      <c r="F51" s="374">
        <f>E51-F31</f>
        <v/>
      </c>
      <c r="G51" s="374">
        <f>F51-G31</f>
        <v/>
      </c>
      <c r="H51" s="374">
        <f>G51-H31</f>
        <v/>
      </c>
      <c r="I51" s="374">
        <f>H51-I31</f>
        <v/>
      </c>
      <c r="J51" s="374">
        <f>I51-J31</f>
        <v/>
      </c>
      <c r="K51" s="374">
        <f>J51-K31</f>
        <v/>
      </c>
      <c r="L51" s="374">
        <f>K51-L31</f>
        <v/>
      </c>
      <c r="M51" s="374">
        <f>L51-M31</f>
        <v/>
      </c>
      <c r="N51" s="374">
        <f>M51-N31</f>
        <v/>
      </c>
      <c r="O51" s="374">
        <f>N51-O31</f>
        <v/>
      </c>
      <c r="P51" s="374">
        <f>O51-P31</f>
        <v/>
      </c>
      <c r="Q51" s="374">
        <f>P51-Q31</f>
        <v/>
      </c>
      <c r="R51" s="374">
        <f>Q51-R31</f>
        <v/>
      </c>
      <c r="S51" s="374">
        <f>R51-S31</f>
        <v/>
      </c>
      <c r="T51" s="374">
        <f>S51-T31</f>
        <v/>
      </c>
      <c r="U51" s="374">
        <f>T51-U31</f>
        <v/>
      </c>
      <c r="V51" s="374">
        <f>U51-V31</f>
        <v/>
      </c>
      <c r="W51" s="374">
        <f>V51-W31</f>
        <v/>
      </c>
      <c r="X51" s="374">
        <f>W51-X31</f>
        <v/>
      </c>
      <c r="Y51" s="374">
        <f>X51-Y31</f>
        <v/>
      </c>
      <c r="Z51" s="374">
        <f>Y51-Z31</f>
        <v/>
      </c>
      <c r="AA51" s="374">
        <f>Z51-AA31</f>
        <v/>
      </c>
      <c r="AB51" s="374">
        <f>AA51-AB31</f>
        <v/>
      </c>
      <c r="AC51" s="374">
        <f>AB51-AC31</f>
        <v/>
      </c>
      <c r="AD51" s="374">
        <f>AC51-AD31</f>
        <v/>
      </c>
      <c r="AE51" s="374">
        <f>AD51-AE31</f>
        <v/>
      </c>
      <c r="AF51" s="374">
        <f>AE51-AF31</f>
        <v/>
      </c>
      <c r="AG51" s="374">
        <f>AF51-AG31</f>
        <v/>
      </c>
      <c r="AH51" s="374">
        <f>AG51-AH31</f>
        <v/>
      </c>
      <c r="AI51" s="374">
        <f>AH51-AI31</f>
        <v/>
      </c>
      <c r="AJ51" s="374">
        <f>AI51-AJ31</f>
        <v/>
      </c>
      <c r="AK51" s="374">
        <f>AJ51-AK31</f>
        <v/>
      </c>
      <c r="AL51" s="374">
        <f>AK51-AL31</f>
        <v/>
      </c>
      <c r="AM51" s="374">
        <f>AL51-AM31</f>
        <v/>
      </c>
      <c r="AN51" s="374">
        <f>AM51-AN31</f>
        <v/>
      </c>
      <c r="AO51" s="374">
        <f>AN51-AO31</f>
        <v/>
      </c>
      <c r="AP51" s="374">
        <f>AO51-AP31</f>
        <v/>
      </c>
      <c r="AQ51" s="374">
        <f>AP51-AQ31</f>
        <v/>
      </c>
      <c r="AR51" s="374">
        <f>AQ51-AR31</f>
        <v/>
      </c>
      <c r="AS51" s="374">
        <f>AR51-AS31</f>
        <v/>
      </c>
      <c r="AT51" s="374">
        <f>AS51-AT31</f>
        <v/>
      </c>
      <c r="AU51" s="374">
        <f>AT51-AU31</f>
        <v/>
      </c>
      <c r="AV51" s="374">
        <f>AU51-AV31</f>
        <v/>
      </c>
      <c r="AW51" s="374">
        <f>AV51-AW31</f>
        <v/>
      </c>
      <c r="AX51" s="374">
        <f>AW51-AX31</f>
        <v/>
      </c>
      <c r="AY51" s="374">
        <f>AX51-AY31</f>
        <v/>
      </c>
      <c r="AZ51" s="374">
        <f>AY51-AZ31</f>
        <v/>
      </c>
      <c r="BA51" s="374">
        <f>AZ51-BA31</f>
        <v/>
      </c>
      <c r="BB51" s="374">
        <f>BA51-BB31</f>
        <v/>
      </c>
      <c r="BC51" s="374">
        <f>BB51-BC31</f>
        <v/>
      </c>
      <c r="BD51" s="374">
        <f>BC51-BD31</f>
        <v/>
      </c>
      <c r="BE51" s="374">
        <f>BD51-BE31</f>
        <v/>
      </c>
      <c r="BF51" s="374">
        <f>BE51-BF31</f>
        <v/>
      </c>
      <c r="BG51" s="374">
        <f>BF51-BG31</f>
        <v/>
      </c>
      <c r="BH51" s="374">
        <f>BG51-BH31</f>
        <v/>
      </c>
      <c r="BI51" s="374">
        <f>BH51-BI31</f>
        <v/>
      </c>
      <c r="BJ51" s="374">
        <f>BI51-BJ31</f>
        <v/>
      </c>
      <c r="BK51" s="374">
        <f>BJ51-BK31</f>
        <v/>
      </c>
      <c r="BL51" s="374">
        <f>BK51-BL31</f>
        <v/>
      </c>
      <c r="BM51" s="374">
        <f>BL51-BM31</f>
        <v/>
      </c>
      <c r="BN51" s="374">
        <f>BM51-BN31</f>
        <v/>
      </c>
      <c r="BO51" s="374">
        <f>BN51-BO31</f>
        <v/>
      </c>
      <c r="BP51" s="374">
        <f>BO51-BP31</f>
        <v/>
      </c>
      <c r="BQ51" s="374">
        <f>BP51-BQ31</f>
        <v/>
      </c>
      <c r="BR51" s="374">
        <f>BQ51-BR31</f>
        <v/>
      </c>
      <c r="BS51" s="374">
        <f>BR51-BS31</f>
        <v/>
      </c>
      <c r="BT51" s="374">
        <f>BS51-BT31</f>
        <v/>
      </c>
      <c r="BU51" s="374">
        <f>BT51-BU31</f>
        <v/>
      </c>
      <c r="BV51" s="374">
        <f>BU51-BV31</f>
        <v/>
      </c>
      <c r="BW51" s="374">
        <f>BV51-BW31</f>
        <v/>
      </c>
      <c r="BX51" s="374">
        <f>BW51-BX31</f>
        <v/>
      </c>
      <c r="BY51" s="374">
        <f>BX51-BY31</f>
        <v/>
      </c>
      <c r="BZ51" s="374">
        <f>BY51-BZ31</f>
        <v/>
      </c>
      <c r="CA51" s="374">
        <f>BZ51-CA31</f>
        <v/>
      </c>
      <c r="CB51" s="374">
        <f>CA51-CB31</f>
        <v/>
      </c>
      <c r="CC51" s="374">
        <f>CB51-CC31</f>
        <v/>
      </c>
      <c r="CD51" s="374">
        <f>CC51-CD31</f>
        <v/>
      </c>
      <c r="CE51" s="374">
        <f>CD51-CE31</f>
        <v/>
      </c>
      <c r="CF51" s="374">
        <f>CE51-CF31</f>
        <v/>
      </c>
      <c r="CG51" s="374">
        <f>CF51-CG31</f>
        <v/>
      </c>
      <c r="CH51" s="374">
        <f>CG51-CH31</f>
        <v/>
      </c>
      <c r="CI51" s="374">
        <f>CH51-CI31</f>
        <v/>
      </c>
      <c r="CJ51" s="374">
        <f>CI51-CJ31</f>
        <v/>
      </c>
      <c r="CK51" s="374">
        <f>CJ51-CK31</f>
        <v/>
      </c>
      <c r="CL51" s="374">
        <f>CK51-CL31</f>
        <v/>
      </c>
      <c r="CM51" s="374">
        <f>CL51-CM31</f>
        <v/>
      </c>
      <c r="CN51" s="374">
        <f>CM51-CN31</f>
        <v/>
      </c>
      <c r="CO51" s="374">
        <f>CN51-CO31</f>
        <v/>
      </c>
      <c r="CP51" s="374">
        <f>CO51-CP31</f>
        <v/>
      </c>
      <c r="CQ51" s="374">
        <f>CP51-CQ31</f>
        <v/>
      </c>
      <c r="CR51" s="374">
        <f>CQ51-CR31</f>
        <v/>
      </c>
      <c r="CS51" s="374">
        <f>CR51-CS31</f>
        <v/>
      </c>
      <c r="CT51" s="374">
        <f>CS51-CT31</f>
        <v/>
      </c>
      <c r="CU51" s="374">
        <f>CT51-CU31</f>
        <v/>
      </c>
      <c r="CV51" s="374">
        <f>CU51-CV31</f>
        <v/>
      </c>
      <c r="CW51" s="374">
        <f>CV51-CW31</f>
        <v/>
      </c>
      <c r="CX51" s="374">
        <f>CW51-CX31</f>
        <v/>
      </c>
      <c r="CY51" s="374">
        <f>CX51-CY31</f>
        <v/>
      </c>
      <c r="CZ51" s="374">
        <f>CY51-CZ31</f>
        <v/>
      </c>
      <c r="DA51" s="374">
        <f>CZ51-DA31</f>
        <v/>
      </c>
      <c r="DB51" s="374">
        <f>DA51-DB31</f>
        <v/>
      </c>
      <c r="DC51" s="374">
        <f>DB51-DC31</f>
        <v/>
      </c>
      <c r="DD51" s="374">
        <f>DC51-DD31</f>
        <v/>
      </c>
      <c r="DE51" s="374">
        <f>DD51-DE31</f>
        <v/>
      </c>
      <c r="DF51" s="374">
        <f>DE51-DF31</f>
        <v/>
      </c>
      <c r="DG51" s="374">
        <f>DF51-DG31</f>
        <v/>
      </c>
      <c r="DH51" s="374">
        <f>DG51-DH31</f>
        <v/>
      </c>
      <c r="DI51" s="374">
        <f>DH51-DI31</f>
        <v/>
      </c>
      <c r="DJ51" s="374">
        <f>DI51-DJ31</f>
        <v/>
      </c>
      <c r="DK51" s="374">
        <f>DJ51-DK31</f>
        <v/>
      </c>
      <c r="DL51" s="374">
        <f>DK51-DL31</f>
        <v/>
      </c>
      <c r="DM51" s="374">
        <f>DL51-DM31</f>
        <v/>
      </c>
      <c r="DN51" s="374">
        <f>DM51-DN31</f>
        <v/>
      </c>
      <c r="DO51" s="374">
        <f>DN51-DO31</f>
        <v/>
      </c>
      <c r="DP51" s="374">
        <f>DO51-DP31</f>
        <v/>
      </c>
      <c r="DQ51" s="374">
        <f>DP51-DQ31</f>
        <v/>
      </c>
      <c r="DR51" s="374">
        <f>DQ51-DR31</f>
        <v/>
      </c>
      <c r="DS51" s="374">
        <f>DR51-DS31</f>
        <v/>
      </c>
      <c r="DT51" s="374">
        <f>DS51-DT31</f>
        <v/>
      </c>
      <c r="DU51" s="374">
        <f>DT51-DU31</f>
        <v/>
      </c>
      <c r="DV51" s="374">
        <f>DU51-DV31</f>
        <v/>
      </c>
      <c r="DW51" s="374">
        <f>DV51-DW31</f>
        <v/>
      </c>
      <c r="DX51" s="374">
        <f>DW51-DX31</f>
        <v/>
      </c>
      <c r="DY51" s="374">
        <f>DX51-DY31</f>
        <v/>
      </c>
      <c r="DZ51" s="374">
        <f>DY51-DZ31</f>
        <v/>
      </c>
      <c r="EA51" s="374">
        <f>DZ51-EA31</f>
        <v/>
      </c>
      <c r="EB51" s="374">
        <f>EA51-EB31</f>
        <v/>
      </c>
      <c r="EC51" s="374">
        <f>EB51-EC31</f>
        <v/>
      </c>
      <c r="ED51" s="374">
        <f>EC51-ED31</f>
        <v/>
      </c>
      <c r="EE51" s="374">
        <f>ED51-EE31</f>
        <v/>
      </c>
      <c r="EF51" s="374">
        <f>EE51-EF31</f>
        <v/>
      </c>
      <c r="EG51" s="374">
        <f>EF51-EG31</f>
        <v/>
      </c>
      <c r="EH51" s="374">
        <f>EG51-EH31</f>
        <v/>
      </c>
      <c r="EI51" s="374">
        <f>EH51-EI31</f>
        <v/>
      </c>
      <c r="EJ51" s="374">
        <f>EI51-EJ31</f>
        <v/>
      </c>
      <c r="EK51" s="374">
        <f>EJ51-EK31</f>
        <v/>
      </c>
      <c r="EL51" s="374">
        <f>EK51-EL31</f>
        <v/>
      </c>
      <c r="EM51" s="374">
        <f>EL51-EM31</f>
        <v/>
      </c>
      <c r="EN51" s="374">
        <f>EM51-EN31</f>
        <v/>
      </c>
      <c r="EO51" s="374">
        <f>EN51-EO31</f>
        <v/>
      </c>
      <c r="EP51" s="374">
        <f>EO51-EP31</f>
        <v/>
      </c>
      <c r="EQ51" s="374">
        <f>EP51-EQ31</f>
        <v/>
      </c>
      <c r="ER51" s="374">
        <f>EQ51-ER31</f>
        <v/>
      </c>
      <c r="ES51" s="374">
        <f>ER51-ES31</f>
        <v/>
      </c>
      <c r="ET51" s="374">
        <f>ES51-ET31</f>
        <v/>
      </c>
      <c r="EU51" s="374">
        <f>ET51-EU31</f>
        <v/>
      </c>
      <c r="EV51" s="374">
        <f>EU51-EV31</f>
        <v/>
      </c>
      <c r="EW51" s="374">
        <f>EV51-EW31</f>
        <v/>
      </c>
      <c r="EX51" s="374">
        <f>EW51-EX31</f>
        <v/>
      </c>
      <c r="EY51" s="374">
        <f>EX51-EY31</f>
        <v/>
      </c>
      <c r="EZ51" s="374">
        <f>EY51-EZ31</f>
        <v/>
      </c>
      <c r="FA51" s="374">
        <f>EZ51-FA31</f>
        <v/>
      </c>
      <c r="FB51" s="374">
        <f>FA51-FB31</f>
        <v/>
      </c>
      <c r="FC51" s="374">
        <f>FB51-FC31</f>
        <v/>
      </c>
      <c r="FD51" s="374">
        <f>FC51-FD31</f>
        <v/>
      </c>
      <c r="FE51" s="374">
        <f>FD51-FE31</f>
        <v/>
      </c>
      <c r="FF51" s="374">
        <f>FE51-FF31</f>
        <v/>
      </c>
      <c r="FG51" s="374">
        <f>FF51-FG31</f>
        <v/>
      </c>
      <c r="FH51" s="374">
        <f>FG51-FH31</f>
        <v/>
      </c>
      <c r="FI51" s="374">
        <f>FH51-FI31</f>
        <v/>
      </c>
      <c r="FJ51" s="374">
        <f>FI51-FJ31</f>
        <v/>
      </c>
      <c r="FK51" s="374">
        <f>FJ51-FK31</f>
        <v/>
      </c>
      <c r="FL51" s="374">
        <f>FK51-FL31</f>
        <v/>
      </c>
      <c r="FM51" s="374">
        <f>FL51-FM31</f>
        <v/>
      </c>
      <c r="FN51" s="374">
        <f>FM51-FN31</f>
        <v/>
      </c>
      <c r="FO51" s="374">
        <f>FN51-FO31</f>
        <v/>
      </c>
      <c r="FP51" s="374">
        <f>FO51-FP31</f>
        <v/>
      </c>
      <c r="FQ51" s="374">
        <f>FP51-FQ31</f>
        <v/>
      </c>
      <c r="FR51" s="374">
        <f>FQ51-FR31</f>
        <v/>
      </c>
      <c r="FS51" s="374">
        <f>FR51-FS31</f>
        <v/>
      </c>
      <c r="FT51" s="374">
        <f>FS51-FT31</f>
        <v/>
      </c>
      <c r="FU51" s="374">
        <f>FT51-FU31</f>
        <v/>
      </c>
      <c r="FV51" s="374">
        <f>FU51-FV31</f>
        <v/>
      </c>
      <c r="FW51" s="374">
        <f>FV51-FW31</f>
        <v/>
      </c>
      <c r="FX51" s="374">
        <f>FW51-FX31</f>
        <v/>
      </c>
      <c r="FY51" s="374">
        <f>FX51-FY31</f>
        <v/>
      </c>
      <c r="FZ51" s="374">
        <f>FY51-FZ31</f>
        <v/>
      </c>
      <c r="GA51" s="374">
        <f>FZ51-GA31</f>
        <v/>
      </c>
      <c r="GB51" s="374">
        <f>GA51-GB31</f>
        <v/>
      </c>
      <c r="GC51" s="374">
        <f>GB51-GC31</f>
        <v/>
      </c>
      <c r="GD51" s="374">
        <f>GC51-GD31</f>
        <v/>
      </c>
      <c r="GE51" s="374">
        <f>GD51-GE31</f>
        <v/>
      </c>
      <c r="GF51" s="374">
        <f>GE51-GF31</f>
        <v/>
      </c>
      <c r="GG51" s="374">
        <f>GF51-GG31</f>
        <v/>
      </c>
      <c r="GH51" s="374">
        <f>GG51-GH31</f>
        <v/>
      </c>
      <c r="GI51" s="374">
        <f>GH51-GI31</f>
        <v/>
      </c>
      <c r="GJ51" s="374">
        <f>GI51-GJ31</f>
        <v/>
      </c>
      <c r="GK51" s="374">
        <f>GJ51-GK31</f>
        <v/>
      </c>
      <c r="GL51" s="374">
        <f>GK51-GL31</f>
        <v/>
      </c>
      <c r="GM51" s="374">
        <f>GL51-GM31</f>
        <v/>
      </c>
      <c r="GN51" s="374">
        <f>GM51-GN31</f>
        <v/>
      </c>
      <c r="GO51" s="374">
        <f>GN51-GO31</f>
        <v/>
      </c>
      <c r="GP51" s="374">
        <f>GO51-GP31</f>
        <v/>
      </c>
      <c r="GQ51" s="374">
        <f>GP51-GQ31</f>
        <v/>
      </c>
      <c r="GR51" s="374">
        <f>GQ51-GR31</f>
        <v/>
      </c>
      <c r="GS51" s="374">
        <f>GR51-GS31</f>
        <v/>
      </c>
      <c r="GT51" s="374">
        <f>GS51-GT31</f>
        <v/>
      </c>
      <c r="GU51" s="374">
        <f>GT51-GU31</f>
        <v/>
      </c>
      <c r="GV51" s="374">
        <f>GU51-GV31</f>
        <v/>
      </c>
      <c r="GW51" s="374">
        <f>GV51-GW31</f>
        <v/>
      </c>
      <c r="GX51" s="374">
        <f>GW51-GX31</f>
        <v/>
      </c>
      <c r="GY51" s="374">
        <f>GX51-GY31</f>
        <v/>
      </c>
      <c r="GZ51" s="374">
        <f>GY51-GZ31</f>
        <v/>
      </c>
      <c r="HA51" s="374">
        <f>GZ51-HA31</f>
        <v/>
      </c>
      <c r="HB51" s="374">
        <f>HA51-HB31</f>
        <v/>
      </c>
      <c r="HC51" s="374">
        <f>HB51-HC31</f>
        <v/>
      </c>
      <c r="HD51" s="374">
        <f>HC51-HD31</f>
        <v/>
      </c>
      <c r="HE51" s="374">
        <f>HD51-HE31</f>
        <v/>
      </c>
      <c r="HF51" s="374">
        <f>HE51-HF31</f>
        <v/>
      </c>
      <c r="HG51" s="374">
        <f>HF51-HG31</f>
        <v/>
      </c>
      <c r="HH51" s="374">
        <f>HG51-HH31</f>
        <v/>
      </c>
      <c r="HI51" s="374">
        <f>HH51-HI31</f>
        <v/>
      </c>
      <c r="HJ51" s="374">
        <f>HI51-HJ31</f>
        <v/>
      </c>
      <c r="HK51" s="374">
        <f>HJ51-HK31</f>
        <v/>
      </c>
      <c r="HL51" s="374">
        <f>HK51-HL31</f>
        <v/>
      </c>
      <c r="HM51" s="374">
        <f>HL51-HM31</f>
        <v/>
      </c>
      <c r="HN51" s="374">
        <f>HM51-HN31</f>
        <v/>
      </c>
      <c r="HO51" s="374">
        <f>HN51-HO31</f>
        <v/>
      </c>
      <c r="HP51" s="374">
        <f>HO51-HP31</f>
        <v/>
      </c>
      <c r="HQ51" s="374">
        <f>HP51-HQ31</f>
        <v/>
      </c>
      <c r="HR51" s="374">
        <f>HQ51-HR31</f>
        <v/>
      </c>
      <c r="HS51" s="374">
        <f>HR51-HS31</f>
        <v/>
      </c>
      <c r="HT51" s="374">
        <f>HS51-HT31</f>
        <v/>
      </c>
      <c r="HU51" s="374">
        <f>HT51-HU31</f>
        <v/>
      </c>
      <c r="HV51" s="374">
        <f>HU51-HV31</f>
        <v/>
      </c>
      <c r="HW51" s="374">
        <f>HV51-HW31</f>
        <v/>
      </c>
      <c r="HX51" s="374">
        <f>HW51-HX31</f>
        <v/>
      </c>
      <c r="HY51" s="374">
        <f>HX51-HY31</f>
        <v/>
      </c>
      <c r="HZ51" s="374">
        <f>HY51-HZ31</f>
        <v/>
      </c>
      <c r="IA51" s="374">
        <f>HZ51-IA31</f>
        <v/>
      </c>
      <c r="IB51" s="374">
        <f>IA51-IB31</f>
        <v/>
      </c>
      <c r="IC51" s="374">
        <f>IB51-IC31</f>
        <v/>
      </c>
      <c r="ID51" s="374">
        <f>IC51-ID31</f>
        <v/>
      </c>
      <c r="IE51" s="374">
        <f>ID51-IE31</f>
        <v/>
      </c>
      <c r="IF51" s="374">
        <f>IE51-IF31</f>
        <v/>
      </c>
      <c r="IG51" s="374">
        <f>IF51-IG31</f>
        <v/>
      </c>
      <c r="IH51" s="374">
        <f>IG51-IH31</f>
        <v/>
      </c>
      <c r="II51" s="374">
        <f>IH51-II31</f>
        <v/>
      </c>
      <c r="IJ51" s="374">
        <f>II51-IJ31</f>
        <v/>
      </c>
      <c r="IK51" s="374">
        <f>IJ51-IK31</f>
        <v/>
      </c>
      <c r="IL51" s="374">
        <f>IK51-IL31</f>
        <v/>
      </c>
      <c r="IM51" s="374">
        <f>IL51-IM31</f>
        <v/>
      </c>
      <c r="IN51" s="374">
        <f>IM51-IN31</f>
        <v/>
      </c>
      <c r="IO51" s="374">
        <f>IN51-IO31</f>
        <v/>
      </c>
      <c r="IP51" s="374">
        <f>IO51-IP31</f>
        <v/>
      </c>
      <c r="IQ51" s="374">
        <f>IP51-IQ31</f>
        <v/>
      </c>
      <c r="IR51" s="374">
        <f>IQ51-IR31</f>
        <v/>
      </c>
      <c r="IS51" s="374">
        <f>IR51-IS31</f>
        <v/>
      </c>
      <c r="IT51" s="374">
        <f>IS51-IT31</f>
        <v/>
      </c>
      <c r="IU51" s="374">
        <f>IT51-IU31</f>
        <v/>
      </c>
      <c r="IV51" s="374">
        <f>IU51-IV31</f>
        <v/>
      </c>
      <c r="IW51" s="374">
        <f>IV51-IW31</f>
        <v/>
      </c>
      <c r="IX51" s="374">
        <f>IW51-IX31</f>
        <v/>
      </c>
      <c r="IY51" s="374">
        <f>IX51-IY31</f>
        <v/>
      </c>
      <c r="IZ51" s="374">
        <f>IY51-IZ31</f>
        <v/>
      </c>
      <c r="JA51" s="374">
        <f>IZ51-JA31</f>
        <v/>
      </c>
      <c r="JB51" s="374">
        <f>JA51-JB31</f>
        <v/>
      </c>
      <c r="JC51" s="374">
        <f>JB51-JC31</f>
        <v/>
      </c>
      <c r="JD51" s="374">
        <f>JC51-JD31</f>
        <v/>
      </c>
      <c r="JE51" s="374">
        <f>JD51-JE31</f>
        <v/>
      </c>
      <c r="JF51" s="374">
        <f>JE51-JF31</f>
        <v/>
      </c>
      <c r="JG51" s="374">
        <f>JF51-JG31</f>
        <v/>
      </c>
      <c r="JH51" s="374">
        <f>JG51-JH31</f>
        <v/>
      </c>
      <c r="JI51" s="374">
        <f>JH51-JI31</f>
        <v/>
      </c>
      <c r="JJ51" s="374">
        <f>JI51-JJ31</f>
        <v/>
      </c>
      <c r="JK51" s="374">
        <f>JJ51-JK31</f>
        <v/>
      </c>
      <c r="JL51" s="374">
        <f>JK51-JL31</f>
        <v/>
      </c>
      <c r="JM51" s="374">
        <f>JL51-JM31</f>
        <v/>
      </c>
      <c r="JN51" s="374">
        <f>JM51-JN31</f>
        <v/>
      </c>
      <c r="JO51" s="374">
        <f>JN51-JO31</f>
        <v/>
      </c>
      <c r="JP51" s="374">
        <f>JO51-JP31</f>
        <v/>
      </c>
      <c r="JQ51" s="374">
        <f>JP51-JQ31</f>
        <v/>
      </c>
      <c r="JR51" s="374">
        <f>JQ51-JR31</f>
        <v/>
      </c>
      <c r="JS51" s="374">
        <f>JR51-JS31</f>
        <v/>
      </c>
      <c r="JT51" s="374">
        <f>JS51-JT31</f>
        <v/>
      </c>
      <c r="JU51" s="374">
        <f>JT51-JU31</f>
        <v/>
      </c>
      <c r="JV51" s="374">
        <f>JU51-JV31</f>
        <v/>
      </c>
      <c r="JW51" s="374">
        <f>JV51-JW31</f>
        <v/>
      </c>
      <c r="JX51" s="374">
        <f>JW51-JX31</f>
        <v/>
      </c>
      <c r="JY51" s="374">
        <f>JX51-JY31</f>
        <v/>
      </c>
      <c r="JZ51" s="374">
        <f>JY51-JZ31</f>
        <v/>
      </c>
      <c r="KA51" s="374">
        <f>JZ51-KA31</f>
        <v/>
      </c>
      <c r="KB51" s="374">
        <f>KA51-KB31</f>
        <v/>
      </c>
      <c r="KC51" s="374">
        <f>KB51-KC31</f>
        <v/>
      </c>
      <c r="KD51" s="374">
        <f>KC51-KD31</f>
        <v/>
      </c>
      <c r="KE51" s="374">
        <f>KD51-KE31</f>
        <v/>
      </c>
      <c r="KF51" s="374">
        <f>KE51-KF31</f>
        <v/>
      </c>
      <c r="KG51" s="374">
        <f>KF51-KG31</f>
        <v/>
      </c>
      <c r="KH51" s="374">
        <f>KG51-KH31</f>
        <v/>
      </c>
      <c r="KI51" s="374">
        <f>KH51-KI31</f>
        <v/>
      </c>
      <c r="KJ51" s="374">
        <f>KI51-KJ31</f>
        <v/>
      </c>
      <c r="KK51" s="374">
        <f>KJ51-KK31</f>
        <v/>
      </c>
      <c r="KL51" s="374">
        <f>KK51-KL31</f>
        <v/>
      </c>
      <c r="KM51" s="374">
        <f>KL51-KM31</f>
        <v/>
      </c>
      <c r="KN51" s="374">
        <f>KM51-KN31</f>
        <v/>
      </c>
      <c r="KO51" s="374">
        <f>KN51-KO31</f>
        <v/>
      </c>
      <c r="KP51" s="374">
        <f>KO51-KP31</f>
        <v/>
      </c>
      <c r="KQ51" s="374">
        <f>KP51-KQ31</f>
        <v/>
      </c>
      <c r="KR51" s="374">
        <f>KQ51-KR31</f>
        <v/>
      </c>
      <c r="KS51" s="374">
        <f>KR51-KS31</f>
        <v/>
      </c>
      <c r="KT51" s="374">
        <f>KS51-KT31</f>
        <v/>
      </c>
      <c r="KU51" s="374">
        <f>KT51-KU31</f>
        <v/>
      </c>
      <c r="KV51" s="374">
        <f>KU51-KV31</f>
        <v/>
      </c>
      <c r="KW51" s="374">
        <f>KV51-KW31</f>
        <v/>
      </c>
      <c r="KX51" s="374">
        <f>KW51-KX31</f>
        <v/>
      </c>
      <c r="KY51" s="374">
        <f>KX51-KY31</f>
        <v/>
      </c>
      <c r="KZ51" s="374">
        <f>KY51-KZ31</f>
        <v/>
      </c>
      <c r="LA51" s="374">
        <f>KZ51-LA31</f>
        <v/>
      </c>
      <c r="LB51" s="374">
        <f>LA51-LB31</f>
        <v/>
      </c>
      <c r="LC51" s="374">
        <f>LB51-LC31</f>
        <v/>
      </c>
      <c r="LD51" s="374">
        <f>LC51-LD31</f>
        <v/>
      </c>
      <c r="LE51" s="374">
        <f>LD51-LE31</f>
        <v/>
      </c>
      <c r="LF51" s="374">
        <f>LE51-LF31</f>
        <v/>
      </c>
      <c r="LG51" s="374">
        <f>LF51-LG31</f>
        <v/>
      </c>
      <c r="LH51" s="374">
        <f>LG51-LH31</f>
        <v/>
      </c>
      <c r="LI51" s="374">
        <f>LH51-LI31</f>
        <v/>
      </c>
      <c r="LJ51" s="374">
        <f>LI51-LJ31</f>
        <v/>
      </c>
      <c r="LK51" s="374">
        <f>LJ51-LK31</f>
        <v/>
      </c>
      <c r="LL51" s="374">
        <f>LK51-LL31</f>
        <v/>
      </c>
      <c r="LM51" s="374">
        <f>LL51-LM31</f>
        <v/>
      </c>
      <c r="LN51" s="374">
        <f>LM51-LN31</f>
        <v/>
      </c>
      <c r="LO51" s="374">
        <f>LN51-LO31</f>
        <v/>
      </c>
      <c r="LP51" s="374">
        <f>LO51-LP31</f>
        <v/>
      </c>
      <c r="LQ51" s="374">
        <f>LP51-LQ31</f>
        <v/>
      </c>
      <c r="LR51" s="374">
        <f>LQ51-LR31</f>
        <v/>
      </c>
      <c r="LS51" s="374">
        <f>LR51-LS31</f>
        <v/>
      </c>
      <c r="LT51" s="374">
        <f>LS51-LT31</f>
        <v/>
      </c>
      <c r="LU51" s="374">
        <f>LT51-LU31</f>
        <v/>
      </c>
      <c r="LV51" s="374">
        <f>LU51-LV31</f>
        <v/>
      </c>
      <c r="LW51" s="374">
        <f>LV51-LW31</f>
        <v/>
      </c>
      <c r="LX51" s="374">
        <f>LW51-LX31</f>
        <v/>
      </c>
      <c r="LY51" s="374">
        <f>LX51-LY31</f>
        <v/>
      </c>
      <c r="LZ51" s="374">
        <f>LY51-LZ31</f>
        <v/>
      </c>
      <c r="MA51" s="374">
        <f>LZ51-MA31</f>
        <v/>
      </c>
      <c r="MB51" s="374">
        <f>MA51-MB31</f>
        <v/>
      </c>
      <c r="MC51" s="374">
        <f>MB51-MC31</f>
        <v/>
      </c>
      <c r="MD51" s="374">
        <f>MC51-MD31</f>
        <v/>
      </c>
      <c r="ME51" s="374">
        <f>MD51-ME31</f>
        <v/>
      </c>
      <c r="MF51" s="374">
        <f>ME51-MF31</f>
        <v/>
      </c>
      <c r="MG51" s="374">
        <f>MF51-MG31</f>
        <v/>
      </c>
      <c r="MH51" s="374">
        <f>MG51-MH31</f>
        <v/>
      </c>
      <c r="MI51" s="374">
        <f>MH51-MI31</f>
        <v/>
      </c>
      <c r="MJ51" s="374">
        <f>MI51-MJ31</f>
        <v/>
      </c>
      <c r="MK51" s="374">
        <f>MJ51-MK31</f>
        <v/>
      </c>
      <c r="ML51" s="374">
        <f>MK51-ML31</f>
        <v/>
      </c>
      <c r="MM51" s="374">
        <f>ML51-MM31</f>
        <v/>
      </c>
      <c r="MN51" s="374">
        <f>MM51-MN31</f>
        <v/>
      </c>
      <c r="MO51" s="374">
        <f>MN51-MO31</f>
        <v/>
      </c>
      <c r="MP51" s="374">
        <f>MO51-MP31</f>
        <v/>
      </c>
      <c r="MQ51" s="374">
        <f>MP51-MQ31</f>
        <v/>
      </c>
      <c r="MR51" s="374">
        <f>MQ51-MR31</f>
        <v/>
      </c>
      <c r="MS51" s="374">
        <f>MR51-MS31</f>
        <v/>
      </c>
      <c r="MT51" s="374">
        <f>MS51-MT31</f>
        <v/>
      </c>
      <c r="MU51" s="374">
        <f>MT51-MU31</f>
        <v/>
      </c>
      <c r="MV51" s="374">
        <f>MU51-MV31</f>
        <v/>
      </c>
      <c r="MW51" s="374">
        <f>MV51-MW31</f>
        <v/>
      </c>
      <c r="MX51" s="374">
        <f>MW51-MX31</f>
        <v/>
      </c>
      <c r="MY51" s="374">
        <f>MX51-MY31</f>
        <v/>
      </c>
      <c r="MZ51" s="374">
        <f>MY51-MZ31</f>
        <v/>
      </c>
      <c r="NA51" s="374">
        <f>MZ51-NA31</f>
        <v/>
      </c>
      <c r="NB51" s="374">
        <f>NA51-NB31</f>
        <v/>
      </c>
      <c r="NC51" s="374">
        <f>NB51-NC31</f>
        <v/>
      </c>
      <c r="ND51" s="374">
        <f>NC51-ND31</f>
        <v/>
      </c>
      <c r="NE51" s="374">
        <f>ND51-NE31</f>
        <v/>
      </c>
      <c r="NF51" s="374">
        <f>NE51-NF31</f>
        <v/>
      </c>
      <c r="NG51" s="374">
        <f>NF51-NG31</f>
        <v/>
      </c>
      <c r="NH51" s="374">
        <f>NG51-NH31</f>
        <v/>
      </c>
      <c r="NI51" s="374">
        <f>NH51-NI31</f>
        <v/>
      </c>
      <c r="NJ51" s="374">
        <f>NI51-NJ31</f>
        <v/>
      </c>
      <c r="NK51" s="374">
        <f>NJ51-NK31</f>
        <v/>
      </c>
      <c r="NL51" s="374">
        <f>NK51-NL31</f>
        <v/>
      </c>
    </row>
    <row r="52">
      <c r="B52" s="310" t="inlineStr">
        <is>
          <t>Ref Loan Balance (LTC interest estimate)</t>
        </is>
      </c>
      <c r="E52" s="374">
        <f>TargetLTC*ConCostBasis*(DevSpend!E$100/DevSpend!$D$100)</f>
        <v/>
      </c>
      <c r="F52" s="374">
        <f>E52+TargetLTC*ConCostBasis*(DevSpend!F$100/DevSpend!$D$100)+F53</f>
        <v/>
      </c>
      <c r="G52" s="374">
        <f>F52+TargetLTC*ConCostBasis*(DevSpend!G$100/DevSpend!$D$100)+G53</f>
        <v/>
      </c>
      <c r="H52" s="374">
        <f>G52+TargetLTC*ConCostBasis*(DevSpend!H$100/DevSpend!$D$100)+H53</f>
        <v/>
      </c>
      <c r="I52" s="374">
        <f>H52+TargetLTC*ConCostBasis*(DevSpend!I$100/DevSpend!$D$100)+I53</f>
        <v/>
      </c>
      <c r="J52" s="374">
        <f>I52+TargetLTC*ConCostBasis*(DevSpend!J$100/DevSpend!$D$100)+J53</f>
        <v/>
      </c>
      <c r="K52" s="374">
        <f>J52+TargetLTC*ConCostBasis*(DevSpend!K$100/DevSpend!$D$100)+K53</f>
        <v/>
      </c>
      <c r="L52" s="374">
        <f>K52+TargetLTC*ConCostBasis*(DevSpend!L$100/DevSpend!$D$100)+L53</f>
        <v/>
      </c>
      <c r="M52" s="374">
        <f>L52+TargetLTC*ConCostBasis*(DevSpend!M$100/DevSpend!$D$100)+M53</f>
        <v/>
      </c>
      <c r="N52" s="374">
        <f>M52+TargetLTC*ConCostBasis*(DevSpend!N$100/DevSpend!$D$100)+N53</f>
        <v/>
      </c>
      <c r="O52" s="374">
        <f>N52+TargetLTC*ConCostBasis*(DevSpend!O$100/DevSpend!$D$100)+O53</f>
        <v/>
      </c>
      <c r="P52" s="374">
        <f>O52+TargetLTC*ConCostBasis*(DevSpend!P$100/DevSpend!$D$100)+P53</f>
        <v/>
      </c>
      <c r="Q52" s="374">
        <f>P52+TargetLTC*ConCostBasis*(DevSpend!Q$100/DevSpend!$D$100)+Q53</f>
        <v/>
      </c>
      <c r="R52" s="374">
        <f>Q52+TargetLTC*ConCostBasis*(DevSpend!R$100/DevSpend!$D$100)+R53</f>
        <v/>
      </c>
      <c r="S52" s="374">
        <f>R52+TargetLTC*ConCostBasis*(DevSpend!S$100/DevSpend!$D$100)+S53</f>
        <v/>
      </c>
      <c r="T52" s="374">
        <f>S52+TargetLTC*ConCostBasis*(DevSpend!T$100/DevSpend!$D$100)+T53</f>
        <v/>
      </c>
      <c r="U52" s="374">
        <f>T52+TargetLTC*ConCostBasis*(DevSpend!U$100/DevSpend!$D$100)+U53</f>
        <v/>
      </c>
      <c r="V52" s="374">
        <f>U52+TargetLTC*ConCostBasis*(DevSpend!V$100/DevSpend!$D$100)+V53</f>
        <v/>
      </c>
      <c r="W52" s="374">
        <f>V52+TargetLTC*ConCostBasis*(DevSpend!W$100/DevSpend!$D$100)+W53</f>
        <v/>
      </c>
      <c r="X52" s="374">
        <f>W52+TargetLTC*ConCostBasis*(DevSpend!X$100/DevSpend!$D$100)+X53</f>
        <v/>
      </c>
      <c r="Y52" s="374">
        <f>X52+TargetLTC*ConCostBasis*(DevSpend!Y$100/DevSpend!$D$100)+Y53</f>
        <v/>
      </c>
      <c r="Z52" s="374">
        <f>Y52+TargetLTC*ConCostBasis*(DevSpend!Z$100/DevSpend!$D$100)+Z53</f>
        <v/>
      </c>
      <c r="AA52" s="374">
        <f>Z52+TargetLTC*ConCostBasis*(DevSpend!AA$100/DevSpend!$D$100)+AA53</f>
        <v/>
      </c>
      <c r="AB52" s="374">
        <f>AA52+TargetLTC*ConCostBasis*(DevSpend!AB$100/DevSpend!$D$100)+AB53</f>
        <v/>
      </c>
      <c r="AC52" s="374">
        <f>AB52+TargetLTC*ConCostBasis*(DevSpend!AC$100/DevSpend!$D$100)+AC53</f>
        <v/>
      </c>
      <c r="AD52" s="374">
        <f>AC52+TargetLTC*ConCostBasis*(DevSpend!AD$100/DevSpend!$D$100)+AD53</f>
        <v/>
      </c>
      <c r="AE52" s="374">
        <f>AD52+TargetLTC*ConCostBasis*(DevSpend!AE$100/DevSpend!$D$100)+AE53</f>
        <v/>
      </c>
      <c r="AF52" s="374">
        <f>AE52+TargetLTC*ConCostBasis*(DevSpend!AF$100/DevSpend!$D$100)+AF53</f>
        <v/>
      </c>
      <c r="AG52" s="374">
        <f>AF52+TargetLTC*ConCostBasis*(DevSpend!AG$100/DevSpend!$D$100)+AG53</f>
        <v/>
      </c>
      <c r="AH52" s="374">
        <f>AG52+TargetLTC*ConCostBasis*(DevSpend!AH$100/DevSpend!$D$100)+AH53</f>
        <v/>
      </c>
      <c r="AI52" s="374">
        <f>AH52+TargetLTC*ConCostBasis*(DevSpend!AI$100/DevSpend!$D$100)+AI53</f>
        <v/>
      </c>
      <c r="AJ52" s="374">
        <f>AI52+TargetLTC*ConCostBasis*(DevSpend!AJ$100/DevSpend!$D$100)+AJ53</f>
        <v/>
      </c>
      <c r="AK52" s="374">
        <f>AJ52+TargetLTC*ConCostBasis*(DevSpend!AK$100/DevSpend!$D$100)+AK53</f>
        <v/>
      </c>
      <c r="AL52" s="374">
        <f>AK52+TargetLTC*ConCostBasis*(DevSpend!AL$100/DevSpend!$D$100)+AL53</f>
        <v/>
      </c>
      <c r="AM52" s="374">
        <f>AL52+TargetLTC*ConCostBasis*(DevSpend!AM$100/DevSpend!$D$100)+AM53</f>
        <v/>
      </c>
      <c r="AN52" s="374">
        <f>AM52+TargetLTC*ConCostBasis*(DevSpend!AN$100/DevSpend!$D$100)+AN53</f>
        <v/>
      </c>
      <c r="AO52" s="374">
        <f>AN52+TargetLTC*ConCostBasis*(DevSpend!AO$100/DevSpend!$D$100)+AO53</f>
        <v/>
      </c>
      <c r="AP52" s="374">
        <f>AO52+TargetLTC*ConCostBasis*(DevSpend!AP$100/DevSpend!$D$100)+AP53</f>
        <v/>
      </c>
      <c r="AQ52" s="374">
        <f>AP52+TargetLTC*ConCostBasis*(DevSpend!AQ$100/DevSpend!$D$100)+AQ53</f>
        <v/>
      </c>
      <c r="AR52" s="374">
        <f>AQ52+TargetLTC*ConCostBasis*(DevSpend!AR$100/DevSpend!$D$100)+AR53</f>
        <v/>
      </c>
      <c r="AS52" s="374">
        <f>AR52+TargetLTC*ConCostBasis*(DevSpend!AS$100/DevSpend!$D$100)+AS53</f>
        <v/>
      </c>
      <c r="AT52" s="374">
        <f>AS52+TargetLTC*ConCostBasis*(DevSpend!AT$100/DevSpend!$D$100)+AT53</f>
        <v/>
      </c>
      <c r="AU52" s="374">
        <f>AT52+TargetLTC*ConCostBasis*(DevSpend!AU$100/DevSpend!$D$100)+AU53</f>
        <v/>
      </c>
      <c r="AV52" s="374">
        <f>AU52+TargetLTC*ConCostBasis*(DevSpend!AV$100/DevSpend!$D$100)+AV53</f>
        <v/>
      </c>
      <c r="AW52" s="374">
        <f>AV52+TargetLTC*ConCostBasis*(DevSpend!AW$100/DevSpend!$D$100)+AW53</f>
        <v/>
      </c>
      <c r="AX52" s="374">
        <f>AW52+TargetLTC*ConCostBasis*(DevSpend!AX$100/DevSpend!$D$100)+AX53</f>
        <v/>
      </c>
      <c r="AY52" s="374">
        <f>AX52+TargetLTC*ConCostBasis*(DevSpend!AY$100/DevSpend!$D$100)+AY53</f>
        <v/>
      </c>
      <c r="AZ52" s="374">
        <f>AY52+TargetLTC*ConCostBasis*(DevSpend!AZ$100/DevSpend!$D$100)+AZ53</f>
        <v/>
      </c>
      <c r="BA52" s="374">
        <f>AZ52+TargetLTC*ConCostBasis*(DevSpend!BA$100/DevSpend!$D$100)+BA53</f>
        <v/>
      </c>
      <c r="BB52" s="374">
        <f>BA52+TargetLTC*ConCostBasis*(DevSpend!BB$100/DevSpend!$D$100)+BB53</f>
        <v/>
      </c>
      <c r="BC52" s="374">
        <f>BB52+TargetLTC*ConCostBasis*(DevSpend!BC$100/DevSpend!$D$100)+BC53</f>
        <v/>
      </c>
      <c r="BD52" s="374">
        <f>BC52+TargetLTC*ConCostBasis*(DevSpend!BD$100/DevSpend!$D$100)+BD53</f>
        <v/>
      </c>
      <c r="BE52" s="374">
        <f>BD52+TargetLTC*ConCostBasis*(DevSpend!BE$100/DevSpend!$D$100)+BE53</f>
        <v/>
      </c>
      <c r="BF52" s="374">
        <f>BE52+TargetLTC*ConCostBasis*(DevSpend!BF$100/DevSpend!$D$100)+BF53</f>
        <v/>
      </c>
      <c r="BG52" s="374">
        <f>BF52+TargetLTC*ConCostBasis*(DevSpend!BG$100/DevSpend!$D$100)+BG53</f>
        <v/>
      </c>
      <c r="BH52" s="374">
        <f>BG52+TargetLTC*ConCostBasis*(DevSpend!BH$100/DevSpend!$D$100)+BH53</f>
        <v/>
      </c>
      <c r="BI52" s="374">
        <f>BH52+TargetLTC*ConCostBasis*(DevSpend!BI$100/DevSpend!$D$100)+BI53</f>
        <v/>
      </c>
      <c r="BJ52" s="374">
        <f>BI52+TargetLTC*ConCostBasis*(DevSpend!BJ$100/DevSpend!$D$100)+BJ53</f>
        <v/>
      </c>
      <c r="BK52" s="374">
        <f>BJ52+TargetLTC*ConCostBasis*(DevSpend!BK$100/DevSpend!$D$100)+BK53</f>
        <v/>
      </c>
      <c r="BL52" s="374">
        <f>BK52+TargetLTC*ConCostBasis*(DevSpend!BL$100/DevSpend!$D$100)+BL53</f>
        <v/>
      </c>
      <c r="BM52" s="374">
        <f>BL52+TargetLTC*ConCostBasis*(DevSpend!BM$100/DevSpend!$D$100)+BM53</f>
        <v/>
      </c>
      <c r="BN52" s="374">
        <f>BM52+TargetLTC*ConCostBasis*(DevSpend!BN$100/DevSpend!$D$100)+BN53</f>
        <v/>
      </c>
      <c r="BO52" s="374">
        <f>BN52+TargetLTC*ConCostBasis*(DevSpend!BO$100/DevSpend!$D$100)+BO53</f>
        <v/>
      </c>
      <c r="BP52" s="374">
        <f>BO52+TargetLTC*ConCostBasis*(DevSpend!BP$100/DevSpend!$D$100)+BP53</f>
        <v/>
      </c>
      <c r="BQ52" s="374">
        <f>BP52+TargetLTC*ConCostBasis*(DevSpend!BQ$100/DevSpend!$D$100)+BQ53</f>
        <v/>
      </c>
      <c r="BR52" s="374">
        <f>BQ52+TargetLTC*ConCostBasis*(DevSpend!BR$100/DevSpend!$D$100)+BR53</f>
        <v/>
      </c>
      <c r="BS52" s="374">
        <f>BR52+TargetLTC*ConCostBasis*(DevSpend!BS$100/DevSpend!$D$100)+BS53</f>
        <v/>
      </c>
      <c r="BT52" s="374">
        <f>BS52+TargetLTC*ConCostBasis*(DevSpend!BT$100/DevSpend!$D$100)+BT53</f>
        <v/>
      </c>
      <c r="BU52" s="374">
        <f>BT52+TargetLTC*ConCostBasis*(DevSpend!BU$100/DevSpend!$D$100)+BU53</f>
        <v/>
      </c>
      <c r="BV52" s="374">
        <f>BU52+TargetLTC*ConCostBasis*(DevSpend!BV$100/DevSpend!$D$100)+BV53</f>
        <v/>
      </c>
      <c r="BW52" s="374">
        <f>BV52+TargetLTC*ConCostBasis*(DevSpend!BW$100/DevSpend!$D$100)+BW53</f>
        <v/>
      </c>
      <c r="BX52" s="374">
        <f>BW52+TargetLTC*ConCostBasis*(DevSpend!BX$100/DevSpend!$D$100)+BX53</f>
        <v/>
      </c>
      <c r="BY52" s="374">
        <f>BX52+TargetLTC*ConCostBasis*(DevSpend!BY$100/DevSpend!$D$100)+BY53</f>
        <v/>
      </c>
      <c r="BZ52" s="374">
        <f>BY52+TargetLTC*ConCostBasis*(DevSpend!BZ$100/DevSpend!$D$100)+BZ53</f>
        <v/>
      </c>
      <c r="CA52" s="374">
        <f>BZ52+TargetLTC*ConCostBasis*(DevSpend!CA$100/DevSpend!$D$100)+CA53</f>
        <v/>
      </c>
      <c r="CB52" s="374">
        <f>CA52+TargetLTC*ConCostBasis*(DevSpend!CB$100/DevSpend!$D$100)+CB53</f>
        <v/>
      </c>
      <c r="CC52" s="374">
        <f>CB52+TargetLTC*ConCostBasis*(DevSpend!CC$100/DevSpend!$D$100)+CC53</f>
        <v/>
      </c>
      <c r="CD52" s="374">
        <f>CC52+TargetLTC*ConCostBasis*(DevSpend!CD$100/DevSpend!$D$100)+CD53</f>
        <v/>
      </c>
      <c r="CE52" s="374">
        <f>CD52+TargetLTC*ConCostBasis*(DevSpend!CE$100/DevSpend!$D$100)+CE53</f>
        <v/>
      </c>
      <c r="CF52" s="374">
        <f>CE52+TargetLTC*ConCostBasis*(DevSpend!CF$100/DevSpend!$D$100)+CF53</f>
        <v/>
      </c>
      <c r="CG52" s="374">
        <f>CF52+TargetLTC*ConCostBasis*(DevSpend!CG$100/DevSpend!$D$100)+CG53</f>
        <v/>
      </c>
      <c r="CH52" s="374">
        <f>CG52+TargetLTC*ConCostBasis*(DevSpend!CH$100/DevSpend!$D$100)+CH53</f>
        <v/>
      </c>
      <c r="CI52" s="374">
        <f>CH52+TargetLTC*ConCostBasis*(DevSpend!CI$100/DevSpend!$D$100)+CI53</f>
        <v/>
      </c>
      <c r="CJ52" s="374">
        <f>CI52+TargetLTC*ConCostBasis*(DevSpend!CJ$100/DevSpend!$D$100)+CJ53</f>
        <v/>
      </c>
      <c r="CK52" s="374">
        <f>CJ52+TargetLTC*ConCostBasis*(DevSpend!CK$100/DevSpend!$D$100)+CK53</f>
        <v/>
      </c>
      <c r="CL52" s="374">
        <f>CK52+TargetLTC*ConCostBasis*(DevSpend!CL$100/DevSpend!$D$100)+CL53</f>
        <v/>
      </c>
      <c r="CM52" s="374">
        <f>CL52+TargetLTC*ConCostBasis*(DevSpend!CM$100/DevSpend!$D$100)+CM53</f>
        <v/>
      </c>
      <c r="CN52" s="374">
        <f>CM52+TargetLTC*ConCostBasis*(DevSpend!CN$100/DevSpend!$D$100)+CN53</f>
        <v/>
      </c>
      <c r="CO52" s="374">
        <f>CN52+TargetLTC*ConCostBasis*(DevSpend!CO$100/DevSpend!$D$100)+CO53</f>
        <v/>
      </c>
      <c r="CP52" s="374">
        <f>CO52+TargetLTC*ConCostBasis*(DevSpend!CP$100/DevSpend!$D$100)+CP53</f>
        <v/>
      </c>
      <c r="CQ52" s="374">
        <f>CP52+TargetLTC*ConCostBasis*(DevSpend!CQ$100/DevSpend!$D$100)+CQ53</f>
        <v/>
      </c>
      <c r="CR52" s="374">
        <f>CQ52+TargetLTC*ConCostBasis*(DevSpend!CR$100/DevSpend!$D$100)+CR53</f>
        <v/>
      </c>
      <c r="CS52" s="374">
        <f>CR52+TargetLTC*ConCostBasis*(DevSpend!CS$100/DevSpend!$D$100)+CS53</f>
        <v/>
      </c>
      <c r="CT52" s="374">
        <f>CS52+TargetLTC*ConCostBasis*(DevSpend!CT$100/DevSpend!$D$100)+CT53</f>
        <v/>
      </c>
      <c r="CU52" s="374">
        <f>CT52+TargetLTC*ConCostBasis*(DevSpend!CU$100/DevSpend!$D$100)+CU53</f>
        <v/>
      </c>
      <c r="CV52" s="374">
        <f>CU52+TargetLTC*ConCostBasis*(DevSpend!CV$100/DevSpend!$D$100)+CV53</f>
        <v/>
      </c>
      <c r="CW52" s="374">
        <f>CV52+TargetLTC*ConCostBasis*(DevSpend!CW$100/DevSpend!$D$100)+CW53</f>
        <v/>
      </c>
      <c r="CX52" s="374">
        <f>CW52+TargetLTC*ConCostBasis*(DevSpend!CX$100/DevSpend!$D$100)+CX53</f>
        <v/>
      </c>
      <c r="CY52" s="374">
        <f>CX52+TargetLTC*ConCostBasis*(DevSpend!CY$100/DevSpend!$D$100)+CY53</f>
        <v/>
      </c>
      <c r="CZ52" s="374">
        <f>CY52+TargetLTC*ConCostBasis*(DevSpend!CZ$100/DevSpend!$D$100)+CZ53</f>
        <v/>
      </c>
      <c r="DA52" s="374">
        <f>CZ52+TargetLTC*ConCostBasis*(DevSpend!DA$100/DevSpend!$D$100)+DA53</f>
        <v/>
      </c>
      <c r="DB52" s="374">
        <f>DA52+TargetLTC*ConCostBasis*(DevSpend!DB$100/DevSpend!$D$100)+DB53</f>
        <v/>
      </c>
      <c r="DC52" s="374">
        <f>DB52+TargetLTC*ConCostBasis*(DevSpend!DC$100/DevSpend!$D$100)+DC53</f>
        <v/>
      </c>
      <c r="DD52" s="374">
        <f>DC52+TargetLTC*ConCostBasis*(DevSpend!DD$100/DevSpend!$D$100)+DD53</f>
        <v/>
      </c>
      <c r="DE52" s="374">
        <f>DD52+TargetLTC*ConCostBasis*(DevSpend!DE$100/DevSpend!$D$100)+DE53</f>
        <v/>
      </c>
      <c r="DF52" s="374">
        <f>DE52+TargetLTC*ConCostBasis*(DevSpend!DF$100/DevSpend!$D$100)+DF53</f>
        <v/>
      </c>
      <c r="DG52" s="374">
        <f>DF52+TargetLTC*ConCostBasis*(DevSpend!DG$100/DevSpend!$D$100)+DG53</f>
        <v/>
      </c>
      <c r="DH52" s="374">
        <f>DG52+TargetLTC*ConCostBasis*(DevSpend!DH$100/DevSpend!$D$100)+DH53</f>
        <v/>
      </c>
      <c r="DI52" s="374">
        <f>DH52+TargetLTC*ConCostBasis*(DevSpend!DI$100/DevSpend!$D$100)+DI53</f>
        <v/>
      </c>
      <c r="DJ52" s="374">
        <f>DI52+TargetLTC*ConCostBasis*(DevSpend!DJ$100/DevSpend!$D$100)+DJ53</f>
        <v/>
      </c>
      <c r="DK52" s="374">
        <f>DJ52+TargetLTC*ConCostBasis*(DevSpend!DK$100/DevSpend!$D$100)+DK53</f>
        <v/>
      </c>
      <c r="DL52" s="374">
        <f>DK52+TargetLTC*ConCostBasis*(DevSpend!DL$100/DevSpend!$D$100)+DL53</f>
        <v/>
      </c>
      <c r="DM52" s="374">
        <f>DL52+TargetLTC*ConCostBasis*(DevSpend!DM$100/DevSpend!$D$100)+DM53</f>
        <v/>
      </c>
      <c r="DN52" s="374">
        <f>DM52+TargetLTC*ConCostBasis*(DevSpend!DN$100/DevSpend!$D$100)+DN53</f>
        <v/>
      </c>
      <c r="DO52" s="374">
        <f>DN52+TargetLTC*ConCostBasis*(DevSpend!DO$100/DevSpend!$D$100)+DO53</f>
        <v/>
      </c>
      <c r="DP52" s="374">
        <f>DO52+TargetLTC*ConCostBasis*(DevSpend!DP$100/DevSpend!$D$100)+DP53</f>
        <v/>
      </c>
      <c r="DQ52" s="374">
        <f>DP52+TargetLTC*ConCostBasis*(DevSpend!DQ$100/DevSpend!$D$100)+DQ53</f>
        <v/>
      </c>
      <c r="DR52" s="374">
        <f>DQ52+TargetLTC*ConCostBasis*(DevSpend!DR$100/DevSpend!$D$100)+DR53</f>
        <v/>
      </c>
      <c r="DS52" s="374">
        <f>DR52+TargetLTC*ConCostBasis*(DevSpend!DS$100/DevSpend!$D$100)+DS53</f>
        <v/>
      </c>
      <c r="DT52" s="374">
        <f>DS52+TargetLTC*ConCostBasis*(DevSpend!DT$100/DevSpend!$D$100)+DT53</f>
        <v/>
      </c>
      <c r="DU52" s="374">
        <f>DT52+TargetLTC*ConCostBasis*(DevSpend!DU$100/DevSpend!$D$100)+DU53</f>
        <v/>
      </c>
      <c r="DV52" s="374">
        <f>DU52+TargetLTC*ConCostBasis*(DevSpend!DV$100/DevSpend!$D$100)+DV53</f>
        <v/>
      </c>
      <c r="DW52" s="374">
        <f>DV52+TargetLTC*ConCostBasis*(DevSpend!DW$100/DevSpend!$D$100)+DW53</f>
        <v/>
      </c>
      <c r="DX52" s="374">
        <f>DW52+TargetLTC*ConCostBasis*(DevSpend!DX$100/DevSpend!$D$100)+DX53</f>
        <v/>
      </c>
      <c r="DY52" s="374">
        <f>DX52+TargetLTC*ConCostBasis*(DevSpend!DY$100/DevSpend!$D$100)+DY53</f>
        <v/>
      </c>
      <c r="DZ52" s="374">
        <f>DY52+TargetLTC*ConCostBasis*(DevSpend!DZ$100/DevSpend!$D$100)+DZ53</f>
        <v/>
      </c>
      <c r="EA52" s="374">
        <f>DZ52+TargetLTC*ConCostBasis*(DevSpend!EA$100/DevSpend!$D$100)+EA53</f>
        <v/>
      </c>
      <c r="EB52" s="374">
        <f>EA52+TargetLTC*ConCostBasis*(DevSpend!EB$100/DevSpend!$D$100)+EB53</f>
        <v/>
      </c>
      <c r="EC52" s="374">
        <f>EB52+TargetLTC*ConCostBasis*(DevSpend!EC$100/DevSpend!$D$100)+EC53</f>
        <v/>
      </c>
      <c r="ED52" s="374">
        <f>EC52+TargetLTC*ConCostBasis*(DevSpend!ED$100/DevSpend!$D$100)+ED53</f>
        <v/>
      </c>
      <c r="EE52" s="374">
        <f>ED52+TargetLTC*ConCostBasis*(DevSpend!EE$100/DevSpend!$D$100)+EE53</f>
        <v/>
      </c>
      <c r="EF52" s="374">
        <f>EE52+TargetLTC*ConCostBasis*(DevSpend!EF$100/DevSpend!$D$100)+EF53</f>
        <v/>
      </c>
      <c r="EG52" s="374">
        <f>EF52+TargetLTC*ConCostBasis*(DevSpend!EG$100/DevSpend!$D$100)+EG53</f>
        <v/>
      </c>
      <c r="EH52" s="374">
        <f>EG52+TargetLTC*ConCostBasis*(DevSpend!EH$100/DevSpend!$D$100)+EH53</f>
        <v/>
      </c>
      <c r="EI52" s="374">
        <f>EH52+TargetLTC*ConCostBasis*(DevSpend!EI$100/DevSpend!$D$100)+EI53</f>
        <v/>
      </c>
      <c r="EJ52" s="374">
        <f>EI52+TargetLTC*ConCostBasis*(DevSpend!EJ$100/DevSpend!$D$100)+EJ53</f>
        <v/>
      </c>
      <c r="EK52" s="374">
        <f>EJ52+TargetLTC*ConCostBasis*(DevSpend!EK$100/DevSpend!$D$100)+EK53</f>
        <v/>
      </c>
      <c r="EL52" s="374">
        <f>EK52+TargetLTC*ConCostBasis*(DevSpend!EL$100/DevSpend!$D$100)+EL53</f>
        <v/>
      </c>
      <c r="EM52" s="374">
        <f>EL52+TargetLTC*ConCostBasis*(DevSpend!EM$100/DevSpend!$D$100)+EM53</f>
        <v/>
      </c>
      <c r="EN52" s="374">
        <f>EM52+TargetLTC*ConCostBasis*(DevSpend!EN$100/DevSpend!$D$100)+EN53</f>
        <v/>
      </c>
      <c r="EO52" s="374">
        <f>EN52+TargetLTC*ConCostBasis*(DevSpend!EO$100/DevSpend!$D$100)+EO53</f>
        <v/>
      </c>
      <c r="EP52" s="374">
        <f>EO52+TargetLTC*ConCostBasis*(DevSpend!EP$100/DevSpend!$D$100)+EP53</f>
        <v/>
      </c>
      <c r="EQ52" s="374">
        <f>EP52+TargetLTC*ConCostBasis*(DevSpend!EQ$100/DevSpend!$D$100)+EQ53</f>
        <v/>
      </c>
      <c r="ER52" s="374">
        <f>EQ52+TargetLTC*ConCostBasis*(DevSpend!ER$100/DevSpend!$D$100)+ER53</f>
        <v/>
      </c>
      <c r="ES52" s="374">
        <f>ER52+TargetLTC*ConCostBasis*(DevSpend!ES$100/DevSpend!$D$100)+ES53</f>
        <v/>
      </c>
      <c r="ET52" s="374">
        <f>ES52+TargetLTC*ConCostBasis*(DevSpend!ET$100/DevSpend!$D$100)+ET53</f>
        <v/>
      </c>
      <c r="EU52" s="374">
        <f>ET52+TargetLTC*ConCostBasis*(DevSpend!EU$100/DevSpend!$D$100)+EU53</f>
        <v/>
      </c>
      <c r="EV52" s="374">
        <f>EU52+TargetLTC*ConCostBasis*(DevSpend!EV$100/DevSpend!$D$100)+EV53</f>
        <v/>
      </c>
      <c r="EW52" s="374">
        <f>EV52+TargetLTC*ConCostBasis*(DevSpend!EW$100/DevSpend!$D$100)+EW53</f>
        <v/>
      </c>
      <c r="EX52" s="374">
        <f>EW52+TargetLTC*ConCostBasis*(DevSpend!EX$100/DevSpend!$D$100)+EX53</f>
        <v/>
      </c>
      <c r="EY52" s="374">
        <f>EX52+TargetLTC*ConCostBasis*(DevSpend!EY$100/DevSpend!$D$100)+EY53</f>
        <v/>
      </c>
      <c r="EZ52" s="374">
        <f>EY52+TargetLTC*ConCostBasis*(DevSpend!EZ$100/DevSpend!$D$100)+EZ53</f>
        <v/>
      </c>
      <c r="FA52" s="374">
        <f>EZ52+TargetLTC*ConCostBasis*(DevSpend!FA$100/DevSpend!$D$100)+FA53</f>
        <v/>
      </c>
      <c r="FB52" s="374">
        <f>FA52+TargetLTC*ConCostBasis*(DevSpend!FB$100/DevSpend!$D$100)+FB53</f>
        <v/>
      </c>
      <c r="FC52" s="374">
        <f>FB52+TargetLTC*ConCostBasis*(DevSpend!FC$100/DevSpend!$D$100)+FC53</f>
        <v/>
      </c>
      <c r="FD52" s="374">
        <f>FC52+TargetLTC*ConCostBasis*(DevSpend!FD$100/DevSpend!$D$100)+FD53</f>
        <v/>
      </c>
      <c r="FE52" s="374">
        <f>FD52+TargetLTC*ConCostBasis*(DevSpend!FE$100/DevSpend!$D$100)+FE53</f>
        <v/>
      </c>
      <c r="FF52" s="374">
        <f>FE52+TargetLTC*ConCostBasis*(DevSpend!FF$100/DevSpend!$D$100)+FF53</f>
        <v/>
      </c>
      <c r="FG52" s="374">
        <f>FF52+TargetLTC*ConCostBasis*(DevSpend!FG$100/DevSpend!$D$100)+FG53</f>
        <v/>
      </c>
      <c r="FH52" s="374">
        <f>FG52+TargetLTC*ConCostBasis*(DevSpend!FH$100/DevSpend!$D$100)+FH53</f>
        <v/>
      </c>
      <c r="FI52" s="374">
        <f>FH52+TargetLTC*ConCostBasis*(DevSpend!FI$100/DevSpend!$D$100)+FI53</f>
        <v/>
      </c>
      <c r="FJ52" s="374">
        <f>FI52+TargetLTC*ConCostBasis*(DevSpend!FJ$100/DevSpend!$D$100)+FJ53</f>
        <v/>
      </c>
      <c r="FK52" s="374">
        <f>FJ52+TargetLTC*ConCostBasis*(DevSpend!FK$100/DevSpend!$D$100)+FK53</f>
        <v/>
      </c>
      <c r="FL52" s="374">
        <f>FK52+TargetLTC*ConCostBasis*(DevSpend!FL$100/DevSpend!$D$100)+FL53</f>
        <v/>
      </c>
      <c r="FM52" s="374">
        <f>FL52+TargetLTC*ConCostBasis*(DevSpend!FM$100/DevSpend!$D$100)+FM53</f>
        <v/>
      </c>
      <c r="FN52" s="374">
        <f>FM52+TargetLTC*ConCostBasis*(DevSpend!FN$100/DevSpend!$D$100)+FN53</f>
        <v/>
      </c>
      <c r="FO52" s="374">
        <f>FN52+TargetLTC*ConCostBasis*(DevSpend!FO$100/DevSpend!$D$100)+FO53</f>
        <v/>
      </c>
      <c r="FP52" s="374">
        <f>FO52+TargetLTC*ConCostBasis*(DevSpend!FP$100/DevSpend!$D$100)+FP53</f>
        <v/>
      </c>
      <c r="FQ52" s="374">
        <f>FP52+TargetLTC*ConCostBasis*(DevSpend!FQ$100/DevSpend!$D$100)+FQ53</f>
        <v/>
      </c>
      <c r="FR52" s="374">
        <f>FQ52+TargetLTC*ConCostBasis*(DevSpend!FR$100/DevSpend!$D$100)+FR53</f>
        <v/>
      </c>
      <c r="FS52" s="374">
        <f>FR52+TargetLTC*ConCostBasis*(DevSpend!FS$100/DevSpend!$D$100)+FS53</f>
        <v/>
      </c>
      <c r="FT52" s="374">
        <f>FS52+TargetLTC*ConCostBasis*(DevSpend!FT$100/DevSpend!$D$100)+FT53</f>
        <v/>
      </c>
      <c r="FU52" s="374">
        <f>FT52+TargetLTC*ConCostBasis*(DevSpend!FU$100/DevSpend!$D$100)+FU53</f>
        <v/>
      </c>
      <c r="FV52" s="374">
        <f>FU52+TargetLTC*ConCostBasis*(DevSpend!FV$100/DevSpend!$D$100)+FV53</f>
        <v/>
      </c>
      <c r="FW52" s="374">
        <f>FV52+TargetLTC*ConCostBasis*(DevSpend!FW$100/DevSpend!$D$100)+FW53</f>
        <v/>
      </c>
      <c r="FX52" s="374">
        <f>FW52+TargetLTC*ConCostBasis*(DevSpend!FX$100/DevSpend!$D$100)+FX53</f>
        <v/>
      </c>
      <c r="FY52" s="374">
        <f>FX52+TargetLTC*ConCostBasis*(DevSpend!FY$100/DevSpend!$D$100)+FY53</f>
        <v/>
      </c>
      <c r="FZ52" s="374">
        <f>FY52+TargetLTC*ConCostBasis*(DevSpend!FZ$100/DevSpend!$D$100)+FZ53</f>
        <v/>
      </c>
      <c r="GA52" s="374">
        <f>FZ52+TargetLTC*ConCostBasis*(DevSpend!GA$100/DevSpend!$D$100)+GA53</f>
        <v/>
      </c>
      <c r="GB52" s="374">
        <f>GA52+TargetLTC*ConCostBasis*(DevSpend!GB$100/DevSpend!$D$100)+GB53</f>
        <v/>
      </c>
      <c r="GC52" s="374">
        <f>GB52+TargetLTC*ConCostBasis*(DevSpend!GC$100/DevSpend!$D$100)+GC53</f>
        <v/>
      </c>
      <c r="GD52" s="374">
        <f>GC52+TargetLTC*ConCostBasis*(DevSpend!GD$100/DevSpend!$D$100)+GD53</f>
        <v/>
      </c>
      <c r="GE52" s="374">
        <f>GD52+TargetLTC*ConCostBasis*(DevSpend!GE$100/DevSpend!$D$100)+GE53</f>
        <v/>
      </c>
      <c r="GF52" s="374">
        <f>GE52+TargetLTC*ConCostBasis*(DevSpend!GF$100/DevSpend!$D$100)+GF53</f>
        <v/>
      </c>
      <c r="GG52" s="374">
        <f>GF52+TargetLTC*ConCostBasis*(DevSpend!GG$100/DevSpend!$D$100)+GG53</f>
        <v/>
      </c>
      <c r="GH52" s="374">
        <f>GG52+TargetLTC*ConCostBasis*(DevSpend!GH$100/DevSpend!$D$100)+GH53</f>
        <v/>
      </c>
      <c r="GI52" s="374">
        <f>GH52+TargetLTC*ConCostBasis*(DevSpend!GI$100/DevSpend!$D$100)+GI53</f>
        <v/>
      </c>
      <c r="GJ52" s="374">
        <f>GI52+TargetLTC*ConCostBasis*(DevSpend!GJ$100/DevSpend!$D$100)+GJ53</f>
        <v/>
      </c>
      <c r="GK52" s="374">
        <f>GJ52+TargetLTC*ConCostBasis*(DevSpend!GK$100/DevSpend!$D$100)+GK53</f>
        <v/>
      </c>
      <c r="GL52" s="374">
        <f>GK52+TargetLTC*ConCostBasis*(DevSpend!GL$100/DevSpend!$D$100)+GL53</f>
        <v/>
      </c>
      <c r="GM52" s="374">
        <f>GL52+TargetLTC*ConCostBasis*(DevSpend!GM$100/DevSpend!$D$100)+GM53</f>
        <v/>
      </c>
      <c r="GN52" s="374">
        <f>GM52+TargetLTC*ConCostBasis*(DevSpend!GN$100/DevSpend!$D$100)+GN53</f>
        <v/>
      </c>
      <c r="GO52" s="374">
        <f>GN52+TargetLTC*ConCostBasis*(DevSpend!GO$100/DevSpend!$D$100)+GO53</f>
        <v/>
      </c>
      <c r="GP52" s="374">
        <f>GO52+TargetLTC*ConCostBasis*(DevSpend!GP$100/DevSpend!$D$100)+GP53</f>
        <v/>
      </c>
      <c r="GQ52" s="374">
        <f>GP52+TargetLTC*ConCostBasis*(DevSpend!GQ$100/DevSpend!$D$100)+GQ53</f>
        <v/>
      </c>
      <c r="GR52" s="374">
        <f>GQ52+TargetLTC*ConCostBasis*(DevSpend!GR$100/DevSpend!$D$100)+GR53</f>
        <v/>
      </c>
      <c r="GS52" s="374">
        <f>GR52+TargetLTC*ConCostBasis*(DevSpend!GS$100/DevSpend!$D$100)+GS53</f>
        <v/>
      </c>
      <c r="GT52" s="374">
        <f>GS52+TargetLTC*ConCostBasis*(DevSpend!GT$100/DevSpend!$D$100)+GT53</f>
        <v/>
      </c>
      <c r="GU52" s="374">
        <f>GT52+TargetLTC*ConCostBasis*(DevSpend!GU$100/DevSpend!$D$100)+GU53</f>
        <v/>
      </c>
      <c r="GV52" s="374">
        <f>GU52+TargetLTC*ConCostBasis*(DevSpend!GV$100/DevSpend!$D$100)+GV53</f>
        <v/>
      </c>
      <c r="GW52" s="374">
        <f>GV52+TargetLTC*ConCostBasis*(DevSpend!GW$100/DevSpend!$D$100)+GW53</f>
        <v/>
      </c>
      <c r="GX52" s="374">
        <f>GW52+TargetLTC*ConCostBasis*(DevSpend!GX$100/DevSpend!$D$100)+GX53</f>
        <v/>
      </c>
      <c r="GY52" s="374">
        <f>GX52+TargetLTC*ConCostBasis*(DevSpend!GY$100/DevSpend!$D$100)+GY53</f>
        <v/>
      </c>
      <c r="GZ52" s="374">
        <f>GY52+TargetLTC*ConCostBasis*(DevSpend!GZ$100/DevSpend!$D$100)+GZ53</f>
        <v/>
      </c>
      <c r="HA52" s="374">
        <f>GZ52+TargetLTC*ConCostBasis*(DevSpend!HA$100/DevSpend!$D$100)+HA53</f>
        <v/>
      </c>
      <c r="HB52" s="374">
        <f>HA52+TargetLTC*ConCostBasis*(DevSpend!HB$100/DevSpend!$D$100)+HB53</f>
        <v/>
      </c>
      <c r="HC52" s="374">
        <f>HB52+TargetLTC*ConCostBasis*(DevSpend!HC$100/DevSpend!$D$100)+HC53</f>
        <v/>
      </c>
      <c r="HD52" s="374">
        <f>HC52+TargetLTC*ConCostBasis*(DevSpend!HD$100/DevSpend!$D$100)+HD53</f>
        <v/>
      </c>
      <c r="HE52" s="374">
        <f>HD52+TargetLTC*ConCostBasis*(DevSpend!HE$100/DevSpend!$D$100)+HE53</f>
        <v/>
      </c>
      <c r="HF52" s="374">
        <f>HE52+TargetLTC*ConCostBasis*(DevSpend!HF$100/DevSpend!$D$100)+HF53</f>
        <v/>
      </c>
      <c r="HG52" s="374">
        <f>HF52+TargetLTC*ConCostBasis*(DevSpend!HG$100/DevSpend!$D$100)+HG53</f>
        <v/>
      </c>
      <c r="HH52" s="374">
        <f>HG52+TargetLTC*ConCostBasis*(DevSpend!HH$100/DevSpend!$D$100)+HH53</f>
        <v/>
      </c>
      <c r="HI52" s="374">
        <f>HH52+TargetLTC*ConCostBasis*(DevSpend!HI$100/DevSpend!$D$100)+HI53</f>
        <v/>
      </c>
      <c r="HJ52" s="374">
        <f>HI52+TargetLTC*ConCostBasis*(DevSpend!HJ$100/DevSpend!$D$100)+HJ53</f>
        <v/>
      </c>
      <c r="HK52" s="374">
        <f>HJ52+TargetLTC*ConCostBasis*(DevSpend!HK$100/DevSpend!$D$100)+HK53</f>
        <v/>
      </c>
      <c r="HL52" s="374">
        <f>HK52+TargetLTC*ConCostBasis*(DevSpend!HL$100/DevSpend!$D$100)+HL53</f>
        <v/>
      </c>
      <c r="HM52" s="374">
        <f>HL52+TargetLTC*ConCostBasis*(DevSpend!HM$100/DevSpend!$D$100)+HM53</f>
        <v/>
      </c>
      <c r="HN52" s="374">
        <f>HM52+TargetLTC*ConCostBasis*(DevSpend!HN$100/DevSpend!$D$100)+HN53</f>
        <v/>
      </c>
      <c r="HO52" s="374">
        <f>HN52+TargetLTC*ConCostBasis*(DevSpend!HO$100/DevSpend!$D$100)+HO53</f>
        <v/>
      </c>
      <c r="HP52" s="374">
        <f>HO52+TargetLTC*ConCostBasis*(DevSpend!HP$100/DevSpend!$D$100)+HP53</f>
        <v/>
      </c>
      <c r="HQ52" s="374">
        <f>HP52+TargetLTC*ConCostBasis*(DevSpend!HQ$100/DevSpend!$D$100)+HQ53</f>
        <v/>
      </c>
      <c r="HR52" s="374">
        <f>HQ52+TargetLTC*ConCostBasis*(DevSpend!HR$100/DevSpend!$D$100)+HR53</f>
        <v/>
      </c>
      <c r="HS52" s="374">
        <f>HR52+TargetLTC*ConCostBasis*(DevSpend!HS$100/DevSpend!$D$100)+HS53</f>
        <v/>
      </c>
      <c r="HT52" s="374">
        <f>HS52+TargetLTC*ConCostBasis*(DevSpend!HT$100/DevSpend!$D$100)+HT53</f>
        <v/>
      </c>
      <c r="HU52" s="374">
        <f>HT52+TargetLTC*ConCostBasis*(DevSpend!HU$100/DevSpend!$D$100)+HU53</f>
        <v/>
      </c>
      <c r="HV52" s="374">
        <f>HU52+TargetLTC*ConCostBasis*(DevSpend!HV$100/DevSpend!$D$100)+HV53</f>
        <v/>
      </c>
      <c r="HW52" s="374">
        <f>HV52+TargetLTC*ConCostBasis*(DevSpend!HW$100/DevSpend!$D$100)+HW53</f>
        <v/>
      </c>
      <c r="HX52" s="374">
        <f>HW52+TargetLTC*ConCostBasis*(DevSpend!HX$100/DevSpend!$D$100)+HX53</f>
        <v/>
      </c>
      <c r="HY52" s="374">
        <f>HX52+TargetLTC*ConCostBasis*(DevSpend!HY$100/DevSpend!$D$100)+HY53</f>
        <v/>
      </c>
      <c r="HZ52" s="374">
        <f>HY52+TargetLTC*ConCostBasis*(DevSpend!HZ$100/DevSpend!$D$100)+HZ53</f>
        <v/>
      </c>
      <c r="IA52" s="374">
        <f>HZ52+TargetLTC*ConCostBasis*(DevSpend!IA$100/DevSpend!$D$100)+IA53</f>
        <v/>
      </c>
      <c r="IB52" s="374">
        <f>IA52+TargetLTC*ConCostBasis*(DevSpend!IB$100/DevSpend!$D$100)+IB53</f>
        <v/>
      </c>
      <c r="IC52" s="374">
        <f>IB52+TargetLTC*ConCostBasis*(DevSpend!IC$100/DevSpend!$D$100)+IC53</f>
        <v/>
      </c>
      <c r="ID52" s="374">
        <f>IC52+TargetLTC*ConCostBasis*(DevSpend!ID$100/DevSpend!$D$100)+ID53</f>
        <v/>
      </c>
      <c r="IE52" s="374">
        <f>ID52+TargetLTC*ConCostBasis*(DevSpend!IE$100/DevSpend!$D$100)+IE53</f>
        <v/>
      </c>
      <c r="IF52" s="374">
        <f>IE52+TargetLTC*ConCostBasis*(DevSpend!IF$100/DevSpend!$D$100)+IF53</f>
        <v/>
      </c>
      <c r="IG52" s="374">
        <f>IF52+TargetLTC*ConCostBasis*(DevSpend!IG$100/DevSpend!$D$100)+IG53</f>
        <v/>
      </c>
      <c r="IH52" s="374">
        <f>IG52+TargetLTC*ConCostBasis*(DevSpend!IH$100/DevSpend!$D$100)+IH53</f>
        <v/>
      </c>
      <c r="II52" s="374">
        <f>IH52+TargetLTC*ConCostBasis*(DevSpend!II$100/DevSpend!$D$100)+II53</f>
        <v/>
      </c>
      <c r="IJ52" s="374">
        <f>II52+TargetLTC*ConCostBasis*(DevSpend!IJ$100/DevSpend!$D$100)+IJ53</f>
        <v/>
      </c>
      <c r="IK52" s="374">
        <f>IJ52+TargetLTC*ConCostBasis*(DevSpend!IK$100/DevSpend!$D$100)+IK53</f>
        <v/>
      </c>
      <c r="IL52" s="374">
        <f>IK52+TargetLTC*ConCostBasis*(DevSpend!IL$100/DevSpend!$D$100)+IL53</f>
        <v/>
      </c>
      <c r="IM52" s="374">
        <f>IL52+TargetLTC*ConCostBasis*(DevSpend!IM$100/DevSpend!$D$100)+IM53</f>
        <v/>
      </c>
      <c r="IN52" s="374">
        <f>IM52+TargetLTC*ConCostBasis*(DevSpend!IN$100/DevSpend!$D$100)+IN53</f>
        <v/>
      </c>
      <c r="IO52" s="374">
        <f>IN52+TargetLTC*ConCostBasis*(DevSpend!IO$100/DevSpend!$D$100)+IO53</f>
        <v/>
      </c>
      <c r="IP52" s="374">
        <f>IO52+TargetLTC*ConCostBasis*(DevSpend!IP$100/DevSpend!$D$100)+IP53</f>
        <v/>
      </c>
      <c r="IQ52" s="374">
        <f>IP52+TargetLTC*ConCostBasis*(DevSpend!IQ$100/DevSpend!$D$100)+IQ53</f>
        <v/>
      </c>
      <c r="IR52" s="374">
        <f>IQ52+TargetLTC*ConCostBasis*(DevSpend!IR$100/DevSpend!$D$100)+IR53</f>
        <v/>
      </c>
      <c r="IS52" s="374">
        <f>IR52+TargetLTC*ConCostBasis*(DevSpend!IS$100/DevSpend!$D$100)+IS53</f>
        <v/>
      </c>
      <c r="IT52" s="374">
        <f>IS52+TargetLTC*ConCostBasis*(DevSpend!IT$100/DevSpend!$D$100)+IT53</f>
        <v/>
      </c>
      <c r="IU52" s="374">
        <f>IT52+TargetLTC*ConCostBasis*(DevSpend!IU$100/DevSpend!$D$100)+IU53</f>
        <v/>
      </c>
      <c r="IV52" s="374">
        <f>IU52+TargetLTC*ConCostBasis*(DevSpend!IV$100/DevSpend!$D$100)+IV53</f>
        <v/>
      </c>
      <c r="IW52" s="374">
        <f>IV52+TargetLTC*ConCostBasis*(DevSpend!IW$100/DevSpend!$D$100)+IW53</f>
        <v/>
      </c>
      <c r="IX52" s="374">
        <f>IW52+TargetLTC*ConCostBasis*(DevSpend!IX$100/DevSpend!$D$100)+IX53</f>
        <v/>
      </c>
      <c r="IY52" s="374">
        <f>IX52+TargetLTC*ConCostBasis*(DevSpend!IY$100/DevSpend!$D$100)+IY53</f>
        <v/>
      </c>
      <c r="IZ52" s="374">
        <f>IY52+TargetLTC*ConCostBasis*(DevSpend!IZ$100/DevSpend!$D$100)+IZ53</f>
        <v/>
      </c>
      <c r="JA52" s="374">
        <f>IZ52+TargetLTC*ConCostBasis*(DevSpend!JA$100/DevSpend!$D$100)+JA53</f>
        <v/>
      </c>
      <c r="JB52" s="374">
        <f>JA52+TargetLTC*ConCostBasis*(DevSpend!JB$100/DevSpend!$D$100)+JB53</f>
        <v/>
      </c>
      <c r="JC52" s="374">
        <f>JB52+TargetLTC*ConCostBasis*(DevSpend!JC$100/DevSpend!$D$100)+JC53</f>
        <v/>
      </c>
      <c r="JD52" s="374">
        <f>JC52+TargetLTC*ConCostBasis*(DevSpend!JD$100/DevSpend!$D$100)+JD53</f>
        <v/>
      </c>
      <c r="JE52" s="374">
        <f>JD52+TargetLTC*ConCostBasis*(DevSpend!JE$100/DevSpend!$D$100)+JE53</f>
        <v/>
      </c>
      <c r="JF52" s="374">
        <f>JE52+TargetLTC*ConCostBasis*(DevSpend!JF$100/DevSpend!$D$100)+JF53</f>
        <v/>
      </c>
      <c r="JG52" s="374">
        <f>JF52+TargetLTC*ConCostBasis*(DevSpend!JG$100/DevSpend!$D$100)+JG53</f>
        <v/>
      </c>
      <c r="JH52" s="374">
        <f>JG52+TargetLTC*ConCostBasis*(DevSpend!JH$100/DevSpend!$D$100)+JH53</f>
        <v/>
      </c>
      <c r="JI52" s="374">
        <f>JH52+TargetLTC*ConCostBasis*(DevSpend!JI$100/DevSpend!$D$100)+JI53</f>
        <v/>
      </c>
      <c r="JJ52" s="374">
        <f>JI52+TargetLTC*ConCostBasis*(DevSpend!JJ$100/DevSpend!$D$100)+JJ53</f>
        <v/>
      </c>
      <c r="JK52" s="374">
        <f>JJ52+TargetLTC*ConCostBasis*(DevSpend!JK$100/DevSpend!$D$100)+JK53</f>
        <v/>
      </c>
      <c r="JL52" s="374">
        <f>JK52+TargetLTC*ConCostBasis*(DevSpend!JL$100/DevSpend!$D$100)+JL53</f>
        <v/>
      </c>
      <c r="JM52" s="374">
        <f>JL52+TargetLTC*ConCostBasis*(DevSpend!JM$100/DevSpend!$D$100)+JM53</f>
        <v/>
      </c>
      <c r="JN52" s="374">
        <f>JM52+TargetLTC*ConCostBasis*(DevSpend!JN$100/DevSpend!$D$100)+JN53</f>
        <v/>
      </c>
      <c r="JO52" s="374">
        <f>JN52+TargetLTC*ConCostBasis*(DevSpend!JO$100/DevSpend!$D$100)+JO53</f>
        <v/>
      </c>
      <c r="JP52" s="374">
        <f>JO52+TargetLTC*ConCostBasis*(DevSpend!JP$100/DevSpend!$D$100)+JP53</f>
        <v/>
      </c>
      <c r="JQ52" s="374">
        <f>JP52+TargetLTC*ConCostBasis*(DevSpend!JQ$100/DevSpend!$D$100)+JQ53</f>
        <v/>
      </c>
      <c r="JR52" s="374">
        <f>JQ52+TargetLTC*ConCostBasis*(DevSpend!JR$100/DevSpend!$D$100)+JR53</f>
        <v/>
      </c>
      <c r="JS52" s="374">
        <f>JR52+TargetLTC*ConCostBasis*(DevSpend!JS$100/DevSpend!$D$100)+JS53</f>
        <v/>
      </c>
      <c r="JT52" s="374">
        <f>JS52+TargetLTC*ConCostBasis*(DevSpend!JT$100/DevSpend!$D$100)+JT53</f>
        <v/>
      </c>
      <c r="JU52" s="374">
        <f>JT52+TargetLTC*ConCostBasis*(DevSpend!JU$100/DevSpend!$D$100)+JU53</f>
        <v/>
      </c>
      <c r="JV52" s="374">
        <f>JU52+TargetLTC*ConCostBasis*(DevSpend!JV$100/DevSpend!$D$100)+JV53</f>
        <v/>
      </c>
      <c r="JW52" s="374">
        <f>JV52+TargetLTC*ConCostBasis*(DevSpend!JW$100/DevSpend!$D$100)+JW53</f>
        <v/>
      </c>
      <c r="JX52" s="374">
        <f>JW52+TargetLTC*ConCostBasis*(DevSpend!JX$100/DevSpend!$D$100)+JX53</f>
        <v/>
      </c>
      <c r="JY52" s="374">
        <f>JX52+TargetLTC*ConCostBasis*(DevSpend!JY$100/DevSpend!$D$100)+JY53</f>
        <v/>
      </c>
      <c r="JZ52" s="374">
        <f>JY52+TargetLTC*ConCostBasis*(DevSpend!JZ$100/DevSpend!$D$100)+JZ53</f>
        <v/>
      </c>
      <c r="KA52" s="374">
        <f>JZ52+TargetLTC*ConCostBasis*(DevSpend!KA$100/DevSpend!$D$100)+KA53</f>
        <v/>
      </c>
      <c r="KB52" s="374">
        <f>KA52+TargetLTC*ConCostBasis*(DevSpend!KB$100/DevSpend!$D$100)+KB53</f>
        <v/>
      </c>
      <c r="KC52" s="374">
        <f>KB52+TargetLTC*ConCostBasis*(DevSpend!KC$100/DevSpend!$D$100)+KC53</f>
        <v/>
      </c>
      <c r="KD52" s="374">
        <f>KC52+TargetLTC*ConCostBasis*(DevSpend!KD$100/DevSpend!$D$100)+KD53</f>
        <v/>
      </c>
      <c r="KE52" s="374">
        <f>KD52+TargetLTC*ConCostBasis*(DevSpend!KE$100/DevSpend!$D$100)+KE53</f>
        <v/>
      </c>
      <c r="KF52" s="374">
        <f>KE52+TargetLTC*ConCostBasis*(DevSpend!KF$100/DevSpend!$D$100)+KF53</f>
        <v/>
      </c>
      <c r="KG52" s="374">
        <f>KF52+TargetLTC*ConCostBasis*(DevSpend!KG$100/DevSpend!$D$100)+KG53</f>
        <v/>
      </c>
      <c r="KH52" s="374">
        <f>KG52+TargetLTC*ConCostBasis*(DevSpend!KH$100/DevSpend!$D$100)+KH53</f>
        <v/>
      </c>
      <c r="KI52" s="374">
        <f>KH52+TargetLTC*ConCostBasis*(DevSpend!KI$100/DevSpend!$D$100)+KI53</f>
        <v/>
      </c>
      <c r="KJ52" s="374">
        <f>KI52+TargetLTC*ConCostBasis*(DevSpend!KJ$100/DevSpend!$D$100)+KJ53</f>
        <v/>
      </c>
      <c r="KK52" s="374">
        <f>KJ52+TargetLTC*ConCostBasis*(DevSpend!KK$100/DevSpend!$D$100)+KK53</f>
        <v/>
      </c>
      <c r="KL52" s="374">
        <f>KK52+TargetLTC*ConCostBasis*(DevSpend!KL$100/DevSpend!$D$100)+KL53</f>
        <v/>
      </c>
      <c r="KM52" s="374">
        <f>KL52+TargetLTC*ConCostBasis*(DevSpend!KM$100/DevSpend!$D$100)+KM53</f>
        <v/>
      </c>
      <c r="KN52" s="374">
        <f>KM52+TargetLTC*ConCostBasis*(DevSpend!KN$100/DevSpend!$D$100)+KN53</f>
        <v/>
      </c>
      <c r="KO52" s="374">
        <f>KN52+TargetLTC*ConCostBasis*(DevSpend!KO$100/DevSpend!$D$100)+KO53</f>
        <v/>
      </c>
      <c r="KP52" s="374">
        <f>KO52+TargetLTC*ConCostBasis*(DevSpend!KP$100/DevSpend!$D$100)+KP53</f>
        <v/>
      </c>
      <c r="KQ52" s="374">
        <f>KP52+TargetLTC*ConCostBasis*(DevSpend!KQ$100/DevSpend!$D$100)+KQ53</f>
        <v/>
      </c>
      <c r="KR52" s="374">
        <f>KQ52+TargetLTC*ConCostBasis*(DevSpend!KR$100/DevSpend!$D$100)+KR53</f>
        <v/>
      </c>
      <c r="KS52" s="374">
        <f>KR52+TargetLTC*ConCostBasis*(DevSpend!KS$100/DevSpend!$D$100)+KS53</f>
        <v/>
      </c>
      <c r="KT52" s="374">
        <f>KS52+TargetLTC*ConCostBasis*(DevSpend!KT$100/DevSpend!$D$100)+KT53</f>
        <v/>
      </c>
      <c r="KU52" s="374">
        <f>KT52+TargetLTC*ConCostBasis*(DevSpend!KU$100/DevSpend!$D$100)+KU53</f>
        <v/>
      </c>
      <c r="KV52" s="374">
        <f>KU52+TargetLTC*ConCostBasis*(DevSpend!KV$100/DevSpend!$D$100)+KV53</f>
        <v/>
      </c>
      <c r="KW52" s="374">
        <f>KV52+TargetLTC*ConCostBasis*(DevSpend!KW$100/DevSpend!$D$100)+KW53</f>
        <v/>
      </c>
      <c r="KX52" s="374">
        <f>KW52+TargetLTC*ConCostBasis*(DevSpend!KX$100/DevSpend!$D$100)+KX53</f>
        <v/>
      </c>
      <c r="KY52" s="374">
        <f>KX52+TargetLTC*ConCostBasis*(DevSpend!KY$100/DevSpend!$D$100)+KY53</f>
        <v/>
      </c>
      <c r="KZ52" s="374">
        <f>KY52+TargetLTC*ConCostBasis*(DevSpend!KZ$100/DevSpend!$D$100)+KZ53</f>
        <v/>
      </c>
      <c r="LA52" s="374">
        <f>KZ52+TargetLTC*ConCostBasis*(DevSpend!LA$100/DevSpend!$D$100)+LA53</f>
        <v/>
      </c>
      <c r="LB52" s="374">
        <f>LA52+TargetLTC*ConCostBasis*(DevSpend!LB$100/DevSpend!$D$100)+LB53</f>
        <v/>
      </c>
      <c r="LC52" s="374">
        <f>LB52+TargetLTC*ConCostBasis*(DevSpend!LC$100/DevSpend!$D$100)+LC53</f>
        <v/>
      </c>
      <c r="LD52" s="374">
        <f>LC52+TargetLTC*ConCostBasis*(DevSpend!LD$100/DevSpend!$D$100)+LD53</f>
        <v/>
      </c>
      <c r="LE52" s="374">
        <f>LD52+TargetLTC*ConCostBasis*(DevSpend!LE$100/DevSpend!$D$100)+LE53</f>
        <v/>
      </c>
      <c r="LF52" s="374">
        <f>LE52+TargetLTC*ConCostBasis*(DevSpend!LF$100/DevSpend!$D$100)+LF53</f>
        <v/>
      </c>
      <c r="LG52" s="374">
        <f>LF52+TargetLTC*ConCostBasis*(DevSpend!LG$100/DevSpend!$D$100)+LG53</f>
        <v/>
      </c>
      <c r="LH52" s="374">
        <f>LG52+TargetLTC*ConCostBasis*(DevSpend!LH$100/DevSpend!$D$100)+LH53</f>
        <v/>
      </c>
      <c r="LI52" s="374">
        <f>LH52+TargetLTC*ConCostBasis*(DevSpend!LI$100/DevSpend!$D$100)+LI53</f>
        <v/>
      </c>
      <c r="LJ52" s="374">
        <f>LI52+TargetLTC*ConCostBasis*(DevSpend!LJ$100/DevSpend!$D$100)+LJ53</f>
        <v/>
      </c>
      <c r="LK52" s="374">
        <f>LJ52+TargetLTC*ConCostBasis*(DevSpend!LK$100/DevSpend!$D$100)+LK53</f>
        <v/>
      </c>
      <c r="LL52" s="374">
        <f>LK52+TargetLTC*ConCostBasis*(DevSpend!LL$100/DevSpend!$D$100)+LL53</f>
        <v/>
      </c>
      <c r="LM52" s="374">
        <f>LL52+TargetLTC*ConCostBasis*(DevSpend!LM$100/DevSpend!$D$100)+LM53</f>
        <v/>
      </c>
      <c r="LN52" s="374">
        <f>LM52+TargetLTC*ConCostBasis*(DevSpend!LN$100/DevSpend!$D$100)+LN53</f>
        <v/>
      </c>
      <c r="LO52" s="374">
        <f>LN52+TargetLTC*ConCostBasis*(DevSpend!LO$100/DevSpend!$D$100)+LO53</f>
        <v/>
      </c>
      <c r="LP52" s="374">
        <f>LO52+TargetLTC*ConCostBasis*(DevSpend!LP$100/DevSpend!$D$100)+LP53</f>
        <v/>
      </c>
      <c r="LQ52" s="374">
        <f>LP52+TargetLTC*ConCostBasis*(DevSpend!LQ$100/DevSpend!$D$100)+LQ53</f>
        <v/>
      </c>
      <c r="LR52" s="374">
        <f>LQ52+TargetLTC*ConCostBasis*(DevSpend!LR$100/DevSpend!$D$100)+LR53</f>
        <v/>
      </c>
      <c r="LS52" s="374">
        <f>LR52+TargetLTC*ConCostBasis*(DevSpend!LS$100/DevSpend!$D$100)+LS53</f>
        <v/>
      </c>
      <c r="LT52" s="374">
        <f>LS52+TargetLTC*ConCostBasis*(DevSpend!LT$100/DevSpend!$D$100)+LT53</f>
        <v/>
      </c>
      <c r="LU52" s="374">
        <f>LT52+TargetLTC*ConCostBasis*(DevSpend!LU$100/DevSpend!$D$100)+LU53</f>
        <v/>
      </c>
      <c r="LV52" s="374">
        <f>LU52+TargetLTC*ConCostBasis*(DevSpend!LV$100/DevSpend!$D$100)+LV53</f>
        <v/>
      </c>
      <c r="LW52" s="374">
        <f>LV52+TargetLTC*ConCostBasis*(DevSpend!LW$100/DevSpend!$D$100)+LW53</f>
        <v/>
      </c>
      <c r="LX52" s="374">
        <f>LW52+TargetLTC*ConCostBasis*(DevSpend!LX$100/DevSpend!$D$100)+LX53</f>
        <v/>
      </c>
      <c r="LY52" s="374">
        <f>LX52+TargetLTC*ConCostBasis*(DevSpend!LY$100/DevSpend!$D$100)+LY53</f>
        <v/>
      </c>
      <c r="LZ52" s="374">
        <f>LY52+TargetLTC*ConCostBasis*(DevSpend!LZ$100/DevSpend!$D$100)+LZ53</f>
        <v/>
      </c>
      <c r="MA52" s="374">
        <f>LZ52+TargetLTC*ConCostBasis*(DevSpend!MA$100/DevSpend!$D$100)+MA53</f>
        <v/>
      </c>
      <c r="MB52" s="374">
        <f>MA52+TargetLTC*ConCostBasis*(DevSpend!MB$100/DevSpend!$D$100)+MB53</f>
        <v/>
      </c>
      <c r="MC52" s="374">
        <f>MB52+TargetLTC*ConCostBasis*(DevSpend!MC$100/DevSpend!$D$100)+MC53</f>
        <v/>
      </c>
      <c r="MD52" s="374">
        <f>MC52+TargetLTC*ConCostBasis*(DevSpend!MD$100/DevSpend!$D$100)+MD53</f>
        <v/>
      </c>
      <c r="ME52" s="374">
        <f>MD52+TargetLTC*ConCostBasis*(DevSpend!ME$100/DevSpend!$D$100)+ME53</f>
        <v/>
      </c>
      <c r="MF52" s="374">
        <f>ME52+TargetLTC*ConCostBasis*(DevSpend!MF$100/DevSpend!$D$100)+MF53</f>
        <v/>
      </c>
      <c r="MG52" s="374">
        <f>MF52+TargetLTC*ConCostBasis*(DevSpend!MG$100/DevSpend!$D$100)+MG53</f>
        <v/>
      </c>
      <c r="MH52" s="374">
        <f>MG52+TargetLTC*ConCostBasis*(DevSpend!MH$100/DevSpend!$D$100)+MH53</f>
        <v/>
      </c>
      <c r="MI52" s="374">
        <f>MH52+TargetLTC*ConCostBasis*(DevSpend!MI$100/DevSpend!$D$100)+MI53</f>
        <v/>
      </c>
      <c r="MJ52" s="374">
        <f>MI52+TargetLTC*ConCostBasis*(DevSpend!MJ$100/DevSpend!$D$100)+MJ53</f>
        <v/>
      </c>
      <c r="MK52" s="374">
        <f>MJ52+TargetLTC*ConCostBasis*(DevSpend!MK$100/DevSpend!$D$100)+MK53</f>
        <v/>
      </c>
      <c r="ML52" s="374">
        <f>MK52+TargetLTC*ConCostBasis*(DevSpend!ML$100/DevSpend!$D$100)+ML53</f>
        <v/>
      </c>
      <c r="MM52" s="374">
        <f>ML52+TargetLTC*ConCostBasis*(DevSpend!MM$100/DevSpend!$D$100)+MM53</f>
        <v/>
      </c>
      <c r="MN52" s="374">
        <f>MM52+TargetLTC*ConCostBasis*(DevSpend!MN$100/DevSpend!$D$100)+MN53</f>
        <v/>
      </c>
      <c r="MO52" s="374">
        <f>MN52+TargetLTC*ConCostBasis*(DevSpend!MO$100/DevSpend!$D$100)+MO53</f>
        <v/>
      </c>
      <c r="MP52" s="374">
        <f>MO52+TargetLTC*ConCostBasis*(DevSpend!MP$100/DevSpend!$D$100)+MP53</f>
        <v/>
      </c>
      <c r="MQ52" s="374">
        <f>MP52+TargetLTC*ConCostBasis*(DevSpend!MQ$100/DevSpend!$D$100)+MQ53</f>
        <v/>
      </c>
      <c r="MR52" s="374">
        <f>MQ52+TargetLTC*ConCostBasis*(DevSpend!MR$100/DevSpend!$D$100)+MR53</f>
        <v/>
      </c>
      <c r="MS52" s="374">
        <f>MR52+TargetLTC*ConCostBasis*(DevSpend!MS$100/DevSpend!$D$100)+MS53</f>
        <v/>
      </c>
      <c r="MT52" s="374">
        <f>MS52+TargetLTC*ConCostBasis*(DevSpend!MT$100/DevSpend!$D$100)+MT53</f>
        <v/>
      </c>
      <c r="MU52" s="374">
        <f>MT52+TargetLTC*ConCostBasis*(DevSpend!MU$100/DevSpend!$D$100)+MU53</f>
        <v/>
      </c>
      <c r="MV52" s="374">
        <f>MU52+TargetLTC*ConCostBasis*(DevSpend!MV$100/DevSpend!$D$100)+MV53</f>
        <v/>
      </c>
      <c r="MW52" s="374">
        <f>MV52+TargetLTC*ConCostBasis*(DevSpend!MW$100/DevSpend!$D$100)+MW53</f>
        <v/>
      </c>
      <c r="MX52" s="374">
        <f>MW52+TargetLTC*ConCostBasis*(DevSpend!MX$100/DevSpend!$D$100)+MX53</f>
        <v/>
      </c>
      <c r="MY52" s="374">
        <f>MX52+TargetLTC*ConCostBasis*(DevSpend!MY$100/DevSpend!$D$100)+MY53</f>
        <v/>
      </c>
      <c r="MZ52" s="374">
        <f>MY52+TargetLTC*ConCostBasis*(DevSpend!MZ$100/DevSpend!$D$100)+MZ53</f>
        <v/>
      </c>
      <c r="NA52" s="374">
        <f>MZ52+TargetLTC*ConCostBasis*(DevSpend!NA$100/DevSpend!$D$100)+NA53</f>
        <v/>
      </c>
      <c r="NB52" s="374">
        <f>NA52+TargetLTC*ConCostBasis*(DevSpend!NB$100/DevSpend!$D$100)+NB53</f>
        <v/>
      </c>
      <c r="NC52" s="374">
        <f>NB52+TargetLTC*ConCostBasis*(DevSpend!NC$100/DevSpend!$D$100)+NC53</f>
        <v/>
      </c>
      <c r="ND52" s="374">
        <f>NC52+TargetLTC*ConCostBasis*(DevSpend!ND$100/DevSpend!$D$100)+ND53</f>
        <v/>
      </c>
      <c r="NE52" s="374">
        <f>ND52+TargetLTC*ConCostBasis*(DevSpend!NE$100/DevSpend!$D$100)+NE53</f>
        <v/>
      </c>
      <c r="NF52" s="374">
        <f>NE52+TargetLTC*ConCostBasis*(DevSpend!NF$100/DevSpend!$D$100)+NF53</f>
        <v/>
      </c>
      <c r="NG52" s="374">
        <f>NF52+TargetLTC*ConCostBasis*(DevSpend!NG$100/DevSpend!$D$100)+NG53</f>
        <v/>
      </c>
      <c r="NH52" s="374">
        <f>NG52+TargetLTC*ConCostBasis*(DevSpend!NH$100/DevSpend!$D$100)+NH53</f>
        <v/>
      </c>
      <c r="NI52" s="374">
        <f>NH52+TargetLTC*ConCostBasis*(DevSpend!NI$100/DevSpend!$D$100)+NI53</f>
        <v/>
      </c>
      <c r="NJ52" s="374">
        <f>NI52+TargetLTC*ConCostBasis*(DevSpend!NJ$100/DevSpend!$D$100)+NJ53</f>
        <v/>
      </c>
      <c r="NK52" s="374">
        <f>NJ52+TargetLTC*ConCostBasis*(DevSpend!NK$100/DevSpend!$D$100)+NK53</f>
        <v/>
      </c>
      <c r="NL52" s="374">
        <f>NK52+TargetLTC*ConCostBasis*(DevSpend!NL$100/DevSpend!$D$100)+NL53</f>
        <v/>
      </c>
    </row>
    <row r="53">
      <c r="B53" s="310" t="inlineStr">
        <is>
          <t>Ref Capitalized Interest (monthly)</t>
        </is>
      </c>
      <c r="E53" s="374">
        <f>0</f>
        <v/>
      </c>
      <c r="F53" s="374">
        <f>F$30*E52*IF(AND(Timeline!F$42=1,F$23&lt;IntConvMonth),1,0)</f>
        <v/>
      </c>
      <c r="G53" s="374">
        <f>G$30*F52*IF(AND(Timeline!G$42=1,G$23&lt;IntConvMonth),1,0)</f>
        <v/>
      </c>
      <c r="H53" s="374">
        <f>H$30*G52*IF(AND(Timeline!H$42=1,H$23&lt;IntConvMonth),1,0)</f>
        <v/>
      </c>
      <c r="I53" s="374">
        <f>I$30*H52*IF(AND(Timeline!I$42=1,I$23&lt;IntConvMonth),1,0)</f>
        <v/>
      </c>
      <c r="J53" s="374">
        <f>J$30*I52*IF(AND(Timeline!J$42=1,J$23&lt;IntConvMonth),1,0)</f>
        <v/>
      </c>
      <c r="K53" s="374">
        <f>K$30*J52*IF(AND(Timeline!K$42=1,K$23&lt;IntConvMonth),1,0)</f>
        <v/>
      </c>
      <c r="L53" s="374">
        <f>L$30*K52*IF(AND(Timeline!L$42=1,L$23&lt;IntConvMonth),1,0)</f>
        <v/>
      </c>
      <c r="M53" s="374">
        <f>M$30*L52*IF(AND(Timeline!M$42=1,M$23&lt;IntConvMonth),1,0)</f>
        <v/>
      </c>
      <c r="N53" s="374">
        <f>N$30*M52*IF(AND(Timeline!N$42=1,N$23&lt;IntConvMonth),1,0)</f>
        <v/>
      </c>
      <c r="O53" s="374">
        <f>O$30*N52*IF(AND(Timeline!O$42=1,O$23&lt;IntConvMonth),1,0)</f>
        <v/>
      </c>
      <c r="P53" s="374">
        <f>P$30*O52*IF(AND(Timeline!P$42=1,P$23&lt;IntConvMonth),1,0)</f>
        <v/>
      </c>
      <c r="Q53" s="374">
        <f>Q$30*P52*IF(AND(Timeline!Q$42=1,Q$23&lt;IntConvMonth),1,0)</f>
        <v/>
      </c>
      <c r="R53" s="374">
        <f>R$30*Q52*IF(AND(Timeline!R$42=1,R$23&lt;IntConvMonth),1,0)</f>
        <v/>
      </c>
      <c r="S53" s="374">
        <f>S$30*R52*IF(AND(Timeline!S$42=1,S$23&lt;IntConvMonth),1,0)</f>
        <v/>
      </c>
      <c r="T53" s="374">
        <f>T$30*S52*IF(AND(Timeline!T$42=1,T$23&lt;IntConvMonth),1,0)</f>
        <v/>
      </c>
      <c r="U53" s="374">
        <f>U$30*T52*IF(AND(Timeline!U$42=1,U$23&lt;IntConvMonth),1,0)</f>
        <v/>
      </c>
      <c r="V53" s="374">
        <f>V$30*U52*IF(AND(Timeline!V$42=1,V$23&lt;IntConvMonth),1,0)</f>
        <v/>
      </c>
      <c r="W53" s="374">
        <f>W$30*V52*IF(AND(Timeline!W$42=1,W$23&lt;IntConvMonth),1,0)</f>
        <v/>
      </c>
      <c r="X53" s="374">
        <f>X$30*W52*IF(AND(Timeline!X$42=1,X$23&lt;IntConvMonth),1,0)</f>
        <v/>
      </c>
      <c r="Y53" s="374">
        <f>Y$30*X52*IF(AND(Timeline!Y$42=1,Y$23&lt;IntConvMonth),1,0)</f>
        <v/>
      </c>
      <c r="Z53" s="374">
        <f>Z$30*Y52*IF(AND(Timeline!Z$42=1,Z$23&lt;IntConvMonth),1,0)</f>
        <v/>
      </c>
      <c r="AA53" s="374">
        <f>AA$30*Z52*IF(AND(Timeline!AA$42=1,AA$23&lt;IntConvMonth),1,0)</f>
        <v/>
      </c>
      <c r="AB53" s="374">
        <f>AB$30*AA52*IF(AND(Timeline!AB$42=1,AB$23&lt;IntConvMonth),1,0)</f>
        <v/>
      </c>
      <c r="AC53" s="374">
        <f>AC$30*AB52*IF(AND(Timeline!AC$42=1,AC$23&lt;IntConvMonth),1,0)</f>
        <v/>
      </c>
      <c r="AD53" s="374">
        <f>AD$30*AC52*IF(AND(Timeline!AD$42=1,AD$23&lt;IntConvMonth),1,0)</f>
        <v/>
      </c>
      <c r="AE53" s="374">
        <f>AE$30*AD52*IF(AND(Timeline!AE$42=1,AE$23&lt;IntConvMonth),1,0)</f>
        <v/>
      </c>
      <c r="AF53" s="374">
        <f>AF$30*AE52*IF(AND(Timeline!AF$42=1,AF$23&lt;IntConvMonth),1,0)</f>
        <v/>
      </c>
      <c r="AG53" s="374">
        <f>AG$30*AF52*IF(AND(Timeline!AG$42=1,AG$23&lt;IntConvMonth),1,0)</f>
        <v/>
      </c>
      <c r="AH53" s="374">
        <f>AH$30*AG52*IF(AND(Timeline!AH$42=1,AH$23&lt;IntConvMonth),1,0)</f>
        <v/>
      </c>
      <c r="AI53" s="374">
        <f>AI$30*AH52*IF(AND(Timeline!AI$42=1,AI$23&lt;IntConvMonth),1,0)</f>
        <v/>
      </c>
      <c r="AJ53" s="374">
        <f>AJ$30*AI52*IF(AND(Timeline!AJ$42=1,AJ$23&lt;IntConvMonth),1,0)</f>
        <v/>
      </c>
      <c r="AK53" s="374">
        <f>AK$30*AJ52*IF(AND(Timeline!AK$42=1,AK$23&lt;IntConvMonth),1,0)</f>
        <v/>
      </c>
      <c r="AL53" s="374">
        <f>AL$30*AK52*IF(AND(Timeline!AL$42=1,AL$23&lt;IntConvMonth),1,0)</f>
        <v/>
      </c>
      <c r="AM53" s="374">
        <f>AM$30*AL52*IF(AND(Timeline!AM$42=1,AM$23&lt;IntConvMonth),1,0)</f>
        <v/>
      </c>
      <c r="AN53" s="374">
        <f>AN$30*AM52*IF(AND(Timeline!AN$42=1,AN$23&lt;IntConvMonth),1,0)</f>
        <v/>
      </c>
      <c r="AO53" s="374">
        <f>AO$30*AN52*IF(AND(Timeline!AO$42=1,AO$23&lt;IntConvMonth),1,0)</f>
        <v/>
      </c>
      <c r="AP53" s="374">
        <f>AP$30*AO52*IF(AND(Timeline!AP$42=1,AP$23&lt;IntConvMonth),1,0)</f>
        <v/>
      </c>
      <c r="AQ53" s="374">
        <f>AQ$30*AP52*IF(AND(Timeline!AQ$42=1,AQ$23&lt;IntConvMonth),1,0)</f>
        <v/>
      </c>
      <c r="AR53" s="374">
        <f>AR$30*AQ52*IF(AND(Timeline!AR$42=1,AR$23&lt;IntConvMonth),1,0)</f>
        <v/>
      </c>
      <c r="AS53" s="374">
        <f>AS$30*AR52*IF(AND(Timeline!AS$42=1,AS$23&lt;IntConvMonth),1,0)</f>
        <v/>
      </c>
      <c r="AT53" s="374">
        <f>AT$30*AS52*IF(AND(Timeline!AT$42=1,AT$23&lt;IntConvMonth),1,0)</f>
        <v/>
      </c>
      <c r="AU53" s="374">
        <f>AU$30*AT52*IF(AND(Timeline!AU$42=1,AU$23&lt;IntConvMonth),1,0)</f>
        <v/>
      </c>
      <c r="AV53" s="374">
        <f>AV$30*AU52*IF(AND(Timeline!AV$42=1,AV$23&lt;IntConvMonth),1,0)</f>
        <v/>
      </c>
      <c r="AW53" s="374">
        <f>AW$30*AV52*IF(AND(Timeline!AW$42=1,AW$23&lt;IntConvMonth),1,0)</f>
        <v/>
      </c>
      <c r="AX53" s="374">
        <f>AX$30*AW52*IF(AND(Timeline!AX$42=1,AX$23&lt;IntConvMonth),1,0)</f>
        <v/>
      </c>
      <c r="AY53" s="374">
        <f>AY$30*AX52*IF(AND(Timeline!AY$42=1,AY$23&lt;IntConvMonth),1,0)</f>
        <v/>
      </c>
      <c r="AZ53" s="374">
        <f>AZ$30*AY52*IF(AND(Timeline!AZ$42=1,AZ$23&lt;IntConvMonth),1,0)</f>
        <v/>
      </c>
      <c r="BA53" s="374">
        <f>BA$30*AZ52*IF(AND(Timeline!BA$42=1,BA$23&lt;IntConvMonth),1,0)</f>
        <v/>
      </c>
      <c r="BB53" s="374">
        <f>BB$30*BA52*IF(AND(Timeline!BB$42=1,BB$23&lt;IntConvMonth),1,0)</f>
        <v/>
      </c>
      <c r="BC53" s="374">
        <f>BC$30*BB52*IF(AND(Timeline!BC$42=1,BC$23&lt;IntConvMonth),1,0)</f>
        <v/>
      </c>
      <c r="BD53" s="374">
        <f>BD$30*BC52*IF(AND(Timeline!BD$42=1,BD$23&lt;IntConvMonth),1,0)</f>
        <v/>
      </c>
      <c r="BE53" s="374">
        <f>BE$30*BD52*IF(AND(Timeline!BE$42=1,BE$23&lt;IntConvMonth),1,0)</f>
        <v/>
      </c>
      <c r="BF53" s="374">
        <f>BF$30*BE52*IF(AND(Timeline!BF$42=1,BF$23&lt;IntConvMonth),1,0)</f>
        <v/>
      </c>
      <c r="BG53" s="374">
        <f>BG$30*BF52*IF(AND(Timeline!BG$42=1,BG$23&lt;IntConvMonth),1,0)</f>
        <v/>
      </c>
      <c r="BH53" s="374">
        <f>BH$30*BG52*IF(AND(Timeline!BH$42=1,BH$23&lt;IntConvMonth),1,0)</f>
        <v/>
      </c>
      <c r="BI53" s="374">
        <f>BI$30*BH52*IF(AND(Timeline!BI$42=1,BI$23&lt;IntConvMonth),1,0)</f>
        <v/>
      </c>
      <c r="BJ53" s="374">
        <f>BJ$30*BI52*IF(AND(Timeline!BJ$42=1,BJ$23&lt;IntConvMonth),1,0)</f>
        <v/>
      </c>
      <c r="BK53" s="374">
        <f>BK$30*BJ52*IF(AND(Timeline!BK$42=1,BK$23&lt;IntConvMonth),1,0)</f>
        <v/>
      </c>
      <c r="BL53" s="374">
        <f>BL$30*BK52*IF(AND(Timeline!BL$42=1,BL$23&lt;IntConvMonth),1,0)</f>
        <v/>
      </c>
      <c r="BM53" s="374">
        <f>BM$30*BL52*IF(AND(Timeline!BM$42=1,BM$23&lt;IntConvMonth),1,0)</f>
        <v/>
      </c>
      <c r="BN53" s="374">
        <f>BN$30*BM52*IF(AND(Timeline!BN$42=1,BN$23&lt;IntConvMonth),1,0)</f>
        <v/>
      </c>
      <c r="BO53" s="374">
        <f>BO$30*BN52*IF(AND(Timeline!BO$42=1,BO$23&lt;IntConvMonth),1,0)</f>
        <v/>
      </c>
      <c r="BP53" s="374">
        <f>BP$30*BO52*IF(AND(Timeline!BP$42=1,BP$23&lt;IntConvMonth),1,0)</f>
        <v/>
      </c>
      <c r="BQ53" s="374">
        <f>BQ$30*BP52*IF(AND(Timeline!BQ$42=1,BQ$23&lt;IntConvMonth),1,0)</f>
        <v/>
      </c>
      <c r="BR53" s="374">
        <f>BR$30*BQ52*IF(AND(Timeline!BR$42=1,BR$23&lt;IntConvMonth),1,0)</f>
        <v/>
      </c>
      <c r="BS53" s="374">
        <f>BS$30*BR52*IF(AND(Timeline!BS$42=1,BS$23&lt;IntConvMonth),1,0)</f>
        <v/>
      </c>
      <c r="BT53" s="374">
        <f>BT$30*BS52*IF(AND(Timeline!BT$42=1,BT$23&lt;IntConvMonth),1,0)</f>
        <v/>
      </c>
      <c r="BU53" s="374">
        <f>BU$30*BT52*IF(AND(Timeline!BU$42=1,BU$23&lt;IntConvMonth),1,0)</f>
        <v/>
      </c>
      <c r="BV53" s="374">
        <f>BV$30*BU52*IF(AND(Timeline!BV$42=1,BV$23&lt;IntConvMonth),1,0)</f>
        <v/>
      </c>
      <c r="BW53" s="374">
        <f>BW$30*BV52*IF(AND(Timeline!BW$42=1,BW$23&lt;IntConvMonth),1,0)</f>
        <v/>
      </c>
      <c r="BX53" s="374">
        <f>BX$30*BW52*IF(AND(Timeline!BX$42=1,BX$23&lt;IntConvMonth),1,0)</f>
        <v/>
      </c>
      <c r="BY53" s="374">
        <f>BY$30*BX52*IF(AND(Timeline!BY$42=1,BY$23&lt;IntConvMonth),1,0)</f>
        <v/>
      </c>
      <c r="BZ53" s="374">
        <f>BZ$30*BY52*IF(AND(Timeline!BZ$42=1,BZ$23&lt;IntConvMonth),1,0)</f>
        <v/>
      </c>
      <c r="CA53" s="374">
        <f>CA$30*BZ52*IF(AND(Timeline!CA$42=1,CA$23&lt;IntConvMonth),1,0)</f>
        <v/>
      </c>
      <c r="CB53" s="374">
        <f>CB$30*CA52*IF(AND(Timeline!CB$42=1,CB$23&lt;IntConvMonth),1,0)</f>
        <v/>
      </c>
      <c r="CC53" s="374">
        <f>CC$30*CB52*IF(AND(Timeline!CC$42=1,CC$23&lt;IntConvMonth),1,0)</f>
        <v/>
      </c>
      <c r="CD53" s="374">
        <f>CD$30*CC52*IF(AND(Timeline!CD$42=1,CD$23&lt;IntConvMonth),1,0)</f>
        <v/>
      </c>
      <c r="CE53" s="374">
        <f>CE$30*CD52*IF(AND(Timeline!CE$42=1,CE$23&lt;IntConvMonth),1,0)</f>
        <v/>
      </c>
      <c r="CF53" s="374">
        <f>CF$30*CE52*IF(AND(Timeline!CF$42=1,CF$23&lt;IntConvMonth),1,0)</f>
        <v/>
      </c>
      <c r="CG53" s="374">
        <f>CG$30*CF52*IF(AND(Timeline!CG$42=1,CG$23&lt;IntConvMonth),1,0)</f>
        <v/>
      </c>
      <c r="CH53" s="374">
        <f>CH$30*CG52*IF(AND(Timeline!CH$42=1,CH$23&lt;IntConvMonth),1,0)</f>
        <v/>
      </c>
      <c r="CI53" s="374">
        <f>CI$30*CH52*IF(AND(Timeline!CI$42=1,CI$23&lt;IntConvMonth),1,0)</f>
        <v/>
      </c>
      <c r="CJ53" s="374">
        <f>CJ$30*CI52*IF(AND(Timeline!CJ$42=1,CJ$23&lt;IntConvMonth),1,0)</f>
        <v/>
      </c>
      <c r="CK53" s="374">
        <f>CK$30*CJ52*IF(AND(Timeline!CK$42=1,CK$23&lt;IntConvMonth),1,0)</f>
        <v/>
      </c>
      <c r="CL53" s="374">
        <f>CL$30*CK52*IF(AND(Timeline!CL$42=1,CL$23&lt;IntConvMonth),1,0)</f>
        <v/>
      </c>
      <c r="CM53" s="374">
        <f>CM$30*CL52*IF(AND(Timeline!CM$42=1,CM$23&lt;IntConvMonth),1,0)</f>
        <v/>
      </c>
      <c r="CN53" s="374">
        <f>CN$30*CM52*IF(AND(Timeline!CN$42=1,CN$23&lt;IntConvMonth),1,0)</f>
        <v/>
      </c>
      <c r="CO53" s="374">
        <f>CO$30*CN52*IF(AND(Timeline!CO$42=1,CO$23&lt;IntConvMonth),1,0)</f>
        <v/>
      </c>
      <c r="CP53" s="374">
        <f>CP$30*CO52*IF(AND(Timeline!CP$42=1,CP$23&lt;IntConvMonth),1,0)</f>
        <v/>
      </c>
      <c r="CQ53" s="374">
        <f>CQ$30*CP52*IF(AND(Timeline!CQ$42=1,CQ$23&lt;IntConvMonth),1,0)</f>
        <v/>
      </c>
      <c r="CR53" s="374">
        <f>CR$30*CQ52*IF(AND(Timeline!CR$42=1,CR$23&lt;IntConvMonth),1,0)</f>
        <v/>
      </c>
      <c r="CS53" s="374">
        <f>CS$30*CR52*IF(AND(Timeline!CS$42=1,CS$23&lt;IntConvMonth),1,0)</f>
        <v/>
      </c>
      <c r="CT53" s="374">
        <f>CT$30*CS52*IF(AND(Timeline!CT$42=1,CT$23&lt;IntConvMonth),1,0)</f>
        <v/>
      </c>
      <c r="CU53" s="374">
        <f>CU$30*CT52*IF(AND(Timeline!CU$42=1,CU$23&lt;IntConvMonth),1,0)</f>
        <v/>
      </c>
      <c r="CV53" s="374">
        <f>CV$30*CU52*IF(AND(Timeline!CV$42=1,CV$23&lt;IntConvMonth),1,0)</f>
        <v/>
      </c>
      <c r="CW53" s="374">
        <f>CW$30*CV52*IF(AND(Timeline!CW$42=1,CW$23&lt;IntConvMonth),1,0)</f>
        <v/>
      </c>
      <c r="CX53" s="374">
        <f>CX$30*CW52*IF(AND(Timeline!CX$42=1,CX$23&lt;IntConvMonth),1,0)</f>
        <v/>
      </c>
      <c r="CY53" s="374">
        <f>CY$30*CX52*IF(AND(Timeline!CY$42=1,CY$23&lt;IntConvMonth),1,0)</f>
        <v/>
      </c>
      <c r="CZ53" s="374">
        <f>CZ$30*CY52*IF(AND(Timeline!CZ$42=1,CZ$23&lt;IntConvMonth),1,0)</f>
        <v/>
      </c>
      <c r="DA53" s="374">
        <f>DA$30*CZ52*IF(AND(Timeline!DA$42=1,DA$23&lt;IntConvMonth),1,0)</f>
        <v/>
      </c>
      <c r="DB53" s="374">
        <f>DB$30*DA52*IF(AND(Timeline!DB$42=1,DB$23&lt;IntConvMonth),1,0)</f>
        <v/>
      </c>
      <c r="DC53" s="374">
        <f>DC$30*DB52*IF(AND(Timeline!DC$42=1,DC$23&lt;IntConvMonth),1,0)</f>
        <v/>
      </c>
      <c r="DD53" s="374">
        <f>DD$30*DC52*IF(AND(Timeline!DD$42=1,DD$23&lt;IntConvMonth),1,0)</f>
        <v/>
      </c>
      <c r="DE53" s="374">
        <f>DE$30*DD52*IF(AND(Timeline!DE$42=1,DE$23&lt;IntConvMonth),1,0)</f>
        <v/>
      </c>
      <c r="DF53" s="374">
        <f>DF$30*DE52*IF(AND(Timeline!DF$42=1,DF$23&lt;IntConvMonth),1,0)</f>
        <v/>
      </c>
      <c r="DG53" s="374">
        <f>DG$30*DF52*IF(AND(Timeline!DG$42=1,DG$23&lt;IntConvMonth),1,0)</f>
        <v/>
      </c>
      <c r="DH53" s="374">
        <f>DH$30*DG52*IF(AND(Timeline!DH$42=1,DH$23&lt;IntConvMonth),1,0)</f>
        <v/>
      </c>
      <c r="DI53" s="374">
        <f>DI$30*DH52*IF(AND(Timeline!DI$42=1,DI$23&lt;IntConvMonth),1,0)</f>
        <v/>
      </c>
      <c r="DJ53" s="374">
        <f>DJ$30*DI52*IF(AND(Timeline!DJ$42=1,DJ$23&lt;IntConvMonth),1,0)</f>
        <v/>
      </c>
      <c r="DK53" s="374">
        <f>DK$30*DJ52*IF(AND(Timeline!DK$42=1,DK$23&lt;IntConvMonth),1,0)</f>
        <v/>
      </c>
      <c r="DL53" s="374">
        <f>DL$30*DK52*IF(AND(Timeline!DL$42=1,DL$23&lt;IntConvMonth),1,0)</f>
        <v/>
      </c>
      <c r="DM53" s="374">
        <f>DM$30*DL52*IF(AND(Timeline!DM$42=1,DM$23&lt;IntConvMonth),1,0)</f>
        <v/>
      </c>
      <c r="DN53" s="374">
        <f>DN$30*DM52*IF(AND(Timeline!DN$42=1,DN$23&lt;IntConvMonth),1,0)</f>
        <v/>
      </c>
      <c r="DO53" s="374">
        <f>DO$30*DN52*IF(AND(Timeline!DO$42=1,DO$23&lt;IntConvMonth),1,0)</f>
        <v/>
      </c>
      <c r="DP53" s="374">
        <f>DP$30*DO52*IF(AND(Timeline!DP$42=1,DP$23&lt;IntConvMonth),1,0)</f>
        <v/>
      </c>
      <c r="DQ53" s="374">
        <f>DQ$30*DP52*IF(AND(Timeline!DQ$42=1,DQ$23&lt;IntConvMonth),1,0)</f>
        <v/>
      </c>
      <c r="DR53" s="374">
        <f>DR$30*DQ52*IF(AND(Timeline!DR$42=1,DR$23&lt;IntConvMonth),1,0)</f>
        <v/>
      </c>
      <c r="DS53" s="374">
        <f>DS$30*DR52*IF(AND(Timeline!DS$42=1,DS$23&lt;IntConvMonth),1,0)</f>
        <v/>
      </c>
      <c r="DT53" s="374">
        <f>DT$30*DS52*IF(AND(Timeline!DT$42=1,DT$23&lt;IntConvMonth),1,0)</f>
        <v/>
      </c>
      <c r="DU53" s="374">
        <f>DU$30*DT52*IF(AND(Timeline!DU$42=1,DU$23&lt;IntConvMonth),1,0)</f>
        <v/>
      </c>
      <c r="DV53" s="374">
        <f>DV$30*DU52*IF(AND(Timeline!DV$42=1,DV$23&lt;IntConvMonth),1,0)</f>
        <v/>
      </c>
      <c r="DW53" s="374">
        <f>DW$30*DV52*IF(AND(Timeline!DW$42=1,DW$23&lt;IntConvMonth),1,0)</f>
        <v/>
      </c>
      <c r="DX53" s="374">
        <f>DX$30*DW52*IF(AND(Timeline!DX$42=1,DX$23&lt;IntConvMonth),1,0)</f>
        <v/>
      </c>
      <c r="DY53" s="374">
        <f>DY$30*DX52*IF(AND(Timeline!DY$42=1,DY$23&lt;IntConvMonth),1,0)</f>
        <v/>
      </c>
      <c r="DZ53" s="374">
        <f>DZ$30*DY52*IF(AND(Timeline!DZ$42=1,DZ$23&lt;IntConvMonth),1,0)</f>
        <v/>
      </c>
      <c r="EA53" s="374">
        <f>EA$30*DZ52*IF(AND(Timeline!EA$42=1,EA$23&lt;IntConvMonth),1,0)</f>
        <v/>
      </c>
      <c r="EB53" s="374">
        <f>EB$30*EA52*IF(AND(Timeline!EB$42=1,EB$23&lt;IntConvMonth),1,0)</f>
        <v/>
      </c>
      <c r="EC53" s="374">
        <f>EC$30*EB52*IF(AND(Timeline!EC$42=1,EC$23&lt;IntConvMonth),1,0)</f>
        <v/>
      </c>
      <c r="ED53" s="374">
        <f>ED$30*EC52*IF(AND(Timeline!ED$42=1,ED$23&lt;IntConvMonth),1,0)</f>
        <v/>
      </c>
      <c r="EE53" s="374">
        <f>EE$30*ED52*IF(AND(Timeline!EE$42=1,EE$23&lt;IntConvMonth),1,0)</f>
        <v/>
      </c>
      <c r="EF53" s="374">
        <f>EF$30*EE52*IF(AND(Timeline!EF$42=1,EF$23&lt;IntConvMonth),1,0)</f>
        <v/>
      </c>
      <c r="EG53" s="374">
        <f>EG$30*EF52*IF(AND(Timeline!EG$42=1,EG$23&lt;IntConvMonth),1,0)</f>
        <v/>
      </c>
      <c r="EH53" s="374">
        <f>EH$30*EG52*IF(AND(Timeline!EH$42=1,EH$23&lt;IntConvMonth),1,0)</f>
        <v/>
      </c>
      <c r="EI53" s="374">
        <f>EI$30*EH52*IF(AND(Timeline!EI$42=1,EI$23&lt;IntConvMonth),1,0)</f>
        <v/>
      </c>
      <c r="EJ53" s="374">
        <f>EJ$30*EI52*IF(AND(Timeline!EJ$42=1,EJ$23&lt;IntConvMonth),1,0)</f>
        <v/>
      </c>
      <c r="EK53" s="374">
        <f>EK$30*EJ52*IF(AND(Timeline!EK$42=1,EK$23&lt;IntConvMonth),1,0)</f>
        <v/>
      </c>
      <c r="EL53" s="374">
        <f>EL$30*EK52*IF(AND(Timeline!EL$42=1,EL$23&lt;IntConvMonth),1,0)</f>
        <v/>
      </c>
      <c r="EM53" s="374">
        <f>EM$30*EL52*IF(AND(Timeline!EM$42=1,EM$23&lt;IntConvMonth),1,0)</f>
        <v/>
      </c>
      <c r="EN53" s="374">
        <f>EN$30*EM52*IF(AND(Timeline!EN$42=1,EN$23&lt;IntConvMonth),1,0)</f>
        <v/>
      </c>
      <c r="EO53" s="374">
        <f>EO$30*EN52*IF(AND(Timeline!EO$42=1,EO$23&lt;IntConvMonth),1,0)</f>
        <v/>
      </c>
      <c r="EP53" s="374">
        <f>EP$30*EO52*IF(AND(Timeline!EP$42=1,EP$23&lt;IntConvMonth),1,0)</f>
        <v/>
      </c>
      <c r="EQ53" s="374">
        <f>EQ$30*EP52*IF(AND(Timeline!EQ$42=1,EQ$23&lt;IntConvMonth),1,0)</f>
        <v/>
      </c>
      <c r="ER53" s="374">
        <f>ER$30*EQ52*IF(AND(Timeline!ER$42=1,ER$23&lt;IntConvMonth),1,0)</f>
        <v/>
      </c>
      <c r="ES53" s="374">
        <f>ES$30*ER52*IF(AND(Timeline!ES$42=1,ES$23&lt;IntConvMonth),1,0)</f>
        <v/>
      </c>
      <c r="ET53" s="374">
        <f>ET$30*ES52*IF(AND(Timeline!ET$42=1,ET$23&lt;IntConvMonth),1,0)</f>
        <v/>
      </c>
      <c r="EU53" s="374">
        <f>EU$30*ET52*IF(AND(Timeline!EU$42=1,EU$23&lt;IntConvMonth),1,0)</f>
        <v/>
      </c>
      <c r="EV53" s="374">
        <f>EV$30*EU52*IF(AND(Timeline!EV$42=1,EV$23&lt;IntConvMonth),1,0)</f>
        <v/>
      </c>
      <c r="EW53" s="374">
        <f>EW$30*EV52*IF(AND(Timeline!EW$42=1,EW$23&lt;IntConvMonth),1,0)</f>
        <v/>
      </c>
      <c r="EX53" s="374">
        <f>EX$30*EW52*IF(AND(Timeline!EX$42=1,EX$23&lt;IntConvMonth),1,0)</f>
        <v/>
      </c>
      <c r="EY53" s="374">
        <f>EY$30*EX52*IF(AND(Timeline!EY$42=1,EY$23&lt;IntConvMonth),1,0)</f>
        <v/>
      </c>
      <c r="EZ53" s="374">
        <f>EZ$30*EY52*IF(AND(Timeline!EZ$42=1,EZ$23&lt;IntConvMonth),1,0)</f>
        <v/>
      </c>
      <c r="FA53" s="374">
        <f>FA$30*EZ52*IF(AND(Timeline!FA$42=1,FA$23&lt;IntConvMonth),1,0)</f>
        <v/>
      </c>
      <c r="FB53" s="374">
        <f>FB$30*FA52*IF(AND(Timeline!FB$42=1,FB$23&lt;IntConvMonth),1,0)</f>
        <v/>
      </c>
      <c r="FC53" s="374">
        <f>FC$30*FB52*IF(AND(Timeline!FC$42=1,FC$23&lt;IntConvMonth),1,0)</f>
        <v/>
      </c>
      <c r="FD53" s="374">
        <f>FD$30*FC52*IF(AND(Timeline!FD$42=1,FD$23&lt;IntConvMonth),1,0)</f>
        <v/>
      </c>
      <c r="FE53" s="374">
        <f>FE$30*FD52*IF(AND(Timeline!FE$42=1,FE$23&lt;IntConvMonth),1,0)</f>
        <v/>
      </c>
      <c r="FF53" s="374">
        <f>FF$30*FE52*IF(AND(Timeline!FF$42=1,FF$23&lt;IntConvMonth),1,0)</f>
        <v/>
      </c>
      <c r="FG53" s="374">
        <f>FG$30*FF52*IF(AND(Timeline!FG$42=1,FG$23&lt;IntConvMonth),1,0)</f>
        <v/>
      </c>
      <c r="FH53" s="374">
        <f>FH$30*FG52*IF(AND(Timeline!FH$42=1,FH$23&lt;IntConvMonth),1,0)</f>
        <v/>
      </c>
      <c r="FI53" s="374">
        <f>FI$30*FH52*IF(AND(Timeline!FI$42=1,FI$23&lt;IntConvMonth),1,0)</f>
        <v/>
      </c>
      <c r="FJ53" s="374">
        <f>FJ$30*FI52*IF(AND(Timeline!FJ$42=1,FJ$23&lt;IntConvMonth),1,0)</f>
        <v/>
      </c>
      <c r="FK53" s="374">
        <f>FK$30*FJ52*IF(AND(Timeline!FK$42=1,FK$23&lt;IntConvMonth),1,0)</f>
        <v/>
      </c>
      <c r="FL53" s="374">
        <f>FL$30*FK52*IF(AND(Timeline!FL$42=1,FL$23&lt;IntConvMonth),1,0)</f>
        <v/>
      </c>
      <c r="FM53" s="374">
        <f>FM$30*FL52*IF(AND(Timeline!FM$42=1,FM$23&lt;IntConvMonth),1,0)</f>
        <v/>
      </c>
      <c r="FN53" s="374">
        <f>FN$30*FM52*IF(AND(Timeline!FN$42=1,FN$23&lt;IntConvMonth),1,0)</f>
        <v/>
      </c>
      <c r="FO53" s="374">
        <f>FO$30*FN52*IF(AND(Timeline!FO$42=1,FO$23&lt;IntConvMonth),1,0)</f>
        <v/>
      </c>
      <c r="FP53" s="374">
        <f>FP$30*FO52*IF(AND(Timeline!FP$42=1,FP$23&lt;IntConvMonth),1,0)</f>
        <v/>
      </c>
      <c r="FQ53" s="374">
        <f>FQ$30*FP52*IF(AND(Timeline!FQ$42=1,FQ$23&lt;IntConvMonth),1,0)</f>
        <v/>
      </c>
      <c r="FR53" s="374">
        <f>FR$30*FQ52*IF(AND(Timeline!FR$42=1,FR$23&lt;IntConvMonth),1,0)</f>
        <v/>
      </c>
      <c r="FS53" s="374">
        <f>FS$30*FR52*IF(AND(Timeline!FS$42=1,FS$23&lt;IntConvMonth),1,0)</f>
        <v/>
      </c>
      <c r="FT53" s="374">
        <f>FT$30*FS52*IF(AND(Timeline!FT$42=1,FT$23&lt;IntConvMonth),1,0)</f>
        <v/>
      </c>
      <c r="FU53" s="374">
        <f>FU$30*FT52*IF(AND(Timeline!FU$42=1,FU$23&lt;IntConvMonth),1,0)</f>
        <v/>
      </c>
      <c r="FV53" s="374">
        <f>FV$30*FU52*IF(AND(Timeline!FV$42=1,FV$23&lt;IntConvMonth),1,0)</f>
        <v/>
      </c>
      <c r="FW53" s="374">
        <f>FW$30*FV52*IF(AND(Timeline!FW$42=1,FW$23&lt;IntConvMonth),1,0)</f>
        <v/>
      </c>
      <c r="FX53" s="374">
        <f>FX$30*FW52*IF(AND(Timeline!FX$42=1,FX$23&lt;IntConvMonth),1,0)</f>
        <v/>
      </c>
      <c r="FY53" s="374">
        <f>FY$30*FX52*IF(AND(Timeline!FY$42=1,FY$23&lt;IntConvMonth),1,0)</f>
        <v/>
      </c>
      <c r="FZ53" s="374">
        <f>FZ$30*FY52*IF(AND(Timeline!FZ$42=1,FZ$23&lt;IntConvMonth),1,0)</f>
        <v/>
      </c>
      <c r="GA53" s="374">
        <f>GA$30*FZ52*IF(AND(Timeline!GA$42=1,GA$23&lt;IntConvMonth),1,0)</f>
        <v/>
      </c>
      <c r="GB53" s="374">
        <f>GB$30*GA52*IF(AND(Timeline!GB$42=1,GB$23&lt;IntConvMonth),1,0)</f>
        <v/>
      </c>
      <c r="GC53" s="374">
        <f>GC$30*GB52*IF(AND(Timeline!GC$42=1,GC$23&lt;IntConvMonth),1,0)</f>
        <v/>
      </c>
      <c r="GD53" s="374">
        <f>GD$30*GC52*IF(AND(Timeline!GD$42=1,GD$23&lt;IntConvMonth),1,0)</f>
        <v/>
      </c>
      <c r="GE53" s="374">
        <f>GE$30*GD52*IF(AND(Timeline!GE$42=1,GE$23&lt;IntConvMonth),1,0)</f>
        <v/>
      </c>
      <c r="GF53" s="374">
        <f>GF$30*GE52*IF(AND(Timeline!GF$42=1,GF$23&lt;IntConvMonth),1,0)</f>
        <v/>
      </c>
      <c r="GG53" s="374">
        <f>GG$30*GF52*IF(AND(Timeline!GG$42=1,GG$23&lt;IntConvMonth),1,0)</f>
        <v/>
      </c>
      <c r="GH53" s="374">
        <f>GH$30*GG52*IF(AND(Timeline!GH$42=1,GH$23&lt;IntConvMonth),1,0)</f>
        <v/>
      </c>
      <c r="GI53" s="374">
        <f>GI$30*GH52*IF(AND(Timeline!GI$42=1,GI$23&lt;IntConvMonth),1,0)</f>
        <v/>
      </c>
      <c r="GJ53" s="374">
        <f>GJ$30*GI52*IF(AND(Timeline!GJ$42=1,GJ$23&lt;IntConvMonth),1,0)</f>
        <v/>
      </c>
      <c r="GK53" s="374">
        <f>GK$30*GJ52*IF(AND(Timeline!GK$42=1,GK$23&lt;IntConvMonth),1,0)</f>
        <v/>
      </c>
      <c r="GL53" s="374">
        <f>GL$30*GK52*IF(AND(Timeline!GL$42=1,GL$23&lt;IntConvMonth),1,0)</f>
        <v/>
      </c>
      <c r="GM53" s="374">
        <f>GM$30*GL52*IF(AND(Timeline!GM$42=1,GM$23&lt;IntConvMonth),1,0)</f>
        <v/>
      </c>
      <c r="GN53" s="374">
        <f>GN$30*GM52*IF(AND(Timeline!GN$42=1,GN$23&lt;IntConvMonth),1,0)</f>
        <v/>
      </c>
      <c r="GO53" s="374">
        <f>GO$30*GN52*IF(AND(Timeline!GO$42=1,GO$23&lt;IntConvMonth),1,0)</f>
        <v/>
      </c>
      <c r="GP53" s="374">
        <f>GP$30*GO52*IF(AND(Timeline!GP$42=1,GP$23&lt;IntConvMonth),1,0)</f>
        <v/>
      </c>
      <c r="GQ53" s="374">
        <f>GQ$30*GP52*IF(AND(Timeline!GQ$42=1,GQ$23&lt;IntConvMonth),1,0)</f>
        <v/>
      </c>
      <c r="GR53" s="374">
        <f>GR$30*GQ52*IF(AND(Timeline!GR$42=1,GR$23&lt;IntConvMonth),1,0)</f>
        <v/>
      </c>
      <c r="GS53" s="374">
        <f>GS$30*GR52*IF(AND(Timeline!GS$42=1,GS$23&lt;IntConvMonth),1,0)</f>
        <v/>
      </c>
      <c r="GT53" s="374">
        <f>GT$30*GS52*IF(AND(Timeline!GT$42=1,GT$23&lt;IntConvMonth),1,0)</f>
        <v/>
      </c>
      <c r="GU53" s="374">
        <f>GU$30*GT52*IF(AND(Timeline!GU$42=1,GU$23&lt;IntConvMonth),1,0)</f>
        <v/>
      </c>
      <c r="GV53" s="374">
        <f>GV$30*GU52*IF(AND(Timeline!GV$42=1,GV$23&lt;IntConvMonth),1,0)</f>
        <v/>
      </c>
      <c r="GW53" s="374">
        <f>GW$30*GV52*IF(AND(Timeline!GW$42=1,GW$23&lt;IntConvMonth),1,0)</f>
        <v/>
      </c>
      <c r="GX53" s="374">
        <f>GX$30*GW52*IF(AND(Timeline!GX$42=1,GX$23&lt;IntConvMonth),1,0)</f>
        <v/>
      </c>
      <c r="GY53" s="374">
        <f>GY$30*GX52*IF(AND(Timeline!GY$42=1,GY$23&lt;IntConvMonth),1,0)</f>
        <v/>
      </c>
      <c r="GZ53" s="374">
        <f>GZ$30*GY52*IF(AND(Timeline!GZ$42=1,GZ$23&lt;IntConvMonth),1,0)</f>
        <v/>
      </c>
      <c r="HA53" s="374">
        <f>HA$30*GZ52*IF(AND(Timeline!HA$42=1,HA$23&lt;IntConvMonth),1,0)</f>
        <v/>
      </c>
      <c r="HB53" s="374">
        <f>HB$30*HA52*IF(AND(Timeline!HB$42=1,HB$23&lt;IntConvMonth),1,0)</f>
        <v/>
      </c>
      <c r="HC53" s="374">
        <f>HC$30*HB52*IF(AND(Timeline!HC$42=1,HC$23&lt;IntConvMonth),1,0)</f>
        <v/>
      </c>
      <c r="HD53" s="374">
        <f>HD$30*HC52*IF(AND(Timeline!HD$42=1,HD$23&lt;IntConvMonth),1,0)</f>
        <v/>
      </c>
      <c r="HE53" s="374">
        <f>HE$30*HD52*IF(AND(Timeline!HE$42=1,HE$23&lt;IntConvMonth),1,0)</f>
        <v/>
      </c>
      <c r="HF53" s="374">
        <f>HF$30*HE52*IF(AND(Timeline!HF$42=1,HF$23&lt;IntConvMonth),1,0)</f>
        <v/>
      </c>
      <c r="HG53" s="374">
        <f>HG$30*HF52*IF(AND(Timeline!HG$42=1,HG$23&lt;IntConvMonth),1,0)</f>
        <v/>
      </c>
      <c r="HH53" s="374">
        <f>HH$30*HG52*IF(AND(Timeline!HH$42=1,HH$23&lt;IntConvMonth),1,0)</f>
        <v/>
      </c>
      <c r="HI53" s="374">
        <f>HI$30*HH52*IF(AND(Timeline!HI$42=1,HI$23&lt;IntConvMonth),1,0)</f>
        <v/>
      </c>
      <c r="HJ53" s="374">
        <f>HJ$30*HI52*IF(AND(Timeline!HJ$42=1,HJ$23&lt;IntConvMonth),1,0)</f>
        <v/>
      </c>
      <c r="HK53" s="374">
        <f>HK$30*HJ52*IF(AND(Timeline!HK$42=1,HK$23&lt;IntConvMonth),1,0)</f>
        <v/>
      </c>
      <c r="HL53" s="374">
        <f>HL$30*HK52*IF(AND(Timeline!HL$42=1,HL$23&lt;IntConvMonth),1,0)</f>
        <v/>
      </c>
      <c r="HM53" s="374">
        <f>HM$30*HL52*IF(AND(Timeline!HM$42=1,HM$23&lt;IntConvMonth),1,0)</f>
        <v/>
      </c>
      <c r="HN53" s="374">
        <f>HN$30*HM52*IF(AND(Timeline!HN$42=1,HN$23&lt;IntConvMonth),1,0)</f>
        <v/>
      </c>
      <c r="HO53" s="374">
        <f>HO$30*HN52*IF(AND(Timeline!HO$42=1,HO$23&lt;IntConvMonth),1,0)</f>
        <v/>
      </c>
      <c r="HP53" s="374">
        <f>HP$30*HO52*IF(AND(Timeline!HP$42=1,HP$23&lt;IntConvMonth),1,0)</f>
        <v/>
      </c>
      <c r="HQ53" s="374">
        <f>HQ$30*HP52*IF(AND(Timeline!HQ$42=1,HQ$23&lt;IntConvMonth),1,0)</f>
        <v/>
      </c>
      <c r="HR53" s="374">
        <f>HR$30*HQ52*IF(AND(Timeline!HR$42=1,HR$23&lt;IntConvMonth),1,0)</f>
        <v/>
      </c>
      <c r="HS53" s="374">
        <f>HS$30*HR52*IF(AND(Timeline!HS$42=1,HS$23&lt;IntConvMonth),1,0)</f>
        <v/>
      </c>
      <c r="HT53" s="374">
        <f>HT$30*HS52*IF(AND(Timeline!HT$42=1,HT$23&lt;IntConvMonth),1,0)</f>
        <v/>
      </c>
      <c r="HU53" s="374">
        <f>HU$30*HT52*IF(AND(Timeline!HU$42=1,HU$23&lt;IntConvMonth),1,0)</f>
        <v/>
      </c>
      <c r="HV53" s="374">
        <f>HV$30*HU52*IF(AND(Timeline!HV$42=1,HV$23&lt;IntConvMonth),1,0)</f>
        <v/>
      </c>
      <c r="HW53" s="374">
        <f>HW$30*HV52*IF(AND(Timeline!HW$42=1,HW$23&lt;IntConvMonth),1,0)</f>
        <v/>
      </c>
      <c r="HX53" s="374">
        <f>HX$30*HW52*IF(AND(Timeline!HX$42=1,HX$23&lt;IntConvMonth),1,0)</f>
        <v/>
      </c>
      <c r="HY53" s="374">
        <f>HY$30*HX52*IF(AND(Timeline!HY$42=1,HY$23&lt;IntConvMonth),1,0)</f>
        <v/>
      </c>
      <c r="HZ53" s="374">
        <f>HZ$30*HY52*IF(AND(Timeline!HZ$42=1,HZ$23&lt;IntConvMonth),1,0)</f>
        <v/>
      </c>
      <c r="IA53" s="374">
        <f>IA$30*HZ52*IF(AND(Timeline!IA$42=1,IA$23&lt;IntConvMonth),1,0)</f>
        <v/>
      </c>
      <c r="IB53" s="374">
        <f>IB$30*IA52*IF(AND(Timeline!IB$42=1,IB$23&lt;IntConvMonth),1,0)</f>
        <v/>
      </c>
      <c r="IC53" s="374">
        <f>IC$30*IB52*IF(AND(Timeline!IC$42=1,IC$23&lt;IntConvMonth),1,0)</f>
        <v/>
      </c>
      <c r="ID53" s="374">
        <f>ID$30*IC52*IF(AND(Timeline!ID$42=1,ID$23&lt;IntConvMonth),1,0)</f>
        <v/>
      </c>
      <c r="IE53" s="374">
        <f>IE$30*ID52*IF(AND(Timeline!IE$42=1,IE$23&lt;IntConvMonth),1,0)</f>
        <v/>
      </c>
      <c r="IF53" s="374">
        <f>IF$30*IE52*IF(AND(Timeline!IF$42=1,IF$23&lt;IntConvMonth),1,0)</f>
        <v/>
      </c>
      <c r="IG53" s="374">
        <f>IG$30*IF52*IF(AND(Timeline!IG$42=1,IG$23&lt;IntConvMonth),1,0)</f>
        <v/>
      </c>
      <c r="IH53" s="374">
        <f>IH$30*IG52*IF(AND(Timeline!IH$42=1,IH$23&lt;IntConvMonth),1,0)</f>
        <v/>
      </c>
      <c r="II53" s="374">
        <f>II$30*IH52*IF(AND(Timeline!II$42=1,II$23&lt;IntConvMonth),1,0)</f>
        <v/>
      </c>
      <c r="IJ53" s="374">
        <f>IJ$30*II52*IF(AND(Timeline!IJ$42=1,IJ$23&lt;IntConvMonth),1,0)</f>
        <v/>
      </c>
      <c r="IK53" s="374">
        <f>IK$30*IJ52*IF(AND(Timeline!IK$42=1,IK$23&lt;IntConvMonth),1,0)</f>
        <v/>
      </c>
      <c r="IL53" s="374">
        <f>IL$30*IK52*IF(AND(Timeline!IL$42=1,IL$23&lt;IntConvMonth),1,0)</f>
        <v/>
      </c>
      <c r="IM53" s="374">
        <f>IM$30*IL52*IF(AND(Timeline!IM$42=1,IM$23&lt;IntConvMonth),1,0)</f>
        <v/>
      </c>
      <c r="IN53" s="374">
        <f>IN$30*IM52*IF(AND(Timeline!IN$42=1,IN$23&lt;IntConvMonth),1,0)</f>
        <v/>
      </c>
      <c r="IO53" s="374">
        <f>IO$30*IN52*IF(AND(Timeline!IO$42=1,IO$23&lt;IntConvMonth),1,0)</f>
        <v/>
      </c>
      <c r="IP53" s="374">
        <f>IP$30*IO52*IF(AND(Timeline!IP$42=1,IP$23&lt;IntConvMonth),1,0)</f>
        <v/>
      </c>
      <c r="IQ53" s="374">
        <f>IQ$30*IP52*IF(AND(Timeline!IQ$42=1,IQ$23&lt;IntConvMonth),1,0)</f>
        <v/>
      </c>
      <c r="IR53" s="374">
        <f>IR$30*IQ52*IF(AND(Timeline!IR$42=1,IR$23&lt;IntConvMonth),1,0)</f>
        <v/>
      </c>
      <c r="IS53" s="374">
        <f>IS$30*IR52*IF(AND(Timeline!IS$42=1,IS$23&lt;IntConvMonth),1,0)</f>
        <v/>
      </c>
      <c r="IT53" s="374">
        <f>IT$30*IS52*IF(AND(Timeline!IT$42=1,IT$23&lt;IntConvMonth),1,0)</f>
        <v/>
      </c>
      <c r="IU53" s="374">
        <f>IU$30*IT52*IF(AND(Timeline!IU$42=1,IU$23&lt;IntConvMonth),1,0)</f>
        <v/>
      </c>
      <c r="IV53" s="374">
        <f>IV$30*IU52*IF(AND(Timeline!IV$42=1,IV$23&lt;IntConvMonth),1,0)</f>
        <v/>
      </c>
      <c r="IW53" s="374">
        <f>IW$30*IV52*IF(AND(Timeline!IW$42=1,IW$23&lt;IntConvMonth),1,0)</f>
        <v/>
      </c>
      <c r="IX53" s="374">
        <f>IX$30*IW52*IF(AND(Timeline!IX$42=1,IX$23&lt;IntConvMonth),1,0)</f>
        <v/>
      </c>
      <c r="IY53" s="374">
        <f>IY$30*IX52*IF(AND(Timeline!IY$42=1,IY$23&lt;IntConvMonth),1,0)</f>
        <v/>
      </c>
      <c r="IZ53" s="374">
        <f>IZ$30*IY52*IF(AND(Timeline!IZ$42=1,IZ$23&lt;IntConvMonth),1,0)</f>
        <v/>
      </c>
      <c r="JA53" s="374">
        <f>JA$30*IZ52*IF(AND(Timeline!JA$42=1,JA$23&lt;IntConvMonth),1,0)</f>
        <v/>
      </c>
      <c r="JB53" s="374">
        <f>JB$30*JA52*IF(AND(Timeline!JB$42=1,JB$23&lt;IntConvMonth),1,0)</f>
        <v/>
      </c>
      <c r="JC53" s="374">
        <f>JC$30*JB52*IF(AND(Timeline!JC$42=1,JC$23&lt;IntConvMonth),1,0)</f>
        <v/>
      </c>
      <c r="JD53" s="374">
        <f>JD$30*JC52*IF(AND(Timeline!JD$42=1,JD$23&lt;IntConvMonth),1,0)</f>
        <v/>
      </c>
      <c r="JE53" s="374">
        <f>JE$30*JD52*IF(AND(Timeline!JE$42=1,JE$23&lt;IntConvMonth),1,0)</f>
        <v/>
      </c>
      <c r="JF53" s="374">
        <f>JF$30*JE52*IF(AND(Timeline!JF$42=1,JF$23&lt;IntConvMonth),1,0)</f>
        <v/>
      </c>
      <c r="JG53" s="374">
        <f>JG$30*JF52*IF(AND(Timeline!JG$42=1,JG$23&lt;IntConvMonth),1,0)</f>
        <v/>
      </c>
      <c r="JH53" s="374">
        <f>JH$30*JG52*IF(AND(Timeline!JH$42=1,JH$23&lt;IntConvMonth),1,0)</f>
        <v/>
      </c>
      <c r="JI53" s="374">
        <f>JI$30*JH52*IF(AND(Timeline!JI$42=1,JI$23&lt;IntConvMonth),1,0)</f>
        <v/>
      </c>
      <c r="JJ53" s="374">
        <f>JJ$30*JI52*IF(AND(Timeline!JJ$42=1,JJ$23&lt;IntConvMonth),1,0)</f>
        <v/>
      </c>
      <c r="JK53" s="374">
        <f>JK$30*JJ52*IF(AND(Timeline!JK$42=1,JK$23&lt;IntConvMonth),1,0)</f>
        <v/>
      </c>
      <c r="JL53" s="374">
        <f>JL$30*JK52*IF(AND(Timeline!JL$42=1,JL$23&lt;IntConvMonth),1,0)</f>
        <v/>
      </c>
      <c r="JM53" s="374">
        <f>JM$30*JL52*IF(AND(Timeline!JM$42=1,JM$23&lt;IntConvMonth),1,0)</f>
        <v/>
      </c>
      <c r="JN53" s="374">
        <f>JN$30*JM52*IF(AND(Timeline!JN$42=1,JN$23&lt;IntConvMonth),1,0)</f>
        <v/>
      </c>
      <c r="JO53" s="374">
        <f>JO$30*JN52*IF(AND(Timeline!JO$42=1,JO$23&lt;IntConvMonth),1,0)</f>
        <v/>
      </c>
      <c r="JP53" s="374">
        <f>JP$30*JO52*IF(AND(Timeline!JP$42=1,JP$23&lt;IntConvMonth),1,0)</f>
        <v/>
      </c>
      <c r="JQ53" s="374">
        <f>JQ$30*JP52*IF(AND(Timeline!JQ$42=1,JQ$23&lt;IntConvMonth),1,0)</f>
        <v/>
      </c>
      <c r="JR53" s="374">
        <f>JR$30*JQ52*IF(AND(Timeline!JR$42=1,JR$23&lt;IntConvMonth),1,0)</f>
        <v/>
      </c>
      <c r="JS53" s="374">
        <f>JS$30*JR52*IF(AND(Timeline!JS$42=1,JS$23&lt;IntConvMonth),1,0)</f>
        <v/>
      </c>
      <c r="JT53" s="374">
        <f>JT$30*JS52*IF(AND(Timeline!JT$42=1,JT$23&lt;IntConvMonth),1,0)</f>
        <v/>
      </c>
      <c r="JU53" s="374">
        <f>JU$30*JT52*IF(AND(Timeline!JU$42=1,JU$23&lt;IntConvMonth),1,0)</f>
        <v/>
      </c>
      <c r="JV53" s="374">
        <f>JV$30*JU52*IF(AND(Timeline!JV$42=1,JV$23&lt;IntConvMonth),1,0)</f>
        <v/>
      </c>
      <c r="JW53" s="374">
        <f>JW$30*JV52*IF(AND(Timeline!JW$42=1,JW$23&lt;IntConvMonth),1,0)</f>
        <v/>
      </c>
      <c r="JX53" s="374">
        <f>JX$30*JW52*IF(AND(Timeline!JX$42=1,JX$23&lt;IntConvMonth),1,0)</f>
        <v/>
      </c>
      <c r="JY53" s="374">
        <f>JY$30*JX52*IF(AND(Timeline!JY$42=1,JY$23&lt;IntConvMonth),1,0)</f>
        <v/>
      </c>
      <c r="JZ53" s="374">
        <f>JZ$30*JY52*IF(AND(Timeline!JZ$42=1,JZ$23&lt;IntConvMonth),1,0)</f>
        <v/>
      </c>
      <c r="KA53" s="374">
        <f>KA$30*JZ52*IF(AND(Timeline!KA$42=1,KA$23&lt;IntConvMonth),1,0)</f>
        <v/>
      </c>
      <c r="KB53" s="374">
        <f>KB$30*KA52*IF(AND(Timeline!KB$42=1,KB$23&lt;IntConvMonth),1,0)</f>
        <v/>
      </c>
      <c r="KC53" s="374">
        <f>KC$30*KB52*IF(AND(Timeline!KC$42=1,KC$23&lt;IntConvMonth),1,0)</f>
        <v/>
      </c>
      <c r="KD53" s="374">
        <f>KD$30*KC52*IF(AND(Timeline!KD$42=1,KD$23&lt;IntConvMonth),1,0)</f>
        <v/>
      </c>
      <c r="KE53" s="374">
        <f>KE$30*KD52*IF(AND(Timeline!KE$42=1,KE$23&lt;IntConvMonth),1,0)</f>
        <v/>
      </c>
      <c r="KF53" s="374">
        <f>KF$30*KE52*IF(AND(Timeline!KF$42=1,KF$23&lt;IntConvMonth),1,0)</f>
        <v/>
      </c>
      <c r="KG53" s="374">
        <f>KG$30*KF52*IF(AND(Timeline!KG$42=1,KG$23&lt;IntConvMonth),1,0)</f>
        <v/>
      </c>
      <c r="KH53" s="374">
        <f>KH$30*KG52*IF(AND(Timeline!KH$42=1,KH$23&lt;IntConvMonth),1,0)</f>
        <v/>
      </c>
      <c r="KI53" s="374">
        <f>KI$30*KH52*IF(AND(Timeline!KI$42=1,KI$23&lt;IntConvMonth),1,0)</f>
        <v/>
      </c>
      <c r="KJ53" s="374">
        <f>KJ$30*KI52*IF(AND(Timeline!KJ$42=1,KJ$23&lt;IntConvMonth),1,0)</f>
        <v/>
      </c>
      <c r="KK53" s="374">
        <f>KK$30*KJ52*IF(AND(Timeline!KK$42=1,KK$23&lt;IntConvMonth),1,0)</f>
        <v/>
      </c>
      <c r="KL53" s="374">
        <f>KL$30*KK52*IF(AND(Timeline!KL$42=1,KL$23&lt;IntConvMonth),1,0)</f>
        <v/>
      </c>
      <c r="KM53" s="374">
        <f>KM$30*KL52*IF(AND(Timeline!KM$42=1,KM$23&lt;IntConvMonth),1,0)</f>
        <v/>
      </c>
      <c r="KN53" s="374">
        <f>KN$30*KM52*IF(AND(Timeline!KN$42=1,KN$23&lt;IntConvMonth),1,0)</f>
        <v/>
      </c>
      <c r="KO53" s="374">
        <f>KO$30*KN52*IF(AND(Timeline!KO$42=1,KO$23&lt;IntConvMonth),1,0)</f>
        <v/>
      </c>
      <c r="KP53" s="374">
        <f>KP$30*KO52*IF(AND(Timeline!KP$42=1,KP$23&lt;IntConvMonth),1,0)</f>
        <v/>
      </c>
      <c r="KQ53" s="374">
        <f>KQ$30*KP52*IF(AND(Timeline!KQ$42=1,KQ$23&lt;IntConvMonth),1,0)</f>
        <v/>
      </c>
      <c r="KR53" s="374">
        <f>KR$30*KQ52*IF(AND(Timeline!KR$42=1,KR$23&lt;IntConvMonth),1,0)</f>
        <v/>
      </c>
      <c r="KS53" s="374">
        <f>KS$30*KR52*IF(AND(Timeline!KS$42=1,KS$23&lt;IntConvMonth),1,0)</f>
        <v/>
      </c>
      <c r="KT53" s="374">
        <f>KT$30*KS52*IF(AND(Timeline!KT$42=1,KT$23&lt;IntConvMonth),1,0)</f>
        <v/>
      </c>
      <c r="KU53" s="374">
        <f>KU$30*KT52*IF(AND(Timeline!KU$42=1,KU$23&lt;IntConvMonth),1,0)</f>
        <v/>
      </c>
      <c r="KV53" s="374">
        <f>KV$30*KU52*IF(AND(Timeline!KV$42=1,KV$23&lt;IntConvMonth),1,0)</f>
        <v/>
      </c>
      <c r="KW53" s="374">
        <f>KW$30*KV52*IF(AND(Timeline!KW$42=1,KW$23&lt;IntConvMonth),1,0)</f>
        <v/>
      </c>
      <c r="KX53" s="374">
        <f>KX$30*KW52*IF(AND(Timeline!KX$42=1,KX$23&lt;IntConvMonth),1,0)</f>
        <v/>
      </c>
      <c r="KY53" s="374">
        <f>KY$30*KX52*IF(AND(Timeline!KY$42=1,KY$23&lt;IntConvMonth),1,0)</f>
        <v/>
      </c>
      <c r="KZ53" s="374">
        <f>KZ$30*KY52*IF(AND(Timeline!KZ$42=1,KZ$23&lt;IntConvMonth),1,0)</f>
        <v/>
      </c>
      <c r="LA53" s="374">
        <f>LA$30*KZ52*IF(AND(Timeline!LA$42=1,LA$23&lt;IntConvMonth),1,0)</f>
        <v/>
      </c>
      <c r="LB53" s="374">
        <f>LB$30*LA52*IF(AND(Timeline!LB$42=1,LB$23&lt;IntConvMonth),1,0)</f>
        <v/>
      </c>
      <c r="LC53" s="374">
        <f>LC$30*LB52*IF(AND(Timeline!LC$42=1,LC$23&lt;IntConvMonth),1,0)</f>
        <v/>
      </c>
      <c r="LD53" s="374">
        <f>LD$30*LC52*IF(AND(Timeline!LD$42=1,LD$23&lt;IntConvMonth),1,0)</f>
        <v/>
      </c>
      <c r="LE53" s="374">
        <f>LE$30*LD52*IF(AND(Timeline!LE$42=1,LE$23&lt;IntConvMonth),1,0)</f>
        <v/>
      </c>
      <c r="LF53" s="374">
        <f>LF$30*LE52*IF(AND(Timeline!LF$42=1,LF$23&lt;IntConvMonth),1,0)</f>
        <v/>
      </c>
      <c r="LG53" s="374">
        <f>LG$30*LF52*IF(AND(Timeline!LG$42=1,LG$23&lt;IntConvMonth),1,0)</f>
        <v/>
      </c>
      <c r="LH53" s="374">
        <f>LH$30*LG52*IF(AND(Timeline!LH$42=1,LH$23&lt;IntConvMonth),1,0)</f>
        <v/>
      </c>
      <c r="LI53" s="374">
        <f>LI$30*LH52*IF(AND(Timeline!LI$42=1,LI$23&lt;IntConvMonth),1,0)</f>
        <v/>
      </c>
      <c r="LJ53" s="374">
        <f>LJ$30*LI52*IF(AND(Timeline!LJ$42=1,LJ$23&lt;IntConvMonth),1,0)</f>
        <v/>
      </c>
      <c r="LK53" s="374">
        <f>LK$30*LJ52*IF(AND(Timeline!LK$42=1,LK$23&lt;IntConvMonth),1,0)</f>
        <v/>
      </c>
      <c r="LL53" s="374">
        <f>LL$30*LK52*IF(AND(Timeline!LL$42=1,LL$23&lt;IntConvMonth),1,0)</f>
        <v/>
      </c>
      <c r="LM53" s="374">
        <f>LM$30*LL52*IF(AND(Timeline!LM$42=1,LM$23&lt;IntConvMonth),1,0)</f>
        <v/>
      </c>
      <c r="LN53" s="374">
        <f>LN$30*LM52*IF(AND(Timeline!LN$42=1,LN$23&lt;IntConvMonth),1,0)</f>
        <v/>
      </c>
      <c r="LO53" s="374">
        <f>LO$30*LN52*IF(AND(Timeline!LO$42=1,LO$23&lt;IntConvMonth),1,0)</f>
        <v/>
      </c>
      <c r="LP53" s="374">
        <f>LP$30*LO52*IF(AND(Timeline!LP$42=1,LP$23&lt;IntConvMonth),1,0)</f>
        <v/>
      </c>
      <c r="LQ53" s="374">
        <f>LQ$30*LP52*IF(AND(Timeline!LQ$42=1,LQ$23&lt;IntConvMonth),1,0)</f>
        <v/>
      </c>
      <c r="LR53" s="374">
        <f>LR$30*LQ52*IF(AND(Timeline!LR$42=1,LR$23&lt;IntConvMonth),1,0)</f>
        <v/>
      </c>
      <c r="LS53" s="374">
        <f>LS$30*LR52*IF(AND(Timeline!LS$42=1,LS$23&lt;IntConvMonth),1,0)</f>
        <v/>
      </c>
      <c r="LT53" s="374">
        <f>LT$30*LS52*IF(AND(Timeline!LT$42=1,LT$23&lt;IntConvMonth),1,0)</f>
        <v/>
      </c>
      <c r="LU53" s="374">
        <f>LU$30*LT52*IF(AND(Timeline!LU$42=1,LU$23&lt;IntConvMonth),1,0)</f>
        <v/>
      </c>
      <c r="LV53" s="374">
        <f>LV$30*LU52*IF(AND(Timeline!LV$42=1,LV$23&lt;IntConvMonth),1,0)</f>
        <v/>
      </c>
      <c r="LW53" s="374">
        <f>LW$30*LV52*IF(AND(Timeline!LW$42=1,LW$23&lt;IntConvMonth),1,0)</f>
        <v/>
      </c>
      <c r="LX53" s="374">
        <f>LX$30*LW52*IF(AND(Timeline!LX$42=1,LX$23&lt;IntConvMonth),1,0)</f>
        <v/>
      </c>
      <c r="LY53" s="374">
        <f>LY$30*LX52*IF(AND(Timeline!LY$42=1,LY$23&lt;IntConvMonth),1,0)</f>
        <v/>
      </c>
      <c r="LZ53" s="374">
        <f>LZ$30*LY52*IF(AND(Timeline!LZ$42=1,LZ$23&lt;IntConvMonth),1,0)</f>
        <v/>
      </c>
      <c r="MA53" s="374">
        <f>MA$30*LZ52*IF(AND(Timeline!MA$42=1,MA$23&lt;IntConvMonth),1,0)</f>
        <v/>
      </c>
      <c r="MB53" s="374">
        <f>MB$30*MA52*IF(AND(Timeline!MB$42=1,MB$23&lt;IntConvMonth),1,0)</f>
        <v/>
      </c>
      <c r="MC53" s="374">
        <f>MC$30*MB52*IF(AND(Timeline!MC$42=1,MC$23&lt;IntConvMonth),1,0)</f>
        <v/>
      </c>
      <c r="MD53" s="374">
        <f>MD$30*MC52*IF(AND(Timeline!MD$42=1,MD$23&lt;IntConvMonth),1,0)</f>
        <v/>
      </c>
      <c r="ME53" s="374">
        <f>ME$30*MD52*IF(AND(Timeline!ME$42=1,ME$23&lt;IntConvMonth),1,0)</f>
        <v/>
      </c>
      <c r="MF53" s="374">
        <f>MF$30*ME52*IF(AND(Timeline!MF$42=1,MF$23&lt;IntConvMonth),1,0)</f>
        <v/>
      </c>
      <c r="MG53" s="374">
        <f>MG$30*MF52*IF(AND(Timeline!MG$42=1,MG$23&lt;IntConvMonth),1,0)</f>
        <v/>
      </c>
      <c r="MH53" s="374">
        <f>MH$30*MG52*IF(AND(Timeline!MH$42=1,MH$23&lt;IntConvMonth),1,0)</f>
        <v/>
      </c>
      <c r="MI53" s="374">
        <f>MI$30*MH52*IF(AND(Timeline!MI$42=1,MI$23&lt;IntConvMonth),1,0)</f>
        <v/>
      </c>
      <c r="MJ53" s="374">
        <f>MJ$30*MI52*IF(AND(Timeline!MJ$42=1,MJ$23&lt;IntConvMonth),1,0)</f>
        <v/>
      </c>
      <c r="MK53" s="374">
        <f>MK$30*MJ52*IF(AND(Timeline!MK$42=1,MK$23&lt;IntConvMonth),1,0)</f>
        <v/>
      </c>
      <c r="ML53" s="374">
        <f>ML$30*MK52*IF(AND(Timeline!ML$42=1,ML$23&lt;IntConvMonth),1,0)</f>
        <v/>
      </c>
      <c r="MM53" s="374">
        <f>MM$30*ML52*IF(AND(Timeline!MM$42=1,MM$23&lt;IntConvMonth),1,0)</f>
        <v/>
      </c>
      <c r="MN53" s="374">
        <f>MN$30*MM52*IF(AND(Timeline!MN$42=1,MN$23&lt;IntConvMonth),1,0)</f>
        <v/>
      </c>
      <c r="MO53" s="374">
        <f>MO$30*MN52*IF(AND(Timeline!MO$42=1,MO$23&lt;IntConvMonth),1,0)</f>
        <v/>
      </c>
      <c r="MP53" s="374">
        <f>MP$30*MO52*IF(AND(Timeline!MP$42=1,MP$23&lt;IntConvMonth),1,0)</f>
        <v/>
      </c>
      <c r="MQ53" s="374">
        <f>MQ$30*MP52*IF(AND(Timeline!MQ$42=1,MQ$23&lt;IntConvMonth),1,0)</f>
        <v/>
      </c>
      <c r="MR53" s="374">
        <f>MR$30*MQ52*IF(AND(Timeline!MR$42=1,MR$23&lt;IntConvMonth),1,0)</f>
        <v/>
      </c>
      <c r="MS53" s="374">
        <f>MS$30*MR52*IF(AND(Timeline!MS$42=1,MS$23&lt;IntConvMonth),1,0)</f>
        <v/>
      </c>
      <c r="MT53" s="374">
        <f>MT$30*MS52*IF(AND(Timeline!MT$42=1,MT$23&lt;IntConvMonth),1,0)</f>
        <v/>
      </c>
      <c r="MU53" s="374">
        <f>MU$30*MT52*IF(AND(Timeline!MU$42=1,MU$23&lt;IntConvMonth),1,0)</f>
        <v/>
      </c>
      <c r="MV53" s="374">
        <f>MV$30*MU52*IF(AND(Timeline!MV$42=1,MV$23&lt;IntConvMonth),1,0)</f>
        <v/>
      </c>
      <c r="MW53" s="374">
        <f>MW$30*MV52*IF(AND(Timeline!MW$42=1,MW$23&lt;IntConvMonth),1,0)</f>
        <v/>
      </c>
      <c r="MX53" s="374">
        <f>MX$30*MW52*IF(AND(Timeline!MX$42=1,MX$23&lt;IntConvMonth),1,0)</f>
        <v/>
      </c>
      <c r="MY53" s="374">
        <f>MY$30*MX52*IF(AND(Timeline!MY$42=1,MY$23&lt;IntConvMonth),1,0)</f>
        <v/>
      </c>
      <c r="MZ53" s="374">
        <f>MZ$30*MY52*IF(AND(Timeline!MZ$42=1,MZ$23&lt;IntConvMonth),1,0)</f>
        <v/>
      </c>
      <c r="NA53" s="374">
        <f>NA$30*MZ52*IF(AND(Timeline!NA$42=1,NA$23&lt;IntConvMonth),1,0)</f>
        <v/>
      </c>
      <c r="NB53" s="374">
        <f>NB$30*NA52*IF(AND(Timeline!NB$42=1,NB$23&lt;IntConvMonth),1,0)</f>
        <v/>
      </c>
      <c r="NC53" s="374">
        <f>NC$30*NB52*IF(AND(Timeline!NC$42=1,NC$23&lt;IntConvMonth),1,0)</f>
        <v/>
      </c>
      <c r="ND53" s="374">
        <f>ND$30*NC52*IF(AND(Timeline!ND$42=1,ND$23&lt;IntConvMonth),1,0)</f>
        <v/>
      </c>
      <c r="NE53" s="374">
        <f>NE$30*ND52*IF(AND(Timeline!NE$42=1,NE$23&lt;IntConvMonth),1,0)</f>
        <v/>
      </c>
      <c r="NF53" s="374">
        <f>NF$30*NE52*IF(AND(Timeline!NF$42=1,NF$23&lt;IntConvMonth),1,0)</f>
        <v/>
      </c>
      <c r="NG53" s="374">
        <f>NG$30*NF52*IF(AND(Timeline!NG$42=1,NG$23&lt;IntConvMonth),1,0)</f>
        <v/>
      </c>
      <c r="NH53" s="374">
        <f>NH$30*NG52*IF(AND(Timeline!NH$42=1,NH$23&lt;IntConvMonth),1,0)</f>
        <v/>
      </c>
      <c r="NI53" s="374">
        <f>NI$30*NH52*IF(AND(Timeline!NI$42=1,NI$23&lt;IntConvMonth),1,0)</f>
        <v/>
      </c>
      <c r="NJ53" s="374">
        <f>NJ$30*NI52*IF(AND(Timeline!NJ$42=1,NJ$23&lt;IntConvMonth),1,0)</f>
        <v/>
      </c>
      <c r="NK53" s="374">
        <f>NK$30*NJ52*IF(AND(Timeline!NK$42=1,NK$23&lt;IntConvMonth),1,0)</f>
        <v/>
      </c>
      <c r="NL53" s="374">
        <f>NL$30*NK52*IF(AND(Timeline!NL$42=1,NL$23&lt;IntConvMonth),1,0)</f>
        <v/>
      </c>
    </row>
    <row r="54">
      <c r="B54" s="316" t="inlineStr">
        <is>
          <t>Estimated Capitalized Interest (LTC sizing)</t>
        </is>
      </c>
      <c r="C54" s="280">
        <f>SUM(E53:NL53)</f>
        <v/>
      </c>
    </row>
    <row r="56">
      <c r="B56" s="316" t="inlineStr">
        <is>
          <t>Current-Pay Interest — Total</t>
        </is>
      </c>
      <c r="C56" s="280">
        <f>SUM(E50:NL50)</f>
        <v/>
      </c>
    </row>
    <row r="57">
      <c r="B57" s="316" t="inlineStr">
        <is>
          <t>Min Interest Reserve Balance (&gt;= 0)</t>
        </is>
      </c>
      <c r="C57" s="280">
        <f>MIN(INDEX(E51:NL51,ConStart):INDEX(E51:NL51,ConPayoffMonth))</f>
        <v/>
      </c>
    </row>
  </sheetData>
  <conditionalFormatting sqref="C19:C20">
    <cfRule type="cellIs" priority="1" operator="equal" dxfId="7">
      <formula>"PASS"</formula>
    </cfRule>
    <cfRule type="cellIs" priority="2" operator="equal" dxfId="7">
      <formula>"OK"</formula>
    </cfRule>
    <cfRule type="cellIs" priority="3" operator="equal" dxfId="5">
      <formula>"FAIL"</formula>
    </cfRule>
    <cfRule type="cellIs" priority="4" operator="equal" dxfId="8">
      <formula>"WARN"</formula>
    </cfRule>
    <cfRule type="cellIs" priority="5" operator="equal" dxfId="8">
      <formula>"CHECK"</formula>
    </cfRule>
  </conditionalFormatting>
  <conditionalFormatting sqref="D19:D20">
    <cfRule type="cellIs" priority="6" operator="equal" dxfId="7">
      <formula>"PASS"</formula>
    </cfRule>
    <cfRule type="cellIs" priority="7" operator="equal" dxfId="7">
      <formula>"OK"</formula>
    </cfRule>
    <cfRule type="cellIs" priority="8" operator="equal" dxfId="5">
      <formula>"FAIL"</formula>
    </cfRule>
    <cfRule type="cellIs" priority="9" operator="equal" dxfId="8">
      <formula>"WARN"</formula>
    </cfRule>
    <cfRule type="cellIs" priority="10" operator="equal" dxfId="8">
      <formula>"CHECK"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F7F7F"/>
    <outlinePr summaryBelow="1" summaryRight="1"/>
    <pageSetUpPr/>
  </sheetPr>
  <dimension ref="B1:NL14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D9" sqref="AD9"/>
    </sheetView>
  </sheetViews>
  <sheetFormatPr baseColWidth="8" defaultRowHeight="15"/>
  <cols>
    <col width="3.7109375" customWidth="1" style="97" min="1" max="1"/>
    <col width="30" customWidth="1" style="97" min="2" max="2"/>
    <col width="10" customWidth="1" style="97" min="3" max="3"/>
    <col width="14" customWidth="1" style="97" min="4" max="4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Unit Delivery &amp; Lease-Up Engine</t>
        </is>
      </c>
    </row>
    <row r="3">
      <c r="B3" s="84" t="inlineStr">
        <is>
          <t>Stabilized Leased Target (units)</t>
        </is>
      </c>
      <c r="C3" s="19">
        <f>ROUND(StabilizedOccupancy*TotalUnits,0)</f>
        <v/>
      </c>
    </row>
    <row r="5">
      <c r="B5" s="34" t="inlineStr">
        <is>
          <t>Monthly Delivery &amp; Absorption</t>
        </is>
      </c>
      <c r="C5" s="60" t="n"/>
      <c r="D5" s="35" t="n"/>
    </row>
    <row r="6">
      <c r="B6" s="122" t="inlineStr">
        <is>
          <t>Period →</t>
        </is>
      </c>
      <c r="D6" s="75" t="inlineStr">
        <is>
          <t>Total</t>
        </is>
      </c>
      <c r="E6" s="27" t="n">
        <v>1</v>
      </c>
      <c r="F6" s="27" t="n">
        <v>2</v>
      </c>
      <c r="G6" s="27" t="n">
        <v>3</v>
      </c>
      <c r="H6" s="27" t="n">
        <v>4</v>
      </c>
      <c r="I6" s="27" t="n">
        <v>5</v>
      </c>
      <c r="J6" s="27" t="n">
        <v>6</v>
      </c>
      <c r="K6" s="27" t="n">
        <v>7</v>
      </c>
      <c r="L6" s="27" t="n">
        <v>8</v>
      </c>
      <c r="M6" s="27" t="n">
        <v>9</v>
      </c>
      <c r="N6" s="27" t="n">
        <v>10</v>
      </c>
      <c r="O6" s="27" t="n">
        <v>11</v>
      </c>
      <c r="P6" s="27" t="n">
        <v>12</v>
      </c>
      <c r="Q6" s="27" t="n">
        <v>13</v>
      </c>
      <c r="R6" s="27" t="n">
        <v>14</v>
      </c>
      <c r="S6" s="27" t="n">
        <v>15</v>
      </c>
      <c r="T6" s="27" t="n">
        <v>16</v>
      </c>
      <c r="U6" s="27" t="n">
        <v>17</v>
      </c>
      <c r="V6" s="27" t="n">
        <v>18</v>
      </c>
      <c r="W6" s="27" t="n">
        <v>19</v>
      </c>
      <c r="X6" s="27" t="n">
        <v>20</v>
      </c>
      <c r="Y6" s="27" t="n">
        <v>21</v>
      </c>
      <c r="Z6" s="27" t="n">
        <v>22</v>
      </c>
      <c r="AA6" s="27" t="n">
        <v>23</v>
      </c>
      <c r="AB6" s="27" t="n">
        <v>24</v>
      </c>
      <c r="AC6" s="27" t="n">
        <v>25</v>
      </c>
      <c r="AD6" s="27" t="n">
        <v>26</v>
      </c>
      <c r="AE6" s="27" t="n">
        <v>27</v>
      </c>
      <c r="AF6" s="27" t="n">
        <v>28</v>
      </c>
      <c r="AG6" s="27" t="n">
        <v>29</v>
      </c>
      <c r="AH6" s="27" t="n">
        <v>30</v>
      </c>
      <c r="AI6" s="27" t="n">
        <v>31</v>
      </c>
      <c r="AJ6" s="27" t="n">
        <v>32</v>
      </c>
      <c r="AK6" s="27" t="n">
        <v>33</v>
      </c>
      <c r="AL6" s="27" t="n">
        <v>34</v>
      </c>
      <c r="AM6" s="27" t="n">
        <v>35</v>
      </c>
      <c r="AN6" s="27" t="n">
        <v>36</v>
      </c>
      <c r="AO6" s="27" t="n">
        <v>37</v>
      </c>
      <c r="AP6" s="27" t="n">
        <v>38</v>
      </c>
      <c r="AQ6" s="27" t="n">
        <v>39</v>
      </c>
      <c r="AR6" s="27" t="n">
        <v>40</v>
      </c>
      <c r="AS6" s="27" t="n">
        <v>41</v>
      </c>
      <c r="AT6" s="27" t="n">
        <v>42</v>
      </c>
      <c r="AU6" s="27" t="n">
        <v>43</v>
      </c>
      <c r="AV6" s="27" t="n">
        <v>44</v>
      </c>
      <c r="AW6" s="27" t="n">
        <v>45</v>
      </c>
      <c r="AX6" s="27" t="n">
        <v>46</v>
      </c>
      <c r="AY6" s="27" t="n">
        <v>47</v>
      </c>
      <c r="AZ6" s="27" t="n">
        <v>48</v>
      </c>
      <c r="BA6" s="27" t="n">
        <v>49</v>
      </c>
      <c r="BB6" s="27" t="n">
        <v>50</v>
      </c>
      <c r="BC6" s="27" t="n">
        <v>51</v>
      </c>
      <c r="BD6" s="27" t="n">
        <v>52</v>
      </c>
      <c r="BE6" s="27" t="n">
        <v>53</v>
      </c>
      <c r="BF6" s="27" t="n">
        <v>54</v>
      </c>
      <c r="BG6" s="27" t="n">
        <v>55</v>
      </c>
      <c r="BH6" s="27" t="n">
        <v>56</v>
      </c>
      <c r="BI6" s="27" t="n">
        <v>57</v>
      </c>
      <c r="BJ6" s="27" t="n">
        <v>58</v>
      </c>
      <c r="BK6" s="27" t="n">
        <v>59</v>
      </c>
      <c r="BL6" s="27" t="n">
        <v>60</v>
      </c>
      <c r="BM6" s="27" t="n">
        <v>61</v>
      </c>
      <c r="BN6" s="27" t="n">
        <v>62</v>
      </c>
      <c r="BO6" s="27" t="n">
        <v>63</v>
      </c>
      <c r="BP6" s="27" t="n">
        <v>64</v>
      </c>
      <c r="BQ6" s="27" t="n">
        <v>65</v>
      </c>
      <c r="BR6" s="27" t="n">
        <v>66</v>
      </c>
      <c r="BS6" s="27" t="n">
        <v>67</v>
      </c>
      <c r="BT6" s="27" t="n">
        <v>68</v>
      </c>
      <c r="BU6" s="27" t="n">
        <v>69</v>
      </c>
      <c r="BV6" s="27" t="n">
        <v>70</v>
      </c>
      <c r="BW6" s="27" t="n">
        <v>71</v>
      </c>
      <c r="BX6" s="27" t="n">
        <v>72</v>
      </c>
      <c r="BY6" s="27" t="n">
        <v>73</v>
      </c>
      <c r="BZ6" s="27" t="n">
        <v>74</v>
      </c>
      <c r="CA6" s="27" t="n">
        <v>75</v>
      </c>
      <c r="CB6" s="27" t="n">
        <v>76</v>
      </c>
      <c r="CC6" s="27" t="n">
        <v>77</v>
      </c>
      <c r="CD6" s="27" t="n">
        <v>78</v>
      </c>
      <c r="CE6" s="27" t="n">
        <v>79</v>
      </c>
      <c r="CF6" s="27" t="n">
        <v>80</v>
      </c>
      <c r="CG6" s="27" t="n">
        <v>81</v>
      </c>
      <c r="CH6" s="27" t="n">
        <v>82</v>
      </c>
      <c r="CI6" s="27" t="n">
        <v>83</v>
      </c>
      <c r="CJ6" s="27" t="n">
        <v>84</v>
      </c>
      <c r="CK6" s="27" t="n">
        <v>85</v>
      </c>
      <c r="CL6" s="27" t="n">
        <v>86</v>
      </c>
      <c r="CM6" s="27" t="n">
        <v>87</v>
      </c>
      <c r="CN6" s="27" t="n">
        <v>88</v>
      </c>
      <c r="CO6" s="27" t="n">
        <v>89</v>
      </c>
      <c r="CP6" s="27" t="n">
        <v>90</v>
      </c>
      <c r="CQ6" s="27" t="n">
        <v>91</v>
      </c>
      <c r="CR6" s="27" t="n">
        <v>92</v>
      </c>
      <c r="CS6" s="27" t="n">
        <v>93</v>
      </c>
      <c r="CT6" s="27" t="n">
        <v>94</v>
      </c>
      <c r="CU6" s="27" t="n">
        <v>95</v>
      </c>
      <c r="CV6" s="27" t="n">
        <v>96</v>
      </c>
      <c r="CW6" s="27" t="n">
        <v>97</v>
      </c>
      <c r="CX6" s="27" t="n">
        <v>98</v>
      </c>
      <c r="CY6" s="27" t="n">
        <v>99</v>
      </c>
      <c r="CZ6" s="27" t="n">
        <v>100</v>
      </c>
      <c r="DA6" s="27" t="n">
        <v>101</v>
      </c>
      <c r="DB6" s="27" t="n">
        <v>102</v>
      </c>
      <c r="DC6" s="27" t="n">
        <v>103</v>
      </c>
      <c r="DD6" s="27" t="n">
        <v>104</v>
      </c>
      <c r="DE6" s="27" t="n">
        <v>105</v>
      </c>
      <c r="DF6" s="27" t="n">
        <v>106</v>
      </c>
      <c r="DG6" s="27" t="n">
        <v>107</v>
      </c>
      <c r="DH6" s="27" t="n">
        <v>108</v>
      </c>
      <c r="DI6" s="27" t="n">
        <v>109</v>
      </c>
      <c r="DJ6" s="27" t="n">
        <v>110</v>
      </c>
      <c r="DK6" s="27" t="n">
        <v>111</v>
      </c>
      <c r="DL6" s="27" t="n">
        <v>112</v>
      </c>
      <c r="DM6" s="27" t="n">
        <v>113</v>
      </c>
      <c r="DN6" s="27" t="n">
        <v>114</v>
      </c>
      <c r="DO6" s="27" t="n">
        <v>115</v>
      </c>
      <c r="DP6" s="27" t="n">
        <v>116</v>
      </c>
      <c r="DQ6" s="27" t="n">
        <v>117</v>
      </c>
      <c r="DR6" s="27" t="n">
        <v>118</v>
      </c>
      <c r="DS6" s="27" t="n">
        <v>119</v>
      </c>
      <c r="DT6" s="27" t="n">
        <v>120</v>
      </c>
      <c r="DU6" s="27" t="n">
        <v>121</v>
      </c>
      <c r="DV6" s="27" t="n">
        <v>122</v>
      </c>
      <c r="DW6" s="27" t="n">
        <v>123</v>
      </c>
      <c r="DX6" s="27" t="n">
        <v>124</v>
      </c>
      <c r="DY6" s="27" t="n">
        <v>125</v>
      </c>
      <c r="DZ6" s="27" t="n">
        <v>126</v>
      </c>
      <c r="EA6" s="27" t="n">
        <v>127</v>
      </c>
      <c r="EB6" s="27" t="n">
        <v>128</v>
      </c>
      <c r="EC6" s="27" t="n">
        <v>129</v>
      </c>
      <c r="ED6" s="27" t="n">
        <v>130</v>
      </c>
      <c r="EE6" s="27" t="n">
        <v>131</v>
      </c>
      <c r="EF6" s="27" t="n">
        <v>132</v>
      </c>
      <c r="EG6" s="27" t="n">
        <v>133</v>
      </c>
      <c r="EH6" s="27" t="n">
        <v>134</v>
      </c>
      <c r="EI6" s="27" t="n">
        <v>135</v>
      </c>
      <c r="EJ6" s="27" t="n">
        <v>136</v>
      </c>
      <c r="EK6" s="27" t="n">
        <v>137</v>
      </c>
      <c r="EL6" s="27" t="n">
        <v>138</v>
      </c>
      <c r="EM6" s="27" t="n">
        <v>139</v>
      </c>
      <c r="EN6" s="27" t="n">
        <v>140</v>
      </c>
      <c r="EO6" s="27" t="n">
        <v>141</v>
      </c>
      <c r="EP6" s="27" t="n">
        <v>142</v>
      </c>
      <c r="EQ6" s="27" t="n">
        <v>143</v>
      </c>
      <c r="ER6" s="27" t="n">
        <v>144</v>
      </c>
      <c r="ES6" s="27" t="n">
        <v>145</v>
      </c>
      <c r="ET6" s="27" t="n">
        <v>146</v>
      </c>
      <c r="EU6" s="27" t="n">
        <v>147</v>
      </c>
      <c r="EV6" s="27" t="n">
        <v>148</v>
      </c>
      <c r="EW6" s="27" t="n">
        <v>149</v>
      </c>
      <c r="EX6" s="27" t="n">
        <v>150</v>
      </c>
      <c r="EY6" s="27" t="n">
        <v>151</v>
      </c>
      <c r="EZ6" s="27" t="n">
        <v>152</v>
      </c>
      <c r="FA6" s="27" t="n">
        <v>153</v>
      </c>
      <c r="FB6" s="27" t="n">
        <v>154</v>
      </c>
      <c r="FC6" s="27" t="n">
        <v>155</v>
      </c>
      <c r="FD6" s="27" t="n">
        <v>156</v>
      </c>
      <c r="FE6" s="27" t="n">
        <v>157</v>
      </c>
      <c r="FF6" s="27" t="n">
        <v>158</v>
      </c>
      <c r="FG6" s="27" t="n">
        <v>159</v>
      </c>
      <c r="FH6" s="27" t="n">
        <v>160</v>
      </c>
      <c r="FI6" s="27" t="n">
        <v>161</v>
      </c>
      <c r="FJ6" s="27" t="n">
        <v>162</v>
      </c>
      <c r="FK6" s="27" t="n">
        <v>163</v>
      </c>
      <c r="FL6" s="27" t="n">
        <v>164</v>
      </c>
      <c r="FM6" s="27" t="n">
        <v>165</v>
      </c>
      <c r="FN6" s="27" t="n">
        <v>166</v>
      </c>
      <c r="FO6" s="27" t="n">
        <v>167</v>
      </c>
      <c r="FP6" s="27" t="n">
        <v>168</v>
      </c>
      <c r="FQ6" s="27" t="n">
        <v>169</v>
      </c>
      <c r="FR6" s="27" t="n">
        <v>170</v>
      </c>
      <c r="FS6" s="27" t="n">
        <v>171</v>
      </c>
      <c r="FT6" s="27" t="n">
        <v>172</v>
      </c>
      <c r="FU6" s="27" t="n">
        <v>173</v>
      </c>
      <c r="FV6" s="27" t="n">
        <v>174</v>
      </c>
      <c r="FW6" s="27" t="n">
        <v>175</v>
      </c>
      <c r="FX6" s="27" t="n">
        <v>176</v>
      </c>
      <c r="FY6" s="27" t="n">
        <v>177</v>
      </c>
      <c r="FZ6" s="27" t="n">
        <v>178</v>
      </c>
      <c r="GA6" s="27" t="n">
        <v>179</v>
      </c>
      <c r="GB6" s="27" t="n">
        <v>180</v>
      </c>
      <c r="GC6" s="27" t="n">
        <v>181</v>
      </c>
      <c r="GD6" s="27" t="n">
        <v>182</v>
      </c>
      <c r="GE6" s="27" t="n">
        <v>183</v>
      </c>
      <c r="GF6" s="27" t="n">
        <v>184</v>
      </c>
      <c r="GG6" s="27" t="n">
        <v>185</v>
      </c>
      <c r="GH6" s="27" t="n">
        <v>186</v>
      </c>
      <c r="GI6" s="27" t="n">
        <v>187</v>
      </c>
      <c r="GJ6" s="27" t="n">
        <v>188</v>
      </c>
      <c r="GK6" s="27" t="n">
        <v>189</v>
      </c>
      <c r="GL6" s="27" t="n">
        <v>190</v>
      </c>
      <c r="GM6" s="27" t="n">
        <v>191</v>
      </c>
      <c r="GN6" s="27" t="n">
        <v>192</v>
      </c>
      <c r="GO6" s="27" t="n">
        <v>193</v>
      </c>
      <c r="GP6" s="27" t="n">
        <v>194</v>
      </c>
      <c r="GQ6" s="27" t="n">
        <v>195</v>
      </c>
      <c r="GR6" s="27" t="n">
        <v>196</v>
      </c>
      <c r="GS6" s="27" t="n">
        <v>197</v>
      </c>
      <c r="GT6" s="27" t="n">
        <v>198</v>
      </c>
      <c r="GU6" s="27" t="n">
        <v>199</v>
      </c>
      <c r="GV6" s="27" t="n">
        <v>200</v>
      </c>
      <c r="GW6" s="27" t="n">
        <v>201</v>
      </c>
      <c r="GX6" s="27" t="n">
        <v>202</v>
      </c>
      <c r="GY6" s="27" t="n">
        <v>203</v>
      </c>
      <c r="GZ6" s="27" t="n">
        <v>204</v>
      </c>
      <c r="HA6" s="27" t="n">
        <v>205</v>
      </c>
      <c r="HB6" s="27" t="n">
        <v>206</v>
      </c>
      <c r="HC6" s="27" t="n">
        <v>207</v>
      </c>
      <c r="HD6" s="27" t="n">
        <v>208</v>
      </c>
      <c r="HE6" s="27" t="n">
        <v>209</v>
      </c>
      <c r="HF6" s="27" t="n">
        <v>210</v>
      </c>
      <c r="HG6" s="27" t="n">
        <v>211</v>
      </c>
      <c r="HH6" s="27" t="n">
        <v>212</v>
      </c>
      <c r="HI6" s="27" t="n">
        <v>213</v>
      </c>
      <c r="HJ6" s="27" t="n">
        <v>214</v>
      </c>
      <c r="HK6" s="27" t="n">
        <v>215</v>
      </c>
      <c r="HL6" s="27" t="n">
        <v>216</v>
      </c>
      <c r="HM6" s="27" t="n">
        <v>217</v>
      </c>
      <c r="HN6" s="27" t="n">
        <v>218</v>
      </c>
      <c r="HO6" s="27" t="n">
        <v>219</v>
      </c>
      <c r="HP6" s="27" t="n">
        <v>220</v>
      </c>
      <c r="HQ6" s="27" t="n">
        <v>221</v>
      </c>
      <c r="HR6" s="27" t="n">
        <v>222</v>
      </c>
      <c r="HS6" s="27" t="n">
        <v>223</v>
      </c>
      <c r="HT6" s="27" t="n">
        <v>224</v>
      </c>
      <c r="HU6" s="27" t="n">
        <v>225</v>
      </c>
      <c r="HV6" s="27" t="n">
        <v>226</v>
      </c>
      <c r="HW6" s="27" t="n">
        <v>227</v>
      </c>
      <c r="HX6" s="27" t="n">
        <v>228</v>
      </c>
      <c r="HY6" s="27" t="n">
        <v>229</v>
      </c>
      <c r="HZ6" s="27" t="n">
        <v>230</v>
      </c>
      <c r="IA6" s="27" t="n">
        <v>231</v>
      </c>
      <c r="IB6" s="27" t="n">
        <v>232</v>
      </c>
      <c r="IC6" s="27" t="n">
        <v>233</v>
      </c>
      <c r="ID6" s="27" t="n">
        <v>234</v>
      </c>
      <c r="IE6" s="27" t="n">
        <v>235</v>
      </c>
      <c r="IF6" s="27" t="n">
        <v>236</v>
      </c>
      <c r="IG6" s="27" t="n">
        <v>237</v>
      </c>
      <c r="IH6" s="27" t="n">
        <v>238</v>
      </c>
      <c r="II6" s="27" t="n">
        <v>239</v>
      </c>
      <c r="IJ6" s="27" t="n">
        <v>240</v>
      </c>
      <c r="IK6" s="27" t="n">
        <v>241</v>
      </c>
      <c r="IL6" s="27" t="n">
        <v>242</v>
      </c>
      <c r="IM6" s="27" t="n">
        <v>243</v>
      </c>
      <c r="IN6" s="27" t="n">
        <v>244</v>
      </c>
      <c r="IO6" s="27" t="n">
        <v>245</v>
      </c>
      <c r="IP6" s="27" t="n">
        <v>246</v>
      </c>
      <c r="IQ6" s="27" t="n">
        <v>247</v>
      </c>
      <c r="IR6" s="27" t="n">
        <v>248</v>
      </c>
      <c r="IS6" s="27" t="n">
        <v>249</v>
      </c>
      <c r="IT6" s="27" t="n">
        <v>250</v>
      </c>
      <c r="IU6" s="27" t="n">
        <v>251</v>
      </c>
      <c r="IV6" s="27" t="n">
        <v>252</v>
      </c>
      <c r="IW6" s="27" t="n">
        <v>253</v>
      </c>
      <c r="IX6" s="27" t="n">
        <v>254</v>
      </c>
      <c r="IY6" s="27" t="n">
        <v>255</v>
      </c>
      <c r="IZ6" s="27" t="n">
        <v>256</v>
      </c>
      <c r="JA6" s="27" t="n">
        <v>257</v>
      </c>
      <c r="JB6" s="27" t="n">
        <v>258</v>
      </c>
      <c r="JC6" s="27" t="n">
        <v>259</v>
      </c>
      <c r="JD6" s="27" t="n">
        <v>260</v>
      </c>
      <c r="JE6" s="27" t="n">
        <v>261</v>
      </c>
      <c r="JF6" s="27" t="n">
        <v>262</v>
      </c>
      <c r="JG6" s="27" t="n">
        <v>263</v>
      </c>
      <c r="JH6" s="27" t="n">
        <v>264</v>
      </c>
      <c r="JI6" s="27" t="n">
        <v>265</v>
      </c>
      <c r="JJ6" s="27" t="n">
        <v>266</v>
      </c>
      <c r="JK6" s="27" t="n">
        <v>267</v>
      </c>
      <c r="JL6" s="27" t="n">
        <v>268</v>
      </c>
      <c r="JM6" s="27" t="n">
        <v>269</v>
      </c>
      <c r="JN6" s="27" t="n">
        <v>270</v>
      </c>
      <c r="JO6" s="27" t="n">
        <v>271</v>
      </c>
      <c r="JP6" s="27" t="n">
        <v>272</v>
      </c>
      <c r="JQ6" s="27" t="n">
        <v>273</v>
      </c>
      <c r="JR6" s="27" t="n">
        <v>274</v>
      </c>
      <c r="JS6" s="27" t="n">
        <v>275</v>
      </c>
      <c r="JT6" s="27" t="n">
        <v>276</v>
      </c>
      <c r="JU6" s="27" t="n">
        <v>277</v>
      </c>
      <c r="JV6" s="27" t="n">
        <v>278</v>
      </c>
      <c r="JW6" s="27" t="n">
        <v>279</v>
      </c>
      <c r="JX6" s="27" t="n">
        <v>280</v>
      </c>
      <c r="JY6" s="27" t="n">
        <v>281</v>
      </c>
      <c r="JZ6" s="27" t="n">
        <v>282</v>
      </c>
      <c r="KA6" s="27" t="n">
        <v>283</v>
      </c>
      <c r="KB6" s="27" t="n">
        <v>284</v>
      </c>
      <c r="KC6" s="27" t="n">
        <v>285</v>
      </c>
      <c r="KD6" s="27" t="n">
        <v>286</v>
      </c>
      <c r="KE6" s="27" t="n">
        <v>287</v>
      </c>
      <c r="KF6" s="27" t="n">
        <v>288</v>
      </c>
      <c r="KG6" s="27" t="n">
        <v>289</v>
      </c>
      <c r="KH6" s="27" t="n">
        <v>290</v>
      </c>
      <c r="KI6" s="27" t="n">
        <v>291</v>
      </c>
      <c r="KJ6" s="27" t="n">
        <v>292</v>
      </c>
      <c r="KK6" s="27" t="n">
        <v>293</v>
      </c>
      <c r="KL6" s="27" t="n">
        <v>294</v>
      </c>
      <c r="KM6" s="27" t="n">
        <v>295</v>
      </c>
      <c r="KN6" s="27" t="n">
        <v>296</v>
      </c>
      <c r="KO6" s="27" t="n">
        <v>297</v>
      </c>
      <c r="KP6" s="27" t="n">
        <v>298</v>
      </c>
      <c r="KQ6" s="27" t="n">
        <v>299</v>
      </c>
      <c r="KR6" s="27" t="n">
        <v>300</v>
      </c>
      <c r="KS6" s="27" t="n">
        <v>301</v>
      </c>
      <c r="KT6" s="27" t="n">
        <v>302</v>
      </c>
      <c r="KU6" s="27" t="n">
        <v>303</v>
      </c>
      <c r="KV6" s="27" t="n">
        <v>304</v>
      </c>
      <c r="KW6" s="27" t="n">
        <v>305</v>
      </c>
      <c r="KX6" s="27" t="n">
        <v>306</v>
      </c>
      <c r="KY6" s="27" t="n">
        <v>307</v>
      </c>
      <c r="KZ6" s="27" t="n">
        <v>308</v>
      </c>
      <c r="LA6" s="27" t="n">
        <v>309</v>
      </c>
      <c r="LB6" s="27" t="n">
        <v>310</v>
      </c>
      <c r="LC6" s="27" t="n">
        <v>311</v>
      </c>
      <c r="LD6" s="27" t="n">
        <v>312</v>
      </c>
      <c r="LE6" s="27" t="n">
        <v>313</v>
      </c>
      <c r="LF6" s="27" t="n">
        <v>314</v>
      </c>
      <c r="LG6" s="27" t="n">
        <v>315</v>
      </c>
      <c r="LH6" s="27" t="n">
        <v>316</v>
      </c>
      <c r="LI6" s="27" t="n">
        <v>317</v>
      </c>
      <c r="LJ6" s="27" t="n">
        <v>318</v>
      </c>
      <c r="LK6" s="27" t="n">
        <v>319</v>
      </c>
      <c r="LL6" s="27" t="n">
        <v>320</v>
      </c>
      <c r="LM6" s="27" t="n">
        <v>321</v>
      </c>
      <c r="LN6" s="27" t="n">
        <v>322</v>
      </c>
      <c r="LO6" s="27" t="n">
        <v>323</v>
      </c>
      <c r="LP6" s="27" t="n">
        <v>324</v>
      </c>
      <c r="LQ6" s="27" t="n">
        <v>325</v>
      </c>
      <c r="LR6" s="27" t="n">
        <v>326</v>
      </c>
      <c r="LS6" s="27" t="n">
        <v>327</v>
      </c>
      <c r="LT6" s="27" t="n">
        <v>328</v>
      </c>
      <c r="LU6" s="27" t="n">
        <v>329</v>
      </c>
      <c r="LV6" s="27" t="n">
        <v>330</v>
      </c>
      <c r="LW6" s="27" t="n">
        <v>331</v>
      </c>
      <c r="LX6" s="27" t="n">
        <v>332</v>
      </c>
      <c r="LY6" s="27" t="n">
        <v>333</v>
      </c>
      <c r="LZ6" s="27" t="n">
        <v>334</v>
      </c>
      <c r="MA6" s="27" t="n">
        <v>335</v>
      </c>
      <c r="MB6" s="27" t="n">
        <v>336</v>
      </c>
      <c r="MC6" s="27" t="n">
        <v>337</v>
      </c>
      <c r="MD6" s="27" t="n">
        <v>338</v>
      </c>
      <c r="ME6" s="27" t="n">
        <v>339</v>
      </c>
      <c r="MF6" s="27" t="n">
        <v>340</v>
      </c>
      <c r="MG6" s="27" t="n">
        <v>341</v>
      </c>
      <c r="MH6" s="27" t="n">
        <v>342</v>
      </c>
      <c r="MI6" s="27" t="n">
        <v>343</v>
      </c>
      <c r="MJ6" s="27" t="n">
        <v>344</v>
      </c>
      <c r="MK6" s="27" t="n">
        <v>345</v>
      </c>
      <c r="ML6" s="27" t="n">
        <v>346</v>
      </c>
      <c r="MM6" s="27" t="n">
        <v>347</v>
      </c>
      <c r="MN6" s="27" t="n">
        <v>348</v>
      </c>
      <c r="MO6" s="27" t="n">
        <v>349</v>
      </c>
      <c r="MP6" s="27" t="n">
        <v>350</v>
      </c>
      <c r="MQ6" s="27" t="n">
        <v>351</v>
      </c>
      <c r="MR6" s="27" t="n">
        <v>352</v>
      </c>
      <c r="MS6" s="27" t="n">
        <v>353</v>
      </c>
      <c r="MT6" s="27" t="n">
        <v>354</v>
      </c>
      <c r="MU6" s="27" t="n">
        <v>355</v>
      </c>
      <c r="MV6" s="27" t="n">
        <v>356</v>
      </c>
      <c r="MW6" s="27" t="n">
        <v>357</v>
      </c>
      <c r="MX6" s="27" t="n">
        <v>358</v>
      </c>
      <c r="MY6" s="27" t="n">
        <v>359</v>
      </c>
      <c r="MZ6" s="27" t="n">
        <v>360</v>
      </c>
      <c r="NA6" s="27" t="n">
        <v>361</v>
      </c>
      <c r="NB6" s="27" t="n">
        <v>362</v>
      </c>
      <c r="NC6" s="27" t="n">
        <v>363</v>
      </c>
      <c r="ND6" s="27" t="n">
        <v>364</v>
      </c>
      <c r="NE6" s="27" t="n">
        <v>365</v>
      </c>
      <c r="NF6" s="27" t="n">
        <v>366</v>
      </c>
      <c r="NG6" s="27" t="n">
        <v>367</v>
      </c>
      <c r="NH6" s="27" t="n">
        <v>368</v>
      </c>
      <c r="NI6" s="27" t="n">
        <v>369</v>
      </c>
      <c r="NJ6" s="27" t="n">
        <v>370</v>
      </c>
      <c r="NK6" s="27" t="n">
        <v>371</v>
      </c>
      <c r="NL6" s="27" t="n">
        <v>372</v>
      </c>
    </row>
    <row r="7">
      <c r="B7" s="123" t="inlineStr">
        <is>
          <t>Month Start</t>
        </is>
      </c>
      <c r="D7" s="53" t="n"/>
      <c r="E7" s="128">
        <f>EDATE(InceptionDate,0)</f>
        <v/>
      </c>
      <c r="F7" s="128">
        <f>EDATE(InceptionDate,1)</f>
        <v/>
      </c>
      <c r="G7" s="128">
        <f>EDATE(InceptionDate,2)</f>
        <v/>
      </c>
      <c r="H7" s="128">
        <f>EDATE(InceptionDate,3)</f>
        <v/>
      </c>
      <c r="I7" s="128">
        <f>EDATE(InceptionDate,4)</f>
        <v/>
      </c>
      <c r="J7" s="128">
        <f>EDATE(InceptionDate,5)</f>
        <v/>
      </c>
      <c r="K7" s="128">
        <f>EDATE(InceptionDate,6)</f>
        <v/>
      </c>
      <c r="L7" s="128">
        <f>EDATE(InceptionDate,7)</f>
        <v/>
      </c>
      <c r="M7" s="128">
        <f>EDATE(InceptionDate,8)</f>
        <v/>
      </c>
      <c r="N7" s="128">
        <f>EDATE(InceptionDate,9)</f>
        <v/>
      </c>
      <c r="O7" s="128">
        <f>EDATE(InceptionDate,10)</f>
        <v/>
      </c>
      <c r="P7" s="128">
        <f>EDATE(InceptionDate,11)</f>
        <v/>
      </c>
      <c r="Q7" s="128">
        <f>EDATE(InceptionDate,12)</f>
        <v/>
      </c>
      <c r="R7" s="128">
        <f>EDATE(InceptionDate,13)</f>
        <v/>
      </c>
      <c r="S7" s="128">
        <f>EDATE(InceptionDate,14)</f>
        <v/>
      </c>
      <c r="T7" s="128">
        <f>EDATE(InceptionDate,15)</f>
        <v/>
      </c>
      <c r="U7" s="128">
        <f>EDATE(InceptionDate,16)</f>
        <v/>
      </c>
      <c r="V7" s="128">
        <f>EDATE(InceptionDate,17)</f>
        <v/>
      </c>
      <c r="W7" s="128">
        <f>EDATE(InceptionDate,18)</f>
        <v/>
      </c>
      <c r="X7" s="128">
        <f>EDATE(InceptionDate,19)</f>
        <v/>
      </c>
      <c r="Y7" s="128">
        <f>EDATE(InceptionDate,20)</f>
        <v/>
      </c>
      <c r="Z7" s="128">
        <f>EDATE(InceptionDate,21)</f>
        <v/>
      </c>
      <c r="AA7" s="128">
        <f>EDATE(InceptionDate,22)</f>
        <v/>
      </c>
      <c r="AB7" s="128">
        <f>EDATE(InceptionDate,23)</f>
        <v/>
      </c>
      <c r="AC7" s="128">
        <f>EDATE(InceptionDate,24)</f>
        <v/>
      </c>
      <c r="AD7" s="128">
        <f>EDATE(InceptionDate,25)</f>
        <v/>
      </c>
      <c r="AE7" s="128">
        <f>EDATE(InceptionDate,26)</f>
        <v/>
      </c>
      <c r="AF7" s="128">
        <f>EDATE(InceptionDate,27)</f>
        <v/>
      </c>
      <c r="AG7" s="128">
        <f>EDATE(InceptionDate,28)</f>
        <v/>
      </c>
      <c r="AH7" s="128">
        <f>EDATE(InceptionDate,29)</f>
        <v/>
      </c>
      <c r="AI7" s="128">
        <f>EDATE(InceptionDate,30)</f>
        <v/>
      </c>
      <c r="AJ7" s="128">
        <f>EDATE(InceptionDate,31)</f>
        <v/>
      </c>
      <c r="AK7" s="128">
        <f>EDATE(InceptionDate,32)</f>
        <v/>
      </c>
      <c r="AL7" s="128">
        <f>EDATE(InceptionDate,33)</f>
        <v/>
      </c>
      <c r="AM7" s="128">
        <f>EDATE(InceptionDate,34)</f>
        <v/>
      </c>
      <c r="AN7" s="128">
        <f>EDATE(InceptionDate,35)</f>
        <v/>
      </c>
      <c r="AO7" s="128">
        <f>EDATE(InceptionDate,36)</f>
        <v/>
      </c>
      <c r="AP7" s="128">
        <f>EDATE(InceptionDate,37)</f>
        <v/>
      </c>
      <c r="AQ7" s="128">
        <f>EDATE(InceptionDate,38)</f>
        <v/>
      </c>
      <c r="AR7" s="128">
        <f>EDATE(InceptionDate,39)</f>
        <v/>
      </c>
      <c r="AS7" s="128">
        <f>EDATE(InceptionDate,40)</f>
        <v/>
      </c>
      <c r="AT7" s="128">
        <f>EDATE(InceptionDate,41)</f>
        <v/>
      </c>
      <c r="AU7" s="128">
        <f>EDATE(InceptionDate,42)</f>
        <v/>
      </c>
      <c r="AV7" s="128">
        <f>EDATE(InceptionDate,43)</f>
        <v/>
      </c>
      <c r="AW7" s="128">
        <f>EDATE(InceptionDate,44)</f>
        <v/>
      </c>
      <c r="AX7" s="128">
        <f>EDATE(InceptionDate,45)</f>
        <v/>
      </c>
      <c r="AY7" s="128">
        <f>EDATE(InceptionDate,46)</f>
        <v/>
      </c>
      <c r="AZ7" s="128">
        <f>EDATE(InceptionDate,47)</f>
        <v/>
      </c>
      <c r="BA7" s="128">
        <f>EDATE(InceptionDate,48)</f>
        <v/>
      </c>
      <c r="BB7" s="128">
        <f>EDATE(InceptionDate,49)</f>
        <v/>
      </c>
      <c r="BC7" s="128">
        <f>EDATE(InceptionDate,50)</f>
        <v/>
      </c>
      <c r="BD7" s="128">
        <f>EDATE(InceptionDate,51)</f>
        <v/>
      </c>
      <c r="BE7" s="128">
        <f>EDATE(InceptionDate,52)</f>
        <v/>
      </c>
      <c r="BF7" s="128">
        <f>EDATE(InceptionDate,53)</f>
        <v/>
      </c>
      <c r="BG7" s="128">
        <f>EDATE(InceptionDate,54)</f>
        <v/>
      </c>
      <c r="BH7" s="128">
        <f>EDATE(InceptionDate,55)</f>
        <v/>
      </c>
      <c r="BI7" s="128">
        <f>EDATE(InceptionDate,56)</f>
        <v/>
      </c>
      <c r="BJ7" s="128">
        <f>EDATE(InceptionDate,57)</f>
        <v/>
      </c>
      <c r="BK7" s="128">
        <f>EDATE(InceptionDate,58)</f>
        <v/>
      </c>
      <c r="BL7" s="128">
        <f>EDATE(InceptionDate,59)</f>
        <v/>
      </c>
      <c r="BM7" s="128">
        <f>EDATE(InceptionDate,60)</f>
        <v/>
      </c>
      <c r="BN7" s="128">
        <f>EDATE(InceptionDate,61)</f>
        <v/>
      </c>
      <c r="BO7" s="128">
        <f>EDATE(InceptionDate,62)</f>
        <v/>
      </c>
      <c r="BP7" s="128">
        <f>EDATE(InceptionDate,63)</f>
        <v/>
      </c>
      <c r="BQ7" s="128">
        <f>EDATE(InceptionDate,64)</f>
        <v/>
      </c>
      <c r="BR7" s="128">
        <f>EDATE(InceptionDate,65)</f>
        <v/>
      </c>
      <c r="BS7" s="128">
        <f>EDATE(InceptionDate,66)</f>
        <v/>
      </c>
      <c r="BT7" s="128">
        <f>EDATE(InceptionDate,67)</f>
        <v/>
      </c>
      <c r="BU7" s="128">
        <f>EDATE(InceptionDate,68)</f>
        <v/>
      </c>
      <c r="BV7" s="128">
        <f>EDATE(InceptionDate,69)</f>
        <v/>
      </c>
      <c r="BW7" s="128">
        <f>EDATE(InceptionDate,70)</f>
        <v/>
      </c>
      <c r="BX7" s="128">
        <f>EDATE(InceptionDate,71)</f>
        <v/>
      </c>
      <c r="BY7" s="128">
        <f>EDATE(InceptionDate,72)</f>
        <v/>
      </c>
      <c r="BZ7" s="128">
        <f>EDATE(InceptionDate,73)</f>
        <v/>
      </c>
      <c r="CA7" s="128">
        <f>EDATE(InceptionDate,74)</f>
        <v/>
      </c>
      <c r="CB7" s="128">
        <f>EDATE(InceptionDate,75)</f>
        <v/>
      </c>
      <c r="CC7" s="128">
        <f>EDATE(InceptionDate,76)</f>
        <v/>
      </c>
      <c r="CD7" s="128">
        <f>EDATE(InceptionDate,77)</f>
        <v/>
      </c>
      <c r="CE7" s="128">
        <f>EDATE(InceptionDate,78)</f>
        <v/>
      </c>
      <c r="CF7" s="128">
        <f>EDATE(InceptionDate,79)</f>
        <v/>
      </c>
      <c r="CG7" s="128">
        <f>EDATE(InceptionDate,80)</f>
        <v/>
      </c>
      <c r="CH7" s="128">
        <f>EDATE(InceptionDate,81)</f>
        <v/>
      </c>
      <c r="CI7" s="128">
        <f>EDATE(InceptionDate,82)</f>
        <v/>
      </c>
      <c r="CJ7" s="128">
        <f>EDATE(InceptionDate,83)</f>
        <v/>
      </c>
      <c r="CK7" s="128">
        <f>EDATE(InceptionDate,84)</f>
        <v/>
      </c>
      <c r="CL7" s="128">
        <f>EDATE(InceptionDate,85)</f>
        <v/>
      </c>
      <c r="CM7" s="128">
        <f>EDATE(InceptionDate,86)</f>
        <v/>
      </c>
      <c r="CN7" s="128">
        <f>EDATE(InceptionDate,87)</f>
        <v/>
      </c>
      <c r="CO7" s="128">
        <f>EDATE(InceptionDate,88)</f>
        <v/>
      </c>
      <c r="CP7" s="128">
        <f>EDATE(InceptionDate,89)</f>
        <v/>
      </c>
      <c r="CQ7" s="128">
        <f>EDATE(InceptionDate,90)</f>
        <v/>
      </c>
      <c r="CR7" s="128">
        <f>EDATE(InceptionDate,91)</f>
        <v/>
      </c>
      <c r="CS7" s="128">
        <f>EDATE(InceptionDate,92)</f>
        <v/>
      </c>
      <c r="CT7" s="128">
        <f>EDATE(InceptionDate,93)</f>
        <v/>
      </c>
      <c r="CU7" s="128">
        <f>EDATE(InceptionDate,94)</f>
        <v/>
      </c>
      <c r="CV7" s="128">
        <f>EDATE(InceptionDate,95)</f>
        <v/>
      </c>
      <c r="CW7" s="128">
        <f>EDATE(InceptionDate,96)</f>
        <v/>
      </c>
      <c r="CX7" s="128">
        <f>EDATE(InceptionDate,97)</f>
        <v/>
      </c>
      <c r="CY7" s="128">
        <f>EDATE(InceptionDate,98)</f>
        <v/>
      </c>
      <c r="CZ7" s="128">
        <f>EDATE(InceptionDate,99)</f>
        <v/>
      </c>
      <c r="DA7" s="128">
        <f>EDATE(InceptionDate,100)</f>
        <v/>
      </c>
      <c r="DB7" s="128">
        <f>EDATE(InceptionDate,101)</f>
        <v/>
      </c>
      <c r="DC7" s="128">
        <f>EDATE(InceptionDate,102)</f>
        <v/>
      </c>
      <c r="DD7" s="128">
        <f>EDATE(InceptionDate,103)</f>
        <v/>
      </c>
      <c r="DE7" s="128">
        <f>EDATE(InceptionDate,104)</f>
        <v/>
      </c>
      <c r="DF7" s="128">
        <f>EDATE(InceptionDate,105)</f>
        <v/>
      </c>
      <c r="DG7" s="128">
        <f>EDATE(InceptionDate,106)</f>
        <v/>
      </c>
      <c r="DH7" s="128">
        <f>EDATE(InceptionDate,107)</f>
        <v/>
      </c>
      <c r="DI7" s="128">
        <f>EDATE(InceptionDate,108)</f>
        <v/>
      </c>
      <c r="DJ7" s="128">
        <f>EDATE(InceptionDate,109)</f>
        <v/>
      </c>
      <c r="DK7" s="128">
        <f>EDATE(InceptionDate,110)</f>
        <v/>
      </c>
      <c r="DL7" s="128">
        <f>EDATE(InceptionDate,111)</f>
        <v/>
      </c>
      <c r="DM7" s="128">
        <f>EDATE(InceptionDate,112)</f>
        <v/>
      </c>
      <c r="DN7" s="128">
        <f>EDATE(InceptionDate,113)</f>
        <v/>
      </c>
      <c r="DO7" s="128">
        <f>EDATE(InceptionDate,114)</f>
        <v/>
      </c>
      <c r="DP7" s="128">
        <f>EDATE(InceptionDate,115)</f>
        <v/>
      </c>
      <c r="DQ7" s="128">
        <f>EDATE(InceptionDate,116)</f>
        <v/>
      </c>
      <c r="DR7" s="128">
        <f>EDATE(InceptionDate,117)</f>
        <v/>
      </c>
      <c r="DS7" s="128">
        <f>EDATE(InceptionDate,118)</f>
        <v/>
      </c>
      <c r="DT7" s="128">
        <f>EDATE(InceptionDate,119)</f>
        <v/>
      </c>
      <c r="DU7" s="128">
        <f>EDATE(InceptionDate,120)</f>
        <v/>
      </c>
      <c r="DV7" s="128">
        <f>EDATE(InceptionDate,121)</f>
        <v/>
      </c>
      <c r="DW7" s="128">
        <f>EDATE(InceptionDate,122)</f>
        <v/>
      </c>
      <c r="DX7" s="128">
        <f>EDATE(InceptionDate,123)</f>
        <v/>
      </c>
      <c r="DY7" s="128">
        <f>EDATE(InceptionDate,124)</f>
        <v/>
      </c>
      <c r="DZ7" s="128">
        <f>EDATE(InceptionDate,125)</f>
        <v/>
      </c>
      <c r="EA7" s="128">
        <f>EDATE(InceptionDate,126)</f>
        <v/>
      </c>
      <c r="EB7" s="128">
        <f>EDATE(InceptionDate,127)</f>
        <v/>
      </c>
      <c r="EC7" s="128">
        <f>EDATE(InceptionDate,128)</f>
        <v/>
      </c>
      <c r="ED7" s="128">
        <f>EDATE(InceptionDate,129)</f>
        <v/>
      </c>
      <c r="EE7" s="128">
        <f>EDATE(InceptionDate,130)</f>
        <v/>
      </c>
      <c r="EF7" s="128">
        <f>EDATE(InceptionDate,131)</f>
        <v/>
      </c>
      <c r="EG7" s="128">
        <f>EDATE(InceptionDate,132)</f>
        <v/>
      </c>
      <c r="EH7" s="128">
        <f>EDATE(InceptionDate,133)</f>
        <v/>
      </c>
      <c r="EI7" s="128">
        <f>EDATE(InceptionDate,134)</f>
        <v/>
      </c>
      <c r="EJ7" s="128">
        <f>EDATE(InceptionDate,135)</f>
        <v/>
      </c>
      <c r="EK7" s="128">
        <f>EDATE(InceptionDate,136)</f>
        <v/>
      </c>
      <c r="EL7" s="128">
        <f>EDATE(InceptionDate,137)</f>
        <v/>
      </c>
      <c r="EM7" s="128">
        <f>EDATE(InceptionDate,138)</f>
        <v/>
      </c>
      <c r="EN7" s="128">
        <f>EDATE(InceptionDate,139)</f>
        <v/>
      </c>
      <c r="EO7" s="128">
        <f>EDATE(InceptionDate,140)</f>
        <v/>
      </c>
      <c r="EP7" s="128">
        <f>EDATE(InceptionDate,141)</f>
        <v/>
      </c>
      <c r="EQ7" s="128">
        <f>EDATE(InceptionDate,142)</f>
        <v/>
      </c>
      <c r="ER7" s="128">
        <f>EDATE(InceptionDate,143)</f>
        <v/>
      </c>
      <c r="ES7" s="128">
        <f>EDATE(InceptionDate,144)</f>
        <v/>
      </c>
      <c r="ET7" s="128">
        <f>EDATE(InceptionDate,145)</f>
        <v/>
      </c>
      <c r="EU7" s="128">
        <f>EDATE(InceptionDate,146)</f>
        <v/>
      </c>
      <c r="EV7" s="128">
        <f>EDATE(InceptionDate,147)</f>
        <v/>
      </c>
      <c r="EW7" s="128">
        <f>EDATE(InceptionDate,148)</f>
        <v/>
      </c>
      <c r="EX7" s="128">
        <f>EDATE(InceptionDate,149)</f>
        <v/>
      </c>
      <c r="EY7" s="128">
        <f>EDATE(InceptionDate,150)</f>
        <v/>
      </c>
      <c r="EZ7" s="128">
        <f>EDATE(InceptionDate,151)</f>
        <v/>
      </c>
      <c r="FA7" s="128">
        <f>EDATE(InceptionDate,152)</f>
        <v/>
      </c>
      <c r="FB7" s="128">
        <f>EDATE(InceptionDate,153)</f>
        <v/>
      </c>
      <c r="FC7" s="128">
        <f>EDATE(InceptionDate,154)</f>
        <v/>
      </c>
      <c r="FD7" s="128">
        <f>EDATE(InceptionDate,155)</f>
        <v/>
      </c>
      <c r="FE7" s="128">
        <f>EDATE(InceptionDate,156)</f>
        <v/>
      </c>
      <c r="FF7" s="128">
        <f>EDATE(InceptionDate,157)</f>
        <v/>
      </c>
      <c r="FG7" s="128">
        <f>EDATE(InceptionDate,158)</f>
        <v/>
      </c>
      <c r="FH7" s="128">
        <f>EDATE(InceptionDate,159)</f>
        <v/>
      </c>
      <c r="FI7" s="128">
        <f>EDATE(InceptionDate,160)</f>
        <v/>
      </c>
      <c r="FJ7" s="128">
        <f>EDATE(InceptionDate,161)</f>
        <v/>
      </c>
      <c r="FK7" s="128">
        <f>EDATE(InceptionDate,162)</f>
        <v/>
      </c>
      <c r="FL7" s="128">
        <f>EDATE(InceptionDate,163)</f>
        <v/>
      </c>
      <c r="FM7" s="128">
        <f>EDATE(InceptionDate,164)</f>
        <v/>
      </c>
      <c r="FN7" s="128">
        <f>EDATE(InceptionDate,165)</f>
        <v/>
      </c>
      <c r="FO7" s="128">
        <f>EDATE(InceptionDate,166)</f>
        <v/>
      </c>
      <c r="FP7" s="128">
        <f>EDATE(InceptionDate,167)</f>
        <v/>
      </c>
      <c r="FQ7" s="128">
        <f>EDATE(InceptionDate,168)</f>
        <v/>
      </c>
      <c r="FR7" s="128">
        <f>EDATE(InceptionDate,169)</f>
        <v/>
      </c>
      <c r="FS7" s="128">
        <f>EDATE(InceptionDate,170)</f>
        <v/>
      </c>
      <c r="FT7" s="128">
        <f>EDATE(InceptionDate,171)</f>
        <v/>
      </c>
      <c r="FU7" s="128">
        <f>EDATE(InceptionDate,172)</f>
        <v/>
      </c>
      <c r="FV7" s="128">
        <f>EDATE(InceptionDate,173)</f>
        <v/>
      </c>
      <c r="FW7" s="128">
        <f>EDATE(InceptionDate,174)</f>
        <v/>
      </c>
      <c r="FX7" s="128">
        <f>EDATE(InceptionDate,175)</f>
        <v/>
      </c>
      <c r="FY7" s="128">
        <f>EDATE(InceptionDate,176)</f>
        <v/>
      </c>
      <c r="FZ7" s="128">
        <f>EDATE(InceptionDate,177)</f>
        <v/>
      </c>
      <c r="GA7" s="128">
        <f>EDATE(InceptionDate,178)</f>
        <v/>
      </c>
      <c r="GB7" s="128">
        <f>EDATE(InceptionDate,179)</f>
        <v/>
      </c>
      <c r="GC7" s="128">
        <f>EDATE(InceptionDate,180)</f>
        <v/>
      </c>
      <c r="GD7" s="128">
        <f>EDATE(InceptionDate,181)</f>
        <v/>
      </c>
      <c r="GE7" s="128">
        <f>EDATE(InceptionDate,182)</f>
        <v/>
      </c>
      <c r="GF7" s="128">
        <f>EDATE(InceptionDate,183)</f>
        <v/>
      </c>
      <c r="GG7" s="128">
        <f>EDATE(InceptionDate,184)</f>
        <v/>
      </c>
      <c r="GH7" s="128">
        <f>EDATE(InceptionDate,185)</f>
        <v/>
      </c>
      <c r="GI7" s="128">
        <f>EDATE(InceptionDate,186)</f>
        <v/>
      </c>
      <c r="GJ7" s="128">
        <f>EDATE(InceptionDate,187)</f>
        <v/>
      </c>
      <c r="GK7" s="128">
        <f>EDATE(InceptionDate,188)</f>
        <v/>
      </c>
      <c r="GL7" s="128">
        <f>EDATE(InceptionDate,189)</f>
        <v/>
      </c>
      <c r="GM7" s="128">
        <f>EDATE(InceptionDate,190)</f>
        <v/>
      </c>
      <c r="GN7" s="128">
        <f>EDATE(InceptionDate,191)</f>
        <v/>
      </c>
      <c r="GO7" s="128">
        <f>EDATE(InceptionDate,192)</f>
        <v/>
      </c>
      <c r="GP7" s="128">
        <f>EDATE(InceptionDate,193)</f>
        <v/>
      </c>
      <c r="GQ7" s="128">
        <f>EDATE(InceptionDate,194)</f>
        <v/>
      </c>
      <c r="GR7" s="128">
        <f>EDATE(InceptionDate,195)</f>
        <v/>
      </c>
      <c r="GS7" s="128">
        <f>EDATE(InceptionDate,196)</f>
        <v/>
      </c>
      <c r="GT7" s="128">
        <f>EDATE(InceptionDate,197)</f>
        <v/>
      </c>
      <c r="GU7" s="128">
        <f>EDATE(InceptionDate,198)</f>
        <v/>
      </c>
      <c r="GV7" s="128">
        <f>EDATE(InceptionDate,199)</f>
        <v/>
      </c>
      <c r="GW7" s="128">
        <f>EDATE(InceptionDate,200)</f>
        <v/>
      </c>
      <c r="GX7" s="128">
        <f>EDATE(InceptionDate,201)</f>
        <v/>
      </c>
      <c r="GY7" s="128">
        <f>EDATE(InceptionDate,202)</f>
        <v/>
      </c>
      <c r="GZ7" s="128">
        <f>EDATE(InceptionDate,203)</f>
        <v/>
      </c>
      <c r="HA7" s="128">
        <f>EDATE(InceptionDate,204)</f>
        <v/>
      </c>
      <c r="HB7" s="128">
        <f>EDATE(InceptionDate,205)</f>
        <v/>
      </c>
      <c r="HC7" s="128">
        <f>EDATE(InceptionDate,206)</f>
        <v/>
      </c>
      <c r="HD7" s="128">
        <f>EDATE(InceptionDate,207)</f>
        <v/>
      </c>
      <c r="HE7" s="128">
        <f>EDATE(InceptionDate,208)</f>
        <v/>
      </c>
      <c r="HF7" s="128">
        <f>EDATE(InceptionDate,209)</f>
        <v/>
      </c>
      <c r="HG7" s="128">
        <f>EDATE(InceptionDate,210)</f>
        <v/>
      </c>
      <c r="HH7" s="128">
        <f>EDATE(InceptionDate,211)</f>
        <v/>
      </c>
      <c r="HI7" s="128">
        <f>EDATE(InceptionDate,212)</f>
        <v/>
      </c>
      <c r="HJ7" s="128">
        <f>EDATE(InceptionDate,213)</f>
        <v/>
      </c>
      <c r="HK7" s="128">
        <f>EDATE(InceptionDate,214)</f>
        <v/>
      </c>
      <c r="HL7" s="128">
        <f>EDATE(InceptionDate,215)</f>
        <v/>
      </c>
      <c r="HM7" s="128">
        <f>EDATE(InceptionDate,216)</f>
        <v/>
      </c>
      <c r="HN7" s="128">
        <f>EDATE(InceptionDate,217)</f>
        <v/>
      </c>
      <c r="HO7" s="128">
        <f>EDATE(InceptionDate,218)</f>
        <v/>
      </c>
      <c r="HP7" s="128">
        <f>EDATE(InceptionDate,219)</f>
        <v/>
      </c>
      <c r="HQ7" s="128">
        <f>EDATE(InceptionDate,220)</f>
        <v/>
      </c>
      <c r="HR7" s="128">
        <f>EDATE(InceptionDate,221)</f>
        <v/>
      </c>
      <c r="HS7" s="128">
        <f>EDATE(InceptionDate,222)</f>
        <v/>
      </c>
      <c r="HT7" s="128">
        <f>EDATE(InceptionDate,223)</f>
        <v/>
      </c>
      <c r="HU7" s="128">
        <f>EDATE(InceptionDate,224)</f>
        <v/>
      </c>
      <c r="HV7" s="128">
        <f>EDATE(InceptionDate,225)</f>
        <v/>
      </c>
      <c r="HW7" s="128">
        <f>EDATE(InceptionDate,226)</f>
        <v/>
      </c>
      <c r="HX7" s="128">
        <f>EDATE(InceptionDate,227)</f>
        <v/>
      </c>
      <c r="HY7" s="128">
        <f>EDATE(InceptionDate,228)</f>
        <v/>
      </c>
      <c r="HZ7" s="128">
        <f>EDATE(InceptionDate,229)</f>
        <v/>
      </c>
      <c r="IA7" s="128">
        <f>EDATE(InceptionDate,230)</f>
        <v/>
      </c>
      <c r="IB7" s="128">
        <f>EDATE(InceptionDate,231)</f>
        <v/>
      </c>
      <c r="IC7" s="128">
        <f>EDATE(InceptionDate,232)</f>
        <v/>
      </c>
      <c r="ID7" s="128">
        <f>EDATE(InceptionDate,233)</f>
        <v/>
      </c>
      <c r="IE7" s="128">
        <f>EDATE(InceptionDate,234)</f>
        <v/>
      </c>
      <c r="IF7" s="128">
        <f>EDATE(InceptionDate,235)</f>
        <v/>
      </c>
      <c r="IG7" s="128">
        <f>EDATE(InceptionDate,236)</f>
        <v/>
      </c>
      <c r="IH7" s="128">
        <f>EDATE(InceptionDate,237)</f>
        <v/>
      </c>
      <c r="II7" s="128">
        <f>EDATE(InceptionDate,238)</f>
        <v/>
      </c>
      <c r="IJ7" s="128">
        <f>EDATE(InceptionDate,239)</f>
        <v/>
      </c>
      <c r="IK7" s="128">
        <f>EDATE(InceptionDate,240)</f>
        <v/>
      </c>
      <c r="IL7" s="128">
        <f>EDATE(InceptionDate,241)</f>
        <v/>
      </c>
      <c r="IM7" s="128">
        <f>EDATE(InceptionDate,242)</f>
        <v/>
      </c>
      <c r="IN7" s="128">
        <f>EDATE(InceptionDate,243)</f>
        <v/>
      </c>
      <c r="IO7" s="128">
        <f>EDATE(InceptionDate,244)</f>
        <v/>
      </c>
      <c r="IP7" s="128">
        <f>EDATE(InceptionDate,245)</f>
        <v/>
      </c>
      <c r="IQ7" s="128">
        <f>EDATE(InceptionDate,246)</f>
        <v/>
      </c>
      <c r="IR7" s="128">
        <f>EDATE(InceptionDate,247)</f>
        <v/>
      </c>
      <c r="IS7" s="128">
        <f>EDATE(InceptionDate,248)</f>
        <v/>
      </c>
      <c r="IT7" s="128">
        <f>EDATE(InceptionDate,249)</f>
        <v/>
      </c>
      <c r="IU7" s="128">
        <f>EDATE(InceptionDate,250)</f>
        <v/>
      </c>
      <c r="IV7" s="128">
        <f>EDATE(InceptionDate,251)</f>
        <v/>
      </c>
      <c r="IW7" s="128">
        <f>EDATE(InceptionDate,252)</f>
        <v/>
      </c>
      <c r="IX7" s="128">
        <f>EDATE(InceptionDate,253)</f>
        <v/>
      </c>
      <c r="IY7" s="128">
        <f>EDATE(InceptionDate,254)</f>
        <v/>
      </c>
      <c r="IZ7" s="128">
        <f>EDATE(InceptionDate,255)</f>
        <v/>
      </c>
      <c r="JA7" s="128">
        <f>EDATE(InceptionDate,256)</f>
        <v/>
      </c>
      <c r="JB7" s="128">
        <f>EDATE(InceptionDate,257)</f>
        <v/>
      </c>
      <c r="JC7" s="128">
        <f>EDATE(InceptionDate,258)</f>
        <v/>
      </c>
      <c r="JD7" s="128">
        <f>EDATE(InceptionDate,259)</f>
        <v/>
      </c>
      <c r="JE7" s="128">
        <f>EDATE(InceptionDate,260)</f>
        <v/>
      </c>
      <c r="JF7" s="128">
        <f>EDATE(InceptionDate,261)</f>
        <v/>
      </c>
      <c r="JG7" s="128">
        <f>EDATE(InceptionDate,262)</f>
        <v/>
      </c>
      <c r="JH7" s="128">
        <f>EDATE(InceptionDate,263)</f>
        <v/>
      </c>
      <c r="JI7" s="128">
        <f>EDATE(InceptionDate,264)</f>
        <v/>
      </c>
      <c r="JJ7" s="128">
        <f>EDATE(InceptionDate,265)</f>
        <v/>
      </c>
      <c r="JK7" s="128">
        <f>EDATE(InceptionDate,266)</f>
        <v/>
      </c>
      <c r="JL7" s="128">
        <f>EDATE(InceptionDate,267)</f>
        <v/>
      </c>
      <c r="JM7" s="128">
        <f>EDATE(InceptionDate,268)</f>
        <v/>
      </c>
      <c r="JN7" s="128">
        <f>EDATE(InceptionDate,269)</f>
        <v/>
      </c>
      <c r="JO7" s="128">
        <f>EDATE(InceptionDate,270)</f>
        <v/>
      </c>
      <c r="JP7" s="128">
        <f>EDATE(InceptionDate,271)</f>
        <v/>
      </c>
      <c r="JQ7" s="128">
        <f>EDATE(InceptionDate,272)</f>
        <v/>
      </c>
      <c r="JR7" s="128">
        <f>EDATE(InceptionDate,273)</f>
        <v/>
      </c>
      <c r="JS7" s="128">
        <f>EDATE(InceptionDate,274)</f>
        <v/>
      </c>
      <c r="JT7" s="128">
        <f>EDATE(InceptionDate,275)</f>
        <v/>
      </c>
      <c r="JU7" s="128">
        <f>EDATE(InceptionDate,276)</f>
        <v/>
      </c>
      <c r="JV7" s="128">
        <f>EDATE(InceptionDate,277)</f>
        <v/>
      </c>
      <c r="JW7" s="128">
        <f>EDATE(InceptionDate,278)</f>
        <v/>
      </c>
      <c r="JX7" s="128">
        <f>EDATE(InceptionDate,279)</f>
        <v/>
      </c>
      <c r="JY7" s="128">
        <f>EDATE(InceptionDate,280)</f>
        <v/>
      </c>
      <c r="JZ7" s="128">
        <f>EDATE(InceptionDate,281)</f>
        <v/>
      </c>
      <c r="KA7" s="128">
        <f>EDATE(InceptionDate,282)</f>
        <v/>
      </c>
      <c r="KB7" s="128">
        <f>EDATE(InceptionDate,283)</f>
        <v/>
      </c>
      <c r="KC7" s="128">
        <f>EDATE(InceptionDate,284)</f>
        <v/>
      </c>
      <c r="KD7" s="128">
        <f>EDATE(InceptionDate,285)</f>
        <v/>
      </c>
      <c r="KE7" s="128">
        <f>EDATE(InceptionDate,286)</f>
        <v/>
      </c>
      <c r="KF7" s="128">
        <f>EDATE(InceptionDate,287)</f>
        <v/>
      </c>
      <c r="KG7" s="128">
        <f>EDATE(InceptionDate,288)</f>
        <v/>
      </c>
      <c r="KH7" s="128">
        <f>EDATE(InceptionDate,289)</f>
        <v/>
      </c>
      <c r="KI7" s="128">
        <f>EDATE(InceptionDate,290)</f>
        <v/>
      </c>
      <c r="KJ7" s="128">
        <f>EDATE(InceptionDate,291)</f>
        <v/>
      </c>
      <c r="KK7" s="128">
        <f>EDATE(InceptionDate,292)</f>
        <v/>
      </c>
      <c r="KL7" s="128">
        <f>EDATE(InceptionDate,293)</f>
        <v/>
      </c>
      <c r="KM7" s="128">
        <f>EDATE(InceptionDate,294)</f>
        <v/>
      </c>
      <c r="KN7" s="128">
        <f>EDATE(InceptionDate,295)</f>
        <v/>
      </c>
      <c r="KO7" s="128">
        <f>EDATE(InceptionDate,296)</f>
        <v/>
      </c>
      <c r="KP7" s="128">
        <f>EDATE(InceptionDate,297)</f>
        <v/>
      </c>
      <c r="KQ7" s="128">
        <f>EDATE(InceptionDate,298)</f>
        <v/>
      </c>
      <c r="KR7" s="128">
        <f>EDATE(InceptionDate,299)</f>
        <v/>
      </c>
      <c r="KS7" s="128">
        <f>EDATE(InceptionDate,300)</f>
        <v/>
      </c>
      <c r="KT7" s="128">
        <f>EDATE(InceptionDate,301)</f>
        <v/>
      </c>
      <c r="KU7" s="128">
        <f>EDATE(InceptionDate,302)</f>
        <v/>
      </c>
      <c r="KV7" s="128">
        <f>EDATE(InceptionDate,303)</f>
        <v/>
      </c>
      <c r="KW7" s="128">
        <f>EDATE(InceptionDate,304)</f>
        <v/>
      </c>
      <c r="KX7" s="128">
        <f>EDATE(InceptionDate,305)</f>
        <v/>
      </c>
      <c r="KY7" s="128">
        <f>EDATE(InceptionDate,306)</f>
        <v/>
      </c>
      <c r="KZ7" s="128">
        <f>EDATE(InceptionDate,307)</f>
        <v/>
      </c>
      <c r="LA7" s="128">
        <f>EDATE(InceptionDate,308)</f>
        <v/>
      </c>
      <c r="LB7" s="128">
        <f>EDATE(InceptionDate,309)</f>
        <v/>
      </c>
      <c r="LC7" s="128">
        <f>EDATE(InceptionDate,310)</f>
        <v/>
      </c>
      <c r="LD7" s="128">
        <f>EDATE(InceptionDate,311)</f>
        <v/>
      </c>
      <c r="LE7" s="128">
        <f>EDATE(InceptionDate,312)</f>
        <v/>
      </c>
      <c r="LF7" s="128">
        <f>EDATE(InceptionDate,313)</f>
        <v/>
      </c>
      <c r="LG7" s="128">
        <f>EDATE(InceptionDate,314)</f>
        <v/>
      </c>
      <c r="LH7" s="128">
        <f>EDATE(InceptionDate,315)</f>
        <v/>
      </c>
      <c r="LI7" s="128">
        <f>EDATE(InceptionDate,316)</f>
        <v/>
      </c>
      <c r="LJ7" s="128">
        <f>EDATE(InceptionDate,317)</f>
        <v/>
      </c>
      <c r="LK7" s="128">
        <f>EDATE(InceptionDate,318)</f>
        <v/>
      </c>
      <c r="LL7" s="128">
        <f>EDATE(InceptionDate,319)</f>
        <v/>
      </c>
      <c r="LM7" s="128">
        <f>EDATE(InceptionDate,320)</f>
        <v/>
      </c>
      <c r="LN7" s="128">
        <f>EDATE(InceptionDate,321)</f>
        <v/>
      </c>
      <c r="LO7" s="128">
        <f>EDATE(InceptionDate,322)</f>
        <v/>
      </c>
      <c r="LP7" s="128">
        <f>EDATE(InceptionDate,323)</f>
        <v/>
      </c>
      <c r="LQ7" s="128">
        <f>EDATE(InceptionDate,324)</f>
        <v/>
      </c>
      <c r="LR7" s="128">
        <f>EDATE(InceptionDate,325)</f>
        <v/>
      </c>
      <c r="LS7" s="128">
        <f>EDATE(InceptionDate,326)</f>
        <v/>
      </c>
      <c r="LT7" s="128">
        <f>EDATE(InceptionDate,327)</f>
        <v/>
      </c>
      <c r="LU7" s="128">
        <f>EDATE(InceptionDate,328)</f>
        <v/>
      </c>
      <c r="LV7" s="128">
        <f>EDATE(InceptionDate,329)</f>
        <v/>
      </c>
      <c r="LW7" s="128">
        <f>EDATE(InceptionDate,330)</f>
        <v/>
      </c>
      <c r="LX7" s="128">
        <f>EDATE(InceptionDate,331)</f>
        <v/>
      </c>
      <c r="LY7" s="128">
        <f>EDATE(InceptionDate,332)</f>
        <v/>
      </c>
      <c r="LZ7" s="128">
        <f>EDATE(InceptionDate,333)</f>
        <v/>
      </c>
      <c r="MA7" s="128">
        <f>EDATE(InceptionDate,334)</f>
        <v/>
      </c>
      <c r="MB7" s="128">
        <f>EDATE(InceptionDate,335)</f>
        <v/>
      </c>
      <c r="MC7" s="128">
        <f>EDATE(InceptionDate,336)</f>
        <v/>
      </c>
      <c r="MD7" s="128">
        <f>EDATE(InceptionDate,337)</f>
        <v/>
      </c>
      <c r="ME7" s="128">
        <f>EDATE(InceptionDate,338)</f>
        <v/>
      </c>
      <c r="MF7" s="128">
        <f>EDATE(InceptionDate,339)</f>
        <v/>
      </c>
      <c r="MG7" s="128">
        <f>EDATE(InceptionDate,340)</f>
        <v/>
      </c>
      <c r="MH7" s="128">
        <f>EDATE(InceptionDate,341)</f>
        <v/>
      </c>
      <c r="MI7" s="128">
        <f>EDATE(InceptionDate,342)</f>
        <v/>
      </c>
      <c r="MJ7" s="128">
        <f>EDATE(InceptionDate,343)</f>
        <v/>
      </c>
      <c r="MK7" s="128">
        <f>EDATE(InceptionDate,344)</f>
        <v/>
      </c>
      <c r="ML7" s="128">
        <f>EDATE(InceptionDate,345)</f>
        <v/>
      </c>
      <c r="MM7" s="128">
        <f>EDATE(InceptionDate,346)</f>
        <v/>
      </c>
      <c r="MN7" s="128">
        <f>EDATE(InceptionDate,347)</f>
        <v/>
      </c>
      <c r="MO7" s="128">
        <f>EDATE(InceptionDate,348)</f>
        <v/>
      </c>
      <c r="MP7" s="128">
        <f>EDATE(InceptionDate,349)</f>
        <v/>
      </c>
      <c r="MQ7" s="128">
        <f>EDATE(InceptionDate,350)</f>
        <v/>
      </c>
      <c r="MR7" s="128">
        <f>EDATE(InceptionDate,351)</f>
        <v/>
      </c>
      <c r="MS7" s="128">
        <f>EDATE(InceptionDate,352)</f>
        <v/>
      </c>
      <c r="MT7" s="128">
        <f>EDATE(InceptionDate,353)</f>
        <v/>
      </c>
      <c r="MU7" s="128">
        <f>EDATE(InceptionDate,354)</f>
        <v/>
      </c>
      <c r="MV7" s="128">
        <f>EDATE(InceptionDate,355)</f>
        <v/>
      </c>
      <c r="MW7" s="128">
        <f>EDATE(InceptionDate,356)</f>
        <v/>
      </c>
      <c r="MX7" s="128">
        <f>EDATE(InceptionDate,357)</f>
        <v/>
      </c>
      <c r="MY7" s="128">
        <f>EDATE(InceptionDate,358)</f>
        <v/>
      </c>
      <c r="MZ7" s="128">
        <f>EDATE(InceptionDate,359)</f>
        <v/>
      </c>
      <c r="NA7" s="128">
        <f>EDATE(InceptionDate,360)</f>
        <v/>
      </c>
      <c r="NB7" s="128">
        <f>EDATE(InceptionDate,361)</f>
        <v/>
      </c>
      <c r="NC7" s="128">
        <f>EDATE(InceptionDate,362)</f>
        <v/>
      </c>
      <c r="ND7" s="128">
        <f>EDATE(InceptionDate,363)</f>
        <v/>
      </c>
      <c r="NE7" s="128">
        <f>EDATE(InceptionDate,364)</f>
        <v/>
      </c>
      <c r="NF7" s="128">
        <f>EDATE(InceptionDate,365)</f>
        <v/>
      </c>
      <c r="NG7" s="128">
        <f>EDATE(InceptionDate,366)</f>
        <v/>
      </c>
      <c r="NH7" s="128">
        <f>EDATE(InceptionDate,367)</f>
        <v/>
      </c>
      <c r="NI7" s="128">
        <f>EDATE(InceptionDate,368)</f>
        <v/>
      </c>
      <c r="NJ7" s="128">
        <f>EDATE(InceptionDate,369)</f>
        <v/>
      </c>
      <c r="NK7" s="128">
        <f>EDATE(InceptionDate,370)</f>
        <v/>
      </c>
      <c r="NL7" s="128">
        <f>EDATE(InceptionDate,371)</f>
        <v/>
      </c>
    </row>
    <row r="8">
      <c r="B8" s="36" t="inlineStr">
        <is>
          <t>Cumulative Units Delivered</t>
        </is>
      </c>
      <c r="D8" s="124" t="n"/>
      <c r="E8" s="85">
        <f>IF(1&lt;DeliverStart,0,MIN(TotalUnits,(1-DeliverStart+1)*UnitsDeliveredPerMo))</f>
        <v/>
      </c>
      <c r="F8" s="85">
        <f>IF(2&lt;DeliverStart,0,MIN(TotalUnits,(2-DeliverStart+1)*UnitsDeliveredPerMo))</f>
        <v/>
      </c>
      <c r="G8" s="85">
        <f>IF(3&lt;DeliverStart,0,MIN(TotalUnits,(3-DeliverStart+1)*UnitsDeliveredPerMo))</f>
        <v/>
      </c>
      <c r="H8" s="85">
        <f>IF(4&lt;DeliverStart,0,MIN(TotalUnits,(4-DeliverStart+1)*UnitsDeliveredPerMo))</f>
        <v/>
      </c>
      <c r="I8" s="85">
        <f>IF(5&lt;DeliverStart,0,MIN(TotalUnits,(5-DeliverStart+1)*UnitsDeliveredPerMo))</f>
        <v/>
      </c>
      <c r="J8" s="85">
        <f>IF(6&lt;DeliverStart,0,MIN(TotalUnits,(6-DeliverStart+1)*UnitsDeliveredPerMo))</f>
        <v/>
      </c>
      <c r="K8" s="85">
        <f>IF(7&lt;DeliverStart,0,MIN(TotalUnits,(7-DeliverStart+1)*UnitsDeliveredPerMo))</f>
        <v/>
      </c>
      <c r="L8" s="85">
        <f>IF(8&lt;DeliverStart,0,MIN(TotalUnits,(8-DeliverStart+1)*UnitsDeliveredPerMo))</f>
        <v/>
      </c>
      <c r="M8" s="85">
        <f>IF(9&lt;DeliverStart,0,MIN(TotalUnits,(9-DeliverStart+1)*UnitsDeliveredPerMo))</f>
        <v/>
      </c>
      <c r="N8" s="85">
        <f>IF(10&lt;DeliverStart,0,MIN(TotalUnits,(10-DeliverStart+1)*UnitsDeliveredPerMo))</f>
        <v/>
      </c>
      <c r="O8" s="85">
        <f>IF(11&lt;DeliverStart,0,MIN(TotalUnits,(11-DeliverStart+1)*UnitsDeliveredPerMo))</f>
        <v/>
      </c>
      <c r="P8" s="85">
        <f>IF(12&lt;DeliverStart,0,MIN(TotalUnits,(12-DeliverStart+1)*UnitsDeliveredPerMo))</f>
        <v/>
      </c>
      <c r="Q8" s="85">
        <f>IF(13&lt;DeliverStart,0,MIN(TotalUnits,(13-DeliverStart+1)*UnitsDeliveredPerMo))</f>
        <v/>
      </c>
      <c r="R8" s="85">
        <f>IF(14&lt;DeliverStart,0,MIN(TotalUnits,(14-DeliverStart+1)*UnitsDeliveredPerMo))</f>
        <v/>
      </c>
      <c r="S8" s="85">
        <f>IF(15&lt;DeliverStart,0,MIN(TotalUnits,(15-DeliverStart+1)*UnitsDeliveredPerMo))</f>
        <v/>
      </c>
      <c r="T8" s="85">
        <f>IF(16&lt;DeliverStart,0,MIN(TotalUnits,(16-DeliverStart+1)*UnitsDeliveredPerMo))</f>
        <v/>
      </c>
      <c r="U8" s="85">
        <f>IF(17&lt;DeliverStart,0,MIN(TotalUnits,(17-DeliverStart+1)*UnitsDeliveredPerMo))</f>
        <v/>
      </c>
      <c r="V8" s="85">
        <f>IF(18&lt;DeliverStart,0,MIN(TotalUnits,(18-DeliverStart+1)*UnitsDeliveredPerMo))</f>
        <v/>
      </c>
      <c r="W8" s="85">
        <f>IF(19&lt;DeliverStart,0,MIN(TotalUnits,(19-DeliverStart+1)*UnitsDeliveredPerMo))</f>
        <v/>
      </c>
      <c r="X8" s="85">
        <f>IF(20&lt;DeliverStart,0,MIN(TotalUnits,(20-DeliverStart+1)*UnitsDeliveredPerMo))</f>
        <v/>
      </c>
      <c r="Y8" s="85">
        <f>IF(21&lt;DeliverStart,0,MIN(TotalUnits,(21-DeliverStart+1)*UnitsDeliveredPerMo))</f>
        <v/>
      </c>
      <c r="Z8" s="85">
        <f>IF(22&lt;DeliverStart,0,MIN(TotalUnits,(22-DeliverStart+1)*UnitsDeliveredPerMo))</f>
        <v/>
      </c>
      <c r="AA8" s="85">
        <f>IF(23&lt;DeliverStart,0,MIN(TotalUnits,(23-DeliverStart+1)*UnitsDeliveredPerMo))</f>
        <v/>
      </c>
      <c r="AB8" s="85">
        <f>IF(24&lt;DeliverStart,0,MIN(TotalUnits,(24-DeliverStart+1)*UnitsDeliveredPerMo))</f>
        <v/>
      </c>
      <c r="AC8" s="85">
        <f>IF(25&lt;DeliverStart,0,MIN(TotalUnits,(25-DeliverStart+1)*UnitsDeliveredPerMo))</f>
        <v/>
      </c>
      <c r="AD8" s="85">
        <f>IF(26&lt;DeliverStart,0,MIN(TotalUnits,(26-DeliverStart+1)*UnitsDeliveredPerMo))</f>
        <v/>
      </c>
      <c r="AE8" s="85">
        <f>IF(27&lt;DeliverStart,0,MIN(TotalUnits,(27-DeliverStart+1)*UnitsDeliveredPerMo))</f>
        <v/>
      </c>
      <c r="AF8" s="85">
        <f>IF(28&lt;DeliverStart,0,MIN(TotalUnits,(28-DeliverStart+1)*UnitsDeliveredPerMo))</f>
        <v/>
      </c>
      <c r="AG8" s="85">
        <f>IF(29&lt;DeliverStart,0,MIN(TotalUnits,(29-DeliverStart+1)*UnitsDeliveredPerMo))</f>
        <v/>
      </c>
      <c r="AH8" s="85">
        <f>IF(30&lt;DeliverStart,0,MIN(TotalUnits,(30-DeliverStart+1)*UnitsDeliveredPerMo))</f>
        <v/>
      </c>
      <c r="AI8" s="85">
        <f>IF(31&lt;DeliverStart,0,MIN(TotalUnits,(31-DeliverStart+1)*UnitsDeliveredPerMo))</f>
        <v/>
      </c>
      <c r="AJ8" s="85">
        <f>IF(32&lt;DeliverStart,0,MIN(TotalUnits,(32-DeliverStart+1)*UnitsDeliveredPerMo))</f>
        <v/>
      </c>
      <c r="AK8" s="85">
        <f>IF(33&lt;DeliverStart,0,MIN(TotalUnits,(33-DeliverStart+1)*UnitsDeliveredPerMo))</f>
        <v/>
      </c>
      <c r="AL8" s="85">
        <f>IF(34&lt;DeliverStart,0,MIN(TotalUnits,(34-DeliverStart+1)*UnitsDeliveredPerMo))</f>
        <v/>
      </c>
      <c r="AM8" s="85">
        <f>IF(35&lt;DeliverStart,0,MIN(TotalUnits,(35-DeliverStart+1)*UnitsDeliveredPerMo))</f>
        <v/>
      </c>
      <c r="AN8" s="85">
        <f>IF(36&lt;DeliverStart,0,MIN(TotalUnits,(36-DeliverStart+1)*UnitsDeliveredPerMo))</f>
        <v/>
      </c>
      <c r="AO8" s="85">
        <f>IF(37&lt;DeliverStart,0,MIN(TotalUnits,(37-DeliverStart+1)*UnitsDeliveredPerMo))</f>
        <v/>
      </c>
      <c r="AP8" s="85">
        <f>IF(38&lt;DeliverStart,0,MIN(TotalUnits,(38-DeliverStart+1)*UnitsDeliveredPerMo))</f>
        <v/>
      </c>
      <c r="AQ8" s="85">
        <f>IF(39&lt;DeliverStart,0,MIN(TotalUnits,(39-DeliverStart+1)*UnitsDeliveredPerMo))</f>
        <v/>
      </c>
      <c r="AR8" s="85">
        <f>IF(40&lt;DeliverStart,0,MIN(TotalUnits,(40-DeliverStart+1)*UnitsDeliveredPerMo))</f>
        <v/>
      </c>
      <c r="AS8" s="85">
        <f>IF(41&lt;DeliverStart,0,MIN(TotalUnits,(41-DeliverStart+1)*UnitsDeliveredPerMo))</f>
        <v/>
      </c>
      <c r="AT8" s="85">
        <f>IF(42&lt;DeliverStart,0,MIN(TotalUnits,(42-DeliverStart+1)*UnitsDeliveredPerMo))</f>
        <v/>
      </c>
      <c r="AU8" s="85">
        <f>IF(43&lt;DeliverStart,0,MIN(TotalUnits,(43-DeliverStart+1)*UnitsDeliveredPerMo))</f>
        <v/>
      </c>
      <c r="AV8" s="85">
        <f>IF(44&lt;DeliverStart,0,MIN(TotalUnits,(44-DeliverStart+1)*UnitsDeliveredPerMo))</f>
        <v/>
      </c>
      <c r="AW8" s="85">
        <f>IF(45&lt;DeliverStart,0,MIN(TotalUnits,(45-DeliverStart+1)*UnitsDeliveredPerMo))</f>
        <v/>
      </c>
      <c r="AX8" s="85">
        <f>IF(46&lt;DeliverStart,0,MIN(TotalUnits,(46-DeliverStart+1)*UnitsDeliveredPerMo))</f>
        <v/>
      </c>
      <c r="AY8" s="85">
        <f>IF(47&lt;DeliverStart,0,MIN(TotalUnits,(47-DeliverStart+1)*UnitsDeliveredPerMo))</f>
        <v/>
      </c>
      <c r="AZ8" s="85">
        <f>IF(48&lt;DeliverStart,0,MIN(TotalUnits,(48-DeliverStart+1)*UnitsDeliveredPerMo))</f>
        <v/>
      </c>
      <c r="BA8" s="85">
        <f>IF(49&lt;DeliverStart,0,MIN(TotalUnits,(49-DeliverStart+1)*UnitsDeliveredPerMo))</f>
        <v/>
      </c>
      <c r="BB8" s="85">
        <f>IF(50&lt;DeliverStart,0,MIN(TotalUnits,(50-DeliverStart+1)*UnitsDeliveredPerMo))</f>
        <v/>
      </c>
      <c r="BC8" s="85">
        <f>IF(51&lt;DeliverStart,0,MIN(TotalUnits,(51-DeliverStart+1)*UnitsDeliveredPerMo))</f>
        <v/>
      </c>
      <c r="BD8" s="85">
        <f>IF(52&lt;DeliverStart,0,MIN(TotalUnits,(52-DeliverStart+1)*UnitsDeliveredPerMo))</f>
        <v/>
      </c>
      <c r="BE8" s="85">
        <f>IF(53&lt;DeliverStart,0,MIN(TotalUnits,(53-DeliverStart+1)*UnitsDeliveredPerMo))</f>
        <v/>
      </c>
      <c r="BF8" s="85">
        <f>IF(54&lt;DeliverStart,0,MIN(TotalUnits,(54-DeliverStart+1)*UnitsDeliveredPerMo))</f>
        <v/>
      </c>
      <c r="BG8" s="85">
        <f>IF(55&lt;DeliverStart,0,MIN(TotalUnits,(55-DeliverStart+1)*UnitsDeliveredPerMo))</f>
        <v/>
      </c>
      <c r="BH8" s="85">
        <f>IF(56&lt;DeliverStart,0,MIN(TotalUnits,(56-DeliverStart+1)*UnitsDeliveredPerMo))</f>
        <v/>
      </c>
      <c r="BI8" s="85">
        <f>IF(57&lt;DeliverStart,0,MIN(TotalUnits,(57-DeliverStart+1)*UnitsDeliveredPerMo))</f>
        <v/>
      </c>
      <c r="BJ8" s="85">
        <f>IF(58&lt;DeliverStart,0,MIN(TotalUnits,(58-DeliverStart+1)*UnitsDeliveredPerMo))</f>
        <v/>
      </c>
      <c r="BK8" s="85">
        <f>IF(59&lt;DeliverStart,0,MIN(TotalUnits,(59-DeliverStart+1)*UnitsDeliveredPerMo))</f>
        <v/>
      </c>
      <c r="BL8" s="85">
        <f>IF(60&lt;DeliverStart,0,MIN(TotalUnits,(60-DeliverStart+1)*UnitsDeliveredPerMo))</f>
        <v/>
      </c>
      <c r="BM8" s="85">
        <f>IF(61&lt;DeliverStart,0,MIN(TotalUnits,(61-DeliverStart+1)*UnitsDeliveredPerMo))</f>
        <v/>
      </c>
      <c r="BN8" s="85">
        <f>IF(62&lt;DeliverStart,0,MIN(TotalUnits,(62-DeliverStart+1)*UnitsDeliveredPerMo))</f>
        <v/>
      </c>
      <c r="BO8" s="85">
        <f>IF(63&lt;DeliverStart,0,MIN(TotalUnits,(63-DeliverStart+1)*UnitsDeliveredPerMo))</f>
        <v/>
      </c>
      <c r="BP8" s="85">
        <f>IF(64&lt;DeliverStart,0,MIN(TotalUnits,(64-DeliverStart+1)*UnitsDeliveredPerMo))</f>
        <v/>
      </c>
      <c r="BQ8" s="85">
        <f>IF(65&lt;DeliverStart,0,MIN(TotalUnits,(65-DeliverStart+1)*UnitsDeliveredPerMo))</f>
        <v/>
      </c>
      <c r="BR8" s="85">
        <f>IF(66&lt;DeliverStart,0,MIN(TotalUnits,(66-DeliverStart+1)*UnitsDeliveredPerMo))</f>
        <v/>
      </c>
      <c r="BS8" s="85">
        <f>IF(67&lt;DeliverStart,0,MIN(TotalUnits,(67-DeliverStart+1)*UnitsDeliveredPerMo))</f>
        <v/>
      </c>
      <c r="BT8" s="85">
        <f>IF(68&lt;DeliverStart,0,MIN(TotalUnits,(68-DeliverStart+1)*UnitsDeliveredPerMo))</f>
        <v/>
      </c>
      <c r="BU8" s="85">
        <f>IF(69&lt;DeliverStart,0,MIN(TotalUnits,(69-DeliverStart+1)*UnitsDeliveredPerMo))</f>
        <v/>
      </c>
      <c r="BV8" s="85">
        <f>IF(70&lt;DeliverStart,0,MIN(TotalUnits,(70-DeliverStart+1)*UnitsDeliveredPerMo))</f>
        <v/>
      </c>
      <c r="BW8" s="85">
        <f>IF(71&lt;DeliverStart,0,MIN(TotalUnits,(71-DeliverStart+1)*UnitsDeliveredPerMo))</f>
        <v/>
      </c>
      <c r="BX8" s="85">
        <f>IF(72&lt;DeliverStart,0,MIN(TotalUnits,(72-DeliverStart+1)*UnitsDeliveredPerMo))</f>
        <v/>
      </c>
      <c r="BY8" s="85">
        <f>IF(73&lt;DeliverStart,0,MIN(TotalUnits,(73-DeliverStart+1)*UnitsDeliveredPerMo))</f>
        <v/>
      </c>
      <c r="BZ8" s="85">
        <f>IF(74&lt;DeliverStart,0,MIN(TotalUnits,(74-DeliverStart+1)*UnitsDeliveredPerMo))</f>
        <v/>
      </c>
      <c r="CA8" s="85">
        <f>IF(75&lt;DeliverStart,0,MIN(TotalUnits,(75-DeliverStart+1)*UnitsDeliveredPerMo))</f>
        <v/>
      </c>
      <c r="CB8" s="85">
        <f>IF(76&lt;DeliverStart,0,MIN(TotalUnits,(76-DeliverStart+1)*UnitsDeliveredPerMo))</f>
        <v/>
      </c>
      <c r="CC8" s="85">
        <f>IF(77&lt;DeliverStart,0,MIN(TotalUnits,(77-DeliverStart+1)*UnitsDeliveredPerMo))</f>
        <v/>
      </c>
      <c r="CD8" s="85">
        <f>IF(78&lt;DeliverStart,0,MIN(TotalUnits,(78-DeliverStart+1)*UnitsDeliveredPerMo))</f>
        <v/>
      </c>
      <c r="CE8" s="85">
        <f>IF(79&lt;DeliverStart,0,MIN(TotalUnits,(79-DeliverStart+1)*UnitsDeliveredPerMo))</f>
        <v/>
      </c>
      <c r="CF8" s="85">
        <f>IF(80&lt;DeliverStart,0,MIN(TotalUnits,(80-DeliverStart+1)*UnitsDeliveredPerMo))</f>
        <v/>
      </c>
      <c r="CG8" s="85">
        <f>IF(81&lt;DeliverStart,0,MIN(TotalUnits,(81-DeliverStart+1)*UnitsDeliveredPerMo))</f>
        <v/>
      </c>
      <c r="CH8" s="85">
        <f>IF(82&lt;DeliverStart,0,MIN(TotalUnits,(82-DeliverStart+1)*UnitsDeliveredPerMo))</f>
        <v/>
      </c>
      <c r="CI8" s="85">
        <f>IF(83&lt;DeliverStart,0,MIN(TotalUnits,(83-DeliverStart+1)*UnitsDeliveredPerMo))</f>
        <v/>
      </c>
      <c r="CJ8" s="85">
        <f>IF(84&lt;DeliverStart,0,MIN(TotalUnits,(84-DeliverStart+1)*UnitsDeliveredPerMo))</f>
        <v/>
      </c>
      <c r="CK8" s="85">
        <f>IF(85&lt;DeliverStart,0,MIN(TotalUnits,(85-DeliverStart+1)*UnitsDeliveredPerMo))</f>
        <v/>
      </c>
      <c r="CL8" s="85">
        <f>IF(86&lt;DeliverStart,0,MIN(TotalUnits,(86-DeliverStart+1)*UnitsDeliveredPerMo))</f>
        <v/>
      </c>
      <c r="CM8" s="85">
        <f>IF(87&lt;DeliverStart,0,MIN(TotalUnits,(87-DeliverStart+1)*UnitsDeliveredPerMo))</f>
        <v/>
      </c>
      <c r="CN8" s="85">
        <f>IF(88&lt;DeliverStart,0,MIN(TotalUnits,(88-DeliverStart+1)*UnitsDeliveredPerMo))</f>
        <v/>
      </c>
      <c r="CO8" s="85">
        <f>IF(89&lt;DeliverStart,0,MIN(TotalUnits,(89-DeliverStart+1)*UnitsDeliveredPerMo))</f>
        <v/>
      </c>
      <c r="CP8" s="85">
        <f>IF(90&lt;DeliverStart,0,MIN(TotalUnits,(90-DeliverStart+1)*UnitsDeliveredPerMo))</f>
        <v/>
      </c>
      <c r="CQ8" s="85">
        <f>IF(91&lt;DeliverStart,0,MIN(TotalUnits,(91-DeliverStart+1)*UnitsDeliveredPerMo))</f>
        <v/>
      </c>
      <c r="CR8" s="85">
        <f>IF(92&lt;DeliverStart,0,MIN(TotalUnits,(92-DeliverStart+1)*UnitsDeliveredPerMo))</f>
        <v/>
      </c>
      <c r="CS8" s="85">
        <f>IF(93&lt;DeliverStart,0,MIN(TotalUnits,(93-DeliverStart+1)*UnitsDeliveredPerMo))</f>
        <v/>
      </c>
      <c r="CT8" s="85">
        <f>IF(94&lt;DeliverStart,0,MIN(TotalUnits,(94-DeliverStart+1)*UnitsDeliveredPerMo))</f>
        <v/>
      </c>
      <c r="CU8" s="85">
        <f>IF(95&lt;DeliverStart,0,MIN(TotalUnits,(95-DeliverStart+1)*UnitsDeliveredPerMo))</f>
        <v/>
      </c>
      <c r="CV8" s="85">
        <f>IF(96&lt;DeliverStart,0,MIN(TotalUnits,(96-DeliverStart+1)*UnitsDeliveredPerMo))</f>
        <v/>
      </c>
      <c r="CW8" s="85">
        <f>IF(97&lt;DeliverStart,0,MIN(TotalUnits,(97-DeliverStart+1)*UnitsDeliveredPerMo))</f>
        <v/>
      </c>
      <c r="CX8" s="85">
        <f>IF(98&lt;DeliverStart,0,MIN(TotalUnits,(98-DeliverStart+1)*UnitsDeliveredPerMo))</f>
        <v/>
      </c>
      <c r="CY8" s="85">
        <f>IF(99&lt;DeliverStart,0,MIN(TotalUnits,(99-DeliverStart+1)*UnitsDeliveredPerMo))</f>
        <v/>
      </c>
      <c r="CZ8" s="85">
        <f>IF(100&lt;DeliverStart,0,MIN(TotalUnits,(100-DeliverStart+1)*UnitsDeliveredPerMo))</f>
        <v/>
      </c>
      <c r="DA8" s="85">
        <f>IF(101&lt;DeliverStart,0,MIN(TotalUnits,(101-DeliverStart+1)*UnitsDeliveredPerMo))</f>
        <v/>
      </c>
      <c r="DB8" s="85">
        <f>IF(102&lt;DeliverStart,0,MIN(TotalUnits,(102-DeliverStart+1)*UnitsDeliveredPerMo))</f>
        <v/>
      </c>
      <c r="DC8" s="85">
        <f>IF(103&lt;DeliverStart,0,MIN(TotalUnits,(103-DeliverStart+1)*UnitsDeliveredPerMo))</f>
        <v/>
      </c>
      <c r="DD8" s="85">
        <f>IF(104&lt;DeliverStart,0,MIN(TotalUnits,(104-DeliverStart+1)*UnitsDeliveredPerMo))</f>
        <v/>
      </c>
      <c r="DE8" s="85">
        <f>IF(105&lt;DeliverStart,0,MIN(TotalUnits,(105-DeliverStart+1)*UnitsDeliveredPerMo))</f>
        <v/>
      </c>
      <c r="DF8" s="85">
        <f>IF(106&lt;DeliverStart,0,MIN(TotalUnits,(106-DeliverStart+1)*UnitsDeliveredPerMo))</f>
        <v/>
      </c>
      <c r="DG8" s="85">
        <f>IF(107&lt;DeliverStart,0,MIN(TotalUnits,(107-DeliverStart+1)*UnitsDeliveredPerMo))</f>
        <v/>
      </c>
      <c r="DH8" s="85">
        <f>IF(108&lt;DeliverStart,0,MIN(TotalUnits,(108-DeliverStart+1)*UnitsDeliveredPerMo))</f>
        <v/>
      </c>
      <c r="DI8" s="85">
        <f>IF(109&lt;DeliverStart,0,MIN(TotalUnits,(109-DeliverStart+1)*UnitsDeliveredPerMo))</f>
        <v/>
      </c>
      <c r="DJ8" s="85">
        <f>IF(110&lt;DeliverStart,0,MIN(TotalUnits,(110-DeliverStart+1)*UnitsDeliveredPerMo))</f>
        <v/>
      </c>
      <c r="DK8" s="85">
        <f>IF(111&lt;DeliverStart,0,MIN(TotalUnits,(111-DeliverStart+1)*UnitsDeliveredPerMo))</f>
        <v/>
      </c>
      <c r="DL8" s="85">
        <f>IF(112&lt;DeliverStart,0,MIN(TotalUnits,(112-DeliverStart+1)*UnitsDeliveredPerMo))</f>
        <v/>
      </c>
      <c r="DM8" s="85">
        <f>IF(113&lt;DeliverStart,0,MIN(TotalUnits,(113-DeliverStart+1)*UnitsDeliveredPerMo))</f>
        <v/>
      </c>
      <c r="DN8" s="85">
        <f>IF(114&lt;DeliverStart,0,MIN(TotalUnits,(114-DeliverStart+1)*UnitsDeliveredPerMo))</f>
        <v/>
      </c>
      <c r="DO8" s="85">
        <f>IF(115&lt;DeliverStart,0,MIN(TotalUnits,(115-DeliverStart+1)*UnitsDeliveredPerMo))</f>
        <v/>
      </c>
      <c r="DP8" s="85">
        <f>IF(116&lt;DeliverStart,0,MIN(TotalUnits,(116-DeliverStart+1)*UnitsDeliveredPerMo))</f>
        <v/>
      </c>
      <c r="DQ8" s="85">
        <f>IF(117&lt;DeliverStart,0,MIN(TotalUnits,(117-DeliverStart+1)*UnitsDeliveredPerMo))</f>
        <v/>
      </c>
      <c r="DR8" s="85">
        <f>IF(118&lt;DeliverStart,0,MIN(TotalUnits,(118-DeliverStart+1)*UnitsDeliveredPerMo))</f>
        <v/>
      </c>
      <c r="DS8" s="85">
        <f>IF(119&lt;DeliverStart,0,MIN(TotalUnits,(119-DeliverStart+1)*UnitsDeliveredPerMo))</f>
        <v/>
      </c>
      <c r="DT8" s="85">
        <f>IF(120&lt;DeliverStart,0,MIN(TotalUnits,(120-DeliverStart+1)*UnitsDeliveredPerMo))</f>
        <v/>
      </c>
      <c r="DU8" s="85">
        <f>IF(121&lt;DeliverStart,0,MIN(TotalUnits,(121-DeliverStart+1)*UnitsDeliveredPerMo))</f>
        <v/>
      </c>
      <c r="DV8" s="85">
        <f>IF(122&lt;DeliverStart,0,MIN(TotalUnits,(122-DeliverStart+1)*UnitsDeliveredPerMo))</f>
        <v/>
      </c>
      <c r="DW8" s="85">
        <f>IF(123&lt;DeliverStart,0,MIN(TotalUnits,(123-DeliverStart+1)*UnitsDeliveredPerMo))</f>
        <v/>
      </c>
      <c r="DX8" s="85">
        <f>IF(124&lt;DeliverStart,0,MIN(TotalUnits,(124-DeliverStart+1)*UnitsDeliveredPerMo))</f>
        <v/>
      </c>
      <c r="DY8" s="85">
        <f>IF(125&lt;DeliverStart,0,MIN(TotalUnits,(125-DeliverStart+1)*UnitsDeliveredPerMo))</f>
        <v/>
      </c>
      <c r="DZ8" s="85">
        <f>IF(126&lt;DeliverStart,0,MIN(TotalUnits,(126-DeliverStart+1)*UnitsDeliveredPerMo))</f>
        <v/>
      </c>
      <c r="EA8" s="85">
        <f>IF(127&lt;DeliverStart,0,MIN(TotalUnits,(127-DeliverStart+1)*UnitsDeliveredPerMo))</f>
        <v/>
      </c>
      <c r="EB8" s="85">
        <f>IF(128&lt;DeliverStart,0,MIN(TotalUnits,(128-DeliverStart+1)*UnitsDeliveredPerMo))</f>
        <v/>
      </c>
      <c r="EC8" s="85">
        <f>IF(129&lt;DeliverStart,0,MIN(TotalUnits,(129-DeliverStart+1)*UnitsDeliveredPerMo))</f>
        <v/>
      </c>
      <c r="ED8" s="85">
        <f>IF(130&lt;DeliverStart,0,MIN(TotalUnits,(130-DeliverStart+1)*UnitsDeliveredPerMo))</f>
        <v/>
      </c>
      <c r="EE8" s="85">
        <f>IF(131&lt;DeliverStart,0,MIN(TotalUnits,(131-DeliverStart+1)*UnitsDeliveredPerMo))</f>
        <v/>
      </c>
      <c r="EF8" s="85">
        <f>IF(132&lt;DeliverStart,0,MIN(TotalUnits,(132-DeliverStart+1)*UnitsDeliveredPerMo))</f>
        <v/>
      </c>
      <c r="EG8" s="85">
        <f>IF(133&lt;DeliverStart,0,MIN(TotalUnits,(133-DeliverStart+1)*UnitsDeliveredPerMo))</f>
        <v/>
      </c>
      <c r="EH8" s="85">
        <f>IF(134&lt;DeliverStart,0,MIN(TotalUnits,(134-DeliverStart+1)*UnitsDeliveredPerMo))</f>
        <v/>
      </c>
      <c r="EI8" s="85">
        <f>IF(135&lt;DeliverStart,0,MIN(TotalUnits,(135-DeliverStart+1)*UnitsDeliveredPerMo))</f>
        <v/>
      </c>
      <c r="EJ8" s="85">
        <f>IF(136&lt;DeliverStart,0,MIN(TotalUnits,(136-DeliverStart+1)*UnitsDeliveredPerMo))</f>
        <v/>
      </c>
      <c r="EK8" s="85">
        <f>IF(137&lt;DeliverStart,0,MIN(TotalUnits,(137-DeliverStart+1)*UnitsDeliveredPerMo))</f>
        <v/>
      </c>
      <c r="EL8" s="85">
        <f>IF(138&lt;DeliverStart,0,MIN(TotalUnits,(138-DeliverStart+1)*UnitsDeliveredPerMo))</f>
        <v/>
      </c>
      <c r="EM8" s="85">
        <f>IF(139&lt;DeliverStart,0,MIN(TotalUnits,(139-DeliverStart+1)*UnitsDeliveredPerMo))</f>
        <v/>
      </c>
      <c r="EN8" s="85">
        <f>IF(140&lt;DeliverStart,0,MIN(TotalUnits,(140-DeliverStart+1)*UnitsDeliveredPerMo))</f>
        <v/>
      </c>
      <c r="EO8" s="85">
        <f>IF(141&lt;DeliverStart,0,MIN(TotalUnits,(141-DeliverStart+1)*UnitsDeliveredPerMo))</f>
        <v/>
      </c>
      <c r="EP8" s="85">
        <f>IF(142&lt;DeliverStart,0,MIN(TotalUnits,(142-DeliverStart+1)*UnitsDeliveredPerMo))</f>
        <v/>
      </c>
      <c r="EQ8" s="85">
        <f>IF(143&lt;DeliverStart,0,MIN(TotalUnits,(143-DeliverStart+1)*UnitsDeliveredPerMo))</f>
        <v/>
      </c>
      <c r="ER8" s="85">
        <f>IF(144&lt;DeliverStart,0,MIN(TotalUnits,(144-DeliverStart+1)*UnitsDeliveredPerMo))</f>
        <v/>
      </c>
      <c r="ES8" s="85">
        <f>IF(145&lt;DeliverStart,0,MIN(TotalUnits,(145-DeliverStart+1)*UnitsDeliveredPerMo))</f>
        <v/>
      </c>
      <c r="ET8" s="85">
        <f>IF(146&lt;DeliverStart,0,MIN(TotalUnits,(146-DeliverStart+1)*UnitsDeliveredPerMo))</f>
        <v/>
      </c>
      <c r="EU8" s="85">
        <f>IF(147&lt;DeliverStart,0,MIN(TotalUnits,(147-DeliverStart+1)*UnitsDeliveredPerMo))</f>
        <v/>
      </c>
      <c r="EV8" s="85">
        <f>IF(148&lt;DeliverStart,0,MIN(TotalUnits,(148-DeliverStart+1)*UnitsDeliveredPerMo))</f>
        <v/>
      </c>
      <c r="EW8" s="85">
        <f>IF(149&lt;DeliverStart,0,MIN(TotalUnits,(149-DeliverStart+1)*UnitsDeliveredPerMo))</f>
        <v/>
      </c>
      <c r="EX8" s="85">
        <f>IF(150&lt;DeliverStart,0,MIN(TotalUnits,(150-DeliverStart+1)*UnitsDeliveredPerMo))</f>
        <v/>
      </c>
      <c r="EY8" s="85">
        <f>IF(151&lt;DeliverStart,0,MIN(TotalUnits,(151-DeliverStart+1)*UnitsDeliveredPerMo))</f>
        <v/>
      </c>
      <c r="EZ8" s="85">
        <f>IF(152&lt;DeliverStart,0,MIN(TotalUnits,(152-DeliverStart+1)*UnitsDeliveredPerMo))</f>
        <v/>
      </c>
      <c r="FA8" s="85">
        <f>IF(153&lt;DeliverStart,0,MIN(TotalUnits,(153-DeliverStart+1)*UnitsDeliveredPerMo))</f>
        <v/>
      </c>
      <c r="FB8" s="85">
        <f>IF(154&lt;DeliverStart,0,MIN(TotalUnits,(154-DeliverStart+1)*UnitsDeliveredPerMo))</f>
        <v/>
      </c>
      <c r="FC8" s="85">
        <f>IF(155&lt;DeliverStart,0,MIN(TotalUnits,(155-DeliverStart+1)*UnitsDeliveredPerMo))</f>
        <v/>
      </c>
      <c r="FD8" s="85">
        <f>IF(156&lt;DeliverStart,0,MIN(TotalUnits,(156-DeliverStart+1)*UnitsDeliveredPerMo))</f>
        <v/>
      </c>
      <c r="FE8" s="85">
        <f>IF(157&lt;DeliverStart,0,MIN(TotalUnits,(157-DeliverStart+1)*UnitsDeliveredPerMo))</f>
        <v/>
      </c>
      <c r="FF8" s="85">
        <f>IF(158&lt;DeliverStart,0,MIN(TotalUnits,(158-DeliverStart+1)*UnitsDeliveredPerMo))</f>
        <v/>
      </c>
      <c r="FG8" s="85">
        <f>IF(159&lt;DeliverStart,0,MIN(TotalUnits,(159-DeliverStart+1)*UnitsDeliveredPerMo))</f>
        <v/>
      </c>
      <c r="FH8" s="85">
        <f>IF(160&lt;DeliverStart,0,MIN(TotalUnits,(160-DeliverStart+1)*UnitsDeliveredPerMo))</f>
        <v/>
      </c>
      <c r="FI8" s="85">
        <f>IF(161&lt;DeliverStart,0,MIN(TotalUnits,(161-DeliverStart+1)*UnitsDeliveredPerMo))</f>
        <v/>
      </c>
      <c r="FJ8" s="85">
        <f>IF(162&lt;DeliverStart,0,MIN(TotalUnits,(162-DeliverStart+1)*UnitsDeliveredPerMo))</f>
        <v/>
      </c>
      <c r="FK8" s="85">
        <f>IF(163&lt;DeliverStart,0,MIN(TotalUnits,(163-DeliverStart+1)*UnitsDeliveredPerMo))</f>
        <v/>
      </c>
      <c r="FL8" s="85">
        <f>IF(164&lt;DeliverStart,0,MIN(TotalUnits,(164-DeliverStart+1)*UnitsDeliveredPerMo))</f>
        <v/>
      </c>
      <c r="FM8" s="85">
        <f>IF(165&lt;DeliverStart,0,MIN(TotalUnits,(165-DeliverStart+1)*UnitsDeliveredPerMo))</f>
        <v/>
      </c>
      <c r="FN8" s="85">
        <f>IF(166&lt;DeliverStart,0,MIN(TotalUnits,(166-DeliverStart+1)*UnitsDeliveredPerMo))</f>
        <v/>
      </c>
      <c r="FO8" s="85">
        <f>IF(167&lt;DeliverStart,0,MIN(TotalUnits,(167-DeliverStart+1)*UnitsDeliveredPerMo))</f>
        <v/>
      </c>
      <c r="FP8" s="85">
        <f>IF(168&lt;DeliverStart,0,MIN(TotalUnits,(168-DeliverStart+1)*UnitsDeliveredPerMo))</f>
        <v/>
      </c>
      <c r="FQ8" s="85">
        <f>IF(169&lt;DeliverStart,0,MIN(TotalUnits,(169-DeliverStart+1)*UnitsDeliveredPerMo))</f>
        <v/>
      </c>
      <c r="FR8" s="85">
        <f>IF(170&lt;DeliverStart,0,MIN(TotalUnits,(170-DeliverStart+1)*UnitsDeliveredPerMo))</f>
        <v/>
      </c>
      <c r="FS8" s="85">
        <f>IF(171&lt;DeliverStart,0,MIN(TotalUnits,(171-DeliverStart+1)*UnitsDeliveredPerMo))</f>
        <v/>
      </c>
      <c r="FT8" s="85">
        <f>IF(172&lt;DeliverStart,0,MIN(TotalUnits,(172-DeliverStart+1)*UnitsDeliveredPerMo))</f>
        <v/>
      </c>
      <c r="FU8" s="85">
        <f>IF(173&lt;DeliverStart,0,MIN(TotalUnits,(173-DeliverStart+1)*UnitsDeliveredPerMo))</f>
        <v/>
      </c>
      <c r="FV8" s="85">
        <f>IF(174&lt;DeliverStart,0,MIN(TotalUnits,(174-DeliverStart+1)*UnitsDeliveredPerMo))</f>
        <v/>
      </c>
      <c r="FW8" s="85">
        <f>IF(175&lt;DeliverStart,0,MIN(TotalUnits,(175-DeliverStart+1)*UnitsDeliveredPerMo))</f>
        <v/>
      </c>
      <c r="FX8" s="85">
        <f>IF(176&lt;DeliverStart,0,MIN(TotalUnits,(176-DeliverStart+1)*UnitsDeliveredPerMo))</f>
        <v/>
      </c>
      <c r="FY8" s="85">
        <f>IF(177&lt;DeliverStart,0,MIN(TotalUnits,(177-DeliverStart+1)*UnitsDeliveredPerMo))</f>
        <v/>
      </c>
      <c r="FZ8" s="85">
        <f>IF(178&lt;DeliverStart,0,MIN(TotalUnits,(178-DeliverStart+1)*UnitsDeliveredPerMo))</f>
        <v/>
      </c>
      <c r="GA8" s="85">
        <f>IF(179&lt;DeliverStart,0,MIN(TotalUnits,(179-DeliverStart+1)*UnitsDeliveredPerMo))</f>
        <v/>
      </c>
      <c r="GB8" s="85">
        <f>IF(180&lt;DeliverStart,0,MIN(TotalUnits,(180-DeliverStart+1)*UnitsDeliveredPerMo))</f>
        <v/>
      </c>
      <c r="GC8" s="85">
        <f>IF(181&lt;DeliverStart,0,MIN(TotalUnits,(181-DeliverStart+1)*UnitsDeliveredPerMo))</f>
        <v/>
      </c>
      <c r="GD8" s="85">
        <f>IF(182&lt;DeliverStart,0,MIN(TotalUnits,(182-DeliverStart+1)*UnitsDeliveredPerMo))</f>
        <v/>
      </c>
      <c r="GE8" s="85">
        <f>IF(183&lt;DeliverStart,0,MIN(TotalUnits,(183-DeliverStart+1)*UnitsDeliveredPerMo))</f>
        <v/>
      </c>
      <c r="GF8" s="85">
        <f>IF(184&lt;DeliverStart,0,MIN(TotalUnits,(184-DeliverStart+1)*UnitsDeliveredPerMo))</f>
        <v/>
      </c>
      <c r="GG8" s="85">
        <f>IF(185&lt;DeliverStart,0,MIN(TotalUnits,(185-DeliverStart+1)*UnitsDeliveredPerMo))</f>
        <v/>
      </c>
      <c r="GH8" s="85">
        <f>IF(186&lt;DeliverStart,0,MIN(TotalUnits,(186-DeliverStart+1)*UnitsDeliveredPerMo))</f>
        <v/>
      </c>
      <c r="GI8" s="85">
        <f>IF(187&lt;DeliverStart,0,MIN(TotalUnits,(187-DeliverStart+1)*UnitsDeliveredPerMo))</f>
        <v/>
      </c>
      <c r="GJ8" s="85">
        <f>IF(188&lt;DeliverStart,0,MIN(TotalUnits,(188-DeliverStart+1)*UnitsDeliveredPerMo))</f>
        <v/>
      </c>
      <c r="GK8" s="85">
        <f>IF(189&lt;DeliverStart,0,MIN(TotalUnits,(189-DeliverStart+1)*UnitsDeliveredPerMo))</f>
        <v/>
      </c>
      <c r="GL8" s="85">
        <f>IF(190&lt;DeliverStart,0,MIN(TotalUnits,(190-DeliverStart+1)*UnitsDeliveredPerMo))</f>
        <v/>
      </c>
      <c r="GM8" s="85">
        <f>IF(191&lt;DeliverStart,0,MIN(TotalUnits,(191-DeliverStart+1)*UnitsDeliveredPerMo))</f>
        <v/>
      </c>
      <c r="GN8" s="85">
        <f>IF(192&lt;DeliverStart,0,MIN(TotalUnits,(192-DeliverStart+1)*UnitsDeliveredPerMo))</f>
        <v/>
      </c>
      <c r="GO8" s="85">
        <f>IF(193&lt;DeliverStart,0,MIN(TotalUnits,(193-DeliverStart+1)*UnitsDeliveredPerMo))</f>
        <v/>
      </c>
      <c r="GP8" s="85">
        <f>IF(194&lt;DeliverStart,0,MIN(TotalUnits,(194-DeliverStart+1)*UnitsDeliveredPerMo))</f>
        <v/>
      </c>
      <c r="GQ8" s="85">
        <f>IF(195&lt;DeliverStart,0,MIN(TotalUnits,(195-DeliverStart+1)*UnitsDeliveredPerMo))</f>
        <v/>
      </c>
      <c r="GR8" s="85">
        <f>IF(196&lt;DeliverStart,0,MIN(TotalUnits,(196-DeliverStart+1)*UnitsDeliveredPerMo))</f>
        <v/>
      </c>
      <c r="GS8" s="85">
        <f>IF(197&lt;DeliverStart,0,MIN(TotalUnits,(197-DeliverStart+1)*UnitsDeliveredPerMo))</f>
        <v/>
      </c>
      <c r="GT8" s="85">
        <f>IF(198&lt;DeliverStart,0,MIN(TotalUnits,(198-DeliverStart+1)*UnitsDeliveredPerMo))</f>
        <v/>
      </c>
      <c r="GU8" s="85">
        <f>IF(199&lt;DeliverStart,0,MIN(TotalUnits,(199-DeliverStart+1)*UnitsDeliveredPerMo))</f>
        <v/>
      </c>
      <c r="GV8" s="85">
        <f>IF(200&lt;DeliverStart,0,MIN(TotalUnits,(200-DeliverStart+1)*UnitsDeliveredPerMo))</f>
        <v/>
      </c>
      <c r="GW8" s="85">
        <f>IF(201&lt;DeliverStart,0,MIN(TotalUnits,(201-DeliverStart+1)*UnitsDeliveredPerMo))</f>
        <v/>
      </c>
      <c r="GX8" s="85">
        <f>IF(202&lt;DeliverStart,0,MIN(TotalUnits,(202-DeliverStart+1)*UnitsDeliveredPerMo))</f>
        <v/>
      </c>
      <c r="GY8" s="85">
        <f>IF(203&lt;DeliverStart,0,MIN(TotalUnits,(203-DeliverStart+1)*UnitsDeliveredPerMo))</f>
        <v/>
      </c>
      <c r="GZ8" s="85">
        <f>IF(204&lt;DeliverStart,0,MIN(TotalUnits,(204-DeliverStart+1)*UnitsDeliveredPerMo))</f>
        <v/>
      </c>
      <c r="HA8" s="85">
        <f>IF(205&lt;DeliverStart,0,MIN(TotalUnits,(205-DeliverStart+1)*UnitsDeliveredPerMo))</f>
        <v/>
      </c>
      <c r="HB8" s="85">
        <f>IF(206&lt;DeliverStart,0,MIN(TotalUnits,(206-DeliverStart+1)*UnitsDeliveredPerMo))</f>
        <v/>
      </c>
      <c r="HC8" s="85">
        <f>IF(207&lt;DeliverStart,0,MIN(TotalUnits,(207-DeliverStart+1)*UnitsDeliveredPerMo))</f>
        <v/>
      </c>
      <c r="HD8" s="85">
        <f>IF(208&lt;DeliverStart,0,MIN(TotalUnits,(208-DeliverStart+1)*UnitsDeliveredPerMo))</f>
        <v/>
      </c>
      <c r="HE8" s="85">
        <f>IF(209&lt;DeliverStart,0,MIN(TotalUnits,(209-DeliverStart+1)*UnitsDeliveredPerMo))</f>
        <v/>
      </c>
      <c r="HF8" s="85">
        <f>IF(210&lt;DeliverStart,0,MIN(TotalUnits,(210-DeliverStart+1)*UnitsDeliveredPerMo))</f>
        <v/>
      </c>
      <c r="HG8" s="85">
        <f>IF(211&lt;DeliverStart,0,MIN(TotalUnits,(211-DeliverStart+1)*UnitsDeliveredPerMo))</f>
        <v/>
      </c>
      <c r="HH8" s="85">
        <f>IF(212&lt;DeliverStart,0,MIN(TotalUnits,(212-DeliverStart+1)*UnitsDeliveredPerMo))</f>
        <v/>
      </c>
      <c r="HI8" s="85">
        <f>IF(213&lt;DeliverStart,0,MIN(TotalUnits,(213-DeliverStart+1)*UnitsDeliveredPerMo))</f>
        <v/>
      </c>
      <c r="HJ8" s="85">
        <f>IF(214&lt;DeliverStart,0,MIN(TotalUnits,(214-DeliverStart+1)*UnitsDeliveredPerMo))</f>
        <v/>
      </c>
      <c r="HK8" s="85">
        <f>IF(215&lt;DeliverStart,0,MIN(TotalUnits,(215-DeliverStart+1)*UnitsDeliveredPerMo))</f>
        <v/>
      </c>
      <c r="HL8" s="85">
        <f>IF(216&lt;DeliverStart,0,MIN(TotalUnits,(216-DeliverStart+1)*UnitsDeliveredPerMo))</f>
        <v/>
      </c>
      <c r="HM8" s="85">
        <f>IF(217&lt;DeliverStart,0,MIN(TotalUnits,(217-DeliverStart+1)*UnitsDeliveredPerMo))</f>
        <v/>
      </c>
      <c r="HN8" s="85">
        <f>IF(218&lt;DeliverStart,0,MIN(TotalUnits,(218-DeliverStart+1)*UnitsDeliveredPerMo))</f>
        <v/>
      </c>
      <c r="HO8" s="85">
        <f>IF(219&lt;DeliverStart,0,MIN(TotalUnits,(219-DeliverStart+1)*UnitsDeliveredPerMo))</f>
        <v/>
      </c>
      <c r="HP8" s="85">
        <f>IF(220&lt;DeliverStart,0,MIN(TotalUnits,(220-DeliverStart+1)*UnitsDeliveredPerMo))</f>
        <v/>
      </c>
      <c r="HQ8" s="85">
        <f>IF(221&lt;DeliverStart,0,MIN(TotalUnits,(221-DeliverStart+1)*UnitsDeliveredPerMo))</f>
        <v/>
      </c>
      <c r="HR8" s="85">
        <f>IF(222&lt;DeliverStart,0,MIN(TotalUnits,(222-DeliverStart+1)*UnitsDeliveredPerMo))</f>
        <v/>
      </c>
      <c r="HS8" s="85">
        <f>IF(223&lt;DeliverStart,0,MIN(TotalUnits,(223-DeliverStart+1)*UnitsDeliveredPerMo))</f>
        <v/>
      </c>
      <c r="HT8" s="85">
        <f>IF(224&lt;DeliverStart,0,MIN(TotalUnits,(224-DeliverStart+1)*UnitsDeliveredPerMo))</f>
        <v/>
      </c>
      <c r="HU8" s="85">
        <f>IF(225&lt;DeliverStart,0,MIN(TotalUnits,(225-DeliverStart+1)*UnitsDeliveredPerMo))</f>
        <v/>
      </c>
      <c r="HV8" s="85">
        <f>IF(226&lt;DeliverStart,0,MIN(TotalUnits,(226-DeliverStart+1)*UnitsDeliveredPerMo))</f>
        <v/>
      </c>
      <c r="HW8" s="85">
        <f>IF(227&lt;DeliverStart,0,MIN(TotalUnits,(227-DeliverStart+1)*UnitsDeliveredPerMo))</f>
        <v/>
      </c>
      <c r="HX8" s="85">
        <f>IF(228&lt;DeliverStart,0,MIN(TotalUnits,(228-DeliverStart+1)*UnitsDeliveredPerMo))</f>
        <v/>
      </c>
      <c r="HY8" s="85">
        <f>IF(229&lt;DeliverStart,0,MIN(TotalUnits,(229-DeliverStart+1)*UnitsDeliveredPerMo))</f>
        <v/>
      </c>
      <c r="HZ8" s="85">
        <f>IF(230&lt;DeliverStart,0,MIN(TotalUnits,(230-DeliverStart+1)*UnitsDeliveredPerMo))</f>
        <v/>
      </c>
      <c r="IA8" s="85">
        <f>IF(231&lt;DeliverStart,0,MIN(TotalUnits,(231-DeliverStart+1)*UnitsDeliveredPerMo))</f>
        <v/>
      </c>
      <c r="IB8" s="85">
        <f>IF(232&lt;DeliverStart,0,MIN(TotalUnits,(232-DeliverStart+1)*UnitsDeliveredPerMo))</f>
        <v/>
      </c>
      <c r="IC8" s="85">
        <f>IF(233&lt;DeliverStart,0,MIN(TotalUnits,(233-DeliverStart+1)*UnitsDeliveredPerMo))</f>
        <v/>
      </c>
      <c r="ID8" s="85">
        <f>IF(234&lt;DeliverStart,0,MIN(TotalUnits,(234-DeliverStart+1)*UnitsDeliveredPerMo))</f>
        <v/>
      </c>
      <c r="IE8" s="85">
        <f>IF(235&lt;DeliverStart,0,MIN(TotalUnits,(235-DeliverStart+1)*UnitsDeliveredPerMo))</f>
        <v/>
      </c>
      <c r="IF8" s="85">
        <f>IF(236&lt;DeliverStart,0,MIN(TotalUnits,(236-DeliverStart+1)*UnitsDeliveredPerMo))</f>
        <v/>
      </c>
      <c r="IG8" s="85">
        <f>IF(237&lt;DeliverStart,0,MIN(TotalUnits,(237-DeliverStart+1)*UnitsDeliveredPerMo))</f>
        <v/>
      </c>
      <c r="IH8" s="85">
        <f>IF(238&lt;DeliverStart,0,MIN(TotalUnits,(238-DeliverStart+1)*UnitsDeliveredPerMo))</f>
        <v/>
      </c>
      <c r="II8" s="85">
        <f>IF(239&lt;DeliverStart,0,MIN(TotalUnits,(239-DeliverStart+1)*UnitsDeliveredPerMo))</f>
        <v/>
      </c>
      <c r="IJ8" s="85">
        <f>IF(240&lt;DeliverStart,0,MIN(TotalUnits,(240-DeliverStart+1)*UnitsDeliveredPerMo))</f>
        <v/>
      </c>
      <c r="IK8" s="85">
        <f>IF(241&lt;DeliverStart,0,MIN(TotalUnits,(241-DeliverStart+1)*UnitsDeliveredPerMo))</f>
        <v/>
      </c>
      <c r="IL8" s="85">
        <f>IF(242&lt;DeliverStart,0,MIN(TotalUnits,(242-DeliverStart+1)*UnitsDeliveredPerMo))</f>
        <v/>
      </c>
      <c r="IM8" s="85">
        <f>IF(243&lt;DeliverStart,0,MIN(TotalUnits,(243-DeliverStart+1)*UnitsDeliveredPerMo))</f>
        <v/>
      </c>
      <c r="IN8" s="85">
        <f>IF(244&lt;DeliverStart,0,MIN(TotalUnits,(244-DeliverStart+1)*UnitsDeliveredPerMo))</f>
        <v/>
      </c>
      <c r="IO8" s="85">
        <f>IF(245&lt;DeliverStart,0,MIN(TotalUnits,(245-DeliverStart+1)*UnitsDeliveredPerMo))</f>
        <v/>
      </c>
      <c r="IP8" s="85">
        <f>IF(246&lt;DeliverStart,0,MIN(TotalUnits,(246-DeliverStart+1)*UnitsDeliveredPerMo))</f>
        <v/>
      </c>
      <c r="IQ8" s="85">
        <f>IF(247&lt;DeliverStart,0,MIN(TotalUnits,(247-DeliverStart+1)*UnitsDeliveredPerMo))</f>
        <v/>
      </c>
      <c r="IR8" s="85">
        <f>IF(248&lt;DeliverStart,0,MIN(TotalUnits,(248-DeliverStart+1)*UnitsDeliveredPerMo))</f>
        <v/>
      </c>
      <c r="IS8" s="85">
        <f>IF(249&lt;DeliverStart,0,MIN(TotalUnits,(249-DeliverStart+1)*UnitsDeliveredPerMo))</f>
        <v/>
      </c>
      <c r="IT8" s="85">
        <f>IF(250&lt;DeliverStart,0,MIN(TotalUnits,(250-DeliverStart+1)*UnitsDeliveredPerMo))</f>
        <v/>
      </c>
      <c r="IU8" s="85">
        <f>IF(251&lt;DeliverStart,0,MIN(TotalUnits,(251-DeliverStart+1)*UnitsDeliveredPerMo))</f>
        <v/>
      </c>
      <c r="IV8" s="85">
        <f>IF(252&lt;DeliverStart,0,MIN(TotalUnits,(252-DeliverStart+1)*UnitsDeliveredPerMo))</f>
        <v/>
      </c>
      <c r="IW8" s="85">
        <f>IF(253&lt;DeliverStart,0,MIN(TotalUnits,(253-DeliverStart+1)*UnitsDeliveredPerMo))</f>
        <v/>
      </c>
      <c r="IX8" s="85">
        <f>IF(254&lt;DeliverStart,0,MIN(TotalUnits,(254-DeliverStart+1)*UnitsDeliveredPerMo))</f>
        <v/>
      </c>
      <c r="IY8" s="85">
        <f>IF(255&lt;DeliverStart,0,MIN(TotalUnits,(255-DeliverStart+1)*UnitsDeliveredPerMo))</f>
        <v/>
      </c>
      <c r="IZ8" s="85">
        <f>IF(256&lt;DeliverStart,0,MIN(TotalUnits,(256-DeliverStart+1)*UnitsDeliveredPerMo))</f>
        <v/>
      </c>
      <c r="JA8" s="85">
        <f>IF(257&lt;DeliverStart,0,MIN(TotalUnits,(257-DeliverStart+1)*UnitsDeliveredPerMo))</f>
        <v/>
      </c>
      <c r="JB8" s="85">
        <f>IF(258&lt;DeliverStart,0,MIN(TotalUnits,(258-DeliverStart+1)*UnitsDeliveredPerMo))</f>
        <v/>
      </c>
      <c r="JC8" s="85">
        <f>IF(259&lt;DeliverStart,0,MIN(TotalUnits,(259-DeliverStart+1)*UnitsDeliveredPerMo))</f>
        <v/>
      </c>
      <c r="JD8" s="85">
        <f>IF(260&lt;DeliverStart,0,MIN(TotalUnits,(260-DeliverStart+1)*UnitsDeliveredPerMo))</f>
        <v/>
      </c>
      <c r="JE8" s="85">
        <f>IF(261&lt;DeliverStart,0,MIN(TotalUnits,(261-DeliverStart+1)*UnitsDeliveredPerMo))</f>
        <v/>
      </c>
      <c r="JF8" s="85">
        <f>IF(262&lt;DeliverStart,0,MIN(TotalUnits,(262-DeliverStart+1)*UnitsDeliveredPerMo))</f>
        <v/>
      </c>
      <c r="JG8" s="85">
        <f>IF(263&lt;DeliverStart,0,MIN(TotalUnits,(263-DeliverStart+1)*UnitsDeliveredPerMo))</f>
        <v/>
      </c>
      <c r="JH8" s="85">
        <f>IF(264&lt;DeliverStart,0,MIN(TotalUnits,(264-DeliverStart+1)*UnitsDeliveredPerMo))</f>
        <v/>
      </c>
      <c r="JI8" s="85">
        <f>IF(265&lt;DeliverStart,0,MIN(TotalUnits,(265-DeliverStart+1)*UnitsDeliveredPerMo))</f>
        <v/>
      </c>
      <c r="JJ8" s="85">
        <f>IF(266&lt;DeliverStart,0,MIN(TotalUnits,(266-DeliverStart+1)*UnitsDeliveredPerMo))</f>
        <v/>
      </c>
      <c r="JK8" s="85">
        <f>IF(267&lt;DeliverStart,0,MIN(TotalUnits,(267-DeliverStart+1)*UnitsDeliveredPerMo))</f>
        <v/>
      </c>
      <c r="JL8" s="85">
        <f>IF(268&lt;DeliverStart,0,MIN(TotalUnits,(268-DeliverStart+1)*UnitsDeliveredPerMo))</f>
        <v/>
      </c>
      <c r="JM8" s="85">
        <f>IF(269&lt;DeliverStart,0,MIN(TotalUnits,(269-DeliverStart+1)*UnitsDeliveredPerMo))</f>
        <v/>
      </c>
      <c r="JN8" s="85">
        <f>IF(270&lt;DeliverStart,0,MIN(TotalUnits,(270-DeliverStart+1)*UnitsDeliveredPerMo))</f>
        <v/>
      </c>
      <c r="JO8" s="85">
        <f>IF(271&lt;DeliverStart,0,MIN(TotalUnits,(271-DeliverStart+1)*UnitsDeliveredPerMo))</f>
        <v/>
      </c>
      <c r="JP8" s="85">
        <f>IF(272&lt;DeliverStart,0,MIN(TotalUnits,(272-DeliverStart+1)*UnitsDeliveredPerMo))</f>
        <v/>
      </c>
      <c r="JQ8" s="85">
        <f>IF(273&lt;DeliverStart,0,MIN(TotalUnits,(273-DeliverStart+1)*UnitsDeliveredPerMo))</f>
        <v/>
      </c>
      <c r="JR8" s="85">
        <f>IF(274&lt;DeliverStart,0,MIN(TotalUnits,(274-DeliverStart+1)*UnitsDeliveredPerMo))</f>
        <v/>
      </c>
      <c r="JS8" s="85">
        <f>IF(275&lt;DeliverStart,0,MIN(TotalUnits,(275-DeliverStart+1)*UnitsDeliveredPerMo))</f>
        <v/>
      </c>
      <c r="JT8" s="85">
        <f>IF(276&lt;DeliverStart,0,MIN(TotalUnits,(276-DeliverStart+1)*UnitsDeliveredPerMo))</f>
        <v/>
      </c>
      <c r="JU8" s="85">
        <f>IF(277&lt;DeliverStart,0,MIN(TotalUnits,(277-DeliverStart+1)*UnitsDeliveredPerMo))</f>
        <v/>
      </c>
      <c r="JV8" s="85">
        <f>IF(278&lt;DeliverStart,0,MIN(TotalUnits,(278-DeliverStart+1)*UnitsDeliveredPerMo))</f>
        <v/>
      </c>
      <c r="JW8" s="85">
        <f>IF(279&lt;DeliverStart,0,MIN(TotalUnits,(279-DeliverStart+1)*UnitsDeliveredPerMo))</f>
        <v/>
      </c>
      <c r="JX8" s="85">
        <f>IF(280&lt;DeliverStart,0,MIN(TotalUnits,(280-DeliverStart+1)*UnitsDeliveredPerMo))</f>
        <v/>
      </c>
      <c r="JY8" s="85">
        <f>IF(281&lt;DeliverStart,0,MIN(TotalUnits,(281-DeliverStart+1)*UnitsDeliveredPerMo))</f>
        <v/>
      </c>
      <c r="JZ8" s="85">
        <f>IF(282&lt;DeliverStart,0,MIN(TotalUnits,(282-DeliverStart+1)*UnitsDeliveredPerMo))</f>
        <v/>
      </c>
      <c r="KA8" s="85">
        <f>IF(283&lt;DeliverStart,0,MIN(TotalUnits,(283-DeliverStart+1)*UnitsDeliveredPerMo))</f>
        <v/>
      </c>
      <c r="KB8" s="85">
        <f>IF(284&lt;DeliverStart,0,MIN(TotalUnits,(284-DeliverStart+1)*UnitsDeliveredPerMo))</f>
        <v/>
      </c>
      <c r="KC8" s="85">
        <f>IF(285&lt;DeliverStart,0,MIN(TotalUnits,(285-DeliverStart+1)*UnitsDeliveredPerMo))</f>
        <v/>
      </c>
      <c r="KD8" s="85">
        <f>IF(286&lt;DeliverStart,0,MIN(TotalUnits,(286-DeliverStart+1)*UnitsDeliveredPerMo))</f>
        <v/>
      </c>
      <c r="KE8" s="85">
        <f>IF(287&lt;DeliverStart,0,MIN(TotalUnits,(287-DeliverStart+1)*UnitsDeliveredPerMo))</f>
        <v/>
      </c>
      <c r="KF8" s="85">
        <f>IF(288&lt;DeliverStart,0,MIN(TotalUnits,(288-DeliverStart+1)*UnitsDeliveredPerMo))</f>
        <v/>
      </c>
      <c r="KG8" s="85">
        <f>IF(289&lt;DeliverStart,0,MIN(TotalUnits,(289-DeliverStart+1)*UnitsDeliveredPerMo))</f>
        <v/>
      </c>
      <c r="KH8" s="85">
        <f>IF(290&lt;DeliverStart,0,MIN(TotalUnits,(290-DeliverStart+1)*UnitsDeliveredPerMo))</f>
        <v/>
      </c>
      <c r="KI8" s="85">
        <f>IF(291&lt;DeliverStart,0,MIN(TotalUnits,(291-DeliverStart+1)*UnitsDeliveredPerMo))</f>
        <v/>
      </c>
      <c r="KJ8" s="85">
        <f>IF(292&lt;DeliverStart,0,MIN(TotalUnits,(292-DeliverStart+1)*UnitsDeliveredPerMo))</f>
        <v/>
      </c>
      <c r="KK8" s="85">
        <f>IF(293&lt;DeliverStart,0,MIN(TotalUnits,(293-DeliverStart+1)*UnitsDeliveredPerMo))</f>
        <v/>
      </c>
      <c r="KL8" s="85">
        <f>IF(294&lt;DeliverStart,0,MIN(TotalUnits,(294-DeliverStart+1)*UnitsDeliveredPerMo))</f>
        <v/>
      </c>
      <c r="KM8" s="85">
        <f>IF(295&lt;DeliverStart,0,MIN(TotalUnits,(295-DeliverStart+1)*UnitsDeliveredPerMo))</f>
        <v/>
      </c>
      <c r="KN8" s="85">
        <f>IF(296&lt;DeliverStart,0,MIN(TotalUnits,(296-DeliverStart+1)*UnitsDeliveredPerMo))</f>
        <v/>
      </c>
      <c r="KO8" s="85">
        <f>IF(297&lt;DeliverStart,0,MIN(TotalUnits,(297-DeliverStart+1)*UnitsDeliveredPerMo))</f>
        <v/>
      </c>
      <c r="KP8" s="85">
        <f>IF(298&lt;DeliverStart,0,MIN(TotalUnits,(298-DeliverStart+1)*UnitsDeliveredPerMo))</f>
        <v/>
      </c>
      <c r="KQ8" s="85">
        <f>IF(299&lt;DeliverStart,0,MIN(TotalUnits,(299-DeliverStart+1)*UnitsDeliveredPerMo))</f>
        <v/>
      </c>
      <c r="KR8" s="85">
        <f>IF(300&lt;DeliverStart,0,MIN(TotalUnits,(300-DeliverStart+1)*UnitsDeliveredPerMo))</f>
        <v/>
      </c>
      <c r="KS8" s="85">
        <f>IF(301&lt;DeliverStart,0,MIN(TotalUnits,(301-DeliverStart+1)*UnitsDeliveredPerMo))</f>
        <v/>
      </c>
      <c r="KT8" s="85">
        <f>IF(302&lt;DeliverStart,0,MIN(TotalUnits,(302-DeliverStart+1)*UnitsDeliveredPerMo))</f>
        <v/>
      </c>
      <c r="KU8" s="85">
        <f>IF(303&lt;DeliverStart,0,MIN(TotalUnits,(303-DeliverStart+1)*UnitsDeliveredPerMo))</f>
        <v/>
      </c>
      <c r="KV8" s="85">
        <f>IF(304&lt;DeliverStart,0,MIN(TotalUnits,(304-DeliverStart+1)*UnitsDeliveredPerMo))</f>
        <v/>
      </c>
      <c r="KW8" s="85">
        <f>IF(305&lt;DeliverStart,0,MIN(TotalUnits,(305-DeliverStart+1)*UnitsDeliveredPerMo))</f>
        <v/>
      </c>
      <c r="KX8" s="85">
        <f>IF(306&lt;DeliverStart,0,MIN(TotalUnits,(306-DeliverStart+1)*UnitsDeliveredPerMo))</f>
        <v/>
      </c>
      <c r="KY8" s="85">
        <f>IF(307&lt;DeliverStart,0,MIN(TotalUnits,(307-DeliverStart+1)*UnitsDeliveredPerMo))</f>
        <v/>
      </c>
      <c r="KZ8" s="85">
        <f>IF(308&lt;DeliverStart,0,MIN(TotalUnits,(308-DeliverStart+1)*UnitsDeliveredPerMo))</f>
        <v/>
      </c>
      <c r="LA8" s="85">
        <f>IF(309&lt;DeliverStart,0,MIN(TotalUnits,(309-DeliverStart+1)*UnitsDeliveredPerMo))</f>
        <v/>
      </c>
      <c r="LB8" s="85">
        <f>IF(310&lt;DeliverStart,0,MIN(TotalUnits,(310-DeliverStart+1)*UnitsDeliveredPerMo))</f>
        <v/>
      </c>
      <c r="LC8" s="85">
        <f>IF(311&lt;DeliverStart,0,MIN(TotalUnits,(311-DeliverStart+1)*UnitsDeliveredPerMo))</f>
        <v/>
      </c>
      <c r="LD8" s="85">
        <f>IF(312&lt;DeliverStart,0,MIN(TotalUnits,(312-DeliverStart+1)*UnitsDeliveredPerMo))</f>
        <v/>
      </c>
      <c r="LE8" s="85">
        <f>IF(313&lt;DeliverStart,0,MIN(TotalUnits,(313-DeliverStart+1)*UnitsDeliveredPerMo))</f>
        <v/>
      </c>
      <c r="LF8" s="85">
        <f>IF(314&lt;DeliverStart,0,MIN(TotalUnits,(314-DeliverStart+1)*UnitsDeliveredPerMo))</f>
        <v/>
      </c>
      <c r="LG8" s="85">
        <f>IF(315&lt;DeliverStart,0,MIN(TotalUnits,(315-DeliverStart+1)*UnitsDeliveredPerMo))</f>
        <v/>
      </c>
      <c r="LH8" s="85">
        <f>IF(316&lt;DeliverStart,0,MIN(TotalUnits,(316-DeliverStart+1)*UnitsDeliveredPerMo))</f>
        <v/>
      </c>
      <c r="LI8" s="85">
        <f>IF(317&lt;DeliverStart,0,MIN(TotalUnits,(317-DeliverStart+1)*UnitsDeliveredPerMo))</f>
        <v/>
      </c>
      <c r="LJ8" s="85">
        <f>IF(318&lt;DeliverStart,0,MIN(TotalUnits,(318-DeliverStart+1)*UnitsDeliveredPerMo))</f>
        <v/>
      </c>
      <c r="LK8" s="85">
        <f>IF(319&lt;DeliverStart,0,MIN(TotalUnits,(319-DeliverStart+1)*UnitsDeliveredPerMo))</f>
        <v/>
      </c>
      <c r="LL8" s="85">
        <f>IF(320&lt;DeliverStart,0,MIN(TotalUnits,(320-DeliverStart+1)*UnitsDeliveredPerMo))</f>
        <v/>
      </c>
      <c r="LM8" s="85">
        <f>IF(321&lt;DeliverStart,0,MIN(TotalUnits,(321-DeliverStart+1)*UnitsDeliveredPerMo))</f>
        <v/>
      </c>
      <c r="LN8" s="85">
        <f>IF(322&lt;DeliverStart,0,MIN(TotalUnits,(322-DeliverStart+1)*UnitsDeliveredPerMo))</f>
        <v/>
      </c>
      <c r="LO8" s="85">
        <f>IF(323&lt;DeliverStart,0,MIN(TotalUnits,(323-DeliverStart+1)*UnitsDeliveredPerMo))</f>
        <v/>
      </c>
      <c r="LP8" s="85">
        <f>IF(324&lt;DeliverStart,0,MIN(TotalUnits,(324-DeliverStart+1)*UnitsDeliveredPerMo))</f>
        <v/>
      </c>
      <c r="LQ8" s="85">
        <f>IF(325&lt;DeliverStart,0,MIN(TotalUnits,(325-DeliverStart+1)*UnitsDeliveredPerMo))</f>
        <v/>
      </c>
      <c r="LR8" s="85">
        <f>IF(326&lt;DeliverStart,0,MIN(TotalUnits,(326-DeliverStart+1)*UnitsDeliveredPerMo))</f>
        <v/>
      </c>
      <c r="LS8" s="85">
        <f>IF(327&lt;DeliverStart,0,MIN(TotalUnits,(327-DeliverStart+1)*UnitsDeliveredPerMo))</f>
        <v/>
      </c>
      <c r="LT8" s="85">
        <f>IF(328&lt;DeliverStart,0,MIN(TotalUnits,(328-DeliverStart+1)*UnitsDeliveredPerMo))</f>
        <v/>
      </c>
      <c r="LU8" s="85">
        <f>IF(329&lt;DeliverStart,0,MIN(TotalUnits,(329-DeliverStart+1)*UnitsDeliveredPerMo))</f>
        <v/>
      </c>
      <c r="LV8" s="85">
        <f>IF(330&lt;DeliverStart,0,MIN(TotalUnits,(330-DeliverStart+1)*UnitsDeliveredPerMo))</f>
        <v/>
      </c>
      <c r="LW8" s="85">
        <f>IF(331&lt;DeliverStart,0,MIN(TotalUnits,(331-DeliverStart+1)*UnitsDeliveredPerMo))</f>
        <v/>
      </c>
      <c r="LX8" s="85">
        <f>IF(332&lt;DeliverStart,0,MIN(TotalUnits,(332-DeliverStart+1)*UnitsDeliveredPerMo))</f>
        <v/>
      </c>
      <c r="LY8" s="85">
        <f>IF(333&lt;DeliverStart,0,MIN(TotalUnits,(333-DeliverStart+1)*UnitsDeliveredPerMo))</f>
        <v/>
      </c>
      <c r="LZ8" s="85">
        <f>IF(334&lt;DeliverStart,0,MIN(TotalUnits,(334-DeliverStart+1)*UnitsDeliveredPerMo))</f>
        <v/>
      </c>
      <c r="MA8" s="85">
        <f>IF(335&lt;DeliverStart,0,MIN(TotalUnits,(335-DeliverStart+1)*UnitsDeliveredPerMo))</f>
        <v/>
      </c>
      <c r="MB8" s="85">
        <f>IF(336&lt;DeliverStart,0,MIN(TotalUnits,(336-DeliverStart+1)*UnitsDeliveredPerMo))</f>
        <v/>
      </c>
      <c r="MC8" s="85">
        <f>IF(337&lt;DeliverStart,0,MIN(TotalUnits,(337-DeliverStart+1)*UnitsDeliveredPerMo))</f>
        <v/>
      </c>
      <c r="MD8" s="85">
        <f>IF(338&lt;DeliverStart,0,MIN(TotalUnits,(338-DeliverStart+1)*UnitsDeliveredPerMo))</f>
        <v/>
      </c>
      <c r="ME8" s="85">
        <f>IF(339&lt;DeliverStart,0,MIN(TotalUnits,(339-DeliverStart+1)*UnitsDeliveredPerMo))</f>
        <v/>
      </c>
      <c r="MF8" s="85">
        <f>IF(340&lt;DeliverStart,0,MIN(TotalUnits,(340-DeliverStart+1)*UnitsDeliveredPerMo))</f>
        <v/>
      </c>
      <c r="MG8" s="85">
        <f>IF(341&lt;DeliverStart,0,MIN(TotalUnits,(341-DeliverStart+1)*UnitsDeliveredPerMo))</f>
        <v/>
      </c>
      <c r="MH8" s="85">
        <f>IF(342&lt;DeliverStart,0,MIN(TotalUnits,(342-DeliverStart+1)*UnitsDeliveredPerMo))</f>
        <v/>
      </c>
      <c r="MI8" s="85">
        <f>IF(343&lt;DeliverStart,0,MIN(TotalUnits,(343-DeliverStart+1)*UnitsDeliveredPerMo))</f>
        <v/>
      </c>
      <c r="MJ8" s="85">
        <f>IF(344&lt;DeliverStart,0,MIN(TotalUnits,(344-DeliverStart+1)*UnitsDeliveredPerMo))</f>
        <v/>
      </c>
      <c r="MK8" s="85">
        <f>IF(345&lt;DeliverStart,0,MIN(TotalUnits,(345-DeliverStart+1)*UnitsDeliveredPerMo))</f>
        <v/>
      </c>
      <c r="ML8" s="85">
        <f>IF(346&lt;DeliverStart,0,MIN(TotalUnits,(346-DeliverStart+1)*UnitsDeliveredPerMo))</f>
        <v/>
      </c>
      <c r="MM8" s="85">
        <f>IF(347&lt;DeliverStart,0,MIN(TotalUnits,(347-DeliverStart+1)*UnitsDeliveredPerMo))</f>
        <v/>
      </c>
      <c r="MN8" s="85">
        <f>IF(348&lt;DeliverStart,0,MIN(TotalUnits,(348-DeliverStart+1)*UnitsDeliveredPerMo))</f>
        <v/>
      </c>
      <c r="MO8" s="85">
        <f>IF(349&lt;DeliverStart,0,MIN(TotalUnits,(349-DeliverStart+1)*UnitsDeliveredPerMo))</f>
        <v/>
      </c>
      <c r="MP8" s="85">
        <f>IF(350&lt;DeliverStart,0,MIN(TotalUnits,(350-DeliverStart+1)*UnitsDeliveredPerMo))</f>
        <v/>
      </c>
      <c r="MQ8" s="85">
        <f>IF(351&lt;DeliverStart,0,MIN(TotalUnits,(351-DeliverStart+1)*UnitsDeliveredPerMo))</f>
        <v/>
      </c>
      <c r="MR8" s="85">
        <f>IF(352&lt;DeliverStart,0,MIN(TotalUnits,(352-DeliverStart+1)*UnitsDeliveredPerMo))</f>
        <v/>
      </c>
      <c r="MS8" s="85">
        <f>IF(353&lt;DeliverStart,0,MIN(TotalUnits,(353-DeliverStart+1)*UnitsDeliveredPerMo))</f>
        <v/>
      </c>
      <c r="MT8" s="85">
        <f>IF(354&lt;DeliverStart,0,MIN(TotalUnits,(354-DeliverStart+1)*UnitsDeliveredPerMo))</f>
        <v/>
      </c>
      <c r="MU8" s="85">
        <f>IF(355&lt;DeliverStart,0,MIN(TotalUnits,(355-DeliverStart+1)*UnitsDeliveredPerMo))</f>
        <v/>
      </c>
      <c r="MV8" s="85">
        <f>IF(356&lt;DeliverStart,0,MIN(TotalUnits,(356-DeliverStart+1)*UnitsDeliveredPerMo))</f>
        <v/>
      </c>
      <c r="MW8" s="85">
        <f>IF(357&lt;DeliverStart,0,MIN(TotalUnits,(357-DeliverStart+1)*UnitsDeliveredPerMo))</f>
        <v/>
      </c>
      <c r="MX8" s="85">
        <f>IF(358&lt;DeliverStart,0,MIN(TotalUnits,(358-DeliverStart+1)*UnitsDeliveredPerMo))</f>
        <v/>
      </c>
      <c r="MY8" s="85">
        <f>IF(359&lt;DeliverStart,0,MIN(TotalUnits,(359-DeliverStart+1)*UnitsDeliveredPerMo))</f>
        <v/>
      </c>
      <c r="MZ8" s="85">
        <f>IF(360&lt;DeliverStart,0,MIN(TotalUnits,(360-DeliverStart+1)*UnitsDeliveredPerMo))</f>
        <v/>
      </c>
      <c r="NA8" s="85">
        <f>IF(361&lt;DeliverStart,0,MIN(TotalUnits,(361-DeliverStart+1)*UnitsDeliveredPerMo))</f>
        <v/>
      </c>
      <c r="NB8" s="85">
        <f>IF(362&lt;DeliverStart,0,MIN(TotalUnits,(362-DeliverStart+1)*UnitsDeliveredPerMo))</f>
        <v/>
      </c>
      <c r="NC8" s="85">
        <f>IF(363&lt;DeliverStart,0,MIN(TotalUnits,(363-DeliverStart+1)*UnitsDeliveredPerMo))</f>
        <v/>
      </c>
      <c r="ND8" s="85">
        <f>IF(364&lt;DeliverStart,0,MIN(TotalUnits,(364-DeliverStart+1)*UnitsDeliveredPerMo))</f>
        <v/>
      </c>
      <c r="NE8" s="85">
        <f>IF(365&lt;DeliverStart,0,MIN(TotalUnits,(365-DeliverStart+1)*UnitsDeliveredPerMo))</f>
        <v/>
      </c>
      <c r="NF8" s="85">
        <f>IF(366&lt;DeliverStart,0,MIN(TotalUnits,(366-DeliverStart+1)*UnitsDeliveredPerMo))</f>
        <v/>
      </c>
      <c r="NG8" s="85">
        <f>IF(367&lt;DeliverStart,0,MIN(TotalUnits,(367-DeliverStart+1)*UnitsDeliveredPerMo))</f>
        <v/>
      </c>
      <c r="NH8" s="85">
        <f>IF(368&lt;DeliverStart,0,MIN(TotalUnits,(368-DeliverStart+1)*UnitsDeliveredPerMo))</f>
        <v/>
      </c>
      <c r="NI8" s="85">
        <f>IF(369&lt;DeliverStart,0,MIN(TotalUnits,(369-DeliverStart+1)*UnitsDeliveredPerMo))</f>
        <v/>
      </c>
      <c r="NJ8" s="85">
        <f>IF(370&lt;DeliverStart,0,MIN(TotalUnits,(370-DeliverStart+1)*UnitsDeliveredPerMo))</f>
        <v/>
      </c>
      <c r="NK8" s="85">
        <f>IF(371&lt;DeliverStart,0,MIN(TotalUnits,(371-DeliverStart+1)*UnitsDeliveredPerMo))</f>
        <v/>
      </c>
      <c r="NL8" s="85">
        <f>IF(372&lt;DeliverStart,0,MIN(TotalUnits,(372-DeliverStart+1)*UnitsDeliveredPerMo))</f>
        <v/>
      </c>
    </row>
    <row r="9">
      <c r="B9" s="36" t="inlineStr">
        <is>
          <t>Cumulative Units Leased</t>
        </is>
      </c>
      <c r="D9" s="124" t="n"/>
      <c r="E9" s="85">
        <f>IF(1&lt;DeliverStart,0,MIN(StabLeasedTarget,E$8,(1-DeliverStart+1)*UnitsLeasedPerMo))</f>
        <v/>
      </c>
      <c r="F9" s="85">
        <f>IF(2&lt;DeliverStart,0,MIN(StabLeasedTarget,F$8,(2-DeliverStart+1)*UnitsLeasedPerMo))</f>
        <v/>
      </c>
      <c r="G9" s="85">
        <f>IF(3&lt;DeliverStart,0,MIN(StabLeasedTarget,G$8,(3-DeliverStart+1)*UnitsLeasedPerMo))</f>
        <v/>
      </c>
      <c r="H9" s="85">
        <f>IF(4&lt;DeliverStart,0,MIN(StabLeasedTarget,H$8,(4-DeliverStart+1)*UnitsLeasedPerMo))</f>
        <v/>
      </c>
      <c r="I9" s="85">
        <f>IF(5&lt;DeliverStart,0,MIN(StabLeasedTarget,I$8,(5-DeliverStart+1)*UnitsLeasedPerMo))</f>
        <v/>
      </c>
      <c r="J9" s="85">
        <f>IF(6&lt;DeliverStart,0,MIN(StabLeasedTarget,J$8,(6-DeliverStart+1)*UnitsLeasedPerMo))</f>
        <v/>
      </c>
      <c r="K9" s="85">
        <f>IF(7&lt;DeliverStart,0,MIN(StabLeasedTarget,K$8,(7-DeliverStart+1)*UnitsLeasedPerMo))</f>
        <v/>
      </c>
      <c r="L9" s="85">
        <f>IF(8&lt;DeliverStart,0,MIN(StabLeasedTarget,L$8,(8-DeliverStart+1)*UnitsLeasedPerMo))</f>
        <v/>
      </c>
      <c r="M9" s="85">
        <f>IF(9&lt;DeliverStart,0,MIN(StabLeasedTarget,M$8,(9-DeliverStart+1)*UnitsLeasedPerMo))</f>
        <v/>
      </c>
      <c r="N9" s="85">
        <f>IF(10&lt;DeliverStart,0,MIN(StabLeasedTarget,N$8,(10-DeliverStart+1)*UnitsLeasedPerMo))</f>
        <v/>
      </c>
      <c r="O9" s="85">
        <f>IF(11&lt;DeliverStart,0,MIN(StabLeasedTarget,O$8,(11-DeliverStart+1)*UnitsLeasedPerMo))</f>
        <v/>
      </c>
      <c r="P9" s="85">
        <f>IF(12&lt;DeliverStart,0,MIN(StabLeasedTarget,P$8,(12-DeliverStart+1)*UnitsLeasedPerMo))</f>
        <v/>
      </c>
      <c r="Q9" s="85">
        <f>IF(13&lt;DeliverStart,0,MIN(StabLeasedTarget,Q$8,(13-DeliverStart+1)*UnitsLeasedPerMo))</f>
        <v/>
      </c>
      <c r="R9" s="85">
        <f>IF(14&lt;DeliverStart,0,MIN(StabLeasedTarget,R$8,(14-DeliverStart+1)*UnitsLeasedPerMo))</f>
        <v/>
      </c>
      <c r="S9" s="85">
        <f>IF(15&lt;DeliverStart,0,MIN(StabLeasedTarget,S$8,(15-DeliverStart+1)*UnitsLeasedPerMo))</f>
        <v/>
      </c>
      <c r="T9" s="85">
        <f>IF(16&lt;DeliverStart,0,MIN(StabLeasedTarget,T$8,(16-DeliverStart+1)*UnitsLeasedPerMo))</f>
        <v/>
      </c>
      <c r="U9" s="85">
        <f>IF(17&lt;DeliverStart,0,MIN(StabLeasedTarget,U$8,(17-DeliverStart+1)*UnitsLeasedPerMo))</f>
        <v/>
      </c>
      <c r="V9" s="85">
        <f>IF(18&lt;DeliverStart,0,MIN(StabLeasedTarget,V$8,(18-DeliverStart+1)*UnitsLeasedPerMo))</f>
        <v/>
      </c>
      <c r="W9" s="85">
        <f>IF(19&lt;DeliverStart,0,MIN(StabLeasedTarget,W$8,(19-DeliverStart+1)*UnitsLeasedPerMo))</f>
        <v/>
      </c>
      <c r="X9" s="85">
        <f>IF(20&lt;DeliverStart,0,MIN(StabLeasedTarget,X$8,(20-DeliverStart+1)*UnitsLeasedPerMo))</f>
        <v/>
      </c>
      <c r="Y9" s="85">
        <f>IF(21&lt;DeliverStart,0,MIN(StabLeasedTarget,Y$8,(21-DeliverStart+1)*UnitsLeasedPerMo))</f>
        <v/>
      </c>
      <c r="Z9" s="85">
        <f>IF(22&lt;DeliverStart,0,MIN(StabLeasedTarget,Z$8,(22-DeliverStart+1)*UnitsLeasedPerMo))</f>
        <v/>
      </c>
      <c r="AA9" s="85">
        <f>IF(23&lt;DeliverStart,0,MIN(StabLeasedTarget,AA$8,(23-DeliverStart+1)*UnitsLeasedPerMo))</f>
        <v/>
      </c>
      <c r="AB9" s="85">
        <f>IF(24&lt;DeliverStart,0,MIN(StabLeasedTarget,AB$8,(24-DeliverStart+1)*UnitsLeasedPerMo))</f>
        <v/>
      </c>
      <c r="AC9" s="85">
        <f>IF(25&lt;DeliverStart,0,MIN(StabLeasedTarget,AC$8,(25-DeliverStart+1)*UnitsLeasedPerMo))</f>
        <v/>
      </c>
      <c r="AD9" s="85">
        <f>IF(26&lt;DeliverStart,0,MIN(StabLeasedTarget,AD$8,(26-DeliverStart+1)*UnitsLeasedPerMo))</f>
        <v/>
      </c>
      <c r="AE9" s="85">
        <f>IF(27&lt;DeliverStart,0,MIN(StabLeasedTarget,AE$8,(27-DeliverStart+1)*UnitsLeasedPerMo))</f>
        <v/>
      </c>
      <c r="AF9" s="85">
        <f>IF(28&lt;DeliverStart,0,MIN(StabLeasedTarget,AF$8,(28-DeliverStart+1)*UnitsLeasedPerMo))</f>
        <v/>
      </c>
      <c r="AG9" s="85">
        <f>IF(29&lt;DeliverStart,0,MIN(StabLeasedTarget,AG$8,(29-DeliverStart+1)*UnitsLeasedPerMo))</f>
        <v/>
      </c>
      <c r="AH9" s="85">
        <f>IF(30&lt;DeliverStart,0,MIN(StabLeasedTarget,AH$8,(30-DeliverStart+1)*UnitsLeasedPerMo))</f>
        <v/>
      </c>
      <c r="AI9" s="85">
        <f>IF(31&lt;DeliverStart,0,MIN(StabLeasedTarget,AI$8,(31-DeliverStart+1)*UnitsLeasedPerMo))</f>
        <v/>
      </c>
      <c r="AJ9" s="85">
        <f>IF(32&lt;DeliverStart,0,MIN(StabLeasedTarget,AJ$8,(32-DeliverStart+1)*UnitsLeasedPerMo))</f>
        <v/>
      </c>
      <c r="AK9" s="85">
        <f>IF(33&lt;DeliverStart,0,MIN(StabLeasedTarget,AK$8,(33-DeliverStart+1)*UnitsLeasedPerMo))</f>
        <v/>
      </c>
      <c r="AL9" s="85">
        <f>IF(34&lt;DeliverStart,0,MIN(StabLeasedTarget,AL$8,(34-DeliverStart+1)*UnitsLeasedPerMo))</f>
        <v/>
      </c>
      <c r="AM9" s="85">
        <f>IF(35&lt;DeliverStart,0,MIN(StabLeasedTarget,AM$8,(35-DeliverStart+1)*UnitsLeasedPerMo))</f>
        <v/>
      </c>
      <c r="AN9" s="85">
        <f>IF(36&lt;DeliverStart,0,MIN(StabLeasedTarget,AN$8,(36-DeliverStart+1)*UnitsLeasedPerMo))</f>
        <v/>
      </c>
      <c r="AO9" s="85">
        <f>IF(37&lt;DeliverStart,0,MIN(StabLeasedTarget,AO$8,(37-DeliverStart+1)*UnitsLeasedPerMo))</f>
        <v/>
      </c>
      <c r="AP9" s="85">
        <f>IF(38&lt;DeliverStart,0,MIN(StabLeasedTarget,AP$8,(38-DeliverStart+1)*UnitsLeasedPerMo))</f>
        <v/>
      </c>
      <c r="AQ9" s="85">
        <f>IF(39&lt;DeliverStart,0,MIN(StabLeasedTarget,AQ$8,(39-DeliverStart+1)*UnitsLeasedPerMo))</f>
        <v/>
      </c>
      <c r="AR9" s="85">
        <f>IF(40&lt;DeliverStart,0,MIN(StabLeasedTarget,AR$8,(40-DeliverStart+1)*UnitsLeasedPerMo))</f>
        <v/>
      </c>
      <c r="AS9" s="85">
        <f>IF(41&lt;DeliverStart,0,MIN(StabLeasedTarget,AS$8,(41-DeliverStart+1)*UnitsLeasedPerMo))</f>
        <v/>
      </c>
      <c r="AT9" s="85">
        <f>IF(42&lt;DeliverStart,0,MIN(StabLeasedTarget,AT$8,(42-DeliverStart+1)*UnitsLeasedPerMo))</f>
        <v/>
      </c>
      <c r="AU9" s="85">
        <f>IF(43&lt;DeliverStart,0,MIN(StabLeasedTarget,AU$8,(43-DeliverStart+1)*UnitsLeasedPerMo))</f>
        <v/>
      </c>
      <c r="AV9" s="85">
        <f>IF(44&lt;DeliverStart,0,MIN(StabLeasedTarget,AV$8,(44-DeliverStart+1)*UnitsLeasedPerMo))</f>
        <v/>
      </c>
      <c r="AW9" s="85">
        <f>IF(45&lt;DeliverStart,0,MIN(StabLeasedTarget,AW$8,(45-DeliverStart+1)*UnitsLeasedPerMo))</f>
        <v/>
      </c>
      <c r="AX9" s="85">
        <f>IF(46&lt;DeliverStart,0,MIN(StabLeasedTarget,AX$8,(46-DeliverStart+1)*UnitsLeasedPerMo))</f>
        <v/>
      </c>
      <c r="AY9" s="85">
        <f>IF(47&lt;DeliverStart,0,MIN(StabLeasedTarget,AY$8,(47-DeliverStart+1)*UnitsLeasedPerMo))</f>
        <v/>
      </c>
      <c r="AZ9" s="85">
        <f>IF(48&lt;DeliverStart,0,MIN(StabLeasedTarget,AZ$8,(48-DeliverStart+1)*UnitsLeasedPerMo))</f>
        <v/>
      </c>
      <c r="BA9" s="85">
        <f>IF(49&lt;DeliverStart,0,MIN(StabLeasedTarget,BA$8,(49-DeliverStart+1)*UnitsLeasedPerMo))</f>
        <v/>
      </c>
      <c r="BB9" s="85">
        <f>IF(50&lt;DeliverStart,0,MIN(StabLeasedTarget,BB$8,(50-DeliverStart+1)*UnitsLeasedPerMo))</f>
        <v/>
      </c>
      <c r="BC9" s="85">
        <f>IF(51&lt;DeliverStart,0,MIN(StabLeasedTarget,BC$8,(51-DeliverStart+1)*UnitsLeasedPerMo))</f>
        <v/>
      </c>
      <c r="BD9" s="85">
        <f>IF(52&lt;DeliverStart,0,MIN(StabLeasedTarget,BD$8,(52-DeliverStart+1)*UnitsLeasedPerMo))</f>
        <v/>
      </c>
      <c r="BE9" s="85">
        <f>IF(53&lt;DeliverStart,0,MIN(StabLeasedTarget,BE$8,(53-DeliverStart+1)*UnitsLeasedPerMo))</f>
        <v/>
      </c>
      <c r="BF9" s="85">
        <f>IF(54&lt;DeliverStart,0,MIN(StabLeasedTarget,BF$8,(54-DeliverStart+1)*UnitsLeasedPerMo))</f>
        <v/>
      </c>
      <c r="BG9" s="85">
        <f>IF(55&lt;DeliverStart,0,MIN(StabLeasedTarget,BG$8,(55-DeliverStart+1)*UnitsLeasedPerMo))</f>
        <v/>
      </c>
      <c r="BH9" s="85">
        <f>IF(56&lt;DeliverStart,0,MIN(StabLeasedTarget,BH$8,(56-DeliverStart+1)*UnitsLeasedPerMo))</f>
        <v/>
      </c>
      <c r="BI9" s="85">
        <f>IF(57&lt;DeliverStart,0,MIN(StabLeasedTarget,BI$8,(57-DeliverStart+1)*UnitsLeasedPerMo))</f>
        <v/>
      </c>
      <c r="BJ9" s="85">
        <f>IF(58&lt;DeliverStart,0,MIN(StabLeasedTarget,BJ$8,(58-DeliverStart+1)*UnitsLeasedPerMo))</f>
        <v/>
      </c>
      <c r="BK9" s="85">
        <f>IF(59&lt;DeliverStart,0,MIN(StabLeasedTarget,BK$8,(59-DeliverStart+1)*UnitsLeasedPerMo))</f>
        <v/>
      </c>
      <c r="BL9" s="85">
        <f>IF(60&lt;DeliverStart,0,MIN(StabLeasedTarget,BL$8,(60-DeliverStart+1)*UnitsLeasedPerMo))</f>
        <v/>
      </c>
      <c r="BM9" s="85">
        <f>IF(61&lt;DeliverStart,0,MIN(StabLeasedTarget,BM$8,(61-DeliverStart+1)*UnitsLeasedPerMo))</f>
        <v/>
      </c>
      <c r="BN9" s="85">
        <f>IF(62&lt;DeliverStart,0,MIN(StabLeasedTarget,BN$8,(62-DeliverStart+1)*UnitsLeasedPerMo))</f>
        <v/>
      </c>
      <c r="BO9" s="85">
        <f>IF(63&lt;DeliverStart,0,MIN(StabLeasedTarget,BO$8,(63-DeliverStart+1)*UnitsLeasedPerMo))</f>
        <v/>
      </c>
      <c r="BP9" s="85">
        <f>IF(64&lt;DeliverStart,0,MIN(StabLeasedTarget,BP$8,(64-DeliverStart+1)*UnitsLeasedPerMo))</f>
        <v/>
      </c>
      <c r="BQ9" s="85">
        <f>IF(65&lt;DeliverStart,0,MIN(StabLeasedTarget,BQ$8,(65-DeliverStart+1)*UnitsLeasedPerMo))</f>
        <v/>
      </c>
      <c r="BR9" s="85">
        <f>IF(66&lt;DeliverStart,0,MIN(StabLeasedTarget,BR$8,(66-DeliverStart+1)*UnitsLeasedPerMo))</f>
        <v/>
      </c>
      <c r="BS9" s="85">
        <f>IF(67&lt;DeliverStart,0,MIN(StabLeasedTarget,BS$8,(67-DeliverStart+1)*UnitsLeasedPerMo))</f>
        <v/>
      </c>
      <c r="BT9" s="85">
        <f>IF(68&lt;DeliverStart,0,MIN(StabLeasedTarget,BT$8,(68-DeliverStart+1)*UnitsLeasedPerMo))</f>
        <v/>
      </c>
      <c r="BU9" s="85">
        <f>IF(69&lt;DeliverStart,0,MIN(StabLeasedTarget,BU$8,(69-DeliverStart+1)*UnitsLeasedPerMo))</f>
        <v/>
      </c>
      <c r="BV9" s="85">
        <f>IF(70&lt;DeliverStart,0,MIN(StabLeasedTarget,BV$8,(70-DeliverStart+1)*UnitsLeasedPerMo))</f>
        <v/>
      </c>
      <c r="BW9" s="85">
        <f>IF(71&lt;DeliverStart,0,MIN(StabLeasedTarget,BW$8,(71-DeliverStart+1)*UnitsLeasedPerMo))</f>
        <v/>
      </c>
      <c r="BX9" s="85">
        <f>IF(72&lt;DeliverStart,0,MIN(StabLeasedTarget,BX$8,(72-DeliverStart+1)*UnitsLeasedPerMo))</f>
        <v/>
      </c>
      <c r="BY9" s="85">
        <f>IF(73&lt;DeliverStart,0,MIN(StabLeasedTarget,BY$8,(73-DeliverStart+1)*UnitsLeasedPerMo))</f>
        <v/>
      </c>
      <c r="BZ9" s="85">
        <f>IF(74&lt;DeliverStart,0,MIN(StabLeasedTarget,BZ$8,(74-DeliverStart+1)*UnitsLeasedPerMo))</f>
        <v/>
      </c>
      <c r="CA9" s="85">
        <f>IF(75&lt;DeliverStart,0,MIN(StabLeasedTarget,CA$8,(75-DeliverStart+1)*UnitsLeasedPerMo))</f>
        <v/>
      </c>
      <c r="CB9" s="85">
        <f>IF(76&lt;DeliverStart,0,MIN(StabLeasedTarget,CB$8,(76-DeliverStart+1)*UnitsLeasedPerMo))</f>
        <v/>
      </c>
      <c r="CC9" s="85">
        <f>IF(77&lt;DeliverStart,0,MIN(StabLeasedTarget,CC$8,(77-DeliverStart+1)*UnitsLeasedPerMo))</f>
        <v/>
      </c>
      <c r="CD9" s="85">
        <f>IF(78&lt;DeliverStart,0,MIN(StabLeasedTarget,CD$8,(78-DeliverStart+1)*UnitsLeasedPerMo))</f>
        <v/>
      </c>
      <c r="CE9" s="85">
        <f>IF(79&lt;DeliverStart,0,MIN(StabLeasedTarget,CE$8,(79-DeliverStart+1)*UnitsLeasedPerMo))</f>
        <v/>
      </c>
      <c r="CF9" s="85">
        <f>IF(80&lt;DeliverStart,0,MIN(StabLeasedTarget,CF$8,(80-DeliverStart+1)*UnitsLeasedPerMo))</f>
        <v/>
      </c>
      <c r="CG9" s="85">
        <f>IF(81&lt;DeliverStart,0,MIN(StabLeasedTarget,CG$8,(81-DeliverStart+1)*UnitsLeasedPerMo))</f>
        <v/>
      </c>
      <c r="CH9" s="85">
        <f>IF(82&lt;DeliverStart,0,MIN(StabLeasedTarget,CH$8,(82-DeliverStart+1)*UnitsLeasedPerMo))</f>
        <v/>
      </c>
      <c r="CI9" s="85">
        <f>IF(83&lt;DeliverStart,0,MIN(StabLeasedTarget,CI$8,(83-DeliverStart+1)*UnitsLeasedPerMo))</f>
        <v/>
      </c>
      <c r="CJ9" s="85">
        <f>IF(84&lt;DeliverStart,0,MIN(StabLeasedTarget,CJ$8,(84-DeliverStart+1)*UnitsLeasedPerMo))</f>
        <v/>
      </c>
      <c r="CK9" s="85">
        <f>IF(85&lt;DeliverStart,0,MIN(StabLeasedTarget,CK$8,(85-DeliverStart+1)*UnitsLeasedPerMo))</f>
        <v/>
      </c>
      <c r="CL9" s="85">
        <f>IF(86&lt;DeliverStart,0,MIN(StabLeasedTarget,CL$8,(86-DeliverStart+1)*UnitsLeasedPerMo))</f>
        <v/>
      </c>
      <c r="CM9" s="85">
        <f>IF(87&lt;DeliverStart,0,MIN(StabLeasedTarget,CM$8,(87-DeliverStart+1)*UnitsLeasedPerMo))</f>
        <v/>
      </c>
      <c r="CN9" s="85">
        <f>IF(88&lt;DeliverStart,0,MIN(StabLeasedTarget,CN$8,(88-DeliverStart+1)*UnitsLeasedPerMo))</f>
        <v/>
      </c>
      <c r="CO9" s="85">
        <f>IF(89&lt;DeliverStart,0,MIN(StabLeasedTarget,CO$8,(89-DeliverStart+1)*UnitsLeasedPerMo))</f>
        <v/>
      </c>
      <c r="CP9" s="85">
        <f>IF(90&lt;DeliverStart,0,MIN(StabLeasedTarget,CP$8,(90-DeliverStart+1)*UnitsLeasedPerMo))</f>
        <v/>
      </c>
      <c r="CQ9" s="85">
        <f>IF(91&lt;DeliverStart,0,MIN(StabLeasedTarget,CQ$8,(91-DeliverStart+1)*UnitsLeasedPerMo))</f>
        <v/>
      </c>
      <c r="CR9" s="85">
        <f>IF(92&lt;DeliverStart,0,MIN(StabLeasedTarget,CR$8,(92-DeliverStart+1)*UnitsLeasedPerMo))</f>
        <v/>
      </c>
      <c r="CS9" s="85">
        <f>IF(93&lt;DeliverStart,0,MIN(StabLeasedTarget,CS$8,(93-DeliverStart+1)*UnitsLeasedPerMo))</f>
        <v/>
      </c>
      <c r="CT9" s="85">
        <f>IF(94&lt;DeliverStart,0,MIN(StabLeasedTarget,CT$8,(94-DeliverStart+1)*UnitsLeasedPerMo))</f>
        <v/>
      </c>
      <c r="CU9" s="85">
        <f>IF(95&lt;DeliverStart,0,MIN(StabLeasedTarget,CU$8,(95-DeliverStart+1)*UnitsLeasedPerMo))</f>
        <v/>
      </c>
      <c r="CV9" s="85">
        <f>IF(96&lt;DeliverStart,0,MIN(StabLeasedTarget,CV$8,(96-DeliverStart+1)*UnitsLeasedPerMo))</f>
        <v/>
      </c>
      <c r="CW9" s="85">
        <f>IF(97&lt;DeliverStart,0,MIN(StabLeasedTarget,CW$8,(97-DeliverStart+1)*UnitsLeasedPerMo))</f>
        <v/>
      </c>
      <c r="CX9" s="85">
        <f>IF(98&lt;DeliverStart,0,MIN(StabLeasedTarget,CX$8,(98-DeliverStart+1)*UnitsLeasedPerMo))</f>
        <v/>
      </c>
      <c r="CY9" s="85">
        <f>IF(99&lt;DeliverStart,0,MIN(StabLeasedTarget,CY$8,(99-DeliverStart+1)*UnitsLeasedPerMo))</f>
        <v/>
      </c>
      <c r="CZ9" s="85">
        <f>IF(100&lt;DeliverStart,0,MIN(StabLeasedTarget,CZ$8,(100-DeliverStart+1)*UnitsLeasedPerMo))</f>
        <v/>
      </c>
      <c r="DA9" s="85">
        <f>IF(101&lt;DeliverStart,0,MIN(StabLeasedTarget,DA$8,(101-DeliverStart+1)*UnitsLeasedPerMo))</f>
        <v/>
      </c>
      <c r="DB9" s="85">
        <f>IF(102&lt;DeliverStart,0,MIN(StabLeasedTarget,DB$8,(102-DeliverStart+1)*UnitsLeasedPerMo))</f>
        <v/>
      </c>
      <c r="DC9" s="85">
        <f>IF(103&lt;DeliverStart,0,MIN(StabLeasedTarget,DC$8,(103-DeliverStart+1)*UnitsLeasedPerMo))</f>
        <v/>
      </c>
      <c r="DD9" s="85">
        <f>IF(104&lt;DeliverStart,0,MIN(StabLeasedTarget,DD$8,(104-DeliverStart+1)*UnitsLeasedPerMo))</f>
        <v/>
      </c>
      <c r="DE9" s="85">
        <f>IF(105&lt;DeliverStart,0,MIN(StabLeasedTarget,DE$8,(105-DeliverStart+1)*UnitsLeasedPerMo))</f>
        <v/>
      </c>
      <c r="DF9" s="85">
        <f>IF(106&lt;DeliverStart,0,MIN(StabLeasedTarget,DF$8,(106-DeliverStart+1)*UnitsLeasedPerMo))</f>
        <v/>
      </c>
      <c r="DG9" s="85">
        <f>IF(107&lt;DeliverStart,0,MIN(StabLeasedTarget,DG$8,(107-DeliverStart+1)*UnitsLeasedPerMo))</f>
        <v/>
      </c>
      <c r="DH9" s="85">
        <f>IF(108&lt;DeliverStart,0,MIN(StabLeasedTarget,DH$8,(108-DeliverStart+1)*UnitsLeasedPerMo))</f>
        <v/>
      </c>
      <c r="DI9" s="85">
        <f>IF(109&lt;DeliverStart,0,MIN(StabLeasedTarget,DI$8,(109-DeliverStart+1)*UnitsLeasedPerMo))</f>
        <v/>
      </c>
      <c r="DJ9" s="85">
        <f>IF(110&lt;DeliverStart,0,MIN(StabLeasedTarget,DJ$8,(110-DeliverStart+1)*UnitsLeasedPerMo))</f>
        <v/>
      </c>
      <c r="DK9" s="85">
        <f>IF(111&lt;DeliverStart,0,MIN(StabLeasedTarget,DK$8,(111-DeliverStart+1)*UnitsLeasedPerMo))</f>
        <v/>
      </c>
      <c r="DL9" s="85">
        <f>IF(112&lt;DeliverStart,0,MIN(StabLeasedTarget,DL$8,(112-DeliverStart+1)*UnitsLeasedPerMo))</f>
        <v/>
      </c>
      <c r="DM9" s="85">
        <f>IF(113&lt;DeliverStart,0,MIN(StabLeasedTarget,DM$8,(113-DeliverStart+1)*UnitsLeasedPerMo))</f>
        <v/>
      </c>
      <c r="DN9" s="85">
        <f>IF(114&lt;DeliverStart,0,MIN(StabLeasedTarget,DN$8,(114-DeliverStart+1)*UnitsLeasedPerMo))</f>
        <v/>
      </c>
      <c r="DO9" s="85">
        <f>IF(115&lt;DeliverStart,0,MIN(StabLeasedTarget,DO$8,(115-DeliverStart+1)*UnitsLeasedPerMo))</f>
        <v/>
      </c>
      <c r="DP9" s="85">
        <f>IF(116&lt;DeliverStart,0,MIN(StabLeasedTarget,DP$8,(116-DeliverStart+1)*UnitsLeasedPerMo))</f>
        <v/>
      </c>
      <c r="DQ9" s="85">
        <f>IF(117&lt;DeliverStart,0,MIN(StabLeasedTarget,DQ$8,(117-DeliverStart+1)*UnitsLeasedPerMo))</f>
        <v/>
      </c>
      <c r="DR9" s="85">
        <f>IF(118&lt;DeliverStart,0,MIN(StabLeasedTarget,DR$8,(118-DeliverStart+1)*UnitsLeasedPerMo))</f>
        <v/>
      </c>
      <c r="DS9" s="85">
        <f>IF(119&lt;DeliverStart,0,MIN(StabLeasedTarget,DS$8,(119-DeliverStart+1)*UnitsLeasedPerMo))</f>
        <v/>
      </c>
      <c r="DT9" s="85">
        <f>IF(120&lt;DeliverStart,0,MIN(StabLeasedTarget,DT$8,(120-DeliverStart+1)*UnitsLeasedPerMo))</f>
        <v/>
      </c>
      <c r="DU9" s="85">
        <f>IF(121&lt;DeliverStart,0,MIN(StabLeasedTarget,DU$8,(121-DeliverStart+1)*UnitsLeasedPerMo))</f>
        <v/>
      </c>
      <c r="DV9" s="85">
        <f>IF(122&lt;DeliverStart,0,MIN(StabLeasedTarget,DV$8,(122-DeliverStart+1)*UnitsLeasedPerMo))</f>
        <v/>
      </c>
      <c r="DW9" s="85">
        <f>IF(123&lt;DeliverStart,0,MIN(StabLeasedTarget,DW$8,(123-DeliverStart+1)*UnitsLeasedPerMo))</f>
        <v/>
      </c>
      <c r="DX9" s="85">
        <f>IF(124&lt;DeliverStart,0,MIN(StabLeasedTarget,DX$8,(124-DeliverStart+1)*UnitsLeasedPerMo))</f>
        <v/>
      </c>
      <c r="DY9" s="85">
        <f>IF(125&lt;DeliverStart,0,MIN(StabLeasedTarget,DY$8,(125-DeliverStart+1)*UnitsLeasedPerMo))</f>
        <v/>
      </c>
      <c r="DZ9" s="85">
        <f>IF(126&lt;DeliverStart,0,MIN(StabLeasedTarget,DZ$8,(126-DeliverStart+1)*UnitsLeasedPerMo))</f>
        <v/>
      </c>
      <c r="EA9" s="85">
        <f>IF(127&lt;DeliverStart,0,MIN(StabLeasedTarget,EA$8,(127-DeliverStart+1)*UnitsLeasedPerMo))</f>
        <v/>
      </c>
      <c r="EB9" s="85">
        <f>IF(128&lt;DeliverStart,0,MIN(StabLeasedTarget,EB$8,(128-DeliverStart+1)*UnitsLeasedPerMo))</f>
        <v/>
      </c>
      <c r="EC9" s="85">
        <f>IF(129&lt;DeliverStart,0,MIN(StabLeasedTarget,EC$8,(129-DeliverStart+1)*UnitsLeasedPerMo))</f>
        <v/>
      </c>
      <c r="ED9" s="85">
        <f>IF(130&lt;DeliverStart,0,MIN(StabLeasedTarget,ED$8,(130-DeliverStart+1)*UnitsLeasedPerMo))</f>
        <v/>
      </c>
      <c r="EE9" s="85">
        <f>IF(131&lt;DeliverStart,0,MIN(StabLeasedTarget,EE$8,(131-DeliverStart+1)*UnitsLeasedPerMo))</f>
        <v/>
      </c>
      <c r="EF9" s="85">
        <f>IF(132&lt;DeliverStart,0,MIN(StabLeasedTarget,EF$8,(132-DeliverStart+1)*UnitsLeasedPerMo))</f>
        <v/>
      </c>
      <c r="EG9" s="85">
        <f>IF(133&lt;DeliverStart,0,MIN(StabLeasedTarget,EG$8,(133-DeliverStart+1)*UnitsLeasedPerMo))</f>
        <v/>
      </c>
      <c r="EH9" s="85">
        <f>IF(134&lt;DeliverStart,0,MIN(StabLeasedTarget,EH$8,(134-DeliverStart+1)*UnitsLeasedPerMo))</f>
        <v/>
      </c>
      <c r="EI9" s="85">
        <f>IF(135&lt;DeliverStart,0,MIN(StabLeasedTarget,EI$8,(135-DeliverStart+1)*UnitsLeasedPerMo))</f>
        <v/>
      </c>
      <c r="EJ9" s="85">
        <f>IF(136&lt;DeliverStart,0,MIN(StabLeasedTarget,EJ$8,(136-DeliverStart+1)*UnitsLeasedPerMo))</f>
        <v/>
      </c>
      <c r="EK9" s="85">
        <f>IF(137&lt;DeliverStart,0,MIN(StabLeasedTarget,EK$8,(137-DeliverStart+1)*UnitsLeasedPerMo))</f>
        <v/>
      </c>
      <c r="EL9" s="85">
        <f>IF(138&lt;DeliverStart,0,MIN(StabLeasedTarget,EL$8,(138-DeliverStart+1)*UnitsLeasedPerMo))</f>
        <v/>
      </c>
      <c r="EM9" s="85">
        <f>IF(139&lt;DeliverStart,0,MIN(StabLeasedTarget,EM$8,(139-DeliverStart+1)*UnitsLeasedPerMo))</f>
        <v/>
      </c>
      <c r="EN9" s="85">
        <f>IF(140&lt;DeliverStart,0,MIN(StabLeasedTarget,EN$8,(140-DeliverStart+1)*UnitsLeasedPerMo))</f>
        <v/>
      </c>
      <c r="EO9" s="85">
        <f>IF(141&lt;DeliverStart,0,MIN(StabLeasedTarget,EO$8,(141-DeliverStart+1)*UnitsLeasedPerMo))</f>
        <v/>
      </c>
      <c r="EP9" s="85">
        <f>IF(142&lt;DeliverStart,0,MIN(StabLeasedTarget,EP$8,(142-DeliverStart+1)*UnitsLeasedPerMo))</f>
        <v/>
      </c>
      <c r="EQ9" s="85">
        <f>IF(143&lt;DeliverStart,0,MIN(StabLeasedTarget,EQ$8,(143-DeliverStart+1)*UnitsLeasedPerMo))</f>
        <v/>
      </c>
      <c r="ER9" s="85">
        <f>IF(144&lt;DeliverStart,0,MIN(StabLeasedTarget,ER$8,(144-DeliverStart+1)*UnitsLeasedPerMo))</f>
        <v/>
      </c>
      <c r="ES9" s="85">
        <f>IF(145&lt;DeliverStart,0,MIN(StabLeasedTarget,ES$8,(145-DeliverStart+1)*UnitsLeasedPerMo))</f>
        <v/>
      </c>
      <c r="ET9" s="85">
        <f>IF(146&lt;DeliverStart,0,MIN(StabLeasedTarget,ET$8,(146-DeliverStart+1)*UnitsLeasedPerMo))</f>
        <v/>
      </c>
      <c r="EU9" s="85">
        <f>IF(147&lt;DeliverStart,0,MIN(StabLeasedTarget,EU$8,(147-DeliverStart+1)*UnitsLeasedPerMo))</f>
        <v/>
      </c>
      <c r="EV9" s="85">
        <f>IF(148&lt;DeliverStart,0,MIN(StabLeasedTarget,EV$8,(148-DeliverStart+1)*UnitsLeasedPerMo))</f>
        <v/>
      </c>
      <c r="EW9" s="85">
        <f>IF(149&lt;DeliverStart,0,MIN(StabLeasedTarget,EW$8,(149-DeliverStart+1)*UnitsLeasedPerMo))</f>
        <v/>
      </c>
      <c r="EX9" s="85">
        <f>IF(150&lt;DeliverStart,0,MIN(StabLeasedTarget,EX$8,(150-DeliverStart+1)*UnitsLeasedPerMo))</f>
        <v/>
      </c>
      <c r="EY9" s="85">
        <f>IF(151&lt;DeliverStart,0,MIN(StabLeasedTarget,EY$8,(151-DeliverStart+1)*UnitsLeasedPerMo))</f>
        <v/>
      </c>
      <c r="EZ9" s="85">
        <f>IF(152&lt;DeliverStart,0,MIN(StabLeasedTarget,EZ$8,(152-DeliverStart+1)*UnitsLeasedPerMo))</f>
        <v/>
      </c>
      <c r="FA9" s="85">
        <f>IF(153&lt;DeliverStart,0,MIN(StabLeasedTarget,FA$8,(153-DeliverStart+1)*UnitsLeasedPerMo))</f>
        <v/>
      </c>
      <c r="FB9" s="85">
        <f>IF(154&lt;DeliverStart,0,MIN(StabLeasedTarget,FB$8,(154-DeliverStart+1)*UnitsLeasedPerMo))</f>
        <v/>
      </c>
      <c r="FC9" s="85">
        <f>IF(155&lt;DeliverStart,0,MIN(StabLeasedTarget,FC$8,(155-DeliverStart+1)*UnitsLeasedPerMo))</f>
        <v/>
      </c>
      <c r="FD9" s="85">
        <f>IF(156&lt;DeliverStart,0,MIN(StabLeasedTarget,FD$8,(156-DeliverStart+1)*UnitsLeasedPerMo))</f>
        <v/>
      </c>
      <c r="FE9" s="85">
        <f>IF(157&lt;DeliverStart,0,MIN(StabLeasedTarget,FE$8,(157-DeliverStart+1)*UnitsLeasedPerMo))</f>
        <v/>
      </c>
      <c r="FF9" s="85">
        <f>IF(158&lt;DeliverStart,0,MIN(StabLeasedTarget,FF$8,(158-DeliverStart+1)*UnitsLeasedPerMo))</f>
        <v/>
      </c>
      <c r="FG9" s="85">
        <f>IF(159&lt;DeliverStart,0,MIN(StabLeasedTarget,FG$8,(159-DeliverStart+1)*UnitsLeasedPerMo))</f>
        <v/>
      </c>
      <c r="FH9" s="85">
        <f>IF(160&lt;DeliverStart,0,MIN(StabLeasedTarget,FH$8,(160-DeliverStart+1)*UnitsLeasedPerMo))</f>
        <v/>
      </c>
      <c r="FI9" s="85">
        <f>IF(161&lt;DeliverStart,0,MIN(StabLeasedTarget,FI$8,(161-DeliverStart+1)*UnitsLeasedPerMo))</f>
        <v/>
      </c>
      <c r="FJ9" s="85">
        <f>IF(162&lt;DeliverStart,0,MIN(StabLeasedTarget,FJ$8,(162-DeliverStart+1)*UnitsLeasedPerMo))</f>
        <v/>
      </c>
      <c r="FK9" s="85">
        <f>IF(163&lt;DeliverStart,0,MIN(StabLeasedTarget,FK$8,(163-DeliverStart+1)*UnitsLeasedPerMo))</f>
        <v/>
      </c>
      <c r="FL9" s="85">
        <f>IF(164&lt;DeliverStart,0,MIN(StabLeasedTarget,FL$8,(164-DeliverStart+1)*UnitsLeasedPerMo))</f>
        <v/>
      </c>
      <c r="FM9" s="85">
        <f>IF(165&lt;DeliverStart,0,MIN(StabLeasedTarget,FM$8,(165-DeliverStart+1)*UnitsLeasedPerMo))</f>
        <v/>
      </c>
      <c r="FN9" s="85">
        <f>IF(166&lt;DeliverStart,0,MIN(StabLeasedTarget,FN$8,(166-DeliverStart+1)*UnitsLeasedPerMo))</f>
        <v/>
      </c>
      <c r="FO9" s="85">
        <f>IF(167&lt;DeliverStart,0,MIN(StabLeasedTarget,FO$8,(167-DeliverStart+1)*UnitsLeasedPerMo))</f>
        <v/>
      </c>
      <c r="FP9" s="85">
        <f>IF(168&lt;DeliverStart,0,MIN(StabLeasedTarget,FP$8,(168-DeliverStart+1)*UnitsLeasedPerMo))</f>
        <v/>
      </c>
      <c r="FQ9" s="85">
        <f>IF(169&lt;DeliverStart,0,MIN(StabLeasedTarget,FQ$8,(169-DeliverStart+1)*UnitsLeasedPerMo))</f>
        <v/>
      </c>
      <c r="FR9" s="85">
        <f>IF(170&lt;DeliverStart,0,MIN(StabLeasedTarget,FR$8,(170-DeliverStart+1)*UnitsLeasedPerMo))</f>
        <v/>
      </c>
      <c r="FS9" s="85">
        <f>IF(171&lt;DeliverStart,0,MIN(StabLeasedTarget,FS$8,(171-DeliverStart+1)*UnitsLeasedPerMo))</f>
        <v/>
      </c>
      <c r="FT9" s="85">
        <f>IF(172&lt;DeliverStart,0,MIN(StabLeasedTarget,FT$8,(172-DeliverStart+1)*UnitsLeasedPerMo))</f>
        <v/>
      </c>
      <c r="FU9" s="85">
        <f>IF(173&lt;DeliverStart,0,MIN(StabLeasedTarget,FU$8,(173-DeliverStart+1)*UnitsLeasedPerMo))</f>
        <v/>
      </c>
      <c r="FV9" s="85">
        <f>IF(174&lt;DeliverStart,0,MIN(StabLeasedTarget,FV$8,(174-DeliverStart+1)*UnitsLeasedPerMo))</f>
        <v/>
      </c>
      <c r="FW9" s="85">
        <f>IF(175&lt;DeliverStart,0,MIN(StabLeasedTarget,FW$8,(175-DeliverStart+1)*UnitsLeasedPerMo))</f>
        <v/>
      </c>
      <c r="FX9" s="85">
        <f>IF(176&lt;DeliverStart,0,MIN(StabLeasedTarget,FX$8,(176-DeliverStart+1)*UnitsLeasedPerMo))</f>
        <v/>
      </c>
      <c r="FY9" s="85">
        <f>IF(177&lt;DeliverStart,0,MIN(StabLeasedTarget,FY$8,(177-DeliverStart+1)*UnitsLeasedPerMo))</f>
        <v/>
      </c>
      <c r="FZ9" s="85">
        <f>IF(178&lt;DeliverStart,0,MIN(StabLeasedTarget,FZ$8,(178-DeliverStart+1)*UnitsLeasedPerMo))</f>
        <v/>
      </c>
      <c r="GA9" s="85">
        <f>IF(179&lt;DeliverStart,0,MIN(StabLeasedTarget,GA$8,(179-DeliverStart+1)*UnitsLeasedPerMo))</f>
        <v/>
      </c>
      <c r="GB9" s="85">
        <f>IF(180&lt;DeliverStart,0,MIN(StabLeasedTarget,GB$8,(180-DeliverStart+1)*UnitsLeasedPerMo))</f>
        <v/>
      </c>
      <c r="GC9" s="85">
        <f>IF(181&lt;DeliverStart,0,MIN(StabLeasedTarget,GC$8,(181-DeliverStart+1)*UnitsLeasedPerMo))</f>
        <v/>
      </c>
      <c r="GD9" s="85">
        <f>IF(182&lt;DeliverStart,0,MIN(StabLeasedTarget,GD$8,(182-DeliverStart+1)*UnitsLeasedPerMo))</f>
        <v/>
      </c>
      <c r="GE9" s="85">
        <f>IF(183&lt;DeliverStart,0,MIN(StabLeasedTarget,GE$8,(183-DeliverStart+1)*UnitsLeasedPerMo))</f>
        <v/>
      </c>
      <c r="GF9" s="85">
        <f>IF(184&lt;DeliverStart,0,MIN(StabLeasedTarget,GF$8,(184-DeliverStart+1)*UnitsLeasedPerMo))</f>
        <v/>
      </c>
      <c r="GG9" s="85">
        <f>IF(185&lt;DeliverStart,0,MIN(StabLeasedTarget,GG$8,(185-DeliverStart+1)*UnitsLeasedPerMo))</f>
        <v/>
      </c>
      <c r="GH9" s="85">
        <f>IF(186&lt;DeliverStart,0,MIN(StabLeasedTarget,GH$8,(186-DeliverStart+1)*UnitsLeasedPerMo))</f>
        <v/>
      </c>
      <c r="GI9" s="85">
        <f>IF(187&lt;DeliverStart,0,MIN(StabLeasedTarget,GI$8,(187-DeliverStart+1)*UnitsLeasedPerMo))</f>
        <v/>
      </c>
      <c r="GJ9" s="85">
        <f>IF(188&lt;DeliverStart,0,MIN(StabLeasedTarget,GJ$8,(188-DeliverStart+1)*UnitsLeasedPerMo))</f>
        <v/>
      </c>
      <c r="GK9" s="85">
        <f>IF(189&lt;DeliverStart,0,MIN(StabLeasedTarget,GK$8,(189-DeliverStart+1)*UnitsLeasedPerMo))</f>
        <v/>
      </c>
      <c r="GL9" s="85">
        <f>IF(190&lt;DeliverStart,0,MIN(StabLeasedTarget,GL$8,(190-DeliverStart+1)*UnitsLeasedPerMo))</f>
        <v/>
      </c>
      <c r="GM9" s="85">
        <f>IF(191&lt;DeliverStart,0,MIN(StabLeasedTarget,GM$8,(191-DeliverStart+1)*UnitsLeasedPerMo))</f>
        <v/>
      </c>
      <c r="GN9" s="85">
        <f>IF(192&lt;DeliverStart,0,MIN(StabLeasedTarget,GN$8,(192-DeliverStart+1)*UnitsLeasedPerMo))</f>
        <v/>
      </c>
      <c r="GO9" s="85">
        <f>IF(193&lt;DeliverStart,0,MIN(StabLeasedTarget,GO$8,(193-DeliverStart+1)*UnitsLeasedPerMo))</f>
        <v/>
      </c>
      <c r="GP9" s="85">
        <f>IF(194&lt;DeliverStart,0,MIN(StabLeasedTarget,GP$8,(194-DeliverStart+1)*UnitsLeasedPerMo))</f>
        <v/>
      </c>
      <c r="GQ9" s="85">
        <f>IF(195&lt;DeliverStart,0,MIN(StabLeasedTarget,GQ$8,(195-DeliverStart+1)*UnitsLeasedPerMo))</f>
        <v/>
      </c>
      <c r="GR9" s="85">
        <f>IF(196&lt;DeliverStart,0,MIN(StabLeasedTarget,GR$8,(196-DeliverStart+1)*UnitsLeasedPerMo))</f>
        <v/>
      </c>
      <c r="GS9" s="85">
        <f>IF(197&lt;DeliverStart,0,MIN(StabLeasedTarget,GS$8,(197-DeliverStart+1)*UnitsLeasedPerMo))</f>
        <v/>
      </c>
      <c r="GT9" s="85">
        <f>IF(198&lt;DeliverStart,0,MIN(StabLeasedTarget,GT$8,(198-DeliverStart+1)*UnitsLeasedPerMo))</f>
        <v/>
      </c>
      <c r="GU9" s="85">
        <f>IF(199&lt;DeliverStart,0,MIN(StabLeasedTarget,GU$8,(199-DeliverStart+1)*UnitsLeasedPerMo))</f>
        <v/>
      </c>
      <c r="GV9" s="85">
        <f>IF(200&lt;DeliverStart,0,MIN(StabLeasedTarget,GV$8,(200-DeliverStart+1)*UnitsLeasedPerMo))</f>
        <v/>
      </c>
      <c r="GW9" s="85">
        <f>IF(201&lt;DeliverStart,0,MIN(StabLeasedTarget,GW$8,(201-DeliverStart+1)*UnitsLeasedPerMo))</f>
        <v/>
      </c>
      <c r="GX9" s="85">
        <f>IF(202&lt;DeliverStart,0,MIN(StabLeasedTarget,GX$8,(202-DeliverStart+1)*UnitsLeasedPerMo))</f>
        <v/>
      </c>
      <c r="GY9" s="85">
        <f>IF(203&lt;DeliverStart,0,MIN(StabLeasedTarget,GY$8,(203-DeliverStart+1)*UnitsLeasedPerMo))</f>
        <v/>
      </c>
      <c r="GZ9" s="85">
        <f>IF(204&lt;DeliverStart,0,MIN(StabLeasedTarget,GZ$8,(204-DeliverStart+1)*UnitsLeasedPerMo))</f>
        <v/>
      </c>
      <c r="HA9" s="85">
        <f>IF(205&lt;DeliverStart,0,MIN(StabLeasedTarget,HA$8,(205-DeliverStart+1)*UnitsLeasedPerMo))</f>
        <v/>
      </c>
      <c r="HB9" s="85">
        <f>IF(206&lt;DeliverStart,0,MIN(StabLeasedTarget,HB$8,(206-DeliverStart+1)*UnitsLeasedPerMo))</f>
        <v/>
      </c>
      <c r="HC9" s="85">
        <f>IF(207&lt;DeliverStart,0,MIN(StabLeasedTarget,HC$8,(207-DeliverStart+1)*UnitsLeasedPerMo))</f>
        <v/>
      </c>
      <c r="HD9" s="85">
        <f>IF(208&lt;DeliverStart,0,MIN(StabLeasedTarget,HD$8,(208-DeliverStart+1)*UnitsLeasedPerMo))</f>
        <v/>
      </c>
      <c r="HE9" s="85">
        <f>IF(209&lt;DeliverStart,0,MIN(StabLeasedTarget,HE$8,(209-DeliverStart+1)*UnitsLeasedPerMo))</f>
        <v/>
      </c>
      <c r="HF9" s="85">
        <f>IF(210&lt;DeliverStart,0,MIN(StabLeasedTarget,HF$8,(210-DeliverStart+1)*UnitsLeasedPerMo))</f>
        <v/>
      </c>
      <c r="HG9" s="85">
        <f>IF(211&lt;DeliverStart,0,MIN(StabLeasedTarget,HG$8,(211-DeliverStart+1)*UnitsLeasedPerMo))</f>
        <v/>
      </c>
      <c r="HH9" s="85">
        <f>IF(212&lt;DeliverStart,0,MIN(StabLeasedTarget,HH$8,(212-DeliverStart+1)*UnitsLeasedPerMo))</f>
        <v/>
      </c>
      <c r="HI9" s="85">
        <f>IF(213&lt;DeliverStart,0,MIN(StabLeasedTarget,HI$8,(213-DeliverStart+1)*UnitsLeasedPerMo))</f>
        <v/>
      </c>
      <c r="HJ9" s="85">
        <f>IF(214&lt;DeliverStart,0,MIN(StabLeasedTarget,HJ$8,(214-DeliverStart+1)*UnitsLeasedPerMo))</f>
        <v/>
      </c>
      <c r="HK9" s="85">
        <f>IF(215&lt;DeliverStart,0,MIN(StabLeasedTarget,HK$8,(215-DeliverStart+1)*UnitsLeasedPerMo))</f>
        <v/>
      </c>
      <c r="HL9" s="85">
        <f>IF(216&lt;DeliverStart,0,MIN(StabLeasedTarget,HL$8,(216-DeliverStart+1)*UnitsLeasedPerMo))</f>
        <v/>
      </c>
      <c r="HM9" s="85">
        <f>IF(217&lt;DeliverStart,0,MIN(StabLeasedTarget,HM$8,(217-DeliverStart+1)*UnitsLeasedPerMo))</f>
        <v/>
      </c>
      <c r="HN9" s="85">
        <f>IF(218&lt;DeliverStart,0,MIN(StabLeasedTarget,HN$8,(218-DeliverStart+1)*UnitsLeasedPerMo))</f>
        <v/>
      </c>
      <c r="HO9" s="85">
        <f>IF(219&lt;DeliverStart,0,MIN(StabLeasedTarget,HO$8,(219-DeliverStart+1)*UnitsLeasedPerMo))</f>
        <v/>
      </c>
      <c r="HP9" s="85">
        <f>IF(220&lt;DeliverStart,0,MIN(StabLeasedTarget,HP$8,(220-DeliverStart+1)*UnitsLeasedPerMo))</f>
        <v/>
      </c>
      <c r="HQ9" s="85">
        <f>IF(221&lt;DeliverStart,0,MIN(StabLeasedTarget,HQ$8,(221-DeliverStart+1)*UnitsLeasedPerMo))</f>
        <v/>
      </c>
      <c r="HR9" s="85">
        <f>IF(222&lt;DeliverStart,0,MIN(StabLeasedTarget,HR$8,(222-DeliverStart+1)*UnitsLeasedPerMo))</f>
        <v/>
      </c>
      <c r="HS9" s="85">
        <f>IF(223&lt;DeliverStart,0,MIN(StabLeasedTarget,HS$8,(223-DeliverStart+1)*UnitsLeasedPerMo))</f>
        <v/>
      </c>
      <c r="HT9" s="85">
        <f>IF(224&lt;DeliverStart,0,MIN(StabLeasedTarget,HT$8,(224-DeliverStart+1)*UnitsLeasedPerMo))</f>
        <v/>
      </c>
      <c r="HU9" s="85">
        <f>IF(225&lt;DeliverStart,0,MIN(StabLeasedTarget,HU$8,(225-DeliverStart+1)*UnitsLeasedPerMo))</f>
        <v/>
      </c>
      <c r="HV9" s="85">
        <f>IF(226&lt;DeliverStart,0,MIN(StabLeasedTarget,HV$8,(226-DeliverStart+1)*UnitsLeasedPerMo))</f>
        <v/>
      </c>
      <c r="HW9" s="85">
        <f>IF(227&lt;DeliverStart,0,MIN(StabLeasedTarget,HW$8,(227-DeliverStart+1)*UnitsLeasedPerMo))</f>
        <v/>
      </c>
      <c r="HX9" s="85">
        <f>IF(228&lt;DeliverStart,0,MIN(StabLeasedTarget,HX$8,(228-DeliverStart+1)*UnitsLeasedPerMo))</f>
        <v/>
      </c>
      <c r="HY9" s="85">
        <f>IF(229&lt;DeliverStart,0,MIN(StabLeasedTarget,HY$8,(229-DeliverStart+1)*UnitsLeasedPerMo))</f>
        <v/>
      </c>
      <c r="HZ9" s="85">
        <f>IF(230&lt;DeliverStart,0,MIN(StabLeasedTarget,HZ$8,(230-DeliverStart+1)*UnitsLeasedPerMo))</f>
        <v/>
      </c>
      <c r="IA9" s="85">
        <f>IF(231&lt;DeliverStart,0,MIN(StabLeasedTarget,IA$8,(231-DeliverStart+1)*UnitsLeasedPerMo))</f>
        <v/>
      </c>
      <c r="IB9" s="85">
        <f>IF(232&lt;DeliverStart,0,MIN(StabLeasedTarget,IB$8,(232-DeliverStart+1)*UnitsLeasedPerMo))</f>
        <v/>
      </c>
      <c r="IC9" s="85">
        <f>IF(233&lt;DeliverStart,0,MIN(StabLeasedTarget,IC$8,(233-DeliverStart+1)*UnitsLeasedPerMo))</f>
        <v/>
      </c>
      <c r="ID9" s="85">
        <f>IF(234&lt;DeliverStart,0,MIN(StabLeasedTarget,ID$8,(234-DeliverStart+1)*UnitsLeasedPerMo))</f>
        <v/>
      </c>
      <c r="IE9" s="85">
        <f>IF(235&lt;DeliverStart,0,MIN(StabLeasedTarget,IE$8,(235-DeliverStart+1)*UnitsLeasedPerMo))</f>
        <v/>
      </c>
      <c r="IF9" s="85">
        <f>IF(236&lt;DeliverStart,0,MIN(StabLeasedTarget,IF$8,(236-DeliverStart+1)*UnitsLeasedPerMo))</f>
        <v/>
      </c>
      <c r="IG9" s="85">
        <f>IF(237&lt;DeliverStart,0,MIN(StabLeasedTarget,IG$8,(237-DeliverStart+1)*UnitsLeasedPerMo))</f>
        <v/>
      </c>
      <c r="IH9" s="85">
        <f>IF(238&lt;DeliverStart,0,MIN(StabLeasedTarget,IH$8,(238-DeliverStart+1)*UnitsLeasedPerMo))</f>
        <v/>
      </c>
      <c r="II9" s="85">
        <f>IF(239&lt;DeliverStart,0,MIN(StabLeasedTarget,II$8,(239-DeliverStart+1)*UnitsLeasedPerMo))</f>
        <v/>
      </c>
      <c r="IJ9" s="85">
        <f>IF(240&lt;DeliverStart,0,MIN(StabLeasedTarget,IJ$8,(240-DeliverStart+1)*UnitsLeasedPerMo))</f>
        <v/>
      </c>
      <c r="IK9" s="85">
        <f>IF(241&lt;DeliverStart,0,MIN(StabLeasedTarget,IK$8,(241-DeliverStart+1)*UnitsLeasedPerMo))</f>
        <v/>
      </c>
      <c r="IL9" s="85">
        <f>IF(242&lt;DeliverStart,0,MIN(StabLeasedTarget,IL$8,(242-DeliverStart+1)*UnitsLeasedPerMo))</f>
        <v/>
      </c>
      <c r="IM9" s="85">
        <f>IF(243&lt;DeliverStart,0,MIN(StabLeasedTarget,IM$8,(243-DeliverStart+1)*UnitsLeasedPerMo))</f>
        <v/>
      </c>
      <c r="IN9" s="85">
        <f>IF(244&lt;DeliverStart,0,MIN(StabLeasedTarget,IN$8,(244-DeliverStart+1)*UnitsLeasedPerMo))</f>
        <v/>
      </c>
      <c r="IO9" s="85">
        <f>IF(245&lt;DeliverStart,0,MIN(StabLeasedTarget,IO$8,(245-DeliverStart+1)*UnitsLeasedPerMo))</f>
        <v/>
      </c>
      <c r="IP9" s="85">
        <f>IF(246&lt;DeliverStart,0,MIN(StabLeasedTarget,IP$8,(246-DeliverStart+1)*UnitsLeasedPerMo))</f>
        <v/>
      </c>
      <c r="IQ9" s="85">
        <f>IF(247&lt;DeliverStart,0,MIN(StabLeasedTarget,IQ$8,(247-DeliverStart+1)*UnitsLeasedPerMo))</f>
        <v/>
      </c>
      <c r="IR9" s="85">
        <f>IF(248&lt;DeliverStart,0,MIN(StabLeasedTarget,IR$8,(248-DeliverStart+1)*UnitsLeasedPerMo))</f>
        <v/>
      </c>
      <c r="IS9" s="85">
        <f>IF(249&lt;DeliverStart,0,MIN(StabLeasedTarget,IS$8,(249-DeliverStart+1)*UnitsLeasedPerMo))</f>
        <v/>
      </c>
      <c r="IT9" s="85">
        <f>IF(250&lt;DeliverStart,0,MIN(StabLeasedTarget,IT$8,(250-DeliverStart+1)*UnitsLeasedPerMo))</f>
        <v/>
      </c>
      <c r="IU9" s="85">
        <f>IF(251&lt;DeliverStart,0,MIN(StabLeasedTarget,IU$8,(251-DeliverStart+1)*UnitsLeasedPerMo))</f>
        <v/>
      </c>
      <c r="IV9" s="85">
        <f>IF(252&lt;DeliverStart,0,MIN(StabLeasedTarget,IV$8,(252-DeliverStart+1)*UnitsLeasedPerMo))</f>
        <v/>
      </c>
      <c r="IW9" s="85">
        <f>IF(253&lt;DeliverStart,0,MIN(StabLeasedTarget,IW$8,(253-DeliverStart+1)*UnitsLeasedPerMo))</f>
        <v/>
      </c>
      <c r="IX9" s="85">
        <f>IF(254&lt;DeliverStart,0,MIN(StabLeasedTarget,IX$8,(254-DeliverStart+1)*UnitsLeasedPerMo))</f>
        <v/>
      </c>
      <c r="IY9" s="85">
        <f>IF(255&lt;DeliverStart,0,MIN(StabLeasedTarget,IY$8,(255-DeliverStart+1)*UnitsLeasedPerMo))</f>
        <v/>
      </c>
      <c r="IZ9" s="85">
        <f>IF(256&lt;DeliverStart,0,MIN(StabLeasedTarget,IZ$8,(256-DeliverStart+1)*UnitsLeasedPerMo))</f>
        <v/>
      </c>
      <c r="JA9" s="85">
        <f>IF(257&lt;DeliverStart,0,MIN(StabLeasedTarget,JA$8,(257-DeliverStart+1)*UnitsLeasedPerMo))</f>
        <v/>
      </c>
      <c r="JB9" s="85">
        <f>IF(258&lt;DeliverStart,0,MIN(StabLeasedTarget,JB$8,(258-DeliverStart+1)*UnitsLeasedPerMo))</f>
        <v/>
      </c>
      <c r="JC9" s="85">
        <f>IF(259&lt;DeliverStart,0,MIN(StabLeasedTarget,JC$8,(259-DeliverStart+1)*UnitsLeasedPerMo))</f>
        <v/>
      </c>
      <c r="JD9" s="85">
        <f>IF(260&lt;DeliverStart,0,MIN(StabLeasedTarget,JD$8,(260-DeliverStart+1)*UnitsLeasedPerMo))</f>
        <v/>
      </c>
      <c r="JE9" s="85">
        <f>IF(261&lt;DeliverStart,0,MIN(StabLeasedTarget,JE$8,(261-DeliverStart+1)*UnitsLeasedPerMo))</f>
        <v/>
      </c>
      <c r="JF9" s="85">
        <f>IF(262&lt;DeliverStart,0,MIN(StabLeasedTarget,JF$8,(262-DeliverStart+1)*UnitsLeasedPerMo))</f>
        <v/>
      </c>
      <c r="JG9" s="85">
        <f>IF(263&lt;DeliverStart,0,MIN(StabLeasedTarget,JG$8,(263-DeliverStart+1)*UnitsLeasedPerMo))</f>
        <v/>
      </c>
      <c r="JH9" s="85">
        <f>IF(264&lt;DeliverStart,0,MIN(StabLeasedTarget,JH$8,(264-DeliverStart+1)*UnitsLeasedPerMo))</f>
        <v/>
      </c>
      <c r="JI9" s="85">
        <f>IF(265&lt;DeliverStart,0,MIN(StabLeasedTarget,JI$8,(265-DeliverStart+1)*UnitsLeasedPerMo))</f>
        <v/>
      </c>
      <c r="JJ9" s="85">
        <f>IF(266&lt;DeliverStart,0,MIN(StabLeasedTarget,JJ$8,(266-DeliverStart+1)*UnitsLeasedPerMo))</f>
        <v/>
      </c>
      <c r="JK9" s="85">
        <f>IF(267&lt;DeliverStart,0,MIN(StabLeasedTarget,JK$8,(267-DeliverStart+1)*UnitsLeasedPerMo))</f>
        <v/>
      </c>
      <c r="JL9" s="85">
        <f>IF(268&lt;DeliverStart,0,MIN(StabLeasedTarget,JL$8,(268-DeliverStart+1)*UnitsLeasedPerMo))</f>
        <v/>
      </c>
      <c r="JM9" s="85">
        <f>IF(269&lt;DeliverStart,0,MIN(StabLeasedTarget,JM$8,(269-DeliverStart+1)*UnitsLeasedPerMo))</f>
        <v/>
      </c>
      <c r="JN9" s="85">
        <f>IF(270&lt;DeliverStart,0,MIN(StabLeasedTarget,JN$8,(270-DeliverStart+1)*UnitsLeasedPerMo))</f>
        <v/>
      </c>
      <c r="JO9" s="85">
        <f>IF(271&lt;DeliverStart,0,MIN(StabLeasedTarget,JO$8,(271-DeliverStart+1)*UnitsLeasedPerMo))</f>
        <v/>
      </c>
      <c r="JP9" s="85">
        <f>IF(272&lt;DeliverStart,0,MIN(StabLeasedTarget,JP$8,(272-DeliverStart+1)*UnitsLeasedPerMo))</f>
        <v/>
      </c>
      <c r="JQ9" s="85">
        <f>IF(273&lt;DeliverStart,0,MIN(StabLeasedTarget,JQ$8,(273-DeliverStart+1)*UnitsLeasedPerMo))</f>
        <v/>
      </c>
      <c r="JR9" s="85">
        <f>IF(274&lt;DeliverStart,0,MIN(StabLeasedTarget,JR$8,(274-DeliverStart+1)*UnitsLeasedPerMo))</f>
        <v/>
      </c>
      <c r="JS9" s="85">
        <f>IF(275&lt;DeliverStart,0,MIN(StabLeasedTarget,JS$8,(275-DeliverStart+1)*UnitsLeasedPerMo))</f>
        <v/>
      </c>
      <c r="JT9" s="85">
        <f>IF(276&lt;DeliverStart,0,MIN(StabLeasedTarget,JT$8,(276-DeliverStart+1)*UnitsLeasedPerMo))</f>
        <v/>
      </c>
      <c r="JU9" s="85">
        <f>IF(277&lt;DeliverStart,0,MIN(StabLeasedTarget,JU$8,(277-DeliverStart+1)*UnitsLeasedPerMo))</f>
        <v/>
      </c>
      <c r="JV9" s="85">
        <f>IF(278&lt;DeliverStart,0,MIN(StabLeasedTarget,JV$8,(278-DeliverStart+1)*UnitsLeasedPerMo))</f>
        <v/>
      </c>
      <c r="JW9" s="85">
        <f>IF(279&lt;DeliverStart,0,MIN(StabLeasedTarget,JW$8,(279-DeliverStart+1)*UnitsLeasedPerMo))</f>
        <v/>
      </c>
      <c r="JX9" s="85">
        <f>IF(280&lt;DeliverStart,0,MIN(StabLeasedTarget,JX$8,(280-DeliverStart+1)*UnitsLeasedPerMo))</f>
        <v/>
      </c>
      <c r="JY9" s="85">
        <f>IF(281&lt;DeliverStart,0,MIN(StabLeasedTarget,JY$8,(281-DeliverStart+1)*UnitsLeasedPerMo))</f>
        <v/>
      </c>
      <c r="JZ9" s="85">
        <f>IF(282&lt;DeliverStart,0,MIN(StabLeasedTarget,JZ$8,(282-DeliverStart+1)*UnitsLeasedPerMo))</f>
        <v/>
      </c>
      <c r="KA9" s="85">
        <f>IF(283&lt;DeliverStart,0,MIN(StabLeasedTarget,KA$8,(283-DeliverStart+1)*UnitsLeasedPerMo))</f>
        <v/>
      </c>
      <c r="KB9" s="85">
        <f>IF(284&lt;DeliverStart,0,MIN(StabLeasedTarget,KB$8,(284-DeliverStart+1)*UnitsLeasedPerMo))</f>
        <v/>
      </c>
      <c r="KC9" s="85">
        <f>IF(285&lt;DeliverStart,0,MIN(StabLeasedTarget,KC$8,(285-DeliverStart+1)*UnitsLeasedPerMo))</f>
        <v/>
      </c>
      <c r="KD9" s="85">
        <f>IF(286&lt;DeliverStart,0,MIN(StabLeasedTarget,KD$8,(286-DeliverStart+1)*UnitsLeasedPerMo))</f>
        <v/>
      </c>
      <c r="KE9" s="85">
        <f>IF(287&lt;DeliverStart,0,MIN(StabLeasedTarget,KE$8,(287-DeliverStart+1)*UnitsLeasedPerMo))</f>
        <v/>
      </c>
      <c r="KF9" s="85">
        <f>IF(288&lt;DeliverStart,0,MIN(StabLeasedTarget,KF$8,(288-DeliverStart+1)*UnitsLeasedPerMo))</f>
        <v/>
      </c>
      <c r="KG9" s="85">
        <f>IF(289&lt;DeliverStart,0,MIN(StabLeasedTarget,KG$8,(289-DeliverStart+1)*UnitsLeasedPerMo))</f>
        <v/>
      </c>
      <c r="KH9" s="85">
        <f>IF(290&lt;DeliverStart,0,MIN(StabLeasedTarget,KH$8,(290-DeliverStart+1)*UnitsLeasedPerMo))</f>
        <v/>
      </c>
      <c r="KI9" s="85">
        <f>IF(291&lt;DeliverStart,0,MIN(StabLeasedTarget,KI$8,(291-DeliverStart+1)*UnitsLeasedPerMo))</f>
        <v/>
      </c>
      <c r="KJ9" s="85">
        <f>IF(292&lt;DeliverStart,0,MIN(StabLeasedTarget,KJ$8,(292-DeliverStart+1)*UnitsLeasedPerMo))</f>
        <v/>
      </c>
      <c r="KK9" s="85">
        <f>IF(293&lt;DeliverStart,0,MIN(StabLeasedTarget,KK$8,(293-DeliverStart+1)*UnitsLeasedPerMo))</f>
        <v/>
      </c>
      <c r="KL9" s="85">
        <f>IF(294&lt;DeliverStart,0,MIN(StabLeasedTarget,KL$8,(294-DeliverStart+1)*UnitsLeasedPerMo))</f>
        <v/>
      </c>
      <c r="KM9" s="85">
        <f>IF(295&lt;DeliverStart,0,MIN(StabLeasedTarget,KM$8,(295-DeliverStart+1)*UnitsLeasedPerMo))</f>
        <v/>
      </c>
      <c r="KN9" s="85">
        <f>IF(296&lt;DeliverStart,0,MIN(StabLeasedTarget,KN$8,(296-DeliverStart+1)*UnitsLeasedPerMo))</f>
        <v/>
      </c>
      <c r="KO9" s="85">
        <f>IF(297&lt;DeliverStart,0,MIN(StabLeasedTarget,KO$8,(297-DeliverStart+1)*UnitsLeasedPerMo))</f>
        <v/>
      </c>
      <c r="KP9" s="85">
        <f>IF(298&lt;DeliverStart,0,MIN(StabLeasedTarget,KP$8,(298-DeliverStart+1)*UnitsLeasedPerMo))</f>
        <v/>
      </c>
      <c r="KQ9" s="85">
        <f>IF(299&lt;DeliverStart,0,MIN(StabLeasedTarget,KQ$8,(299-DeliverStart+1)*UnitsLeasedPerMo))</f>
        <v/>
      </c>
      <c r="KR9" s="85">
        <f>IF(300&lt;DeliverStart,0,MIN(StabLeasedTarget,KR$8,(300-DeliverStart+1)*UnitsLeasedPerMo))</f>
        <v/>
      </c>
      <c r="KS9" s="85">
        <f>IF(301&lt;DeliverStart,0,MIN(StabLeasedTarget,KS$8,(301-DeliverStart+1)*UnitsLeasedPerMo))</f>
        <v/>
      </c>
      <c r="KT9" s="85">
        <f>IF(302&lt;DeliverStart,0,MIN(StabLeasedTarget,KT$8,(302-DeliverStart+1)*UnitsLeasedPerMo))</f>
        <v/>
      </c>
      <c r="KU9" s="85">
        <f>IF(303&lt;DeliverStart,0,MIN(StabLeasedTarget,KU$8,(303-DeliverStart+1)*UnitsLeasedPerMo))</f>
        <v/>
      </c>
      <c r="KV9" s="85">
        <f>IF(304&lt;DeliverStart,0,MIN(StabLeasedTarget,KV$8,(304-DeliverStart+1)*UnitsLeasedPerMo))</f>
        <v/>
      </c>
      <c r="KW9" s="85">
        <f>IF(305&lt;DeliverStart,0,MIN(StabLeasedTarget,KW$8,(305-DeliverStart+1)*UnitsLeasedPerMo))</f>
        <v/>
      </c>
      <c r="KX9" s="85">
        <f>IF(306&lt;DeliverStart,0,MIN(StabLeasedTarget,KX$8,(306-DeliverStart+1)*UnitsLeasedPerMo))</f>
        <v/>
      </c>
      <c r="KY9" s="85">
        <f>IF(307&lt;DeliverStart,0,MIN(StabLeasedTarget,KY$8,(307-DeliverStart+1)*UnitsLeasedPerMo))</f>
        <v/>
      </c>
      <c r="KZ9" s="85">
        <f>IF(308&lt;DeliverStart,0,MIN(StabLeasedTarget,KZ$8,(308-DeliverStart+1)*UnitsLeasedPerMo))</f>
        <v/>
      </c>
      <c r="LA9" s="85">
        <f>IF(309&lt;DeliverStart,0,MIN(StabLeasedTarget,LA$8,(309-DeliverStart+1)*UnitsLeasedPerMo))</f>
        <v/>
      </c>
      <c r="LB9" s="85">
        <f>IF(310&lt;DeliverStart,0,MIN(StabLeasedTarget,LB$8,(310-DeliverStart+1)*UnitsLeasedPerMo))</f>
        <v/>
      </c>
      <c r="LC9" s="85">
        <f>IF(311&lt;DeliverStart,0,MIN(StabLeasedTarget,LC$8,(311-DeliverStart+1)*UnitsLeasedPerMo))</f>
        <v/>
      </c>
      <c r="LD9" s="85">
        <f>IF(312&lt;DeliverStart,0,MIN(StabLeasedTarget,LD$8,(312-DeliverStart+1)*UnitsLeasedPerMo))</f>
        <v/>
      </c>
      <c r="LE9" s="85">
        <f>IF(313&lt;DeliverStart,0,MIN(StabLeasedTarget,LE$8,(313-DeliverStart+1)*UnitsLeasedPerMo))</f>
        <v/>
      </c>
      <c r="LF9" s="85">
        <f>IF(314&lt;DeliverStart,0,MIN(StabLeasedTarget,LF$8,(314-DeliverStart+1)*UnitsLeasedPerMo))</f>
        <v/>
      </c>
      <c r="LG9" s="85">
        <f>IF(315&lt;DeliverStart,0,MIN(StabLeasedTarget,LG$8,(315-DeliverStart+1)*UnitsLeasedPerMo))</f>
        <v/>
      </c>
      <c r="LH9" s="85">
        <f>IF(316&lt;DeliverStart,0,MIN(StabLeasedTarget,LH$8,(316-DeliverStart+1)*UnitsLeasedPerMo))</f>
        <v/>
      </c>
      <c r="LI9" s="85">
        <f>IF(317&lt;DeliverStart,0,MIN(StabLeasedTarget,LI$8,(317-DeliverStart+1)*UnitsLeasedPerMo))</f>
        <v/>
      </c>
      <c r="LJ9" s="85">
        <f>IF(318&lt;DeliverStart,0,MIN(StabLeasedTarget,LJ$8,(318-DeliverStart+1)*UnitsLeasedPerMo))</f>
        <v/>
      </c>
      <c r="LK9" s="85">
        <f>IF(319&lt;DeliverStart,0,MIN(StabLeasedTarget,LK$8,(319-DeliverStart+1)*UnitsLeasedPerMo))</f>
        <v/>
      </c>
      <c r="LL9" s="85">
        <f>IF(320&lt;DeliverStart,0,MIN(StabLeasedTarget,LL$8,(320-DeliverStart+1)*UnitsLeasedPerMo))</f>
        <v/>
      </c>
      <c r="LM9" s="85">
        <f>IF(321&lt;DeliverStart,0,MIN(StabLeasedTarget,LM$8,(321-DeliverStart+1)*UnitsLeasedPerMo))</f>
        <v/>
      </c>
      <c r="LN9" s="85">
        <f>IF(322&lt;DeliverStart,0,MIN(StabLeasedTarget,LN$8,(322-DeliverStart+1)*UnitsLeasedPerMo))</f>
        <v/>
      </c>
      <c r="LO9" s="85">
        <f>IF(323&lt;DeliverStart,0,MIN(StabLeasedTarget,LO$8,(323-DeliverStart+1)*UnitsLeasedPerMo))</f>
        <v/>
      </c>
      <c r="LP9" s="85">
        <f>IF(324&lt;DeliverStart,0,MIN(StabLeasedTarget,LP$8,(324-DeliverStart+1)*UnitsLeasedPerMo))</f>
        <v/>
      </c>
      <c r="LQ9" s="85">
        <f>IF(325&lt;DeliverStart,0,MIN(StabLeasedTarget,LQ$8,(325-DeliverStart+1)*UnitsLeasedPerMo))</f>
        <v/>
      </c>
      <c r="LR9" s="85">
        <f>IF(326&lt;DeliverStart,0,MIN(StabLeasedTarget,LR$8,(326-DeliverStart+1)*UnitsLeasedPerMo))</f>
        <v/>
      </c>
      <c r="LS9" s="85">
        <f>IF(327&lt;DeliverStart,0,MIN(StabLeasedTarget,LS$8,(327-DeliverStart+1)*UnitsLeasedPerMo))</f>
        <v/>
      </c>
      <c r="LT9" s="85">
        <f>IF(328&lt;DeliverStart,0,MIN(StabLeasedTarget,LT$8,(328-DeliverStart+1)*UnitsLeasedPerMo))</f>
        <v/>
      </c>
      <c r="LU9" s="85">
        <f>IF(329&lt;DeliverStart,0,MIN(StabLeasedTarget,LU$8,(329-DeliverStart+1)*UnitsLeasedPerMo))</f>
        <v/>
      </c>
      <c r="LV9" s="85">
        <f>IF(330&lt;DeliverStart,0,MIN(StabLeasedTarget,LV$8,(330-DeliverStart+1)*UnitsLeasedPerMo))</f>
        <v/>
      </c>
      <c r="LW9" s="85">
        <f>IF(331&lt;DeliverStart,0,MIN(StabLeasedTarget,LW$8,(331-DeliverStart+1)*UnitsLeasedPerMo))</f>
        <v/>
      </c>
      <c r="LX9" s="85">
        <f>IF(332&lt;DeliverStart,0,MIN(StabLeasedTarget,LX$8,(332-DeliverStart+1)*UnitsLeasedPerMo))</f>
        <v/>
      </c>
      <c r="LY9" s="85">
        <f>IF(333&lt;DeliverStart,0,MIN(StabLeasedTarget,LY$8,(333-DeliverStart+1)*UnitsLeasedPerMo))</f>
        <v/>
      </c>
      <c r="LZ9" s="85">
        <f>IF(334&lt;DeliverStart,0,MIN(StabLeasedTarget,LZ$8,(334-DeliverStart+1)*UnitsLeasedPerMo))</f>
        <v/>
      </c>
      <c r="MA9" s="85">
        <f>IF(335&lt;DeliverStart,0,MIN(StabLeasedTarget,MA$8,(335-DeliverStart+1)*UnitsLeasedPerMo))</f>
        <v/>
      </c>
      <c r="MB9" s="85">
        <f>IF(336&lt;DeliverStart,0,MIN(StabLeasedTarget,MB$8,(336-DeliverStart+1)*UnitsLeasedPerMo))</f>
        <v/>
      </c>
      <c r="MC9" s="85">
        <f>IF(337&lt;DeliverStart,0,MIN(StabLeasedTarget,MC$8,(337-DeliverStart+1)*UnitsLeasedPerMo))</f>
        <v/>
      </c>
      <c r="MD9" s="85">
        <f>IF(338&lt;DeliverStart,0,MIN(StabLeasedTarget,MD$8,(338-DeliverStart+1)*UnitsLeasedPerMo))</f>
        <v/>
      </c>
      <c r="ME9" s="85">
        <f>IF(339&lt;DeliverStart,0,MIN(StabLeasedTarget,ME$8,(339-DeliverStart+1)*UnitsLeasedPerMo))</f>
        <v/>
      </c>
      <c r="MF9" s="85">
        <f>IF(340&lt;DeliverStart,0,MIN(StabLeasedTarget,MF$8,(340-DeliverStart+1)*UnitsLeasedPerMo))</f>
        <v/>
      </c>
      <c r="MG9" s="85">
        <f>IF(341&lt;DeliverStart,0,MIN(StabLeasedTarget,MG$8,(341-DeliverStart+1)*UnitsLeasedPerMo))</f>
        <v/>
      </c>
      <c r="MH9" s="85">
        <f>IF(342&lt;DeliverStart,0,MIN(StabLeasedTarget,MH$8,(342-DeliverStart+1)*UnitsLeasedPerMo))</f>
        <v/>
      </c>
      <c r="MI9" s="85">
        <f>IF(343&lt;DeliverStart,0,MIN(StabLeasedTarget,MI$8,(343-DeliverStart+1)*UnitsLeasedPerMo))</f>
        <v/>
      </c>
      <c r="MJ9" s="85">
        <f>IF(344&lt;DeliverStart,0,MIN(StabLeasedTarget,MJ$8,(344-DeliverStart+1)*UnitsLeasedPerMo))</f>
        <v/>
      </c>
      <c r="MK9" s="85">
        <f>IF(345&lt;DeliverStart,0,MIN(StabLeasedTarget,MK$8,(345-DeliverStart+1)*UnitsLeasedPerMo))</f>
        <v/>
      </c>
      <c r="ML9" s="85">
        <f>IF(346&lt;DeliverStart,0,MIN(StabLeasedTarget,ML$8,(346-DeliverStart+1)*UnitsLeasedPerMo))</f>
        <v/>
      </c>
      <c r="MM9" s="85">
        <f>IF(347&lt;DeliverStart,0,MIN(StabLeasedTarget,MM$8,(347-DeliverStart+1)*UnitsLeasedPerMo))</f>
        <v/>
      </c>
      <c r="MN9" s="85">
        <f>IF(348&lt;DeliverStart,0,MIN(StabLeasedTarget,MN$8,(348-DeliverStart+1)*UnitsLeasedPerMo))</f>
        <v/>
      </c>
      <c r="MO9" s="85">
        <f>IF(349&lt;DeliverStart,0,MIN(StabLeasedTarget,MO$8,(349-DeliverStart+1)*UnitsLeasedPerMo))</f>
        <v/>
      </c>
      <c r="MP9" s="85">
        <f>IF(350&lt;DeliverStart,0,MIN(StabLeasedTarget,MP$8,(350-DeliverStart+1)*UnitsLeasedPerMo))</f>
        <v/>
      </c>
      <c r="MQ9" s="85">
        <f>IF(351&lt;DeliverStart,0,MIN(StabLeasedTarget,MQ$8,(351-DeliverStart+1)*UnitsLeasedPerMo))</f>
        <v/>
      </c>
      <c r="MR9" s="85">
        <f>IF(352&lt;DeliverStart,0,MIN(StabLeasedTarget,MR$8,(352-DeliverStart+1)*UnitsLeasedPerMo))</f>
        <v/>
      </c>
      <c r="MS9" s="85">
        <f>IF(353&lt;DeliverStart,0,MIN(StabLeasedTarget,MS$8,(353-DeliverStart+1)*UnitsLeasedPerMo))</f>
        <v/>
      </c>
      <c r="MT9" s="85">
        <f>IF(354&lt;DeliverStart,0,MIN(StabLeasedTarget,MT$8,(354-DeliverStart+1)*UnitsLeasedPerMo))</f>
        <v/>
      </c>
      <c r="MU9" s="85">
        <f>IF(355&lt;DeliverStart,0,MIN(StabLeasedTarget,MU$8,(355-DeliverStart+1)*UnitsLeasedPerMo))</f>
        <v/>
      </c>
      <c r="MV9" s="85">
        <f>IF(356&lt;DeliverStart,0,MIN(StabLeasedTarget,MV$8,(356-DeliverStart+1)*UnitsLeasedPerMo))</f>
        <v/>
      </c>
      <c r="MW9" s="85">
        <f>IF(357&lt;DeliverStart,0,MIN(StabLeasedTarget,MW$8,(357-DeliverStart+1)*UnitsLeasedPerMo))</f>
        <v/>
      </c>
      <c r="MX9" s="85">
        <f>IF(358&lt;DeliverStart,0,MIN(StabLeasedTarget,MX$8,(358-DeliverStart+1)*UnitsLeasedPerMo))</f>
        <v/>
      </c>
      <c r="MY9" s="85">
        <f>IF(359&lt;DeliverStart,0,MIN(StabLeasedTarget,MY$8,(359-DeliverStart+1)*UnitsLeasedPerMo))</f>
        <v/>
      </c>
      <c r="MZ9" s="85">
        <f>IF(360&lt;DeliverStart,0,MIN(StabLeasedTarget,MZ$8,(360-DeliverStart+1)*UnitsLeasedPerMo))</f>
        <v/>
      </c>
      <c r="NA9" s="85">
        <f>IF(361&lt;DeliverStart,0,MIN(StabLeasedTarget,NA$8,(361-DeliverStart+1)*UnitsLeasedPerMo))</f>
        <v/>
      </c>
      <c r="NB9" s="85">
        <f>IF(362&lt;DeliverStart,0,MIN(StabLeasedTarget,NB$8,(362-DeliverStart+1)*UnitsLeasedPerMo))</f>
        <v/>
      </c>
      <c r="NC9" s="85">
        <f>IF(363&lt;DeliverStart,0,MIN(StabLeasedTarget,NC$8,(363-DeliverStart+1)*UnitsLeasedPerMo))</f>
        <v/>
      </c>
      <c r="ND9" s="85">
        <f>IF(364&lt;DeliverStart,0,MIN(StabLeasedTarget,ND$8,(364-DeliverStart+1)*UnitsLeasedPerMo))</f>
        <v/>
      </c>
      <c r="NE9" s="85">
        <f>IF(365&lt;DeliverStart,0,MIN(StabLeasedTarget,NE$8,(365-DeliverStart+1)*UnitsLeasedPerMo))</f>
        <v/>
      </c>
      <c r="NF9" s="85">
        <f>IF(366&lt;DeliverStart,0,MIN(StabLeasedTarget,NF$8,(366-DeliverStart+1)*UnitsLeasedPerMo))</f>
        <v/>
      </c>
      <c r="NG9" s="85">
        <f>IF(367&lt;DeliverStart,0,MIN(StabLeasedTarget,NG$8,(367-DeliverStart+1)*UnitsLeasedPerMo))</f>
        <v/>
      </c>
      <c r="NH9" s="85">
        <f>IF(368&lt;DeliverStart,0,MIN(StabLeasedTarget,NH$8,(368-DeliverStart+1)*UnitsLeasedPerMo))</f>
        <v/>
      </c>
      <c r="NI9" s="85">
        <f>IF(369&lt;DeliverStart,0,MIN(StabLeasedTarget,NI$8,(369-DeliverStart+1)*UnitsLeasedPerMo))</f>
        <v/>
      </c>
      <c r="NJ9" s="85">
        <f>IF(370&lt;DeliverStart,0,MIN(StabLeasedTarget,NJ$8,(370-DeliverStart+1)*UnitsLeasedPerMo))</f>
        <v/>
      </c>
      <c r="NK9" s="85">
        <f>IF(371&lt;DeliverStart,0,MIN(StabLeasedTarget,NK$8,(371-DeliverStart+1)*UnitsLeasedPerMo))</f>
        <v/>
      </c>
      <c r="NL9" s="85">
        <f>IF(372&lt;DeliverStart,0,MIN(StabLeasedTarget,NL$8,(372-DeliverStart+1)*UnitsLeasedPerMo))</f>
        <v/>
      </c>
    </row>
    <row r="10">
      <c r="B10" s="40" t="inlineStr">
        <is>
          <t>Physical Occupancy</t>
        </is>
      </c>
      <c r="C10" s="79" t="n"/>
      <c r="D10" s="264" t="n"/>
      <c r="E10" s="265">
        <f>IF(TotalUnits=0,0,E$9/TotalUnits)</f>
        <v/>
      </c>
      <c r="F10" s="265">
        <f>IF(TotalUnits=0,0,F$9/TotalUnits)</f>
        <v/>
      </c>
      <c r="G10" s="265">
        <f>IF(TotalUnits=0,0,G$9/TotalUnits)</f>
        <v/>
      </c>
      <c r="H10" s="265">
        <f>IF(TotalUnits=0,0,H$9/TotalUnits)</f>
        <v/>
      </c>
      <c r="I10" s="265">
        <f>IF(TotalUnits=0,0,I$9/TotalUnits)</f>
        <v/>
      </c>
      <c r="J10" s="265">
        <f>IF(TotalUnits=0,0,J$9/TotalUnits)</f>
        <v/>
      </c>
      <c r="K10" s="265">
        <f>IF(TotalUnits=0,0,K$9/TotalUnits)</f>
        <v/>
      </c>
      <c r="L10" s="265">
        <f>IF(TotalUnits=0,0,L$9/TotalUnits)</f>
        <v/>
      </c>
      <c r="M10" s="265">
        <f>IF(TotalUnits=0,0,M$9/TotalUnits)</f>
        <v/>
      </c>
      <c r="N10" s="265">
        <f>IF(TotalUnits=0,0,N$9/TotalUnits)</f>
        <v/>
      </c>
      <c r="O10" s="265">
        <f>IF(TotalUnits=0,0,O$9/TotalUnits)</f>
        <v/>
      </c>
      <c r="P10" s="265">
        <f>IF(TotalUnits=0,0,P$9/TotalUnits)</f>
        <v/>
      </c>
      <c r="Q10" s="265">
        <f>IF(TotalUnits=0,0,Q$9/TotalUnits)</f>
        <v/>
      </c>
      <c r="R10" s="265">
        <f>IF(TotalUnits=0,0,R$9/TotalUnits)</f>
        <v/>
      </c>
      <c r="S10" s="265">
        <f>IF(TotalUnits=0,0,S$9/TotalUnits)</f>
        <v/>
      </c>
      <c r="T10" s="265">
        <f>IF(TotalUnits=0,0,T$9/TotalUnits)</f>
        <v/>
      </c>
      <c r="U10" s="265">
        <f>IF(TotalUnits=0,0,U$9/TotalUnits)</f>
        <v/>
      </c>
      <c r="V10" s="265">
        <f>IF(TotalUnits=0,0,V$9/TotalUnits)</f>
        <v/>
      </c>
      <c r="W10" s="265">
        <f>IF(TotalUnits=0,0,W$9/TotalUnits)</f>
        <v/>
      </c>
      <c r="X10" s="265">
        <f>IF(TotalUnits=0,0,X$9/TotalUnits)</f>
        <v/>
      </c>
      <c r="Y10" s="265">
        <f>IF(TotalUnits=0,0,Y$9/TotalUnits)</f>
        <v/>
      </c>
      <c r="Z10" s="265">
        <f>IF(TotalUnits=0,0,Z$9/TotalUnits)</f>
        <v/>
      </c>
      <c r="AA10" s="265">
        <f>IF(TotalUnits=0,0,AA$9/TotalUnits)</f>
        <v/>
      </c>
      <c r="AB10" s="265">
        <f>IF(TotalUnits=0,0,AB$9/TotalUnits)</f>
        <v/>
      </c>
      <c r="AC10" s="265">
        <f>IF(TotalUnits=0,0,AC$9/TotalUnits)</f>
        <v/>
      </c>
      <c r="AD10" s="265">
        <f>IF(TotalUnits=0,0,AD$9/TotalUnits)</f>
        <v/>
      </c>
      <c r="AE10" s="265">
        <f>IF(TotalUnits=0,0,AE$9/TotalUnits)</f>
        <v/>
      </c>
      <c r="AF10" s="265">
        <f>IF(TotalUnits=0,0,AF$9/TotalUnits)</f>
        <v/>
      </c>
      <c r="AG10" s="265">
        <f>IF(TotalUnits=0,0,AG$9/TotalUnits)</f>
        <v/>
      </c>
      <c r="AH10" s="265">
        <f>IF(TotalUnits=0,0,AH$9/TotalUnits)</f>
        <v/>
      </c>
      <c r="AI10" s="265">
        <f>IF(TotalUnits=0,0,AI$9/TotalUnits)</f>
        <v/>
      </c>
      <c r="AJ10" s="265">
        <f>IF(TotalUnits=0,0,AJ$9/TotalUnits)</f>
        <v/>
      </c>
      <c r="AK10" s="265">
        <f>IF(TotalUnits=0,0,AK$9/TotalUnits)</f>
        <v/>
      </c>
      <c r="AL10" s="265">
        <f>IF(TotalUnits=0,0,AL$9/TotalUnits)</f>
        <v/>
      </c>
      <c r="AM10" s="265">
        <f>IF(TotalUnits=0,0,AM$9/TotalUnits)</f>
        <v/>
      </c>
      <c r="AN10" s="265">
        <f>IF(TotalUnits=0,0,AN$9/TotalUnits)</f>
        <v/>
      </c>
      <c r="AO10" s="265">
        <f>IF(TotalUnits=0,0,AO$9/TotalUnits)</f>
        <v/>
      </c>
      <c r="AP10" s="265">
        <f>IF(TotalUnits=0,0,AP$9/TotalUnits)</f>
        <v/>
      </c>
      <c r="AQ10" s="265">
        <f>IF(TotalUnits=0,0,AQ$9/TotalUnits)</f>
        <v/>
      </c>
      <c r="AR10" s="265">
        <f>IF(TotalUnits=0,0,AR$9/TotalUnits)</f>
        <v/>
      </c>
      <c r="AS10" s="265">
        <f>IF(TotalUnits=0,0,AS$9/TotalUnits)</f>
        <v/>
      </c>
      <c r="AT10" s="265">
        <f>IF(TotalUnits=0,0,AT$9/TotalUnits)</f>
        <v/>
      </c>
      <c r="AU10" s="265">
        <f>IF(TotalUnits=0,0,AU$9/TotalUnits)</f>
        <v/>
      </c>
      <c r="AV10" s="265">
        <f>IF(TotalUnits=0,0,AV$9/TotalUnits)</f>
        <v/>
      </c>
      <c r="AW10" s="265">
        <f>IF(TotalUnits=0,0,AW$9/TotalUnits)</f>
        <v/>
      </c>
      <c r="AX10" s="265">
        <f>IF(TotalUnits=0,0,AX$9/TotalUnits)</f>
        <v/>
      </c>
      <c r="AY10" s="265">
        <f>IF(TotalUnits=0,0,AY$9/TotalUnits)</f>
        <v/>
      </c>
      <c r="AZ10" s="265">
        <f>IF(TotalUnits=0,0,AZ$9/TotalUnits)</f>
        <v/>
      </c>
      <c r="BA10" s="265">
        <f>IF(TotalUnits=0,0,BA$9/TotalUnits)</f>
        <v/>
      </c>
      <c r="BB10" s="265">
        <f>IF(TotalUnits=0,0,BB$9/TotalUnits)</f>
        <v/>
      </c>
      <c r="BC10" s="265">
        <f>IF(TotalUnits=0,0,BC$9/TotalUnits)</f>
        <v/>
      </c>
      <c r="BD10" s="265">
        <f>IF(TotalUnits=0,0,BD$9/TotalUnits)</f>
        <v/>
      </c>
      <c r="BE10" s="265">
        <f>IF(TotalUnits=0,0,BE$9/TotalUnits)</f>
        <v/>
      </c>
      <c r="BF10" s="265">
        <f>IF(TotalUnits=0,0,BF$9/TotalUnits)</f>
        <v/>
      </c>
      <c r="BG10" s="265">
        <f>IF(TotalUnits=0,0,BG$9/TotalUnits)</f>
        <v/>
      </c>
      <c r="BH10" s="265">
        <f>IF(TotalUnits=0,0,BH$9/TotalUnits)</f>
        <v/>
      </c>
      <c r="BI10" s="265">
        <f>IF(TotalUnits=0,0,BI$9/TotalUnits)</f>
        <v/>
      </c>
      <c r="BJ10" s="265">
        <f>IF(TotalUnits=0,0,BJ$9/TotalUnits)</f>
        <v/>
      </c>
      <c r="BK10" s="265">
        <f>IF(TotalUnits=0,0,BK$9/TotalUnits)</f>
        <v/>
      </c>
      <c r="BL10" s="265">
        <f>IF(TotalUnits=0,0,BL$9/TotalUnits)</f>
        <v/>
      </c>
      <c r="BM10" s="265">
        <f>IF(TotalUnits=0,0,BM$9/TotalUnits)</f>
        <v/>
      </c>
      <c r="BN10" s="265">
        <f>IF(TotalUnits=0,0,BN$9/TotalUnits)</f>
        <v/>
      </c>
      <c r="BO10" s="265">
        <f>IF(TotalUnits=0,0,BO$9/TotalUnits)</f>
        <v/>
      </c>
      <c r="BP10" s="265">
        <f>IF(TotalUnits=0,0,BP$9/TotalUnits)</f>
        <v/>
      </c>
      <c r="BQ10" s="265">
        <f>IF(TotalUnits=0,0,BQ$9/TotalUnits)</f>
        <v/>
      </c>
      <c r="BR10" s="265">
        <f>IF(TotalUnits=0,0,BR$9/TotalUnits)</f>
        <v/>
      </c>
      <c r="BS10" s="265">
        <f>IF(TotalUnits=0,0,BS$9/TotalUnits)</f>
        <v/>
      </c>
      <c r="BT10" s="265">
        <f>IF(TotalUnits=0,0,BT$9/TotalUnits)</f>
        <v/>
      </c>
      <c r="BU10" s="265">
        <f>IF(TotalUnits=0,0,BU$9/TotalUnits)</f>
        <v/>
      </c>
      <c r="BV10" s="265">
        <f>IF(TotalUnits=0,0,BV$9/TotalUnits)</f>
        <v/>
      </c>
      <c r="BW10" s="265">
        <f>IF(TotalUnits=0,0,BW$9/TotalUnits)</f>
        <v/>
      </c>
      <c r="BX10" s="265">
        <f>IF(TotalUnits=0,0,BX$9/TotalUnits)</f>
        <v/>
      </c>
      <c r="BY10" s="265">
        <f>IF(TotalUnits=0,0,BY$9/TotalUnits)</f>
        <v/>
      </c>
      <c r="BZ10" s="265">
        <f>IF(TotalUnits=0,0,BZ$9/TotalUnits)</f>
        <v/>
      </c>
      <c r="CA10" s="265">
        <f>IF(TotalUnits=0,0,CA$9/TotalUnits)</f>
        <v/>
      </c>
      <c r="CB10" s="265">
        <f>IF(TotalUnits=0,0,CB$9/TotalUnits)</f>
        <v/>
      </c>
      <c r="CC10" s="265">
        <f>IF(TotalUnits=0,0,CC$9/TotalUnits)</f>
        <v/>
      </c>
      <c r="CD10" s="265">
        <f>IF(TotalUnits=0,0,CD$9/TotalUnits)</f>
        <v/>
      </c>
      <c r="CE10" s="265">
        <f>IF(TotalUnits=0,0,CE$9/TotalUnits)</f>
        <v/>
      </c>
      <c r="CF10" s="265">
        <f>IF(TotalUnits=0,0,CF$9/TotalUnits)</f>
        <v/>
      </c>
      <c r="CG10" s="265">
        <f>IF(TotalUnits=0,0,CG$9/TotalUnits)</f>
        <v/>
      </c>
      <c r="CH10" s="265">
        <f>IF(TotalUnits=0,0,CH$9/TotalUnits)</f>
        <v/>
      </c>
      <c r="CI10" s="265">
        <f>IF(TotalUnits=0,0,CI$9/TotalUnits)</f>
        <v/>
      </c>
      <c r="CJ10" s="265">
        <f>IF(TotalUnits=0,0,CJ$9/TotalUnits)</f>
        <v/>
      </c>
      <c r="CK10" s="265">
        <f>IF(TotalUnits=0,0,CK$9/TotalUnits)</f>
        <v/>
      </c>
      <c r="CL10" s="265">
        <f>IF(TotalUnits=0,0,CL$9/TotalUnits)</f>
        <v/>
      </c>
      <c r="CM10" s="265">
        <f>IF(TotalUnits=0,0,CM$9/TotalUnits)</f>
        <v/>
      </c>
      <c r="CN10" s="265">
        <f>IF(TotalUnits=0,0,CN$9/TotalUnits)</f>
        <v/>
      </c>
      <c r="CO10" s="265">
        <f>IF(TotalUnits=0,0,CO$9/TotalUnits)</f>
        <v/>
      </c>
      <c r="CP10" s="265">
        <f>IF(TotalUnits=0,0,CP$9/TotalUnits)</f>
        <v/>
      </c>
      <c r="CQ10" s="265">
        <f>IF(TotalUnits=0,0,CQ$9/TotalUnits)</f>
        <v/>
      </c>
      <c r="CR10" s="265">
        <f>IF(TotalUnits=0,0,CR$9/TotalUnits)</f>
        <v/>
      </c>
      <c r="CS10" s="265">
        <f>IF(TotalUnits=0,0,CS$9/TotalUnits)</f>
        <v/>
      </c>
      <c r="CT10" s="265">
        <f>IF(TotalUnits=0,0,CT$9/TotalUnits)</f>
        <v/>
      </c>
      <c r="CU10" s="265">
        <f>IF(TotalUnits=0,0,CU$9/TotalUnits)</f>
        <v/>
      </c>
      <c r="CV10" s="265">
        <f>IF(TotalUnits=0,0,CV$9/TotalUnits)</f>
        <v/>
      </c>
      <c r="CW10" s="265">
        <f>IF(TotalUnits=0,0,CW$9/TotalUnits)</f>
        <v/>
      </c>
      <c r="CX10" s="265">
        <f>IF(TotalUnits=0,0,CX$9/TotalUnits)</f>
        <v/>
      </c>
      <c r="CY10" s="265">
        <f>IF(TotalUnits=0,0,CY$9/TotalUnits)</f>
        <v/>
      </c>
      <c r="CZ10" s="265">
        <f>IF(TotalUnits=0,0,CZ$9/TotalUnits)</f>
        <v/>
      </c>
      <c r="DA10" s="265">
        <f>IF(TotalUnits=0,0,DA$9/TotalUnits)</f>
        <v/>
      </c>
      <c r="DB10" s="265">
        <f>IF(TotalUnits=0,0,DB$9/TotalUnits)</f>
        <v/>
      </c>
      <c r="DC10" s="265">
        <f>IF(TotalUnits=0,0,DC$9/TotalUnits)</f>
        <v/>
      </c>
      <c r="DD10" s="265">
        <f>IF(TotalUnits=0,0,DD$9/TotalUnits)</f>
        <v/>
      </c>
      <c r="DE10" s="265">
        <f>IF(TotalUnits=0,0,DE$9/TotalUnits)</f>
        <v/>
      </c>
      <c r="DF10" s="265">
        <f>IF(TotalUnits=0,0,DF$9/TotalUnits)</f>
        <v/>
      </c>
      <c r="DG10" s="265">
        <f>IF(TotalUnits=0,0,DG$9/TotalUnits)</f>
        <v/>
      </c>
      <c r="DH10" s="265">
        <f>IF(TotalUnits=0,0,DH$9/TotalUnits)</f>
        <v/>
      </c>
      <c r="DI10" s="265">
        <f>IF(TotalUnits=0,0,DI$9/TotalUnits)</f>
        <v/>
      </c>
      <c r="DJ10" s="265">
        <f>IF(TotalUnits=0,0,DJ$9/TotalUnits)</f>
        <v/>
      </c>
      <c r="DK10" s="265">
        <f>IF(TotalUnits=0,0,DK$9/TotalUnits)</f>
        <v/>
      </c>
      <c r="DL10" s="265">
        <f>IF(TotalUnits=0,0,DL$9/TotalUnits)</f>
        <v/>
      </c>
      <c r="DM10" s="265">
        <f>IF(TotalUnits=0,0,DM$9/TotalUnits)</f>
        <v/>
      </c>
      <c r="DN10" s="265">
        <f>IF(TotalUnits=0,0,DN$9/TotalUnits)</f>
        <v/>
      </c>
      <c r="DO10" s="265">
        <f>IF(TotalUnits=0,0,DO$9/TotalUnits)</f>
        <v/>
      </c>
      <c r="DP10" s="265">
        <f>IF(TotalUnits=0,0,DP$9/TotalUnits)</f>
        <v/>
      </c>
      <c r="DQ10" s="265">
        <f>IF(TotalUnits=0,0,DQ$9/TotalUnits)</f>
        <v/>
      </c>
      <c r="DR10" s="265">
        <f>IF(TotalUnits=0,0,DR$9/TotalUnits)</f>
        <v/>
      </c>
      <c r="DS10" s="265">
        <f>IF(TotalUnits=0,0,DS$9/TotalUnits)</f>
        <v/>
      </c>
      <c r="DT10" s="265">
        <f>IF(TotalUnits=0,0,DT$9/TotalUnits)</f>
        <v/>
      </c>
      <c r="DU10" s="265">
        <f>IF(TotalUnits=0,0,DU$9/TotalUnits)</f>
        <v/>
      </c>
      <c r="DV10" s="265">
        <f>IF(TotalUnits=0,0,DV$9/TotalUnits)</f>
        <v/>
      </c>
      <c r="DW10" s="265">
        <f>IF(TotalUnits=0,0,DW$9/TotalUnits)</f>
        <v/>
      </c>
      <c r="DX10" s="265">
        <f>IF(TotalUnits=0,0,DX$9/TotalUnits)</f>
        <v/>
      </c>
      <c r="DY10" s="265">
        <f>IF(TotalUnits=0,0,DY$9/TotalUnits)</f>
        <v/>
      </c>
      <c r="DZ10" s="265">
        <f>IF(TotalUnits=0,0,DZ$9/TotalUnits)</f>
        <v/>
      </c>
      <c r="EA10" s="265">
        <f>IF(TotalUnits=0,0,EA$9/TotalUnits)</f>
        <v/>
      </c>
      <c r="EB10" s="265">
        <f>IF(TotalUnits=0,0,EB$9/TotalUnits)</f>
        <v/>
      </c>
      <c r="EC10" s="265">
        <f>IF(TotalUnits=0,0,EC$9/TotalUnits)</f>
        <v/>
      </c>
      <c r="ED10" s="265">
        <f>IF(TotalUnits=0,0,ED$9/TotalUnits)</f>
        <v/>
      </c>
      <c r="EE10" s="265">
        <f>IF(TotalUnits=0,0,EE$9/TotalUnits)</f>
        <v/>
      </c>
      <c r="EF10" s="265">
        <f>IF(TotalUnits=0,0,EF$9/TotalUnits)</f>
        <v/>
      </c>
      <c r="EG10" s="265">
        <f>IF(TotalUnits=0,0,EG$9/TotalUnits)</f>
        <v/>
      </c>
      <c r="EH10" s="265">
        <f>IF(TotalUnits=0,0,EH$9/TotalUnits)</f>
        <v/>
      </c>
      <c r="EI10" s="265">
        <f>IF(TotalUnits=0,0,EI$9/TotalUnits)</f>
        <v/>
      </c>
      <c r="EJ10" s="265">
        <f>IF(TotalUnits=0,0,EJ$9/TotalUnits)</f>
        <v/>
      </c>
      <c r="EK10" s="265">
        <f>IF(TotalUnits=0,0,EK$9/TotalUnits)</f>
        <v/>
      </c>
      <c r="EL10" s="265">
        <f>IF(TotalUnits=0,0,EL$9/TotalUnits)</f>
        <v/>
      </c>
      <c r="EM10" s="265">
        <f>IF(TotalUnits=0,0,EM$9/TotalUnits)</f>
        <v/>
      </c>
      <c r="EN10" s="265">
        <f>IF(TotalUnits=0,0,EN$9/TotalUnits)</f>
        <v/>
      </c>
      <c r="EO10" s="265">
        <f>IF(TotalUnits=0,0,EO$9/TotalUnits)</f>
        <v/>
      </c>
      <c r="EP10" s="265">
        <f>IF(TotalUnits=0,0,EP$9/TotalUnits)</f>
        <v/>
      </c>
      <c r="EQ10" s="265">
        <f>IF(TotalUnits=0,0,EQ$9/TotalUnits)</f>
        <v/>
      </c>
      <c r="ER10" s="265">
        <f>IF(TotalUnits=0,0,ER$9/TotalUnits)</f>
        <v/>
      </c>
      <c r="ES10" s="265">
        <f>IF(TotalUnits=0,0,ES$9/TotalUnits)</f>
        <v/>
      </c>
      <c r="ET10" s="265">
        <f>IF(TotalUnits=0,0,ET$9/TotalUnits)</f>
        <v/>
      </c>
      <c r="EU10" s="265">
        <f>IF(TotalUnits=0,0,EU$9/TotalUnits)</f>
        <v/>
      </c>
      <c r="EV10" s="265">
        <f>IF(TotalUnits=0,0,EV$9/TotalUnits)</f>
        <v/>
      </c>
      <c r="EW10" s="265">
        <f>IF(TotalUnits=0,0,EW$9/TotalUnits)</f>
        <v/>
      </c>
      <c r="EX10" s="265">
        <f>IF(TotalUnits=0,0,EX$9/TotalUnits)</f>
        <v/>
      </c>
      <c r="EY10" s="265">
        <f>IF(TotalUnits=0,0,EY$9/TotalUnits)</f>
        <v/>
      </c>
      <c r="EZ10" s="265">
        <f>IF(TotalUnits=0,0,EZ$9/TotalUnits)</f>
        <v/>
      </c>
      <c r="FA10" s="265">
        <f>IF(TotalUnits=0,0,FA$9/TotalUnits)</f>
        <v/>
      </c>
      <c r="FB10" s="265">
        <f>IF(TotalUnits=0,0,FB$9/TotalUnits)</f>
        <v/>
      </c>
      <c r="FC10" s="265">
        <f>IF(TotalUnits=0,0,FC$9/TotalUnits)</f>
        <v/>
      </c>
      <c r="FD10" s="265">
        <f>IF(TotalUnits=0,0,FD$9/TotalUnits)</f>
        <v/>
      </c>
      <c r="FE10" s="265">
        <f>IF(TotalUnits=0,0,FE$9/TotalUnits)</f>
        <v/>
      </c>
      <c r="FF10" s="265">
        <f>IF(TotalUnits=0,0,FF$9/TotalUnits)</f>
        <v/>
      </c>
      <c r="FG10" s="265">
        <f>IF(TotalUnits=0,0,FG$9/TotalUnits)</f>
        <v/>
      </c>
      <c r="FH10" s="265">
        <f>IF(TotalUnits=0,0,FH$9/TotalUnits)</f>
        <v/>
      </c>
      <c r="FI10" s="265">
        <f>IF(TotalUnits=0,0,FI$9/TotalUnits)</f>
        <v/>
      </c>
      <c r="FJ10" s="265">
        <f>IF(TotalUnits=0,0,FJ$9/TotalUnits)</f>
        <v/>
      </c>
      <c r="FK10" s="265">
        <f>IF(TotalUnits=0,0,FK$9/TotalUnits)</f>
        <v/>
      </c>
      <c r="FL10" s="265">
        <f>IF(TotalUnits=0,0,FL$9/TotalUnits)</f>
        <v/>
      </c>
      <c r="FM10" s="265">
        <f>IF(TotalUnits=0,0,FM$9/TotalUnits)</f>
        <v/>
      </c>
      <c r="FN10" s="265">
        <f>IF(TotalUnits=0,0,FN$9/TotalUnits)</f>
        <v/>
      </c>
      <c r="FO10" s="265">
        <f>IF(TotalUnits=0,0,FO$9/TotalUnits)</f>
        <v/>
      </c>
      <c r="FP10" s="265">
        <f>IF(TotalUnits=0,0,FP$9/TotalUnits)</f>
        <v/>
      </c>
      <c r="FQ10" s="265">
        <f>IF(TotalUnits=0,0,FQ$9/TotalUnits)</f>
        <v/>
      </c>
      <c r="FR10" s="265">
        <f>IF(TotalUnits=0,0,FR$9/TotalUnits)</f>
        <v/>
      </c>
      <c r="FS10" s="265">
        <f>IF(TotalUnits=0,0,FS$9/TotalUnits)</f>
        <v/>
      </c>
      <c r="FT10" s="265">
        <f>IF(TotalUnits=0,0,FT$9/TotalUnits)</f>
        <v/>
      </c>
      <c r="FU10" s="265">
        <f>IF(TotalUnits=0,0,FU$9/TotalUnits)</f>
        <v/>
      </c>
      <c r="FV10" s="265">
        <f>IF(TotalUnits=0,0,FV$9/TotalUnits)</f>
        <v/>
      </c>
      <c r="FW10" s="265">
        <f>IF(TotalUnits=0,0,FW$9/TotalUnits)</f>
        <v/>
      </c>
      <c r="FX10" s="265">
        <f>IF(TotalUnits=0,0,FX$9/TotalUnits)</f>
        <v/>
      </c>
      <c r="FY10" s="265">
        <f>IF(TotalUnits=0,0,FY$9/TotalUnits)</f>
        <v/>
      </c>
      <c r="FZ10" s="265">
        <f>IF(TotalUnits=0,0,FZ$9/TotalUnits)</f>
        <v/>
      </c>
      <c r="GA10" s="265">
        <f>IF(TotalUnits=0,0,GA$9/TotalUnits)</f>
        <v/>
      </c>
      <c r="GB10" s="265">
        <f>IF(TotalUnits=0,0,GB$9/TotalUnits)</f>
        <v/>
      </c>
      <c r="GC10" s="265">
        <f>IF(TotalUnits=0,0,GC$9/TotalUnits)</f>
        <v/>
      </c>
      <c r="GD10" s="265">
        <f>IF(TotalUnits=0,0,GD$9/TotalUnits)</f>
        <v/>
      </c>
      <c r="GE10" s="265">
        <f>IF(TotalUnits=0,0,GE$9/TotalUnits)</f>
        <v/>
      </c>
      <c r="GF10" s="265">
        <f>IF(TotalUnits=0,0,GF$9/TotalUnits)</f>
        <v/>
      </c>
      <c r="GG10" s="265">
        <f>IF(TotalUnits=0,0,GG$9/TotalUnits)</f>
        <v/>
      </c>
      <c r="GH10" s="265">
        <f>IF(TotalUnits=0,0,GH$9/TotalUnits)</f>
        <v/>
      </c>
      <c r="GI10" s="265">
        <f>IF(TotalUnits=0,0,GI$9/TotalUnits)</f>
        <v/>
      </c>
      <c r="GJ10" s="265">
        <f>IF(TotalUnits=0,0,GJ$9/TotalUnits)</f>
        <v/>
      </c>
      <c r="GK10" s="265">
        <f>IF(TotalUnits=0,0,GK$9/TotalUnits)</f>
        <v/>
      </c>
      <c r="GL10" s="265">
        <f>IF(TotalUnits=0,0,GL$9/TotalUnits)</f>
        <v/>
      </c>
      <c r="GM10" s="265">
        <f>IF(TotalUnits=0,0,GM$9/TotalUnits)</f>
        <v/>
      </c>
      <c r="GN10" s="265">
        <f>IF(TotalUnits=0,0,GN$9/TotalUnits)</f>
        <v/>
      </c>
      <c r="GO10" s="265">
        <f>IF(TotalUnits=0,0,GO$9/TotalUnits)</f>
        <v/>
      </c>
      <c r="GP10" s="265">
        <f>IF(TotalUnits=0,0,GP$9/TotalUnits)</f>
        <v/>
      </c>
      <c r="GQ10" s="265">
        <f>IF(TotalUnits=0,0,GQ$9/TotalUnits)</f>
        <v/>
      </c>
      <c r="GR10" s="265">
        <f>IF(TotalUnits=0,0,GR$9/TotalUnits)</f>
        <v/>
      </c>
      <c r="GS10" s="265">
        <f>IF(TotalUnits=0,0,GS$9/TotalUnits)</f>
        <v/>
      </c>
      <c r="GT10" s="265">
        <f>IF(TotalUnits=0,0,GT$9/TotalUnits)</f>
        <v/>
      </c>
      <c r="GU10" s="265">
        <f>IF(TotalUnits=0,0,GU$9/TotalUnits)</f>
        <v/>
      </c>
      <c r="GV10" s="265">
        <f>IF(TotalUnits=0,0,GV$9/TotalUnits)</f>
        <v/>
      </c>
      <c r="GW10" s="265">
        <f>IF(TotalUnits=0,0,GW$9/TotalUnits)</f>
        <v/>
      </c>
      <c r="GX10" s="265">
        <f>IF(TotalUnits=0,0,GX$9/TotalUnits)</f>
        <v/>
      </c>
      <c r="GY10" s="265">
        <f>IF(TotalUnits=0,0,GY$9/TotalUnits)</f>
        <v/>
      </c>
      <c r="GZ10" s="265">
        <f>IF(TotalUnits=0,0,GZ$9/TotalUnits)</f>
        <v/>
      </c>
      <c r="HA10" s="265">
        <f>IF(TotalUnits=0,0,HA$9/TotalUnits)</f>
        <v/>
      </c>
      <c r="HB10" s="265">
        <f>IF(TotalUnits=0,0,HB$9/TotalUnits)</f>
        <v/>
      </c>
      <c r="HC10" s="265">
        <f>IF(TotalUnits=0,0,HC$9/TotalUnits)</f>
        <v/>
      </c>
      <c r="HD10" s="265">
        <f>IF(TotalUnits=0,0,HD$9/TotalUnits)</f>
        <v/>
      </c>
      <c r="HE10" s="265">
        <f>IF(TotalUnits=0,0,HE$9/TotalUnits)</f>
        <v/>
      </c>
      <c r="HF10" s="265">
        <f>IF(TotalUnits=0,0,HF$9/TotalUnits)</f>
        <v/>
      </c>
      <c r="HG10" s="265">
        <f>IF(TotalUnits=0,0,HG$9/TotalUnits)</f>
        <v/>
      </c>
      <c r="HH10" s="265">
        <f>IF(TotalUnits=0,0,HH$9/TotalUnits)</f>
        <v/>
      </c>
      <c r="HI10" s="265">
        <f>IF(TotalUnits=0,0,HI$9/TotalUnits)</f>
        <v/>
      </c>
      <c r="HJ10" s="265">
        <f>IF(TotalUnits=0,0,HJ$9/TotalUnits)</f>
        <v/>
      </c>
      <c r="HK10" s="265">
        <f>IF(TotalUnits=0,0,HK$9/TotalUnits)</f>
        <v/>
      </c>
      <c r="HL10" s="265">
        <f>IF(TotalUnits=0,0,HL$9/TotalUnits)</f>
        <v/>
      </c>
      <c r="HM10" s="265">
        <f>IF(TotalUnits=0,0,HM$9/TotalUnits)</f>
        <v/>
      </c>
      <c r="HN10" s="265">
        <f>IF(TotalUnits=0,0,HN$9/TotalUnits)</f>
        <v/>
      </c>
      <c r="HO10" s="265">
        <f>IF(TotalUnits=0,0,HO$9/TotalUnits)</f>
        <v/>
      </c>
      <c r="HP10" s="265">
        <f>IF(TotalUnits=0,0,HP$9/TotalUnits)</f>
        <v/>
      </c>
      <c r="HQ10" s="265">
        <f>IF(TotalUnits=0,0,HQ$9/TotalUnits)</f>
        <v/>
      </c>
      <c r="HR10" s="265">
        <f>IF(TotalUnits=0,0,HR$9/TotalUnits)</f>
        <v/>
      </c>
      <c r="HS10" s="265">
        <f>IF(TotalUnits=0,0,HS$9/TotalUnits)</f>
        <v/>
      </c>
      <c r="HT10" s="265">
        <f>IF(TotalUnits=0,0,HT$9/TotalUnits)</f>
        <v/>
      </c>
      <c r="HU10" s="265">
        <f>IF(TotalUnits=0,0,HU$9/TotalUnits)</f>
        <v/>
      </c>
      <c r="HV10" s="265">
        <f>IF(TotalUnits=0,0,HV$9/TotalUnits)</f>
        <v/>
      </c>
      <c r="HW10" s="265">
        <f>IF(TotalUnits=0,0,HW$9/TotalUnits)</f>
        <v/>
      </c>
      <c r="HX10" s="265">
        <f>IF(TotalUnits=0,0,HX$9/TotalUnits)</f>
        <v/>
      </c>
      <c r="HY10" s="265">
        <f>IF(TotalUnits=0,0,HY$9/TotalUnits)</f>
        <v/>
      </c>
      <c r="HZ10" s="265">
        <f>IF(TotalUnits=0,0,HZ$9/TotalUnits)</f>
        <v/>
      </c>
      <c r="IA10" s="265">
        <f>IF(TotalUnits=0,0,IA$9/TotalUnits)</f>
        <v/>
      </c>
      <c r="IB10" s="265">
        <f>IF(TotalUnits=0,0,IB$9/TotalUnits)</f>
        <v/>
      </c>
      <c r="IC10" s="265">
        <f>IF(TotalUnits=0,0,IC$9/TotalUnits)</f>
        <v/>
      </c>
      <c r="ID10" s="265">
        <f>IF(TotalUnits=0,0,ID$9/TotalUnits)</f>
        <v/>
      </c>
      <c r="IE10" s="265">
        <f>IF(TotalUnits=0,0,IE$9/TotalUnits)</f>
        <v/>
      </c>
      <c r="IF10" s="265">
        <f>IF(TotalUnits=0,0,IF$9/TotalUnits)</f>
        <v/>
      </c>
      <c r="IG10" s="265">
        <f>IF(TotalUnits=0,0,IG$9/TotalUnits)</f>
        <v/>
      </c>
      <c r="IH10" s="265">
        <f>IF(TotalUnits=0,0,IH$9/TotalUnits)</f>
        <v/>
      </c>
      <c r="II10" s="265">
        <f>IF(TotalUnits=0,0,II$9/TotalUnits)</f>
        <v/>
      </c>
      <c r="IJ10" s="265">
        <f>IF(TotalUnits=0,0,IJ$9/TotalUnits)</f>
        <v/>
      </c>
      <c r="IK10" s="265">
        <f>IF(TotalUnits=0,0,IK$9/TotalUnits)</f>
        <v/>
      </c>
      <c r="IL10" s="265">
        <f>IF(TotalUnits=0,0,IL$9/TotalUnits)</f>
        <v/>
      </c>
      <c r="IM10" s="265">
        <f>IF(TotalUnits=0,0,IM$9/TotalUnits)</f>
        <v/>
      </c>
      <c r="IN10" s="265">
        <f>IF(TotalUnits=0,0,IN$9/TotalUnits)</f>
        <v/>
      </c>
      <c r="IO10" s="265">
        <f>IF(TotalUnits=0,0,IO$9/TotalUnits)</f>
        <v/>
      </c>
      <c r="IP10" s="265">
        <f>IF(TotalUnits=0,0,IP$9/TotalUnits)</f>
        <v/>
      </c>
      <c r="IQ10" s="265">
        <f>IF(TotalUnits=0,0,IQ$9/TotalUnits)</f>
        <v/>
      </c>
      <c r="IR10" s="265">
        <f>IF(TotalUnits=0,0,IR$9/TotalUnits)</f>
        <v/>
      </c>
      <c r="IS10" s="265">
        <f>IF(TotalUnits=0,0,IS$9/TotalUnits)</f>
        <v/>
      </c>
      <c r="IT10" s="265">
        <f>IF(TotalUnits=0,0,IT$9/TotalUnits)</f>
        <v/>
      </c>
      <c r="IU10" s="265">
        <f>IF(TotalUnits=0,0,IU$9/TotalUnits)</f>
        <v/>
      </c>
      <c r="IV10" s="265">
        <f>IF(TotalUnits=0,0,IV$9/TotalUnits)</f>
        <v/>
      </c>
      <c r="IW10" s="265">
        <f>IF(TotalUnits=0,0,IW$9/TotalUnits)</f>
        <v/>
      </c>
      <c r="IX10" s="265">
        <f>IF(TotalUnits=0,0,IX$9/TotalUnits)</f>
        <v/>
      </c>
      <c r="IY10" s="265">
        <f>IF(TotalUnits=0,0,IY$9/TotalUnits)</f>
        <v/>
      </c>
      <c r="IZ10" s="265">
        <f>IF(TotalUnits=0,0,IZ$9/TotalUnits)</f>
        <v/>
      </c>
      <c r="JA10" s="265">
        <f>IF(TotalUnits=0,0,JA$9/TotalUnits)</f>
        <v/>
      </c>
      <c r="JB10" s="265">
        <f>IF(TotalUnits=0,0,JB$9/TotalUnits)</f>
        <v/>
      </c>
      <c r="JC10" s="265">
        <f>IF(TotalUnits=0,0,JC$9/TotalUnits)</f>
        <v/>
      </c>
      <c r="JD10" s="265">
        <f>IF(TotalUnits=0,0,JD$9/TotalUnits)</f>
        <v/>
      </c>
      <c r="JE10" s="265">
        <f>IF(TotalUnits=0,0,JE$9/TotalUnits)</f>
        <v/>
      </c>
      <c r="JF10" s="265">
        <f>IF(TotalUnits=0,0,JF$9/TotalUnits)</f>
        <v/>
      </c>
      <c r="JG10" s="265">
        <f>IF(TotalUnits=0,0,JG$9/TotalUnits)</f>
        <v/>
      </c>
      <c r="JH10" s="265">
        <f>IF(TotalUnits=0,0,JH$9/TotalUnits)</f>
        <v/>
      </c>
      <c r="JI10" s="265">
        <f>IF(TotalUnits=0,0,JI$9/TotalUnits)</f>
        <v/>
      </c>
      <c r="JJ10" s="265">
        <f>IF(TotalUnits=0,0,JJ$9/TotalUnits)</f>
        <v/>
      </c>
      <c r="JK10" s="265">
        <f>IF(TotalUnits=0,0,JK$9/TotalUnits)</f>
        <v/>
      </c>
      <c r="JL10" s="265">
        <f>IF(TotalUnits=0,0,JL$9/TotalUnits)</f>
        <v/>
      </c>
      <c r="JM10" s="265">
        <f>IF(TotalUnits=0,0,JM$9/TotalUnits)</f>
        <v/>
      </c>
      <c r="JN10" s="265">
        <f>IF(TotalUnits=0,0,JN$9/TotalUnits)</f>
        <v/>
      </c>
      <c r="JO10" s="265">
        <f>IF(TotalUnits=0,0,JO$9/TotalUnits)</f>
        <v/>
      </c>
      <c r="JP10" s="265">
        <f>IF(TotalUnits=0,0,JP$9/TotalUnits)</f>
        <v/>
      </c>
      <c r="JQ10" s="265">
        <f>IF(TotalUnits=0,0,JQ$9/TotalUnits)</f>
        <v/>
      </c>
      <c r="JR10" s="265">
        <f>IF(TotalUnits=0,0,JR$9/TotalUnits)</f>
        <v/>
      </c>
      <c r="JS10" s="265">
        <f>IF(TotalUnits=0,0,JS$9/TotalUnits)</f>
        <v/>
      </c>
      <c r="JT10" s="265">
        <f>IF(TotalUnits=0,0,JT$9/TotalUnits)</f>
        <v/>
      </c>
      <c r="JU10" s="265">
        <f>IF(TotalUnits=0,0,JU$9/TotalUnits)</f>
        <v/>
      </c>
      <c r="JV10" s="265">
        <f>IF(TotalUnits=0,0,JV$9/TotalUnits)</f>
        <v/>
      </c>
      <c r="JW10" s="265">
        <f>IF(TotalUnits=0,0,JW$9/TotalUnits)</f>
        <v/>
      </c>
      <c r="JX10" s="265">
        <f>IF(TotalUnits=0,0,JX$9/TotalUnits)</f>
        <v/>
      </c>
      <c r="JY10" s="265">
        <f>IF(TotalUnits=0,0,JY$9/TotalUnits)</f>
        <v/>
      </c>
      <c r="JZ10" s="265">
        <f>IF(TotalUnits=0,0,JZ$9/TotalUnits)</f>
        <v/>
      </c>
      <c r="KA10" s="265">
        <f>IF(TotalUnits=0,0,KA$9/TotalUnits)</f>
        <v/>
      </c>
      <c r="KB10" s="265">
        <f>IF(TotalUnits=0,0,KB$9/TotalUnits)</f>
        <v/>
      </c>
      <c r="KC10" s="265">
        <f>IF(TotalUnits=0,0,KC$9/TotalUnits)</f>
        <v/>
      </c>
      <c r="KD10" s="265">
        <f>IF(TotalUnits=0,0,KD$9/TotalUnits)</f>
        <v/>
      </c>
      <c r="KE10" s="265">
        <f>IF(TotalUnits=0,0,KE$9/TotalUnits)</f>
        <v/>
      </c>
      <c r="KF10" s="265">
        <f>IF(TotalUnits=0,0,KF$9/TotalUnits)</f>
        <v/>
      </c>
      <c r="KG10" s="265">
        <f>IF(TotalUnits=0,0,KG$9/TotalUnits)</f>
        <v/>
      </c>
      <c r="KH10" s="265">
        <f>IF(TotalUnits=0,0,KH$9/TotalUnits)</f>
        <v/>
      </c>
      <c r="KI10" s="265">
        <f>IF(TotalUnits=0,0,KI$9/TotalUnits)</f>
        <v/>
      </c>
      <c r="KJ10" s="265">
        <f>IF(TotalUnits=0,0,KJ$9/TotalUnits)</f>
        <v/>
      </c>
      <c r="KK10" s="265">
        <f>IF(TotalUnits=0,0,KK$9/TotalUnits)</f>
        <v/>
      </c>
      <c r="KL10" s="265">
        <f>IF(TotalUnits=0,0,KL$9/TotalUnits)</f>
        <v/>
      </c>
      <c r="KM10" s="265">
        <f>IF(TotalUnits=0,0,KM$9/TotalUnits)</f>
        <v/>
      </c>
      <c r="KN10" s="265">
        <f>IF(TotalUnits=0,0,KN$9/TotalUnits)</f>
        <v/>
      </c>
      <c r="KO10" s="265">
        <f>IF(TotalUnits=0,0,KO$9/TotalUnits)</f>
        <v/>
      </c>
      <c r="KP10" s="265">
        <f>IF(TotalUnits=0,0,KP$9/TotalUnits)</f>
        <v/>
      </c>
      <c r="KQ10" s="265">
        <f>IF(TotalUnits=0,0,KQ$9/TotalUnits)</f>
        <v/>
      </c>
      <c r="KR10" s="265">
        <f>IF(TotalUnits=0,0,KR$9/TotalUnits)</f>
        <v/>
      </c>
      <c r="KS10" s="265">
        <f>IF(TotalUnits=0,0,KS$9/TotalUnits)</f>
        <v/>
      </c>
      <c r="KT10" s="265">
        <f>IF(TotalUnits=0,0,KT$9/TotalUnits)</f>
        <v/>
      </c>
      <c r="KU10" s="265">
        <f>IF(TotalUnits=0,0,KU$9/TotalUnits)</f>
        <v/>
      </c>
      <c r="KV10" s="265">
        <f>IF(TotalUnits=0,0,KV$9/TotalUnits)</f>
        <v/>
      </c>
      <c r="KW10" s="265">
        <f>IF(TotalUnits=0,0,KW$9/TotalUnits)</f>
        <v/>
      </c>
      <c r="KX10" s="265">
        <f>IF(TotalUnits=0,0,KX$9/TotalUnits)</f>
        <v/>
      </c>
      <c r="KY10" s="265">
        <f>IF(TotalUnits=0,0,KY$9/TotalUnits)</f>
        <v/>
      </c>
      <c r="KZ10" s="265">
        <f>IF(TotalUnits=0,0,KZ$9/TotalUnits)</f>
        <v/>
      </c>
      <c r="LA10" s="265">
        <f>IF(TotalUnits=0,0,LA$9/TotalUnits)</f>
        <v/>
      </c>
      <c r="LB10" s="265">
        <f>IF(TotalUnits=0,0,LB$9/TotalUnits)</f>
        <v/>
      </c>
      <c r="LC10" s="265">
        <f>IF(TotalUnits=0,0,LC$9/TotalUnits)</f>
        <v/>
      </c>
      <c r="LD10" s="265">
        <f>IF(TotalUnits=0,0,LD$9/TotalUnits)</f>
        <v/>
      </c>
      <c r="LE10" s="265">
        <f>IF(TotalUnits=0,0,LE$9/TotalUnits)</f>
        <v/>
      </c>
      <c r="LF10" s="265">
        <f>IF(TotalUnits=0,0,LF$9/TotalUnits)</f>
        <v/>
      </c>
      <c r="LG10" s="265">
        <f>IF(TotalUnits=0,0,LG$9/TotalUnits)</f>
        <v/>
      </c>
      <c r="LH10" s="265">
        <f>IF(TotalUnits=0,0,LH$9/TotalUnits)</f>
        <v/>
      </c>
      <c r="LI10" s="265">
        <f>IF(TotalUnits=0,0,LI$9/TotalUnits)</f>
        <v/>
      </c>
      <c r="LJ10" s="265">
        <f>IF(TotalUnits=0,0,LJ$9/TotalUnits)</f>
        <v/>
      </c>
      <c r="LK10" s="265">
        <f>IF(TotalUnits=0,0,LK$9/TotalUnits)</f>
        <v/>
      </c>
      <c r="LL10" s="265">
        <f>IF(TotalUnits=0,0,LL$9/TotalUnits)</f>
        <v/>
      </c>
      <c r="LM10" s="265">
        <f>IF(TotalUnits=0,0,LM$9/TotalUnits)</f>
        <v/>
      </c>
      <c r="LN10" s="265">
        <f>IF(TotalUnits=0,0,LN$9/TotalUnits)</f>
        <v/>
      </c>
      <c r="LO10" s="265">
        <f>IF(TotalUnits=0,0,LO$9/TotalUnits)</f>
        <v/>
      </c>
      <c r="LP10" s="265">
        <f>IF(TotalUnits=0,0,LP$9/TotalUnits)</f>
        <v/>
      </c>
      <c r="LQ10" s="265">
        <f>IF(TotalUnits=0,0,LQ$9/TotalUnits)</f>
        <v/>
      </c>
      <c r="LR10" s="265">
        <f>IF(TotalUnits=0,0,LR$9/TotalUnits)</f>
        <v/>
      </c>
      <c r="LS10" s="265">
        <f>IF(TotalUnits=0,0,LS$9/TotalUnits)</f>
        <v/>
      </c>
      <c r="LT10" s="265">
        <f>IF(TotalUnits=0,0,LT$9/TotalUnits)</f>
        <v/>
      </c>
      <c r="LU10" s="265">
        <f>IF(TotalUnits=0,0,LU$9/TotalUnits)</f>
        <v/>
      </c>
      <c r="LV10" s="265">
        <f>IF(TotalUnits=0,0,LV$9/TotalUnits)</f>
        <v/>
      </c>
      <c r="LW10" s="265">
        <f>IF(TotalUnits=0,0,LW$9/TotalUnits)</f>
        <v/>
      </c>
      <c r="LX10" s="265">
        <f>IF(TotalUnits=0,0,LX$9/TotalUnits)</f>
        <v/>
      </c>
      <c r="LY10" s="265">
        <f>IF(TotalUnits=0,0,LY$9/TotalUnits)</f>
        <v/>
      </c>
      <c r="LZ10" s="265">
        <f>IF(TotalUnits=0,0,LZ$9/TotalUnits)</f>
        <v/>
      </c>
      <c r="MA10" s="265">
        <f>IF(TotalUnits=0,0,MA$9/TotalUnits)</f>
        <v/>
      </c>
      <c r="MB10" s="265">
        <f>IF(TotalUnits=0,0,MB$9/TotalUnits)</f>
        <v/>
      </c>
      <c r="MC10" s="265">
        <f>IF(TotalUnits=0,0,MC$9/TotalUnits)</f>
        <v/>
      </c>
      <c r="MD10" s="265">
        <f>IF(TotalUnits=0,0,MD$9/TotalUnits)</f>
        <v/>
      </c>
      <c r="ME10" s="265">
        <f>IF(TotalUnits=0,0,ME$9/TotalUnits)</f>
        <v/>
      </c>
      <c r="MF10" s="265">
        <f>IF(TotalUnits=0,0,MF$9/TotalUnits)</f>
        <v/>
      </c>
      <c r="MG10" s="265">
        <f>IF(TotalUnits=0,0,MG$9/TotalUnits)</f>
        <v/>
      </c>
      <c r="MH10" s="265">
        <f>IF(TotalUnits=0,0,MH$9/TotalUnits)</f>
        <v/>
      </c>
      <c r="MI10" s="265">
        <f>IF(TotalUnits=0,0,MI$9/TotalUnits)</f>
        <v/>
      </c>
      <c r="MJ10" s="265">
        <f>IF(TotalUnits=0,0,MJ$9/TotalUnits)</f>
        <v/>
      </c>
      <c r="MK10" s="265">
        <f>IF(TotalUnits=0,0,MK$9/TotalUnits)</f>
        <v/>
      </c>
      <c r="ML10" s="265">
        <f>IF(TotalUnits=0,0,ML$9/TotalUnits)</f>
        <v/>
      </c>
      <c r="MM10" s="265">
        <f>IF(TotalUnits=0,0,MM$9/TotalUnits)</f>
        <v/>
      </c>
      <c r="MN10" s="265">
        <f>IF(TotalUnits=0,0,MN$9/TotalUnits)</f>
        <v/>
      </c>
      <c r="MO10" s="265">
        <f>IF(TotalUnits=0,0,MO$9/TotalUnits)</f>
        <v/>
      </c>
      <c r="MP10" s="265">
        <f>IF(TotalUnits=0,0,MP$9/TotalUnits)</f>
        <v/>
      </c>
      <c r="MQ10" s="265">
        <f>IF(TotalUnits=0,0,MQ$9/TotalUnits)</f>
        <v/>
      </c>
      <c r="MR10" s="265">
        <f>IF(TotalUnits=0,0,MR$9/TotalUnits)</f>
        <v/>
      </c>
      <c r="MS10" s="265">
        <f>IF(TotalUnits=0,0,MS$9/TotalUnits)</f>
        <v/>
      </c>
      <c r="MT10" s="265">
        <f>IF(TotalUnits=0,0,MT$9/TotalUnits)</f>
        <v/>
      </c>
      <c r="MU10" s="265">
        <f>IF(TotalUnits=0,0,MU$9/TotalUnits)</f>
        <v/>
      </c>
      <c r="MV10" s="265">
        <f>IF(TotalUnits=0,0,MV$9/TotalUnits)</f>
        <v/>
      </c>
      <c r="MW10" s="265">
        <f>IF(TotalUnits=0,0,MW$9/TotalUnits)</f>
        <v/>
      </c>
      <c r="MX10" s="265">
        <f>IF(TotalUnits=0,0,MX$9/TotalUnits)</f>
        <v/>
      </c>
      <c r="MY10" s="265">
        <f>IF(TotalUnits=0,0,MY$9/TotalUnits)</f>
        <v/>
      </c>
      <c r="MZ10" s="265">
        <f>IF(TotalUnits=0,0,MZ$9/TotalUnits)</f>
        <v/>
      </c>
      <c r="NA10" s="265">
        <f>IF(TotalUnits=0,0,NA$9/TotalUnits)</f>
        <v/>
      </c>
      <c r="NB10" s="265">
        <f>IF(TotalUnits=0,0,NB$9/TotalUnits)</f>
        <v/>
      </c>
      <c r="NC10" s="265">
        <f>IF(TotalUnits=0,0,NC$9/TotalUnits)</f>
        <v/>
      </c>
      <c r="ND10" s="265">
        <f>IF(TotalUnits=0,0,ND$9/TotalUnits)</f>
        <v/>
      </c>
      <c r="NE10" s="265">
        <f>IF(TotalUnits=0,0,NE$9/TotalUnits)</f>
        <v/>
      </c>
      <c r="NF10" s="265">
        <f>IF(TotalUnits=0,0,NF$9/TotalUnits)</f>
        <v/>
      </c>
      <c r="NG10" s="265">
        <f>IF(TotalUnits=0,0,NG$9/TotalUnits)</f>
        <v/>
      </c>
      <c r="NH10" s="265">
        <f>IF(TotalUnits=0,0,NH$9/TotalUnits)</f>
        <v/>
      </c>
      <c r="NI10" s="265">
        <f>IF(TotalUnits=0,0,NI$9/TotalUnits)</f>
        <v/>
      </c>
      <c r="NJ10" s="265">
        <f>IF(TotalUnits=0,0,NJ$9/TotalUnits)</f>
        <v/>
      </c>
      <c r="NK10" s="265">
        <f>IF(TotalUnits=0,0,NK$9/TotalUnits)</f>
        <v/>
      </c>
      <c r="NL10" s="265">
        <f>IF(TotalUnits=0,0,NL$9/TotalUnits)</f>
        <v/>
      </c>
    </row>
    <row r="12">
      <c r="B12" s="71" t="inlineStr">
        <is>
          <t>Lease-Up Reconciliation</t>
        </is>
      </c>
      <c r="C12" s="72" t="n"/>
      <c r="D12" s="80" t="n"/>
    </row>
    <row r="13">
      <c r="B13" s="36" t="inlineStr">
        <is>
          <t>Occupancy at Stabilization − target</t>
        </is>
      </c>
      <c r="C13" s="85">
        <f>INDEX(E9:NL9,StabMonth)-StabLeasedTarget</f>
        <v/>
      </c>
      <c r="D13" s="53" t="n"/>
    </row>
    <row r="14">
      <c r="B14" s="40" t="inlineStr">
        <is>
          <t>Units delivered at Stabilization</t>
        </is>
      </c>
      <c r="C14" s="152">
        <f>INDEX(E8:NL8,StabMonth)</f>
        <v/>
      </c>
      <c r="D14" s="66" t="n"/>
    </row>
  </sheetData>
  <conditionalFormatting sqref="E10:NL10">
    <cfRule type="dataBar" priority="1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7F7F7F"/>
    <outlinePr summaryBelow="1" summaryRight="1"/>
    <pageSetUpPr/>
  </sheetPr>
  <dimension ref="B1:NL77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E4" sqref="E4"/>
    </sheetView>
  </sheetViews>
  <sheetFormatPr baseColWidth="8" defaultRowHeight="15"/>
  <cols>
    <col width="3.7109375" customWidth="1" style="97" min="1" max="1"/>
    <col width="32" customWidth="1" style="97" min="2" max="2"/>
    <col width="12" customWidth="1" style="97" min="3" max="3"/>
    <col width="16" customWidth="1" style="97" min="4" max="4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Stabilized Operating Model — Monthly Proforma</t>
        </is>
      </c>
    </row>
    <row r="3">
      <c r="B3" s="112" t="inlineStr">
        <is>
          <t>Period →</t>
        </is>
      </c>
      <c r="C3" s="107" t="n"/>
      <c r="D3" s="113" t="inlineStr">
        <is>
          <t>Total</t>
        </is>
      </c>
      <c r="E3" s="126" t="n">
        <v>1</v>
      </c>
      <c r="F3" s="126" t="n">
        <v>2</v>
      </c>
      <c r="G3" s="126" t="n">
        <v>3</v>
      </c>
      <c r="H3" s="126" t="n">
        <v>4</v>
      </c>
      <c r="I3" s="126" t="n">
        <v>5</v>
      </c>
      <c r="J3" s="126" t="n">
        <v>6</v>
      </c>
      <c r="K3" s="126" t="n">
        <v>7</v>
      </c>
      <c r="L3" s="126" t="n">
        <v>8</v>
      </c>
      <c r="M3" s="126" t="n">
        <v>9</v>
      </c>
      <c r="N3" s="126" t="n">
        <v>10</v>
      </c>
      <c r="O3" s="126" t="n">
        <v>11</v>
      </c>
      <c r="P3" s="126" t="n">
        <v>12</v>
      </c>
      <c r="Q3" s="126" t="n">
        <v>13</v>
      </c>
      <c r="R3" s="126" t="n">
        <v>14</v>
      </c>
      <c r="S3" s="126" t="n">
        <v>15</v>
      </c>
      <c r="T3" s="126" t="n">
        <v>16</v>
      </c>
      <c r="U3" s="126" t="n">
        <v>17</v>
      </c>
      <c r="V3" s="126" t="n">
        <v>18</v>
      </c>
      <c r="W3" s="126" t="n">
        <v>19</v>
      </c>
      <c r="X3" s="126" t="n">
        <v>20</v>
      </c>
      <c r="Y3" s="126" t="n">
        <v>21</v>
      </c>
      <c r="Z3" s="126" t="n">
        <v>22</v>
      </c>
      <c r="AA3" s="126" t="n">
        <v>23</v>
      </c>
      <c r="AB3" s="126" t="n">
        <v>24</v>
      </c>
      <c r="AC3" s="126" t="n">
        <v>25</v>
      </c>
      <c r="AD3" s="126" t="n">
        <v>26</v>
      </c>
      <c r="AE3" s="126" t="n">
        <v>27</v>
      </c>
      <c r="AF3" s="126" t="n">
        <v>28</v>
      </c>
      <c r="AG3" s="126" t="n">
        <v>29</v>
      </c>
      <c r="AH3" s="126" t="n">
        <v>30</v>
      </c>
      <c r="AI3" s="126" t="n">
        <v>31</v>
      </c>
      <c r="AJ3" s="126" t="n">
        <v>32</v>
      </c>
      <c r="AK3" s="126" t="n">
        <v>33</v>
      </c>
      <c r="AL3" s="126" t="n">
        <v>34</v>
      </c>
      <c r="AM3" s="126" t="n">
        <v>35</v>
      </c>
      <c r="AN3" s="126" t="n">
        <v>36</v>
      </c>
      <c r="AO3" s="126" t="n">
        <v>37</v>
      </c>
      <c r="AP3" s="126" t="n">
        <v>38</v>
      </c>
      <c r="AQ3" s="126" t="n">
        <v>39</v>
      </c>
      <c r="AR3" s="126" t="n">
        <v>40</v>
      </c>
      <c r="AS3" s="126" t="n">
        <v>41</v>
      </c>
      <c r="AT3" s="126" t="n">
        <v>42</v>
      </c>
      <c r="AU3" s="126" t="n">
        <v>43</v>
      </c>
      <c r="AV3" s="126" t="n">
        <v>44</v>
      </c>
      <c r="AW3" s="126" t="n">
        <v>45</v>
      </c>
      <c r="AX3" s="126" t="n">
        <v>46</v>
      </c>
      <c r="AY3" s="126" t="n">
        <v>47</v>
      </c>
      <c r="AZ3" s="126" t="n">
        <v>48</v>
      </c>
      <c r="BA3" s="126" t="n">
        <v>49</v>
      </c>
      <c r="BB3" s="126" t="n">
        <v>50</v>
      </c>
      <c r="BC3" s="126" t="n">
        <v>51</v>
      </c>
      <c r="BD3" s="126" t="n">
        <v>52</v>
      </c>
      <c r="BE3" s="126" t="n">
        <v>53</v>
      </c>
      <c r="BF3" s="126" t="n">
        <v>54</v>
      </c>
      <c r="BG3" s="126" t="n">
        <v>55</v>
      </c>
      <c r="BH3" s="126" t="n">
        <v>56</v>
      </c>
      <c r="BI3" s="126" t="n">
        <v>57</v>
      </c>
      <c r="BJ3" s="126" t="n">
        <v>58</v>
      </c>
      <c r="BK3" s="126" t="n">
        <v>59</v>
      </c>
      <c r="BL3" s="126" t="n">
        <v>60</v>
      </c>
      <c r="BM3" s="126" t="n">
        <v>61</v>
      </c>
      <c r="BN3" s="126" t="n">
        <v>62</v>
      </c>
      <c r="BO3" s="126" t="n">
        <v>63</v>
      </c>
      <c r="BP3" s="126" t="n">
        <v>64</v>
      </c>
      <c r="BQ3" s="126" t="n">
        <v>65</v>
      </c>
      <c r="BR3" s="126" t="n">
        <v>66</v>
      </c>
      <c r="BS3" s="126" t="n">
        <v>67</v>
      </c>
      <c r="BT3" s="126" t="n">
        <v>68</v>
      </c>
      <c r="BU3" s="126" t="n">
        <v>69</v>
      </c>
      <c r="BV3" s="126" t="n">
        <v>70</v>
      </c>
      <c r="BW3" s="126" t="n">
        <v>71</v>
      </c>
      <c r="BX3" s="126" t="n">
        <v>72</v>
      </c>
      <c r="BY3" s="126" t="n">
        <v>73</v>
      </c>
      <c r="BZ3" s="126" t="n">
        <v>74</v>
      </c>
      <c r="CA3" s="126" t="n">
        <v>75</v>
      </c>
      <c r="CB3" s="126" t="n">
        <v>76</v>
      </c>
      <c r="CC3" s="126" t="n">
        <v>77</v>
      </c>
      <c r="CD3" s="126" t="n">
        <v>78</v>
      </c>
      <c r="CE3" s="126" t="n">
        <v>79</v>
      </c>
      <c r="CF3" s="126" t="n">
        <v>80</v>
      </c>
      <c r="CG3" s="126" t="n">
        <v>81</v>
      </c>
      <c r="CH3" s="126" t="n">
        <v>82</v>
      </c>
      <c r="CI3" s="126" t="n">
        <v>83</v>
      </c>
      <c r="CJ3" s="126" t="n">
        <v>84</v>
      </c>
      <c r="CK3" s="126" t="n">
        <v>85</v>
      </c>
      <c r="CL3" s="126" t="n">
        <v>86</v>
      </c>
      <c r="CM3" s="126" t="n">
        <v>87</v>
      </c>
      <c r="CN3" s="126" t="n">
        <v>88</v>
      </c>
      <c r="CO3" s="126" t="n">
        <v>89</v>
      </c>
      <c r="CP3" s="126" t="n">
        <v>90</v>
      </c>
      <c r="CQ3" s="126" t="n">
        <v>91</v>
      </c>
      <c r="CR3" s="126" t="n">
        <v>92</v>
      </c>
      <c r="CS3" s="126" t="n">
        <v>93</v>
      </c>
      <c r="CT3" s="126" t="n">
        <v>94</v>
      </c>
      <c r="CU3" s="126" t="n">
        <v>95</v>
      </c>
      <c r="CV3" s="126" t="n">
        <v>96</v>
      </c>
      <c r="CW3" s="126" t="n">
        <v>97</v>
      </c>
      <c r="CX3" s="126" t="n">
        <v>98</v>
      </c>
      <c r="CY3" s="126" t="n">
        <v>99</v>
      </c>
      <c r="CZ3" s="126" t="n">
        <v>100</v>
      </c>
      <c r="DA3" s="126" t="n">
        <v>101</v>
      </c>
      <c r="DB3" s="126" t="n">
        <v>102</v>
      </c>
      <c r="DC3" s="126" t="n">
        <v>103</v>
      </c>
      <c r="DD3" s="126" t="n">
        <v>104</v>
      </c>
      <c r="DE3" s="126" t="n">
        <v>105</v>
      </c>
      <c r="DF3" s="126" t="n">
        <v>106</v>
      </c>
      <c r="DG3" s="126" t="n">
        <v>107</v>
      </c>
      <c r="DH3" s="126" t="n">
        <v>108</v>
      </c>
      <c r="DI3" s="126" t="n">
        <v>109</v>
      </c>
      <c r="DJ3" s="126" t="n">
        <v>110</v>
      </c>
      <c r="DK3" s="126" t="n">
        <v>111</v>
      </c>
      <c r="DL3" s="126" t="n">
        <v>112</v>
      </c>
      <c r="DM3" s="126" t="n">
        <v>113</v>
      </c>
      <c r="DN3" s="126" t="n">
        <v>114</v>
      </c>
      <c r="DO3" s="126" t="n">
        <v>115</v>
      </c>
      <c r="DP3" s="126" t="n">
        <v>116</v>
      </c>
      <c r="DQ3" s="126" t="n">
        <v>117</v>
      </c>
      <c r="DR3" s="126" t="n">
        <v>118</v>
      </c>
      <c r="DS3" s="126" t="n">
        <v>119</v>
      </c>
      <c r="DT3" s="126" t="n">
        <v>120</v>
      </c>
      <c r="DU3" s="126" t="n">
        <v>121</v>
      </c>
      <c r="DV3" s="126" t="n">
        <v>122</v>
      </c>
      <c r="DW3" s="126" t="n">
        <v>123</v>
      </c>
      <c r="DX3" s="126" t="n">
        <v>124</v>
      </c>
      <c r="DY3" s="126" t="n">
        <v>125</v>
      </c>
      <c r="DZ3" s="126" t="n">
        <v>126</v>
      </c>
      <c r="EA3" s="126" t="n">
        <v>127</v>
      </c>
      <c r="EB3" s="126" t="n">
        <v>128</v>
      </c>
      <c r="EC3" s="126" t="n">
        <v>129</v>
      </c>
      <c r="ED3" s="126" t="n">
        <v>130</v>
      </c>
      <c r="EE3" s="126" t="n">
        <v>131</v>
      </c>
      <c r="EF3" s="126" t="n">
        <v>132</v>
      </c>
      <c r="EG3" s="126" t="n">
        <v>133</v>
      </c>
      <c r="EH3" s="126" t="n">
        <v>134</v>
      </c>
      <c r="EI3" s="126" t="n">
        <v>135</v>
      </c>
      <c r="EJ3" s="126" t="n">
        <v>136</v>
      </c>
      <c r="EK3" s="126" t="n">
        <v>137</v>
      </c>
      <c r="EL3" s="126" t="n">
        <v>138</v>
      </c>
      <c r="EM3" s="126" t="n">
        <v>139</v>
      </c>
      <c r="EN3" s="126" t="n">
        <v>140</v>
      </c>
      <c r="EO3" s="126" t="n">
        <v>141</v>
      </c>
      <c r="EP3" s="126" t="n">
        <v>142</v>
      </c>
      <c r="EQ3" s="126" t="n">
        <v>143</v>
      </c>
      <c r="ER3" s="126" t="n">
        <v>144</v>
      </c>
      <c r="ES3" s="126" t="n">
        <v>145</v>
      </c>
      <c r="ET3" s="126" t="n">
        <v>146</v>
      </c>
      <c r="EU3" s="126" t="n">
        <v>147</v>
      </c>
      <c r="EV3" s="126" t="n">
        <v>148</v>
      </c>
      <c r="EW3" s="126" t="n">
        <v>149</v>
      </c>
      <c r="EX3" s="126" t="n">
        <v>150</v>
      </c>
      <c r="EY3" s="126" t="n">
        <v>151</v>
      </c>
      <c r="EZ3" s="126" t="n">
        <v>152</v>
      </c>
      <c r="FA3" s="126" t="n">
        <v>153</v>
      </c>
      <c r="FB3" s="126" t="n">
        <v>154</v>
      </c>
      <c r="FC3" s="126" t="n">
        <v>155</v>
      </c>
      <c r="FD3" s="126" t="n">
        <v>156</v>
      </c>
      <c r="FE3" s="126" t="n">
        <v>157</v>
      </c>
      <c r="FF3" s="126" t="n">
        <v>158</v>
      </c>
      <c r="FG3" s="126" t="n">
        <v>159</v>
      </c>
      <c r="FH3" s="126" t="n">
        <v>160</v>
      </c>
      <c r="FI3" s="126" t="n">
        <v>161</v>
      </c>
      <c r="FJ3" s="126" t="n">
        <v>162</v>
      </c>
      <c r="FK3" s="126" t="n">
        <v>163</v>
      </c>
      <c r="FL3" s="126" t="n">
        <v>164</v>
      </c>
      <c r="FM3" s="126" t="n">
        <v>165</v>
      </c>
      <c r="FN3" s="126" t="n">
        <v>166</v>
      </c>
      <c r="FO3" s="126" t="n">
        <v>167</v>
      </c>
      <c r="FP3" s="126" t="n">
        <v>168</v>
      </c>
      <c r="FQ3" s="126" t="n">
        <v>169</v>
      </c>
      <c r="FR3" s="126" t="n">
        <v>170</v>
      </c>
      <c r="FS3" s="126" t="n">
        <v>171</v>
      </c>
      <c r="FT3" s="126" t="n">
        <v>172</v>
      </c>
      <c r="FU3" s="126" t="n">
        <v>173</v>
      </c>
      <c r="FV3" s="126" t="n">
        <v>174</v>
      </c>
      <c r="FW3" s="126" t="n">
        <v>175</v>
      </c>
      <c r="FX3" s="126" t="n">
        <v>176</v>
      </c>
      <c r="FY3" s="126" t="n">
        <v>177</v>
      </c>
      <c r="FZ3" s="126" t="n">
        <v>178</v>
      </c>
      <c r="GA3" s="126" t="n">
        <v>179</v>
      </c>
      <c r="GB3" s="126" t="n">
        <v>180</v>
      </c>
      <c r="GC3" s="126" t="n">
        <v>181</v>
      </c>
      <c r="GD3" s="126" t="n">
        <v>182</v>
      </c>
      <c r="GE3" s="126" t="n">
        <v>183</v>
      </c>
      <c r="GF3" s="126" t="n">
        <v>184</v>
      </c>
      <c r="GG3" s="126" t="n">
        <v>185</v>
      </c>
      <c r="GH3" s="126" t="n">
        <v>186</v>
      </c>
      <c r="GI3" s="126" t="n">
        <v>187</v>
      </c>
      <c r="GJ3" s="126" t="n">
        <v>188</v>
      </c>
      <c r="GK3" s="126" t="n">
        <v>189</v>
      </c>
      <c r="GL3" s="126" t="n">
        <v>190</v>
      </c>
      <c r="GM3" s="126" t="n">
        <v>191</v>
      </c>
      <c r="GN3" s="126" t="n">
        <v>192</v>
      </c>
      <c r="GO3" s="126" t="n">
        <v>193</v>
      </c>
      <c r="GP3" s="126" t="n">
        <v>194</v>
      </c>
      <c r="GQ3" s="126" t="n">
        <v>195</v>
      </c>
      <c r="GR3" s="126" t="n">
        <v>196</v>
      </c>
      <c r="GS3" s="126" t="n">
        <v>197</v>
      </c>
      <c r="GT3" s="126" t="n">
        <v>198</v>
      </c>
      <c r="GU3" s="126" t="n">
        <v>199</v>
      </c>
      <c r="GV3" s="126" t="n">
        <v>200</v>
      </c>
      <c r="GW3" s="126" t="n">
        <v>201</v>
      </c>
      <c r="GX3" s="126" t="n">
        <v>202</v>
      </c>
      <c r="GY3" s="126" t="n">
        <v>203</v>
      </c>
      <c r="GZ3" s="126" t="n">
        <v>204</v>
      </c>
      <c r="HA3" s="126" t="n">
        <v>205</v>
      </c>
      <c r="HB3" s="126" t="n">
        <v>206</v>
      </c>
      <c r="HC3" s="126" t="n">
        <v>207</v>
      </c>
      <c r="HD3" s="126" t="n">
        <v>208</v>
      </c>
      <c r="HE3" s="126" t="n">
        <v>209</v>
      </c>
      <c r="HF3" s="126" t="n">
        <v>210</v>
      </c>
      <c r="HG3" s="126" t="n">
        <v>211</v>
      </c>
      <c r="HH3" s="126" t="n">
        <v>212</v>
      </c>
      <c r="HI3" s="126" t="n">
        <v>213</v>
      </c>
      <c r="HJ3" s="126" t="n">
        <v>214</v>
      </c>
      <c r="HK3" s="126" t="n">
        <v>215</v>
      </c>
      <c r="HL3" s="126" t="n">
        <v>216</v>
      </c>
      <c r="HM3" s="126" t="n">
        <v>217</v>
      </c>
      <c r="HN3" s="126" t="n">
        <v>218</v>
      </c>
      <c r="HO3" s="126" t="n">
        <v>219</v>
      </c>
      <c r="HP3" s="126" t="n">
        <v>220</v>
      </c>
      <c r="HQ3" s="126" t="n">
        <v>221</v>
      </c>
      <c r="HR3" s="126" t="n">
        <v>222</v>
      </c>
      <c r="HS3" s="126" t="n">
        <v>223</v>
      </c>
      <c r="HT3" s="126" t="n">
        <v>224</v>
      </c>
      <c r="HU3" s="126" t="n">
        <v>225</v>
      </c>
      <c r="HV3" s="126" t="n">
        <v>226</v>
      </c>
      <c r="HW3" s="126" t="n">
        <v>227</v>
      </c>
      <c r="HX3" s="126" t="n">
        <v>228</v>
      </c>
      <c r="HY3" s="126" t="n">
        <v>229</v>
      </c>
      <c r="HZ3" s="126" t="n">
        <v>230</v>
      </c>
      <c r="IA3" s="126" t="n">
        <v>231</v>
      </c>
      <c r="IB3" s="126" t="n">
        <v>232</v>
      </c>
      <c r="IC3" s="126" t="n">
        <v>233</v>
      </c>
      <c r="ID3" s="126" t="n">
        <v>234</v>
      </c>
      <c r="IE3" s="126" t="n">
        <v>235</v>
      </c>
      <c r="IF3" s="126" t="n">
        <v>236</v>
      </c>
      <c r="IG3" s="126" t="n">
        <v>237</v>
      </c>
      <c r="IH3" s="126" t="n">
        <v>238</v>
      </c>
      <c r="II3" s="126" t="n">
        <v>239</v>
      </c>
      <c r="IJ3" s="126" t="n">
        <v>240</v>
      </c>
      <c r="IK3" s="126" t="n">
        <v>241</v>
      </c>
      <c r="IL3" s="126" t="n">
        <v>242</v>
      </c>
      <c r="IM3" s="126" t="n">
        <v>243</v>
      </c>
      <c r="IN3" s="126" t="n">
        <v>244</v>
      </c>
      <c r="IO3" s="126" t="n">
        <v>245</v>
      </c>
      <c r="IP3" s="126" t="n">
        <v>246</v>
      </c>
      <c r="IQ3" s="126" t="n">
        <v>247</v>
      </c>
      <c r="IR3" s="126" t="n">
        <v>248</v>
      </c>
      <c r="IS3" s="126" t="n">
        <v>249</v>
      </c>
      <c r="IT3" s="126" t="n">
        <v>250</v>
      </c>
      <c r="IU3" s="126" t="n">
        <v>251</v>
      </c>
      <c r="IV3" s="126" t="n">
        <v>252</v>
      </c>
      <c r="IW3" s="126" t="n">
        <v>253</v>
      </c>
      <c r="IX3" s="126" t="n">
        <v>254</v>
      </c>
      <c r="IY3" s="126" t="n">
        <v>255</v>
      </c>
      <c r="IZ3" s="126" t="n">
        <v>256</v>
      </c>
      <c r="JA3" s="126" t="n">
        <v>257</v>
      </c>
      <c r="JB3" s="126" t="n">
        <v>258</v>
      </c>
      <c r="JC3" s="126" t="n">
        <v>259</v>
      </c>
      <c r="JD3" s="126" t="n">
        <v>260</v>
      </c>
      <c r="JE3" s="126" t="n">
        <v>261</v>
      </c>
      <c r="JF3" s="126" t="n">
        <v>262</v>
      </c>
      <c r="JG3" s="126" t="n">
        <v>263</v>
      </c>
      <c r="JH3" s="126" t="n">
        <v>264</v>
      </c>
      <c r="JI3" s="126" t="n">
        <v>265</v>
      </c>
      <c r="JJ3" s="126" t="n">
        <v>266</v>
      </c>
      <c r="JK3" s="126" t="n">
        <v>267</v>
      </c>
      <c r="JL3" s="126" t="n">
        <v>268</v>
      </c>
      <c r="JM3" s="126" t="n">
        <v>269</v>
      </c>
      <c r="JN3" s="126" t="n">
        <v>270</v>
      </c>
      <c r="JO3" s="126" t="n">
        <v>271</v>
      </c>
      <c r="JP3" s="126" t="n">
        <v>272</v>
      </c>
      <c r="JQ3" s="126" t="n">
        <v>273</v>
      </c>
      <c r="JR3" s="126" t="n">
        <v>274</v>
      </c>
      <c r="JS3" s="126" t="n">
        <v>275</v>
      </c>
      <c r="JT3" s="126" t="n">
        <v>276</v>
      </c>
      <c r="JU3" s="126" t="n">
        <v>277</v>
      </c>
      <c r="JV3" s="126" t="n">
        <v>278</v>
      </c>
      <c r="JW3" s="126" t="n">
        <v>279</v>
      </c>
      <c r="JX3" s="126" t="n">
        <v>280</v>
      </c>
      <c r="JY3" s="126" t="n">
        <v>281</v>
      </c>
      <c r="JZ3" s="126" t="n">
        <v>282</v>
      </c>
      <c r="KA3" s="126" t="n">
        <v>283</v>
      </c>
      <c r="KB3" s="126" t="n">
        <v>284</v>
      </c>
      <c r="KC3" s="126" t="n">
        <v>285</v>
      </c>
      <c r="KD3" s="126" t="n">
        <v>286</v>
      </c>
      <c r="KE3" s="126" t="n">
        <v>287</v>
      </c>
      <c r="KF3" s="126" t="n">
        <v>288</v>
      </c>
      <c r="KG3" s="126" t="n">
        <v>289</v>
      </c>
      <c r="KH3" s="126" t="n">
        <v>290</v>
      </c>
      <c r="KI3" s="126" t="n">
        <v>291</v>
      </c>
      <c r="KJ3" s="126" t="n">
        <v>292</v>
      </c>
      <c r="KK3" s="126" t="n">
        <v>293</v>
      </c>
      <c r="KL3" s="126" t="n">
        <v>294</v>
      </c>
      <c r="KM3" s="126" t="n">
        <v>295</v>
      </c>
      <c r="KN3" s="126" t="n">
        <v>296</v>
      </c>
      <c r="KO3" s="126" t="n">
        <v>297</v>
      </c>
      <c r="KP3" s="126" t="n">
        <v>298</v>
      </c>
      <c r="KQ3" s="126" t="n">
        <v>299</v>
      </c>
      <c r="KR3" s="126" t="n">
        <v>300</v>
      </c>
      <c r="KS3" s="126" t="n">
        <v>301</v>
      </c>
      <c r="KT3" s="126" t="n">
        <v>302</v>
      </c>
      <c r="KU3" s="126" t="n">
        <v>303</v>
      </c>
      <c r="KV3" s="126" t="n">
        <v>304</v>
      </c>
      <c r="KW3" s="126" t="n">
        <v>305</v>
      </c>
      <c r="KX3" s="126" t="n">
        <v>306</v>
      </c>
      <c r="KY3" s="126" t="n">
        <v>307</v>
      </c>
      <c r="KZ3" s="126" t="n">
        <v>308</v>
      </c>
      <c r="LA3" s="126" t="n">
        <v>309</v>
      </c>
      <c r="LB3" s="126" t="n">
        <v>310</v>
      </c>
      <c r="LC3" s="126" t="n">
        <v>311</v>
      </c>
      <c r="LD3" s="126" t="n">
        <v>312</v>
      </c>
      <c r="LE3" s="126" t="n">
        <v>313</v>
      </c>
      <c r="LF3" s="126" t="n">
        <v>314</v>
      </c>
      <c r="LG3" s="126" t="n">
        <v>315</v>
      </c>
      <c r="LH3" s="126" t="n">
        <v>316</v>
      </c>
      <c r="LI3" s="126" t="n">
        <v>317</v>
      </c>
      <c r="LJ3" s="126" t="n">
        <v>318</v>
      </c>
      <c r="LK3" s="126" t="n">
        <v>319</v>
      </c>
      <c r="LL3" s="126" t="n">
        <v>320</v>
      </c>
      <c r="LM3" s="126" t="n">
        <v>321</v>
      </c>
      <c r="LN3" s="126" t="n">
        <v>322</v>
      </c>
      <c r="LO3" s="126" t="n">
        <v>323</v>
      </c>
      <c r="LP3" s="126" t="n">
        <v>324</v>
      </c>
      <c r="LQ3" s="126" t="n">
        <v>325</v>
      </c>
      <c r="LR3" s="126" t="n">
        <v>326</v>
      </c>
      <c r="LS3" s="126" t="n">
        <v>327</v>
      </c>
      <c r="LT3" s="126" t="n">
        <v>328</v>
      </c>
      <c r="LU3" s="126" t="n">
        <v>329</v>
      </c>
      <c r="LV3" s="126" t="n">
        <v>330</v>
      </c>
      <c r="LW3" s="126" t="n">
        <v>331</v>
      </c>
      <c r="LX3" s="126" t="n">
        <v>332</v>
      </c>
      <c r="LY3" s="126" t="n">
        <v>333</v>
      </c>
      <c r="LZ3" s="126" t="n">
        <v>334</v>
      </c>
      <c r="MA3" s="126" t="n">
        <v>335</v>
      </c>
      <c r="MB3" s="126" t="n">
        <v>336</v>
      </c>
      <c r="MC3" s="126" t="n">
        <v>337</v>
      </c>
      <c r="MD3" s="126" t="n">
        <v>338</v>
      </c>
      <c r="ME3" s="126" t="n">
        <v>339</v>
      </c>
      <c r="MF3" s="126" t="n">
        <v>340</v>
      </c>
      <c r="MG3" s="126" t="n">
        <v>341</v>
      </c>
      <c r="MH3" s="126" t="n">
        <v>342</v>
      </c>
      <c r="MI3" s="126" t="n">
        <v>343</v>
      </c>
      <c r="MJ3" s="126" t="n">
        <v>344</v>
      </c>
      <c r="MK3" s="126" t="n">
        <v>345</v>
      </c>
      <c r="ML3" s="126" t="n">
        <v>346</v>
      </c>
      <c r="MM3" s="126" t="n">
        <v>347</v>
      </c>
      <c r="MN3" s="126" t="n">
        <v>348</v>
      </c>
      <c r="MO3" s="126" t="n">
        <v>349</v>
      </c>
      <c r="MP3" s="126" t="n">
        <v>350</v>
      </c>
      <c r="MQ3" s="126" t="n">
        <v>351</v>
      </c>
      <c r="MR3" s="126" t="n">
        <v>352</v>
      </c>
      <c r="MS3" s="126" t="n">
        <v>353</v>
      </c>
      <c r="MT3" s="126" t="n">
        <v>354</v>
      </c>
      <c r="MU3" s="126" t="n">
        <v>355</v>
      </c>
      <c r="MV3" s="126" t="n">
        <v>356</v>
      </c>
      <c r="MW3" s="126" t="n">
        <v>357</v>
      </c>
      <c r="MX3" s="126" t="n">
        <v>358</v>
      </c>
      <c r="MY3" s="126" t="n">
        <v>359</v>
      </c>
      <c r="MZ3" s="126" t="n">
        <v>360</v>
      </c>
      <c r="NA3" s="126" t="n">
        <v>361</v>
      </c>
      <c r="NB3" s="126" t="n">
        <v>362</v>
      </c>
      <c r="NC3" s="126" t="n">
        <v>363</v>
      </c>
      <c r="ND3" s="126" t="n">
        <v>364</v>
      </c>
      <c r="NE3" s="126" t="n">
        <v>365</v>
      </c>
      <c r="NF3" s="126" t="n">
        <v>366</v>
      </c>
      <c r="NG3" s="126" t="n">
        <v>367</v>
      </c>
      <c r="NH3" s="126" t="n">
        <v>368</v>
      </c>
      <c r="NI3" s="126" t="n">
        <v>369</v>
      </c>
      <c r="NJ3" s="126" t="n">
        <v>370</v>
      </c>
      <c r="NK3" s="126" t="n">
        <v>371</v>
      </c>
      <c r="NL3" s="127" t="n">
        <v>372</v>
      </c>
    </row>
    <row r="4">
      <c r="B4" s="123" t="inlineStr">
        <is>
          <t>Month Start</t>
        </is>
      </c>
      <c r="E4" s="128">
        <f>EDATE(InceptionDate,0)</f>
        <v/>
      </c>
      <c r="F4" s="128">
        <f>EDATE(InceptionDate,1)</f>
        <v/>
      </c>
      <c r="G4" s="128">
        <f>EDATE(InceptionDate,2)</f>
        <v/>
      </c>
      <c r="H4" s="128">
        <f>EDATE(InceptionDate,3)</f>
        <v/>
      </c>
      <c r="I4" s="128">
        <f>EDATE(InceptionDate,4)</f>
        <v/>
      </c>
      <c r="J4" s="128">
        <f>EDATE(InceptionDate,5)</f>
        <v/>
      </c>
      <c r="K4" s="128">
        <f>EDATE(InceptionDate,6)</f>
        <v/>
      </c>
      <c r="L4" s="128">
        <f>EDATE(InceptionDate,7)</f>
        <v/>
      </c>
      <c r="M4" s="128">
        <f>EDATE(InceptionDate,8)</f>
        <v/>
      </c>
      <c r="N4" s="128">
        <f>EDATE(InceptionDate,9)</f>
        <v/>
      </c>
      <c r="O4" s="128">
        <f>EDATE(InceptionDate,10)</f>
        <v/>
      </c>
      <c r="P4" s="128">
        <f>EDATE(InceptionDate,11)</f>
        <v/>
      </c>
      <c r="Q4" s="128">
        <f>EDATE(InceptionDate,12)</f>
        <v/>
      </c>
      <c r="R4" s="128">
        <f>EDATE(InceptionDate,13)</f>
        <v/>
      </c>
      <c r="S4" s="128">
        <f>EDATE(InceptionDate,14)</f>
        <v/>
      </c>
      <c r="T4" s="128">
        <f>EDATE(InceptionDate,15)</f>
        <v/>
      </c>
      <c r="U4" s="128">
        <f>EDATE(InceptionDate,16)</f>
        <v/>
      </c>
      <c r="V4" s="128">
        <f>EDATE(InceptionDate,17)</f>
        <v/>
      </c>
      <c r="W4" s="128">
        <f>EDATE(InceptionDate,18)</f>
        <v/>
      </c>
      <c r="X4" s="128">
        <f>EDATE(InceptionDate,19)</f>
        <v/>
      </c>
      <c r="Y4" s="128">
        <f>EDATE(InceptionDate,20)</f>
        <v/>
      </c>
      <c r="Z4" s="128">
        <f>EDATE(InceptionDate,21)</f>
        <v/>
      </c>
      <c r="AA4" s="128">
        <f>EDATE(InceptionDate,22)</f>
        <v/>
      </c>
      <c r="AB4" s="128">
        <f>EDATE(InceptionDate,23)</f>
        <v/>
      </c>
      <c r="AC4" s="128">
        <f>EDATE(InceptionDate,24)</f>
        <v/>
      </c>
      <c r="AD4" s="128">
        <f>EDATE(InceptionDate,25)</f>
        <v/>
      </c>
      <c r="AE4" s="128">
        <f>EDATE(InceptionDate,26)</f>
        <v/>
      </c>
      <c r="AF4" s="128">
        <f>EDATE(InceptionDate,27)</f>
        <v/>
      </c>
      <c r="AG4" s="128">
        <f>EDATE(InceptionDate,28)</f>
        <v/>
      </c>
      <c r="AH4" s="128">
        <f>EDATE(InceptionDate,29)</f>
        <v/>
      </c>
      <c r="AI4" s="128">
        <f>EDATE(InceptionDate,30)</f>
        <v/>
      </c>
      <c r="AJ4" s="128">
        <f>EDATE(InceptionDate,31)</f>
        <v/>
      </c>
      <c r="AK4" s="128">
        <f>EDATE(InceptionDate,32)</f>
        <v/>
      </c>
      <c r="AL4" s="128">
        <f>EDATE(InceptionDate,33)</f>
        <v/>
      </c>
      <c r="AM4" s="128">
        <f>EDATE(InceptionDate,34)</f>
        <v/>
      </c>
      <c r="AN4" s="128">
        <f>EDATE(InceptionDate,35)</f>
        <v/>
      </c>
      <c r="AO4" s="128">
        <f>EDATE(InceptionDate,36)</f>
        <v/>
      </c>
      <c r="AP4" s="128">
        <f>EDATE(InceptionDate,37)</f>
        <v/>
      </c>
      <c r="AQ4" s="128">
        <f>EDATE(InceptionDate,38)</f>
        <v/>
      </c>
      <c r="AR4" s="128">
        <f>EDATE(InceptionDate,39)</f>
        <v/>
      </c>
      <c r="AS4" s="128">
        <f>EDATE(InceptionDate,40)</f>
        <v/>
      </c>
      <c r="AT4" s="128">
        <f>EDATE(InceptionDate,41)</f>
        <v/>
      </c>
      <c r="AU4" s="128">
        <f>EDATE(InceptionDate,42)</f>
        <v/>
      </c>
      <c r="AV4" s="128">
        <f>EDATE(InceptionDate,43)</f>
        <v/>
      </c>
      <c r="AW4" s="128">
        <f>EDATE(InceptionDate,44)</f>
        <v/>
      </c>
      <c r="AX4" s="128">
        <f>EDATE(InceptionDate,45)</f>
        <v/>
      </c>
      <c r="AY4" s="128">
        <f>EDATE(InceptionDate,46)</f>
        <v/>
      </c>
      <c r="AZ4" s="128">
        <f>EDATE(InceptionDate,47)</f>
        <v/>
      </c>
      <c r="BA4" s="128">
        <f>EDATE(InceptionDate,48)</f>
        <v/>
      </c>
      <c r="BB4" s="128">
        <f>EDATE(InceptionDate,49)</f>
        <v/>
      </c>
      <c r="BC4" s="128">
        <f>EDATE(InceptionDate,50)</f>
        <v/>
      </c>
      <c r="BD4" s="128">
        <f>EDATE(InceptionDate,51)</f>
        <v/>
      </c>
      <c r="BE4" s="128">
        <f>EDATE(InceptionDate,52)</f>
        <v/>
      </c>
      <c r="BF4" s="128">
        <f>EDATE(InceptionDate,53)</f>
        <v/>
      </c>
      <c r="BG4" s="128">
        <f>EDATE(InceptionDate,54)</f>
        <v/>
      </c>
      <c r="BH4" s="128">
        <f>EDATE(InceptionDate,55)</f>
        <v/>
      </c>
      <c r="BI4" s="128">
        <f>EDATE(InceptionDate,56)</f>
        <v/>
      </c>
      <c r="BJ4" s="128">
        <f>EDATE(InceptionDate,57)</f>
        <v/>
      </c>
      <c r="BK4" s="128">
        <f>EDATE(InceptionDate,58)</f>
        <v/>
      </c>
      <c r="BL4" s="128">
        <f>EDATE(InceptionDate,59)</f>
        <v/>
      </c>
      <c r="BM4" s="128">
        <f>EDATE(InceptionDate,60)</f>
        <v/>
      </c>
      <c r="BN4" s="128">
        <f>EDATE(InceptionDate,61)</f>
        <v/>
      </c>
      <c r="BO4" s="128">
        <f>EDATE(InceptionDate,62)</f>
        <v/>
      </c>
      <c r="BP4" s="128">
        <f>EDATE(InceptionDate,63)</f>
        <v/>
      </c>
      <c r="BQ4" s="128">
        <f>EDATE(InceptionDate,64)</f>
        <v/>
      </c>
      <c r="BR4" s="128">
        <f>EDATE(InceptionDate,65)</f>
        <v/>
      </c>
      <c r="BS4" s="128">
        <f>EDATE(InceptionDate,66)</f>
        <v/>
      </c>
      <c r="BT4" s="128">
        <f>EDATE(InceptionDate,67)</f>
        <v/>
      </c>
      <c r="BU4" s="128">
        <f>EDATE(InceptionDate,68)</f>
        <v/>
      </c>
      <c r="BV4" s="128">
        <f>EDATE(InceptionDate,69)</f>
        <v/>
      </c>
      <c r="BW4" s="128">
        <f>EDATE(InceptionDate,70)</f>
        <v/>
      </c>
      <c r="BX4" s="128">
        <f>EDATE(InceptionDate,71)</f>
        <v/>
      </c>
      <c r="BY4" s="128">
        <f>EDATE(InceptionDate,72)</f>
        <v/>
      </c>
      <c r="BZ4" s="128">
        <f>EDATE(InceptionDate,73)</f>
        <v/>
      </c>
      <c r="CA4" s="128">
        <f>EDATE(InceptionDate,74)</f>
        <v/>
      </c>
      <c r="CB4" s="128">
        <f>EDATE(InceptionDate,75)</f>
        <v/>
      </c>
      <c r="CC4" s="128">
        <f>EDATE(InceptionDate,76)</f>
        <v/>
      </c>
      <c r="CD4" s="128">
        <f>EDATE(InceptionDate,77)</f>
        <v/>
      </c>
      <c r="CE4" s="128">
        <f>EDATE(InceptionDate,78)</f>
        <v/>
      </c>
      <c r="CF4" s="128">
        <f>EDATE(InceptionDate,79)</f>
        <v/>
      </c>
      <c r="CG4" s="128">
        <f>EDATE(InceptionDate,80)</f>
        <v/>
      </c>
      <c r="CH4" s="128">
        <f>EDATE(InceptionDate,81)</f>
        <v/>
      </c>
      <c r="CI4" s="128">
        <f>EDATE(InceptionDate,82)</f>
        <v/>
      </c>
      <c r="CJ4" s="128">
        <f>EDATE(InceptionDate,83)</f>
        <v/>
      </c>
      <c r="CK4" s="128">
        <f>EDATE(InceptionDate,84)</f>
        <v/>
      </c>
      <c r="CL4" s="128">
        <f>EDATE(InceptionDate,85)</f>
        <v/>
      </c>
      <c r="CM4" s="128">
        <f>EDATE(InceptionDate,86)</f>
        <v/>
      </c>
      <c r="CN4" s="128">
        <f>EDATE(InceptionDate,87)</f>
        <v/>
      </c>
      <c r="CO4" s="128">
        <f>EDATE(InceptionDate,88)</f>
        <v/>
      </c>
      <c r="CP4" s="128">
        <f>EDATE(InceptionDate,89)</f>
        <v/>
      </c>
      <c r="CQ4" s="128">
        <f>EDATE(InceptionDate,90)</f>
        <v/>
      </c>
      <c r="CR4" s="128">
        <f>EDATE(InceptionDate,91)</f>
        <v/>
      </c>
      <c r="CS4" s="128">
        <f>EDATE(InceptionDate,92)</f>
        <v/>
      </c>
      <c r="CT4" s="128">
        <f>EDATE(InceptionDate,93)</f>
        <v/>
      </c>
      <c r="CU4" s="128">
        <f>EDATE(InceptionDate,94)</f>
        <v/>
      </c>
      <c r="CV4" s="128">
        <f>EDATE(InceptionDate,95)</f>
        <v/>
      </c>
      <c r="CW4" s="128">
        <f>EDATE(InceptionDate,96)</f>
        <v/>
      </c>
      <c r="CX4" s="128">
        <f>EDATE(InceptionDate,97)</f>
        <v/>
      </c>
      <c r="CY4" s="128">
        <f>EDATE(InceptionDate,98)</f>
        <v/>
      </c>
      <c r="CZ4" s="128">
        <f>EDATE(InceptionDate,99)</f>
        <v/>
      </c>
      <c r="DA4" s="128">
        <f>EDATE(InceptionDate,100)</f>
        <v/>
      </c>
      <c r="DB4" s="128">
        <f>EDATE(InceptionDate,101)</f>
        <v/>
      </c>
      <c r="DC4" s="128">
        <f>EDATE(InceptionDate,102)</f>
        <v/>
      </c>
      <c r="DD4" s="128">
        <f>EDATE(InceptionDate,103)</f>
        <v/>
      </c>
      <c r="DE4" s="128">
        <f>EDATE(InceptionDate,104)</f>
        <v/>
      </c>
      <c r="DF4" s="128">
        <f>EDATE(InceptionDate,105)</f>
        <v/>
      </c>
      <c r="DG4" s="128">
        <f>EDATE(InceptionDate,106)</f>
        <v/>
      </c>
      <c r="DH4" s="128">
        <f>EDATE(InceptionDate,107)</f>
        <v/>
      </c>
      <c r="DI4" s="128">
        <f>EDATE(InceptionDate,108)</f>
        <v/>
      </c>
      <c r="DJ4" s="128">
        <f>EDATE(InceptionDate,109)</f>
        <v/>
      </c>
      <c r="DK4" s="128">
        <f>EDATE(InceptionDate,110)</f>
        <v/>
      </c>
      <c r="DL4" s="128">
        <f>EDATE(InceptionDate,111)</f>
        <v/>
      </c>
      <c r="DM4" s="128">
        <f>EDATE(InceptionDate,112)</f>
        <v/>
      </c>
      <c r="DN4" s="128">
        <f>EDATE(InceptionDate,113)</f>
        <v/>
      </c>
      <c r="DO4" s="128">
        <f>EDATE(InceptionDate,114)</f>
        <v/>
      </c>
      <c r="DP4" s="128">
        <f>EDATE(InceptionDate,115)</f>
        <v/>
      </c>
      <c r="DQ4" s="128">
        <f>EDATE(InceptionDate,116)</f>
        <v/>
      </c>
      <c r="DR4" s="128">
        <f>EDATE(InceptionDate,117)</f>
        <v/>
      </c>
      <c r="DS4" s="128">
        <f>EDATE(InceptionDate,118)</f>
        <v/>
      </c>
      <c r="DT4" s="128">
        <f>EDATE(InceptionDate,119)</f>
        <v/>
      </c>
      <c r="DU4" s="128">
        <f>EDATE(InceptionDate,120)</f>
        <v/>
      </c>
      <c r="DV4" s="128">
        <f>EDATE(InceptionDate,121)</f>
        <v/>
      </c>
      <c r="DW4" s="128">
        <f>EDATE(InceptionDate,122)</f>
        <v/>
      </c>
      <c r="DX4" s="128">
        <f>EDATE(InceptionDate,123)</f>
        <v/>
      </c>
      <c r="DY4" s="128">
        <f>EDATE(InceptionDate,124)</f>
        <v/>
      </c>
      <c r="DZ4" s="128">
        <f>EDATE(InceptionDate,125)</f>
        <v/>
      </c>
      <c r="EA4" s="128">
        <f>EDATE(InceptionDate,126)</f>
        <v/>
      </c>
      <c r="EB4" s="128">
        <f>EDATE(InceptionDate,127)</f>
        <v/>
      </c>
      <c r="EC4" s="128">
        <f>EDATE(InceptionDate,128)</f>
        <v/>
      </c>
      <c r="ED4" s="128">
        <f>EDATE(InceptionDate,129)</f>
        <v/>
      </c>
      <c r="EE4" s="128">
        <f>EDATE(InceptionDate,130)</f>
        <v/>
      </c>
      <c r="EF4" s="128">
        <f>EDATE(InceptionDate,131)</f>
        <v/>
      </c>
      <c r="EG4" s="128">
        <f>EDATE(InceptionDate,132)</f>
        <v/>
      </c>
      <c r="EH4" s="128">
        <f>EDATE(InceptionDate,133)</f>
        <v/>
      </c>
      <c r="EI4" s="128">
        <f>EDATE(InceptionDate,134)</f>
        <v/>
      </c>
      <c r="EJ4" s="128">
        <f>EDATE(InceptionDate,135)</f>
        <v/>
      </c>
      <c r="EK4" s="128">
        <f>EDATE(InceptionDate,136)</f>
        <v/>
      </c>
      <c r="EL4" s="128">
        <f>EDATE(InceptionDate,137)</f>
        <v/>
      </c>
      <c r="EM4" s="128">
        <f>EDATE(InceptionDate,138)</f>
        <v/>
      </c>
      <c r="EN4" s="128">
        <f>EDATE(InceptionDate,139)</f>
        <v/>
      </c>
      <c r="EO4" s="128">
        <f>EDATE(InceptionDate,140)</f>
        <v/>
      </c>
      <c r="EP4" s="128">
        <f>EDATE(InceptionDate,141)</f>
        <v/>
      </c>
      <c r="EQ4" s="128">
        <f>EDATE(InceptionDate,142)</f>
        <v/>
      </c>
      <c r="ER4" s="128">
        <f>EDATE(InceptionDate,143)</f>
        <v/>
      </c>
      <c r="ES4" s="128">
        <f>EDATE(InceptionDate,144)</f>
        <v/>
      </c>
      <c r="ET4" s="128">
        <f>EDATE(InceptionDate,145)</f>
        <v/>
      </c>
      <c r="EU4" s="128">
        <f>EDATE(InceptionDate,146)</f>
        <v/>
      </c>
      <c r="EV4" s="128">
        <f>EDATE(InceptionDate,147)</f>
        <v/>
      </c>
      <c r="EW4" s="128">
        <f>EDATE(InceptionDate,148)</f>
        <v/>
      </c>
      <c r="EX4" s="128">
        <f>EDATE(InceptionDate,149)</f>
        <v/>
      </c>
      <c r="EY4" s="128">
        <f>EDATE(InceptionDate,150)</f>
        <v/>
      </c>
      <c r="EZ4" s="128">
        <f>EDATE(InceptionDate,151)</f>
        <v/>
      </c>
      <c r="FA4" s="128">
        <f>EDATE(InceptionDate,152)</f>
        <v/>
      </c>
      <c r="FB4" s="128">
        <f>EDATE(InceptionDate,153)</f>
        <v/>
      </c>
      <c r="FC4" s="128">
        <f>EDATE(InceptionDate,154)</f>
        <v/>
      </c>
      <c r="FD4" s="128">
        <f>EDATE(InceptionDate,155)</f>
        <v/>
      </c>
      <c r="FE4" s="128">
        <f>EDATE(InceptionDate,156)</f>
        <v/>
      </c>
      <c r="FF4" s="128">
        <f>EDATE(InceptionDate,157)</f>
        <v/>
      </c>
      <c r="FG4" s="128">
        <f>EDATE(InceptionDate,158)</f>
        <v/>
      </c>
      <c r="FH4" s="128">
        <f>EDATE(InceptionDate,159)</f>
        <v/>
      </c>
      <c r="FI4" s="128">
        <f>EDATE(InceptionDate,160)</f>
        <v/>
      </c>
      <c r="FJ4" s="128">
        <f>EDATE(InceptionDate,161)</f>
        <v/>
      </c>
      <c r="FK4" s="128">
        <f>EDATE(InceptionDate,162)</f>
        <v/>
      </c>
      <c r="FL4" s="128">
        <f>EDATE(InceptionDate,163)</f>
        <v/>
      </c>
      <c r="FM4" s="128">
        <f>EDATE(InceptionDate,164)</f>
        <v/>
      </c>
      <c r="FN4" s="128">
        <f>EDATE(InceptionDate,165)</f>
        <v/>
      </c>
      <c r="FO4" s="128">
        <f>EDATE(InceptionDate,166)</f>
        <v/>
      </c>
      <c r="FP4" s="128">
        <f>EDATE(InceptionDate,167)</f>
        <v/>
      </c>
      <c r="FQ4" s="128">
        <f>EDATE(InceptionDate,168)</f>
        <v/>
      </c>
      <c r="FR4" s="128">
        <f>EDATE(InceptionDate,169)</f>
        <v/>
      </c>
      <c r="FS4" s="128">
        <f>EDATE(InceptionDate,170)</f>
        <v/>
      </c>
      <c r="FT4" s="128">
        <f>EDATE(InceptionDate,171)</f>
        <v/>
      </c>
      <c r="FU4" s="128">
        <f>EDATE(InceptionDate,172)</f>
        <v/>
      </c>
      <c r="FV4" s="128">
        <f>EDATE(InceptionDate,173)</f>
        <v/>
      </c>
      <c r="FW4" s="128">
        <f>EDATE(InceptionDate,174)</f>
        <v/>
      </c>
      <c r="FX4" s="128">
        <f>EDATE(InceptionDate,175)</f>
        <v/>
      </c>
      <c r="FY4" s="128">
        <f>EDATE(InceptionDate,176)</f>
        <v/>
      </c>
      <c r="FZ4" s="128">
        <f>EDATE(InceptionDate,177)</f>
        <v/>
      </c>
      <c r="GA4" s="128">
        <f>EDATE(InceptionDate,178)</f>
        <v/>
      </c>
      <c r="GB4" s="128">
        <f>EDATE(InceptionDate,179)</f>
        <v/>
      </c>
      <c r="GC4" s="128">
        <f>EDATE(InceptionDate,180)</f>
        <v/>
      </c>
      <c r="GD4" s="128">
        <f>EDATE(InceptionDate,181)</f>
        <v/>
      </c>
      <c r="GE4" s="128">
        <f>EDATE(InceptionDate,182)</f>
        <v/>
      </c>
      <c r="GF4" s="128">
        <f>EDATE(InceptionDate,183)</f>
        <v/>
      </c>
      <c r="GG4" s="128">
        <f>EDATE(InceptionDate,184)</f>
        <v/>
      </c>
      <c r="GH4" s="128">
        <f>EDATE(InceptionDate,185)</f>
        <v/>
      </c>
      <c r="GI4" s="128">
        <f>EDATE(InceptionDate,186)</f>
        <v/>
      </c>
      <c r="GJ4" s="128">
        <f>EDATE(InceptionDate,187)</f>
        <v/>
      </c>
      <c r="GK4" s="128">
        <f>EDATE(InceptionDate,188)</f>
        <v/>
      </c>
      <c r="GL4" s="128">
        <f>EDATE(InceptionDate,189)</f>
        <v/>
      </c>
      <c r="GM4" s="128">
        <f>EDATE(InceptionDate,190)</f>
        <v/>
      </c>
      <c r="GN4" s="128">
        <f>EDATE(InceptionDate,191)</f>
        <v/>
      </c>
      <c r="GO4" s="128">
        <f>EDATE(InceptionDate,192)</f>
        <v/>
      </c>
      <c r="GP4" s="128">
        <f>EDATE(InceptionDate,193)</f>
        <v/>
      </c>
      <c r="GQ4" s="128">
        <f>EDATE(InceptionDate,194)</f>
        <v/>
      </c>
      <c r="GR4" s="128">
        <f>EDATE(InceptionDate,195)</f>
        <v/>
      </c>
      <c r="GS4" s="128">
        <f>EDATE(InceptionDate,196)</f>
        <v/>
      </c>
      <c r="GT4" s="128">
        <f>EDATE(InceptionDate,197)</f>
        <v/>
      </c>
      <c r="GU4" s="128">
        <f>EDATE(InceptionDate,198)</f>
        <v/>
      </c>
      <c r="GV4" s="128">
        <f>EDATE(InceptionDate,199)</f>
        <v/>
      </c>
      <c r="GW4" s="128">
        <f>EDATE(InceptionDate,200)</f>
        <v/>
      </c>
      <c r="GX4" s="128">
        <f>EDATE(InceptionDate,201)</f>
        <v/>
      </c>
      <c r="GY4" s="128">
        <f>EDATE(InceptionDate,202)</f>
        <v/>
      </c>
      <c r="GZ4" s="128">
        <f>EDATE(InceptionDate,203)</f>
        <v/>
      </c>
      <c r="HA4" s="128">
        <f>EDATE(InceptionDate,204)</f>
        <v/>
      </c>
      <c r="HB4" s="128">
        <f>EDATE(InceptionDate,205)</f>
        <v/>
      </c>
      <c r="HC4" s="128">
        <f>EDATE(InceptionDate,206)</f>
        <v/>
      </c>
      <c r="HD4" s="128">
        <f>EDATE(InceptionDate,207)</f>
        <v/>
      </c>
      <c r="HE4" s="128">
        <f>EDATE(InceptionDate,208)</f>
        <v/>
      </c>
      <c r="HF4" s="128">
        <f>EDATE(InceptionDate,209)</f>
        <v/>
      </c>
      <c r="HG4" s="128">
        <f>EDATE(InceptionDate,210)</f>
        <v/>
      </c>
      <c r="HH4" s="128">
        <f>EDATE(InceptionDate,211)</f>
        <v/>
      </c>
      <c r="HI4" s="128">
        <f>EDATE(InceptionDate,212)</f>
        <v/>
      </c>
      <c r="HJ4" s="128">
        <f>EDATE(InceptionDate,213)</f>
        <v/>
      </c>
      <c r="HK4" s="128">
        <f>EDATE(InceptionDate,214)</f>
        <v/>
      </c>
      <c r="HL4" s="128">
        <f>EDATE(InceptionDate,215)</f>
        <v/>
      </c>
      <c r="HM4" s="128">
        <f>EDATE(InceptionDate,216)</f>
        <v/>
      </c>
      <c r="HN4" s="128">
        <f>EDATE(InceptionDate,217)</f>
        <v/>
      </c>
      <c r="HO4" s="128">
        <f>EDATE(InceptionDate,218)</f>
        <v/>
      </c>
      <c r="HP4" s="128">
        <f>EDATE(InceptionDate,219)</f>
        <v/>
      </c>
      <c r="HQ4" s="128">
        <f>EDATE(InceptionDate,220)</f>
        <v/>
      </c>
      <c r="HR4" s="128">
        <f>EDATE(InceptionDate,221)</f>
        <v/>
      </c>
      <c r="HS4" s="128">
        <f>EDATE(InceptionDate,222)</f>
        <v/>
      </c>
      <c r="HT4" s="128">
        <f>EDATE(InceptionDate,223)</f>
        <v/>
      </c>
      <c r="HU4" s="128">
        <f>EDATE(InceptionDate,224)</f>
        <v/>
      </c>
      <c r="HV4" s="128">
        <f>EDATE(InceptionDate,225)</f>
        <v/>
      </c>
      <c r="HW4" s="128">
        <f>EDATE(InceptionDate,226)</f>
        <v/>
      </c>
      <c r="HX4" s="128">
        <f>EDATE(InceptionDate,227)</f>
        <v/>
      </c>
      <c r="HY4" s="128">
        <f>EDATE(InceptionDate,228)</f>
        <v/>
      </c>
      <c r="HZ4" s="128">
        <f>EDATE(InceptionDate,229)</f>
        <v/>
      </c>
      <c r="IA4" s="128">
        <f>EDATE(InceptionDate,230)</f>
        <v/>
      </c>
      <c r="IB4" s="128">
        <f>EDATE(InceptionDate,231)</f>
        <v/>
      </c>
      <c r="IC4" s="128">
        <f>EDATE(InceptionDate,232)</f>
        <v/>
      </c>
      <c r="ID4" s="128">
        <f>EDATE(InceptionDate,233)</f>
        <v/>
      </c>
      <c r="IE4" s="128">
        <f>EDATE(InceptionDate,234)</f>
        <v/>
      </c>
      <c r="IF4" s="128">
        <f>EDATE(InceptionDate,235)</f>
        <v/>
      </c>
      <c r="IG4" s="128">
        <f>EDATE(InceptionDate,236)</f>
        <v/>
      </c>
      <c r="IH4" s="128">
        <f>EDATE(InceptionDate,237)</f>
        <v/>
      </c>
      <c r="II4" s="128">
        <f>EDATE(InceptionDate,238)</f>
        <v/>
      </c>
      <c r="IJ4" s="128">
        <f>EDATE(InceptionDate,239)</f>
        <v/>
      </c>
      <c r="IK4" s="128">
        <f>EDATE(InceptionDate,240)</f>
        <v/>
      </c>
      <c r="IL4" s="128">
        <f>EDATE(InceptionDate,241)</f>
        <v/>
      </c>
      <c r="IM4" s="128">
        <f>EDATE(InceptionDate,242)</f>
        <v/>
      </c>
      <c r="IN4" s="128">
        <f>EDATE(InceptionDate,243)</f>
        <v/>
      </c>
      <c r="IO4" s="128">
        <f>EDATE(InceptionDate,244)</f>
        <v/>
      </c>
      <c r="IP4" s="128">
        <f>EDATE(InceptionDate,245)</f>
        <v/>
      </c>
      <c r="IQ4" s="128">
        <f>EDATE(InceptionDate,246)</f>
        <v/>
      </c>
      <c r="IR4" s="128">
        <f>EDATE(InceptionDate,247)</f>
        <v/>
      </c>
      <c r="IS4" s="128">
        <f>EDATE(InceptionDate,248)</f>
        <v/>
      </c>
      <c r="IT4" s="128">
        <f>EDATE(InceptionDate,249)</f>
        <v/>
      </c>
      <c r="IU4" s="128">
        <f>EDATE(InceptionDate,250)</f>
        <v/>
      </c>
      <c r="IV4" s="128">
        <f>EDATE(InceptionDate,251)</f>
        <v/>
      </c>
      <c r="IW4" s="128">
        <f>EDATE(InceptionDate,252)</f>
        <v/>
      </c>
      <c r="IX4" s="128">
        <f>EDATE(InceptionDate,253)</f>
        <v/>
      </c>
      <c r="IY4" s="128">
        <f>EDATE(InceptionDate,254)</f>
        <v/>
      </c>
      <c r="IZ4" s="128">
        <f>EDATE(InceptionDate,255)</f>
        <v/>
      </c>
      <c r="JA4" s="128">
        <f>EDATE(InceptionDate,256)</f>
        <v/>
      </c>
      <c r="JB4" s="128">
        <f>EDATE(InceptionDate,257)</f>
        <v/>
      </c>
      <c r="JC4" s="128">
        <f>EDATE(InceptionDate,258)</f>
        <v/>
      </c>
      <c r="JD4" s="128">
        <f>EDATE(InceptionDate,259)</f>
        <v/>
      </c>
      <c r="JE4" s="128">
        <f>EDATE(InceptionDate,260)</f>
        <v/>
      </c>
      <c r="JF4" s="128">
        <f>EDATE(InceptionDate,261)</f>
        <v/>
      </c>
      <c r="JG4" s="128">
        <f>EDATE(InceptionDate,262)</f>
        <v/>
      </c>
      <c r="JH4" s="128">
        <f>EDATE(InceptionDate,263)</f>
        <v/>
      </c>
      <c r="JI4" s="128">
        <f>EDATE(InceptionDate,264)</f>
        <v/>
      </c>
      <c r="JJ4" s="128">
        <f>EDATE(InceptionDate,265)</f>
        <v/>
      </c>
      <c r="JK4" s="128">
        <f>EDATE(InceptionDate,266)</f>
        <v/>
      </c>
      <c r="JL4" s="128">
        <f>EDATE(InceptionDate,267)</f>
        <v/>
      </c>
      <c r="JM4" s="128">
        <f>EDATE(InceptionDate,268)</f>
        <v/>
      </c>
      <c r="JN4" s="128">
        <f>EDATE(InceptionDate,269)</f>
        <v/>
      </c>
      <c r="JO4" s="128">
        <f>EDATE(InceptionDate,270)</f>
        <v/>
      </c>
      <c r="JP4" s="128">
        <f>EDATE(InceptionDate,271)</f>
        <v/>
      </c>
      <c r="JQ4" s="128">
        <f>EDATE(InceptionDate,272)</f>
        <v/>
      </c>
      <c r="JR4" s="128">
        <f>EDATE(InceptionDate,273)</f>
        <v/>
      </c>
      <c r="JS4" s="128">
        <f>EDATE(InceptionDate,274)</f>
        <v/>
      </c>
      <c r="JT4" s="128">
        <f>EDATE(InceptionDate,275)</f>
        <v/>
      </c>
      <c r="JU4" s="128">
        <f>EDATE(InceptionDate,276)</f>
        <v/>
      </c>
      <c r="JV4" s="128">
        <f>EDATE(InceptionDate,277)</f>
        <v/>
      </c>
      <c r="JW4" s="128">
        <f>EDATE(InceptionDate,278)</f>
        <v/>
      </c>
      <c r="JX4" s="128">
        <f>EDATE(InceptionDate,279)</f>
        <v/>
      </c>
      <c r="JY4" s="128">
        <f>EDATE(InceptionDate,280)</f>
        <v/>
      </c>
      <c r="JZ4" s="128">
        <f>EDATE(InceptionDate,281)</f>
        <v/>
      </c>
      <c r="KA4" s="128">
        <f>EDATE(InceptionDate,282)</f>
        <v/>
      </c>
      <c r="KB4" s="128">
        <f>EDATE(InceptionDate,283)</f>
        <v/>
      </c>
      <c r="KC4" s="128">
        <f>EDATE(InceptionDate,284)</f>
        <v/>
      </c>
      <c r="KD4" s="128">
        <f>EDATE(InceptionDate,285)</f>
        <v/>
      </c>
      <c r="KE4" s="128">
        <f>EDATE(InceptionDate,286)</f>
        <v/>
      </c>
      <c r="KF4" s="128">
        <f>EDATE(InceptionDate,287)</f>
        <v/>
      </c>
      <c r="KG4" s="128">
        <f>EDATE(InceptionDate,288)</f>
        <v/>
      </c>
      <c r="KH4" s="128">
        <f>EDATE(InceptionDate,289)</f>
        <v/>
      </c>
      <c r="KI4" s="128">
        <f>EDATE(InceptionDate,290)</f>
        <v/>
      </c>
      <c r="KJ4" s="128">
        <f>EDATE(InceptionDate,291)</f>
        <v/>
      </c>
      <c r="KK4" s="128">
        <f>EDATE(InceptionDate,292)</f>
        <v/>
      </c>
      <c r="KL4" s="128">
        <f>EDATE(InceptionDate,293)</f>
        <v/>
      </c>
      <c r="KM4" s="128">
        <f>EDATE(InceptionDate,294)</f>
        <v/>
      </c>
      <c r="KN4" s="128">
        <f>EDATE(InceptionDate,295)</f>
        <v/>
      </c>
      <c r="KO4" s="128">
        <f>EDATE(InceptionDate,296)</f>
        <v/>
      </c>
      <c r="KP4" s="128">
        <f>EDATE(InceptionDate,297)</f>
        <v/>
      </c>
      <c r="KQ4" s="128">
        <f>EDATE(InceptionDate,298)</f>
        <v/>
      </c>
      <c r="KR4" s="128">
        <f>EDATE(InceptionDate,299)</f>
        <v/>
      </c>
      <c r="KS4" s="128">
        <f>EDATE(InceptionDate,300)</f>
        <v/>
      </c>
      <c r="KT4" s="128">
        <f>EDATE(InceptionDate,301)</f>
        <v/>
      </c>
      <c r="KU4" s="128">
        <f>EDATE(InceptionDate,302)</f>
        <v/>
      </c>
      <c r="KV4" s="128">
        <f>EDATE(InceptionDate,303)</f>
        <v/>
      </c>
      <c r="KW4" s="128">
        <f>EDATE(InceptionDate,304)</f>
        <v/>
      </c>
      <c r="KX4" s="128">
        <f>EDATE(InceptionDate,305)</f>
        <v/>
      </c>
      <c r="KY4" s="128">
        <f>EDATE(InceptionDate,306)</f>
        <v/>
      </c>
      <c r="KZ4" s="128">
        <f>EDATE(InceptionDate,307)</f>
        <v/>
      </c>
      <c r="LA4" s="128">
        <f>EDATE(InceptionDate,308)</f>
        <v/>
      </c>
      <c r="LB4" s="128">
        <f>EDATE(InceptionDate,309)</f>
        <v/>
      </c>
      <c r="LC4" s="128">
        <f>EDATE(InceptionDate,310)</f>
        <v/>
      </c>
      <c r="LD4" s="128">
        <f>EDATE(InceptionDate,311)</f>
        <v/>
      </c>
      <c r="LE4" s="128">
        <f>EDATE(InceptionDate,312)</f>
        <v/>
      </c>
      <c r="LF4" s="128">
        <f>EDATE(InceptionDate,313)</f>
        <v/>
      </c>
      <c r="LG4" s="128">
        <f>EDATE(InceptionDate,314)</f>
        <v/>
      </c>
      <c r="LH4" s="128">
        <f>EDATE(InceptionDate,315)</f>
        <v/>
      </c>
      <c r="LI4" s="128">
        <f>EDATE(InceptionDate,316)</f>
        <v/>
      </c>
      <c r="LJ4" s="128">
        <f>EDATE(InceptionDate,317)</f>
        <v/>
      </c>
      <c r="LK4" s="128">
        <f>EDATE(InceptionDate,318)</f>
        <v/>
      </c>
      <c r="LL4" s="128">
        <f>EDATE(InceptionDate,319)</f>
        <v/>
      </c>
      <c r="LM4" s="128">
        <f>EDATE(InceptionDate,320)</f>
        <v/>
      </c>
      <c r="LN4" s="128">
        <f>EDATE(InceptionDate,321)</f>
        <v/>
      </c>
      <c r="LO4" s="128">
        <f>EDATE(InceptionDate,322)</f>
        <v/>
      </c>
      <c r="LP4" s="128">
        <f>EDATE(InceptionDate,323)</f>
        <v/>
      </c>
      <c r="LQ4" s="128">
        <f>EDATE(InceptionDate,324)</f>
        <v/>
      </c>
      <c r="LR4" s="128">
        <f>EDATE(InceptionDate,325)</f>
        <v/>
      </c>
      <c r="LS4" s="128">
        <f>EDATE(InceptionDate,326)</f>
        <v/>
      </c>
      <c r="LT4" s="128">
        <f>EDATE(InceptionDate,327)</f>
        <v/>
      </c>
      <c r="LU4" s="128">
        <f>EDATE(InceptionDate,328)</f>
        <v/>
      </c>
      <c r="LV4" s="128">
        <f>EDATE(InceptionDate,329)</f>
        <v/>
      </c>
      <c r="LW4" s="128">
        <f>EDATE(InceptionDate,330)</f>
        <v/>
      </c>
      <c r="LX4" s="128">
        <f>EDATE(InceptionDate,331)</f>
        <v/>
      </c>
      <c r="LY4" s="128">
        <f>EDATE(InceptionDate,332)</f>
        <v/>
      </c>
      <c r="LZ4" s="128">
        <f>EDATE(InceptionDate,333)</f>
        <v/>
      </c>
      <c r="MA4" s="128">
        <f>EDATE(InceptionDate,334)</f>
        <v/>
      </c>
      <c r="MB4" s="128">
        <f>EDATE(InceptionDate,335)</f>
        <v/>
      </c>
      <c r="MC4" s="128">
        <f>EDATE(InceptionDate,336)</f>
        <v/>
      </c>
      <c r="MD4" s="128">
        <f>EDATE(InceptionDate,337)</f>
        <v/>
      </c>
      <c r="ME4" s="128">
        <f>EDATE(InceptionDate,338)</f>
        <v/>
      </c>
      <c r="MF4" s="128">
        <f>EDATE(InceptionDate,339)</f>
        <v/>
      </c>
      <c r="MG4" s="128">
        <f>EDATE(InceptionDate,340)</f>
        <v/>
      </c>
      <c r="MH4" s="128">
        <f>EDATE(InceptionDate,341)</f>
        <v/>
      </c>
      <c r="MI4" s="128">
        <f>EDATE(InceptionDate,342)</f>
        <v/>
      </c>
      <c r="MJ4" s="128">
        <f>EDATE(InceptionDate,343)</f>
        <v/>
      </c>
      <c r="MK4" s="128">
        <f>EDATE(InceptionDate,344)</f>
        <v/>
      </c>
      <c r="ML4" s="128">
        <f>EDATE(InceptionDate,345)</f>
        <v/>
      </c>
      <c r="MM4" s="128">
        <f>EDATE(InceptionDate,346)</f>
        <v/>
      </c>
      <c r="MN4" s="128">
        <f>EDATE(InceptionDate,347)</f>
        <v/>
      </c>
      <c r="MO4" s="128">
        <f>EDATE(InceptionDate,348)</f>
        <v/>
      </c>
      <c r="MP4" s="128">
        <f>EDATE(InceptionDate,349)</f>
        <v/>
      </c>
      <c r="MQ4" s="128">
        <f>EDATE(InceptionDate,350)</f>
        <v/>
      </c>
      <c r="MR4" s="128">
        <f>EDATE(InceptionDate,351)</f>
        <v/>
      </c>
      <c r="MS4" s="128">
        <f>EDATE(InceptionDate,352)</f>
        <v/>
      </c>
      <c r="MT4" s="128">
        <f>EDATE(InceptionDate,353)</f>
        <v/>
      </c>
      <c r="MU4" s="128">
        <f>EDATE(InceptionDate,354)</f>
        <v/>
      </c>
      <c r="MV4" s="128">
        <f>EDATE(InceptionDate,355)</f>
        <v/>
      </c>
      <c r="MW4" s="128">
        <f>EDATE(InceptionDate,356)</f>
        <v/>
      </c>
      <c r="MX4" s="128">
        <f>EDATE(InceptionDate,357)</f>
        <v/>
      </c>
      <c r="MY4" s="128">
        <f>EDATE(InceptionDate,358)</f>
        <v/>
      </c>
      <c r="MZ4" s="128">
        <f>EDATE(InceptionDate,359)</f>
        <v/>
      </c>
      <c r="NA4" s="128">
        <f>EDATE(InceptionDate,360)</f>
        <v/>
      </c>
      <c r="NB4" s="128">
        <f>EDATE(InceptionDate,361)</f>
        <v/>
      </c>
      <c r="NC4" s="128">
        <f>EDATE(InceptionDate,362)</f>
        <v/>
      </c>
      <c r="ND4" s="128">
        <f>EDATE(InceptionDate,363)</f>
        <v/>
      </c>
      <c r="NE4" s="128">
        <f>EDATE(InceptionDate,364)</f>
        <v/>
      </c>
      <c r="NF4" s="128">
        <f>EDATE(InceptionDate,365)</f>
        <v/>
      </c>
      <c r="NG4" s="128">
        <f>EDATE(InceptionDate,366)</f>
        <v/>
      </c>
      <c r="NH4" s="128">
        <f>EDATE(InceptionDate,367)</f>
        <v/>
      </c>
      <c r="NI4" s="128">
        <f>EDATE(InceptionDate,368)</f>
        <v/>
      </c>
      <c r="NJ4" s="128">
        <f>EDATE(InceptionDate,369)</f>
        <v/>
      </c>
      <c r="NK4" s="128">
        <f>EDATE(InceptionDate,370)</f>
        <v/>
      </c>
      <c r="NL4" s="129">
        <f>EDATE(InceptionDate,371)</f>
        <v/>
      </c>
    </row>
    <row r="5">
      <c r="B5" s="154" t="inlineStr">
        <is>
          <t>Growth &amp; Lease-Up Factors</t>
        </is>
      </c>
      <c r="C5" s="155" t="n"/>
      <c r="D5" s="155" t="n"/>
      <c r="NL5" s="53" t="n"/>
    </row>
    <row r="6">
      <c r="B6" s="36" t="inlineStr">
        <is>
          <t>Growth Factor — Rent</t>
        </is>
      </c>
      <c r="D6" s="156" t="n"/>
      <c r="E6" s="157">
        <f>(1+GrowthRent)^(MAX(0,1-GrowthStartMonth)/12)</f>
        <v/>
      </c>
      <c r="F6" s="157">
        <f>(1+GrowthRent)^(MAX(0,2-GrowthStartMonth)/12)</f>
        <v/>
      </c>
      <c r="G6" s="157">
        <f>(1+GrowthRent)^(MAX(0,3-GrowthStartMonth)/12)</f>
        <v/>
      </c>
      <c r="H6" s="157">
        <f>(1+GrowthRent)^(MAX(0,4-GrowthStartMonth)/12)</f>
        <v/>
      </c>
      <c r="I6" s="157">
        <f>(1+GrowthRent)^(MAX(0,5-GrowthStartMonth)/12)</f>
        <v/>
      </c>
      <c r="J6" s="157">
        <f>(1+GrowthRent)^(MAX(0,6-GrowthStartMonth)/12)</f>
        <v/>
      </c>
      <c r="K6" s="157">
        <f>(1+GrowthRent)^(MAX(0,7-GrowthStartMonth)/12)</f>
        <v/>
      </c>
      <c r="L6" s="157">
        <f>(1+GrowthRent)^(MAX(0,8-GrowthStartMonth)/12)</f>
        <v/>
      </c>
      <c r="M6" s="157">
        <f>(1+GrowthRent)^(MAX(0,9-GrowthStartMonth)/12)</f>
        <v/>
      </c>
      <c r="N6" s="157">
        <f>(1+GrowthRent)^(MAX(0,10-GrowthStartMonth)/12)</f>
        <v/>
      </c>
      <c r="O6" s="157">
        <f>(1+GrowthRent)^(MAX(0,11-GrowthStartMonth)/12)</f>
        <v/>
      </c>
      <c r="P6" s="157">
        <f>(1+GrowthRent)^(MAX(0,12-GrowthStartMonth)/12)</f>
        <v/>
      </c>
      <c r="Q6" s="157">
        <f>(1+GrowthRent)^(MAX(0,13-GrowthStartMonth)/12)</f>
        <v/>
      </c>
      <c r="R6" s="157">
        <f>(1+GrowthRent)^(MAX(0,14-GrowthStartMonth)/12)</f>
        <v/>
      </c>
      <c r="S6" s="157">
        <f>(1+GrowthRent)^(MAX(0,15-GrowthStartMonth)/12)</f>
        <v/>
      </c>
      <c r="T6" s="157">
        <f>(1+GrowthRent)^(MAX(0,16-GrowthStartMonth)/12)</f>
        <v/>
      </c>
      <c r="U6" s="157">
        <f>(1+GrowthRent)^(MAX(0,17-GrowthStartMonth)/12)</f>
        <v/>
      </c>
      <c r="V6" s="157">
        <f>(1+GrowthRent)^(MAX(0,18-GrowthStartMonth)/12)</f>
        <v/>
      </c>
      <c r="W6" s="157">
        <f>(1+GrowthRent)^(MAX(0,19-GrowthStartMonth)/12)</f>
        <v/>
      </c>
      <c r="X6" s="157">
        <f>(1+GrowthRent)^(MAX(0,20-GrowthStartMonth)/12)</f>
        <v/>
      </c>
      <c r="Y6" s="157">
        <f>(1+GrowthRent)^(MAX(0,21-GrowthStartMonth)/12)</f>
        <v/>
      </c>
      <c r="Z6" s="157">
        <f>(1+GrowthRent)^(MAX(0,22-GrowthStartMonth)/12)</f>
        <v/>
      </c>
      <c r="AA6" s="157">
        <f>(1+GrowthRent)^(MAX(0,23-GrowthStartMonth)/12)</f>
        <v/>
      </c>
      <c r="AB6" s="157">
        <f>(1+GrowthRent)^(MAX(0,24-GrowthStartMonth)/12)</f>
        <v/>
      </c>
      <c r="AC6" s="157">
        <f>(1+GrowthRent)^(MAX(0,25-GrowthStartMonth)/12)</f>
        <v/>
      </c>
      <c r="AD6" s="157">
        <f>(1+GrowthRent)^(MAX(0,26-GrowthStartMonth)/12)</f>
        <v/>
      </c>
      <c r="AE6" s="157">
        <f>(1+GrowthRent)^(MAX(0,27-GrowthStartMonth)/12)</f>
        <v/>
      </c>
      <c r="AF6" s="157">
        <f>(1+GrowthRent)^(MAX(0,28-GrowthStartMonth)/12)</f>
        <v/>
      </c>
      <c r="AG6" s="157">
        <f>(1+GrowthRent)^(MAX(0,29-GrowthStartMonth)/12)</f>
        <v/>
      </c>
      <c r="AH6" s="157">
        <f>(1+GrowthRent)^(MAX(0,30-GrowthStartMonth)/12)</f>
        <v/>
      </c>
      <c r="AI6" s="157">
        <f>(1+GrowthRent)^(MAX(0,31-GrowthStartMonth)/12)</f>
        <v/>
      </c>
      <c r="AJ6" s="157">
        <f>(1+GrowthRent)^(MAX(0,32-GrowthStartMonth)/12)</f>
        <v/>
      </c>
      <c r="AK6" s="157">
        <f>(1+GrowthRent)^(MAX(0,33-GrowthStartMonth)/12)</f>
        <v/>
      </c>
      <c r="AL6" s="157">
        <f>(1+GrowthRent)^(MAX(0,34-GrowthStartMonth)/12)</f>
        <v/>
      </c>
      <c r="AM6" s="157">
        <f>(1+GrowthRent)^(MAX(0,35-GrowthStartMonth)/12)</f>
        <v/>
      </c>
      <c r="AN6" s="157">
        <f>(1+GrowthRent)^(MAX(0,36-GrowthStartMonth)/12)</f>
        <v/>
      </c>
      <c r="AO6" s="157">
        <f>(1+GrowthRent)^(MAX(0,37-GrowthStartMonth)/12)</f>
        <v/>
      </c>
      <c r="AP6" s="157">
        <f>(1+GrowthRent)^(MAX(0,38-GrowthStartMonth)/12)</f>
        <v/>
      </c>
      <c r="AQ6" s="157">
        <f>(1+GrowthRent)^(MAX(0,39-GrowthStartMonth)/12)</f>
        <v/>
      </c>
      <c r="AR6" s="157">
        <f>(1+GrowthRent)^(MAX(0,40-GrowthStartMonth)/12)</f>
        <v/>
      </c>
      <c r="AS6" s="157">
        <f>(1+GrowthRent)^(MAX(0,41-GrowthStartMonth)/12)</f>
        <v/>
      </c>
      <c r="AT6" s="157">
        <f>(1+GrowthRent)^(MAX(0,42-GrowthStartMonth)/12)</f>
        <v/>
      </c>
      <c r="AU6" s="157">
        <f>(1+GrowthRent)^(MAX(0,43-GrowthStartMonth)/12)</f>
        <v/>
      </c>
      <c r="AV6" s="157">
        <f>(1+GrowthRent)^(MAX(0,44-GrowthStartMonth)/12)</f>
        <v/>
      </c>
      <c r="AW6" s="157">
        <f>(1+GrowthRent)^(MAX(0,45-GrowthStartMonth)/12)</f>
        <v/>
      </c>
      <c r="AX6" s="157">
        <f>(1+GrowthRent)^(MAX(0,46-GrowthStartMonth)/12)</f>
        <v/>
      </c>
      <c r="AY6" s="157">
        <f>(1+GrowthRent)^(MAX(0,47-GrowthStartMonth)/12)</f>
        <v/>
      </c>
      <c r="AZ6" s="157">
        <f>(1+GrowthRent)^(MAX(0,48-GrowthStartMonth)/12)</f>
        <v/>
      </c>
      <c r="BA6" s="157">
        <f>(1+GrowthRent)^(MAX(0,49-GrowthStartMonth)/12)</f>
        <v/>
      </c>
      <c r="BB6" s="157">
        <f>(1+GrowthRent)^(MAX(0,50-GrowthStartMonth)/12)</f>
        <v/>
      </c>
      <c r="BC6" s="157">
        <f>(1+GrowthRent)^(MAX(0,51-GrowthStartMonth)/12)</f>
        <v/>
      </c>
      <c r="BD6" s="157">
        <f>(1+GrowthRent)^(MAX(0,52-GrowthStartMonth)/12)</f>
        <v/>
      </c>
      <c r="BE6" s="157">
        <f>(1+GrowthRent)^(MAX(0,53-GrowthStartMonth)/12)</f>
        <v/>
      </c>
      <c r="BF6" s="157">
        <f>(1+GrowthRent)^(MAX(0,54-GrowthStartMonth)/12)</f>
        <v/>
      </c>
      <c r="BG6" s="157">
        <f>(1+GrowthRent)^(MAX(0,55-GrowthStartMonth)/12)</f>
        <v/>
      </c>
      <c r="BH6" s="157">
        <f>(1+GrowthRent)^(MAX(0,56-GrowthStartMonth)/12)</f>
        <v/>
      </c>
      <c r="BI6" s="157">
        <f>(1+GrowthRent)^(MAX(0,57-GrowthStartMonth)/12)</f>
        <v/>
      </c>
      <c r="BJ6" s="157">
        <f>(1+GrowthRent)^(MAX(0,58-GrowthStartMonth)/12)</f>
        <v/>
      </c>
      <c r="BK6" s="157">
        <f>(1+GrowthRent)^(MAX(0,59-GrowthStartMonth)/12)</f>
        <v/>
      </c>
      <c r="BL6" s="157">
        <f>(1+GrowthRent)^(MAX(0,60-GrowthStartMonth)/12)</f>
        <v/>
      </c>
      <c r="BM6" s="157">
        <f>(1+GrowthRent)^(MAX(0,61-GrowthStartMonth)/12)</f>
        <v/>
      </c>
      <c r="BN6" s="157">
        <f>(1+GrowthRent)^(MAX(0,62-GrowthStartMonth)/12)</f>
        <v/>
      </c>
      <c r="BO6" s="157">
        <f>(1+GrowthRent)^(MAX(0,63-GrowthStartMonth)/12)</f>
        <v/>
      </c>
      <c r="BP6" s="157">
        <f>(1+GrowthRent)^(MAX(0,64-GrowthStartMonth)/12)</f>
        <v/>
      </c>
      <c r="BQ6" s="157">
        <f>(1+GrowthRent)^(MAX(0,65-GrowthStartMonth)/12)</f>
        <v/>
      </c>
      <c r="BR6" s="157">
        <f>(1+GrowthRent)^(MAX(0,66-GrowthStartMonth)/12)</f>
        <v/>
      </c>
      <c r="BS6" s="157">
        <f>(1+GrowthRent)^(MAX(0,67-GrowthStartMonth)/12)</f>
        <v/>
      </c>
      <c r="BT6" s="157">
        <f>(1+GrowthRent)^(MAX(0,68-GrowthStartMonth)/12)</f>
        <v/>
      </c>
      <c r="BU6" s="157">
        <f>(1+GrowthRent)^(MAX(0,69-GrowthStartMonth)/12)</f>
        <v/>
      </c>
      <c r="BV6" s="157">
        <f>(1+GrowthRent)^(MAX(0,70-GrowthStartMonth)/12)</f>
        <v/>
      </c>
      <c r="BW6" s="157">
        <f>(1+GrowthRent)^(MAX(0,71-GrowthStartMonth)/12)</f>
        <v/>
      </c>
      <c r="BX6" s="157">
        <f>(1+GrowthRent)^(MAX(0,72-GrowthStartMonth)/12)</f>
        <v/>
      </c>
      <c r="BY6" s="157">
        <f>(1+GrowthRent)^(MAX(0,73-GrowthStartMonth)/12)</f>
        <v/>
      </c>
      <c r="BZ6" s="157">
        <f>(1+GrowthRent)^(MAX(0,74-GrowthStartMonth)/12)</f>
        <v/>
      </c>
      <c r="CA6" s="157">
        <f>(1+GrowthRent)^(MAX(0,75-GrowthStartMonth)/12)</f>
        <v/>
      </c>
      <c r="CB6" s="157">
        <f>(1+GrowthRent)^(MAX(0,76-GrowthStartMonth)/12)</f>
        <v/>
      </c>
      <c r="CC6" s="157">
        <f>(1+GrowthRent)^(MAX(0,77-GrowthStartMonth)/12)</f>
        <v/>
      </c>
      <c r="CD6" s="157">
        <f>(1+GrowthRent)^(MAX(0,78-GrowthStartMonth)/12)</f>
        <v/>
      </c>
      <c r="CE6" s="157">
        <f>(1+GrowthRent)^(MAX(0,79-GrowthStartMonth)/12)</f>
        <v/>
      </c>
      <c r="CF6" s="157">
        <f>(1+GrowthRent)^(MAX(0,80-GrowthStartMonth)/12)</f>
        <v/>
      </c>
      <c r="CG6" s="157">
        <f>(1+GrowthRent)^(MAX(0,81-GrowthStartMonth)/12)</f>
        <v/>
      </c>
      <c r="CH6" s="157">
        <f>(1+GrowthRent)^(MAX(0,82-GrowthStartMonth)/12)</f>
        <v/>
      </c>
      <c r="CI6" s="157">
        <f>(1+GrowthRent)^(MAX(0,83-GrowthStartMonth)/12)</f>
        <v/>
      </c>
      <c r="CJ6" s="157">
        <f>(1+GrowthRent)^(MAX(0,84-GrowthStartMonth)/12)</f>
        <v/>
      </c>
      <c r="CK6" s="157">
        <f>(1+GrowthRent)^(MAX(0,85-GrowthStartMonth)/12)</f>
        <v/>
      </c>
      <c r="CL6" s="157">
        <f>(1+GrowthRent)^(MAX(0,86-GrowthStartMonth)/12)</f>
        <v/>
      </c>
      <c r="CM6" s="157">
        <f>(1+GrowthRent)^(MAX(0,87-GrowthStartMonth)/12)</f>
        <v/>
      </c>
      <c r="CN6" s="157">
        <f>(1+GrowthRent)^(MAX(0,88-GrowthStartMonth)/12)</f>
        <v/>
      </c>
      <c r="CO6" s="157">
        <f>(1+GrowthRent)^(MAX(0,89-GrowthStartMonth)/12)</f>
        <v/>
      </c>
      <c r="CP6" s="157">
        <f>(1+GrowthRent)^(MAX(0,90-GrowthStartMonth)/12)</f>
        <v/>
      </c>
      <c r="CQ6" s="157">
        <f>(1+GrowthRent)^(MAX(0,91-GrowthStartMonth)/12)</f>
        <v/>
      </c>
      <c r="CR6" s="157">
        <f>(1+GrowthRent)^(MAX(0,92-GrowthStartMonth)/12)</f>
        <v/>
      </c>
      <c r="CS6" s="157">
        <f>(1+GrowthRent)^(MAX(0,93-GrowthStartMonth)/12)</f>
        <v/>
      </c>
      <c r="CT6" s="157">
        <f>(1+GrowthRent)^(MAX(0,94-GrowthStartMonth)/12)</f>
        <v/>
      </c>
      <c r="CU6" s="157">
        <f>(1+GrowthRent)^(MAX(0,95-GrowthStartMonth)/12)</f>
        <v/>
      </c>
      <c r="CV6" s="157">
        <f>(1+GrowthRent)^(MAX(0,96-GrowthStartMonth)/12)</f>
        <v/>
      </c>
      <c r="CW6" s="157">
        <f>(1+GrowthRent)^(MAX(0,97-GrowthStartMonth)/12)</f>
        <v/>
      </c>
      <c r="CX6" s="157">
        <f>(1+GrowthRent)^(MAX(0,98-GrowthStartMonth)/12)</f>
        <v/>
      </c>
      <c r="CY6" s="157">
        <f>(1+GrowthRent)^(MAX(0,99-GrowthStartMonth)/12)</f>
        <v/>
      </c>
      <c r="CZ6" s="157">
        <f>(1+GrowthRent)^(MAX(0,100-GrowthStartMonth)/12)</f>
        <v/>
      </c>
      <c r="DA6" s="157">
        <f>(1+GrowthRent)^(MAX(0,101-GrowthStartMonth)/12)</f>
        <v/>
      </c>
      <c r="DB6" s="157">
        <f>(1+GrowthRent)^(MAX(0,102-GrowthStartMonth)/12)</f>
        <v/>
      </c>
      <c r="DC6" s="157">
        <f>(1+GrowthRent)^(MAX(0,103-GrowthStartMonth)/12)</f>
        <v/>
      </c>
      <c r="DD6" s="157">
        <f>(1+GrowthRent)^(MAX(0,104-GrowthStartMonth)/12)</f>
        <v/>
      </c>
      <c r="DE6" s="157">
        <f>(1+GrowthRent)^(MAX(0,105-GrowthStartMonth)/12)</f>
        <v/>
      </c>
      <c r="DF6" s="157">
        <f>(1+GrowthRent)^(MAX(0,106-GrowthStartMonth)/12)</f>
        <v/>
      </c>
      <c r="DG6" s="157">
        <f>(1+GrowthRent)^(MAX(0,107-GrowthStartMonth)/12)</f>
        <v/>
      </c>
      <c r="DH6" s="157">
        <f>(1+GrowthRent)^(MAX(0,108-GrowthStartMonth)/12)</f>
        <v/>
      </c>
      <c r="DI6" s="157">
        <f>(1+GrowthRent)^(MAX(0,109-GrowthStartMonth)/12)</f>
        <v/>
      </c>
      <c r="DJ6" s="157">
        <f>(1+GrowthRent)^(MAX(0,110-GrowthStartMonth)/12)</f>
        <v/>
      </c>
      <c r="DK6" s="157">
        <f>(1+GrowthRent)^(MAX(0,111-GrowthStartMonth)/12)</f>
        <v/>
      </c>
      <c r="DL6" s="157">
        <f>(1+GrowthRent)^(MAX(0,112-GrowthStartMonth)/12)</f>
        <v/>
      </c>
      <c r="DM6" s="157">
        <f>(1+GrowthRent)^(MAX(0,113-GrowthStartMonth)/12)</f>
        <v/>
      </c>
      <c r="DN6" s="157">
        <f>(1+GrowthRent)^(MAX(0,114-GrowthStartMonth)/12)</f>
        <v/>
      </c>
      <c r="DO6" s="157">
        <f>(1+GrowthRent)^(MAX(0,115-GrowthStartMonth)/12)</f>
        <v/>
      </c>
      <c r="DP6" s="157">
        <f>(1+GrowthRent)^(MAX(0,116-GrowthStartMonth)/12)</f>
        <v/>
      </c>
      <c r="DQ6" s="157">
        <f>(1+GrowthRent)^(MAX(0,117-GrowthStartMonth)/12)</f>
        <v/>
      </c>
      <c r="DR6" s="157">
        <f>(1+GrowthRent)^(MAX(0,118-GrowthStartMonth)/12)</f>
        <v/>
      </c>
      <c r="DS6" s="157">
        <f>(1+GrowthRent)^(MAX(0,119-GrowthStartMonth)/12)</f>
        <v/>
      </c>
      <c r="DT6" s="157">
        <f>(1+GrowthRent)^(MAX(0,120-GrowthStartMonth)/12)</f>
        <v/>
      </c>
      <c r="DU6" s="157">
        <f>(1+GrowthRent)^(MAX(0,121-GrowthStartMonth)/12)</f>
        <v/>
      </c>
      <c r="DV6" s="157">
        <f>(1+GrowthRent)^(MAX(0,122-GrowthStartMonth)/12)</f>
        <v/>
      </c>
      <c r="DW6" s="157">
        <f>(1+GrowthRent)^(MAX(0,123-GrowthStartMonth)/12)</f>
        <v/>
      </c>
      <c r="DX6" s="157">
        <f>(1+GrowthRent)^(MAX(0,124-GrowthStartMonth)/12)</f>
        <v/>
      </c>
      <c r="DY6" s="157">
        <f>(1+GrowthRent)^(MAX(0,125-GrowthStartMonth)/12)</f>
        <v/>
      </c>
      <c r="DZ6" s="157">
        <f>(1+GrowthRent)^(MAX(0,126-GrowthStartMonth)/12)</f>
        <v/>
      </c>
      <c r="EA6" s="157">
        <f>(1+GrowthRent)^(MAX(0,127-GrowthStartMonth)/12)</f>
        <v/>
      </c>
      <c r="EB6" s="157">
        <f>(1+GrowthRent)^(MAX(0,128-GrowthStartMonth)/12)</f>
        <v/>
      </c>
      <c r="EC6" s="157">
        <f>(1+GrowthRent)^(MAX(0,129-GrowthStartMonth)/12)</f>
        <v/>
      </c>
      <c r="ED6" s="157">
        <f>(1+GrowthRent)^(MAX(0,130-GrowthStartMonth)/12)</f>
        <v/>
      </c>
      <c r="EE6" s="157">
        <f>(1+GrowthRent)^(MAX(0,131-GrowthStartMonth)/12)</f>
        <v/>
      </c>
      <c r="EF6" s="157">
        <f>(1+GrowthRent)^(MAX(0,132-GrowthStartMonth)/12)</f>
        <v/>
      </c>
      <c r="EG6" s="157">
        <f>(1+GrowthRent)^(MAX(0,133-GrowthStartMonth)/12)</f>
        <v/>
      </c>
      <c r="EH6" s="157">
        <f>(1+GrowthRent)^(MAX(0,134-GrowthStartMonth)/12)</f>
        <v/>
      </c>
      <c r="EI6" s="157">
        <f>(1+GrowthRent)^(MAX(0,135-GrowthStartMonth)/12)</f>
        <v/>
      </c>
      <c r="EJ6" s="157">
        <f>(1+GrowthRent)^(MAX(0,136-GrowthStartMonth)/12)</f>
        <v/>
      </c>
      <c r="EK6" s="157">
        <f>(1+GrowthRent)^(MAX(0,137-GrowthStartMonth)/12)</f>
        <v/>
      </c>
      <c r="EL6" s="157">
        <f>(1+GrowthRent)^(MAX(0,138-GrowthStartMonth)/12)</f>
        <v/>
      </c>
      <c r="EM6" s="157">
        <f>(1+GrowthRent)^(MAX(0,139-GrowthStartMonth)/12)</f>
        <v/>
      </c>
      <c r="EN6" s="157">
        <f>(1+GrowthRent)^(MAX(0,140-GrowthStartMonth)/12)</f>
        <v/>
      </c>
      <c r="EO6" s="157">
        <f>(1+GrowthRent)^(MAX(0,141-GrowthStartMonth)/12)</f>
        <v/>
      </c>
      <c r="EP6" s="157">
        <f>(1+GrowthRent)^(MAX(0,142-GrowthStartMonth)/12)</f>
        <v/>
      </c>
      <c r="EQ6" s="157">
        <f>(1+GrowthRent)^(MAX(0,143-GrowthStartMonth)/12)</f>
        <v/>
      </c>
      <c r="ER6" s="157">
        <f>(1+GrowthRent)^(MAX(0,144-GrowthStartMonth)/12)</f>
        <v/>
      </c>
      <c r="ES6" s="157">
        <f>(1+GrowthRent)^(MAX(0,145-GrowthStartMonth)/12)</f>
        <v/>
      </c>
      <c r="ET6" s="157">
        <f>(1+GrowthRent)^(MAX(0,146-GrowthStartMonth)/12)</f>
        <v/>
      </c>
      <c r="EU6" s="157">
        <f>(1+GrowthRent)^(MAX(0,147-GrowthStartMonth)/12)</f>
        <v/>
      </c>
      <c r="EV6" s="157">
        <f>(1+GrowthRent)^(MAX(0,148-GrowthStartMonth)/12)</f>
        <v/>
      </c>
      <c r="EW6" s="157">
        <f>(1+GrowthRent)^(MAX(0,149-GrowthStartMonth)/12)</f>
        <v/>
      </c>
      <c r="EX6" s="157">
        <f>(1+GrowthRent)^(MAX(0,150-GrowthStartMonth)/12)</f>
        <v/>
      </c>
      <c r="EY6" s="157">
        <f>(1+GrowthRent)^(MAX(0,151-GrowthStartMonth)/12)</f>
        <v/>
      </c>
      <c r="EZ6" s="157">
        <f>(1+GrowthRent)^(MAX(0,152-GrowthStartMonth)/12)</f>
        <v/>
      </c>
      <c r="FA6" s="157">
        <f>(1+GrowthRent)^(MAX(0,153-GrowthStartMonth)/12)</f>
        <v/>
      </c>
      <c r="FB6" s="157">
        <f>(1+GrowthRent)^(MAX(0,154-GrowthStartMonth)/12)</f>
        <v/>
      </c>
      <c r="FC6" s="157">
        <f>(1+GrowthRent)^(MAX(0,155-GrowthStartMonth)/12)</f>
        <v/>
      </c>
      <c r="FD6" s="157">
        <f>(1+GrowthRent)^(MAX(0,156-GrowthStartMonth)/12)</f>
        <v/>
      </c>
      <c r="FE6" s="157">
        <f>(1+GrowthRent)^(MAX(0,157-GrowthStartMonth)/12)</f>
        <v/>
      </c>
      <c r="FF6" s="157">
        <f>(1+GrowthRent)^(MAX(0,158-GrowthStartMonth)/12)</f>
        <v/>
      </c>
      <c r="FG6" s="157">
        <f>(1+GrowthRent)^(MAX(0,159-GrowthStartMonth)/12)</f>
        <v/>
      </c>
      <c r="FH6" s="157">
        <f>(1+GrowthRent)^(MAX(0,160-GrowthStartMonth)/12)</f>
        <v/>
      </c>
      <c r="FI6" s="157">
        <f>(1+GrowthRent)^(MAX(0,161-GrowthStartMonth)/12)</f>
        <v/>
      </c>
      <c r="FJ6" s="157">
        <f>(1+GrowthRent)^(MAX(0,162-GrowthStartMonth)/12)</f>
        <v/>
      </c>
      <c r="FK6" s="157">
        <f>(1+GrowthRent)^(MAX(0,163-GrowthStartMonth)/12)</f>
        <v/>
      </c>
      <c r="FL6" s="157">
        <f>(1+GrowthRent)^(MAX(0,164-GrowthStartMonth)/12)</f>
        <v/>
      </c>
      <c r="FM6" s="157">
        <f>(1+GrowthRent)^(MAX(0,165-GrowthStartMonth)/12)</f>
        <v/>
      </c>
      <c r="FN6" s="157">
        <f>(1+GrowthRent)^(MAX(0,166-GrowthStartMonth)/12)</f>
        <v/>
      </c>
      <c r="FO6" s="157">
        <f>(1+GrowthRent)^(MAX(0,167-GrowthStartMonth)/12)</f>
        <v/>
      </c>
      <c r="FP6" s="157">
        <f>(1+GrowthRent)^(MAX(0,168-GrowthStartMonth)/12)</f>
        <v/>
      </c>
      <c r="FQ6" s="157">
        <f>(1+GrowthRent)^(MAX(0,169-GrowthStartMonth)/12)</f>
        <v/>
      </c>
      <c r="FR6" s="157">
        <f>(1+GrowthRent)^(MAX(0,170-GrowthStartMonth)/12)</f>
        <v/>
      </c>
      <c r="FS6" s="157">
        <f>(1+GrowthRent)^(MAX(0,171-GrowthStartMonth)/12)</f>
        <v/>
      </c>
      <c r="FT6" s="157">
        <f>(1+GrowthRent)^(MAX(0,172-GrowthStartMonth)/12)</f>
        <v/>
      </c>
      <c r="FU6" s="157">
        <f>(1+GrowthRent)^(MAX(0,173-GrowthStartMonth)/12)</f>
        <v/>
      </c>
      <c r="FV6" s="157">
        <f>(1+GrowthRent)^(MAX(0,174-GrowthStartMonth)/12)</f>
        <v/>
      </c>
      <c r="FW6" s="157">
        <f>(1+GrowthRent)^(MAX(0,175-GrowthStartMonth)/12)</f>
        <v/>
      </c>
      <c r="FX6" s="157">
        <f>(1+GrowthRent)^(MAX(0,176-GrowthStartMonth)/12)</f>
        <v/>
      </c>
      <c r="FY6" s="157">
        <f>(1+GrowthRent)^(MAX(0,177-GrowthStartMonth)/12)</f>
        <v/>
      </c>
      <c r="FZ6" s="157">
        <f>(1+GrowthRent)^(MAX(0,178-GrowthStartMonth)/12)</f>
        <v/>
      </c>
      <c r="GA6" s="157">
        <f>(1+GrowthRent)^(MAX(0,179-GrowthStartMonth)/12)</f>
        <v/>
      </c>
      <c r="GB6" s="157">
        <f>(1+GrowthRent)^(MAX(0,180-GrowthStartMonth)/12)</f>
        <v/>
      </c>
      <c r="GC6" s="157">
        <f>(1+GrowthRent)^(MAX(0,181-GrowthStartMonth)/12)</f>
        <v/>
      </c>
      <c r="GD6" s="157">
        <f>(1+GrowthRent)^(MAX(0,182-GrowthStartMonth)/12)</f>
        <v/>
      </c>
      <c r="GE6" s="157">
        <f>(1+GrowthRent)^(MAX(0,183-GrowthStartMonth)/12)</f>
        <v/>
      </c>
      <c r="GF6" s="157">
        <f>(1+GrowthRent)^(MAX(0,184-GrowthStartMonth)/12)</f>
        <v/>
      </c>
      <c r="GG6" s="157">
        <f>(1+GrowthRent)^(MAX(0,185-GrowthStartMonth)/12)</f>
        <v/>
      </c>
      <c r="GH6" s="157">
        <f>(1+GrowthRent)^(MAX(0,186-GrowthStartMonth)/12)</f>
        <v/>
      </c>
      <c r="GI6" s="157">
        <f>(1+GrowthRent)^(MAX(0,187-GrowthStartMonth)/12)</f>
        <v/>
      </c>
      <c r="GJ6" s="157">
        <f>(1+GrowthRent)^(MAX(0,188-GrowthStartMonth)/12)</f>
        <v/>
      </c>
      <c r="GK6" s="157">
        <f>(1+GrowthRent)^(MAX(0,189-GrowthStartMonth)/12)</f>
        <v/>
      </c>
      <c r="GL6" s="157">
        <f>(1+GrowthRent)^(MAX(0,190-GrowthStartMonth)/12)</f>
        <v/>
      </c>
      <c r="GM6" s="157">
        <f>(1+GrowthRent)^(MAX(0,191-GrowthStartMonth)/12)</f>
        <v/>
      </c>
      <c r="GN6" s="157">
        <f>(1+GrowthRent)^(MAX(0,192-GrowthStartMonth)/12)</f>
        <v/>
      </c>
      <c r="GO6" s="157">
        <f>(1+GrowthRent)^(MAX(0,193-GrowthStartMonth)/12)</f>
        <v/>
      </c>
      <c r="GP6" s="157">
        <f>(1+GrowthRent)^(MAX(0,194-GrowthStartMonth)/12)</f>
        <v/>
      </c>
      <c r="GQ6" s="157">
        <f>(1+GrowthRent)^(MAX(0,195-GrowthStartMonth)/12)</f>
        <v/>
      </c>
      <c r="GR6" s="157">
        <f>(1+GrowthRent)^(MAX(0,196-GrowthStartMonth)/12)</f>
        <v/>
      </c>
      <c r="GS6" s="157">
        <f>(1+GrowthRent)^(MAX(0,197-GrowthStartMonth)/12)</f>
        <v/>
      </c>
      <c r="GT6" s="157">
        <f>(1+GrowthRent)^(MAX(0,198-GrowthStartMonth)/12)</f>
        <v/>
      </c>
      <c r="GU6" s="157">
        <f>(1+GrowthRent)^(MAX(0,199-GrowthStartMonth)/12)</f>
        <v/>
      </c>
      <c r="GV6" s="157">
        <f>(1+GrowthRent)^(MAX(0,200-GrowthStartMonth)/12)</f>
        <v/>
      </c>
      <c r="GW6" s="157">
        <f>(1+GrowthRent)^(MAX(0,201-GrowthStartMonth)/12)</f>
        <v/>
      </c>
      <c r="GX6" s="157">
        <f>(1+GrowthRent)^(MAX(0,202-GrowthStartMonth)/12)</f>
        <v/>
      </c>
      <c r="GY6" s="157">
        <f>(1+GrowthRent)^(MAX(0,203-GrowthStartMonth)/12)</f>
        <v/>
      </c>
      <c r="GZ6" s="157">
        <f>(1+GrowthRent)^(MAX(0,204-GrowthStartMonth)/12)</f>
        <v/>
      </c>
      <c r="HA6" s="157">
        <f>(1+GrowthRent)^(MAX(0,205-GrowthStartMonth)/12)</f>
        <v/>
      </c>
      <c r="HB6" s="157">
        <f>(1+GrowthRent)^(MAX(0,206-GrowthStartMonth)/12)</f>
        <v/>
      </c>
      <c r="HC6" s="157">
        <f>(1+GrowthRent)^(MAX(0,207-GrowthStartMonth)/12)</f>
        <v/>
      </c>
      <c r="HD6" s="157">
        <f>(1+GrowthRent)^(MAX(0,208-GrowthStartMonth)/12)</f>
        <v/>
      </c>
      <c r="HE6" s="157">
        <f>(1+GrowthRent)^(MAX(0,209-GrowthStartMonth)/12)</f>
        <v/>
      </c>
      <c r="HF6" s="157">
        <f>(1+GrowthRent)^(MAX(0,210-GrowthStartMonth)/12)</f>
        <v/>
      </c>
      <c r="HG6" s="157">
        <f>(1+GrowthRent)^(MAX(0,211-GrowthStartMonth)/12)</f>
        <v/>
      </c>
      <c r="HH6" s="157">
        <f>(1+GrowthRent)^(MAX(0,212-GrowthStartMonth)/12)</f>
        <v/>
      </c>
      <c r="HI6" s="157">
        <f>(1+GrowthRent)^(MAX(0,213-GrowthStartMonth)/12)</f>
        <v/>
      </c>
      <c r="HJ6" s="157">
        <f>(1+GrowthRent)^(MAX(0,214-GrowthStartMonth)/12)</f>
        <v/>
      </c>
      <c r="HK6" s="157">
        <f>(1+GrowthRent)^(MAX(0,215-GrowthStartMonth)/12)</f>
        <v/>
      </c>
      <c r="HL6" s="157">
        <f>(1+GrowthRent)^(MAX(0,216-GrowthStartMonth)/12)</f>
        <v/>
      </c>
      <c r="HM6" s="157">
        <f>(1+GrowthRent)^(MAX(0,217-GrowthStartMonth)/12)</f>
        <v/>
      </c>
      <c r="HN6" s="157">
        <f>(1+GrowthRent)^(MAX(0,218-GrowthStartMonth)/12)</f>
        <v/>
      </c>
      <c r="HO6" s="157">
        <f>(1+GrowthRent)^(MAX(0,219-GrowthStartMonth)/12)</f>
        <v/>
      </c>
      <c r="HP6" s="157">
        <f>(1+GrowthRent)^(MAX(0,220-GrowthStartMonth)/12)</f>
        <v/>
      </c>
      <c r="HQ6" s="157">
        <f>(1+GrowthRent)^(MAX(0,221-GrowthStartMonth)/12)</f>
        <v/>
      </c>
      <c r="HR6" s="157">
        <f>(1+GrowthRent)^(MAX(0,222-GrowthStartMonth)/12)</f>
        <v/>
      </c>
      <c r="HS6" s="157">
        <f>(1+GrowthRent)^(MAX(0,223-GrowthStartMonth)/12)</f>
        <v/>
      </c>
      <c r="HT6" s="157">
        <f>(1+GrowthRent)^(MAX(0,224-GrowthStartMonth)/12)</f>
        <v/>
      </c>
      <c r="HU6" s="157">
        <f>(1+GrowthRent)^(MAX(0,225-GrowthStartMonth)/12)</f>
        <v/>
      </c>
      <c r="HV6" s="157">
        <f>(1+GrowthRent)^(MAX(0,226-GrowthStartMonth)/12)</f>
        <v/>
      </c>
      <c r="HW6" s="157">
        <f>(1+GrowthRent)^(MAX(0,227-GrowthStartMonth)/12)</f>
        <v/>
      </c>
      <c r="HX6" s="157">
        <f>(1+GrowthRent)^(MAX(0,228-GrowthStartMonth)/12)</f>
        <v/>
      </c>
      <c r="HY6" s="157">
        <f>(1+GrowthRent)^(MAX(0,229-GrowthStartMonth)/12)</f>
        <v/>
      </c>
      <c r="HZ6" s="157">
        <f>(1+GrowthRent)^(MAX(0,230-GrowthStartMonth)/12)</f>
        <v/>
      </c>
      <c r="IA6" s="157">
        <f>(1+GrowthRent)^(MAX(0,231-GrowthStartMonth)/12)</f>
        <v/>
      </c>
      <c r="IB6" s="157">
        <f>(1+GrowthRent)^(MAX(0,232-GrowthStartMonth)/12)</f>
        <v/>
      </c>
      <c r="IC6" s="157">
        <f>(1+GrowthRent)^(MAX(0,233-GrowthStartMonth)/12)</f>
        <v/>
      </c>
      <c r="ID6" s="157">
        <f>(1+GrowthRent)^(MAX(0,234-GrowthStartMonth)/12)</f>
        <v/>
      </c>
      <c r="IE6" s="157">
        <f>(1+GrowthRent)^(MAX(0,235-GrowthStartMonth)/12)</f>
        <v/>
      </c>
      <c r="IF6" s="157">
        <f>(1+GrowthRent)^(MAX(0,236-GrowthStartMonth)/12)</f>
        <v/>
      </c>
      <c r="IG6" s="157">
        <f>(1+GrowthRent)^(MAX(0,237-GrowthStartMonth)/12)</f>
        <v/>
      </c>
      <c r="IH6" s="157">
        <f>(1+GrowthRent)^(MAX(0,238-GrowthStartMonth)/12)</f>
        <v/>
      </c>
      <c r="II6" s="157">
        <f>(1+GrowthRent)^(MAX(0,239-GrowthStartMonth)/12)</f>
        <v/>
      </c>
      <c r="IJ6" s="157">
        <f>(1+GrowthRent)^(MAX(0,240-GrowthStartMonth)/12)</f>
        <v/>
      </c>
      <c r="IK6" s="157">
        <f>(1+GrowthRent)^(MAX(0,241-GrowthStartMonth)/12)</f>
        <v/>
      </c>
      <c r="IL6" s="157">
        <f>(1+GrowthRent)^(MAX(0,242-GrowthStartMonth)/12)</f>
        <v/>
      </c>
      <c r="IM6" s="157">
        <f>(1+GrowthRent)^(MAX(0,243-GrowthStartMonth)/12)</f>
        <v/>
      </c>
      <c r="IN6" s="157">
        <f>(1+GrowthRent)^(MAX(0,244-GrowthStartMonth)/12)</f>
        <v/>
      </c>
      <c r="IO6" s="157">
        <f>(1+GrowthRent)^(MAX(0,245-GrowthStartMonth)/12)</f>
        <v/>
      </c>
      <c r="IP6" s="157">
        <f>(1+GrowthRent)^(MAX(0,246-GrowthStartMonth)/12)</f>
        <v/>
      </c>
      <c r="IQ6" s="157">
        <f>(1+GrowthRent)^(MAX(0,247-GrowthStartMonth)/12)</f>
        <v/>
      </c>
      <c r="IR6" s="157">
        <f>(1+GrowthRent)^(MAX(0,248-GrowthStartMonth)/12)</f>
        <v/>
      </c>
      <c r="IS6" s="157">
        <f>(1+GrowthRent)^(MAX(0,249-GrowthStartMonth)/12)</f>
        <v/>
      </c>
      <c r="IT6" s="157">
        <f>(1+GrowthRent)^(MAX(0,250-GrowthStartMonth)/12)</f>
        <v/>
      </c>
      <c r="IU6" s="157">
        <f>(1+GrowthRent)^(MAX(0,251-GrowthStartMonth)/12)</f>
        <v/>
      </c>
      <c r="IV6" s="157">
        <f>(1+GrowthRent)^(MAX(0,252-GrowthStartMonth)/12)</f>
        <v/>
      </c>
      <c r="IW6" s="157">
        <f>(1+GrowthRent)^(MAX(0,253-GrowthStartMonth)/12)</f>
        <v/>
      </c>
      <c r="IX6" s="157">
        <f>(1+GrowthRent)^(MAX(0,254-GrowthStartMonth)/12)</f>
        <v/>
      </c>
      <c r="IY6" s="157">
        <f>(1+GrowthRent)^(MAX(0,255-GrowthStartMonth)/12)</f>
        <v/>
      </c>
      <c r="IZ6" s="157">
        <f>(1+GrowthRent)^(MAX(0,256-GrowthStartMonth)/12)</f>
        <v/>
      </c>
      <c r="JA6" s="157">
        <f>(1+GrowthRent)^(MAX(0,257-GrowthStartMonth)/12)</f>
        <v/>
      </c>
      <c r="JB6" s="157">
        <f>(1+GrowthRent)^(MAX(0,258-GrowthStartMonth)/12)</f>
        <v/>
      </c>
      <c r="JC6" s="157">
        <f>(1+GrowthRent)^(MAX(0,259-GrowthStartMonth)/12)</f>
        <v/>
      </c>
      <c r="JD6" s="157">
        <f>(1+GrowthRent)^(MAX(0,260-GrowthStartMonth)/12)</f>
        <v/>
      </c>
      <c r="JE6" s="157">
        <f>(1+GrowthRent)^(MAX(0,261-GrowthStartMonth)/12)</f>
        <v/>
      </c>
      <c r="JF6" s="157">
        <f>(1+GrowthRent)^(MAX(0,262-GrowthStartMonth)/12)</f>
        <v/>
      </c>
      <c r="JG6" s="157">
        <f>(1+GrowthRent)^(MAX(0,263-GrowthStartMonth)/12)</f>
        <v/>
      </c>
      <c r="JH6" s="157">
        <f>(1+GrowthRent)^(MAX(0,264-GrowthStartMonth)/12)</f>
        <v/>
      </c>
      <c r="JI6" s="157">
        <f>(1+GrowthRent)^(MAX(0,265-GrowthStartMonth)/12)</f>
        <v/>
      </c>
      <c r="JJ6" s="157">
        <f>(1+GrowthRent)^(MAX(0,266-GrowthStartMonth)/12)</f>
        <v/>
      </c>
      <c r="JK6" s="157">
        <f>(1+GrowthRent)^(MAX(0,267-GrowthStartMonth)/12)</f>
        <v/>
      </c>
      <c r="JL6" s="157">
        <f>(1+GrowthRent)^(MAX(0,268-GrowthStartMonth)/12)</f>
        <v/>
      </c>
      <c r="JM6" s="157">
        <f>(1+GrowthRent)^(MAX(0,269-GrowthStartMonth)/12)</f>
        <v/>
      </c>
      <c r="JN6" s="157">
        <f>(1+GrowthRent)^(MAX(0,270-GrowthStartMonth)/12)</f>
        <v/>
      </c>
      <c r="JO6" s="157">
        <f>(1+GrowthRent)^(MAX(0,271-GrowthStartMonth)/12)</f>
        <v/>
      </c>
      <c r="JP6" s="157">
        <f>(1+GrowthRent)^(MAX(0,272-GrowthStartMonth)/12)</f>
        <v/>
      </c>
      <c r="JQ6" s="157">
        <f>(1+GrowthRent)^(MAX(0,273-GrowthStartMonth)/12)</f>
        <v/>
      </c>
      <c r="JR6" s="157">
        <f>(1+GrowthRent)^(MAX(0,274-GrowthStartMonth)/12)</f>
        <v/>
      </c>
      <c r="JS6" s="157">
        <f>(1+GrowthRent)^(MAX(0,275-GrowthStartMonth)/12)</f>
        <v/>
      </c>
      <c r="JT6" s="157">
        <f>(1+GrowthRent)^(MAX(0,276-GrowthStartMonth)/12)</f>
        <v/>
      </c>
      <c r="JU6" s="157">
        <f>(1+GrowthRent)^(MAX(0,277-GrowthStartMonth)/12)</f>
        <v/>
      </c>
      <c r="JV6" s="157">
        <f>(1+GrowthRent)^(MAX(0,278-GrowthStartMonth)/12)</f>
        <v/>
      </c>
      <c r="JW6" s="157">
        <f>(1+GrowthRent)^(MAX(0,279-GrowthStartMonth)/12)</f>
        <v/>
      </c>
      <c r="JX6" s="157">
        <f>(1+GrowthRent)^(MAX(0,280-GrowthStartMonth)/12)</f>
        <v/>
      </c>
      <c r="JY6" s="157">
        <f>(1+GrowthRent)^(MAX(0,281-GrowthStartMonth)/12)</f>
        <v/>
      </c>
      <c r="JZ6" s="157">
        <f>(1+GrowthRent)^(MAX(0,282-GrowthStartMonth)/12)</f>
        <v/>
      </c>
      <c r="KA6" s="157">
        <f>(1+GrowthRent)^(MAX(0,283-GrowthStartMonth)/12)</f>
        <v/>
      </c>
      <c r="KB6" s="157">
        <f>(1+GrowthRent)^(MAX(0,284-GrowthStartMonth)/12)</f>
        <v/>
      </c>
      <c r="KC6" s="157">
        <f>(1+GrowthRent)^(MAX(0,285-GrowthStartMonth)/12)</f>
        <v/>
      </c>
      <c r="KD6" s="157">
        <f>(1+GrowthRent)^(MAX(0,286-GrowthStartMonth)/12)</f>
        <v/>
      </c>
      <c r="KE6" s="157">
        <f>(1+GrowthRent)^(MAX(0,287-GrowthStartMonth)/12)</f>
        <v/>
      </c>
      <c r="KF6" s="157">
        <f>(1+GrowthRent)^(MAX(0,288-GrowthStartMonth)/12)</f>
        <v/>
      </c>
      <c r="KG6" s="157">
        <f>(1+GrowthRent)^(MAX(0,289-GrowthStartMonth)/12)</f>
        <v/>
      </c>
      <c r="KH6" s="157">
        <f>(1+GrowthRent)^(MAX(0,290-GrowthStartMonth)/12)</f>
        <v/>
      </c>
      <c r="KI6" s="157">
        <f>(1+GrowthRent)^(MAX(0,291-GrowthStartMonth)/12)</f>
        <v/>
      </c>
      <c r="KJ6" s="157">
        <f>(1+GrowthRent)^(MAX(0,292-GrowthStartMonth)/12)</f>
        <v/>
      </c>
      <c r="KK6" s="157">
        <f>(1+GrowthRent)^(MAX(0,293-GrowthStartMonth)/12)</f>
        <v/>
      </c>
      <c r="KL6" s="157">
        <f>(1+GrowthRent)^(MAX(0,294-GrowthStartMonth)/12)</f>
        <v/>
      </c>
      <c r="KM6" s="157">
        <f>(1+GrowthRent)^(MAX(0,295-GrowthStartMonth)/12)</f>
        <v/>
      </c>
      <c r="KN6" s="157">
        <f>(1+GrowthRent)^(MAX(0,296-GrowthStartMonth)/12)</f>
        <v/>
      </c>
      <c r="KO6" s="157">
        <f>(1+GrowthRent)^(MAX(0,297-GrowthStartMonth)/12)</f>
        <v/>
      </c>
      <c r="KP6" s="157">
        <f>(1+GrowthRent)^(MAX(0,298-GrowthStartMonth)/12)</f>
        <v/>
      </c>
      <c r="KQ6" s="157">
        <f>(1+GrowthRent)^(MAX(0,299-GrowthStartMonth)/12)</f>
        <v/>
      </c>
      <c r="KR6" s="157">
        <f>(1+GrowthRent)^(MAX(0,300-GrowthStartMonth)/12)</f>
        <v/>
      </c>
      <c r="KS6" s="157">
        <f>(1+GrowthRent)^(MAX(0,301-GrowthStartMonth)/12)</f>
        <v/>
      </c>
      <c r="KT6" s="157">
        <f>(1+GrowthRent)^(MAX(0,302-GrowthStartMonth)/12)</f>
        <v/>
      </c>
      <c r="KU6" s="157">
        <f>(1+GrowthRent)^(MAX(0,303-GrowthStartMonth)/12)</f>
        <v/>
      </c>
      <c r="KV6" s="157">
        <f>(1+GrowthRent)^(MAX(0,304-GrowthStartMonth)/12)</f>
        <v/>
      </c>
      <c r="KW6" s="157">
        <f>(1+GrowthRent)^(MAX(0,305-GrowthStartMonth)/12)</f>
        <v/>
      </c>
      <c r="KX6" s="157">
        <f>(1+GrowthRent)^(MAX(0,306-GrowthStartMonth)/12)</f>
        <v/>
      </c>
      <c r="KY6" s="157">
        <f>(1+GrowthRent)^(MAX(0,307-GrowthStartMonth)/12)</f>
        <v/>
      </c>
      <c r="KZ6" s="157">
        <f>(1+GrowthRent)^(MAX(0,308-GrowthStartMonth)/12)</f>
        <v/>
      </c>
      <c r="LA6" s="157">
        <f>(1+GrowthRent)^(MAX(0,309-GrowthStartMonth)/12)</f>
        <v/>
      </c>
      <c r="LB6" s="157">
        <f>(1+GrowthRent)^(MAX(0,310-GrowthStartMonth)/12)</f>
        <v/>
      </c>
      <c r="LC6" s="157">
        <f>(1+GrowthRent)^(MAX(0,311-GrowthStartMonth)/12)</f>
        <v/>
      </c>
      <c r="LD6" s="157">
        <f>(1+GrowthRent)^(MAX(0,312-GrowthStartMonth)/12)</f>
        <v/>
      </c>
      <c r="LE6" s="157">
        <f>(1+GrowthRent)^(MAX(0,313-GrowthStartMonth)/12)</f>
        <v/>
      </c>
      <c r="LF6" s="157">
        <f>(1+GrowthRent)^(MAX(0,314-GrowthStartMonth)/12)</f>
        <v/>
      </c>
      <c r="LG6" s="157">
        <f>(1+GrowthRent)^(MAX(0,315-GrowthStartMonth)/12)</f>
        <v/>
      </c>
      <c r="LH6" s="157">
        <f>(1+GrowthRent)^(MAX(0,316-GrowthStartMonth)/12)</f>
        <v/>
      </c>
      <c r="LI6" s="157">
        <f>(1+GrowthRent)^(MAX(0,317-GrowthStartMonth)/12)</f>
        <v/>
      </c>
      <c r="LJ6" s="157">
        <f>(1+GrowthRent)^(MAX(0,318-GrowthStartMonth)/12)</f>
        <v/>
      </c>
      <c r="LK6" s="157">
        <f>(1+GrowthRent)^(MAX(0,319-GrowthStartMonth)/12)</f>
        <v/>
      </c>
      <c r="LL6" s="157">
        <f>(1+GrowthRent)^(MAX(0,320-GrowthStartMonth)/12)</f>
        <v/>
      </c>
      <c r="LM6" s="157">
        <f>(1+GrowthRent)^(MAX(0,321-GrowthStartMonth)/12)</f>
        <v/>
      </c>
      <c r="LN6" s="157">
        <f>(1+GrowthRent)^(MAX(0,322-GrowthStartMonth)/12)</f>
        <v/>
      </c>
      <c r="LO6" s="157">
        <f>(1+GrowthRent)^(MAX(0,323-GrowthStartMonth)/12)</f>
        <v/>
      </c>
      <c r="LP6" s="157">
        <f>(1+GrowthRent)^(MAX(0,324-GrowthStartMonth)/12)</f>
        <v/>
      </c>
      <c r="LQ6" s="157">
        <f>(1+GrowthRent)^(MAX(0,325-GrowthStartMonth)/12)</f>
        <v/>
      </c>
      <c r="LR6" s="157">
        <f>(1+GrowthRent)^(MAX(0,326-GrowthStartMonth)/12)</f>
        <v/>
      </c>
      <c r="LS6" s="157">
        <f>(1+GrowthRent)^(MAX(0,327-GrowthStartMonth)/12)</f>
        <v/>
      </c>
      <c r="LT6" s="157">
        <f>(1+GrowthRent)^(MAX(0,328-GrowthStartMonth)/12)</f>
        <v/>
      </c>
      <c r="LU6" s="157">
        <f>(1+GrowthRent)^(MAX(0,329-GrowthStartMonth)/12)</f>
        <v/>
      </c>
      <c r="LV6" s="157">
        <f>(1+GrowthRent)^(MAX(0,330-GrowthStartMonth)/12)</f>
        <v/>
      </c>
      <c r="LW6" s="157">
        <f>(1+GrowthRent)^(MAX(0,331-GrowthStartMonth)/12)</f>
        <v/>
      </c>
      <c r="LX6" s="157">
        <f>(1+GrowthRent)^(MAX(0,332-GrowthStartMonth)/12)</f>
        <v/>
      </c>
      <c r="LY6" s="157">
        <f>(1+GrowthRent)^(MAX(0,333-GrowthStartMonth)/12)</f>
        <v/>
      </c>
      <c r="LZ6" s="157">
        <f>(1+GrowthRent)^(MAX(0,334-GrowthStartMonth)/12)</f>
        <v/>
      </c>
      <c r="MA6" s="157">
        <f>(1+GrowthRent)^(MAX(0,335-GrowthStartMonth)/12)</f>
        <v/>
      </c>
      <c r="MB6" s="157">
        <f>(1+GrowthRent)^(MAX(0,336-GrowthStartMonth)/12)</f>
        <v/>
      </c>
      <c r="MC6" s="157">
        <f>(1+GrowthRent)^(MAX(0,337-GrowthStartMonth)/12)</f>
        <v/>
      </c>
      <c r="MD6" s="157">
        <f>(1+GrowthRent)^(MAX(0,338-GrowthStartMonth)/12)</f>
        <v/>
      </c>
      <c r="ME6" s="157">
        <f>(1+GrowthRent)^(MAX(0,339-GrowthStartMonth)/12)</f>
        <v/>
      </c>
      <c r="MF6" s="157">
        <f>(1+GrowthRent)^(MAX(0,340-GrowthStartMonth)/12)</f>
        <v/>
      </c>
      <c r="MG6" s="157">
        <f>(1+GrowthRent)^(MAX(0,341-GrowthStartMonth)/12)</f>
        <v/>
      </c>
      <c r="MH6" s="157">
        <f>(1+GrowthRent)^(MAX(0,342-GrowthStartMonth)/12)</f>
        <v/>
      </c>
      <c r="MI6" s="157">
        <f>(1+GrowthRent)^(MAX(0,343-GrowthStartMonth)/12)</f>
        <v/>
      </c>
      <c r="MJ6" s="157">
        <f>(1+GrowthRent)^(MAX(0,344-GrowthStartMonth)/12)</f>
        <v/>
      </c>
      <c r="MK6" s="157">
        <f>(1+GrowthRent)^(MAX(0,345-GrowthStartMonth)/12)</f>
        <v/>
      </c>
      <c r="ML6" s="157">
        <f>(1+GrowthRent)^(MAX(0,346-GrowthStartMonth)/12)</f>
        <v/>
      </c>
      <c r="MM6" s="157">
        <f>(1+GrowthRent)^(MAX(0,347-GrowthStartMonth)/12)</f>
        <v/>
      </c>
      <c r="MN6" s="157">
        <f>(1+GrowthRent)^(MAX(0,348-GrowthStartMonth)/12)</f>
        <v/>
      </c>
      <c r="MO6" s="157">
        <f>(1+GrowthRent)^(MAX(0,349-GrowthStartMonth)/12)</f>
        <v/>
      </c>
      <c r="MP6" s="157">
        <f>(1+GrowthRent)^(MAX(0,350-GrowthStartMonth)/12)</f>
        <v/>
      </c>
      <c r="MQ6" s="157">
        <f>(1+GrowthRent)^(MAX(0,351-GrowthStartMonth)/12)</f>
        <v/>
      </c>
      <c r="MR6" s="157">
        <f>(1+GrowthRent)^(MAX(0,352-GrowthStartMonth)/12)</f>
        <v/>
      </c>
      <c r="MS6" s="157">
        <f>(1+GrowthRent)^(MAX(0,353-GrowthStartMonth)/12)</f>
        <v/>
      </c>
      <c r="MT6" s="157">
        <f>(1+GrowthRent)^(MAX(0,354-GrowthStartMonth)/12)</f>
        <v/>
      </c>
      <c r="MU6" s="157">
        <f>(1+GrowthRent)^(MAX(0,355-GrowthStartMonth)/12)</f>
        <v/>
      </c>
      <c r="MV6" s="157">
        <f>(1+GrowthRent)^(MAX(0,356-GrowthStartMonth)/12)</f>
        <v/>
      </c>
      <c r="MW6" s="157">
        <f>(1+GrowthRent)^(MAX(0,357-GrowthStartMonth)/12)</f>
        <v/>
      </c>
      <c r="MX6" s="157">
        <f>(1+GrowthRent)^(MAX(0,358-GrowthStartMonth)/12)</f>
        <v/>
      </c>
      <c r="MY6" s="157">
        <f>(1+GrowthRent)^(MAX(0,359-GrowthStartMonth)/12)</f>
        <v/>
      </c>
      <c r="MZ6" s="157">
        <f>(1+GrowthRent)^(MAX(0,360-GrowthStartMonth)/12)</f>
        <v/>
      </c>
      <c r="NA6" s="157">
        <f>(1+GrowthRent)^(MAX(0,361-GrowthStartMonth)/12)</f>
        <v/>
      </c>
      <c r="NB6" s="157">
        <f>(1+GrowthRent)^(MAX(0,362-GrowthStartMonth)/12)</f>
        <v/>
      </c>
      <c r="NC6" s="157">
        <f>(1+GrowthRent)^(MAX(0,363-GrowthStartMonth)/12)</f>
        <v/>
      </c>
      <c r="ND6" s="157">
        <f>(1+GrowthRent)^(MAX(0,364-GrowthStartMonth)/12)</f>
        <v/>
      </c>
      <c r="NE6" s="157">
        <f>(1+GrowthRent)^(MAX(0,365-GrowthStartMonth)/12)</f>
        <v/>
      </c>
      <c r="NF6" s="157">
        <f>(1+GrowthRent)^(MAX(0,366-GrowthStartMonth)/12)</f>
        <v/>
      </c>
      <c r="NG6" s="157">
        <f>(1+GrowthRent)^(MAX(0,367-GrowthStartMonth)/12)</f>
        <v/>
      </c>
      <c r="NH6" s="157">
        <f>(1+GrowthRent)^(MAX(0,368-GrowthStartMonth)/12)</f>
        <v/>
      </c>
      <c r="NI6" s="157">
        <f>(1+GrowthRent)^(MAX(0,369-GrowthStartMonth)/12)</f>
        <v/>
      </c>
      <c r="NJ6" s="157">
        <f>(1+GrowthRent)^(MAX(0,370-GrowthStartMonth)/12)</f>
        <v/>
      </c>
      <c r="NK6" s="157">
        <f>(1+GrowthRent)^(MAX(0,371-GrowthStartMonth)/12)</f>
        <v/>
      </c>
      <c r="NL6" s="158">
        <f>(1+GrowthRent)^(MAX(0,372-GrowthStartMonth)/12)</f>
        <v/>
      </c>
    </row>
    <row r="7">
      <c r="B7" s="36" t="inlineStr">
        <is>
          <t>Growth Factor — Low-Income Rent</t>
        </is>
      </c>
      <c r="D7" s="156" t="n"/>
      <c r="E7" s="157">
        <f>(1+GrowthLowIncRent)^(MAX(0,1-GrowthStartMonth)/12)</f>
        <v/>
      </c>
      <c r="F7" s="157">
        <f>(1+GrowthLowIncRent)^(MAX(0,2-GrowthStartMonth)/12)</f>
        <v/>
      </c>
      <c r="G7" s="157">
        <f>(1+GrowthLowIncRent)^(MAX(0,3-GrowthStartMonth)/12)</f>
        <v/>
      </c>
      <c r="H7" s="157">
        <f>(1+GrowthLowIncRent)^(MAX(0,4-GrowthStartMonth)/12)</f>
        <v/>
      </c>
      <c r="I7" s="157">
        <f>(1+GrowthLowIncRent)^(MAX(0,5-GrowthStartMonth)/12)</f>
        <v/>
      </c>
      <c r="J7" s="157">
        <f>(1+GrowthLowIncRent)^(MAX(0,6-GrowthStartMonth)/12)</f>
        <v/>
      </c>
      <c r="K7" s="157">
        <f>(1+GrowthLowIncRent)^(MAX(0,7-GrowthStartMonth)/12)</f>
        <v/>
      </c>
      <c r="L7" s="157">
        <f>(1+GrowthLowIncRent)^(MAX(0,8-GrowthStartMonth)/12)</f>
        <v/>
      </c>
      <c r="M7" s="157">
        <f>(1+GrowthLowIncRent)^(MAX(0,9-GrowthStartMonth)/12)</f>
        <v/>
      </c>
      <c r="N7" s="157">
        <f>(1+GrowthLowIncRent)^(MAX(0,10-GrowthStartMonth)/12)</f>
        <v/>
      </c>
      <c r="O7" s="157">
        <f>(1+GrowthLowIncRent)^(MAX(0,11-GrowthStartMonth)/12)</f>
        <v/>
      </c>
      <c r="P7" s="157">
        <f>(1+GrowthLowIncRent)^(MAX(0,12-GrowthStartMonth)/12)</f>
        <v/>
      </c>
      <c r="Q7" s="157">
        <f>(1+GrowthLowIncRent)^(MAX(0,13-GrowthStartMonth)/12)</f>
        <v/>
      </c>
      <c r="R7" s="157">
        <f>(1+GrowthLowIncRent)^(MAX(0,14-GrowthStartMonth)/12)</f>
        <v/>
      </c>
      <c r="S7" s="157">
        <f>(1+GrowthLowIncRent)^(MAX(0,15-GrowthStartMonth)/12)</f>
        <v/>
      </c>
      <c r="T7" s="157">
        <f>(1+GrowthLowIncRent)^(MAX(0,16-GrowthStartMonth)/12)</f>
        <v/>
      </c>
      <c r="U7" s="157">
        <f>(1+GrowthLowIncRent)^(MAX(0,17-GrowthStartMonth)/12)</f>
        <v/>
      </c>
      <c r="V7" s="157">
        <f>(1+GrowthLowIncRent)^(MAX(0,18-GrowthStartMonth)/12)</f>
        <v/>
      </c>
      <c r="W7" s="157">
        <f>(1+GrowthLowIncRent)^(MAX(0,19-GrowthStartMonth)/12)</f>
        <v/>
      </c>
      <c r="X7" s="157">
        <f>(1+GrowthLowIncRent)^(MAX(0,20-GrowthStartMonth)/12)</f>
        <v/>
      </c>
      <c r="Y7" s="157">
        <f>(1+GrowthLowIncRent)^(MAX(0,21-GrowthStartMonth)/12)</f>
        <v/>
      </c>
      <c r="Z7" s="157">
        <f>(1+GrowthLowIncRent)^(MAX(0,22-GrowthStartMonth)/12)</f>
        <v/>
      </c>
      <c r="AA7" s="157">
        <f>(1+GrowthLowIncRent)^(MAX(0,23-GrowthStartMonth)/12)</f>
        <v/>
      </c>
      <c r="AB7" s="157">
        <f>(1+GrowthLowIncRent)^(MAX(0,24-GrowthStartMonth)/12)</f>
        <v/>
      </c>
      <c r="AC7" s="157">
        <f>(1+GrowthLowIncRent)^(MAX(0,25-GrowthStartMonth)/12)</f>
        <v/>
      </c>
      <c r="AD7" s="157">
        <f>(1+GrowthLowIncRent)^(MAX(0,26-GrowthStartMonth)/12)</f>
        <v/>
      </c>
      <c r="AE7" s="157">
        <f>(1+GrowthLowIncRent)^(MAX(0,27-GrowthStartMonth)/12)</f>
        <v/>
      </c>
      <c r="AF7" s="157">
        <f>(1+GrowthLowIncRent)^(MAX(0,28-GrowthStartMonth)/12)</f>
        <v/>
      </c>
      <c r="AG7" s="157">
        <f>(1+GrowthLowIncRent)^(MAX(0,29-GrowthStartMonth)/12)</f>
        <v/>
      </c>
      <c r="AH7" s="157">
        <f>(1+GrowthLowIncRent)^(MAX(0,30-GrowthStartMonth)/12)</f>
        <v/>
      </c>
      <c r="AI7" s="157">
        <f>(1+GrowthLowIncRent)^(MAX(0,31-GrowthStartMonth)/12)</f>
        <v/>
      </c>
      <c r="AJ7" s="157">
        <f>(1+GrowthLowIncRent)^(MAX(0,32-GrowthStartMonth)/12)</f>
        <v/>
      </c>
      <c r="AK7" s="157">
        <f>(1+GrowthLowIncRent)^(MAX(0,33-GrowthStartMonth)/12)</f>
        <v/>
      </c>
      <c r="AL7" s="157">
        <f>(1+GrowthLowIncRent)^(MAX(0,34-GrowthStartMonth)/12)</f>
        <v/>
      </c>
      <c r="AM7" s="157">
        <f>(1+GrowthLowIncRent)^(MAX(0,35-GrowthStartMonth)/12)</f>
        <v/>
      </c>
      <c r="AN7" s="157">
        <f>(1+GrowthLowIncRent)^(MAX(0,36-GrowthStartMonth)/12)</f>
        <v/>
      </c>
      <c r="AO7" s="157">
        <f>(1+GrowthLowIncRent)^(MAX(0,37-GrowthStartMonth)/12)</f>
        <v/>
      </c>
      <c r="AP7" s="157">
        <f>(1+GrowthLowIncRent)^(MAX(0,38-GrowthStartMonth)/12)</f>
        <v/>
      </c>
      <c r="AQ7" s="157">
        <f>(1+GrowthLowIncRent)^(MAX(0,39-GrowthStartMonth)/12)</f>
        <v/>
      </c>
      <c r="AR7" s="157">
        <f>(1+GrowthLowIncRent)^(MAX(0,40-GrowthStartMonth)/12)</f>
        <v/>
      </c>
      <c r="AS7" s="157">
        <f>(1+GrowthLowIncRent)^(MAX(0,41-GrowthStartMonth)/12)</f>
        <v/>
      </c>
      <c r="AT7" s="157">
        <f>(1+GrowthLowIncRent)^(MAX(0,42-GrowthStartMonth)/12)</f>
        <v/>
      </c>
      <c r="AU7" s="157">
        <f>(1+GrowthLowIncRent)^(MAX(0,43-GrowthStartMonth)/12)</f>
        <v/>
      </c>
      <c r="AV7" s="157">
        <f>(1+GrowthLowIncRent)^(MAX(0,44-GrowthStartMonth)/12)</f>
        <v/>
      </c>
      <c r="AW7" s="157">
        <f>(1+GrowthLowIncRent)^(MAX(0,45-GrowthStartMonth)/12)</f>
        <v/>
      </c>
      <c r="AX7" s="157">
        <f>(1+GrowthLowIncRent)^(MAX(0,46-GrowthStartMonth)/12)</f>
        <v/>
      </c>
      <c r="AY7" s="157">
        <f>(1+GrowthLowIncRent)^(MAX(0,47-GrowthStartMonth)/12)</f>
        <v/>
      </c>
      <c r="AZ7" s="157">
        <f>(1+GrowthLowIncRent)^(MAX(0,48-GrowthStartMonth)/12)</f>
        <v/>
      </c>
      <c r="BA7" s="157">
        <f>(1+GrowthLowIncRent)^(MAX(0,49-GrowthStartMonth)/12)</f>
        <v/>
      </c>
      <c r="BB7" s="157">
        <f>(1+GrowthLowIncRent)^(MAX(0,50-GrowthStartMonth)/12)</f>
        <v/>
      </c>
      <c r="BC7" s="157">
        <f>(1+GrowthLowIncRent)^(MAX(0,51-GrowthStartMonth)/12)</f>
        <v/>
      </c>
      <c r="BD7" s="157">
        <f>(1+GrowthLowIncRent)^(MAX(0,52-GrowthStartMonth)/12)</f>
        <v/>
      </c>
      <c r="BE7" s="157">
        <f>(1+GrowthLowIncRent)^(MAX(0,53-GrowthStartMonth)/12)</f>
        <v/>
      </c>
      <c r="BF7" s="157">
        <f>(1+GrowthLowIncRent)^(MAX(0,54-GrowthStartMonth)/12)</f>
        <v/>
      </c>
      <c r="BG7" s="157">
        <f>(1+GrowthLowIncRent)^(MAX(0,55-GrowthStartMonth)/12)</f>
        <v/>
      </c>
      <c r="BH7" s="157">
        <f>(1+GrowthLowIncRent)^(MAX(0,56-GrowthStartMonth)/12)</f>
        <v/>
      </c>
      <c r="BI7" s="157">
        <f>(1+GrowthLowIncRent)^(MAX(0,57-GrowthStartMonth)/12)</f>
        <v/>
      </c>
      <c r="BJ7" s="157">
        <f>(1+GrowthLowIncRent)^(MAX(0,58-GrowthStartMonth)/12)</f>
        <v/>
      </c>
      <c r="BK7" s="157">
        <f>(1+GrowthLowIncRent)^(MAX(0,59-GrowthStartMonth)/12)</f>
        <v/>
      </c>
      <c r="BL7" s="157">
        <f>(1+GrowthLowIncRent)^(MAX(0,60-GrowthStartMonth)/12)</f>
        <v/>
      </c>
      <c r="BM7" s="157">
        <f>(1+GrowthLowIncRent)^(MAX(0,61-GrowthStartMonth)/12)</f>
        <v/>
      </c>
      <c r="BN7" s="157">
        <f>(1+GrowthLowIncRent)^(MAX(0,62-GrowthStartMonth)/12)</f>
        <v/>
      </c>
      <c r="BO7" s="157">
        <f>(1+GrowthLowIncRent)^(MAX(0,63-GrowthStartMonth)/12)</f>
        <v/>
      </c>
      <c r="BP7" s="157">
        <f>(1+GrowthLowIncRent)^(MAX(0,64-GrowthStartMonth)/12)</f>
        <v/>
      </c>
      <c r="BQ7" s="157">
        <f>(1+GrowthLowIncRent)^(MAX(0,65-GrowthStartMonth)/12)</f>
        <v/>
      </c>
      <c r="BR7" s="157">
        <f>(1+GrowthLowIncRent)^(MAX(0,66-GrowthStartMonth)/12)</f>
        <v/>
      </c>
      <c r="BS7" s="157">
        <f>(1+GrowthLowIncRent)^(MAX(0,67-GrowthStartMonth)/12)</f>
        <v/>
      </c>
      <c r="BT7" s="157">
        <f>(1+GrowthLowIncRent)^(MAX(0,68-GrowthStartMonth)/12)</f>
        <v/>
      </c>
      <c r="BU7" s="157">
        <f>(1+GrowthLowIncRent)^(MAX(0,69-GrowthStartMonth)/12)</f>
        <v/>
      </c>
      <c r="BV7" s="157">
        <f>(1+GrowthLowIncRent)^(MAX(0,70-GrowthStartMonth)/12)</f>
        <v/>
      </c>
      <c r="BW7" s="157">
        <f>(1+GrowthLowIncRent)^(MAX(0,71-GrowthStartMonth)/12)</f>
        <v/>
      </c>
      <c r="BX7" s="157">
        <f>(1+GrowthLowIncRent)^(MAX(0,72-GrowthStartMonth)/12)</f>
        <v/>
      </c>
      <c r="BY7" s="157">
        <f>(1+GrowthLowIncRent)^(MAX(0,73-GrowthStartMonth)/12)</f>
        <v/>
      </c>
      <c r="BZ7" s="157">
        <f>(1+GrowthLowIncRent)^(MAX(0,74-GrowthStartMonth)/12)</f>
        <v/>
      </c>
      <c r="CA7" s="157">
        <f>(1+GrowthLowIncRent)^(MAX(0,75-GrowthStartMonth)/12)</f>
        <v/>
      </c>
      <c r="CB7" s="157">
        <f>(1+GrowthLowIncRent)^(MAX(0,76-GrowthStartMonth)/12)</f>
        <v/>
      </c>
      <c r="CC7" s="157">
        <f>(1+GrowthLowIncRent)^(MAX(0,77-GrowthStartMonth)/12)</f>
        <v/>
      </c>
      <c r="CD7" s="157">
        <f>(1+GrowthLowIncRent)^(MAX(0,78-GrowthStartMonth)/12)</f>
        <v/>
      </c>
      <c r="CE7" s="157">
        <f>(1+GrowthLowIncRent)^(MAX(0,79-GrowthStartMonth)/12)</f>
        <v/>
      </c>
      <c r="CF7" s="157">
        <f>(1+GrowthLowIncRent)^(MAX(0,80-GrowthStartMonth)/12)</f>
        <v/>
      </c>
      <c r="CG7" s="157">
        <f>(1+GrowthLowIncRent)^(MAX(0,81-GrowthStartMonth)/12)</f>
        <v/>
      </c>
      <c r="CH7" s="157">
        <f>(1+GrowthLowIncRent)^(MAX(0,82-GrowthStartMonth)/12)</f>
        <v/>
      </c>
      <c r="CI7" s="157">
        <f>(1+GrowthLowIncRent)^(MAX(0,83-GrowthStartMonth)/12)</f>
        <v/>
      </c>
      <c r="CJ7" s="157">
        <f>(1+GrowthLowIncRent)^(MAX(0,84-GrowthStartMonth)/12)</f>
        <v/>
      </c>
      <c r="CK7" s="157">
        <f>(1+GrowthLowIncRent)^(MAX(0,85-GrowthStartMonth)/12)</f>
        <v/>
      </c>
      <c r="CL7" s="157">
        <f>(1+GrowthLowIncRent)^(MAX(0,86-GrowthStartMonth)/12)</f>
        <v/>
      </c>
      <c r="CM7" s="157">
        <f>(1+GrowthLowIncRent)^(MAX(0,87-GrowthStartMonth)/12)</f>
        <v/>
      </c>
      <c r="CN7" s="157">
        <f>(1+GrowthLowIncRent)^(MAX(0,88-GrowthStartMonth)/12)</f>
        <v/>
      </c>
      <c r="CO7" s="157">
        <f>(1+GrowthLowIncRent)^(MAX(0,89-GrowthStartMonth)/12)</f>
        <v/>
      </c>
      <c r="CP7" s="157">
        <f>(1+GrowthLowIncRent)^(MAX(0,90-GrowthStartMonth)/12)</f>
        <v/>
      </c>
      <c r="CQ7" s="157">
        <f>(1+GrowthLowIncRent)^(MAX(0,91-GrowthStartMonth)/12)</f>
        <v/>
      </c>
      <c r="CR7" s="157">
        <f>(1+GrowthLowIncRent)^(MAX(0,92-GrowthStartMonth)/12)</f>
        <v/>
      </c>
      <c r="CS7" s="157">
        <f>(1+GrowthLowIncRent)^(MAX(0,93-GrowthStartMonth)/12)</f>
        <v/>
      </c>
      <c r="CT7" s="157">
        <f>(1+GrowthLowIncRent)^(MAX(0,94-GrowthStartMonth)/12)</f>
        <v/>
      </c>
      <c r="CU7" s="157">
        <f>(1+GrowthLowIncRent)^(MAX(0,95-GrowthStartMonth)/12)</f>
        <v/>
      </c>
      <c r="CV7" s="157">
        <f>(1+GrowthLowIncRent)^(MAX(0,96-GrowthStartMonth)/12)</f>
        <v/>
      </c>
      <c r="CW7" s="157">
        <f>(1+GrowthLowIncRent)^(MAX(0,97-GrowthStartMonth)/12)</f>
        <v/>
      </c>
      <c r="CX7" s="157">
        <f>(1+GrowthLowIncRent)^(MAX(0,98-GrowthStartMonth)/12)</f>
        <v/>
      </c>
      <c r="CY7" s="157">
        <f>(1+GrowthLowIncRent)^(MAX(0,99-GrowthStartMonth)/12)</f>
        <v/>
      </c>
      <c r="CZ7" s="157">
        <f>(1+GrowthLowIncRent)^(MAX(0,100-GrowthStartMonth)/12)</f>
        <v/>
      </c>
      <c r="DA7" s="157">
        <f>(1+GrowthLowIncRent)^(MAX(0,101-GrowthStartMonth)/12)</f>
        <v/>
      </c>
      <c r="DB7" s="157">
        <f>(1+GrowthLowIncRent)^(MAX(0,102-GrowthStartMonth)/12)</f>
        <v/>
      </c>
      <c r="DC7" s="157">
        <f>(1+GrowthLowIncRent)^(MAX(0,103-GrowthStartMonth)/12)</f>
        <v/>
      </c>
      <c r="DD7" s="157">
        <f>(1+GrowthLowIncRent)^(MAX(0,104-GrowthStartMonth)/12)</f>
        <v/>
      </c>
      <c r="DE7" s="157">
        <f>(1+GrowthLowIncRent)^(MAX(0,105-GrowthStartMonth)/12)</f>
        <v/>
      </c>
      <c r="DF7" s="157">
        <f>(1+GrowthLowIncRent)^(MAX(0,106-GrowthStartMonth)/12)</f>
        <v/>
      </c>
      <c r="DG7" s="157">
        <f>(1+GrowthLowIncRent)^(MAX(0,107-GrowthStartMonth)/12)</f>
        <v/>
      </c>
      <c r="DH7" s="157">
        <f>(1+GrowthLowIncRent)^(MAX(0,108-GrowthStartMonth)/12)</f>
        <v/>
      </c>
      <c r="DI7" s="157">
        <f>(1+GrowthLowIncRent)^(MAX(0,109-GrowthStartMonth)/12)</f>
        <v/>
      </c>
      <c r="DJ7" s="157">
        <f>(1+GrowthLowIncRent)^(MAX(0,110-GrowthStartMonth)/12)</f>
        <v/>
      </c>
      <c r="DK7" s="157">
        <f>(1+GrowthLowIncRent)^(MAX(0,111-GrowthStartMonth)/12)</f>
        <v/>
      </c>
      <c r="DL7" s="157">
        <f>(1+GrowthLowIncRent)^(MAX(0,112-GrowthStartMonth)/12)</f>
        <v/>
      </c>
      <c r="DM7" s="157">
        <f>(1+GrowthLowIncRent)^(MAX(0,113-GrowthStartMonth)/12)</f>
        <v/>
      </c>
      <c r="DN7" s="157">
        <f>(1+GrowthLowIncRent)^(MAX(0,114-GrowthStartMonth)/12)</f>
        <v/>
      </c>
      <c r="DO7" s="157">
        <f>(1+GrowthLowIncRent)^(MAX(0,115-GrowthStartMonth)/12)</f>
        <v/>
      </c>
      <c r="DP7" s="157">
        <f>(1+GrowthLowIncRent)^(MAX(0,116-GrowthStartMonth)/12)</f>
        <v/>
      </c>
      <c r="DQ7" s="157">
        <f>(1+GrowthLowIncRent)^(MAX(0,117-GrowthStartMonth)/12)</f>
        <v/>
      </c>
      <c r="DR7" s="157">
        <f>(1+GrowthLowIncRent)^(MAX(0,118-GrowthStartMonth)/12)</f>
        <v/>
      </c>
      <c r="DS7" s="157">
        <f>(1+GrowthLowIncRent)^(MAX(0,119-GrowthStartMonth)/12)</f>
        <v/>
      </c>
      <c r="DT7" s="157">
        <f>(1+GrowthLowIncRent)^(MAX(0,120-GrowthStartMonth)/12)</f>
        <v/>
      </c>
      <c r="DU7" s="157">
        <f>(1+GrowthLowIncRent)^(MAX(0,121-GrowthStartMonth)/12)</f>
        <v/>
      </c>
      <c r="DV7" s="157">
        <f>(1+GrowthLowIncRent)^(MAX(0,122-GrowthStartMonth)/12)</f>
        <v/>
      </c>
      <c r="DW7" s="157">
        <f>(1+GrowthLowIncRent)^(MAX(0,123-GrowthStartMonth)/12)</f>
        <v/>
      </c>
      <c r="DX7" s="157">
        <f>(1+GrowthLowIncRent)^(MAX(0,124-GrowthStartMonth)/12)</f>
        <v/>
      </c>
      <c r="DY7" s="157">
        <f>(1+GrowthLowIncRent)^(MAX(0,125-GrowthStartMonth)/12)</f>
        <v/>
      </c>
      <c r="DZ7" s="157">
        <f>(1+GrowthLowIncRent)^(MAX(0,126-GrowthStartMonth)/12)</f>
        <v/>
      </c>
      <c r="EA7" s="157">
        <f>(1+GrowthLowIncRent)^(MAX(0,127-GrowthStartMonth)/12)</f>
        <v/>
      </c>
      <c r="EB7" s="157">
        <f>(1+GrowthLowIncRent)^(MAX(0,128-GrowthStartMonth)/12)</f>
        <v/>
      </c>
      <c r="EC7" s="157">
        <f>(1+GrowthLowIncRent)^(MAX(0,129-GrowthStartMonth)/12)</f>
        <v/>
      </c>
      <c r="ED7" s="157">
        <f>(1+GrowthLowIncRent)^(MAX(0,130-GrowthStartMonth)/12)</f>
        <v/>
      </c>
      <c r="EE7" s="157">
        <f>(1+GrowthLowIncRent)^(MAX(0,131-GrowthStartMonth)/12)</f>
        <v/>
      </c>
      <c r="EF7" s="157">
        <f>(1+GrowthLowIncRent)^(MAX(0,132-GrowthStartMonth)/12)</f>
        <v/>
      </c>
      <c r="EG7" s="157">
        <f>(1+GrowthLowIncRent)^(MAX(0,133-GrowthStartMonth)/12)</f>
        <v/>
      </c>
      <c r="EH7" s="157">
        <f>(1+GrowthLowIncRent)^(MAX(0,134-GrowthStartMonth)/12)</f>
        <v/>
      </c>
      <c r="EI7" s="157">
        <f>(1+GrowthLowIncRent)^(MAX(0,135-GrowthStartMonth)/12)</f>
        <v/>
      </c>
      <c r="EJ7" s="157">
        <f>(1+GrowthLowIncRent)^(MAX(0,136-GrowthStartMonth)/12)</f>
        <v/>
      </c>
      <c r="EK7" s="157">
        <f>(1+GrowthLowIncRent)^(MAX(0,137-GrowthStartMonth)/12)</f>
        <v/>
      </c>
      <c r="EL7" s="157">
        <f>(1+GrowthLowIncRent)^(MAX(0,138-GrowthStartMonth)/12)</f>
        <v/>
      </c>
      <c r="EM7" s="157">
        <f>(1+GrowthLowIncRent)^(MAX(0,139-GrowthStartMonth)/12)</f>
        <v/>
      </c>
      <c r="EN7" s="157">
        <f>(1+GrowthLowIncRent)^(MAX(0,140-GrowthStartMonth)/12)</f>
        <v/>
      </c>
      <c r="EO7" s="157">
        <f>(1+GrowthLowIncRent)^(MAX(0,141-GrowthStartMonth)/12)</f>
        <v/>
      </c>
      <c r="EP7" s="157">
        <f>(1+GrowthLowIncRent)^(MAX(0,142-GrowthStartMonth)/12)</f>
        <v/>
      </c>
      <c r="EQ7" s="157">
        <f>(1+GrowthLowIncRent)^(MAX(0,143-GrowthStartMonth)/12)</f>
        <v/>
      </c>
      <c r="ER7" s="157">
        <f>(1+GrowthLowIncRent)^(MAX(0,144-GrowthStartMonth)/12)</f>
        <v/>
      </c>
      <c r="ES7" s="157">
        <f>(1+GrowthLowIncRent)^(MAX(0,145-GrowthStartMonth)/12)</f>
        <v/>
      </c>
      <c r="ET7" s="157">
        <f>(1+GrowthLowIncRent)^(MAX(0,146-GrowthStartMonth)/12)</f>
        <v/>
      </c>
      <c r="EU7" s="157">
        <f>(1+GrowthLowIncRent)^(MAX(0,147-GrowthStartMonth)/12)</f>
        <v/>
      </c>
      <c r="EV7" s="157">
        <f>(1+GrowthLowIncRent)^(MAX(0,148-GrowthStartMonth)/12)</f>
        <v/>
      </c>
      <c r="EW7" s="157">
        <f>(1+GrowthLowIncRent)^(MAX(0,149-GrowthStartMonth)/12)</f>
        <v/>
      </c>
      <c r="EX7" s="157">
        <f>(1+GrowthLowIncRent)^(MAX(0,150-GrowthStartMonth)/12)</f>
        <v/>
      </c>
      <c r="EY7" s="157">
        <f>(1+GrowthLowIncRent)^(MAX(0,151-GrowthStartMonth)/12)</f>
        <v/>
      </c>
      <c r="EZ7" s="157">
        <f>(1+GrowthLowIncRent)^(MAX(0,152-GrowthStartMonth)/12)</f>
        <v/>
      </c>
      <c r="FA7" s="157">
        <f>(1+GrowthLowIncRent)^(MAX(0,153-GrowthStartMonth)/12)</f>
        <v/>
      </c>
      <c r="FB7" s="157">
        <f>(1+GrowthLowIncRent)^(MAX(0,154-GrowthStartMonth)/12)</f>
        <v/>
      </c>
      <c r="FC7" s="157">
        <f>(1+GrowthLowIncRent)^(MAX(0,155-GrowthStartMonth)/12)</f>
        <v/>
      </c>
      <c r="FD7" s="157">
        <f>(1+GrowthLowIncRent)^(MAX(0,156-GrowthStartMonth)/12)</f>
        <v/>
      </c>
      <c r="FE7" s="157">
        <f>(1+GrowthLowIncRent)^(MAX(0,157-GrowthStartMonth)/12)</f>
        <v/>
      </c>
      <c r="FF7" s="157">
        <f>(1+GrowthLowIncRent)^(MAX(0,158-GrowthStartMonth)/12)</f>
        <v/>
      </c>
      <c r="FG7" s="157">
        <f>(1+GrowthLowIncRent)^(MAX(0,159-GrowthStartMonth)/12)</f>
        <v/>
      </c>
      <c r="FH7" s="157">
        <f>(1+GrowthLowIncRent)^(MAX(0,160-GrowthStartMonth)/12)</f>
        <v/>
      </c>
      <c r="FI7" s="157">
        <f>(1+GrowthLowIncRent)^(MAX(0,161-GrowthStartMonth)/12)</f>
        <v/>
      </c>
      <c r="FJ7" s="157">
        <f>(1+GrowthLowIncRent)^(MAX(0,162-GrowthStartMonth)/12)</f>
        <v/>
      </c>
      <c r="FK7" s="157">
        <f>(1+GrowthLowIncRent)^(MAX(0,163-GrowthStartMonth)/12)</f>
        <v/>
      </c>
      <c r="FL7" s="157">
        <f>(1+GrowthLowIncRent)^(MAX(0,164-GrowthStartMonth)/12)</f>
        <v/>
      </c>
      <c r="FM7" s="157">
        <f>(1+GrowthLowIncRent)^(MAX(0,165-GrowthStartMonth)/12)</f>
        <v/>
      </c>
      <c r="FN7" s="157">
        <f>(1+GrowthLowIncRent)^(MAX(0,166-GrowthStartMonth)/12)</f>
        <v/>
      </c>
      <c r="FO7" s="157">
        <f>(1+GrowthLowIncRent)^(MAX(0,167-GrowthStartMonth)/12)</f>
        <v/>
      </c>
      <c r="FP7" s="157">
        <f>(1+GrowthLowIncRent)^(MAX(0,168-GrowthStartMonth)/12)</f>
        <v/>
      </c>
      <c r="FQ7" s="157">
        <f>(1+GrowthLowIncRent)^(MAX(0,169-GrowthStartMonth)/12)</f>
        <v/>
      </c>
      <c r="FR7" s="157">
        <f>(1+GrowthLowIncRent)^(MAX(0,170-GrowthStartMonth)/12)</f>
        <v/>
      </c>
      <c r="FS7" s="157">
        <f>(1+GrowthLowIncRent)^(MAX(0,171-GrowthStartMonth)/12)</f>
        <v/>
      </c>
      <c r="FT7" s="157">
        <f>(1+GrowthLowIncRent)^(MAX(0,172-GrowthStartMonth)/12)</f>
        <v/>
      </c>
      <c r="FU7" s="157">
        <f>(1+GrowthLowIncRent)^(MAX(0,173-GrowthStartMonth)/12)</f>
        <v/>
      </c>
      <c r="FV7" s="157">
        <f>(1+GrowthLowIncRent)^(MAX(0,174-GrowthStartMonth)/12)</f>
        <v/>
      </c>
      <c r="FW7" s="157">
        <f>(1+GrowthLowIncRent)^(MAX(0,175-GrowthStartMonth)/12)</f>
        <v/>
      </c>
      <c r="FX7" s="157">
        <f>(1+GrowthLowIncRent)^(MAX(0,176-GrowthStartMonth)/12)</f>
        <v/>
      </c>
      <c r="FY7" s="157">
        <f>(1+GrowthLowIncRent)^(MAX(0,177-GrowthStartMonth)/12)</f>
        <v/>
      </c>
      <c r="FZ7" s="157">
        <f>(1+GrowthLowIncRent)^(MAX(0,178-GrowthStartMonth)/12)</f>
        <v/>
      </c>
      <c r="GA7" s="157">
        <f>(1+GrowthLowIncRent)^(MAX(0,179-GrowthStartMonth)/12)</f>
        <v/>
      </c>
      <c r="GB7" s="157">
        <f>(1+GrowthLowIncRent)^(MAX(0,180-GrowthStartMonth)/12)</f>
        <v/>
      </c>
      <c r="GC7" s="157">
        <f>(1+GrowthLowIncRent)^(MAX(0,181-GrowthStartMonth)/12)</f>
        <v/>
      </c>
      <c r="GD7" s="157">
        <f>(1+GrowthLowIncRent)^(MAX(0,182-GrowthStartMonth)/12)</f>
        <v/>
      </c>
      <c r="GE7" s="157">
        <f>(1+GrowthLowIncRent)^(MAX(0,183-GrowthStartMonth)/12)</f>
        <v/>
      </c>
      <c r="GF7" s="157">
        <f>(1+GrowthLowIncRent)^(MAX(0,184-GrowthStartMonth)/12)</f>
        <v/>
      </c>
      <c r="GG7" s="157">
        <f>(1+GrowthLowIncRent)^(MAX(0,185-GrowthStartMonth)/12)</f>
        <v/>
      </c>
      <c r="GH7" s="157">
        <f>(1+GrowthLowIncRent)^(MAX(0,186-GrowthStartMonth)/12)</f>
        <v/>
      </c>
      <c r="GI7" s="157">
        <f>(1+GrowthLowIncRent)^(MAX(0,187-GrowthStartMonth)/12)</f>
        <v/>
      </c>
      <c r="GJ7" s="157">
        <f>(1+GrowthLowIncRent)^(MAX(0,188-GrowthStartMonth)/12)</f>
        <v/>
      </c>
      <c r="GK7" s="157">
        <f>(1+GrowthLowIncRent)^(MAX(0,189-GrowthStartMonth)/12)</f>
        <v/>
      </c>
      <c r="GL7" s="157">
        <f>(1+GrowthLowIncRent)^(MAX(0,190-GrowthStartMonth)/12)</f>
        <v/>
      </c>
      <c r="GM7" s="157">
        <f>(1+GrowthLowIncRent)^(MAX(0,191-GrowthStartMonth)/12)</f>
        <v/>
      </c>
      <c r="GN7" s="157">
        <f>(1+GrowthLowIncRent)^(MAX(0,192-GrowthStartMonth)/12)</f>
        <v/>
      </c>
      <c r="GO7" s="157">
        <f>(1+GrowthLowIncRent)^(MAX(0,193-GrowthStartMonth)/12)</f>
        <v/>
      </c>
      <c r="GP7" s="157">
        <f>(1+GrowthLowIncRent)^(MAX(0,194-GrowthStartMonth)/12)</f>
        <v/>
      </c>
      <c r="GQ7" s="157">
        <f>(1+GrowthLowIncRent)^(MAX(0,195-GrowthStartMonth)/12)</f>
        <v/>
      </c>
      <c r="GR7" s="157">
        <f>(1+GrowthLowIncRent)^(MAX(0,196-GrowthStartMonth)/12)</f>
        <v/>
      </c>
      <c r="GS7" s="157">
        <f>(1+GrowthLowIncRent)^(MAX(0,197-GrowthStartMonth)/12)</f>
        <v/>
      </c>
      <c r="GT7" s="157">
        <f>(1+GrowthLowIncRent)^(MAX(0,198-GrowthStartMonth)/12)</f>
        <v/>
      </c>
      <c r="GU7" s="157">
        <f>(1+GrowthLowIncRent)^(MAX(0,199-GrowthStartMonth)/12)</f>
        <v/>
      </c>
      <c r="GV7" s="157">
        <f>(1+GrowthLowIncRent)^(MAX(0,200-GrowthStartMonth)/12)</f>
        <v/>
      </c>
      <c r="GW7" s="157">
        <f>(1+GrowthLowIncRent)^(MAX(0,201-GrowthStartMonth)/12)</f>
        <v/>
      </c>
      <c r="GX7" s="157">
        <f>(1+GrowthLowIncRent)^(MAX(0,202-GrowthStartMonth)/12)</f>
        <v/>
      </c>
      <c r="GY7" s="157">
        <f>(1+GrowthLowIncRent)^(MAX(0,203-GrowthStartMonth)/12)</f>
        <v/>
      </c>
      <c r="GZ7" s="157">
        <f>(1+GrowthLowIncRent)^(MAX(0,204-GrowthStartMonth)/12)</f>
        <v/>
      </c>
      <c r="HA7" s="157">
        <f>(1+GrowthLowIncRent)^(MAX(0,205-GrowthStartMonth)/12)</f>
        <v/>
      </c>
      <c r="HB7" s="157">
        <f>(1+GrowthLowIncRent)^(MAX(0,206-GrowthStartMonth)/12)</f>
        <v/>
      </c>
      <c r="HC7" s="157">
        <f>(1+GrowthLowIncRent)^(MAX(0,207-GrowthStartMonth)/12)</f>
        <v/>
      </c>
      <c r="HD7" s="157">
        <f>(1+GrowthLowIncRent)^(MAX(0,208-GrowthStartMonth)/12)</f>
        <v/>
      </c>
      <c r="HE7" s="157">
        <f>(1+GrowthLowIncRent)^(MAX(0,209-GrowthStartMonth)/12)</f>
        <v/>
      </c>
      <c r="HF7" s="157">
        <f>(1+GrowthLowIncRent)^(MAX(0,210-GrowthStartMonth)/12)</f>
        <v/>
      </c>
      <c r="HG7" s="157">
        <f>(1+GrowthLowIncRent)^(MAX(0,211-GrowthStartMonth)/12)</f>
        <v/>
      </c>
      <c r="HH7" s="157">
        <f>(1+GrowthLowIncRent)^(MAX(0,212-GrowthStartMonth)/12)</f>
        <v/>
      </c>
      <c r="HI7" s="157">
        <f>(1+GrowthLowIncRent)^(MAX(0,213-GrowthStartMonth)/12)</f>
        <v/>
      </c>
      <c r="HJ7" s="157">
        <f>(1+GrowthLowIncRent)^(MAX(0,214-GrowthStartMonth)/12)</f>
        <v/>
      </c>
      <c r="HK7" s="157">
        <f>(1+GrowthLowIncRent)^(MAX(0,215-GrowthStartMonth)/12)</f>
        <v/>
      </c>
      <c r="HL7" s="157">
        <f>(1+GrowthLowIncRent)^(MAX(0,216-GrowthStartMonth)/12)</f>
        <v/>
      </c>
      <c r="HM7" s="157">
        <f>(1+GrowthLowIncRent)^(MAX(0,217-GrowthStartMonth)/12)</f>
        <v/>
      </c>
      <c r="HN7" s="157">
        <f>(1+GrowthLowIncRent)^(MAX(0,218-GrowthStartMonth)/12)</f>
        <v/>
      </c>
      <c r="HO7" s="157">
        <f>(1+GrowthLowIncRent)^(MAX(0,219-GrowthStartMonth)/12)</f>
        <v/>
      </c>
      <c r="HP7" s="157">
        <f>(1+GrowthLowIncRent)^(MAX(0,220-GrowthStartMonth)/12)</f>
        <v/>
      </c>
      <c r="HQ7" s="157">
        <f>(1+GrowthLowIncRent)^(MAX(0,221-GrowthStartMonth)/12)</f>
        <v/>
      </c>
      <c r="HR7" s="157">
        <f>(1+GrowthLowIncRent)^(MAX(0,222-GrowthStartMonth)/12)</f>
        <v/>
      </c>
      <c r="HS7" s="157">
        <f>(1+GrowthLowIncRent)^(MAX(0,223-GrowthStartMonth)/12)</f>
        <v/>
      </c>
      <c r="HT7" s="157">
        <f>(1+GrowthLowIncRent)^(MAX(0,224-GrowthStartMonth)/12)</f>
        <v/>
      </c>
      <c r="HU7" s="157">
        <f>(1+GrowthLowIncRent)^(MAX(0,225-GrowthStartMonth)/12)</f>
        <v/>
      </c>
      <c r="HV7" s="157">
        <f>(1+GrowthLowIncRent)^(MAX(0,226-GrowthStartMonth)/12)</f>
        <v/>
      </c>
      <c r="HW7" s="157">
        <f>(1+GrowthLowIncRent)^(MAX(0,227-GrowthStartMonth)/12)</f>
        <v/>
      </c>
      <c r="HX7" s="157">
        <f>(1+GrowthLowIncRent)^(MAX(0,228-GrowthStartMonth)/12)</f>
        <v/>
      </c>
      <c r="HY7" s="157">
        <f>(1+GrowthLowIncRent)^(MAX(0,229-GrowthStartMonth)/12)</f>
        <v/>
      </c>
      <c r="HZ7" s="157">
        <f>(1+GrowthLowIncRent)^(MAX(0,230-GrowthStartMonth)/12)</f>
        <v/>
      </c>
      <c r="IA7" s="157">
        <f>(1+GrowthLowIncRent)^(MAX(0,231-GrowthStartMonth)/12)</f>
        <v/>
      </c>
      <c r="IB7" s="157">
        <f>(1+GrowthLowIncRent)^(MAX(0,232-GrowthStartMonth)/12)</f>
        <v/>
      </c>
      <c r="IC7" s="157">
        <f>(1+GrowthLowIncRent)^(MAX(0,233-GrowthStartMonth)/12)</f>
        <v/>
      </c>
      <c r="ID7" s="157">
        <f>(1+GrowthLowIncRent)^(MAX(0,234-GrowthStartMonth)/12)</f>
        <v/>
      </c>
      <c r="IE7" s="157">
        <f>(1+GrowthLowIncRent)^(MAX(0,235-GrowthStartMonth)/12)</f>
        <v/>
      </c>
      <c r="IF7" s="157">
        <f>(1+GrowthLowIncRent)^(MAX(0,236-GrowthStartMonth)/12)</f>
        <v/>
      </c>
      <c r="IG7" s="157">
        <f>(1+GrowthLowIncRent)^(MAX(0,237-GrowthStartMonth)/12)</f>
        <v/>
      </c>
      <c r="IH7" s="157">
        <f>(1+GrowthLowIncRent)^(MAX(0,238-GrowthStartMonth)/12)</f>
        <v/>
      </c>
      <c r="II7" s="157">
        <f>(1+GrowthLowIncRent)^(MAX(0,239-GrowthStartMonth)/12)</f>
        <v/>
      </c>
      <c r="IJ7" s="157">
        <f>(1+GrowthLowIncRent)^(MAX(0,240-GrowthStartMonth)/12)</f>
        <v/>
      </c>
      <c r="IK7" s="157">
        <f>(1+GrowthLowIncRent)^(MAX(0,241-GrowthStartMonth)/12)</f>
        <v/>
      </c>
      <c r="IL7" s="157">
        <f>(1+GrowthLowIncRent)^(MAX(0,242-GrowthStartMonth)/12)</f>
        <v/>
      </c>
      <c r="IM7" s="157">
        <f>(1+GrowthLowIncRent)^(MAX(0,243-GrowthStartMonth)/12)</f>
        <v/>
      </c>
      <c r="IN7" s="157">
        <f>(1+GrowthLowIncRent)^(MAX(0,244-GrowthStartMonth)/12)</f>
        <v/>
      </c>
      <c r="IO7" s="157">
        <f>(1+GrowthLowIncRent)^(MAX(0,245-GrowthStartMonth)/12)</f>
        <v/>
      </c>
      <c r="IP7" s="157">
        <f>(1+GrowthLowIncRent)^(MAX(0,246-GrowthStartMonth)/12)</f>
        <v/>
      </c>
      <c r="IQ7" s="157">
        <f>(1+GrowthLowIncRent)^(MAX(0,247-GrowthStartMonth)/12)</f>
        <v/>
      </c>
      <c r="IR7" s="157">
        <f>(1+GrowthLowIncRent)^(MAX(0,248-GrowthStartMonth)/12)</f>
        <v/>
      </c>
      <c r="IS7" s="157">
        <f>(1+GrowthLowIncRent)^(MAX(0,249-GrowthStartMonth)/12)</f>
        <v/>
      </c>
      <c r="IT7" s="157">
        <f>(1+GrowthLowIncRent)^(MAX(0,250-GrowthStartMonth)/12)</f>
        <v/>
      </c>
      <c r="IU7" s="157">
        <f>(1+GrowthLowIncRent)^(MAX(0,251-GrowthStartMonth)/12)</f>
        <v/>
      </c>
      <c r="IV7" s="157">
        <f>(1+GrowthLowIncRent)^(MAX(0,252-GrowthStartMonth)/12)</f>
        <v/>
      </c>
      <c r="IW7" s="157">
        <f>(1+GrowthLowIncRent)^(MAX(0,253-GrowthStartMonth)/12)</f>
        <v/>
      </c>
      <c r="IX7" s="157">
        <f>(1+GrowthLowIncRent)^(MAX(0,254-GrowthStartMonth)/12)</f>
        <v/>
      </c>
      <c r="IY7" s="157">
        <f>(1+GrowthLowIncRent)^(MAX(0,255-GrowthStartMonth)/12)</f>
        <v/>
      </c>
      <c r="IZ7" s="157">
        <f>(1+GrowthLowIncRent)^(MAX(0,256-GrowthStartMonth)/12)</f>
        <v/>
      </c>
      <c r="JA7" s="157">
        <f>(1+GrowthLowIncRent)^(MAX(0,257-GrowthStartMonth)/12)</f>
        <v/>
      </c>
      <c r="JB7" s="157">
        <f>(1+GrowthLowIncRent)^(MAX(0,258-GrowthStartMonth)/12)</f>
        <v/>
      </c>
      <c r="JC7" s="157">
        <f>(1+GrowthLowIncRent)^(MAX(0,259-GrowthStartMonth)/12)</f>
        <v/>
      </c>
      <c r="JD7" s="157">
        <f>(1+GrowthLowIncRent)^(MAX(0,260-GrowthStartMonth)/12)</f>
        <v/>
      </c>
      <c r="JE7" s="157">
        <f>(1+GrowthLowIncRent)^(MAX(0,261-GrowthStartMonth)/12)</f>
        <v/>
      </c>
      <c r="JF7" s="157">
        <f>(1+GrowthLowIncRent)^(MAX(0,262-GrowthStartMonth)/12)</f>
        <v/>
      </c>
      <c r="JG7" s="157">
        <f>(1+GrowthLowIncRent)^(MAX(0,263-GrowthStartMonth)/12)</f>
        <v/>
      </c>
      <c r="JH7" s="157">
        <f>(1+GrowthLowIncRent)^(MAX(0,264-GrowthStartMonth)/12)</f>
        <v/>
      </c>
      <c r="JI7" s="157">
        <f>(1+GrowthLowIncRent)^(MAX(0,265-GrowthStartMonth)/12)</f>
        <v/>
      </c>
      <c r="JJ7" s="157">
        <f>(1+GrowthLowIncRent)^(MAX(0,266-GrowthStartMonth)/12)</f>
        <v/>
      </c>
      <c r="JK7" s="157">
        <f>(1+GrowthLowIncRent)^(MAX(0,267-GrowthStartMonth)/12)</f>
        <v/>
      </c>
      <c r="JL7" s="157">
        <f>(1+GrowthLowIncRent)^(MAX(0,268-GrowthStartMonth)/12)</f>
        <v/>
      </c>
      <c r="JM7" s="157">
        <f>(1+GrowthLowIncRent)^(MAX(0,269-GrowthStartMonth)/12)</f>
        <v/>
      </c>
      <c r="JN7" s="157">
        <f>(1+GrowthLowIncRent)^(MAX(0,270-GrowthStartMonth)/12)</f>
        <v/>
      </c>
      <c r="JO7" s="157">
        <f>(1+GrowthLowIncRent)^(MAX(0,271-GrowthStartMonth)/12)</f>
        <v/>
      </c>
      <c r="JP7" s="157">
        <f>(1+GrowthLowIncRent)^(MAX(0,272-GrowthStartMonth)/12)</f>
        <v/>
      </c>
      <c r="JQ7" s="157">
        <f>(1+GrowthLowIncRent)^(MAX(0,273-GrowthStartMonth)/12)</f>
        <v/>
      </c>
      <c r="JR7" s="157">
        <f>(1+GrowthLowIncRent)^(MAX(0,274-GrowthStartMonth)/12)</f>
        <v/>
      </c>
      <c r="JS7" s="157">
        <f>(1+GrowthLowIncRent)^(MAX(0,275-GrowthStartMonth)/12)</f>
        <v/>
      </c>
      <c r="JT7" s="157">
        <f>(1+GrowthLowIncRent)^(MAX(0,276-GrowthStartMonth)/12)</f>
        <v/>
      </c>
      <c r="JU7" s="157">
        <f>(1+GrowthLowIncRent)^(MAX(0,277-GrowthStartMonth)/12)</f>
        <v/>
      </c>
      <c r="JV7" s="157">
        <f>(1+GrowthLowIncRent)^(MAX(0,278-GrowthStartMonth)/12)</f>
        <v/>
      </c>
      <c r="JW7" s="157">
        <f>(1+GrowthLowIncRent)^(MAX(0,279-GrowthStartMonth)/12)</f>
        <v/>
      </c>
      <c r="JX7" s="157">
        <f>(1+GrowthLowIncRent)^(MAX(0,280-GrowthStartMonth)/12)</f>
        <v/>
      </c>
      <c r="JY7" s="157">
        <f>(1+GrowthLowIncRent)^(MAX(0,281-GrowthStartMonth)/12)</f>
        <v/>
      </c>
      <c r="JZ7" s="157">
        <f>(1+GrowthLowIncRent)^(MAX(0,282-GrowthStartMonth)/12)</f>
        <v/>
      </c>
      <c r="KA7" s="157">
        <f>(1+GrowthLowIncRent)^(MAX(0,283-GrowthStartMonth)/12)</f>
        <v/>
      </c>
      <c r="KB7" s="157">
        <f>(1+GrowthLowIncRent)^(MAX(0,284-GrowthStartMonth)/12)</f>
        <v/>
      </c>
      <c r="KC7" s="157">
        <f>(1+GrowthLowIncRent)^(MAX(0,285-GrowthStartMonth)/12)</f>
        <v/>
      </c>
      <c r="KD7" s="157">
        <f>(1+GrowthLowIncRent)^(MAX(0,286-GrowthStartMonth)/12)</f>
        <v/>
      </c>
      <c r="KE7" s="157">
        <f>(1+GrowthLowIncRent)^(MAX(0,287-GrowthStartMonth)/12)</f>
        <v/>
      </c>
      <c r="KF7" s="157">
        <f>(1+GrowthLowIncRent)^(MAX(0,288-GrowthStartMonth)/12)</f>
        <v/>
      </c>
      <c r="KG7" s="157">
        <f>(1+GrowthLowIncRent)^(MAX(0,289-GrowthStartMonth)/12)</f>
        <v/>
      </c>
      <c r="KH7" s="157">
        <f>(1+GrowthLowIncRent)^(MAX(0,290-GrowthStartMonth)/12)</f>
        <v/>
      </c>
      <c r="KI7" s="157">
        <f>(1+GrowthLowIncRent)^(MAX(0,291-GrowthStartMonth)/12)</f>
        <v/>
      </c>
      <c r="KJ7" s="157">
        <f>(1+GrowthLowIncRent)^(MAX(0,292-GrowthStartMonth)/12)</f>
        <v/>
      </c>
      <c r="KK7" s="157">
        <f>(1+GrowthLowIncRent)^(MAX(0,293-GrowthStartMonth)/12)</f>
        <v/>
      </c>
      <c r="KL7" s="157">
        <f>(1+GrowthLowIncRent)^(MAX(0,294-GrowthStartMonth)/12)</f>
        <v/>
      </c>
      <c r="KM7" s="157">
        <f>(1+GrowthLowIncRent)^(MAX(0,295-GrowthStartMonth)/12)</f>
        <v/>
      </c>
      <c r="KN7" s="157">
        <f>(1+GrowthLowIncRent)^(MAX(0,296-GrowthStartMonth)/12)</f>
        <v/>
      </c>
      <c r="KO7" s="157">
        <f>(1+GrowthLowIncRent)^(MAX(0,297-GrowthStartMonth)/12)</f>
        <v/>
      </c>
      <c r="KP7" s="157">
        <f>(1+GrowthLowIncRent)^(MAX(0,298-GrowthStartMonth)/12)</f>
        <v/>
      </c>
      <c r="KQ7" s="157">
        <f>(1+GrowthLowIncRent)^(MAX(0,299-GrowthStartMonth)/12)</f>
        <v/>
      </c>
      <c r="KR7" s="157">
        <f>(1+GrowthLowIncRent)^(MAX(0,300-GrowthStartMonth)/12)</f>
        <v/>
      </c>
      <c r="KS7" s="157">
        <f>(1+GrowthLowIncRent)^(MAX(0,301-GrowthStartMonth)/12)</f>
        <v/>
      </c>
      <c r="KT7" s="157">
        <f>(1+GrowthLowIncRent)^(MAX(0,302-GrowthStartMonth)/12)</f>
        <v/>
      </c>
      <c r="KU7" s="157">
        <f>(1+GrowthLowIncRent)^(MAX(0,303-GrowthStartMonth)/12)</f>
        <v/>
      </c>
      <c r="KV7" s="157">
        <f>(1+GrowthLowIncRent)^(MAX(0,304-GrowthStartMonth)/12)</f>
        <v/>
      </c>
      <c r="KW7" s="157">
        <f>(1+GrowthLowIncRent)^(MAX(0,305-GrowthStartMonth)/12)</f>
        <v/>
      </c>
      <c r="KX7" s="157">
        <f>(1+GrowthLowIncRent)^(MAX(0,306-GrowthStartMonth)/12)</f>
        <v/>
      </c>
      <c r="KY7" s="157">
        <f>(1+GrowthLowIncRent)^(MAX(0,307-GrowthStartMonth)/12)</f>
        <v/>
      </c>
      <c r="KZ7" s="157">
        <f>(1+GrowthLowIncRent)^(MAX(0,308-GrowthStartMonth)/12)</f>
        <v/>
      </c>
      <c r="LA7" s="157">
        <f>(1+GrowthLowIncRent)^(MAX(0,309-GrowthStartMonth)/12)</f>
        <v/>
      </c>
      <c r="LB7" s="157">
        <f>(1+GrowthLowIncRent)^(MAX(0,310-GrowthStartMonth)/12)</f>
        <v/>
      </c>
      <c r="LC7" s="157">
        <f>(1+GrowthLowIncRent)^(MAX(0,311-GrowthStartMonth)/12)</f>
        <v/>
      </c>
      <c r="LD7" s="157">
        <f>(1+GrowthLowIncRent)^(MAX(0,312-GrowthStartMonth)/12)</f>
        <v/>
      </c>
      <c r="LE7" s="157">
        <f>(1+GrowthLowIncRent)^(MAX(0,313-GrowthStartMonth)/12)</f>
        <v/>
      </c>
      <c r="LF7" s="157">
        <f>(1+GrowthLowIncRent)^(MAX(0,314-GrowthStartMonth)/12)</f>
        <v/>
      </c>
      <c r="LG7" s="157">
        <f>(1+GrowthLowIncRent)^(MAX(0,315-GrowthStartMonth)/12)</f>
        <v/>
      </c>
      <c r="LH7" s="157">
        <f>(1+GrowthLowIncRent)^(MAX(0,316-GrowthStartMonth)/12)</f>
        <v/>
      </c>
      <c r="LI7" s="157">
        <f>(1+GrowthLowIncRent)^(MAX(0,317-GrowthStartMonth)/12)</f>
        <v/>
      </c>
      <c r="LJ7" s="157">
        <f>(1+GrowthLowIncRent)^(MAX(0,318-GrowthStartMonth)/12)</f>
        <v/>
      </c>
      <c r="LK7" s="157">
        <f>(1+GrowthLowIncRent)^(MAX(0,319-GrowthStartMonth)/12)</f>
        <v/>
      </c>
      <c r="LL7" s="157">
        <f>(1+GrowthLowIncRent)^(MAX(0,320-GrowthStartMonth)/12)</f>
        <v/>
      </c>
      <c r="LM7" s="157">
        <f>(1+GrowthLowIncRent)^(MAX(0,321-GrowthStartMonth)/12)</f>
        <v/>
      </c>
      <c r="LN7" s="157">
        <f>(1+GrowthLowIncRent)^(MAX(0,322-GrowthStartMonth)/12)</f>
        <v/>
      </c>
      <c r="LO7" s="157">
        <f>(1+GrowthLowIncRent)^(MAX(0,323-GrowthStartMonth)/12)</f>
        <v/>
      </c>
      <c r="LP7" s="157">
        <f>(1+GrowthLowIncRent)^(MAX(0,324-GrowthStartMonth)/12)</f>
        <v/>
      </c>
      <c r="LQ7" s="157">
        <f>(1+GrowthLowIncRent)^(MAX(0,325-GrowthStartMonth)/12)</f>
        <v/>
      </c>
      <c r="LR7" s="157">
        <f>(1+GrowthLowIncRent)^(MAX(0,326-GrowthStartMonth)/12)</f>
        <v/>
      </c>
      <c r="LS7" s="157">
        <f>(1+GrowthLowIncRent)^(MAX(0,327-GrowthStartMonth)/12)</f>
        <v/>
      </c>
      <c r="LT7" s="157">
        <f>(1+GrowthLowIncRent)^(MAX(0,328-GrowthStartMonth)/12)</f>
        <v/>
      </c>
      <c r="LU7" s="157">
        <f>(1+GrowthLowIncRent)^(MAX(0,329-GrowthStartMonth)/12)</f>
        <v/>
      </c>
      <c r="LV7" s="157">
        <f>(1+GrowthLowIncRent)^(MAX(0,330-GrowthStartMonth)/12)</f>
        <v/>
      </c>
      <c r="LW7" s="157">
        <f>(1+GrowthLowIncRent)^(MAX(0,331-GrowthStartMonth)/12)</f>
        <v/>
      </c>
      <c r="LX7" s="157">
        <f>(1+GrowthLowIncRent)^(MAX(0,332-GrowthStartMonth)/12)</f>
        <v/>
      </c>
      <c r="LY7" s="157">
        <f>(1+GrowthLowIncRent)^(MAX(0,333-GrowthStartMonth)/12)</f>
        <v/>
      </c>
      <c r="LZ7" s="157">
        <f>(1+GrowthLowIncRent)^(MAX(0,334-GrowthStartMonth)/12)</f>
        <v/>
      </c>
      <c r="MA7" s="157">
        <f>(1+GrowthLowIncRent)^(MAX(0,335-GrowthStartMonth)/12)</f>
        <v/>
      </c>
      <c r="MB7" s="157">
        <f>(1+GrowthLowIncRent)^(MAX(0,336-GrowthStartMonth)/12)</f>
        <v/>
      </c>
      <c r="MC7" s="157">
        <f>(1+GrowthLowIncRent)^(MAX(0,337-GrowthStartMonth)/12)</f>
        <v/>
      </c>
      <c r="MD7" s="157">
        <f>(1+GrowthLowIncRent)^(MAX(0,338-GrowthStartMonth)/12)</f>
        <v/>
      </c>
      <c r="ME7" s="157">
        <f>(1+GrowthLowIncRent)^(MAX(0,339-GrowthStartMonth)/12)</f>
        <v/>
      </c>
      <c r="MF7" s="157">
        <f>(1+GrowthLowIncRent)^(MAX(0,340-GrowthStartMonth)/12)</f>
        <v/>
      </c>
      <c r="MG7" s="157">
        <f>(1+GrowthLowIncRent)^(MAX(0,341-GrowthStartMonth)/12)</f>
        <v/>
      </c>
      <c r="MH7" s="157">
        <f>(1+GrowthLowIncRent)^(MAX(0,342-GrowthStartMonth)/12)</f>
        <v/>
      </c>
      <c r="MI7" s="157">
        <f>(1+GrowthLowIncRent)^(MAX(0,343-GrowthStartMonth)/12)</f>
        <v/>
      </c>
      <c r="MJ7" s="157">
        <f>(1+GrowthLowIncRent)^(MAX(0,344-GrowthStartMonth)/12)</f>
        <v/>
      </c>
      <c r="MK7" s="157">
        <f>(1+GrowthLowIncRent)^(MAX(0,345-GrowthStartMonth)/12)</f>
        <v/>
      </c>
      <c r="ML7" s="157">
        <f>(1+GrowthLowIncRent)^(MAX(0,346-GrowthStartMonth)/12)</f>
        <v/>
      </c>
      <c r="MM7" s="157">
        <f>(1+GrowthLowIncRent)^(MAX(0,347-GrowthStartMonth)/12)</f>
        <v/>
      </c>
      <c r="MN7" s="157">
        <f>(1+GrowthLowIncRent)^(MAX(0,348-GrowthStartMonth)/12)</f>
        <v/>
      </c>
      <c r="MO7" s="157">
        <f>(1+GrowthLowIncRent)^(MAX(0,349-GrowthStartMonth)/12)</f>
        <v/>
      </c>
      <c r="MP7" s="157">
        <f>(1+GrowthLowIncRent)^(MAX(0,350-GrowthStartMonth)/12)</f>
        <v/>
      </c>
      <c r="MQ7" s="157">
        <f>(1+GrowthLowIncRent)^(MAX(0,351-GrowthStartMonth)/12)</f>
        <v/>
      </c>
      <c r="MR7" s="157">
        <f>(1+GrowthLowIncRent)^(MAX(0,352-GrowthStartMonth)/12)</f>
        <v/>
      </c>
      <c r="MS7" s="157">
        <f>(1+GrowthLowIncRent)^(MAX(0,353-GrowthStartMonth)/12)</f>
        <v/>
      </c>
      <c r="MT7" s="157">
        <f>(1+GrowthLowIncRent)^(MAX(0,354-GrowthStartMonth)/12)</f>
        <v/>
      </c>
      <c r="MU7" s="157">
        <f>(1+GrowthLowIncRent)^(MAX(0,355-GrowthStartMonth)/12)</f>
        <v/>
      </c>
      <c r="MV7" s="157">
        <f>(1+GrowthLowIncRent)^(MAX(0,356-GrowthStartMonth)/12)</f>
        <v/>
      </c>
      <c r="MW7" s="157">
        <f>(1+GrowthLowIncRent)^(MAX(0,357-GrowthStartMonth)/12)</f>
        <v/>
      </c>
      <c r="MX7" s="157">
        <f>(1+GrowthLowIncRent)^(MAX(0,358-GrowthStartMonth)/12)</f>
        <v/>
      </c>
      <c r="MY7" s="157">
        <f>(1+GrowthLowIncRent)^(MAX(0,359-GrowthStartMonth)/12)</f>
        <v/>
      </c>
      <c r="MZ7" s="157">
        <f>(1+GrowthLowIncRent)^(MAX(0,360-GrowthStartMonth)/12)</f>
        <v/>
      </c>
      <c r="NA7" s="157">
        <f>(1+GrowthLowIncRent)^(MAX(0,361-GrowthStartMonth)/12)</f>
        <v/>
      </c>
      <c r="NB7" s="157">
        <f>(1+GrowthLowIncRent)^(MAX(0,362-GrowthStartMonth)/12)</f>
        <v/>
      </c>
      <c r="NC7" s="157">
        <f>(1+GrowthLowIncRent)^(MAX(0,363-GrowthStartMonth)/12)</f>
        <v/>
      </c>
      <c r="ND7" s="157">
        <f>(1+GrowthLowIncRent)^(MAX(0,364-GrowthStartMonth)/12)</f>
        <v/>
      </c>
      <c r="NE7" s="157">
        <f>(1+GrowthLowIncRent)^(MAX(0,365-GrowthStartMonth)/12)</f>
        <v/>
      </c>
      <c r="NF7" s="157">
        <f>(1+GrowthLowIncRent)^(MAX(0,366-GrowthStartMonth)/12)</f>
        <v/>
      </c>
      <c r="NG7" s="157">
        <f>(1+GrowthLowIncRent)^(MAX(0,367-GrowthStartMonth)/12)</f>
        <v/>
      </c>
      <c r="NH7" s="157">
        <f>(1+GrowthLowIncRent)^(MAX(0,368-GrowthStartMonth)/12)</f>
        <v/>
      </c>
      <c r="NI7" s="157">
        <f>(1+GrowthLowIncRent)^(MAX(0,369-GrowthStartMonth)/12)</f>
        <v/>
      </c>
      <c r="NJ7" s="157">
        <f>(1+GrowthLowIncRent)^(MAX(0,370-GrowthStartMonth)/12)</f>
        <v/>
      </c>
      <c r="NK7" s="157">
        <f>(1+GrowthLowIncRent)^(MAX(0,371-GrowthStartMonth)/12)</f>
        <v/>
      </c>
      <c r="NL7" s="158">
        <f>(1+GrowthLowIncRent)^(MAX(0,372-GrowthStartMonth)/12)</f>
        <v/>
      </c>
    </row>
    <row r="8">
      <c r="B8" s="36" t="inlineStr">
        <is>
          <t>Growth Factor — Expense</t>
        </is>
      </c>
      <c r="D8" s="156" t="n"/>
      <c r="E8" s="157">
        <f>(1+GrowthExpense)^(MAX(0,1-GrowthStartMonth)/12)</f>
        <v/>
      </c>
      <c r="F8" s="157">
        <f>(1+GrowthExpense)^(MAX(0,2-GrowthStartMonth)/12)</f>
        <v/>
      </c>
      <c r="G8" s="157">
        <f>(1+GrowthExpense)^(MAX(0,3-GrowthStartMonth)/12)</f>
        <v/>
      </c>
      <c r="H8" s="157">
        <f>(1+GrowthExpense)^(MAX(0,4-GrowthStartMonth)/12)</f>
        <v/>
      </c>
      <c r="I8" s="157">
        <f>(1+GrowthExpense)^(MAX(0,5-GrowthStartMonth)/12)</f>
        <v/>
      </c>
      <c r="J8" s="157">
        <f>(1+GrowthExpense)^(MAX(0,6-GrowthStartMonth)/12)</f>
        <v/>
      </c>
      <c r="K8" s="157">
        <f>(1+GrowthExpense)^(MAX(0,7-GrowthStartMonth)/12)</f>
        <v/>
      </c>
      <c r="L8" s="157">
        <f>(1+GrowthExpense)^(MAX(0,8-GrowthStartMonth)/12)</f>
        <v/>
      </c>
      <c r="M8" s="157">
        <f>(1+GrowthExpense)^(MAX(0,9-GrowthStartMonth)/12)</f>
        <v/>
      </c>
      <c r="N8" s="157">
        <f>(1+GrowthExpense)^(MAX(0,10-GrowthStartMonth)/12)</f>
        <v/>
      </c>
      <c r="O8" s="157">
        <f>(1+GrowthExpense)^(MAX(0,11-GrowthStartMonth)/12)</f>
        <v/>
      </c>
      <c r="P8" s="157">
        <f>(1+GrowthExpense)^(MAX(0,12-GrowthStartMonth)/12)</f>
        <v/>
      </c>
      <c r="Q8" s="157">
        <f>(1+GrowthExpense)^(MAX(0,13-GrowthStartMonth)/12)</f>
        <v/>
      </c>
      <c r="R8" s="157">
        <f>(1+GrowthExpense)^(MAX(0,14-GrowthStartMonth)/12)</f>
        <v/>
      </c>
      <c r="S8" s="157">
        <f>(1+GrowthExpense)^(MAX(0,15-GrowthStartMonth)/12)</f>
        <v/>
      </c>
      <c r="T8" s="157">
        <f>(1+GrowthExpense)^(MAX(0,16-GrowthStartMonth)/12)</f>
        <v/>
      </c>
      <c r="U8" s="157">
        <f>(1+GrowthExpense)^(MAX(0,17-GrowthStartMonth)/12)</f>
        <v/>
      </c>
      <c r="V8" s="157">
        <f>(1+GrowthExpense)^(MAX(0,18-GrowthStartMonth)/12)</f>
        <v/>
      </c>
      <c r="W8" s="157">
        <f>(1+GrowthExpense)^(MAX(0,19-GrowthStartMonth)/12)</f>
        <v/>
      </c>
      <c r="X8" s="157">
        <f>(1+GrowthExpense)^(MAX(0,20-GrowthStartMonth)/12)</f>
        <v/>
      </c>
      <c r="Y8" s="157">
        <f>(1+GrowthExpense)^(MAX(0,21-GrowthStartMonth)/12)</f>
        <v/>
      </c>
      <c r="Z8" s="157">
        <f>(1+GrowthExpense)^(MAX(0,22-GrowthStartMonth)/12)</f>
        <v/>
      </c>
      <c r="AA8" s="157">
        <f>(1+GrowthExpense)^(MAX(0,23-GrowthStartMonth)/12)</f>
        <v/>
      </c>
      <c r="AB8" s="157">
        <f>(1+GrowthExpense)^(MAX(0,24-GrowthStartMonth)/12)</f>
        <v/>
      </c>
      <c r="AC8" s="157">
        <f>(1+GrowthExpense)^(MAX(0,25-GrowthStartMonth)/12)</f>
        <v/>
      </c>
      <c r="AD8" s="157">
        <f>(1+GrowthExpense)^(MAX(0,26-GrowthStartMonth)/12)</f>
        <v/>
      </c>
      <c r="AE8" s="157">
        <f>(1+GrowthExpense)^(MAX(0,27-GrowthStartMonth)/12)</f>
        <v/>
      </c>
      <c r="AF8" s="157">
        <f>(1+GrowthExpense)^(MAX(0,28-GrowthStartMonth)/12)</f>
        <v/>
      </c>
      <c r="AG8" s="157">
        <f>(1+GrowthExpense)^(MAX(0,29-GrowthStartMonth)/12)</f>
        <v/>
      </c>
      <c r="AH8" s="157">
        <f>(1+GrowthExpense)^(MAX(0,30-GrowthStartMonth)/12)</f>
        <v/>
      </c>
      <c r="AI8" s="157">
        <f>(1+GrowthExpense)^(MAX(0,31-GrowthStartMonth)/12)</f>
        <v/>
      </c>
      <c r="AJ8" s="157">
        <f>(1+GrowthExpense)^(MAX(0,32-GrowthStartMonth)/12)</f>
        <v/>
      </c>
      <c r="AK8" s="157">
        <f>(1+GrowthExpense)^(MAX(0,33-GrowthStartMonth)/12)</f>
        <v/>
      </c>
      <c r="AL8" s="157">
        <f>(1+GrowthExpense)^(MAX(0,34-GrowthStartMonth)/12)</f>
        <v/>
      </c>
      <c r="AM8" s="157">
        <f>(1+GrowthExpense)^(MAX(0,35-GrowthStartMonth)/12)</f>
        <v/>
      </c>
      <c r="AN8" s="157">
        <f>(1+GrowthExpense)^(MAX(0,36-GrowthStartMonth)/12)</f>
        <v/>
      </c>
      <c r="AO8" s="157">
        <f>(1+GrowthExpense)^(MAX(0,37-GrowthStartMonth)/12)</f>
        <v/>
      </c>
      <c r="AP8" s="157">
        <f>(1+GrowthExpense)^(MAX(0,38-GrowthStartMonth)/12)</f>
        <v/>
      </c>
      <c r="AQ8" s="157">
        <f>(1+GrowthExpense)^(MAX(0,39-GrowthStartMonth)/12)</f>
        <v/>
      </c>
      <c r="AR8" s="157">
        <f>(1+GrowthExpense)^(MAX(0,40-GrowthStartMonth)/12)</f>
        <v/>
      </c>
      <c r="AS8" s="157">
        <f>(1+GrowthExpense)^(MAX(0,41-GrowthStartMonth)/12)</f>
        <v/>
      </c>
      <c r="AT8" s="157">
        <f>(1+GrowthExpense)^(MAX(0,42-GrowthStartMonth)/12)</f>
        <v/>
      </c>
      <c r="AU8" s="157">
        <f>(1+GrowthExpense)^(MAX(0,43-GrowthStartMonth)/12)</f>
        <v/>
      </c>
      <c r="AV8" s="157">
        <f>(1+GrowthExpense)^(MAX(0,44-GrowthStartMonth)/12)</f>
        <v/>
      </c>
      <c r="AW8" s="157">
        <f>(1+GrowthExpense)^(MAX(0,45-GrowthStartMonth)/12)</f>
        <v/>
      </c>
      <c r="AX8" s="157">
        <f>(1+GrowthExpense)^(MAX(0,46-GrowthStartMonth)/12)</f>
        <v/>
      </c>
      <c r="AY8" s="157">
        <f>(1+GrowthExpense)^(MAX(0,47-GrowthStartMonth)/12)</f>
        <v/>
      </c>
      <c r="AZ8" s="157">
        <f>(1+GrowthExpense)^(MAX(0,48-GrowthStartMonth)/12)</f>
        <v/>
      </c>
      <c r="BA8" s="157">
        <f>(1+GrowthExpense)^(MAX(0,49-GrowthStartMonth)/12)</f>
        <v/>
      </c>
      <c r="BB8" s="157">
        <f>(1+GrowthExpense)^(MAX(0,50-GrowthStartMonth)/12)</f>
        <v/>
      </c>
      <c r="BC8" s="157">
        <f>(1+GrowthExpense)^(MAX(0,51-GrowthStartMonth)/12)</f>
        <v/>
      </c>
      <c r="BD8" s="157">
        <f>(1+GrowthExpense)^(MAX(0,52-GrowthStartMonth)/12)</f>
        <v/>
      </c>
      <c r="BE8" s="157">
        <f>(1+GrowthExpense)^(MAX(0,53-GrowthStartMonth)/12)</f>
        <v/>
      </c>
      <c r="BF8" s="157">
        <f>(1+GrowthExpense)^(MAX(0,54-GrowthStartMonth)/12)</f>
        <v/>
      </c>
      <c r="BG8" s="157">
        <f>(1+GrowthExpense)^(MAX(0,55-GrowthStartMonth)/12)</f>
        <v/>
      </c>
      <c r="BH8" s="157">
        <f>(1+GrowthExpense)^(MAX(0,56-GrowthStartMonth)/12)</f>
        <v/>
      </c>
      <c r="BI8" s="157">
        <f>(1+GrowthExpense)^(MAX(0,57-GrowthStartMonth)/12)</f>
        <v/>
      </c>
      <c r="BJ8" s="157">
        <f>(1+GrowthExpense)^(MAX(0,58-GrowthStartMonth)/12)</f>
        <v/>
      </c>
      <c r="BK8" s="157">
        <f>(1+GrowthExpense)^(MAX(0,59-GrowthStartMonth)/12)</f>
        <v/>
      </c>
      <c r="BL8" s="157">
        <f>(1+GrowthExpense)^(MAX(0,60-GrowthStartMonth)/12)</f>
        <v/>
      </c>
      <c r="BM8" s="157">
        <f>(1+GrowthExpense)^(MAX(0,61-GrowthStartMonth)/12)</f>
        <v/>
      </c>
      <c r="BN8" s="157">
        <f>(1+GrowthExpense)^(MAX(0,62-GrowthStartMonth)/12)</f>
        <v/>
      </c>
      <c r="BO8" s="157">
        <f>(1+GrowthExpense)^(MAX(0,63-GrowthStartMonth)/12)</f>
        <v/>
      </c>
      <c r="BP8" s="157">
        <f>(1+GrowthExpense)^(MAX(0,64-GrowthStartMonth)/12)</f>
        <v/>
      </c>
      <c r="BQ8" s="157">
        <f>(1+GrowthExpense)^(MAX(0,65-GrowthStartMonth)/12)</f>
        <v/>
      </c>
      <c r="BR8" s="157">
        <f>(1+GrowthExpense)^(MAX(0,66-GrowthStartMonth)/12)</f>
        <v/>
      </c>
      <c r="BS8" s="157">
        <f>(1+GrowthExpense)^(MAX(0,67-GrowthStartMonth)/12)</f>
        <v/>
      </c>
      <c r="BT8" s="157">
        <f>(1+GrowthExpense)^(MAX(0,68-GrowthStartMonth)/12)</f>
        <v/>
      </c>
      <c r="BU8" s="157">
        <f>(1+GrowthExpense)^(MAX(0,69-GrowthStartMonth)/12)</f>
        <v/>
      </c>
      <c r="BV8" s="157">
        <f>(1+GrowthExpense)^(MAX(0,70-GrowthStartMonth)/12)</f>
        <v/>
      </c>
      <c r="BW8" s="157">
        <f>(1+GrowthExpense)^(MAX(0,71-GrowthStartMonth)/12)</f>
        <v/>
      </c>
      <c r="BX8" s="157">
        <f>(1+GrowthExpense)^(MAX(0,72-GrowthStartMonth)/12)</f>
        <v/>
      </c>
      <c r="BY8" s="157">
        <f>(1+GrowthExpense)^(MAX(0,73-GrowthStartMonth)/12)</f>
        <v/>
      </c>
      <c r="BZ8" s="157">
        <f>(1+GrowthExpense)^(MAX(0,74-GrowthStartMonth)/12)</f>
        <v/>
      </c>
      <c r="CA8" s="157">
        <f>(1+GrowthExpense)^(MAX(0,75-GrowthStartMonth)/12)</f>
        <v/>
      </c>
      <c r="CB8" s="157">
        <f>(1+GrowthExpense)^(MAX(0,76-GrowthStartMonth)/12)</f>
        <v/>
      </c>
      <c r="CC8" s="157">
        <f>(1+GrowthExpense)^(MAX(0,77-GrowthStartMonth)/12)</f>
        <v/>
      </c>
      <c r="CD8" s="157">
        <f>(1+GrowthExpense)^(MAX(0,78-GrowthStartMonth)/12)</f>
        <v/>
      </c>
      <c r="CE8" s="157">
        <f>(1+GrowthExpense)^(MAX(0,79-GrowthStartMonth)/12)</f>
        <v/>
      </c>
      <c r="CF8" s="157">
        <f>(1+GrowthExpense)^(MAX(0,80-GrowthStartMonth)/12)</f>
        <v/>
      </c>
      <c r="CG8" s="157">
        <f>(1+GrowthExpense)^(MAX(0,81-GrowthStartMonth)/12)</f>
        <v/>
      </c>
      <c r="CH8" s="157">
        <f>(1+GrowthExpense)^(MAX(0,82-GrowthStartMonth)/12)</f>
        <v/>
      </c>
      <c r="CI8" s="157">
        <f>(1+GrowthExpense)^(MAX(0,83-GrowthStartMonth)/12)</f>
        <v/>
      </c>
      <c r="CJ8" s="157">
        <f>(1+GrowthExpense)^(MAX(0,84-GrowthStartMonth)/12)</f>
        <v/>
      </c>
      <c r="CK8" s="157">
        <f>(1+GrowthExpense)^(MAX(0,85-GrowthStartMonth)/12)</f>
        <v/>
      </c>
      <c r="CL8" s="157">
        <f>(1+GrowthExpense)^(MAX(0,86-GrowthStartMonth)/12)</f>
        <v/>
      </c>
      <c r="CM8" s="157">
        <f>(1+GrowthExpense)^(MAX(0,87-GrowthStartMonth)/12)</f>
        <v/>
      </c>
      <c r="CN8" s="157">
        <f>(1+GrowthExpense)^(MAX(0,88-GrowthStartMonth)/12)</f>
        <v/>
      </c>
      <c r="CO8" s="157">
        <f>(1+GrowthExpense)^(MAX(0,89-GrowthStartMonth)/12)</f>
        <v/>
      </c>
      <c r="CP8" s="157">
        <f>(1+GrowthExpense)^(MAX(0,90-GrowthStartMonth)/12)</f>
        <v/>
      </c>
      <c r="CQ8" s="157">
        <f>(1+GrowthExpense)^(MAX(0,91-GrowthStartMonth)/12)</f>
        <v/>
      </c>
      <c r="CR8" s="157">
        <f>(1+GrowthExpense)^(MAX(0,92-GrowthStartMonth)/12)</f>
        <v/>
      </c>
      <c r="CS8" s="157">
        <f>(1+GrowthExpense)^(MAX(0,93-GrowthStartMonth)/12)</f>
        <v/>
      </c>
      <c r="CT8" s="157">
        <f>(1+GrowthExpense)^(MAX(0,94-GrowthStartMonth)/12)</f>
        <v/>
      </c>
      <c r="CU8" s="157">
        <f>(1+GrowthExpense)^(MAX(0,95-GrowthStartMonth)/12)</f>
        <v/>
      </c>
      <c r="CV8" s="157">
        <f>(1+GrowthExpense)^(MAX(0,96-GrowthStartMonth)/12)</f>
        <v/>
      </c>
      <c r="CW8" s="157">
        <f>(1+GrowthExpense)^(MAX(0,97-GrowthStartMonth)/12)</f>
        <v/>
      </c>
      <c r="CX8" s="157">
        <f>(1+GrowthExpense)^(MAX(0,98-GrowthStartMonth)/12)</f>
        <v/>
      </c>
      <c r="CY8" s="157">
        <f>(1+GrowthExpense)^(MAX(0,99-GrowthStartMonth)/12)</f>
        <v/>
      </c>
      <c r="CZ8" s="157">
        <f>(1+GrowthExpense)^(MAX(0,100-GrowthStartMonth)/12)</f>
        <v/>
      </c>
      <c r="DA8" s="157">
        <f>(1+GrowthExpense)^(MAX(0,101-GrowthStartMonth)/12)</f>
        <v/>
      </c>
      <c r="DB8" s="157">
        <f>(1+GrowthExpense)^(MAX(0,102-GrowthStartMonth)/12)</f>
        <v/>
      </c>
      <c r="DC8" s="157">
        <f>(1+GrowthExpense)^(MAX(0,103-GrowthStartMonth)/12)</f>
        <v/>
      </c>
      <c r="DD8" s="157">
        <f>(1+GrowthExpense)^(MAX(0,104-GrowthStartMonth)/12)</f>
        <v/>
      </c>
      <c r="DE8" s="157">
        <f>(1+GrowthExpense)^(MAX(0,105-GrowthStartMonth)/12)</f>
        <v/>
      </c>
      <c r="DF8" s="157">
        <f>(1+GrowthExpense)^(MAX(0,106-GrowthStartMonth)/12)</f>
        <v/>
      </c>
      <c r="DG8" s="157">
        <f>(1+GrowthExpense)^(MAX(0,107-GrowthStartMonth)/12)</f>
        <v/>
      </c>
      <c r="DH8" s="157">
        <f>(1+GrowthExpense)^(MAX(0,108-GrowthStartMonth)/12)</f>
        <v/>
      </c>
      <c r="DI8" s="157">
        <f>(1+GrowthExpense)^(MAX(0,109-GrowthStartMonth)/12)</f>
        <v/>
      </c>
      <c r="DJ8" s="157">
        <f>(1+GrowthExpense)^(MAX(0,110-GrowthStartMonth)/12)</f>
        <v/>
      </c>
      <c r="DK8" s="157">
        <f>(1+GrowthExpense)^(MAX(0,111-GrowthStartMonth)/12)</f>
        <v/>
      </c>
      <c r="DL8" s="157">
        <f>(1+GrowthExpense)^(MAX(0,112-GrowthStartMonth)/12)</f>
        <v/>
      </c>
      <c r="DM8" s="157">
        <f>(1+GrowthExpense)^(MAX(0,113-GrowthStartMonth)/12)</f>
        <v/>
      </c>
      <c r="DN8" s="157">
        <f>(1+GrowthExpense)^(MAX(0,114-GrowthStartMonth)/12)</f>
        <v/>
      </c>
      <c r="DO8" s="157">
        <f>(1+GrowthExpense)^(MAX(0,115-GrowthStartMonth)/12)</f>
        <v/>
      </c>
      <c r="DP8" s="157">
        <f>(1+GrowthExpense)^(MAX(0,116-GrowthStartMonth)/12)</f>
        <v/>
      </c>
      <c r="DQ8" s="157">
        <f>(1+GrowthExpense)^(MAX(0,117-GrowthStartMonth)/12)</f>
        <v/>
      </c>
      <c r="DR8" s="157">
        <f>(1+GrowthExpense)^(MAX(0,118-GrowthStartMonth)/12)</f>
        <v/>
      </c>
      <c r="DS8" s="157">
        <f>(1+GrowthExpense)^(MAX(0,119-GrowthStartMonth)/12)</f>
        <v/>
      </c>
      <c r="DT8" s="157">
        <f>(1+GrowthExpense)^(MAX(0,120-GrowthStartMonth)/12)</f>
        <v/>
      </c>
      <c r="DU8" s="157">
        <f>(1+GrowthExpense)^(MAX(0,121-GrowthStartMonth)/12)</f>
        <v/>
      </c>
      <c r="DV8" s="157">
        <f>(1+GrowthExpense)^(MAX(0,122-GrowthStartMonth)/12)</f>
        <v/>
      </c>
      <c r="DW8" s="157">
        <f>(1+GrowthExpense)^(MAX(0,123-GrowthStartMonth)/12)</f>
        <v/>
      </c>
      <c r="DX8" s="157">
        <f>(1+GrowthExpense)^(MAX(0,124-GrowthStartMonth)/12)</f>
        <v/>
      </c>
      <c r="DY8" s="157">
        <f>(1+GrowthExpense)^(MAX(0,125-GrowthStartMonth)/12)</f>
        <v/>
      </c>
      <c r="DZ8" s="157">
        <f>(1+GrowthExpense)^(MAX(0,126-GrowthStartMonth)/12)</f>
        <v/>
      </c>
      <c r="EA8" s="157">
        <f>(1+GrowthExpense)^(MAX(0,127-GrowthStartMonth)/12)</f>
        <v/>
      </c>
      <c r="EB8" s="157">
        <f>(1+GrowthExpense)^(MAX(0,128-GrowthStartMonth)/12)</f>
        <v/>
      </c>
      <c r="EC8" s="157">
        <f>(1+GrowthExpense)^(MAX(0,129-GrowthStartMonth)/12)</f>
        <v/>
      </c>
      <c r="ED8" s="157">
        <f>(1+GrowthExpense)^(MAX(0,130-GrowthStartMonth)/12)</f>
        <v/>
      </c>
      <c r="EE8" s="157">
        <f>(1+GrowthExpense)^(MAX(0,131-GrowthStartMonth)/12)</f>
        <v/>
      </c>
      <c r="EF8" s="157">
        <f>(1+GrowthExpense)^(MAX(0,132-GrowthStartMonth)/12)</f>
        <v/>
      </c>
      <c r="EG8" s="157">
        <f>(1+GrowthExpense)^(MAX(0,133-GrowthStartMonth)/12)</f>
        <v/>
      </c>
      <c r="EH8" s="157">
        <f>(1+GrowthExpense)^(MAX(0,134-GrowthStartMonth)/12)</f>
        <v/>
      </c>
      <c r="EI8" s="157">
        <f>(1+GrowthExpense)^(MAX(0,135-GrowthStartMonth)/12)</f>
        <v/>
      </c>
      <c r="EJ8" s="157">
        <f>(1+GrowthExpense)^(MAX(0,136-GrowthStartMonth)/12)</f>
        <v/>
      </c>
      <c r="EK8" s="157">
        <f>(1+GrowthExpense)^(MAX(0,137-GrowthStartMonth)/12)</f>
        <v/>
      </c>
      <c r="EL8" s="157">
        <f>(1+GrowthExpense)^(MAX(0,138-GrowthStartMonth)/12)</f>
        <v/>
      </c>
      <c r="EM8" s="157">
        <f>(1+GrowthExpense)^(MAX(0,139-GrowthStartMonth)/12)</f>
        <v/>
      </c>
      <c r="EN8" s="157">
        <f>(1+GrowthExpense)^(MAX(0,140-GrowthStartMonth)/12)</f>
        <v/>
      </c>
      <c r="EO8" s="157">
        <f>(1+GrowthExpense)^(MAX(0,141-GrowthStartMonth)/12)</f>
        <v/>
      </c>
      <c r="EP8" s="157">
        <f>(1+GrowthExpense)^(MAX(0,142-GrowthStartMonth)/12)</f>
        <v/>
      </c>
      <c r="EQ8" s="157">
        <f>(1+GrowthExpense)^(MAX(0,143-GrowthStartMonth)/12)</f>
        <v/>
      </c>
      <c r="ER8" s="157">
        <f>(1+GrowthExpense)^(MAX(0,144-GrowthStartMonth)/12)</f>
        <v/>
      </c>
      <c r="ES8" s="157">
        <f>(1+GrowthExpense)^(MAX(0,145-GrowthStartMonth)/12)</f>
        <v/>
      </c>
      <c r="ET8" s="157">
        <f>(1+GrowthExpense)^(MAX(0,146-GrowthStartMonth)/12)</f>
        <v/>
      </c>
      <c r="EU8" s="157">
        <f>(1+GrowthExpense)^(MAX(0,147-GrowthStartMonth)/12)</f>
        <v/>
      </c>
      <c r="EV8" s="157">
        <f>(1+GrowthExpense)^(MAX(0,148-GrowthStartMonth)/12)</f>
        <v/>
      </c>
      <c r="EW8" s="157">
        <f>(1+GrowthExpense)^(MAX(0,149-GrowthStartMonth)/12)</f>
        <v/>
      </c>
      <c r="EX8" s="157">
        <f>(1+GrowthExpense)^(MAX(0,150-GrowthStartMonth)/12)</f>
        <v/>
      </c>
      <c r="EY8" s="157">
        <f>(1+GrowthExpense)^(MAX(0,151-GrowthStartMonth)/12)</f>
        <v/>
      </c>
      <c r="EZ8" s="157">
        <f>(1+GrowthExpense)^(MAX(0,152-GrowthStartMonth)/12)</f>
        <v/>
      </c>
      <c r="FA8" s="157">
        <f>(1+GrowthExpense)^(MAX(0,153-GrowthStartMonth)/12)</f>
        <v/>
      </c>
      <c r="FB8" s="157">
        <f>(1+GrowthExpense)^(MAX(0,154-GrowthStartMonth)/12)</f>
        <v/>
      </c>
      <c r="FC8" s="157">
        <f>(1+GrowthExpense)^(MAX(0,155-GrowthStartMonth)/12)</f>
        <v/>
      </c>
      <c r="FD8" s="157">
        <f>(1+GrowthExpense)^(MAX(0,156-GrowthStartMonth)/12)</f>
        <v/>
      </c>
      <c r="FE8" s="157">
        <f>(1+GrowthExpense)^(MAX(0,157-GrowthStartMonth)/12)</f>
        <v/>
      </c>
      <c r="FF8" s="157">
        <f>(1+GrowthExpense)^(MAX(0,158-GrowthStartMonth)/12)</f>
        <v/>
      </c>
      <c r="FG8" s="157">
        <f>(1+GrowthExpense)^(MAX(0,159-GrowthStartMonth)/12)</f>
        <v/>
      </c>
      <c r="FH8" s="157">
        <f>(1+GrowthExpense)^(MAX(0,160-GrowthStartMonth)/12)</f>
        <v/>
      </c>
      <c r="FI8" s="157">
        <f>(1+GrowthExpense)^(MAX(0,161-GrowthStartMonth)/12)</f>
        <v/>
      </c>
      <c r="FJ8" s="157">
        <f>(1+GrowthExpense)^(MAX(0,162-GrowthStartMonth)/12)</f>
        <v/>
      </c>
      <c r="FK8" s="157">
        <f>(1+GrowthExpense)^(MAX(0,163-GrowthStartMonth)/12)</f>
        <v/>
      </c>
      <c r="FL8" s="157">
        <f>(1+GrowthExpense)^(MAX(0,164-GrowthStartMonth)/12)</f>
        <v/>
      </c>
      <c r="FM8" s="157">
        <f>(1+GrowthExpense)^(MAX(0,165-GrowthStartMonth)/12)</f>
        <v/>
      </c>
      <c r="FN8" s="157">
        <f>(1+GrowthExpense)^(MAX(0,166-GrowthStartMonth)/12)</f>
        <v/>
      </c>
      <c r="FO8" s="157">
        <f>(1+GrowthExpense)^(MAX(0,167-GrowthStartMonth)/12)</f>
        <v/>
      </c>
      <c r="FP8" s="157">
        <f>(1+GrowthExpense)^(MAX(0,168-GrowthStartMonth)/12)</f>
        <v/>
      </c>
      <c r="FQ8" s="157">
        <f>(1+GrowthExpense)^(MAX(0,169-GrowthStartMonth)/12)</f>
        <v/>
      </c>
      <c r="FR8" s="157">
        <f>(1+GrowthExpense)^(MAX(0,170-GrowthStartMonth)/12)</f>
        <v/>
      </c>
      <c r="FS8" s="157">
        <f>(1+GrowthExpense)^(MAX(0,171-GrowthStartMonth)/12)</f>
        <v/>
      </c>
      <c r="FT8" s="157">
        <f>(1+GrowthExpense)^(MAX(0,172-GrowthStartMonth)/12)</f>
        <v/>
      </c>
      <c r="FU8" s="157">
        <f>(1+GrowthExpense)^(MAX(0,173-GrowthStartMonth)/12)</f>
        <v/>
      </c>
      <c r="FV8" s="157">
        <f>(1+GrowthExpense)^(MAX(0,174-GrowthStartMonth)/12)</f>
        <v/>
      </c>
      <c r="FW8" s="157">
        <f>(1+GrowthExpense)^(MAX(0,175-GrowthStartMonth)/12)</f>
        <v/>
      </c>
      <c r="FX8" s="157">
        <f>(1+GrowthExpense)^(MAX(0,176-GrowthStartMonth)/12)</f>
        <v/>
      </c>
      <c r="FY8" s="157">
        <f>(1+GrowthExpense)^(MAX(0,177-GrowthStartMonth)/12)</f>
        <v/>
      </c>
      <c r="FZ8" s="157">
        <f>(1+GrowthExpense)^(MAX(0,178-GrowthStartMonth)/12)</f>
        <v/>
      </c>
      <c r="GA8" s="157">
        <f>(1+GrowthExpense)^(MAX(0,179-GrowthStartMonth)/12)</f>
        <v/>
      </c>
      <c r="GB8" s="157">
        <f>(1+GrowthExpense)^(MAX(0,180-GrowthStartMonth)/12)</f>
        <v/>
      </c>
      <c r="GC8" s="157">
        <f>(1+GrowthExpense)^(MAX(0,181-GrowthStartMonth)/12)</f>
        <v/>
      </c>
      <c r="GD8" s="157">
        <f>(1+GrowthExpense)^(MAX(0,182-GrowthStartMonth)/12)</f>
        <v/>
      </c>
      <c r="GE8" s="157">
        <f>(1+GrowthExpense)^(MAX(0,183-GrowthStartMonth)/12)</f>
        <v/>
      </c>
      <c r="GF8" s="157">
        <f>(1+GrowthExpense)^(MAX(0,184-GrowthStartMonth)/12)</f>
        <v/>
      </c>
      <c r="GG8" s="157">
        <f>(1+GrowthExpense)^(MAX(0,185-GrowthStartMonth)/12)</f>
        <v/>
      </c>
      <c r="GH8" s="157">
        <f>(1+GrowthExpense)^(MAX(0,186-GrowthStartMonth)/12)</f>
        <v/>
      </c>
      <c r="GI8" s="157">
        <f>(1+GrowthExpense)^(MAX(0,187-GrowthStartMonth)/12)</f>
        <v/>
      </c>
      <c r="GJ8" s="157">
        <f>(1+GrowthExpense)^(MAX(0,188-GrowthStartMonth)/12)</f>
        <v/>
      </c>
      <c r="GK8" s="157">
        <f>(1+GrowthExpense)^(MAX(0,189-GrowthStartMonth)/12)</f>
        <v/>
      </c>
      <c r="GL8" s="157">
        <f>(1+GrowthExpense)^(MAX(0,190-GrowthStartMonth)/12)</f>
        <v/>
      </c>
      <c r="GM8" s="157">
        <f>(1+GrowthExpense)^(MAX(0,191-GrowthStartMonth)/12)</f>
        <v/>
      </c>
      <c r="GN8" s="157">
        <f>(1+GrowthExpense)^(MAX(0,192-GrowthStartMonth)/12)</f>
        <v/>
      </c>
      <c r="GO8" s="157">
        <f>(1+GrowthExpense)^(MAX(0,193-GrowthStartMonth)/12)</f>
        <v/>
      </c>
      <c r="GP8" s="157">
        <f>(1+GrowthExpense)^(MAX(0,194-GrowthStartMonth)/12)</f>
        <v/>
      </c>
      <c r="GQ8" s="157">
        <f>(1+GrowthExpense)^(MAX(0,195-GrowthStartMonth)/12)</f>
        <v/>
      </c>
      <c r="GR8" s="157">
        <f>(1+GrowthExpense)^(MAX(0,196-GrowthStartMonth)/12)</f>
        <v/>
      </c>
      <c r="GS8" s="157">
        <f>(1+GrowthExpense)^(MAX(0,197-GrowthStartMonth)/12)</f>
        <v/>
      </c>
      <c r="GT8" s="157">
        <f>(1+GrowthExpense)^(MAX(0,198-GrowthStartMonth)/12)</f>
        <v/>
      </c>
      <c r="GU8" s="157">
        <f>(1+GrowthExpense)^(MAX(0,199-GrowthStartMonth)/12)</f>
        <v/>
      </c>
      <c r="GV8" s="157">
        <f>(1+GrowthExpense)^(MAX(0,200-GrowthStartMonth)/12)</f>
        <v/>
      </c>
      <c r="GW8" s="157">
        <f>(1+GrowthExpense)^(MAX(0,201-GrowthStartMonth)/12)</f>
        <v/>
      </c>
      <c r="GX8" s="157">
        <f>(1+GrowthExpense)^(MAX(0,202-GrowthStartMonth)/12)</f>
        <v/>
      </c>
      <c r="GY8" s="157">
        <f>(1+GrowthExpense)^(MAX(0,203-GrowthStartMonth)/12)</f>
        <v/>
      </c>
      <c r="GZ8" s="157">
        <f>(1+GrowthExpense)^(MAX(0,204-GrowthStartMonth)/12)</f>
        <v/>
      </c>
      <c r="HA8" s="157">
        <f>(1+GrowthExpense)^(MAX(0,205-GrowthStartMonth)/12)</f>
        <v/>
      </c>
      <c r="HB8" s="157">
        <f>(1+GrowthExpense)^(MAX(0,206-GrowthStartMonth)/12)</f>
        <v/>
      </c>
      <c r="HC8" s="157">
        <f>(1+GrowthExpense)^(MAX(0,207-GrowthStartMonth)/12)</f>
        <v/>
      </c>
      <c r="HD8" s="157">
        <f>(1+GrowthExpense)^(MAX(0,208-GrowthStartMonth)/12)</f>
        <v/>
      </c>
      <c r="HE8" s="157">
        <f>(1+GrowthExpense)^(MAX(0,209-GrowthStartMonth)/12)</f>
        <v/>
      </c>
      <c r="HF8" s="157">
        <f>(1+GrowthExpense)^(MAX(0,210-GrowthStartMonth)/12)</f>
        <v/>
      </c>
      <c r="HG8" s="157">
        <f>(1+GrowthExpense)^(MAX(0,211-GrowthStartMonth)/12)</f>
        <v/>
      </c>
      <c r="HH8" s="157">
        <f>(1+GrowthExpense)^(MAX(0,212-GrowthStartMonth)/12)</f>
        <v/>
      </c>
      <c r="HI8" s="157">
        <f>(1+GrowthExpense)^(MAX(0,213-GrowthStartMonth)/12)</f>
        <v/>
      </c>
      <c r="HJ8" s="157">
        <f>(1+GrowthExpense)^(MAX(0,214-GrowthStartMonth)/12)</f>
        <v/>
      </c>
      <c r="HK8" s="157">
        <f>(1+GrowthExpense)^(MAX(0,215-GrowthStartMonth)/12)</f>
        <v/>
      </c>
      <c r="HL8" s="157">
        <f>(1+GrowthExpense)^(MAX(0,216-GrowthStartMonth)/12)</f>
        <v/>
      </c>
      <c r="HM8" s="157">
        <f>(1+GrowthExpense)^(MAX(0,217-GrowthStartMonth)/12)</f>
        <v/>
      </c>
      <c r="HN8" s="157">
        <f>(1+GrowthExpense)^(MAX(0,218-GrowthStartMonth)/12)</f>
        <v/>
      </c>
      <c r="HO8" s="157">
        <f>(1+GrowthExpense)^(MAX(0,219-GrowthStartMonth)/12)</f>
        <v/>
      </c>
      <c r="HP8" s="157">
        <f>(1+GrowthExpense)^(MAX(0,220-GrowthStartMonth)/12)</f>
        <v/>
      </c>
      <c r="HQ8" s="157">
        <f>(1+GrowthExpense)^(MAX(0,221-GrowthStartMonth)/12)</f>
        <v/>
      </c>
      <c r="HR8" s="157">
        <f>(1+GrowthExpense)^(MAX(0,222-GrowthStartMonth)/12)</f>
        <v/>
      </c>
      <c r="HS8" s="157">
        <f>(1+GrowthExpense)^(MAX(0,223-GrowthStartMonth)/12)</f>
        <v/>
      </c>
      <c r="HT8" s="157">
        <f>(1+GrowthExpense)^(MAX(0,224-GrowthStartMonth)/12)</f>
        <v/>
      </c>
      <c r="HU8" s="157">
        <f>(1+GrowthExpense)^(MAX(0,225-GrowthStartMonth)/12)</f>
        <v/>
      </c>
      <c r="HV8" s="157">
        <f>(1+GrowthExpense)^(MAX(0,226-GrowthStartMonth)/12)</f>
        <v/>
      </c>
      <c r="HW8" s="157">
        <f>(1+GrowthExpense)^(MAX(0,227-GrowthStartMonth)/12)</f>
        <v/>
      </c>
      <c r="HX8" s="157">
        <f>(1+GrowthExpense)^(MAX(0,228-GrowthStartMonth)/12)</f>
        <v/>
      </c>
      <c r="HY8" s="157">
        <f>(1+GrowthExpense)^(MAX(0,229-GrowthStartMonth)/12)</f>
        <v/>
      </c>
      <c r="HZ8" s="157">
        <f>(1+GrowthExpense)^(MAX(0,230-GrowthStartMonth)/12)</f>
        <v/>
      </c>
      <c r="IA8" s="157">
        <f>(1+GrowthExpense)^(MAX(0,231-GrowthStartMonth)/12)</f>
        <v/>
      </c>
      <c r="IB8" s="157">
        <f>(1+GrowthExpense)^(MAX(0,232-GrowthStartMonth)/12)</f>
        <v/>
      </c>
      <c r="IC8" s="157">
        <f>(1+GrowthExpense)^(MAX(0,233-GrowthStartMonth)/12)</f>
        <v/>
      </c>
      <c r="ID8" s="157">
        <f>(1+GrowthExpense)^(MAX(0,234-GrowthStartMonth)/12)</f>
        <v/>
      </c>
      <c r="IE8" s="157">
        <f>(1+GrowthExpense)^(MAX(0,235-GrowthStartMonth)/12)</f>
        <v/>
      </c>
      <c r="IF8" s="157">
        <f>(1+GrowthExpense)^(MAX(0,236-GrowthStartMonth)/12)</f>
        <v/>
      </c>
      <c r="IG8" s="157">
        <f>(1+GrowthExpense)^(MAX(0,237-GrowthStartMonth)/12)</f>
        <v/>
      </c>
      <c r="IH8" s="157">
        <f>(1+GrowthExpense)^(MAX(0,238-GrowthStartMonth)/12)</f>
        <v/>
      </c>
      <c r="II8" s="157">
        <f>(1+GrowthExpense)^(MAX(0,239-GrowthStartMonth)/12)</f>
        <v/>
      </c>
      <c r="IJ8" s="157">
        <f>(1+GrowthExpense)^(MAX(0,240-GrowthStartMonth)/12)</f>
        <v/>
      </c>
      <c r="IK8" s="157">
        <f>(1+GrowthExpense)^(MAX(0,241-GrowthStartMonth)/12)</f>
        <v/>
      </c>
      <c r="IL8" s="157">
        <f>(1+GrowthExpense)^(MAX(0,242-GrowthStartMonth)/12)</f>
        <v/>
      </c>
      <c r="IM8" s="157">
        <f>(1+GrowthExpense)^(MAX(0,243-GrowthStartMonth)/12)</f>
        <v/>
      </c>
      <c r="IN8" s="157">
        <f>(1+GrowthExpense)^(MAX(0,244-GrowthStartMonth)/12)</f>
        <v/>
      </c>
      <c r="IO8" s="157">
        <f>(1+GrowthExpense)^(MAX(0,245-GrowthStartMonth)/12)</f>
        <v/>
      </c>
      <c r="IP8" s="157">
        <f>(1+GrowthExpense)^(MAX(0,246-GrowthStartMonth)/12)</f>
        <v/>
      </c>
      <c r="IQ8" s="157">
        <f>(1+GrowthExpense)^(MAX(0,247-GrowthStartMonth)/12)</f>
        <v/>
      </c>
      <c r="IR8" s="157">
        <f>(1+GrowthExpense)^(MAX(0,248-GrowthStartMonth)/12)</f>
        <v/>
      </c>
      <c r="IS8" s="157">
        <f>(1+GrowthExpense)^(MAX(0,249-GrowthStartMonth)/12)</f>
        <v/>
      </c>
      <c r="IT8" s="157">
        <f>(1+GrowthExpense)^(MAX(0,250-GrowthStartMonth)/12)</f>
        <v/>
      </c>
      <c r="IU8" s="157">
        <f>(1+GrowthExpense)^(MAX(0,251-GrowthStartMonth)/12)</f>
        <v/>
      </c>
      <c r="IV8" s="157">
        <f>(1+GrowthExpense)^(MAX(0,252-GrowthStartMonth)/12)</f>
        <v/>
      </c>
      <c r="IW8" s="157">
        <f>(1+GrowthExpense)^(MAX(0,253-GrowthStartMonth)/12)</f>
        <v/>
      </c>
      <c r="IX8" s="157">
        <f>(1+GrowthExpense)^(MAX(0,254-GrowthStartMonth)/12)</f>
        <v/>
      </c>
      <c r="IY8" s="157">
        <f>(1+GrowthExpense)^(MAX(0,255-GrowthStartMonth)/12)</f>
        <v/>
      </c>
      <c r="IZ8" s="157">
        <f>(1+GrowthExpense)^(MAX(0,256-GrowthStartMonth)/12)</f>
        <v/>
      </c>
      <c r="JA8" s="157">
        <f>(1+GrowthExpense)^(MAX(0,257-GrowthStartMonth)/12)</f>
        <v/>
      </c>
      <c r="JB8" s="157">
        <f>(1+GrowthExpense)^(MAX(0,258-GrowthStartMonth)/12)</f>
        <v/>
      </c>
      <c r="JC8" s="157">
        <f>(1+GrowthExpense)^(MAX(0,259-GrowthStartMonth)/12)</f>
        <v/>
      </c>
      <c r="JD8" s="157">
        <f>(1+GrowthExpense)^(MAX(0,260-GrowthStartMonth)/12)</f>
        <v/>
      </c>
      <c r="JE8" s="157">
        <f>(1+GrowthExpense)^(MAX(0,261-GrowthStartMonth)/12)</f>
        <v/>
      </c>
      <c r="JF8" s="157">
        <f>(1+GrowthExpense)^(MAX(0,262-GrowthStartMonth)/12)</f>
        <v/>
      </c>
      <c r="JG8" s="157">
        <f>(1+GrowthExpense)^(MAX(0,263-GrowthStartMonth)/12)</f>
        <v/>
      </c>
      <c r="JH8" s="157">
        <f>(1+GrowthExpense)^(MAX(0,264-GrowthStartMonth)/12)</f>
        <v/>
      </c>
      <c r="JI8" s="157">
        <f>(1+GrowthExpense)^(MAX(0,265-GrowthStartMonth)/12)</f>
        <v/>
      </c>
      <c r="JJ8" s="157">
        <f>(1+GrowthExpense)^(MAX(0,266-GrowthStartMonth)/12)</f>
        <v/>
      </c>
      <c r="JK8" s="157">
        <f>(1+GrowthExpense)^(MAX(0,267-GrowthStartMonth)/12)</f>
        <v/>
      </c>
      <c r="JL8" s="157">
        <f>(1+GrowthExpense)^(MAX(0,268-GrowthStartMonth)/12)</f>
        <v/>
      </c>
      <c r="JM8" s="157">
        <f>(1+GrowthExpense)^(MAX(0,269-GrowthStartMonth)/12)</f>
        <v/>
      </c>
      <c r="JN8" s="157">
        <f>(1+GrowthExpense)^(MAX(0,270-GrowthStartMonth)/12)</f>
        <v/>
      </c>
      <c r="JO8" s="157">
        <f>(1+GrowthExpense)^(MAX(0,271-GrowthStartMonth)/12)</f>
        <v/>
      </c>
      <c r="JP8" s="157">
        <f>(1+GrowthExpense)^(MAX(0,272-GrowthStartMonth)/12)</f>
        <v/>
      </c>
      <c r="JQ8" s="157">
        <f>(1+GrowthExpense)^(MAX(0,273-GrowthStartMonth)/12)</f>
        <v/>
      </c>
      <c r="JR8" s="157">
        <f>(1+GrowthExpense)^(MAX(0,274-GrowthStartMonth)/12)</f>
        <v/>
      </c>
      <c r="JS8" s="157">
        <f>(1+GrowthExpense)^(MAX(0,275-GrowthStartMonth)/12)</f>
        <v/>
      </c>
      <c r="JT8" s="157">
        <f>(1+GrowthExpense)^(MAX(0,276-GrowthStartMonth)/12)</f>
        <v/>
      </c>
      <c r="JU8" s="157">
        <f>(1+GrowthExpense)^(MAX(0,277-GrowthStartMonth)/12)</f>
        <v/>
      </c>
      <c r="JV8" s="157">
        <f>(1+GrowthExpense)^(MAX(0,278-GrowthStartMonth)/12)</f>
        <v/>
      </c>
      <c r="JW8" s="157">
        <f>(1+GrowthExpense)^(MAX(0,279-GrowthStartMonth)/12)</f>
        <v/>
      </c>
      <c r="JX8" s="157">
        <f>(1+GrowthExpense)^(MAX(0,280-GrowthStartMonth)/12)</f>
        <v/>
      </c>
      <c r="JY8" s="157">
        <f>(1+GrowthExpense)^(MAX(0,281-GrowthStartMonth)/12)</f>
        <v/>
      </c>
      <c r="JZ8" s="157">
        <f>(1+GrowthExpense)^(MAX(0,282-GrowthStartMonth)/12)</f>
        <v/>
      </c>
      <c r="KA8" s="157">
        <f>(1+GrowthExpense)^(MAX(0,283-GrowthStartMonth)/12)</f>
        <v/>
      </c>
      <c r="KB8" s="157">
        <f>(1+GrowthExpense)^(MAX(0,284-GrowthStartMonth)/12)</f>
        <v/>
      </c>
      <c r="KC8" s="157">
        <f>(1+GrowthExpense)^(MAX(0,285-GrowthStartMonth)/12)</f>
        <v/>
      </c>
      <c r="KD8" s="157">
        <f>(1+GrowthExpense)^(MAX(0,286-GrowthStartMonth)/12)</f>
        <v/>
      </c>
      <c r="KE8" s="157">
        <f>(1+GrowthExpense)^(MAX(0,287-GrowthStartMonth)/12)</f>
        <v/>
      </c>
      <c r="KF8" s="157">
        <f>(1+GrowthExpense)^(MAX(0,288-GrowthStartMonth)/12)</f>
        <v/>
      </c>
      <c r="KG8" s="157">
        <f>(1+GrowthExpense)^(MAX(0,289-GrowthStartMonth)/12)</f>
        <v/>
      </c>
      <c r="KH8" s="157">
        <f>(1+GrowthExpense)^(MAX(0,290-GrowthStartMonth)/12)</f>
        <v/>
      </c>
      <c r="KI8" s="157">
        <f>(1+GrowthExpense)^(MAX(0,291-GrowthStartMonth)/12)</f>
        <v/>
      </c>
      <c r="KJ8" s="157">
        <f>(1+GrowthExpense)^(MAX(0,292-GrowthStartMonth)/12)</f>
        <v/>
      </c>
      <c r="KK8" s="157">
        <f>(1+GrowthExpense)^(MAX(0,293-GrowthStartMonth)/12)</f>
        <v/>
      </c>
      <c r="KL8" s="157">
        <f>(1+GrowthExpense)^(MAX(0,294-GrowthStartMonth)/12)</f>
        <v/>
      </c>
      <c r="KM8" s="157">
        <f>(1+GrowthExpense)^(MAX(0,295-GrowthStartMonth)/12)</f>
        <v/>
      </c>
      <c r="KN8" s="157">
        <f>(1+GrowthExpense)^(MAX(0,296-GrowthStartMonth)/12)</f>
        <v/>
      </c>
      <c r="KO8" s="157">
        <f>(1+GrowthExpense)^(MAX(0,297-GrowthStartMonth)/12)</f>
        <v/>
      </c>
      <c r="KP8" s="157">
        <f>(1+GrowthExpense)^(MAX(0,298-GrowthStartMonth)/12)</f>
        <v/>
      </c>
      <c r="KQ8" s="157">
        <f>(1+GrowthExpense)^(MAX(0,299-GrowthStartMonth)/12)</f>
        <v/>
      </c>
      <c r="KR8" s="157">
        <f>(1+GrowthExpense)^(MAX(0,300-GrowthStartMonth)/12)</f>
        <v/>
      </c>
      <c r="KS8" s="157">
        <f>(1+GrowthExpense)^(MAX(0,301-GrowthStartMonth)/12)</f>
        <v/>
      </c>
      <c r="KT8" s="157">
        <f>(1+GrowthExpense)^(MAX(0,302-GrowthStartMonth)/12)</f>
        <v/>
      </c>
      <c r="KU8" s="157">
        <f>(1+GrowthExpense)^(MAX(0,303-GrowthStartMonth)/12)</f>
        <v/>
      </c>
      <c r="KV8" s="157">
        <f>(1+GrowthExpense)^(MAX(0,304-GrowthStartMonth)/12)</f>
        <v/>
      </c>
      <c r="KW8" s="157">
        <f>(1+GrowthExpense)^(MAX(0,305-GrowthStartMonth)/12)</f>
        <v/>
      </c>
      <c r="KX8" s="157">
        <f>(1+GrowthExpense)^(MAX(0,306-GrowthStartMonth)/12)</f>
        <v/>
      </c>
      <c r="KY8" s="157">
        <f>(1+GrowthExpense)^(MAX(0,307-GrowthStartMonth)/12)</f>
        <v/>
      </c>
      <c r="KZ8" s="157">
        <f>(1+GrowthExpense)^(MAX(0,308-GrowthStartMonth)/12)</f>
        <v/>
      </c>
      <c r="LA8" s="157">
        <f>(1+GrowthExpense)^(MAX(0,309-GrowthStartMonth)/12)</f>
        <v/>
      </c>
      <c r="LB8" s="157">
        <f>(1+GrowthExpense)^(MAX(0,310-GrowthStartMonth)/12)</f>
        <v/>
      </c>
      <c r="LC8" s="157">
        <f>(1+GrowthExpense)^(MAX(0,311-GrowthStartMonth)/12)</f>
        <v/>
      </c>
      <c r="LD8" s="157">
        <f>(1+GrowthExpense)^(MAX(0,312-GrowthStartMonth)/12)</f>
        <v/>
      </c>
      <c r="LE8" s="157">
        <f>(1+GrowthExpense)^(MAX(0,313-GrowthStartMonth)/12)</f>
        <v/>
      </c>
      <c r="LF8" s="157">
        <f>(1+GrowthExpense)^(MAX(0,314-GrowthStartMonth)/12)</f>
        <v/>
      </c>
      <c r="LG8" s="157">
        <f>(1+GrowthExpense)^(MAX(0,315-GrowthStartMonth)/12)</f>
        <v/>
      </c>
      <c r="LH8" s="157">
        <f>(1+GrowthExpense)^(MAX(0,316-GrowthStartMonth)/12)</f>
        <v/>
      </c>
      <c r="LI8" s="157">
        <f>(1+GrowthExpense)^(MAX(0,317-GrowthStartMonth)/12)</f>
        <v/>
      </c>
      <c r="LJ8" s="157">
        <f>(1+GrowthExpense)^(MAX(0,318-GrowthStartMonth)/12)</f>
        <v/>
      </c>
      <c r="LK8" s="157">
        <f>(1+GrowthExpense)^(MAX(0,319-GrowthStartMonth)/12)</f>
        <v/>
      </c>
      <c r="LL8" s="157">
        <f>(1+GrowthExpense)^(MAX(0,320-GrowthStartMonth)/12)</f>
        <v/>
      </c>
      <c r="LM8" s="157">
        <f>(1+GrowthExpense)^(MAX(0,321-GrowthStartMonth)/12)</f>
        <v/>
      </c>
      <c r="LN8" s="157">
        <f>(1+GrowthExpense)^(MAX(0,322-GrowthStartMonth)/12)</f>
        <v/>
      </c>
      <c r="LO8" s="157">
        <f>(1+GrowthExpense)^(MAX(0,323-GrowthStartMonth)/12)</f>
        <v/>
      </c>
      <c r="LP8" s="157">
        <f>(1+GrowthExpense)^(MAX(0,324-GrowthStartMonth)/12)</f>
        <v/>
      </c>
      <c r="LQ8" s="157">
        <f>(1+GrowthExpense)^(MAX(0,325-GrowthStartMonth)/12)</f>
        <v/>
      </c>
      <c r="LR8" s="157">
        <f>(1+GrowthExpense)^(MAX(0,326-GrowthStartMonth)/12)</f>
        <v/>
      </c>
      <c r="LS8" s="157">
        <f>(1+GrowthExpense)^(MAX(0,327-GrowthStartMonth)/12)</f>
        <v/>
      </c>
      <c r="LT8" s="157">
        <f>(1+GrowthExpense)^(MAX(0,328-GrowthStartMonth)/12)</f>
        <v/>
      </c>
      <c r="LU8" s="157">
        <f>(1+GrowthExpense)^(MAX(0,329-GrowthStartMonth)/12)</f>
        <v/>
      </c>
      <c r="LV8" s="157">
        <f>(1+GrowthExpense)^(MAX(0,330-GrowthStartMonth)/12)</f>
        <v/>
      </c>
      <c r="LW8" s="157">
        <f>(1+GrowthExpense)^(MAX(0,331-GrowthStartMonth)/12)</f>
        <v/>
      </c>
      <c r="LX8" s="157">
        <f>(1+GrowthExpense)^(MAX(0,332-GrowthStartMonth)/12)</f>
        <v/>
      </c>
      <c r="LY8" s="157">
        <f>(1+GrowthExpense)^(MAX(0,333-GrowthStartMonth)/12)</f>
        <v/>
      </c>
      <c r="LZ8" s="157">
        <f>(1+GrowthExpense)^(MAX(0,334-GrowthStartMonth)/12)</f>
        <v/>
      </c>
      <c r="MA8" s="157">
        <f>(1+GrowthExpense)^(MAX(0,335-GrowthStartMonth)/12)</f>
        <v/>
      </c>
      <c r="MB8" s="157">
        <f>(1+GrowthExpense)^(MAX(0,336-GrowthStartMonth)/12)</f>
        <v/>
      </c>
      <c r="MC8" s="157">
        <f>(1+GrowthExpense)^(MAX(0,337-GrowthStartMonth)/12)</f>
        <v/>
      </c>
      <c r="MD8" s="157">
        <f>(1+GrowthExpense)^(MAX(0,338-GrowthStartMonth)/12)</f>
        <v/>
      </c>
      <c r="ME8" s="157">
        <f>(1+GrowthExpense)^(MAX(0,339-GrowthStartMonth)/12)</f>
        <v/>
      </c>
      <c r="MF8" s="157">
        <f>(1+GrowthExpense)^(MAX(0,340-GrowthStartMonth)/12)</f>
        <v/>
      </c>
      <c r="MG8" s="157">
        <f>(1+GrowthExpense)^(MAX(0,341-GrowthStartMonth)/12)</f>
        <v/>
      </c>
      <c r="MH8" s="157">
        <f>(1+GrowthExpense)^(MAX(0,342-GrowthStartMonth)/12)</f>
        <v/>
      </c>
      <c r="MI8" s="157">
        <f>(1+GrowthExpense)^(MAX(0,343-GrowthStartMonth)/12)</f>
        <v/>
      </c>
      <c r="MJ8" s="157">
        <f>(1+GrowthExpense)^(MAX(0,344-GrowthStartMonth)/12)</f>
        <v/>
      </c>
      <c r="MK8" s="157">
        <f>(1+GrowthExpense)^(MAX(0,345-GrowthStartMonth)/12)</f>
        <v/>
      </c>
      <c r="ML8" s="157">
        <f>(1+GrowthExpense)^(MAX(0,346-GrowthStartMonth)/12)</f>
        <v/>
      </c>
      <c r="MM8" s="157">
        <f>(1+GrowthExpense)^(MAX(0,347-GrowthStartMonth)/12)</f>
        <v/>
      </c>
      <c r="MN8" s="157">
        <f>(1+GrowthExpense)^(MAX(0,348-GrowthStartMonth)/12)</f>
        <v/>
      </c>
      <c r="MO8" s="157">
        <f>(1+GrowthExpense)^(MAX(0,349-GrowthStartMonth)/12)</f>
        <v/>
      </c>
      <c r="MP8" s="157">
        <f>(1+GrowthExpense)^(MAX(0,350-GrowthStartMonth)/12)</f>
        <v/>
      </c>
      <c r="MQ8" s="157">
        <f>(1+GrowthExpense)^(MAX(0,351-GrowthStartMonth)/12)</f>
        <v/>
      </c>
      <c r="MR8" s="157">
        <f>(1+GrowthExpense)^(MAX(0,352-GrowthStartMonth)/12)</f>
        <v/>
      </c>
      <c r="MS8" s="157">
        <f>(1+GrowthExpense)^(MAX(0,353-GrowthStartMonth)/12)</f>
        <v/>
      </c>
      <c r="MT8" s="157">
        <f>(1+GrowthExpense)^(MAX(0,354-GrowthStartMonth)/12)</f>
        <v/>
      </c>
      <c r="MU8" s="157">
        <f>(1+GrowthExpense)^(MAX(0,355-GrowthStartMonth)/12)</f>
        <v/>
      </c>
      <c r="MV8" s="157">
        <f>(1+GrowthExpense)^(MAX(0,356-GrowthStartMonth)/12)</f>
        <v/>
      </c>
      <c r="MW8" s="157">
        <f>(1+GrowthExpense)^(MAX(0,357-GrowthStartMonth)/12)</f>
        <v/>
      </c>
      <c r="MX8" s="157">
        <f>(1+GrowthExpense)^(MAX(0,358-GrowthStartMonth)/12)</f>
        <v/>
      </c>
      <c r="MY8" s="157">
        <f>(1+GrowthExpense)^(MAX(0,359-GrowthStartMonth)/12)</f>
        <v/>
      </c>
      <c r="MZ8" s="157">
        <f>(1+GrowthExpense)^(MAX(0,360-GrowthStartMonth)/12)</f>
        <v/>
      </c>
      <c r="NA8" s="157">
        <f>(1+GrowthExpense)^(MAX(0,361-GrowthStartMonth)/12)</f>
        <v/>
      </c>
      <c r="NB8" s="157">
        <f>(1+GrowthExpense)^(MAX(0,362-GrowthStartMonth)/12)</f>
        <v/>
      </c>
      <c r="NC8" s="157">
        <f>(1+GrowthExpense)^(MAX(0,363-GrowthStartMonth)/12)</f>
        <v/>
      </c>
      <c r="ND8" s="157">
        <f>(1+GrowthExpense)^(MAX(0,364-GrowthStartMonth)/12)</f>
        <v/>
      </c>
      <c r="NE8" s="157">
        <f>(1+GrowthExpense)^(MAX(0,365-GrowthStartMonth)/12)</f>
        <v/>
      </c>
      <c r="NF8" s="157">
        <f>(1+GrowthExpense)^(MAX(0,366-GrowthStartMonth)/12)</f>
        <v/>
      </c>
      <c r="NG8" s="157">
        <f>(1+GrowthExpense)^(MAX(0,367-GrowthStartMonth)/12)</f>
        <v/>
      </c>
      <c r="NH8" s="157">
        <f>(1+GrowthExpense)^(MAX(0,368-GrowthStartMonth)/12)</f>
        <v/>
      </c>
      <c r="NI8" s="157">
        <f>(1+GrowthExpense)^(MAX(0,369-GrowthStartMonth)/12)</f>
        <v/>
      </c>
      <c r="NJ8" s="157">
        <f>(1+GrowthExpense)^(MAX(0,370-GrowthStartMonth)/12)</f>
        <v/>
      </c>
      <c r="NK8" s="157">
        <f>(1+GrowthExpense)^(MAX(0,371-GrowthStartMonth)/12)</f>
        <v/>
      </c>
      <c r="NL8" s="158">
        <f>(1+GrowthExpense)^(MAX(0,372-GrowthStartMonth)/12)</f>
        <v/>
      </c>
    </row>
    <row r="9">
      <c r="B9" s="36" t="inlineStr">
        <is>
          <t>Growth Factor — Utility</t>
        </is>
      </c>
      <c r="D9" s="156" t="n"/>
      <c r="E9" s="157">
        <f>(1+GrowthUtility)^(MAX(0,1-GrowthStartMonth)/12)</f>
        <v/>
      </c>
      <c r="F9" s="157">
        <f>(1+GrowthUtility)^(MAX(0,2-GrowthStartMonth)/12)</f>
        <v/>
      </c>
      <c r="G9" s="157">
        <f>(1+GrowthUtility)^(MAX(0,3-GrowthStartMonth)/12)</f>
        <v/>
      </c>
      <c r="H9" s="157">
        <f>(1+GrowthUtility)^(MAX(0,4-GrowthStartMonth)/12)</f>
        <v/>
      </c>
      <c r="I9" s="157">
        <f>(1+GrowthUtility)^(MAX(0,5-GrowthStartMonth)/12)</f>
        <v/>
      </c>
      <c r="J9" s="157">
        <f>(1+GrowthUtility)^(MAX(0,6-GrowthStartMonth)/12)</f>
        <v/>
      </c>
      <c r="K9" s="157">
        <f>(1+GrowthUtility)^(MAX(0,7-GrowthStartMonth)/12)</f>
        <v/>
      </c>
      <c r="L9" s="157">
        <f>(1+GrowthUtility)^(MAX(0,8-GrowthStartMonth)/12)</f>
        <v/>
      </c>
      <c r="M9" s="157">
        <f>(1+GrowthUtility)^(MAX(0,9-GrowthStartMonth)/12)</f>
        <v/>
      </c>
      <c r="N9" s="157">
        <f>(1+GrowthUtility)^(MAX(0,10-GrowthStartMonth)/12)</f>
        <v/>
      </c>
      <c r="O9" s="157">
        <f>(1+GrowthUtility)^(MAX(0,11-GrowthStartMonth)/12)</f>
        <v/>
      </c>
      <c r="P9" s="157">
        <f>(1+GrowthUtility)^(MAX(0,12-GrowthStartMonth)/12)</f>
        <v/>
      </c>
      <c r="Q9" s="157">
        <f>(1+GrowthUtility)^(MAX(0,13-GrowthStartMonth)/12)</f>
        <v/>
      </c>
      <c r="R9" s="157">
        <f>(1+GrowthUtility)^(MAX(0,14-GrowthStartMonth)/12)</f>
        <v/>
      </c>
      <c r="S9" s="157">
        <f>(1+GrowthUtility)^(MAX(0,15-GrowthStartMonth)/12)</f>
        <v/>
      </c>
      <c r="T9" s="157">
        <f>(1+GrowthUtility)^(MAX(0,16-GrowthStartMonth)/12)</f>
        <v/>
      </c>
      <c r="U9" s="157">
        <f>(1+GrowthUtility)^(MAX(0,17-GrowthStartMonth)/12)</f>
        <v/>
      </c>
      <c r="V9" s="157">
        <f>(1+GrowthUtility)^(MAX(0,18-GrowthStartMonth)/12)</f>
        <v/>
      </c>
      <c r="W9" s="157">
        <f>(1+GrowthUtility)^(MAX(0,19-GrowthStartMonth)/12)</f>
        <v/>
      </c>
      <c r="X9" s="157">
        <f>(1+GrowthUtility)^(MAX(0,20-GrowthStartMonth)/12)</f>
        <v/>
      </c>
      <c r="Y9" s="157">
        <f>(1+GrowthUtility)^(MAX(0,21-GrowthStartMonth)/12)</f>
        <v/>
      </c>
      <c r="Z9" s="157">
        <f>(1+GrowthUtility)^(MAX(0,22-GrowthStartMonth)/12)</f>
        <v/>
      </c>
      <c r="AA9" s="157">
        <f>(1+GrowthUtility)^(MAX(0,23-GrowthStartMonth)/12)</f>
        <v/>
      </c>
      <c r="AB9" s="157">
        <f>(1+GrowthUtility)^(MAX(0,24-GrowthStartMonth)/12)</f>
        <v/>
      </c>
      <c r="AC9" s="157">
        <f>(1+GrowthUtility)^(MAX(0,25-GrowthStartMonth)/12)</f>
        <v/>
      </c>
      <c r="AD9" s="157">
        <f>(1+GrowthUtility)^(MAX(0,26-GrowthStartMonth)/12)</f>
        <v/>
      </c>
      <c r="AE9" s="157">
        <f>(1+GrowthUtility)^(MAX(0,27-GrowthStartMonth)/12)</f>
        <v/>
      </c>
      <c r="AF9" s="157">
        <f>(1+GrowthUtility)^(MAX(0,28-GrowthStartMonth)/12)</f>
        <v/>
      </c>
      <c r="AG9" s="157">
        <f>(1+GrowthUtility)^(MAX(0,29-GrowthStartMonth)/12)</f>
        <v/>
      </c>
      <c r="AH9" s="157">
        <f>(1+GrowthUtility)^(MAX(0,30-GrowthStartMonth)/12)</f>
        <v/>
      </c>
      <c r="AI9" s="157">
        <f>(1+GrowthUtility)^(MAX(0,31-GrowthStartMonth)/12)</f>
        <v/>
      </c>
      <c r="AJ9" s="157">
        <f>(1+GrowthUtility)^(MAX(0,32-GrowthStartMonth)/12)</f>
        <v/>
      </c>
      <c r="AK9" s="157">
        <f>(1+GrowthUtility)^(MAX(0,33-GrowthStartMonth)/12)</f>
        <v/>
      </c>
      <c r="AL9" s="157">
        <f>(1+GrowthUtility)^(MAX(0,34-GrowthStartMonth)/12)</f>
        <v/>
      </c>
      <c r="AM9" s="157">
        <f>(1+GrowthUtility)^(MAX(0,35-GrowthStartMonth)/12)</f>
        <v/>
      </c>
      <c r="AN9" s="157">
        <f>(1+GrowthUtility)^(MAX(0,36-GrowthStartMonth)/12)</f>
        <v/>
      </c>
      <c r="AO9" s="157">
        <f>(1+GrowthUtility)^(MAX(0,37-GrowthStartMonth)/12)</f>
        <v/>
      </c>
      <c r="AP9" s="157">
        <f>(1+GrowthUtility)^(MAX(0,38-GrowthStartMonth)/12)</f>
        <v/>
      </c>
      <c r="AQ9" s="157">
        <f>(1+GrowthUtility)^(MAX(0,39-GrowthStartMonth)/12)</f>
        <v/>
      </c>
      <c r="AR9" s="157">
        <f>(1+GrowthUtility)^(MAX(0,40-GrowthStartMonth)/12)</f>
        <v/>
      </c>
      <c r="AS9" s="157">
        <f>(1+GrowthUtility)^(MAX(0,41-GrowthStartMonth)/12)</f>
        <v/>
      </c>
      <c r="AT9" s="157">
        <f>(1+GrowthUtility)^(MAX(0,42-GrowthStartMonth)/12)</f>
        <v/>
      </c>
      <c r="AU9" s="157">
        <f>(1+GrowthUtility)^(MAX(0,43-GrowthStartMonth)/12)</f>
        <v/>
      </c>
      <c r="AV9" s="157">
        <f>(1+GrowthUtility)^(MAX(0,44-GrowthStartMonth)/12)</f>
        <v/>
      </c>
      <c r="AW9" s="157">
        <f>(1+GrowthUtility)^(MAX(0,45-GrowthStartMonth)/12)</f>
        <v/>
      </c>
      <c r="AX9" s="157">
        <f>(1+GrowthUtility)^(MAX(0,46-GrowthStartMonth)/12)</f>
        <v/>
      </c>
      <c r="AY9" s="157">
        <f>(1+GrowthUtility)^(MAX(0,47-GrowthStartMonth)/12)</f>
        <v/>
      </c>
      <c r="AZ9" s="157">
        <f>(1+GrowthUtility)^(MAX(0,48-GrowthStartMonth)/12)</f>
        <v/>
      </c>
      <c r="BA9" s="157">
        <f>(1+GrowthUtility)^(MAX(0,49-GrowthStartMonth)/12)</f>
        <v/>
      </c>
      <c r="BB9" s="157">
        <f>(1+GrowthUtility)^(MAX(0,50-GrowthStartMonth)/12)</f>
        <v/>
      </c>
      <c r="BC9" s="157">
        <f>(1+GrowthUtility)^(MAX(0,51-GrowthStartMonth)/12)</f>
        <v/>
      </c>
      <c r="BD9" s="157">
        <f>(1+GrowthUtility)^(MAX(0,52-GrowthStartMonth)/12)</f>
        <v/>
      </c>
      <c r="BE9" s="157">
        <f>(1+GrowthUtility)^(MAX(0,53-GrowthStartMonth)/12)</f>
        <v/>
      </c>
      <c r="BF9" s="157">
        <f>(1+GrowthUtility)^(MAX(0,54-GrowthStartMonth)/12)</f>
        <v/>
      </c>
      <c r="BG9" s="157">
        <f>(1+GrowthUtility)^(MAX(0,55-GrowthStartMonth)/12)</f>
        <v/>
      </c>
      <c r="BH9" s="157">
        <f>(1+GrowthUtility)^(MAX(0,56-GrowthStartMonth)/12)</f>
        <v/>
      </c>
      <c r="BI9" s="157">
        <f>(1+GrowthUtility)^(MAX(0,57-GrowthStartMonth)/12)</f>
        <v/>
      </c>
      <c r="BJ9" s="157">
        <f>(1+GrowthUtility)^(MAX(0,58-GrowthStartMonth)/12)</f>
        <v/>
      </c>
      <c r="BK9" s="157">
        <f>(1+GrowthUtility)^(MAX(0,59-GrowthStartMonth)/12)</f>
        <v/>
      </c>
      <c r="BL9" s="157">
        <f>(1+GrowthUtility)^(MAX(0,60-GrowthStartMonth)/12)</f>
        <v/>
      </c>
      <c r="BM9" s="157">
        <f>(1+GrowthUtility)^(MAX(0,61-GrowthStartMonth)/12)</f>
        <v/>
      </c>
      <c r="BN9" s="157">
        <f>(1+GrowthUtility)^(MAX(0,62-GrowthStartMonth)/12)</f>
        <v/>
      </c>
      <c r="BO9" s="157">
        <f>(1+GrowthUtility)^(MAX(0,63-GrowthStartMonth)/12)</f>
        <v/>
      </c>
      <c r="BP9" s="157">
        <f>(1+GrowthUtility)^(MAX(0,64-GrowthStartMonth)/12)</f>
        <v/>
      </c>
      <c r="BQ9" s="157">
        <f>(1+GrowthUtility)^(MAX(0,65-GrowthStartMonth)/12)</f>
        <v/>
      </c>
      <c r="BR9" s="157">
        <f>(1+GrowthUtility)^(MAX(0,66-GrowthStartMonth)/12)</f>
        <v/>
      </c>
      <c r="BS9" s="157">
        <f>(1+GrowthUtility)^(MAX(0,67-GrowthStartMonth)/12)</f>
        <v/>
      </c>
      <c r="BT9" s="157">
        <f>(1+GrowthUtility)^(MAX(0,68-GrowthStartMonth)/12)</f>
        <v/>
      </c>
      <c r="BU9" s="157">
        <f>(1+GrowthUtility)^(MAX(0,69-GrowthStartMonth)/12)</f>
        <v/>
      </c>
      <c r="BV9" s="157">
        <f>(1+GrowthUtility)^(MAX(0,70-GrowthStartMonth)/12)</f>
        <v/>
      </c>
      <c r="BW9" s="157">
        <f>(1+GrowthUtility)^(MAX(0,71-GrowthStartMonth)/12)</f>
        <v/>
      </c>
      <c r="BX9" s="157">
        <f>(1+GrowthUtility)^(MAX(0,72-GrowthStartMonth)/12)</f>
        <v/>
      </c>
      <c r="BY9" s="157">
        <f>(1+GrowthUtility)^(MAX(0,73-GrowthStartMonth)/12)</f>
        <v/>
      </c>
      <c r="BZ9" s="157">
        <f>(1+GrowthUtility)^(MAX(0,74-GrowthStartMonth)/12)</f>
        <v/>
      </c>
      <c r="CA9" s="157">
        <f>(1+GrowthUtility)^(MAX(0,75-GrowthStartMonth)/12)</f>
        <v/>
      </c>
      <c r="CB9" s="157">
        <f>(1+GrowthUtility)^(MAX(0,76-GrowthStartMonth)/12)</f>
        <v/>
      </c>
      <c r="CC9" s="157">
        <f>(1+GrowthUtility)^(MAX(0,77-GrowthStartMonth)/12)</f>
        <v/>
      </c>
      <c r="CD9" s="157">
        <f>(1+GrowthUtility)^(MAX(0,78-GrowthStartMonth)/12)</f>
        <v/>
      </c>
      <c r="CE9" s="157">
        <f>(1+GrowthUtility)^(MAX(0,79-GrowthStartMonth)/12)</f>
        <v/>
      </c>
      <c r="CF9" s="157">
        <f>(1+GrowthUtility)^(MAX(0,80-GrowthStartMonth)/12)</f>
        <v/>
      </c>
      <c r="CG9" s="157">
        <f>(1+GrowthUtility)^(MAX(0,81-GrowthStartMonth)/12)</f>
        <v/>
      </c>
      <c r="CH9" s="157">
        <f>(1+GrowthUtility)^(MAX(0,82-GrowthStartMonth)/12)</f>
        <v/>
      </c>
      <c r="CI9" s="157">
        <f>(1+GrowthUtility)^(MAX(0,83-GrowthStartMonth)/12)</f>
        <v/>
      </c>
      <c r="CJ9" s="157">
        <f>(1+GrowthUtility)^(MAX(0,84-GrowthStartMonth)/12)</f>
        <v/>
      </c>
      <c r="CK9" s="157">
        <f>(1+GrowthUtility)^(MAX(0,85-GrowthStartMonth)/12)</f>
        <v/>
      </c>
      <c r="CL9" s="157">
        <f>(1+GrowthUtility)^(MAX(0,86-GrowthStartMonth)/12)</f>
        <v/>
      </c>
      <c r="CM9" s="157">
        <f>(1+GrowthUtility)^(MAX(0,87-GrowthStartMonth)/12)</f>
        <v/>
      </c>
      <c r="CN9" s="157">
        <f>(1+GrowthUtility)^(MAX(0,88-GrowthStartMonth)/12)</f>
        <v/>
      </c>
      <c r="CO9" s="157">
        <f>(1+GrowthUtility)^(MAX(0,89-GrowthStartMonth)/12)</f>
        <v/>
      </c>
      <c r="CP9" s="157">
        <f>(1+GrowthUtility)^(MAX(0,90-GrowthStartMonth)/12)</f>
        <v/>
      </c>
      <c r="CQ9" s="157">
        <f>(1+GrowthUtility)^(MAX(0,91-GrowthStartMonth)/12)</f>
        <v/>
      </c>
      <c r="CR9" s="157">
        <f>(1+GrowthUtility)^(MAX(0,92-GrowthStartMonth)/12)</f>
        <v/>
      </c>
      <c r="CS9" s="157">
        <f>(1+GrowthUtility)^(MAX(0,93-GrowthStartMonth)/12)</f>
        <v/>
      </c>
      <c r="CT9" s="157">
        <f>(1+GrowthUtility)^(MAX(0,94-GrowthStartMonth)/12)</f>
        <v/>
      </c>
      <c r="CU9" s="157">
        <f>(1+GrowthUtility)^(MAX(0,95-GrowthStartMonth)/12)</f>
        <v/>
      </c>
      <c r="CV9" s="157">
        <f>(1+GrowthUtility)^(MAX(0,96-GrowthStartMonth)/12)</f>
        <v/>
      </c>
      <c r="CW9" s="157">
        <f>(1+GrowthUtility)^(MAX(0,97-GrowthStartMonth)/12)</f>
        <v/>
      </c>
      <c r="CX9" s="157">
        <f>(1+GrowthUtility)^(MAX(0,98-GrowthStartMonth)/12)</f>
        <v/>
      </c>
      <c r="CY9" s="157">
        <f>(1+GrowthUtility)^(MAX(0,99-GrowthStartMonth)/12)</f>
        <v/>
      </c>
      <c r="CZ9" s="157">
        <f>(1+GrowthUtility)^(MAX(0,100-GrowthStartMonth)/12)</f>
        <v/>
      </c>
      <c r="DA9" s="157">
        <f>(1+GrowthUtility)^(MAX(0,101-GrowthStartMonth)/12)</f>
        <v/>
      </c>
      <c r="DB9" s="157">
        <f>(1+GrowthUtility)^(MAX(0,102-GrowthStartMonth)/12)</f>
        <v/>
      </c>
      <c r="DC9" s="157">
        <f>(1+GrowthUtility)^(MAX(0,103-GrowthStartMonth)/12)</f>
        <v/>
      </c>
      <c r="DD9" s="157">
        <f>(1+GrowthUtility)^(MAX(0,104-GrowthStartMonth)/12)</f>
        <v/>
      </c>
      <c r="DE9" s="157">
        <f>(1+GrowthUtility)^(MAX(0,105-GrowthStartMonth)/12)</f>
        <v/>
      </c>
      <c r="DF9" s="157">
        <f>(1+GrowthUtility)^(MAX(0,106-GrowthStartMonth)/12)</f>
        <v/>
      </c>
      <c r="DG9" s="157">
        <f>(1+GrowthUtility)^(MAX(0,107-GrowthStartMonth)/12)</f>
        <v/>
      </c>
      <c r="DH9" s="157">
        <f>(1+GrowthUtility)^(MAX(0,108-GrowthStartMonth)/12)</f>
        <v/>
      </c>
      <c r="DI9" s="157">
        <f>(1+GrowthUtility)^(MAX(0,109-GrowthStartMonth)/12)</f>
        <v/>
      </c>
      <c r="DJ9" s="157">
        <f>(1+GrowthUtility)^(MAX(0,110-GrowthStartMonth)/12)</f>
        <v/>
      </c>
      <c r="DK9" s="157">
        <f>(1+GrowthUtility)^(MAX(0,111-GrowthStartMonth)/12)</f>
        <v/>
      </c>
      <c r="DL9" s="157">
        <f>(1+GrowthUtility)^(MAX(0,112-GrowthStartMonth)/12)</f>
        <v/>
      </c>
      <c r="DM9" s="157">
        <f>(1+GrowthUtility)^(MAX(0,113-GrowthStartMonth)/12)</f>
        <v/>
      </c>
      <c r="DN9" s="157">
        <f>(1+GrowthUtility)^(MAX(0,114-GrowthStartMonth)/12)</f>
        <v/>
      </c>
      <c r="DO9" s="157">
        <f>(1+GrowthUtility)^(MAX(0,115-GrowthStartMonth)/12)</f>
        <v/>
      </c>
      <c r="DP9" s="157">
        <f>(1+GrowthUtility)^(MAX(0,116-GrowthStartMonth)/12)</f>
        <v/>
      </c>
      <c r="DQ9" s="157">
        <f>(1+GrowthUtility)^(MAX(0,117-GrowthStartMonth)/12)</f>
        <v/>
      </c>
      <c r="DR9" s="157">
        <f>(1+GrowthUtility)^(MAX(0,118-GrowthStartMonth)/12)</f>
        <v/>
      </c>
      <c r="DS9" s="157">
        <f>(1+GrowthUtility)^(MAX(0,119-GrowthStartMonth)/12)</f>
        <v/>
      </c>
      <c r="DT9" s="157">
        <f>(1+GrowthUtility)^(MAX(0,120-GrowthStartMonth)/12)</f>
        <v/>
      </c>
      <c r="DU9" s="157">
        <f>(1+GrowthUtility)^(MAX(0,121-GrowthStartMonth)/12)</f>
        <v/>
      </c>
      <c r="DV9" s="157">
        <f>(1+GrowthUtility)^(MAX(0,122-GrowthStartMonth)/12)</f>
        <v/>
      </c>
      <c r="DW9" s="157">
        <f>(1+GrowthUtility)^(MAX(0,123-GrowthStartMonth)/12)</f>
        <v/>
      </c>
      <c r="DX9" s="157">
        <f>(1+GrowthUtility)^(MAX(0,124-GrowthStartMonth)/12)</f>
        <v/>
      </c>
      <c r="DY9" s="157">
        <f>(1+GrowthUtility)^(MAX(0,125-GrowthStartMonth)/12)</f>
        <v/>
      </c>
      <c r="DZ9" s="157">
        <f>(1+GrowthUtility)^(MAX(0,126-GrowthStartMonth)/12)</f>
        <v/>
      </c>
      <c r="EA9" s="157">
        <f>(1+GrowthUtility)^(MAX(0,127-GrowthStartMonth)/12)</f>
        <v/>
      </c>
      <c r="EB9" s="157">
        <f>(1+GrowthUtility)^(MAX(0,128-GrowthStartMonth)/12)</f>
        <v/>
      </c>
      <c r="EC9" s="157">
        <f>(1+GrowthUtility)^(MAX(0,129-GrowthStartMonth)/12)</f>
        <v/>
      </c>
      <c r="ED9" s="157">
        <f>(1+GrowthUtility)^(MAX(0,130-GrowthStartMonth)/12)</f>
        <v/>
      </c>
      <c r="EE9" s="157">
        <f>(1+GrowthUtility)^(MAX(0,131-GrowthStartMonth)/12)</f>
        <v/>
      </c>
      <c r="EF9" s="157">
        <f>(1+GrowthUtility)^(MAX(0,132-GrowthStartMonth)/12)</f>
        <v/>
      </c>
      <c r="EG9" s="157">
        <f>(1+GrowthUtility)^(MAX(0,133-GrowthStartMonth)/12)</f>
        <v/>
      </c>
      <c r="EH9" s="157">
        <f>(1+GrowthUtility)^(MAX(0,134-GrowthStartMonth)/12)</f>
        <v/>
      </c>
      <c r="EI9" s="157">
        <f>(1+GrowthUtility)^(MAX(0,135-GrowthStartMonth)/12)</f>
        <v/>
      </c>
      <c r="EJ9" s="157">
        <f>(1+GrowthUtility)^(MAX(0,136-GrowthStartMonth)/12)</f>
        <v/>
      </c>
      <c r="EK9" s="157">
        <f>(1+GrowthUtility)^(MAX(0,137-GrowthStartMonth)/12)</f>
        <v/>
      </c>
      <c r="EL9" s="157">
        <f>(1+GrowthUtility)^(MAX(0,138-GrowthStartMonth)/12)</f>
        <v/>
      </c>
      <c r="EM9" s="157">
        <f>(1+GrowthUtility)^(MAX(0,139-GrowthStartMonth)/12)</f>
        <v/>
      </c>
      <c r="EN9" s="157">
        <f>(1+GrowthUtility)^(MAX(0,140-GrowthStartMonth)/12)</f>
        <v/>
      </c>
      <c r="EO9" s="157">
        <f>(1+GrowthUtility)^(MAX(0,141-GrowthStartMonth)/12)</f>
        <v/>
      </c>
      <c r="EP9" s="157">
        <f>(1+GrowthUtility)^(MAX(0,142-GrowthStartMonth)/12)</f>
        <v/>
      </c>
      <c r="EQ9" s="157">
        <f>(1+GrowthUtility)^(MAX(0,143-GrowthStartMonth)/12)</f>
        <v/>
      </c>
      <c r="ER9" s="157">
        <f>(1+GrowthUtility)^(MAX(0,144-GrowthStartMonth)/12)</f>
        <v/>
      </c>
      <c r="ES9" s="157">
        <f>(1+GrowthUtility)^(MAX(0,145-GrowthStartMonth)/12)</f>
        <v/>
      </c>
      <c r="ET9" s="157">
        <f>(1+GrowthUtility)^(MAX(0,146-GrowthStartMonth)/12)</f>
        <v/>
      </c>
      <c r="EU9" s="157">
        <f>(1+GrowthUtility)^(MAX(0,147-GrowthStartMonth)/12)</f>
        <v/>
      </c>
      <c r="EV9" s="157">
        <f>(1+GrowthUtility)^(MAX(0,148-GrowthStartMonth)/12)</f>
        <v/>
      </c>
      <c r="EW9" s="157">
        <f>(1+GrowthUtility)^(MAX(0,149-GrowthStartMonth)/12)</f>
        <v/>
      </c>
      <c r="EX9" s="157">
        <f>(1+GrowthUtility)^(MAX(0,150-GrowthStartMonth)/12)</f>
        <v/>
      </c>
      <c r="EY9" s="157">
        <f>(1+GrowthUtility)^(MAX(0,151-GrowthStartMonth)/12)</f>
        <v/>
      </c>
      <c r="EZ9" s="157">
        <f>(1+GrowthUtility)^(MAX(0,152-GrowthStartMonth)/12)</f>
        <v/>
      </c>
      <c r="FA9" s="157">
        <f>(1+GrowthUtility)^(MAX(0,153-GrowthStartMonth)/12)</f>
        <v/>
      </c>
      <c r="FB9" s="157">
        <f>(1+GrowthUtility)^(MAX(0,154-GrowthStartMonth)/12)</f>
        <v/>
      </c>
      <c r="FC9" s="157">
        <f>(1+GrowthUtility)^(MAX(0,155-GrowthStartMonth)/12)</f>
        <v/>
      </c>
      <c r="FD9" s="157">
        <f>(1+GrowthUtility)^(MAX(0,156-GrowthStartMonth)/12)</f>
        <v/>
      </c>
      <c r="FE9" s="157">
        <f>(1+GrowthUtility)^(MAX(0,157-GrowthStartMonth)/12)</f>
        <v/>
      </c>
      <c r="FF9" s="157">
        <f>(1+GrowthUtility)^(MAX(0,158-GrowthStartMonth)/12)</f>
        <v/>
      </c>
      <c r="FG9" s="157">
        <f>(1+GrowthUtility)^(MAX(0,159-GrowthStartMonth)/12)</f>
        <v/>
      </c>
      <c r="FH9" s="157">
        <f>(1+GrowthUtility)^(MAX(0,160-GrowthStartMonth)/12)</f>
        <v/>
      </c>
      <c r="FI9" s="157">
        <f>(1+GrowthUtility)^(MAX(0,161-GrowthStartMonth)/12)</f>
        <v/>
      </c>
      <c r="FJ9" s="157">
        <f>(1+GrowthUtility)^(MAX(0,162-GrowthStartMonth)/12)</f>
        <v/>
      </c>
      <c r="FK9" s="157">
        <f>(1+GrowthUtility)^(MAX(0,163-GrowthStartMonth)/12)</f>
        <v/>
      </c>
      <c r="FL9" s="157">
        <f>(1+GrowthUtility)^(MAX(0,164-GrowthStartMonth)/12)</f>
        <v/>
      </c>
      <c r="FM9" s="157">
        <f>(1+GrowthUtility)^(MAX(0,165-GrowthStartMonth)/12)</f>
        <v/>
      </c>
      <c r="FN9" s="157">
        <f>(1+GrowthUtility)^(MAX(0,166-GrowthStartMonth)/12)</f>
        <v/>
      </c>
      <c r="FO9" s="157">
        <f>(1+GrowthUtility)^(MAX(0,167-GrowthStartMonth)/12)</f>
        <v/>
      </c>
      <c r="FP9" s="157">
        <f>(1+GrowthUtility)^(MAX(0,168-GrowthStartMonth)/12)</f>
        <v/>
      </c>
      <c r="FQ9" s="157">
        <f>(1+GrowthUtility)^(MAX(0,169-GrowthStartMonth)/12)</f>
        <v/>
      </c>
      <c r="FR9" s="157">
        <f>(1+GrowthUtility)^(MAX(0,170-GrowthStartMonth)/12)</f>
        <v/>
      </c>
      <c r="FS9" s="157">
        <f>(1+GrowthUtility)^(MAX(0,171-GrowthStartMonth)/12)</f>
        <v/>
      </c>
      <c r="FT9" s="157">
        <f>(1+GrowthUtility)^(MAX(0,172-GrowthStartMonth)/12)</f>
        <v/>
      </c>
      <c r="FU9" s="157">
        <f>(1+GrowthUtility)^(MAX(0,173-GrowthStartMonth)/12)</f>
        <v/>
      </c>
      <c r="FV9" s="157">
        <f>(1+GrowthUtility)^(MAX(0,174-GrowthStartMonth)/12)</f>
        <v/>
      </c>
      <c r="FW9" s="157">
        <f>(1+GrowthUtility)^(MAX(0,175-GrowthStartMonth)/12)</f>
        <v/>
      </c>
      <c r="FX9" s="157">
        <f>(1+GrowthUtility)^(MAX(0,176-GrowthStartMonth)/12)</f>
        <v/>
      </c>
      <c r="FY9" s="157">
        <f>(1+GrowthUtility)^(MAX(0,177-GrowthStartMonth)/12)</f>
        <v/>
      </c>
      <c r="FZ9" s="157">
        <f>(1+GrowthUtility)^(MAX(0,178-GrowthStartMonth)/12)</f>
        <v/>
      </c>
      <c r="GA9" s="157">
        <f>(1+GrowthUtility)^(MAX(0,179-GrowthStartMonth)/12)</f>
        <v/>
      </c>
      <c r="GB9" s="157">
        <f>(1+GrowthUtility)^(MAX(0,180-GrowthStartMonth)/12)</f>
        <v/>
      </c>
      <c r="GC9" s="157">
        <f>(1+GrowthUtility)^(MAX(0,181-GrowthStartMonth)/12)</f>
        <v/>
      </c>
      <c r="GD9" s="157">
        <f>(1+GrowthUtility)^(MAX(0,182-GrowthStartMonth)/12)</f>
        <v/>
      </c>
      <c r="GE9" s="157">
        <f>(1+GrowthUtility)^(MAX(0,183-GrowthStartMonth)/12)</f>
        <v/>
      </c>
      <c r="GF9" s="157">
        <f>(1+GrowthUtility)^(MAX(0,184-GrowthStartMonth)/12)</f>
        <v/>
      </c>
      <c r="GG9" s="157">
        <f>(1+GrowthUtility)^(MAX(0,185-GrowthStartMonth)/12)</f>
        <v/>
      </c>
      <c r="GH9" s="157">
        <f>(1+GrowthUtility)^(MAX(0,186-GrowthStartMonth)/12)</f>
        <v/>
      </c>
      <c r="GI9" s="157">
        <f>(1+GrowthUtility)^(MAX(0,187-GrowthStartMonth)/12)</f>
        <v/>
      </c>
      <c r="GJ9" s="157">
        <f>(1+GrowthUtility)^(MAX(0,188-GrowthStartMonth)/12)</f>
        <v/>
      </c>
      <c r="GK9" s="157">
        <f>(1+GrowthUtility)^(MAX(0,189-GrowthStartMonth)/12)</f>
        <v/>
      </c>
      <c r="GL9" s="157">
        <f>(1+GrowthUtility)^(MAX(0,190-GrowthStartMonth)/12)</f>
        <v/>
      </c>
      <c r="GM9" s="157">
        <f>(1+GrowthUtility)^(MAX(0,191-GrowthStartMonth)/12)</f>
        <v/>
      </c>
      <c r="GN9" s="157">
        <f>(1+GrowthUtility)^(MAX(0,192-GrowthStartMonth)/12)</f>
        <v/>
      </c>
      <c r="GO9" s="157">
        <f>(1+GrowthUtility)^(MAX(0,193-GrowthStartMonth)/12)</f>
        <v/>
      </c>
      <c r="GP9" s="157">
        <f>(1+GrowthUtility)^(MAX(0,194-GrowthStartMonth)/12)</f>
        <v/>
      </c>
      <c r="GQ9" s="157">
        <f>(1+GrowthUtility)^(MAX(0,195-GrowthStartMonth)/12)</f>
        <v/>
      </c>
      <c r="GR9" s="157">
        <f>(1+GrowthUtility)^(MAX(0,196-GrowthStartMonth)/12)</f>
        <v/>
      </c>
      <c r="GS9" s="157">
        <f>(1+GrowthUtility)^(MAX(0,197-GrowthStartMonth)/12)</f>
        <v/>
      </c>
      <c r="GT9" s="157">
        <f>(1+GrowthUtility)^(MAX(0,198-GrowthStartMonth)/12)</f>
        <v/>
      </c>
      <c r="GU9" s="157">
        <f>(1+GrowthUtility)^(MAX(0,199-GrowthStartMonth)/12)</f>
        <v/>
      </c>
      <c r="GV9" s="157">
        <f>(1+GrowthUtility)^(MAX(0,200-GrowthStartMonth)/12)</f>
        <v/>
      </c>
      <c r="GW9" s="157">
        <f>(1+GrowthUtility)^(MAX(0,201-GrowthStartMonth)/12)</f>
        <v/>
      </c>
      <c r="GX9" s="157">
        <f>(1+GrowthUtility)^(MAX(0,202-GrowthStartMonth)/12)</f>
        <v/>
      </c>
      <c r="GY9" s="157">
        <f>(1+GrowthUtility)^(MAX(0,203-GrowthStartMonth)/12)</f>
        <v/>
      </c>
      <c r="GZ9" s="157">
        <f>(1+GrowthUtility)^(MAX(0,204-GrowthStartMonth)/12)</f>
        <v/>
      </c>
      <c r="HA9" s="157">
        <f>(1+GrowthUtility)^(MAX(0,205-GrowthStartMonth)/12)</f>
        <v/>
      </c>
      <c r="HB9" s="157">
        <f>(1+GrowthUtility)^(MAX(0,206-GrowthStartMonth)/12)</f>
        <v/>
      </c>
      <c r="HC9" s="157">
        <f>(1+GrowthUtility)^(MAX(0,207-GrowthStartMonth)/12)</f>
        <v/>
      </c>
      <c r="HD9" s="157">
        <f>(1+GrowthUtility)^(MAX(0,208-GrowthStartMonth)/12)</f>
        <v/>
      </c>
      <c r="HE9" s="157">
        <f>(1+GrowthUtility)^(MAX(0,209-GrowthStartMonth)/12)</f>
        <v/>
      </c>
      <c r="HF9" s="157">
        <f>(1+GrowthUtility)^(MAX(0,210-GrowthStartMonth)/12)</f>
        <v/>
      </c>
      <c r="HG9" s="157">
        <f>(1+GrowthUtility)^(MAX(0,211-GrowthStartMonth)/12)</f>
        <v/>
      </c>
      <c r="HH9" s="157">
        <f>(1+GrowthUtility)^(MAX(0,212-GrowthStartMonth)/12)</f>
        <v/>
      </c>
      <c r="HI9" s="157">
        <f>(1+GrowthUtility)^(MAX(0,213-GrowthStartMonth)/12)</f>
        <v/>
      </c>
      <c r="HJ9" s="157">
        <f>(1+GrowthUtility)^(MAX(0,214-GrowthStartMonth)/12)</f>
        <v/>
      </c>
      <c r="HK9" s="157">
        <f>(1+GrowthUtility)^(MAX(0,215-GrowthStartMonth)/12)</f>
        <v/>
      </c>
      <c r="HL9" s="157">
        <f>(1+GrowthUtility)^(MAX(0,216-GrowthStartMonth)/12)</f>
        <v/>
      </c>
      <c r="HM9" s="157">
        <f>(1+GrowthUtility)^(MAX(0,217-GrowthStartMonth)/12)</f>
        <v/>
      </c>
      <c r="HN9" s="157">
        <f>(1+GrowthUtility)^(MAX(0,218-GrowthStartMonth)/12)</f>
        <v/>
      </c>
      <c r="HO9" s="157">
        <f>(1+GrowthUtility)^(MAX(0,219-GrowthStartMonth)/12)</f>
        <v/>
      </c>
      <c r="HP9" s="157">
        <f>(1+GrowthUtility)^(MAX(0,220-GrowthStartMonth)/12)</f>
        <v/>
      </c>
      <c r="HQ9" s="157">
        <f>(1+GrowthUtility)^(MAX(0,221-GrowthStartMonth)/12)</f>
        <v/>
      </c>
      <c r="HR9" s="157">
        <f>(1+GrowthUtility)^(MAX(0,222-GrowthStartMonth)/12)</f>
        <v/>
      </c>
      <c r="HS9" s="157">
        <f>(1+GrowthUtility)^(MAX(0,223-GrowthStartMonth)/12)</f>
        <v/>
      </c>
      <c r="HT9" s="157">
        <f>(1+GrowthUtility)^(MAX(0,224-GrowthStartMonth)/12)</f>
        <v/>
      </c>
      <c r="HU9" s="157">
        <f>(1+GrowthUtility)^(MAX(0,225-GrowthStartMonth)/12)</f>
        <v/>
      </c>
      <c r="HV9" s="157">
        <f>(1+GrowthUtility)^(MAX(0,226-GrowthStartMonth)/12)</f>
        <v/>
      </c>
      <c r="HW9" s="157">
        <f>(1+GrowthUtility)^(MAX(0,227-GrowthStartMonth)/12)</f>
        <v/>
      </c>
      <c r="HX9" s="157">
        <f>(1+GrowthUtility)^(MAX(0,228-GrowthStartMonth)/12)</f>
        <v/>
      </c>
      <c r="HY9" s="157">
        <f>(1+GrowthUtility)^(MAX(0,229-GrowthStartMonth)/12)</f>
        <v/>
      </c>
      <c r="HZ9" s="157">
        <f>(1+GrowthUtility)^(MAX(0,230-GrowthStartMonth)/12)</f>
        <v/>
      </c>
      <c r="IA9" s="157">
        <f>(1+GrowthUtility)^(MAX(0,231-GrowthStartMonth)/12)</f>
        <v/>
      </c>
      <c r="IB9" s="157">
        <f>(1+GrowthUtility)^(MAX(0,232-GrowthStartMonth)/12)</f>
        <v/>
      </c>
      <c r="IC9" s="157">
        <f>(1+GrowthUtility)^(MAX(0,233-GrowthStartMonth)/12)</f>
        <v/>
      </c>
      <c r="ID9" s="157">
        <f>(1+GrowthUtility)^(MAX(0,234-GrowthStartMonth)/12)</f>
        <v/>
      </c>
      <c r="IE9" s="157">
        <f>(1+GrowthUtility)^(MAX(0,235-GrowthStartMonth)/12)</f>
        <v/>
      </c>
      <c r="IF9" s="157">
        <f>(1+GrowthUtility)^(MAX(0,236-GrowthStartMonth)/12)</f>
        <v/>
      </c>
      <c r="IG9" s="157">
        <f>(1+GrowthUtility)^(MAX(0,237-GrowthStartMonth)/12)</f>
        <v/>
      </c>
      <c r="IH9" s="157">
        <f>(1+GrowthUtility)^(MAX(0,238-GrowthStartMonth)/12)</f>
        <v/>
      </c>
      <c r="II9" s="157">
        <f>(1+GrowthUtility)^(MAX(0,239-GrowthStartMonth)/12)</f>
        <v/>
      </c>
      <c r="IJ9" s="157">
        <f>(1+GrowthUtility)^(MAX(0,240-GrowthStartMonth)/12)</f>
        <v/>
      </c>
      <c r="IK9" s="157">
        <f>(1+GrowthUtility)^(MAX(0,241-GrowthStartMonth)/12)</f>
        <v/>
      </c>
      <c r="IL9" s="157">
        <f>(1+GrowthUtility)^(MAX(0,242-GrowthStartMonth)/12)</f>
        <v/>
      </c>
      <c r="IM9" s="157">
        <f>(1+GrowthUtility)^(MAX(0,243-GrowthStartMonth)/12)</f>
        <v/>
      </c>
      <c r="IN9" s="157">
        <f>(1+GrowthUtility)^(MAX(0,244-GrowthStartMonth)/12)</f>
        <v/>
      </c>
      <c r="IO9" s="157">
        <f>(1+GrowthUtility)^(MAX(0,245-GrowthStartMonth)/12)</f>
        <v/>
      </c>
      <c r="IP9" s="157">
        <f>(1+GrowthUtility)^(MAX(0,246-GrowthStartMonth)/12)</f>
        <v/>
      </c>
      <c r="IQ9" s="157">
        <f>(1+GrowthUtility)^(MAX(0,247-GrowthStartMonth)/12)</f>
        <v/>
      </c>
      <c r="IR9" s="157">
        <f>(1+GrowthUtility)^(MAX(0,248-GrowthStartMonth)/12)</f>
        <v/>
      </c>
      <c r="IS9" s="157">
        <f>(1+GrowthUtility)^(MAX(0,249-GrowthStartMonth)/12)</f>
        <v/>
      </c>
      <c r="IT9" s="157">
        <f>(1+GrowthUtility)^(MAX(0,250-GrowthStartMonth)/12)</f>
        <v/>
      </c>
      <c r="IU9" s="157">
        <f>(1+GrowthUtility)^(MAX(0,251-GrowthStartMonth)/12)</f>
        <v/>
      </c>
      <c r="IV9" s="157">
        <f>(1+GrowthUtility)^(MAX(0,252-GrowthStartMonth)/12)</f>
        <v/>
      </c>
      <c r="IW9" s="157">
        <f>(1+GrowthUtility)^(MAX(0,253-GrowthStartMonth)/12)</f>
        <v/>
      </c>
      <c r="IX9" s="157">
        <f>(1+GrowthUtility)^(MAX(0,254-GrowthStartMonth)/12)</f>
        <v/>
      </c>
      <c r="IY9" s="157">
        <f>(1+GrowthUtility)^(MAX(0,255-GrowthStartMonth)/12)</f>
        <v/>
      </c>
      <c r="IZ9" s="157">
        <f>(1+GrowthUtility)^(MAX(0,256-GrowthStartMonth)/12)</f>
        <v/>
      </c>
      <c r="JA9" s="157">
        <f>(1+GrowthUtility)^(MAX(0,257-GrowthStartMonth)/12)</f>
        <v/>
      </c>
      <c r="JB9" s="157">
        <f>(1+GrowthUtility)^(MAX(0,258-GrowthStartMonth)/12)</f>
        <v/>
      </c>
      <c r="JC9" s="157">
        <f>(1+GrowthUtility)^(MAX(0,259-GrowthStartMonth)/12)</f>
        <v/>
      </c>
      <c r="JD9" s="157">
        <f>(1+GrowthUtility)^(MAX(0,260-GrowthStartMonth)/12)</f>
        <v/>
      </c>
      <c r="JE9" s="157">
        <f>(1+GrowthUtility)^(MAX(0,261-GrowthStartMonth)/12)</f>
        <v/>
      </c>
      <c r="JF9" s="157">
        <f>(1+GrowthUtility)^(MAX(0,262-GrowthStartMonth)/12)</f>
        <v/>
      </c>
      <c r="JG9" s="157">
        <f>(1+GrowthUtility)^(MAX(0,263-GrowthStartMonth)/12)</f>
        <v/>
      </c>
      <c r="JH9" s="157">
        <f>(1+GrowthUtility)^(MAX(0,264-GrowthStartMonth)/12)</f>
        <v/>
      </c>
      <c r="JI9" s="157">
        <f>(1+GrowthUtility)^(MAX(0,265-GrowthStartMonth)/12)</f>
        <v/>
      </c>
      <c r="JJ9" s="157">
        <f>(1+GrowthUtility)^(MAX(0,266-GrowthStartMonth)/12)</f>
        <v/>
      </c>
      <c r="JK9" s="157">
        <f>(1+GrowthUtility)^(MAX(0,267-GrowthStartMonth)/12)</f>
        <v/>
      </c>
      <c r="JL9" s="157">
        <f>(1+GrowthUtility)^(MAX(0,268-GrowthStartMonth)/12)</f>
        <v/>
      </c>
      <c r="JM9" s="157">
        <f>(1+GrowthUtility)^(MAX(0,269-GrowthStartMonth)/12)</f>
        <v/>
      </c>
      <c r="JN9" s="157">
        <f>(1+GrowthUtility)^(MAX(0,270-GrowthStartMonth)/12)</f>
        <v/>
      </c>
      <c r="JO9" s="157">
        <f>(1+GrowthUtility)^(MAX(0,271-GrowthStartMonth)/12)</f>
        <v/>
      </c>
      <c r="JP9" s="157">
        <f>(1+GrowthUtility)^(MAX(0,272-GrowthStartMonth)/12)</f>
        <v/>
      </c>
      <c r="JQ9" s="157">
        <f>(1+GrowthUtility)^(MAX(0,273-GrowthStartMonth)/12)</f>
        <v/>
      </c>
      <c r="JR9" s="157">
        <f>(1+GrowthUtility)^(MAX(0,274-GrowthStartMonth)/12)</f>
        <v/>
      </c>
      <c r="JS9" s="157">
        <f>(1+GrowthUtility)^(MAX(0,275-GrowthStartMonth)/12)</f>
        <v/>
      </c>
      <c r="JT9" s="157">
        <f>(1+GrowthUtility)^(MAX(0,276-GrowthStartMonth)/12)</f>
        <v/>
      </c>
      <c r="JU9" s="157">
        <f>(1+GrowthUtility)^(MAX(0,277-GrowthStartMonth)/12)</f>
        <v/>
      </c>
      <c r="JV9" s="157">
        <f>(1+GrowthUtility)^(MAX(0,278-GrowthStartMonth)/12)</f>
        <v/>
      </c>
      <c r="JW9" s="157">
        <f>(1+GrowthUtility)^(MAX(0,279-GrowthStartMonth)/12)</f>
        <v/>
      </c>
      <c r="JX9" s="157">
        <f>(1+GrowthUtility)^(MAX(0,280-GrowthStartMonth)/12)</f>
        <v/>
      </c>
      <c r="JY9" s="157">
        <f>(1+GrowthUtility)^(MAX(0,281-GrowthStartMonth)/12)</f>
        <v/>
      </c>
      <c r="JZ9" s="157">
        <f>(1+GrowthUtility)^(MAX(0,282-GrowthStartMonth)/12)</f>
        <v/>
      </c>
      <c r="KA9" s="157">
        <f>(1+GrowthUtility)^(MAX(0,283-GrowthStartMonth)/12)</f>
        <v/>
      </c>
      <c r="KB9" s="157">
        <f>(1+GrowthUtility)^(MAX(0,284-GrowthStartMonth)/12)</f>
        <v/>
      </c>
      <c r="KC9" s="157">
        <f>(1+GrowthUtility)^(MAX(0,285-GrowthStartMonth)/12)</f>
        <v/>
      </c>
      <c r="KD9" s="157">
        <f>(1+GrowthUtility)^(MAX(0,286-GrowthStartMonth)/12)</f>
        <v/>
      </c>
      <c r="KE9" s="157">
        <f>(1+GrowthUtility)^(MAX(0,287-GrowthStartMonth)/12)</f>
        <v/>
      </c>
      <c r="KF9" s="157">
        <f>(1+GrowthUtility)^(MAX(0,288-GrowthStartMonth)/12)</f>
        <v/>
      </c>
      <c r="KG9" s="157">
        <f>(1+GrowthUtility)^(MAX(0,289-GrowthStartMonth)/12)</f>
        <v/>
      </c>
      <c r="KH9" s="157">
        <f>(1+GrowthUtility)^(MAX(0,290-GrowthStartMonth)/12)</f>
        <v/>
      </c>
      <c r="KI9" s="157">
        <f>(1+GrowthUtility)^(MAX(0,291-GrowthStartMonth)/12)</f>
        <v/>
      </c>
      <c r="KJ9" s="157">
        <f>(1+GrowthUtility)^(MAX(0,292-GrowthStartMonth)/12)</f>
        <v/>
      </c>
      <c r="KK9" s="157">
        <f>(1+GrowthUtility)^(MAX(0,293-GrowthStartMonth)/12)</f>
        <v/>
      </c>
      <c r="KL9" s="157">
        <f>(1+GrowthUtility)^(MAX(0,294-GrowthStartMonth)/12)</f>
        <v/>
      </c>
      <c r="KM9" s="157">
        <f>(1+GrowthUtility)^(MAX(0,295-GrowthStartMonth)/12)</f>
        <v/>
      </c>
      <c r="KN9" s="157">
        <f>(1+GrowthUtility)^(MAX(0,296-GrowthStartMonth)/12)</f>
        <v/>
      </c>
      <c r="KO9" s="157">
        <f>(1+GrowthUtility)^(MAX(0,297-GrowthStartMonth)/12)</f>
        <v/>
      </c>
      <c r="KP9" s="157">
        <f>(1+GrowthUtility)^(MAX(0,298-GrowthStartMonth)/12)</f>
        <v/>
      </c>
      <c r="KQ9" s="157">
        <f>(1+GrowthUtility)^(MAX(0,299-GrowthStartMonth)/12)</f>
        <v/>
      </c>
      <c r="KR9" s="157">
        <f>(1+GrowthUtility)^(MAX(0,300-GrowthStartMonth)/12)</f>
        <v/>
      </c>
      <c r="KS9" s="157">
        <f>(1+GrowthUtility)^(MAX(0,301-GrowthStartMonth)/12)</f>
        <v/>
      </c>
      <c r="KT9" s="157">
        <f>(1+GrowthUtility)^(MAX(0,302-GrowthStartMonth)/12)</f>
        <v/>
      </c>
      <c r="KU9" s="157">
        <f>(1+GrowthUtility)^(MAX(0,303-GrowthStartMonth)/12)</f>
        <v/>
      </c>
      <c r="KV9" s="157">
        <f>(1+GrowthUtility)^(MAX(0,304-GrowthStartMonth)/12)</f>
        <v/>
      </c>
      <c r="KW9" s="157">
        <f>(1+GrowthUtility)^(MAX(0,305-GrowthStartMonth)/12)</f>
        <v/>
      </c>
      <c r="KX9" s="157">
        <f>(1+GrowthUtility)^(MAX(0,306-GrowthStartMonth)/12)</f>
        <v/>
      </c>
      <c r="KY9" s="157">
        <f>(1+GrowthUtility)^(MAX(0,307-GrowthStartMonth)/12)</f>
        <v/>
      </c>
      <c r="KZ9" s="157">
        <f>(1+GrowthUtility)^(MAX(0,308-GrowthStartMonth)/12)</f>
        <v/>
      </c>
      <c r="LA9" s="157">
        <f>(1+GrowthUtility)^(MAX(0,309-GrowthStartMonth)/12)</f>
        <v/>
      </c>
      <c r="LB9" s="157">
        <f>(1+GrowthUtility)^(MAX(0,310-GrowthStartMonth)/12)</f>
        <v/>
      </c>
      <c r="LC9" s="157">
        <f>(1+GrowthUtility)^(MAX(0,311-GrowthStartMonth)/12)</f>
        <v/>
      </c>
      <c r="LD9" s="157">
        <f>(1+GrowthUtility)^(MAX(0,312-GrowthStartMonth)/12)</f>
        <v/>
      </c>
      <c r="LE9" s="157">
        <f>(1+GrowthUtility)^(MAX(0,313-GrowthStartMonth)/12)</f>
        <v/>
      </c>
      <c r="LF9" s="157">
        <f>(1+GrowthUtility)^(MAX(0,314-GrowthStartMonth)/12)</f>
        <v/>
      </c>
      <c r="LG9" s="157">
        <f>(1+GrowthUtility)^(MAX(0,315-GrowthStartMonth)/12)</f>
        <v/>
      </c>
      <c r="LH9" s="157">
        <f>(1+GrowthUtility)^(MAX(0,316-GrowthStartMonth)/12)</f>
        <v/>
      </c>
      <c r="LI9" s="157">
        <f>(1+GrowthUtility)^(MAX(0,317-GrowthStartMonth)/12)</f>
        <v/>
      </c>
      <c r="LJ9" s="157">
        <f>(1+GrowthUtility)^(MAX(0,318-GrowthStartMonth)/12)</f>
        <v/>
      </c>
      <c r="LK9" s="157">
        <f>(1+GrowthUtility)^(MAX(0,319-GrowthStartMonth)/12)</f>
        <v/>
      </c>
      <c r="LL9" s="157">
        <f>(1+GrowthUtility)^(MAX(0,320-GrowthStartMonth)/12)</f>
        <v/>
      </c>
      <c r="LM9" s="157">
        <f>(1+GrowthUtility)^(MAX(0,321-GrowthStartMonth)/12)</f>
        <v/>
      </c>
      <c r="LN9" s="157">
        <f>(1+GrowthUtility)^(MAX(0,322-GrowthStartMonth)/12)</f>
        <v/>
      </c>
      <c r="LO9" s="157">
        <f>(1+GrowthUtility)^(MAX(0,323-GrowthStartMonth)/12)</f>
        <v/>
      </c>
      <c r="LP9" s="157">
        <f>(1+GrowthUtility)^(MAX(0,324-GrowthStartMonth)/12)</f>
        <v/>
      </c>
      <c r="LQ9" s="157">
        <f>(1+GrowthUtility)^(MAX(0,325-GrowthStartMonth)/12)</f>
        <v/>
      </c>
      <c r="LR9" s="157">
        <f>(1+GrowthUtility)^(MAX(0,326-GrowthStartMonth)/12)</f>
        <v/>
      </c>
      <c r="LS9" s="157">
        <f>(1+GrowthUtility)^(MAX(0,327-GrowthStartMonth)/12)</f>
        <v/>
      </c>
      <c r="LT9" s="157">
        <f>(1+GrowthUtility)^(MAX(0,328-GrowthStartMonth)/12)</f>
        <v/>
      </c>
      <c r="LU9" s="157">
        <f>(1+GrowthUtility)^(MAX(0,329-GrowthStartMonth)/12)</f>
        <v/>
      </c>
      <c r="LV9" s="157">
        <f>(1+GrowthUtility)^(MAX(0,330-GrowthStartMonth)/12)</f>
        <v/>
      </c>
      <c r="LW9" s="157">
        <f>(1+GrowthUtility)^(MAX(0,331-GrowthStartMonth)/12)</f>
        <v/>
      </c>
      <c r="LX9" s="157">
        <f>(1+GrowthUtility)^(MAX(0,332-GrowthStartMonth)/12)</f>
        <v/>
      </c>
      <c r="LY9" s="157">
        <f>(1+GrowthUtility)^(MAX(0,333-GrowthStartMonth)/12)</f>
        <v/>
      </c>
      <c r="LZ9" s="157">
        <f>(1+GrowthUtility)^(MAX(0,334-GrowthStartMonth)/12)</f>
        <v/>
      </c>
      <c r="MA9" s="157">
        <f>(1+GrowthUtility)^(MAX(0,335-GrowthStartMonth)/12)</f>
        <v/>
      </c>
      <c r="MB9" s="157">
        <f>(1+GrowthUtility)^(MAX(0,336-GrowthStartMonth)/12)</f>
        <v/>
      </c>
      <c r="MC9" s="157">
        <f>(1+GrowthUtility)^(MAX(0,337-GrowthStartMonth)/12)</f>
        <v/>
      </c>
      <c r="MD9" s="157">
        <f>(1+GrowthUtility)^(MAX(0,338-GrowthStartMonth)/12)</f>
        <v/>
      </c>
      <c r="ME9" s="157">
        <f>(1+GrowthUtility)^(MAX(0,339-GrowthStartMonth)/12)</f>
        <v/>
      </c>
      <c r="MF9" s="157">
        <f>(1+GrowthUtility)^(MAX(0,340-GrowthStartMonth)/12)</f>
        <v/>
      </c>
      <c r="MG9" s="157">
        <f>(1+GrowthUtility)^(MAX(0,341-GrowthStartMonth)/12)</f>
        <v/>
      </c>
      <c r="MH9" s="157">
        <f>(1+GrowthUtility)^(MAX(0,342-GrowthStartMonth)/12)</f>
        <v/>
      </c>
      <c r="MI9" s="157">
        <f>(1+GrowthUtility)^(MAX(0,343-GrowthStartMonth)/12)</f>
        <v/>
      </c>
      <c r="MJ9" s="157">
        <f>(1+GrowthUtility)^(MAX(0,344-GrowthStartMonth)/12)</f>
        <v/>
      </c>
      <c r="MK9" s="157">
        <f>(1+GrowthUtility)^(MAX(0,345-GrowthStartMonth)/12)</f>
        <v/>
      </c>
      <c r="ML9" s="157">
        <f>(1+GrowthUtility)^(MAX(0,346-GrowthStartMonth)/12)</f>
        <v/>
      </c>
      <c r="MM9" s="157">
        <f>(1+GrowthUtility)^(MAX(0,347-GrowthStartMonth)/12)</f>
        <v/>
      </c>
      <c r="MN9" s="157">
        <f>(1+GrowthUtility)^(MAX(0,348-GrowthStartMonth)/12)</f>
        <v/>
      </c>
      <c r="MO9" s="157">
        <f>(1+GrowthUtility)^(MAX(0,349-GrowthStartMonth)/12)</f>
        <v/>
      </c>
      <c r="MP9" s="157">
        <f>(1+GrowthUtility)^(MAX(0,350-GrowthStartMonth)/12)</f>
        <v/>
      </c>
      <c r="MQ9" s="157">
        <f>(1+GrowthUtility)^(MAX(0,351-GrowthStartMonth)/12)</f>
        <v/>
      </c>
      <c r="MR9" s="157">
        <f>(1+GrowthUtility)^(MAX(0,352-GrowthStartMonth)/12)</f>
        <v/>
      </c>
      <c r="MS9" s="157">
        <f>(1+GrowthUtility)^(MAX(0,353-GrowthStartMonth)/12)</f>
        <v/>
      </c>
      <c r="MT9" s="157">
        <f>(1+GrowthUtility)^(MAX(0,354-GrowthStartMonth)/12)</f>
        <v/>
      </c>
      <c r="MU9" s="157">
        <f>(1+GrowthUtility)^(MAX(0,355-GrowthStartMonth)/12)</f>
        <v/>
      </c>
      <c r="MV9" s="157">
        <f>(1+GrowthUtility)^(MAX(0,356-GrowthStartMonth)/12)</f>
        <v/>
      </c>
      <c r="MW9" s="157">
        <f>(1+GrowthUtility)^(MAX(0,357-GrowthStartMonth)/12)</f>
        <v/>
      </c>
      <c r="MX9" s="157">
        <f>(1+GrowthUtility)^(MAX(0,358-GrowthStartMonth)/12)</f>
        <v/>
      </c>
      <c r="MY9" s="157">
        <f>(1+GrowthUtility)^(MAX(0,359-GrowthStartMonth)/12)</f>
        <v/>
      </c>
      <c r="MZ9" s="157">
        <f>(1+GrowthUtility)^(MAX(0,360-GrowthStartMonth)/12)</f>
        <v/>
      </c>
      <c r="NA9" s="157">
        <f>(1+GrowthUtility)^(MAX(0,361-GrowthStartMonth)/12)</f>
        <v/>
      </c>
      <c r="NB9" s="157">
        <f>(1+GrowthUtility)^(MAX(0,362-GrowthStartMonth)/12)</f>
        <v/>
      </c>
      <c r="NC9" s="157">
        <f>(1+GrowthUtility)^(MAX(0,363-GrowthStartMonth)/12)</f>
        <v/>
      </c>
      <c r="ND9" s="157">
        <f>(1+GrowthUtility)^(MAX(0,364-GrowthStartMonth)/12)</f>
        <v/>
      </c>
      <c r="NE9" s="157">
        <f>(1+GrowthUtility)^(MAX(0,365-GrowthStartMonth)/12)</f>
        <v/>
      </c>
      <c r="NF9" s="157">
        <f>(1+GrowthUtility)^(MAX(0,366-GrowthStartMonth)/12)</f>
        <v/>
      </c>
      <c r="NG9" s="157">
        <f>(1+GrowthUtility)^(MAX(0,367-GrowthStartMonth)/12)</f>
        <v/>
      </c>
      <c r="NH9" s="157">
        <f>(1+GrowthUtility)^(MAX(0,368-GrowthStartMonth)/12)</f>
        <v/>
      </c>
      <c r="NI9" s="157">
        <f>(1+GrowthUtility)^(MAX(0,369-GrowthStartMonth)/12)</f>
        <v/>
      </c>
      <c r="NJ9" s="157">
        <f>(1+GrowthUtility)^(MAX(0,370-GrowthStartMonth)/12)</f>
        <v/>
      </c>
      <c r="NK9" s="157">
        <f>(1+GrowthUtility)^(MAX(0,371-GrowthStartMonth)/12)</f>
        <v/>
      </c>
      <c r="NL9" s="158">
        <f>(1+GrowthUtility)^(MAX(0,372-GrowthStartMonth)/12)</f>
        <v/>
      </c>
    </row>
    <row r="10">
      <c r="B10" s="36" t="inlineStr">
        <is>
          <t>Growth Factor — Other Income</t>
        </is>
      </c>
      <c r="D10" s="156" t="n"/>
      <c r="E10" s="157">
        <f>(1+GrowthOther)^(MAX(0,1-GrowthStartMonth)/12)</f>
        <v/>
      </c>
      <c r="F10" s="157">
        <f>(1+GrowthOther)^(MAX(0,2-GrowthStartMonth)/12)</f>
        <v/>
      </c>
      <c r="G10" s="157">
        <f>(1+GrowthOther)^(MAX(0,3-GrowthStartMonth)/12)</f>
        <v/>
      </c>
      <c r="H10" s="157">
        <f>(1+GrowthOther)^(MAX(0,4-GrowthStartMonth)/12)</f>
        <v/>
      </c>
      <c r="I10" s="157">
        <f>(1+GrowthOther)^(MAX(0,5-GrowthStartMonth)/12)</f>
        <v/>
      </c>
      <c r="J10" s="157">
        <f>(1+GrowthOther)^(MAX(0,6-GrowthStartMonth)/12)</f>
        <v/>
      </c>
      <c r="K10" s="157">
        <f>(1+GrowthOther)^(MAX(0,7-GrowthStartMonth)/12)</f>
        <v/>
      </c>
      <c r="L10" s="157">
        <f>(1+GrowthOther)^(MAX(0,8-GrowthStartMonth)/12)</f>
        <v/>
      </c>
      <c r="M10" s="157">
        <f>(1+GrowthOther)^(MAX(0,9-GrowthStartMonth)/12)</f>
        <v/>
      </c>
      <c r="N10" s="157">
        <f>(1+GrowthOther)^(MAX(0,10-GrowthStartMonth)/12)</f>
        <v/>
      </c>
      <c r="O10" s="157">
        <f>(1+GrowthOther)^(MAX(0,11-GrowthStartMonth)/12)</f>
        <v/>
      </c>
      <c r="P10" s="157">
        <f>(1+GrowthOther)^(MAX(0,12-GrowthStartMonth)/12)</f>
        <v/>
      </c>
      <c r="Q10" s="157">
        <f>(1+GrowthOther)^(MAX(0,13-GrowthStartMonth)/12)</f>
        <v/>
      </c>
      <c r="R10" s="157">
        <f>(1+GrowthOther)^(MAX(0,14-GrowthStartMonth)/12)</f>
        <v/>
      </c>
      <c r="S10" s="157">
        <f>(1+GrowthOther)^(MAX(0,15-GrowthStartMonth)/12)</f>
        <v/>
      </c>
      <c r="T10" s="157">
        <f>(1+GrowthOther)^(MAX(0,16-GrowthStartMonth)/12)</f>
        <v/>
      </c>
      <c r="U10" s="157">
        <f>(1+GrowthOther)^(MAX(0,17-GrowthStartMonth)/12)</f>
        <v/>
      </c>
      <c r="V10" s="157">
        <f>(1+GrowthOther)^(MAX(0,18-GrowthStartMonth)/12)</f>
        <v/>
      </c>
      <c r="W10" s="157">
        <f>(1+GrowthOther)^(MAX(0,19-GrowthStartMonth)/12)</f>
        <v/>
      </c>
      <c r="X10" s="157">
        <f>(1+GrowthOther)^(MAX(0,20-GrowthStartMonth)/12)</f>
        <v/>
      </c>
      <c r="Y10" s="157">
        <f>(1+GrowthOther)^(MAX(0,21-GrowthStartMonth)/12)</f>
        <v/>
      </c>
      <c r="Z10" s="157">
        <f>(1+GrowthOther)^(MAX(0,22-GrowthStartMonth)/12)</f>
        <v/>
      </c>
      <c r="AA10" s="157">
        <f>(1+GrowthOther)^(MAX(0,23-GrowthStartMonth)/12)</f>
        <v/>
      </c>
      <c r="AB10" s="157">
        <f>(1+GrowthOther)^(MAX(0,24-GrowthStartMonth)/12)</f>
        <v/>
      </c>
      <c r="AC10" s="157">
        <f>(1+GrowthOther)^(MAX(0,25-GrowthStartMonth)/12)</f>
        <v/>
      </c>
      <c r="AD10" s="157">
        <f>(1+GrowthOther)^(MAX(0,26-GrowthStartMonth)/12)</f>
        <v/>
      </c>
      <c r="AE10" s="157">
        <f>(1+GrowthOther)^(MAX(0,27-GrowthStartMonth)/12)</f>
        <v/>
      </c>
      <c r="AF10" s="157">
        <f>(1+GrowthOther)^(MAX(0,28-GrowthStartMonth)/12)</f>
        <v/>
      </c>
      <c r="AG10" s="157">
        <f>(1+GrowthOther)^(MAX(0,29-GrowthStartMonth)/12)</f>
        <v/>
      </c>
      <c r="AH10" s="157">
        <f>(1+GrowthOther)^(MAX(0,30-GrowthStartMonth)/12)</f>
        <v/>
      </c>
      <c r="AI10" s="157">
        <f>(1+GrowthOther)^(MAX(0,31-GrowthStartMonth)/12)</f>
        <v/>
      </c>
      <c r="AJ10" s="157">
        <f>(1+GrowthOther)^(MAX(0,32-GrowthStartMonth)/12)</f>
        <v/>
      </c>
      <c r="AK10" s="157">
        <f>(1+GrowthOther)^(MAX(0,33-GrowthStartMonth)/12)</f>
        <v/>
      </c>
      <c r="AL10" s="157">
        <f>(1+GrowthOther)^(MAX(0,34-GrowthStartMonth)/12)</f>
        <v/>
      </c>
      <c r="AM10" s="157">
        <f>(1+GrowthOther)^(MAX(0,35-GrowthStartMonth)/12)</f>
        <v/>
      </c>
      <c r="AN10" s="157">
        <f>(1+GrowthOther)^(MAX(0,36-GrowthStartMonth)/12)</f>
        <v/>
      </c>
      <c r="AO10" s="157">
        <f>(1+GrowthOther)^(MAX(0,37-GrowthStartMonth)/12)</f>
        <v/>
      </c>
      <c r="AP10" s="157">
        <f>(1+GrowthOther)^(MAX(0,38-GrowthStartMonth)/12)</f>
        <v/>
      </c>
      <c r="AQ10" s="157">
        <f>(1+GrowthOther)^(MAX(0,39-GrowthStartMonth)/12)</f>
        <v/>
      </c>
      <c r="AR10" s="157">
        <f>(1+GrowthOther)^(MAX(0,40-GrowthStartMonth)/12)</f>
        <v/>
      </c>
      <c r="AS10" s="157">
        <f>(1+GrowthOther)^(MAX(0,41-GrowthStartMonth)/12)</f>
        <v/>
      </c>
      <c r="AT10" s="157">
        <f>(1+GrowthOther)^(MAX(0,42-GrowthStartMonth)/12)</f>
        <v/>
      </c>
      <c r="AU10" s="157">
        <f>(1+GrowthOther)^(MAX(0,43-GrowthStartMonth)/12)</f>
        <v/>
      </c>
      <c r="AV10" s="157">
        <f>(1+GrowthOther)^(MAX(0,44-GrowthStartMonth)/12)</f>
        <v/>
      </c>
      <c r="AW10" s="157">
        <f>(1+GrowthOther)^(MAX(0,45-GrowthStartMonth)/12)</f>
        <v/>
      </c>
      <c r="AX10" s="157">
        <f>(1+GrowthOther)^(MAX(0,46-GrowthStartMonth)/12)</f>
        <v/>
      </c>
      <c r="AY10" s="157">
        <f>(1+GrowthOther)^(MAX(0,47-GrowthStartMonth)/12)</f>
        <v/>
      </c>
      <c r="AZ10" s="157">
        <f>(1+GrowthOther)^(MAX(0,48-GrowthStartMonth)/12)</f>
        <v/>
      </c>
      <c r="BA10" s="157">
        <f>(1+GrowthOther)^(MAX(0,49-GrowthStartMonth)/12)</f>
        <v/>
      </c>
      <c r="BB10" s="157">
        <f>(1+GrowthOther)^(MAX(0,50-GrowthStartMonth)/12)</f>
        <v/>
      </c>
      <c r="BC10" s="157">
        <f>(1+GrowthOther)^(MAX(0,51-GrowthStartMonth)/12)</f>
        <v/>
      </c>
      <c r="BD10" s="157">
        <f>(1+GrowthOther)^(MAX(0,52-GrowthStartMonth)/12)</f>
        <v/>
      </c>
      <c r="BE10" s="157">
        <f>(1+GrowthOther)^(MAX(0,53-GrowthStartMonth)/12)</f>
        <v/>
      </c>
      <c r="BF10" s="157">
        <f>(1+GrowthOther)^(MAX(0,54-GrowthStartMonth)/12)</f>
        <v/>
      </c>
      <c r="BG10" s="157">
        <f>(1+GrowthOther)^(MAX(0,55-GrowthStartMonth)/12)</f>
        <v/>
      </c>
      <c r="BH10" s="157">
        <f>(1+GrowthOther)^(MAX(0,56-GrowthStartMonth)/12)</f>
        <v/>
      </c>
      <c r="BI10" s="157">
        <f>(1+GrowthOther)^(MAX(0,57-GrowthStartMonth)/12)</f>
        <v/>
      </c>
      <c r="BJ10" s="157">
        <f>(1+GrowthOther)^(MAX(0,58-GrowthStartMonth)/12)</f>
        <v/>
      </c>
      <c r="BK10" s="157">
        <f>(1+GrowthOther)^(MAX(0,59-GrowthStartMonth)/12)</f>
        <v/>
      </c>
      <c r="BL10" s="157">
        <f>(1+GrowthOther)^(MAX(0,60-GrowthStartMonth)/12)</f>
        <v/>
      </c>
      <c r="BM10" s="157">
        <f>(1+GrowthOther)^(MAX(0,61-GrowthStartMonth)/12)</f>
        <v/>
      </c>
      <c r="BN10" s="157">
        <f>(1+GrowthOther)^(MAX(0,62-GrowthStartMonth)/12)</f>
        <v/>
      </c>
      <c r="BO10" s="157">
        <f>(1+GrowthOther)^(MAX(0,63-GrowthStartMonth)/12)</f>
        <v/>
      </c>
      <c r="BP10" s="157">
        <f>(1+GrowthOther)^(MAX(0,64-GrowthStartMonth)/12)</f>
        <v/>
      </c>
      <c r="BQ10" s="157">
        <f>(1+GrowthOther)^(MAX(0,65-GrowthStartMonth)/12)</f>
        <v/>
      </c>
      <c r="BR10" s="157">
        <f>(1+GrowthOther)^(MAX(0,66-GrowthStartMonth)/12)</f>
        <v/>
      </c>
      <c r="BS10" s="157">
        <f>(1+GrowthOther)^(MAX(0,67-GrowthStartMonth)/12)</f>
        <v/>
      </c>
      <c r="BT10" s="157">
        <f>(1+GrowthOther)^(MAX(0,68-GrowthStartMonth)/12)</f>
        <v/>
      </c>
      <c r="BU10" s="157">
        <f>(1+GrowthOther)^(MAX(0,69-GrowthStartMonth)/12)</f>
        <v/>
      </c>
      <c r="BV10" s="157">
        <f>(1+GrowthOther)^(MAX(0,70-GrowthStartMonth)/12)</f>
        <v/>
      </c>
      <c r="BW10" s="157">
        <f>(1+GrowthOther)^(MAX(0,71-GrowthStartMonth)/12)</f>
        <v/>
      </c>
      <c r="BX10" s="157">
        <f>(1+GrowthOther)^(MAX(0,72-GrowthStartMonth)/12)</f>
        <v/>
      </c>
      <c r="BY10" s="157">
        <f>(1+GrowthOther)^(MAX(0,73-GrowthStartMonth)/12)</f>
        <v/>
      </c>
      <c r="BZ10" s="157">
        <f>(1+GrowthOther)^(MAX(0,74-GrowthStartMonth)/12)</f>
        <v/>
      </c>
      <c r="CA10" s="157">
        <f>(1+GrowthOther)^(MAX(0,75-GrowthStartMonth)/12)</f>
        <v/>
      </c>
      <c r="CB10" s="157">
        <f>(1+GrowthOther)^(MAX(0,76-GrowthStartMonth)/12)</f>
        <v/>
      </c>
      <c r="CC10" s="157">
        <f>(1+GrowthOther)^(MAX(0,77-GrowthStartMonth)/12)</f>
        <v/>
      </c>
      <c r="CD10" s="157">
        <f>(1+GrowthOther)^(MAX(0,78-GrowthStartMonth)/12)</f>
        <v/>
      </c>
      <c r="CE10" s="157">
        <f>(1+GrowthOther)^(MAX(0,79-GrowthStartMonth)/12)</f>
        <v/>
      </c>
      <c r="CF10" s="157">
        <f>(1+GrowthOther)^(MAX(0,80-GrowthStartMonth)/12)</f>
        <v/>
      </c>
      <c r="CG10" s="157">
        <f>(1+GrowthOther)^(MAX(0,81-GrowthStartMonth)/12)</f>
        <v/>
      </c>
      <c r="CH10" s="157">
        <f>(1+GrowthOther)^(MAX(0,82-GrowthStartMonth)/12)</f>
        <v/>
      </c>
      <c r="CI10" s="157">
        <f>(1+GrowthOther)^(MAX(0,83-GrowthStartMonth)/12)</f>
        <v/>
      </c>
      <c r="CJ10" s="157">
        <f>(1+GrowthOther)^(MAX(0,84-GrowthStartMonth)/12)</f>
        <v/>
      </c>
      <c r="CK10" s="157">
        <f>(1+GrowthOther)^(MAX(0,85-GrowthStartMonth)/12)</f>
        <v/>
      </c>
      <c r="CL10" s="157">
        <f>(1+GrowthOther)^(MAX(0,86-GrowthStartMonth)/12)</f>
        <v/>
      </c>
      <c r="CM10" s="157">
        <f>(1+GrowthOther)^(MAX(0,87-GrowthStartMonth)/12)</f>
        <v/>
      </c>
      <c r="CN10" s="157">
        <f>(1+GrowthOther)^(MAX(0,88-GrowthStartMonth)/12)</f>
        <v/>
      </c>
      <c r="CO10" s="157">
        <f>(1+GrowthOther)^(MAX(0,89-GrowthStartMonth)/12)</f>
        <v/>
      </c>
      <c r="CP10" s="157">
        <f>(1+GrowthOther)^(MAX(0,90-GrowthStartMonth)/12)</f>
        <v/>
      </c>
      <c r="CQ10" s="157">
        <f>(1+GrowthOther)^(MAX(0,91-GrowthStartMonth)/12)</f>
        <v/>
      </c>
      <c r="CR10" s="157">
        <f>(1+GrowthOther)^(MAX(0,92-GrowthStartMonth)/12)</f>
        <v/>
      </c>
      <c r="CS10" s="157">
        <f>(1+GrowthOther)^(MAX(0,93-GrowthStartMonth)/12)</f>
        <v/>
      </c>
      <c r="CT10" s="157">
        <f>(1+GrowthOther)^(MAX(0,94-GrowthStartMonth)/12)</f>
        <v/>
      </c>
      <c r="CU10" s="157">
        <f>(1+GrowthOther)^(MAX(0,95-GrowthStartMonth)/12)</f>
        <v/>
      </c>
      <c r="CV10" s="157">
        <f>(1+GrowthOther)^(MAX(0,96-GrowthStartMonth)/12)</f>
        <v/>
      </c>
      <c r="CW10" s="157">
        <f>(1+GrowthOther)^(MAX(0,97-GrowthStartMonth)/12)</f>
        <v/>
      </c>
      <c r="CX10" s="157">
        <f>(1+GrowthOther)^(MAX(0,98-GrowthStartMonth)/12)</f>
        <v/>
      </c>
      <c r="CY10" s="157">
        <f>(1+GrowthOther)^(MAX(0,99-GrowthStartMonth)/12)</f>
        <v/>
      </c>
      <c r="CZ10" s="157">
        <f>(1+GrowthOther)^(MAX(0,100-GrowthStartMonth)/12)</f>
        <v/>
      </c>
      <c r="DA10" s="157">
        <f>(1+GrowthOther)^(MAX(0,101-GrowthStartMonth)/12)</f>
        <v/>
      </c>
      <c r="DB10" s="157">
        <f>(1+GrowthOther)^(MAX(0,102-GrowthStartMonth)/12)</f>
        <v/>
      </c>
      <c r="DC10" s="157">
        <f>(1+GrowthOther)^(MAX(0,103-GrowthStartMonth)/12)</f>
        <v/>
      </c>
      <c r="DD10" s="157">
        <f>(1+GrowthOther)^(MAX(0,104-GrowthStartMonth)/12)</f>
        <v/>
      </c>
      <c r="DE10" s="157">
        <f>(1+GrowthOther)^(MAX(0,105-GrowthStartMonth)/12)</f>
        <v/>
      </c>
      <c r="DF10" s="157">
        <f>(1+GrowthOther)^(MAX(0,106-GrowthStartMonth)/12)</f>
        <v/>
      </c>
      <c r="DG10" s="157">
        <f>(1+GrowthOther)^(MAX(0,107-GrowthStartMonth)/12)</f>
        <v/>
      </c>
      <c r="DH10" s="157">
        <f>(1+GrowthOther)^(MAX(0,108-GrowthStartMonth)/12)</f>
        <v/>
      </c>
      <c r="DI10" s="157">
        <f>(1+GrowthOther)^(MAX(0,109-GrowthStartMonth)/12)</f>
        <v/>
      </c>
      <c r="DJ10" s="157">
        <f>(1+GrowthOther)^(MAX(0,110-GrowthStartMonth)/12)</f>
        <v/>
      </c>
      <c r="DK10" s="157">
        <f>(1+GrowthOther)^(MAX(0,111-GrowthStartMonth)/12)</f>
        <v/>
      </c>
      <c r="DL10" s="157">
        <f>(1+GrowthOther)^(MAX(0,112-GrowthStartMonth)/12)</f>
        <v/>
      </c>
      <c r="DM10" s="157">
        <f>(1+GrowthOther)^(MAX(0,113-GrowthStartMonth)/12)</f>
        <v/>
      </c>
      <c r="DN10" s="157">
        <f>(1+GrowthOther)^(MAX(0,114-GrowthStartMonth)/12)</f>
        <v/>
      </c>
      <c r="DO10" s="157">
        <f>(1+GrowthOther)^(MAX(0,115-GrowthStartMonth)/12)</f>
        <v/>
      </c>
      <c r="DP10" s="157">
        <f>(1+GrowthOther)^(MAX(0,116-GrowthStartMonth)/12)</f>
        <v/>
      </c>
      <c r="DQ10" s="157">
        <f>(1+GrowthOther)^(MAX(0,117-GrowthStartMonth)/12)</f>
        <v/>
      </c>
      <c r="DR10" s="157">
        <f>(1+GrowthOther)^(MAX(0,118-GrowthStartMonth)/12)</f>
        <v/>
      </c>
      <c r="DS10" s="157">
        <f>(1+GrowthOther)^(MAX(0,119-GrowthStartMonth)/12)</f>
        <v/>
      </c>
      <c r="DT10" s="157">
        <f>(1+GrowthOther)^(MAX(0,120-GrowthStartMonth)/12)</f>
        <v/>
      </c>
      <c r="DU10" s="157">
        <f>(1+GrowthOther)^(MAX(0,121-GrowthStartMonth)/12)</f>
        <v/>
      </c>
      <c r="DV10" s="157">
        <f>(1+GrowthOther)^(MAX(0,122-GrowthStartMonth)/12)</f>
        <v/>
      </c>
      <c r="DW10" s="157">
        <f>(1+GrowthOther)^(MAX(0,123-GrowthStartMonth)/12)</f>
        <v/>
      </c>
      <c r="DX10" s="157">
        <f>(1+GrowthOther)^(MAX(0,124-GrowthStartMonth)/12)</f>
        <v/>
      </c>
      <c r="DY10" s="157">
        <f>(1+GrowthOther)^(MAX(0,125-GrowthStartMonth)/12)</f>
        <v/>
      </c>
      <c r="DZ10" s="157">
        <f>(1+GrowthOther)^(MAX(0,126-GrowthStartMonth)/12)</f>
        <v/>
      </c>
      <c r="EA10" s="157">
        <f>(1+GrowthOther)^(MAX(0,127-GrowthStartMonth)/12)</f>
        <v/>
      </c>
      <c r="EB10" s="157">
        <f>(1+GrowthOther)^(MAX(0,128-GrowthStartMonth)/12)</f>
        <v/>
      </c>
      <c r="EC10" s="157">
        <f>(1+GrowthOther)^(MAX(0,129-GrowthStartMonth)/12)</f>
        <v/>
      </c>
      <c r="ED10" s="157">
        <f>(1+GrowthOther)^(MAX(0,130-GrowthStartMonth)/12)</f>
        <v/>
      </c>
      <c r="EE10" s="157">
        <f>(1+GrowthOther)^(MAX(0,131-GrowthStartMonth)/12)</f>
        <v/>
      </c>
      <c r="EF10" s="157">
        <f>(1+GrowthOther)^(MAX(0,132-GrowthStartMonth)/12)</f>
        <v/>
      </c>
      <c r="EG10" s="157">
        <f>(1+GrowthOther)^(MAX(0,133-GrowthStartMonth)/12)</f>
        <v/>
      </c>
      <c r="EH10" s="157">
        <f>(1+GrowthOther)^(MAX(0,134-GrowthStartMonth)/12)</f>
        <v/>
      </c>
      <c r="EI10" s="157">
        <f>(1+GrowthOther)^(MAX(0,135-GrowthStartMonth)/12)</f>
        <v/>
      </c>
      <c r="EJ10" s="157">
        <f>(1+GrowthOther)^(MAX(0,136-GrowthStartMonth)/12)</f>
        <v/>
      </c>
      <c r="EK10" s="157">
        <f>(1+GrowthOther)^(MAX(0,137-GrowthStartMonth)/12)</f>
        <v/>
      </c>
      <c r="EL10" s="157">
        <f>(1+GrowthOther)^(MAX(0,138-GrowthStartMonth)/12)</f>
        <v/>
      </c>
      <c r="EM10" s="157">
        <f>(1+GrowthOther)^(MAX(0,139-GrowthStartMonth)/12)</f>
        <v/>
      </c>
      <c r="EN10" s="157">
        <f>(1+GrowthOther)^(MAX(0,140-GrowthStartMonth)/12)</f>
        <v/>
      </c>
      <c r="EO10" s="157">
        <f>(1+GrowthOther)^(MAX(0,141-GrowthStartMonth)/12)</f>
        <v/>
      </c>
      <c r="EP10" s="157">
        <f>(1+GrowthOther)^(MAX(0,142-GrowthStartMonth)/12)</f>
        <v/>
      </c>
      <c r="EQ10" s="157">
        <f>(1+GrowthOther)^(MAX(0,143-GrowthStartMonth)/12)</f>
        <v/>
      </c>
      <c r="ER10" s="157">
        <f>(1+GrowthOther)^(MAX(0,144-GrowthStartMonth)/12)</f>
        <v/>
      </c>
      <c r="ES10" s="157">
        <f>(1+GrowthOther)^(MAX(0,145-GrowthStartMonth)/12)</f>
        <v/>
      </c>
      <c r="ET10" s="157">
        <f>(1+GrowthOther)^(MAX(0,146-GrowthStartMonth)/12)</f>
        <v/>
      </c>
      <c r="EU10" s="157">
        <f>(1+GrowthOther)^(MAX(0,147-GrowthStartMonth)/12)</f>
        <v/>
      </c>
      <c r="EV10" s="157">
        <f>(1+GrowthOther)^(MAX(0,148-GrowthStartMonth)/12)</f>
        <v/>
      </c>
      <c r="EW10" s="157">
        <f>(1+GrowthOther)^(MAX(0,149-GrowthStartMonth)/12)</f>
        <v/>
      </c>
      <c r="EX10" s="157">
        <f>(1+GrowthOther)^(MAX(0,150-GrowthStartMonth)/12)</f>
        <v/>
      </c>
      <c r="EY10" s="157">
        <f>(1+GrowthOther)^(MAX(0,151-GrowthStartMonth)/12)</f>
        <v/>
      </c>
      <c r="EZ10" s="157">
        <f>(1+GrowthOther)^(MAX(0,152-GrowthStartMonth)/12)</f>
        <v/>
      </c>
      <c r="FA10" s="157">
        <f>(1+GrowthOther)^(MAX(0,153-GrowthStartMonth)/12)</f>
        <v/>
      </c>
      <c r="FB10" s="157">
        <f>(1+GrowthOther)^(MAX(0,154-GrowthStartMonth)/12)</f>
        <v/>
      </c>
      <c r="FC10" s="157">
        <f>(1+GrowthOther)^(MAX(0,155-GrowthStartMonth)/12)</f>
        <v/>
      </c>
      <c r="FD10" s="157">
        <f>(1+GrowthOther)^(MAX(0,156-GrowthStartMonth)/12)</f>
        <v/>
      </c>
      <c r="FE10" s="157">
        <f>(1+GrowthOther)^(MAX(0,157-GrowthStartMonth)/12)</f>
        <v/>
      </c>
      <c r="FF10" s="157">
        <f>(1+GrowthOther)^(MAX(0,158-GrowthStartMonth)/12)</f>
        <v/>
      </c>
      <c r="FG10" s="157">
        <f>(1+GrowthOther)^(MAX(0,159-GrowthStartMonth)/12)</f>
        <v/>
      </c>
      <c r="FH10" s="157">
        <f>(1+GrowthOther)^(MAX(0,160-GrowthStartMonth)/12)</f>
        <v/>
      </c>
      <c r="FI10" s="157">
        <f>(1+GrowthOther)^(MAX(0,161-GrowthStartMonth)/12)</f>
        <v/>
      </c>
      <c r="FJ10" s="157">
        <f>(1+GrowthOther)^(MAX(0,162-GrowthStartMonth)/12)</f>
        <v/>
      </c>
      <c r="FK10" s="157">
        <f>(1+GrowthOther)^(MAX(0,163-GrowthStartMonth)/12)</f>
        <v/>
      </c>
      <c r="FL10" s="157">
        <f>(1+GrowthOther)^(MAX(0,164-GrowthStartMonth)/12)</f>
        <v/>
      </c>
      <c r="FM10" s="157">
        <f>(1+GrowthOther)^(MAX(0,165-GrowthStartMonth)/12)</f>
        <v/>
      </c>
      <c r="FN10" s="157">
        <f>(1+GrowthOther)^(MAX(0,166-GrowthStartMonth)/12)</f>
        <v/>
      </c>
      <c r="FO10" s="157">
        <f>(1+GrowthOther)^(MAX(0,167-GrowthStartMonth)/12)</f>
        <v/>
      </c>
      <c r="FP10" s="157">
        <f>(1+GrowthOther)^(MAX(0,168-GrowthStartMonth)/12)</f>
        <v/>
      </c>
      <c r="FQ10" s="157">
        <f>(1+GrowthOther)^(MAX(0,169-GrowthStartMonth)/12)</f>
        <v/>
      </c>
      <c r="FR10" s="157">
        <f>(1+GrowthOther)^(MAX(0,170-GrowthStartMonth)/12)</f>
        <v/>
      </c>
      <c r="FS10" s="157">
        <f>(1+GrowthOther)^(MAX(0,171-GrowthStartMonth)/12)</f>
        <v/>
      </c>
      <c r="FT10" s="157">
        <f>(1+GrowthOther)^(MAX(0,172-GrowthStartMonth)/12)</f>
        <v/>
      </c>
      <c r="FU10" s="157">
        <f>(1+GrowthOther)^(MAX(0,173-GrowthStartMonth)/12)</f>
        <v/>
      </c>
      <c r="FV10" s="157">
        <f>(1+GrowthOther)^(MAX(0,174-GrowthStartMonth)/12)</f>
        <v/>
      </c>
      <c r="FW10" s="157">
        <f>(1+GrowthOther)^(MAX(0,175-GrowthStartMonth)/12)</f>
        <v/>
      </c>
      <c r="FX10" s="157">
        <f>(1+GrowthOther)^(MAX(0,176-GrowthStartMonth)/12)</f>
        <v/>
      </c>
      <c r="FY10" s="157">
        <f>(1+GrowthOther)^(MAX(0,177-GrowthStartMonth)/12)</f>
        <v/>
      </c>
      <c r="FZ10" s="157">
        <f>(1+GrowthOther)^(MAX(0,178-GrowthStartMonth)/12)</f>
        <v/>
      </c>
      <c r="GA10" s="157">
        <f>(1+GrowthOther)^(MAX(0,179-GrowthStartMonth)/12)</f>
        <v/>
      </c>
      <c r="GB10" s="157">
        <f>(1+GrowthOther)^(MAX(0,180-GrowthStartMonth)/12)</f>
        <v/>
      </c>
      <c r="GC10" s="157">
        <f>(1+GrowthOther)^(MAX(0,181-GrowthStartMonth)/12)</f>
        <v/>
      </c>
      <c r="GD10" s="157">
        <f>(1+GrowthOther)^(MAX(0,182-GrowthStartMonth)/12)</f>
        <v/>
      </c>
      <c r="GE10" s="157">
        <f>(1+GrowthOther)^(MAX(0,183-GrowthStartMonth)/12)</f>
        <v/>
      </c>
      <c r="GF10" s="157">
        <f>(1+GrowthOther)^(MAX(0,184-GrowthStartMonth)/12)</f>
        <v/>
      </c>
      <c r="GG10" s="157">
        <f>(1+GrowthOther)^(MAX(0,185-GrowthStartMonth)/12)</f>
        <v/>
      </c>
      <c r="GH10" s="157">
        <f>(1+GrowthOther)^(MAX(0,186-GrowthStartMonth)/12)</f>
        <v/>
      </c>
      <c r="GI10" s="157">
        <f>(1+GrowthOther)^(MAX(0,187-GrowthStartMonth)/12)</f>
        <v/>
      </c>
      <c r="GJ10" s="157">
        <f>(1+GrowthOther)^(MAX(0,188-GrowthStartMonth)/12)</f>
        <v/>
      </c>
      <c r="GK10" s="157">
        <f>(1+GrowthOther)^(MAX(0,189-GrowthStartMonth)/12)</f>
        <v/>
      </c>
      <c r="GL10" s="157">
        <f>(1+GrowthOther)^(MAX(0,190-GrowthStartMonth)/12)</f>
        <v/>
      </c>
      <c r="GM10" s="157">
        <f>(1+GrowthOther)^(MAX(0,191-GrowthStartMonth)/12)</f>
        <v/>
      </c>
      <c r="GN10" s="157">
        <f>(1+GrowthOther)^(MAX(0,192-GrowthStartMonth)/12)</f>
        <v/>
      </c>
      <c r="GO10" s="157">
        <f>(1+GrowthOther)^(MAX(0,193-GrowthStartMonth)/12)</f>
        <v/>
      </c>
      <c r="GP10" s="157">
        <f>(1+GrowthOther)^(MAX(0,194-GrowthStartMonth)/12)</f>
        <v/>
      </c>
      <c r="GQ10" s="157">
        <f>(1+GrowthOther)^(MAX(0,195-GrowthStartMonth)/12)</f>
        <v/>
      </c>
      <c r="GR10" s="157">
        <f>(1+GrowthOther)^(MAX(0,196-GrowthStartMonth)/12)</f>
        <v/>
      </c>
      <c r="GS10" s="157">
        <f>(1+GrowthOther)^(MAX(0,197-GrowthStartMonth)/12)</f>
        <v/>
      </c>
      <c r="GT10" s="157">
        <f>(1+GrowthOther)^(MAX(0,198-GrowthStartMonth)/12)</f>
        <v/>
      </c>
      <c r="GU10" s="157">
        <f>(1+GrowthOther)^(MAX(0,199-GrowthStartMonth)/12)</f>
        <v/>
      </c>
      <c r="GV10" s="157">
        <f>(1+GrowthOther)^(MAX(0,200-GrowthStartMonth)/12)</f>
        <v/>
      </c>
      <c r="GW10" s="157">
        <f>(1+GrowthOther)^(MAX(0,201-GrowthStartMonth)/12)</f>
        <v/>
      </c>
      <c r="GX10" s="157">
        <f>(1+GrowthOther)^(MAX(0,202-GrowthStartMonth)/12)</f>
        <v/>
      </c>
      <c r="GY10" s="157">
        <f>(1+GrowthOther)^(MAX(0,203-GrowthStartMonth)/12)</f>
        <v/>
      </c>
      <c r="GZ10" s="157">
        <f>(1+GrowthOther)^(MAX(0,204-GrowthStartMonth)/12)</f>
        <v/>
      </c>
      <c r="HA10" s="157">
        <f>(1+GrowthOther)^(MAX(0,205-GrowthStartMonth)/12)</f>
        <v/>
      </c>
      <c r="HB10" s="157">
        <f>(1+GrowthOther)^(MAX(0,206-GrowthStartMonth)/12)</f>
        <v/>
      </c>
      <c r="HC10" s="157">
        <f>(1+GrowthOther)^(MAX(0,207-GrowthStartMonth)/12)</f>
        <v/>
      </c>
      <c r="HD10" s="157">
        <f>(1+GrowthOther)^(MAX(0,208-GrowthStartMonth)/12)</f>
        <v/>
      </c>
      <c r="HE10" s="157">
        <f>(1+GrowthOther)^(MAX(0,209-GrowthStartMonth)/12)</f>
        <v/>
      </c>
      <c r="HF10" s="157">
        <f>(1+GrowthOther)^(MAX(0,210-GrowthStartMonth)/12)</f>
        <v/>
      </c>
      <c r="HG10" s="157">
        <f>(1+GrowthOther)^(MAX(0,211-GrowthStartMonth)/12)</f>
        <v/>
      </c>
      <c r="HH10" s="157">
        <f>(1+GrowthOther)^(MAX(0,212-GrowthStartMonth)/12)</f>
        <v/>
      </c>
      <c r="HI10" s="157">
        <f>(1+GrowthOther)^(MAX(0,213-GrowthStartMonth)/12)</f>
        <v/>
      </c>
      <c r="HJ10" s="157">
        <f>(1+GrowthOther)^(MAX(0,214-GrowthStartMonth)/12)</f>
        <v/>
      </c>
      <c r="HK10" s="157">
        <f>(1+GrowthOther)^(MAX(0,215-GrowthStartMonth)/12)</f>
        <v/>
      </c>
      <c r="HL10" s="157">
        <f>(1+GrowthOther)^(MAX(0,216-GrowthStartMonth)/12)</f>
        <v/>
      </c>
      <c r="HM10" s="157">
        <f>(1+GrowthOther)^(MAX(0,217-GrowthStartMonth)/12)</f>
        <v/>
      </c>
      <c r="HN10" s="157">
        <f>(1+GrowthOther)^(MAX(0,218-GrowthStartMonth)/12)</f>
        <v/>
      </c>
      <c r="HO10" s="157">
        <f>(1+GrowthOther)^(MAX(0,219-GrowthStartMonth)/12)</f>
        <v/>
      </c>
      <c r="HP10" s="157">
        <f>(1+GrowthOther)^(MAX(0,220-GrowthStartMonth)/12)</f>
        <v/>
      </c>
      <c r="HQ10" s="157">
        <f>(1+GrowthOther)^(MAX(0,221-GrowthStartMonth)/12)</f>
        <v/>
      </c>
      <c r="HR10" s="157">
        <f>(1+GrowthOther)^(MAX(0,222-GrowthStartMonth)/12)</f>
        <v/>
      </c>
      <c r="HS10" s="157">
        <f>(1+GrowthOther)^(MAX(0,223-GrowthStartMonth)/12)</f>
        <v/>
      </c>
      <c r="HT10" s="157">
        <f>(1+GrowthOther)^(MAX(0,224-GrowthStartMonth)/12)</f>
        <v/>
      </c>
      <c r="HU10" s="157">
        <f>(1+GrowthOther)^(MAX(0,225-GrowthStartMonth)/12)</f>
        <v/>
      </c>
      <c r="HV10" s="157">
        <f>(1+GrowthOther)^(MAX(0,226-GrowthStartMonth)/12)</f>
        <v/>
      </c>
      <c r="HW10" s="157">
        <f>(1+GrowthOther)^(MAX(0,227-GrowthStartMonth)/12)</f>
        <v/>
      </c>
      <c r="HX10" s="157">
        <f>(1+GrowthOther)^(MAX(0,228-GrowthStartMonth)/12)</f>
        <v/>
      </c>
      <c r="HY10" s="157">
        <f>(1+GrowthOther)^(MAX(0,229-GrowthStartMonth)/12)</f>
        <v/>
      </c>
      <c r="HZ10" s="157">
        <f>(1+GrowthOther)^(MAX(0,230-GrowthStartMonth)/12)</f>
        <v/>
      </c>
      <c r="IA10" s="157">
        <f>(1+GrowthOther)^(MAX(0,231-GrowthStartMonth)/12)</f>
        <v/>
      </c>
      <c r="IB10" s="157">
        <f>(1+GrowthOther)^(MAX(0,232-GrowthStartMonth)/12)</f>
        <v/>
      </c>
      <c r="IC10" s="157">
        <f>(1+GrowthOther)^(MAX(0,233-GrowthStartMonth)/12)</f>
        <v/>
      </c>
      <c r="ID10" s="157">
        <f>(1+GrowthOther)^(MAX(0,234-GrowthStartMonth)/12)</f>
        <v/>
      </c>
      <c r="IE10" s="157">
        <f>(1+GrowthOther)^(MAX(0,235-GrowthStartMonth)/12)</f>
        <v/>
      </c>
      <c r="IF10" s="157">
        <f>(1+GrowthOther)^(MAX(0,236-GrowthStartMonth)/12)</f>
        <v/>
      </c>
      <c r="IG10" s="157">
        <f>(1+GrowthOther)^(MAX(0,237-GrowthStartMonth)/12)</f>
        <v/>
      </c>
      <c r="IH10" s="157">
        <f>(1+GrowthOther)^(MAX(0,238-GrowthStartMonth)/12)</f>
        <v/>
      </c>
      <c r="II10" s="157">
        <f>(1+GrowthOther)^(MAX(0,239-GrowthStartMonth)/12)</f>
        <v/>
      </c>
      <c r="IJ10" s="157">
        <f>(1+GrowthOther)^(MAX(0,240-GrowthStartMonth)/12)</f>
        <v/>
      </c>
      <c r="IK10" s="157">
        <f>(1+GrowthOther)^(MAX(0,241-GrowthStartMonth)/12)</f>
        <v/>
      </c>
      <c r="IL10" s="157">
        <f>(1+GrowthOther)^(MAX(0,242-GrowthStartMonth)/12)</f>
        <v/>
      </c>
      <c r="IM10" s="157">
        <f>(1+GrowthOther)^(MAX(0,243-GrowthStartMonth)/12)</f>
        <v/>
      </c>
      <c r="IN10" s="157">
        <f>(1+GrowthOther)^(MAX(0,244-GrowthStartMonth)/12)</f>
        <v/>
      </c>
      <c r="IO10" s="157">
        <f>(1+GrowthOther)^(MAX(0,245-GrowthStartMonth)/12)</f>
        <v/>
      </c>
      <c r="IP10" s="157">
        <f>(1+GrowthOther)^(MAX(0,246-GrowthStartMonth)/12)</f>
        <v/>
      </c>
      <c r="IQ10" s="157">
        <f>(1+GrowthOther)^(MAX(0,247-GrowthStartMonth)/12)</f>
        <v/>
      </c>
      <c r="IR10" s="157">
        <f>(1+GrowthOther)^(MAX(0,248-GrowthStartMonth)/12)</f>
        <v/>
      </c>
      <c r="IS10" s="157">
        <f>(1+GrowthOther)^(MAX(0,249-GrowthStartMonth)/12)</f>
        <v/>
      </c>
      <c r="IT10" s="157">
        <f>(1+GrowthOther)^(MAX(0,250-GrowthStartMonth)/12)</f>
        <v/>
      </c>
      <c r="IU10" s="157">
        <f>(1+GrowthOther)^(MAX(0,251-GrowthStartMonth)/12)</f>
        <v/>
      </c>
      <c r="IV10" s="157">
        <f>(1+GrowthOther)^(MAX(0,252-GrowthStartMonth)/12)</f>
        <v/>
      </c>
      <c r="IW10" s="157">
        <f>(1+GrowthOther)^(MAX(0,253-GrowthStartMonth)/12)</f>
        <v/>
      </c>
      <c r="IX10" s="157">
        <f>(1+GrowthOther)^(MAX(0,254-GrowthStartMonth)/12)</f>
        <v/>
      </c>
      <c r="IY10" s="157">
        <f>(1+GrowthOther)^(MAX(0,255-GrowthStartMonth)/12)</f>
        <v/>
      </c>
      <c r="IZ10" s="157">
        <f>(1+GrowthOther)^(MAX(0,256-GrowthStartMonth)/12)</f>
        <v/>
      </c>
      <c r="JA10" s="157">
        <f>(1+GrowthOther)^(MAX(0,257-GrowthStartMonth)/12)</f>
        <v/>
      </c>
      <c r="JB10" s="157">
        <f>(1+GrowthOther)^(MAX(0,258-GrowthStartMonth)/12)</f>
        <v/>
      </c>
      <c r="JC10" s="157">
        <f>(1+GrowthOther)^(MAX(0,259-GrowthStartMonth)/12)</f>
        <v/>
      </c>
      <c r="JD10" s="157">
        <f>(1+GrowthOther)^(MAX(0,260-GrowthStartMonth)/12)</f>
        <v/>
      </c>
      <c r="JE10" s="157">
        <f>(1+GrowthOther)^(MAX(0,261-GrowthStartMonth)/12)</f>
        <v/>
      </c>
      <c r="JF10" s="157">
        <f>(1+GrowthOther)^(MAX(0,262-GrowthStartMonth)/12)</f>
        <v/>
      </c>
      <c r="JG10" s="157">
        <f>(1+GrowthOther)^(MAX(0,263-GrowthStartMonth)/12)</f>
        <v/>
      </c>
      <c r="JH10" s="157">
        <f>(1+GrowthOther)^(MAX(0,264-GrowthStartMonth)/12)</f>
        <v/>
      </c>
      <c r="JI10" s="157">
        <f>(1+GrowthOther)^(MAX(0,265-GrowthStartMonth)/12)</f>
        <v/>
      </c>
      <c r="JJ10" s="157">
        <f>(1+GrowthOther)^(MAX(0,266-GrowthStartMonth)/12)</f>
        <v/>
      </c>
      <c r="JK10" s="157">
        <f>(1+GrowthOther)^(MAX(0,267-GrowthStartMonth)/12)</f>
        <v/>
      </c>
      <c r="JL10" s="157">
        <f>(1+GrowthOther)^(MAX(0,268-GrowthStartMonth)/12)</f>
        <v/>
      </c>
      <c r="JM10" s="157">
        <f>(1+GrowthOther)^(MAX(0,269-GrowthStartMonth)/12)</f>
        <v/>
      </c>
      <c r="JN10" s="157">
        <f>(1+GrowthOther)^(MAX(0,270-GrowthStartMonth)/12)</f>
        <v/>
      </c>
      <c r="JO10" s="157">
        <f>(1+GrowthOther)^(MAX(0,271-GrowthStartMonth)/12)</f>
        <v/>
      </c>
      <c r="JP10" s="157">
        <f>(1+GrowthOther)^(MAX(0,272-GrowthStartMonth)/12)</f>
        <v/>
      </c>
      <c r="JQ10" s="157">
        <f>(1+GrowthOther)^(MAX(0,273-GrowthStartMonth)/12)</f>
        <v/>
      </c>
      <c r="JR10" s="157">
        <f>(1+GrowthOther)^(MAX(0,274-GrowthStartMonth)/12)</f>
        <v/>
      </c>
      <c r="JS10" s="157">
        <f>(1+GrowthOther)^(MAX(0,275-GrowthStartMonth)/12)</f>
        <v/>
      </c>
      <c r="JT10" s="157">
        <f>(1+GrowthOther)^(MAX(0,276-GrowthStartMonth)/12)</f>
        <v/>
      </c>
      <c r="JU10" s="157">
        <f>(1+GrowthOther)^(MAX(0,277-GrowthStartMonth)/12)</f>
        <v/>
      </c>
      <c r="JV10" s="157">
        <f>(1+GrowthOther)^(MAX(0,278-GrowthStartMonth)/12)</f>
        <v/>
      </c>
      <c r="JW10" s="157">
        <f>(1+GrowthOther)^(MAX(0,279-GrowthStartMonth)/12)</f>
        <v/>
      </c>
      <c r="JX10" s="157">
        <f>(1+GrowthOther)^(MAX(0,280-GrowthStartMonth)/12)</f>
        <v/>
      </c>
      <c r="JY10" s="157">
        <f>(1+GrowthOther)^(MAX(0,281-GrowthStartMonth)/12)</f>
        <v/>
      </c>
      <c r="JZ10" s="157">
        <f>(1+GrowthOther)^(MAX(0,282-GrowthStartMonth)/12)</f>
        <v/>
      </c>
      <c r="KA10" s="157">
        <f>(1+GrowthOther)^(MAX(0,283-GrowthStartMonth)/12)</f>
        <v/>
      </c>
      <c r="KB10" s="157">
        <f>(1+GrowthOther)^(MAX(0,284-GrowthStartMonth)/12)</f>
        <v/>
      </c>
      <c r="KC10" s="157">
        <f>(1+GrowthOther)^(MAX(0,285-GrowthStartMonth)/12)</f>
        <v/>
      </c>
      <c r="KD10" s="157">
        <f>(1+GrowthOther)^(MAX(0,286-GrowthStartMonth)/12)</f>
        <v/>
      </c>
      <c r="KE10" s="157">
        <f>(1+GrowthOther)^(MAX(0,287-GrowthStartMonth)/12)</f>
        <v/>
      </c>
      <c r="KF10" s="157">
        <f>(1+GrowthOther)^(MAX(0,288-GrowthStartMonth)/12)</f>
        <v/>
      </c>
      <c r="KG10" s="157">
        <f>(1+GrowthOther)^(MAX(0,289-GrowthStartMonth)/12)</f>
        <v/>
      </c>
      <c r="KH10" s="157">
        <f>(1+GrowthOther)^(MAX(0,290-GrowthStartMonth)/12)</f>
        <v/>
      </c>
      <c r="KI10" s="157">
        <f>(1+GrowthOther)^(MAX(0,291-GrowthStartMonth)/12)</f>
        <v/>
      </c>
      <c r="KJ10" s="157">
        <f>(1+GrowthOther)^(MAX(0,292-GrowthStartMonth)/12)</f>
        <v/>
      </c>
      <c r="KK10" s="157">
        <f>(1+GrowthOther)^(MAX(0,293-GrowthStartMonth)/12)</f>
        <v/>
      </c>
      <c r="KL10" s="157">
        <f>(1+GrowthOther)^(MAX(0,294-GrowthStartMonth)/12)</f>
        <v/>
      </c>
      <c r="KM10" s="157">
        <f>(1+GrowthOther)^(MAX(0,295-GrowthStartMonth)/12)</f>
        <v/>
      </c>
      <c r="KN10" s="157">
        <f>(1+GrowthOther)^(MAX(0,296-GrowthStartMonth)/12)</f>
        <v/>
      </c>
      <c r="KO10" s="157">
        <f>(1+GrowthOther)^(MAX(0,297-GrowthStartMonth)/12)</f>
        <v/>
      </c>
      <c r="KP10" s="157">
        <f>(1+GrowthOther)^(MAX(0,298-GrowthStartMonth)/12)</f>
        <v/>
      </c>
      <c r="KQ10" s="157">
        <f>(1+GrowthOther)^(MAX(0,299-GrowthStartMonth)/12)</f>
        <v/>
      </c>
      <c r="KR10" s="157">
        <f>(1+GrowthOther)^(MAX(0,300-GrowthStartMonth)/12)</f>
        <v/>
      </c>
      <c r="KS10" s="157">
        <f>(1+GrowthOther)^(MAX(0,301-GrowthStartMonth)/12)</f>
        <v/>
      </c>
      <c r="KT10" s="157">
        <f>(1+GrowthOther)^(MAX(0,302-GrowthStartMonth)/12)</f>
        <v/>
      </c>
      <c r="KU10" s="157">
        <f>(1+GrowthOther)^(MAX(0,303-GrowthStartMonth)/12)</f>
        <v/>
      </c>
      <c r="KV10" s="157">
        <f>(1+GrowthOther)^(MAX(0,304-GrowthStartMonth)/12)</f>
        <v/>
      </c>
      <c r="KW10" s="157">
        <f>(1+GrowthOther)^(MAX(0,305-GrowthStartMonth)/12)</f>
        <v/>
      </c>
      <c r="KX10" s="157">
        <f>(1+GrowthOther)^(MAX(0,306-GrowthStartMonth)/12)</f>
        <v/>
      </c>
      <c r="KY10" s="157">
        <f>(1+GrowthOther)^(MAX(0,307-GrowthStartMonth)/12)</f>
        <v/>
      </c>
      <c r="KZ10" s="157">
        <f>(1+GrowthOther)^(MAX(0,308-GrowthStartMonth)/12)</f>
        <v/>
      </c>
      <c r="LA10" s="157">
        <f>(1+GrowthOther)^(MAX(0,309-GrowthStartMonth)/12)</f>
        <v/>
      </c>
      <c r="LB10" s="157">
        <f>(1+GrowthOther)^(MAX(0,310-GrowthStartMonth)/12)</f>
        <v/>
      </c>
      <c r="LC10" s="157">
        <f>(1+GrowthOther)^(MAX(0,311-GrowthStartMonth)/12)</f>
        <v/>
      </c>
      <c r="LD10" s="157">
        <f>(1+GrowthOther)^(MAX(0,312-GrowthStartMonth)/12)</f>
        <v/>
      </c>
      <c r="LE10" s="157">
        <f>(1+GrowthOther)^(MAX(0,313-GrowthStartMonth)/12)</f>
        <v/>
      </c>
      <c r="LF10" s="157">
        <f>(1+GrowthOther)^(MAX(0,314-GrowthStartMonth)/12)</f>
        <v/>
      </c>
      <c r="LG10" s="157">
        <f>(1+GrowthOther)^(MAX(0,315-GrowthStartMonth)/12)</f>
        <v/>
      </c>
      <c r="LH10" s="157">
        <f>(1+GrowthOther)^(MAX(0,316-GrowthStartMonth)/12)</f>
        <v/>
      </c>
      <c r="LI10" s="157">
        <f>(1+GrowthOther)^(MAX(0,317-GrowthStartMonth)/12)</f>
        <v/>
      </c>
      <c r="LJ10" s="157">
        <f>(1+GrowthOther)^(MAX(0,318-GrowthStartMonth)/12)</f>
        <v/>
      </c>
      <c r="LK10" s="157">
        <f>(1+GrowthOther)^(MAX(0,319-GrowthStartMonth)/12)</f>
        <v/>
      </c>
      <c r="LL10" s="157">
        <f>(1+GrowthOther)^(MAX(0,320-GrowthStartMonth)/12)</f>
        <v/>
      </c>
      <c r="LM10" s="157">
        <f>(1+GrowthOther)^(MAX(0,321-GrowthStartMonth)/12)</f>
        <v/>
      </c>
      <c r="LN10" s="157">
        <f>(1+GrowthOther)^(MAX(0,322-GrowthStartMonth)/12)</f>
        <v/>
      </c>
      <c r="LO10" s="157">
        <f>(1+GrowthOther)^(MAX(0,323-GrowthStartMonth)/12)</f>
        <v/>
      </c>
      <c r="LP10" s="157">
        <f>(1+GrowthOther)^(MAX(0,324-GrowthStartMonth)/12)</f>
        <v/>
      </c>
      <c r="LQ10" s="157">
        <f>(1+GrowthOther)^(MAX(0,325-GrowthStartMonth)/12)</f>
        <v/>
      </c>
      <c r="LR10" s="157">
        <f>(1+GrowthOther)^(MAX(0,326-GrowthStartMonth)/12)</f>
        <v/>
      </c>
      <c r="LS10" s="157">
        <f>(1+GrowthOther)^(MAX(0,327-GrowthStartMonth)/12)</f>
        <v/>
      </c>
      <c r="LT10" s="157">
        <f>(1+GrowthOther)^(MAX(0,328-GrowthStartMonth)/12)</f>
        <v/>
      </c>
      <c r="LU10" s="157">
        <f>(1+GrowthOther)^(MAX(0,329-GrowthStartMonth)/12)</f>
        <v/>
      </c>
      <c r="LV10" s="157">
        <f>(1+GrowthOther)^(MAX(0,330-GrowthStartMonth)/12)</f>
        <v/>
      </c>
      <c r="LW10" s="157">
        <f>(1+GrowthOther)^(MAX(0,331-GrowthStartMonth)/12)</f>
        <v/>
      </c>
      <c r="LX10" s="157">
        <f>(1+GrowthOther)^(MAX(0,332-GrowthStartMonth)/12)</f>
        <v/>
      </c>
      <c r="LY10" s="157">
        <f>(1+GrowthOther)^(MAX(0,333-GrowthStartMonth)/12)</f>
        <v/>
      </c>
      <c r="LZ10" s="157">
        <f>(1+GrowthOther)^(MAX(0,334-GrowthStartMonth)/12)</f>
        <v/>
      </c>
      <c r="MA10" s="157">
        <f>(1+GrowthOther)^(MAX(0,335-GrowthStartMonth)/12)</f>
        <v/>
      </c>
      <c r="MB10" s="157">
        <f>(1+GrowthOther)^(MAX(0,336-GrowthStartMonth)/12)</f>
        <v/>
      </c>
      <c r="MC10" s="157">
        <f>(1+GrowthOther)^(MAX(0,337-GrowthStartMonth)/12)</f>
        <v/>
      </c>
      <c r="MD10" s="157">
        <f>(1+GrowthOther)^(MAX(0,338-GrowthStartMonth)/12)</f>
        <v/>
      </c>
      <c r="ME10" s="157">
        <f>(1+GrowthOther)^(MAX(0,339-GrowthStartMonth)/12)</f>
        <v/>
      </c>
      <c r="MF10" s="157">
        <f>(1+GrowthOther)^(MAX(0,340-GrowthStartMonth)/12)</f>
        <v/>
      </c>
      <c r="MG10" s="157">
        <f>(1+GrowthOther)^(MAX(0,341-GrowthStartMonth)/12)</f>
        <v/>
      </c>
      <c r="MH10" s="157">
        <f>(1+GrowthOther)^(MAX(0,342-GrowthStartMonth)/12)</f>
        <v/>
      </c>
      <c r="MI10" s="157">
        <f>(1+GrowthOther)^(MAX(0,343-GrowthStartMonth)/12)</f>
        <v/>
      </c>
      <c r="MJ10" s="157">
        <f>(1+GrowthOther)^(MAX(0,344-GrowthStartMonth)/12)</f>
        <v/>
      </c>
      <c r="MK10" s="157">
        <f>(1+GrowthOther)^(MAX(0,345-GrowthStartMonth)/12)</f>
        <v/>
      </c>
      <c r="ML10" s="157">
        <f>(1+GrowthOther)^(MAX(0,346-GrowthStartMonth)/12)</f>
        <v/>
      </c>
      <c r="MM10" s="157">
        <f>(1+GrowthOther)^(MAX(0,347-GrowthStartMonth)/12)</f>
        <v/>
      </c>
      <c r="MN10" s="157">
        <f>(1+GrowthOther)^(MAX(0,348-GrowthStartMonth)/12)</f>
        <v/>
      </c>
      <c r="MO10" s="157">
        <f>(1+GrowthOther)^(MAX(0,349-GrowthStartMonth)/12)</f>
        <v/>
      </c>
      <c r="MP10" s="157">
        <f>(1+GrowthOther)^(MAX(0,350-GrowthStartMonth)/12)</f>
        <v/>
      </c>
      <c r="MQ10" s="157">
        <f>(1+GrowthOther)^(MAX(0,351-GrowthStartMonth)/12)</f>
        <v/>
      </c>
      <c r="MR10" s="157">
        <f>(1+GrowthOther)^(MAX(0,352-GrowthStartMonth)/12)</f>
        <v/>
      </c>
      <c r="MS10" s="157">
        <f>(1+GrowthOther)^(MAX(0,353-GrowthStartMonth)/12)</f>
        <v/>
      </c>
      <c r="MT10" s="157">
        <f>(1+GrowthOther)^(MAX(0,354-GrowthStartMonth)/12)</f>
        <v/>
      </c>
      <c r="MU10" s="157">
        <f>(1+GrowthOther)^(MAX(0,355-GrowthStartMonth)/12)</f>
        <v/>
      </c>
      <c r="MV10" s="157">
        <f>(1+GrowthOther)^(MAX(0,356-GrowthStartMonth)/12)</f>
        <v/>
      </c>
      <c r="MW10" s="157">
        <f>(1+GrowthOther)^(MAX(0,357-GrowthStartMonth)/12)</f>
        <v/>
      </c>
      <c r="MX10" s="157">
        <f>(1+GrowthOther)^(MAX(0,358-GrowthStartMonth)/12)</f>
        <v/>
      </c>
      <c r="MY10" s="157">
        <f>(1+GrowthOther)^(MAX(0,359-GrowthStartMonth)/12)</f>
        <v/>
      </c>
      <c r="MZ10" s="157">
        <f>(1+GrowthOther)^(MAX(0,360-GrowthStartMonth)/12)</f>
        <v/>
      </c>
      <c r="NA10" s="157">
        <f>(1+GrowthOther)^(MAX(0,361-GrowthStartMonth)/12)</f>
        <v/>
      </c>
      <c r="NB10" s="157">
        <f>(1+GrowthOther)^(MAX(0,362-GrowthStartMonth)/12)</f>
        <v/>
      </c>
      <c r="NC10" s="157">
        <f>(1+GrowthOther)^(MAX(0,363-GrowthStartMonth)/12)</f>
        <v/>
      </c>
      <c r="ND10" s="157">
        <f>(1+GrowthOther)^(MAX(0,364-GrowthStartMonth)/12)</f>
        <v/>
      </c>
      <c r="NE10" s="157">
        <f>(1+GrowthOther)^(MAX(0,365-GrowthStartMonth)/12)</f>
        <v/>
      </c>
      <c r="NF10" s="157">
        <f>(1+GrowthOther)^(MAX(0,366-GrowthStartMonth)/12)</f>
        <v/>
      </c>
      <c r="NG10" s="157">
        <f>(1+GrowthOther)^(MAX(0,367-GrowthStartMonth)/12)</f>
        <v/>
      </c>
      <c r="NH10" s="157">
        <f>(1+GrowthOther)^(MAX(0,368-GrowthStartMonth)/12)</f>
        <v/>
      </c>
      <c r="NI10" s="157">
        <f>(1+GrowthOther)^(MAX(0,369-GrowthStartMonth)/12)</f>
        <v/>
      </c>
      <c r="NJ10" s="157">
        <f>(1+GrowthOther)^(MAX(0,370-GrowthStartMonth)/12)</f>
        <v/>
      </c>
      <c r="NK10" s="157">
        <f>(1+GrowthOther)^(MAX(0,371-GrowthStartMonth)/12)</f>
        <v/>
      </c>
      <c r="NL10" s="158">
        <f>(1+GrowthOther)^(MAX(0,372-GrowthStartMonth)/12)</f>
        <v/>
      </c>
    </row>
    <row r="11">
      <c r="B11" s="36" t="inlineStr">
        <is>
          <t>Var-Expense Ramp Factor</t>
        </is>
      </c>
      <c r="D11" s="156" t="n"/>
      <c r="E11" s="157">
        <f>IF(1&lt;DeliverStart,LeaseUpRampPct,MIN(1,LeaseUpRampPct+(1-LeaseUpRampPct)*LeaseUp!E$10/StabilizedOccupancy))</f>
        <v/>
      </c>
      <c r="F11" s="157">
        <f>IF(2&lt;DeliverStart,LeaseUpRampPct,MIN(1,LeaseUpRampPct+(1-LeaseUpRampPct)*LeaseUp!F$10/StabilizedOccupancy))</f>
        <v/>
      </c>
      <c r="G11" s="157">
        <f>IF(3&lt;DeliverStart,LeaseUpRampPct,MIN(1,LeaseUpRampPct+(1-LeaseUpRampPct)*LeaseUp!G$10/StabilizedOccupancy))</f>
        <v/>
      </c>
      <c r="H11" s="157">
        <f>IF(4&lt;DeliverStart,LeaseUpRampPct,MIN(1,LeaseUpRampPct+(1-LeaseUpRampPct)*LeaseUp!H$10/StabilizedOccupancy))</f>
        <v/>
      </c>
      <c r="I11" s="157">
        <f>IF(5&lt;DeliverStart,LeaseUpRampPct,MIN(1,LeaseUpRampPct+(1-LeaseUpRampPct)*LeaseUp!I$10/StabilizedOccupancy))</f>
        <v/>
      </c>
      <c r="J11" s="157">
        <f>IF(6&lt;DeliverStart,LeaseUpRampPct,MIN(1,LeaseUpRampPct+(1-LeaseUpRampPct)*LeaseUp!J$10/StabilizedOccupancy))</f>
        <v/>
      </c>
      <c r="K11" s="157">
        <f>IF(7&lt;DeliverStart,LeaseUpRampPct,MIN(1,LeaseUpRampPct+(1-LeaseUpRampPct)*LeaseUp!K$10/StabilizedOccupancy))</f>
        <v/>
      </c>
      <c r="L11" s="157">
        <f>IF(8&lt;DeliverStart,LeaseUpRampPct,MIN(1,LeaseUpRampPct+(1-LeaseUpRampPct)*LeaseUp!L$10/StabilizedOccupancy))</f>
        <v/>
      </c>
      <c r="M11" s="157">
        <f>IF(9&lt;DeliverStart,LeaseUpRampPct,MIN(1,LeaseUpRampPct+(1-LeaseUpRampPct)*LeaseUp!M$10/StabilizedOccupancy))</f>
        <v/>
      </c>
      <c r="N11" s="157">
        <f>IF(10&lt;DeliverStart,LeaseUpRampPct,MIN(1,LeaseUpRampPct+(1-LeaseUpRampPct)*LeaseUp!N$10/StabilizedOccupancy))</f>
        <v/>
      </c>
      <c r="O11" s="157">
        <f>IF(11&lt;DeliverStart,LeaseUpRampPct,MIN(1,LeaseUpRampPct+(1-LeaseUpRampPct)*LeaseUp!O$10/StabilizedOccupancy))</f>
        <v/>
      </c>
      <c r="P11" s="157">
        <f>IF(12&lt;DeliverStart,LeaseUpRampPct,MIN(1,LeaseUpRampPct+(1-LeaseUpRampPct)*LeaseUp!P$10/StabilizedOccupancy))</f>
        <v/>
      </c>
      <c r="Q11" s="157">
        <f>IF(13&lt;DeliverStart,LeaseUpRampPct,MIN(1,LeaseUpRampPct+(1-LeaseUpRampPct)*LeaseUp!Q$10/StabilizedOccupancy))</f>
        <v/>
      </c>
      <c r="R11" s="157">
        <f>IF(14&lt;DeliverStart,LeaseUpRampPct,MIN(1,LeaseUpRampPct+(1-LeaseUpRampPct)*LeaseUp!R$10/StabilizedOccupancy))</f>
        <v/>
      </c>
      <c r="S11" s="157">
        <f>IF(15&lt;DeliverStart,LeaseUpRampPct,MIN(1,LeaseUpRampPct+(1-LeaseUpRampPct)*LeaseUp!S$10/StabilizedOccupancy))</f>
        <v/>
      </c>
      <c r="T11" s="157">
        <f>IF(16&lt;DeliverStart,LeaseUpRampPct,MIN(1,LeaseUpRampPct+(1-LeaseUpRampPct)*LeaseUp!T$10/StabilizedOccupancy))</f>
        <v/>
      </c>
      <c r="U11" s="157">
        <f>IF(17&lt;DeliverStart,LeaseUpRampPct,MIN(1,LeaseUpRampPct+(1-LeaseUpRampPct)*LeaseUp!U$10/StabilizedOccupancy))</f>
        <v/>
      </c>
      <c r="V11" s="157">
        <f>IF(18&lt;DeliverStart,LeaseUpRampPct,MIN(1,LeaseUpRampPct+(1-LeaseUpRampPct)*LeaseUp!V$10/StabilizedOccupancy))</f>
        <v/>
      </c>
      <c r="W11" s="157">
        <f>IF(19&lt;DeliverStart,LeaseUpRampPct,MIN(1,LeaseUpRampPct+(1-LeaseUpRampPct)*LeaseUp!W$10/StabilizedOccupancy))</f>
        <v/>
      </c>
      <c r="X11" s="157">
        <f>IF(20&lt;DeliverStart,LeaseUpRampPct,MIN(1,LeaseUpRampPct+(1-LeaseUpRampPct)*LeaseUp!X$10/StabilizedOccupancy))</f>
        <v/>
      </c>
      <c r="Y11" s="157">
        <f>IF(21&lt;DeliverStart,LeaseUpRampPct,MIN(1,LeaseUpRampPct+(1-LeaseUpRampPct)*LeaseUp!Y$10/StabilizedOccupancy))</f>
        <v/>
      </c>
      <c r="Z11" s="157">
        <f>IF(22&lt;DeliverStart,LeaseUpRampPct,MIN(1,LeaseUpRampPct+(1-LeaseUpRampPct)*LeaseUp!Z$10/StabilizedOccupancy))</f>
        <v/>
      </c>
      <c r="AA11" s="157">
        <f>IF(23&lt;DeliverStart,LeaseUpRampPct,MIN(1,LeaseUpRampPct+(1-LeaseUpRampPct)*LeaseUp!AA$10/StabilizedOccupancy))</f>
        <v/>
      </c>
      <c r="AB11" s="157">
        <f>IF(24&lt;DeliverStart,LeaseUpRampPct,MIN(1,LeaseUpRampPct+(1-LeaseUpRampPct)*LeaseUp!AB$10/StabilizedOccupancy))</f>
        <v/>
      </c>
      <c r="AC11" s="157">
        <f>IF(25&lt;DeliverStart,LeaseUpRampPct,MIN(1,LeaseUpRampPct+(1-LeaseUpRampPct)*LeaseUp!AC$10/StabilizedOccupancy))</f>
        <v/>
      </c>
      <c r="AD11" s="157">
        <f>IF(26&lt;DeliverStart,LeaseUpRampPct,MIN(1,LeaseUpRampPct+(1-LeaseUpRampPct)*LeaseUp!AD$10/StabilizedOccupancy))</f>
        <v/>
      </c>
      <c r="AE11" s="157">
        <f>IF(27&lt;DeliverStart,LeaseUpRampPct,MIN(1,LeaseUpRampPct+(1-LeaseUpRampPct)*LeaseUp!AE$10/StabilizedOccupancy))</f>
        <v/>
      </c>
      <c r="AF11" s="157">
        <f>IF(28&lt;DeliverStart,LeaseUpRampPct,MIN(1,LeaseUpRampPct+(1-LeaseUpRampPct)*LeaseUp!AF$10/StabilizedOccupancy))</f>
        <v/>
      </c>
      <c r="AG11" s="157">
        <f>IF(29&lt;DeliverStart,LeaseUpRampPct,MIN(1,LeaseUpRampPct+(1-LeaseUpRampPct)*LeaseUp!AG$10/StabilizedOccupancy))</f>
        <v/>
      </c>
      <c r="AH11" s="157">
        <f>IF(30&lt;DeliverStart,LeaseUpRampPct,MIN(1,LeaseUpRampPct+(1-LeaseUpRampPct)*LeaseUp!AH$10/StabilizedOccupancy))</f>
        <v/>
      </c>
      <c r="AI11" s="157">
        <f>IF(31&lt;DeliverStart,LeaseUpRampPct,MIN(1,LeaseUpRampPct+(1-LeaseUpRampPct)*LeaseUp!AI$10/StabilizedOccupancy))</f>
        <v/>
      </c>
      <c r="AJ11" s="157">
        <f>IF(32&lt;DeliverStart,LeaseUpRampPct,MIN(1,LeaseUpRampPct+(1-LeaseUpRampPct)*LeaseUp!AJ$10/StabilizedOccupancy))</f>
        <v/>
      </c>
      <c r="AK11" s="157">
        <f>IF(33&lt;DeliverStart,LeaseUpRampPct,MIN(1,LeaseUpRampPct+(1-LeaseUpRampPct)*LeaseUp!AK$10/StabilizedOccupancy))</f>
        <v/>
      </c>
      <c r="AL11" s="157">
        <f>IF(34&lt;DeliverStart,LeaseUpRampPct,MIN(1,LeaseUpRampPct+(1-LeaseUpRampPct)*LeaseUp!AL$10/StabilizedOccupancy))</f>
        <v/>
      </c>
      <c r="AM11" s="157">
        <f>IF(35&lt;DeliverStart,LeaseUpRampPct,MIN(1,LeaseUpRampPct+(1-LeaseUpRampPct)*LeaseUp!AM$10/StabilizedOccupancy))</f>
        <v/>
      </c>
      <c r="AN11" s="157">
        <f>IF(36&lt;DeliverStart,LeaseUpRampPct,MIN(1,LeaseUpRampPct+(1-LeaseUpRampPct)*LeaseUp!AN$10/StabilizedOccupancy))</f>
        <v/>
      </c>
      <c r="AO11" s="157">
        <f>IF(37&lt;DeliverStart,LeaseUpRampPct,MIN(1,LeaseUpRampPct+(1-LeaseUpRampPct)*LeaseUp!AO$10/StabilizedOccupancy))</f>
        <v/>
      </c>
      <c r="AP11" s="157">
        <f>IF(38&lt;DeliverStart,LeaseUpRampPct,MIN(1,LeaseUpRampPct+(1-LeaseUpRampPct)*LeaseUp!AP$10/StabilizedOccupancy))</f>
        <v/>
      </c>
      <c r="AQ11" s="157">
        <f>IF(39&lt;DeliverStart,LeaseUpRampPct,MIN(1,LeaseUpRampPct+(1-LeaseUpRampPct)*LeaseUp!AQ$10/StabilizedOccupancy))</f>
        <v/>
      </c>
      <c r="AR11" s="157">
        <f>IF(40&lt;DeliverStart,LeaseUpRampPct,MIN(1,LeaseUpRampPct+(1-LeaseUpRampPct)*LeaseUp!AR$10/StabilizedOccupancy))</f>
        <v/>
      </c>
      <c r="AS11" s="157">
        <f>IF(41&lt;DeliverStart,LeaseUpRampPct,MIN(1,LeaseUpRampPct+(1-LeaseUpRampPct)*LeaseUp!AS$10/StabilizedOccupancy))</f>
        <v/>
      </c>
      <c r="AT11" s="157">
        <f>IF(42&lt;DeliverStart,LeaseUpRampPct,MIN(1,LeaseUpRampPct+(1-LeaseUpRampPct)*LeaseUp!AT$10/StabilizedOccupancy))</f>
        <v/>
      </c>
      <c r="AU11" s="157">
        <f>IF(43&lt;DeliverStart,LeaseUpRampPct,MIN(1,LeaseUpRampPct+(1-LeaseUpRampPct)*LeaseUp!AU$10/StabilizedOccupancy))</f>
        <v/>
      </c>
      <c r="AV11" s="157">
        <f>IF(44&lt;DeliverStart,LeaseUpRampPct,MIN(1,LeaseUpRampPct+(1-LeaseUpRampPct)*LeaseUp!AV$10/StabilizedOccupancy))</f>
        <v/>
      </c>
      <c r="AW11" s="157">
        <f>IF(45&lt;DeliverStart,LeaseUpRampPct,MIN(1,LeaseUpRampPct+(1-LeaseUpRampPct)*LeaseUp!AW$10/StabilizedOccupancy))</f>
        <v/>
      </c>
      <c r="AX11" s="157">
        <f>IF(46&lt;DeliverStart,LeaseUpRampPct,MIN(1,LeaseUpRampPct+(1-LeaseUpRampPct)*LeaseUp!AX$10/StabilizedOccupancy))</f>
        <v/>
      </c>
      <c r="AY11" s="157">
        <f>IF(47&lt;DeliverStart,LeaseUpRampPct,MIN(1,LeaseUpRampPct+(1-LeaseUpRampPct)*LeaseUp!AY$10/StabilizedOccupancy))</f>
        <v/>
      </c>
      <c r="AZ11" s="157">
        <f>IF(48&lt;DeliverStart,LeaseUpRampPct,MIN(1,LeaseUpRampPct+(1-LeaseUpRampPct)*LeaseUp!AZ$10/StabilizedOccupancy))</f>
        <v/>
      </c>
      <c r="BA11" s="157">
        <f>IF(49&lt;DeliverStart,LeaseUpRampPct,MIN(1,LeaseUpRampPct+(1-LeaseUpRampPct)*LeaseUp!BA$10/StabilizedOccupancy))</f>
        <v/>
      </c>
      <c r="BB11" s="157">
        <f>IF(50&lt;DeliverStart,LeaseUpRampPct,MIN(1,LeaseUpRampPct+(1-LeaseUpRampPct)*LeaseUp!BB$10/StabilizedOccupancy))</f>
        <v/>
      </c>
      <c r="BC11" s="157">
        <f>IF(51&lt;DeliverStart,LeaseUpRampPct,MIN(1,LeaseUpRampPct+(1-LeaseUpRampPct)*LeaseUp!BC$10/StabilizedOccupancy))</f>
        <v/>
      </c>
      <c r="BD11" s="157">
        <f>IF(52&lt;DeliverStart,LeaseUpRampPct,MIN(1,LeaseUpRampPct+(1-LeaseUpRampPct)*LeaseUp!BD$10/StabilizedOccupancy))</f>
        <v/>
      </c>
      <c r="BE11" s="157">
        <f>IF(53&lt;DeliverStart,LeaseUpRampPct,MIN(1,LeaseUpRampPct+(1-LeaseUpRampPct)*LeaseUp!BE$10/StabilizedOccupancy))</f>
        <v/>
      </c>
      <c r="BF11" s="157">
        <f>IF(54&lt;DeliverStart,LeaseUpRampPct,MIN(1,LeaseUpRampPct+(1-LeaseUpRampPct)*LeaseUp!BF$10/StabilizedOccupancy))</f>
        <v/>
      </c>
      <c r="BG11" s="157">
        <f>IF(55&lt;DeliverStart,LeaseUpRampPct,MIN(1,LeaseUpRampPct+(1-LeaseUpRampPct)*LeaseUp!BG$10/StabilizedOccupancy))</f>
        <v/>
      </c>
      <c r="BH11" s="157">
        <f>IF(56&lt;DeliverStart,LeaseUpRampPct,MIN(1,LeaseUpRampPct+(1-LeaseUpRampPct)*LeaseUp!BH$10/StabilizedOccupancy))</f>
        <v/>
      </c>
      <c r="BI11" s="157">
        <f>IF(57&lt;DeliverStart,LeaseUpRampPct,MIN(1,LeaseUpRampPct+(1-LeaseUpRampPct)*LeaseUp!BI$10/StabilizedOccupancy))</f>
        <v/>
      </c>
      <c r="BJ11" s="157">
        <f>IF(58&lt;DeliverStart,LeaseUpRampPct,MIN(1,LeaseUpRampPct+(1-LeaseUpRampPct)*LeaseUp!BJ$10/StabilizedOccupancy))</f>
        <v/>
      </c>
      <c r="BK11" s="157">
        <f>IF(59&lt;DeliverStart,LeaseUpRampPct,MIN(1,LeaseUpRampPct+(1-LeaseUpRampPct)*LeaseUp!BK$10/StabilizedOccupancy))</f>
        <v/>
      </c>
      <c r="BL11" s="157">
        <f>IF(60&lt;DeliverStart,LeaseUpRampPct,MIN(1,LeaseUpRampPct+(1-LeaseUpRampPct)*LeaseUp!BL$10/StabilizedOccupancy))</f>
        <v/>
      </c>
      <c r="BM11" s="157">
        <f>IF(61&lt;DeliverStart,LeaseUpRampPct,MIN(1,LeaseUpRampPct+(1-LeaseUpRampPct)*LeaseUp!BM$10/StabilizedOccupancy))</f>
        <v/>
      </c>
      <c r="BN11" s="157">
        <f>IF(62&lt;DeliverStart,LeaseUpRampPct,MIN(1,LeaseUpRampPct+(1-LeaseUpRampPct)*LeaseUp!BN$10/StabilizedOccupancy))</f>
        <v/>
      </c>
      <c r="BO11" s="157">
        <f>IF(63&lt;DeliverStart,LeaseUpRampPct,MIN(1,LeaseUpRampPct+(1-LeaseUpRampPct)*LeaseUp!BO$10/StabilizedOccupancy))</f>
        <v/>
      </c>
      <c r="BP11" s="157">
        <f>IF(64&lt;DeliverStart,LeaseUpRampPct,MIN(1,LeaseUpRampPct+(1-LeaseUpRampPct)*LeaseUp!BP$10/StabilizedOccupancy))</f>
        <v/>
      </c>
      <c r="BQ11" s="157">
        <f>IF(65&lt;DeliverStart,LeaseUpRampPct,MIN(1,LeaseUpRampPct+(1-LeaseUpRampPct)*LeaseUp!BQ$10/StabilizedOccupancy))</f>
        <v/>
      </c>
      <c r="BR11" s="157">
        <f>IF(66&lt;DeliverStart,LeaseUpRampPct,MIN(1,LeaseUpRampPct+(1-LeaseUpRampPct)*LeaseUp!BR$10/StabilizedOccupancy))</f>
        <v/>
      </c>
      <c r="BS11" s="157">
        <f>IF(67&lt;DeliverStart,LeaseUpRampPct,MIN(1,LeaseUpRampPct+(1-LeaseUpRampPct)*LeaseUp!BS$10/StabilizedOccupancy))</f>
        <v/>
      </c>
      <c r="BT11" s="157">
        <f>IF(68&lt;DeliverStart,LeaseUpRampPct,MIN(1,LeaseUpRampPct+(1-LeaseUpRampPct)*LeaseUp!BT$10/StabilizedOccupancy))</f>
        <v/>
      </c>
      <c r="BU11" s="157">
        <f>IF(69&lt;DeliverStart,LeaseUpRampPct,MIN(1,LeaseUpRampPct+(1-LeaseUpRampPct)*LeaseUp!BU$10/StabilizedOccupancy))</f>
        <v/>
      </c>
      <c r="BV11" s="157">
        <f>IF(70&lt;DeliverStart,LeaseUpRampPct,MIN(1,LeaseUpRampPct+(1-LeaseUpRampPct)*LeaseUp!BV$10/StabilizedOccupancy))</f>
        <v/>
      </c>
      <c r="BW11" s="157">
        <f>IF(71&lt;DeliverStart,LeaseUpRampPct,MIN(1,LeaseUpRampPct+(1-LeaseUpRampPct)*LeaseUp!BW$10/StabilizedOccupancy))</f>
        <v/>
      </c>
      <c r="BX11" s="157">
        <f>IF(72&lt;DeliverStart,LeaseUpRampPct,MIN(1,LeaseUpRampPct+(1-LeaseUpRampPct)*LeaseUp!BX$10/StabilizedOccupancy))</f>
        <v/>
      </c>
      <c r="BY11" s="157">
        <f>IF(73&lt;DeliverStart,LeaseUpRampPct,MIN(1,LeaseUpRampPct+(1-LeaseUpRampPct)*LeaseUp!BY$10/StabilizedOccupancy))</f>
        <v/>
      </c>
      <c r="BZ11" s="157">
        <f>IF(74&lt;DeliverStart,LeaseUpRampPct,MIN(1,LeaseUpRampPct+(1-LeaseUpRampPct)*LeaseUp!BZ$10/StabilizedOccupancy))</f>
        <v/>
      </c>
      <c r="CA11" s="157">
        <f>IF(75&lt;DeliverStart,LeaseUpRampPct,MIN(1,LeaseUpRampPct+(1-LeaseUpRampPct)*LeaseUp!CA$10/StabilizedOccupancy))</f>
        <v/>
      </c>
      <c r="CB11" s="157">
        <f>IF(76&lt;DeliverStart,LeaseUpRampPct,MIN(1,LeaseUpRampPct+(1-LeaseUpRampPct)*LeaseUp!CB$10/StabilizedOccupancy))</f>
        <v/>
      </c>
      <c r="CC11" s="157">
        <f>IF(77&lt;DeliverStart,LeaseUpRampPct,MIN(1,LeaseUpRampPct+(1-LeaseUpRampPct)*LeaseUp!CC$10/StabilizedOccupancy))</f>
        <v/>
      </c>
      <c r="CD11" s="157">
        <f>IF(78&lt;DeliverStart,LeaseUpRampPct,MIN(1,LeaseUpRampPct+(1-LeaseUpRampPct)*LeaseUp!CD$10/StabilizedOccupancy))</f>
        <v/>
      </c>
      <c r="CE11" s="157">
        <f>IF(79&lt;DeliverStart,LeaseUpRampPct,MIN(1,LeaseUpRampPct+(1-LeaseUpRampPct)*LeaseUp!CE$10/StabilizedOccupancy))</f>
        <v/>
      </c>
      <c r="CF11" s="157">
        <f>IF(80&lt;DeliverStart,LeaseUpRampPct,MIN(1,LeaseUpRampPct+(1-LeaseUpRampPct)*LeaseUp!CF$10/StabilizedOccupancy))</f>
        <v/>
      </c>
      <c r="CG11" s="157">
        <f>IF(81&lt;DeliverStart,LeaseUpRampPct,MIN(1,LeaseUpRampPct+(1-LeaseUpRampPct)*LeaseUp!CG$10/StabilizedOccupancy))</f>
        <v/>
      </c>
      <c r="CH11" s="157">
        <f>IF(82&lt;DeliverStart,LeaseUpRampPct,MIN(1,LeaseUpRampPct+(1-LeaseUpRampPct)*LeaseUp!CH$10/StabilizedOccupancy))</f>
        <v/>
      </c>
      <c r="CI11" s="157">
        <f>IF(83&lt;DeliverStart,LeaseUpRampPct,MIN(1,LeaseUpRampPct+(1-LeaseUpRampPct)*LeaseUp!CI$10/StabilizedOccupancy))</f>
        <v/>
      </c>
      <c r="CJ11" s="157">
        <f>IF(84&lt;DeliverStart,LeaseUpRampPct,MIN(1,LeaseUpRampPct+(1-LeaseUpRampPct)*LeaseUp!CJ$10/StabilizedOccupancy))</f>
        <v/>
      </c>
      <c r="CK11" s="157">
        <f>IF(85&lt;DeliverStart,LeaseUpRampPct,MIN(1,LeaseUpRampPct+(1-LeaseUpRampPct)*LeaseUp!CK$10/StabilizedOccupancy))</f>
        <v/>
      </c>
      <c r="CL11" s="157">
        <f>IF(86&lt;DeliverStart,LeaseUpRampPct,MIN(1,LeaseUpRampPct+(1-LeaseUpRampPct)*LeaseUp!CL$10/StabilizedOccupancy))</f>
        <v/>
      </c>
      <c r="CM11" s="157">
        <f>IF(87&lt;DeliverStart,LeaseUpRampPct,MIN(1,LeaseUpRampPct+(1-LeaseUpRampPct)*LeaseUp!CM$10/StabilizedOccupancy))</f>
        <v/>
      </c>
      <c r="CN11" s="157">
        <f>IF(88&lt;DeliverStart,LeaseUpRampPct,MIN(1,LeaseUpRampPct+(1-LeaseUpRampPct)*LeaseUp!CN$10/StabilizedOccupancy))</f>
        <v/>
      </c>
      <c r="CO11" s="157">
        <f>IF(89&lt;DeliverStart,LeaseUpRampPct,MIN(1,LeaseUpRampPct+(1-LeaseUpRampPct)*LeaseUp!CO$10/StabilizedOccupancy))</f>
        <v/>
      </c>
      <c r="CP11" s="157">
        <f>IF(90&lt;DeliverStart,LeaseUpRampPct,MIN(1,LeaseUpRampPct+(1-LeaseUpRampPct)*LeaseUp!CP$10/StabilizedOccupancy))</f>
        <v/>
      </c>
      <c r="CQ11" s="157">
        <f>IF(91&lt;DeliverStart,LeaseUpRampPct,MIN(1,LeaseUpRampPct+(1-LeaseUpRampPct)*LeaseUp!CQ$10/StabilizedOccupancy))</f>
        <v/>
      </c>
      <c r="CR11" s="157">
        <f>IF(92&lt;DeliverStart,LeaseUpRampPct,MIN(1,LeaseUpRampPct+(1-LeaseUpRampPct)*LeaseUp!CR$10/StabilizedOccupancy))</f>
        <v/>
      </c>
      <c r="CS11" s="157">
        <f>IF(93&lt;DeliverStart,LeaseUpRampPct,MIN(1,LeaseUpRampPct+(1-LeaseUpRampPct)*LeaseUp!CS$10/StabilizedOccupancy))</f>
        <v/>
      </c>
      <c r="CT11" s="157">
        <f>IF(94&lt;DeliverStart,LeaseUpRampPct,MIN(1,LeaseUpRampPct+(1-LeaseUpRampPct)*LeaseUp!CT$10/StabilizedOccupancy))</f>
        <v/>
      </c>
      <c r="CU11" s="157">
        <f>IF(95&lt;DeliverStart,LeaseUpRampPct,MIN(1,LeaseUpRampPct+(1-LeaseUpRampPct)*LeaseUp!CU$10/StabilizedOccupancy))</f>
        <v/>
      </c>
      <c r="CV11" s="157">
        <f>IF(96&lt;DeliverStart,LeaseUpRampPct,MIN(1,LeaseUpRampPct+(1-LeaseUpRampPct)*LeaseUp!CV$10/StabilizedOccupancy))</f>
        <v/>
      </c>
      <c r="CW11" s="157">
        <f>IF(97&lt;DeliverStart,LeaseUpRampPct,MIN(1,LeaseUpRampPct+(1-LeaseUpRampPct)*LeaseUp!CW$10/StabilizedOccupancy))</f>
        <v/>
      </c>
      <c r="CX11" s="157">
        <f>IF(98&lt;DeliverStart,LeaseUpRampPct,MIN(1,LeaseUpRampPct+(1-LeaseUpRampPct)*LeaseUp!CX$10/StabilizedOccupancy))</f>
        <v/>
      </c>
      <c r="CY11" s="157">
        <f>IF(99&lt;DeliverStart,LeaseUpRampPct,MIN(1,LeaseUpRampPct+(1-LeaseUpRampPct)*LeaseUp!CY$10/StabilizedOccupancy))</f>
        <v/>
      </c>
      <c r="CZ11" s="157">
        <f>IF(100&lt;DeliverStart,LeaseUpRampPct,MIN(1,LeaseUpRampPct+(1-LeaseUpRampPct)*LeaseUp!CZ$10/StabilizedOccupancy))</f>
        <v/>
      </c>
      <c r="DA11" s="157">
        <f>IF(101&lt;DeliverStart,LeaseUpRampPct,MIN(1,LeaseUpRampPct+(1-LeaseUpRampPct)*LeaseUp!DA$10/StabilizedOccupancy))</f>
        <v/>
      </c>
      <c r="DB11" s="157">
        <f>IF(102&lt;DeliverStart,LeaseUpRampPct,MIN(1,LeaseUpRampPct+(1-LeaseUpRampPct)*LeaseUp!DB$10/StabilizedOccupancy))</f>
        <v/>
      </c>
      <c r="DC11" s="157">
        <f>IF(103&lt;DeliverStart,LeaseUpRampPct,MIN(1,LeaseUpRampPct+(1-LeaseUpRampPct)*LeaseUp!DC$10/StabilizedOccupancy))</f>
        <v/>
      </c>
      <c r="DD11" s="157">
        <f>IF(104&lt;DeliverStart,LeaseUpRampPct,MIN(1,LeaseUpRampPct+(1-LeaseUpRampPct)*LeaseUp!DD$10/StabilizedOccupancy))</f>
        <v/>
      </c>
      <c r="DE11" s="157">
        <f>IF(105&lt;DeliverStart,LeaseUpRampPct,MIN(1,LeaseUpRampPct+(1-LeaseUpRampPct)*LeaseUp!DE$10/StabilizedOccupancy))</f>
        <v/>
      </c>
      <c r="DF11" s="157">
        <f>IF(106&lt;DeliverStart,LeaseUpRampPct,MIN(1,LeaseUpRampPct+(1-LeaseUpRampPct)*LeaseUp!DF$10/StabilizedOccupancy))</f>
        <v/>
      </c>
      <c r="DG11" s="157">
        <f>IF(107&lt;DeliverStart,LeaseUpRampPct,MIN(1,LeaseUpRampPct+(1-LeaseUpRampPct)*LeaseUp!DG$10/StabilizedOccupancy))</f>
        <v/>
      </c>
      <c r="DH11" s="157">
        <f>IF(108&lt;DeliverStart,LeaseUpRampPct,MIN(1,LeaseUpRampPct+(1-LeaseUpRampPct)*LeaseUp!DH$10/StabilizedOccupancy))</f>
        <v/>
      </c>
      <c r="DI11" s="157">
        <f>IF(109&lt;DeliverStart,LeaseUpRampPct,MIN(1,LeaseUpRampPct+(1-LeaseUpRampPct)*LeaseUp!DI$10/StabilizedOccupancy))</f>
        <v/>
      </c>
      <c r="DJ11" s="157">
        <f>IF(110&lt;DeliverStart,LeaseUpRampPct,MIN(1,LeaseUpRampPct+(1-LeaseUpRampPct)*LeaseUp!DJ$10/StabilizedOccupancy))</f>
        <v/>
      </c>
      <c r="DK11" s="157">
        <f>IF(111&lt;DeliverStart,LeaseUpRampPct,MIN(1,LeaseUpRampPct+(1-LeaseUpRampPct)*LeaseUp!DK$10/StabilizedOccupancy))</f>
        <v/>
      </c>
      <c r="DL11" s="157">
        <f>IF(112&lt;DeliverStart,LeaseUpRampPct,MIN(1,LeaseUpRampPct+(1-LeaseUpRampPct)*LeaseUp!DL$10/StabilizedOccupancy))</f>
        <v/>
      </c>
      <c r="DM11" s="157">
        <f>IF(113&lt;DeliverStart,LeaseUpRampPct,MIN(1,LeaseUpRampPct+(1-LeaseUpRampPct)*LeaseUp!DM$10/StabilizedOccupancy))</f>
        <v/>
      </c>
      <c r="DN11" s="157">
        <f>IF(114&lt;DeliverStart,LeaseUpRampPct,MIN(1,LeaseUpRampPct+(1-LeaseUpRampPct)*LeaseUp!DN$10/StabilizedOccupancy))</f>
        <v/>
      </c>
      <c r="DO11" s="157">
        <f>IF(115&lt;DeliverStart,LeaseUpRampPct,MIN(1,LeaseUpRampPct+(1-LeaseUpRampPct)*LeaseUp!DO$10/StabilizedOccupancy))</f>
        <v/>
      </c>
      <c r="DP11" s="157">
        <f>IF(116&lt;DeliverStart,LeaseUpRampPct,MIN(1,LeaseUpRampPct+(1-LeaseUpRampPct)*LeaseUp!DP$10/StabilizedOccupancy))</f>
        <v/>
      </c>
      <c r="DQ11" s="157">
        <f>IF(117&lt;DeliverStart,LeaseUpRampPct,MIN(1,LeaseUpRampPct+(1-LeaseUpRampPct)*LeaseUp!DQ$10/StabilizedOccupancy))</f>
        <v/>
      </c>
      <c r="DR11" s="157">
        <f>IF(118&lt;DeliverStart,LeaseUpRampPct,MIN(1,LeaseUpRampPct+(1-LeaseUpRampPct)*LeaseUp!DR$10/StabilizedOccupancy))</f>
        <v/>
      </c>
      <c r="DS11" s="157">
        <f>IF(119&lt;DeliverStart,LeaseUpRampPct,MIN(1,LeaseUpRampPct+(1-LeaseUpRampPct)*LeaseUp!DS$10/StabilizedOccupancy))</f>
        <v/>
      </c>
      <c r="DT11" s="157">
        <f>IF(120&lt;DeliverStart,LeaseUpRampPct,MIN(1,LeaseUpRampPct+(1-LeaseUpRampPct)*LeaseUp!DT$10/StabilizedOccupancy))</f>
        <v/>
      </c>
      <c r="DU11" s="157">
        <f>IF(121&lt;DeliverStart,LeaseUpRampPct,MIN(1,LeaseUpRampPct+(1-LeaseUpRampPct)*LeaseUp!DU$10/StabilizedOccupancy))</f>
        <v/>
      </c>
      <c r="DV11" s="157">
        <f>IF(122&lt;DeliverStart,LeaseUpRampPct,MIN(1,LeaseUpRampPct+(1-LeaseUpRampPct)*LeaseUp!DV$10/StabilizedOccupancy))</f>
        <v/>
      </c>
      <c r="DW11" s="157">
        <f>IF(123&lt;DeliverStart,LeaseUpRampPct,MIN(1,LeaseUpRampPct+(1-LeaseUpRampPct)*LeaseUp!DW$10/StabilizedOccupancy))</f>
        <v/>
      </c>
      <c r="DX11" s="157">
        <f>IF(124&lt;DeliverStart,LeaseUpRampPct,MIN(1,LeaseUpRampPct+(1-LeaseUpRampPct)*LeaseUp!DX$10/StabilizedOccupancy))</f>
        <v/>
      </c>
      <c r="DY11" s="157">
        <f>IF(125&lt;DeliverStart,LeaseUpRampPct,MIN(1,LeaseUpRampPct+(1-LeaseUpRampPct)*LeaseUp!DY$10/StabilizedOccupancy))</f>
        <v/>
      </c>
      <c r="DZ11" s="157">
        <f>IF(126&lt;DeliverStart,LeaseUpRampPct,MIN(1,LeaseUpRampPct+(1-LeaseUpRampPct)*LeaseUp!DZ$10/StabilizedOccupancy))</f>
        <v/>
      </c>
      <c r="EA11" s="157">
        <f>IF(127&lt;DeliverStart,LeaseUpRampPct,MIN(1,LeaseUpRampPct+(1-LeaseUpRampPct)*LeaseUp!EA$10/StabilizedOccupancy))</f>
        <v/>
      </c>
      <c r="EB11" s="157">
        <f>IF(128&lt;DeliverStart,LeaseUpRampPct,MIN(1,LeaseUpRampPct+(1-LeaseUpRampPct)*LeaseUp!EB$10/StabilizedOccupancy))</f>
        <v/>
      </c>
      <c r="EC11" s="157">
        <f>IF(129&lt;DeliverStart,LeaseUpRampPct,MIN(1,LeaseUpRampPct+(1-LeaseUpRampPct)*LeaseUp!EC$10/StabilizedOccupancy))</f>
        <v/>
      </c>
      <c r="ED11" s="157">
        <f>IF(130&lt;DeliverStart,LeaseUpRampPct,MIN(1,LeaseUpRampPct+(1-LeaseUpRampPct)*LeaseUp!ED$10/StabilizedOccupancy))</f>
        <v/>
      </c>
      <c r="EE11" s="157">
        <f>IF(131&lt;DeliverStart,LeaseUpRampPct,MIN(1,LeaseUpRampPct+(1-LeaseUpRampPct)*LeaseUp!EE$10/StabilizedOccupancy))</f>
        <v/>
      </c>
      <c r="EF11" s="157">
        <f>IF(132&lt;DeliverStart,LeaseUpRampPct,MIN(1,LeaseUpRampPct+(1-LeaseUpRampPct)*LeaseUp!EF$10/StabilizedOccupancy))</f>
        <v/>
      </c>
      <c r="EG11" s="157">
        <f>IF(133&lt;DeliverStart,LeaseUpRampPct,MIN(1,LeaseUpRampPct+(1-LeaseUpRampPct)*LeaseUp!EG$10/StabilizedOccupancy))</f>
        <v/>
      </c>
      <c r="EH11" s="157">
        <f>IF(134&lt;DeliverStart,LeaseUpRampPct,MIN(1,LeaseUpRampPct+(1-LeaseUpRampPct)*LeaseUp!EH$10/StabilizedOccupancy))</f>
        <v/>
      </c>
      <c r="EI11" s="157">
        <f>IF(135&lt;DeliverStart,LeaseUpRampPct,MIN(1,LeaseUpRampPct+(1-LeaseUpRampPct)*LeaseUp!EI$10/StabilizedOccupancy))</f>
        <v/>
      </c>
      <c r="EJ11" s="157">
        <f>IF(136&lt;DeliverStart,LeaseUpRampPct,MIN(1,LeaseUpRampPct+(1-LeaseUpRampPct)*LeaseUp!EJ$10/StabilizedOccupancy))</f>
        <v/>
      </c>
      <c r="EK11" s="157">
        <f>IF(137&lt;DeliverStart,LeaseUpRampPct,MIN(1,LeaseUpRampPct+(1-LeaseUpRampPct)*LeaseUp!EK$10/StabilizedOccupancy))</f>
        <v/>
      </c>
      <c r="EL11" s="157">
        <f>IF(138&lt;DeliverStart,LeaseUpRampPct,MIN(1,LeaseUpRampPct+(1-LeaseUpRampPct)*LeaseUp!EL$10/StabilizedOccupancy))</f>
        <v/>
      </c>
      <c r="EM11" s="157">
        <f>IF(139&lt;DeliverStart,LeaseUpRampPct,MIN(1,LeaseUpRampPct+(1-LeaseUpRampPct)*LeaseUp!EM$10/StabilizedOccupancy))</f>
        <v/>
      </c>
      <c r="EN11" s="157">
        <f>IF(140&lt;DeliverStart,LeaseUpRampPct,MIN(1,LeaseUpRampPct+(1-LeaseUpRampPct)*LeaseUp!EN$10/StabilizedOccupancy))</f>
        <v/>
      </c>
      <c r="EO11" s="157">
        <f>IF(141&lt;DeliverStart,LeaseUpRampPct,MIN(1,LeaseUpRampPct+(1-LeaseUpRampPct)*LeaseUp!EO$10/StabilizedOccupancy))</f>
        <v/>
      </c>
      <c r="EP11" s="157">
        <f>IF(142&lt;DeliverStart,LeaseUpRampPct,MIN(1,LeaseUpRampPct+(1-LeaseUpRampPct)*LeaseUp!EP$10/StabilizedOccupancy))</f>
        <v/>
      </c>
      <c r="EQ11" s="157">
        <f>IF(143&lt;DeliverStart,LeaseUpRampPct,MIN(1,LeaseUpRampPct+(1-LeaseUpRampPct)*LeaseUp!EQ$10/StabilizedOccupancy))</f>
        <v/>
      </c>
      <c r="ER11" s="157">
        <f>IF(144&lt;DeliverStart,LeaseUpRampPct,MIN(1,LeaseUpRampPct+(1-LeaseUpRampPct)*LeaseUp!ER$10/StabilizedOccupancy))</f>
        <v/>
      </c>
      <c r="ES11" s="157">
        <f>IF(145&lt;DeliverStart,LeaseUpRampPct,MIN(1,LeaseUpRampPct+(1-LeaseUpRampPct)*LeaseUp!ES$10/StabilizedOccupancy))</f>
        <v/>
      </c>
      <c r="ET11" s="157">
        <f>IF(146&lt;DeliverStart,LeaseUpRampPct,MIN(1,LeaseUpRampPct+(1-LeaseUpRampPct)*LeaseUp!ET$10/StabilizedOccupancy))</f>
        <v/>
      </c>
      <c r="EU11" s="157">
        <f>IF(147&lt;DeliverStart,LeaseUpRampPct,MIN(1,LeaseUpRampPct+(1-LeaseUpRampPct)*LeaseUp!EU$10/StabilizedOccupancy))</f>
        <v/>
      </c>
      <c r="EV11" s="157">
        <f>IF(148&lt;DeliverStart,LeaseUpRampPct,MIN(1,LeaseUpRampPct+(1-LeaseUpRampPct)*LeaseUp!EV$10/StabilizedOccupancy))</f>
        <v/>
      </c>
      <c r="EW11" s="157">
        <f>IF(149&lt;DeliverStart,LeaseUpRampPct,MIN(1,LeaseUpRampPct+(1-LeaseUpRampPct)*LeaseUp!EW$10/StabilizedOccupancy))</f>
        <v/>
      </c>
      <c r="EX11" s="157">
        <f>IF(150&lt;DeliverStart,LeaseUpRampPct,MIN(1,LeaseUpRampPct+(1-LeaseUpRampPct)*LeaseUp!EX$10/StabilizedOccupancy))</f>
        <v/>
      </c>
      <c r="EY11" s="157">
        <f>IF(151&lt;DeliverStart,LeaseUpRampPct,MIN(1,LeaseUpRampPct+(1-LeaseUpRampPct)*LeaseUp!EY$10/StabilizedOccupancy))</f>
        <v/>
      </c>
      <c r="EZ11" s="157">
        <f>IF(152&lt;DeliverStart,LeaseUpRampPct,MIN(1,LeaseUpRampPct+(1-LeaseUpRampPct)*LeaseUp!EZ$10/StabilizedOccupancy))</f>
        <v/>
      </c>
      <c r="FA11" s="157">
        <f>IF(153&lt;DeliverStart,LeaseUpRampPct,MIN(1,LeaseUpRampPct+(1-LeaseUpRampPct)*LeaseUp!FA$10/StabilizedOccupancy))</f>
        <v/>
      </c>
      <c r="FB11" s="157">
        <f>IF(154&lt;DeliverStart,LeaseUpRampPct,MIN(1,LeaseUpRampPct+(1-LeaseUpRampPct)*LeaseUp!FB$10/StabilizedOccupancy))</f>
        <v/>
      </c>
      <c r="FC11" s="157">
        <f>IF(155&lt;DeliverStart,LeaseUpRampPct,MIN(1,LeaseUpRampPct+(1-LeaseUpRampPct)*LeaseUp!FC$10/StabilizedOccupancy))</f>
        <v/>
      </c>
      <c r="FD11" s="157">
        <f>IF(156&lt;DeliverStart,LeaseUpRampPct,MIN(1,LeaseUpRampPct+(1-LeaseUpRampPct)*LeaseUp!FD$10/StabilizedOccupancy))</f>
        <v/>
      </c>
      <c r="FE11" s="157">
        <f>IF(157&lt;DeliverStart,LeaseUpRampPct,MIN(1,LeaseUpRampPct+(1-LeaseUpRampPct)*LeaseUp!FE$10/StabilizedOccupancy))</f>
        <v/>
      </c>
      <c r="FF11" s="157">
        <f>IF(158&lt;DeliverStart,LeaseUpRampPct,MIN(1,LeaseUpRampPct+(1-LeaseUpRampPct)*LeaseUp!FF$10/StabilizedOccupancy))</f>
        <v/>
      </c>
      <c r="FG11" s="157">
        <f>IF(159&lt;DeliverStart,LeaseUpRampPct,MIN(1,LeaseUpRampPct+(1-LeaseUpRampPct)*LeaseUp!FG$10/StabilizedOccupancy))</f>
        <v/>
      </c>
      <c r="FH11" s="157">
        <f>IF(160&lt;DeliverStart,LeaseUpRampPct,MIN(1,LeaseUpRampPct+(1-LeaseUpRampPct)*LeaseUp!FH$10/StabilizedOccupancy))</f>
        <v/>
      </c>
      <c r="FI11" s="157">
        <f>IF(161&lt;DeliverStart,LeaseUpRampPct,MIN(1,LeaseUpRampPct+(1-LeaseUpRampPct)*LeaseUp!FI$10/StabilizedOccupancy))</f>
        <v/>
      </c>
      <c r="FJ11" s="157">
        <f>IF(162&lt;DeliverStart,LeaseUpRampPct,MIN(1,LeaseUpRampPct+(1-LeaseUpRampPct)*LeaseUp!FJ$10/StabilizedOccupancy))</f>
        <v/>
      </c>
      <c r="FK11" s="157">
        <f>IF(163&lt;DeliverStart,LeaseUpRampPct,MIN(1,LeaseUpRampPct+(1-LeaseUpRampPct)*LeaseUp!FK$10/StabilizedOccupancy))</f>
        <v/>
      </c>
      <c r="FL11" s="157">
        <f>IF(164&lt;DeliverStart,LeaseUpRampPct,MIN(1,LeaseUpRampPct+(1-LeaseUpRampPct)*LeaseUp!FL$10/StabilizedOccupancy))</f>
        <v/>
      </c>
      <c r="FM11" s="157">
        <f>IF(165&lt;DeliverStart,LeaseUpRampPct,MIN(1,LeaseUpRampPct+(1-LeaseUpRampPct)*LeaseUp!FM$10/StabilizedOccupancy))</f>
        <v/>
      </c>
      <c r="FN11" s="157">
        <f>IF(166&lt;DeliverStart,LeaseUpRampPct,MIN(1,LeaseUpRampPct+(1-LeaseUpRampPct)*LeaseUp!FN$10/StabilizedOccupancy))</f>
        <v/>
      </c>
      <c r="FO11" s="157">
        <f>IF(167&lt;DeliverStart,LeaseUpRampPct,MIN(1,LeaseUpRampPct+(1-LeaseUpRampPct)*LeaseUp!FO$10/StabilizedOccupancy))</f>
        <v/>
      </c>
      <c r="FP11" s="157">
        <f>IF(168&lt;DeliverStart,LeaseUpRampPct,MIN(1,LeaseUpRampPct+(1-LeaseUpRampPct)*LeaseUp!FP$10/StabilizedOccupancy))</f>
        <v/>
      </c>
      <c r="FQ11" s="157">
        <f>IF(169&lt;DeliverStart,LeaseUpRampPct,MIN(1,LeaseUpRampPct+(1-LeaseUpRampPct)*LeaseUp!FQ$10/StabilizedOccupancy))</f>
        <v/>
      </c>
      <c r="FR11" s="157">
        <f>IF(170&lt;DeliverStart,LeaseUpRampPct,MIN(1,LeaseUpRampPct+(1-LeaseUpRampPct)*LeaseUp!FR$10/StabilizedOccupancy))</f>
        <v/>
      </c>
      <c r="FS11" s="157">
        <f>IF(171&lt;DeliverStart,LeaseUpRampPct,MIN(1,LeaseUpRampPct+(1-LeaseUpRampPct)*LeaseUp!FS$10/StabilizedOccupancy))</f>
        <v/>
      </c>
      <c r="FT11" s="157">
        <f>IF(172&lt;DeliverStart,LeaseUpRampPct,MIN(1,LeaseUpRampPct+(1-LeaseUpRampPct)*LeaseUp!FT$10/StabilizedOccupancy))</f>
        <v/>
      </c>
      <c r="FU11" s="157">
        <f>IF(173&lt;DeliverStart,LeaseUpRampPct,MIN(1,LeaseUpRampPct+(1-LeaseUpRampPct)*LeaseUp!FU$10/StabilizedOccupancy))</f>
        <v/>
      </c>
      <c r="FV11" s="157">
        <f>IF(174&lt;DeliverStart,LeaseUpRampPct,MIN(1,LeaseUpRampPct+(1-LeaseUpRampPct)*LeaseUp!FV$10/StabilizedOccupancy))</f>
        <v/>
      </c>
      <c r="FW11" s="157">
        <f>IF(175&lt;DeliverStart,LeaseUpRampPct,MIN(1,LeaseUpRampPct+(1-LeaseUpRampPct)*LeaseUp!FW$10/StabilizedOccupancy))</f>
        <v/>
      </c>
      <c r="FX11" s="157">
        <f>IF(176&lt;DeliverStart,LeaseUpRampPct,MIN(1,LeaseUpRampPct+(1-LeaseUpRampPct)*LeaseUp!FX$10/StabilizedOccupancy))</f>
        <v/>
      </c>
      <c r="FY11" s="157">
        <f>IF(177&lt;DeliverStart,LeaseUpRampPct,MIN(1,LeaseUpRampPct+(1-LeaseUpRampPct)*LeaseUp!FY$10/StabilizedOccupancy))</f>
        <v/>
      </c>
      <c r="FZ11" s="157">
        <f>IF(178&lt;DeliverStart,LeaseUpRampPct,MIN(1,LeaseUpRampPct+(1-LeaseUpRampPct)*LeaseUp!FZ$10/StabilizedOccupancy))</f>
        <v/>
      </c>
      <c r="GA11" s="157">
        <f>IF(179&lt;DeliverStart,LeaseUpRampPct,MIN(1,LeaseUpRampPct+(1-LeaseUpRampPct)*LeaseUp!GA$10/StabilizedOccupancy))</f>
        <v/>
      </c>
      <c r="GB11" s="157">
        <f>IF(180&lt;DeliverStart,LeaseUpRampPct,MIN(1,LeaseUpRampPct+(1-LeaseUpRampPct)*LeaseUp!GB$10/StabilizedOccupancy))</f>
        <v/>
      </c>
      <c r="GC11" s="157">
        <f>IF(181&lt;DeliverStart,LeaseUpRampPct,MIN(1,LeaseUpRampPct+(1-LeaseUpRampPct)*LeaseUp!GC$10/StabilizedOccupancy))</f>
        <v/>
      </c>
      <c r="GD11" s="157">
        <f>IF(182&lt;DeliverStart,LeaseUpRampPct,MIN(1,LeaseUpRampPct+(1-LeaseUpRampPct)*LeaseUp!GD$10/StabilizedOccupancy))</f>
        <v/>
      </c>
      <c r="GE11" s="157">
        <f>IF(183&lt;DeliverStart,LeaseUpRampPct,MIN(1,LeaseUpRampPct+(1-LeaseUpRampPct)*LeaseUp!GE$10/StabilizedOccupancy))</f>
        <v/>
      </c>
      <c r="GF11" s="157">
        <f>IF(184&lt;DeliverStart,LeaseUpRampPct,MIN(1,LeaseUpRampPct+(1-LeaseUpRampPct)*LeaseUp!GF$10/StabilizedOccupancy))</f>
        <v/>
      </c>
      <c r="GG11" s="157">
        <f>IF(185&lt;DeliverStart,LeaseUpRampPct,MIN(1,LeaseUpRampPct+(1-LeaseUpRampPct)*LeaseUp!GG$10/StabilizedOccupancy))</f>
        <v/>
      </c>
      <c r="GH11" s="157">
        <f>IF(186&lt;DeliverStart,LeaseUpRampPct,MIN(1,LeaseUpRampPct+(1-LeaseUpRampPct)*LeaseUp!GH$10/StabilizedOccupancy))</f>
        <v/>
      </c>
      <c r="GI11" s="157">
        <f>IF(187&lt;DeliverStart,LeaseUpRampPct,MIN(1,LeaseUpRampPct+(1-LeaseUpRampPct)*LeaseUp!GI$10/StabilizedOccupancy))</f>
        <v/>
      </c>
      <c r="GJ11" s="157">
        <f>IF(188&lt;DeliverStart,LeaseUpRampPct,MIN(1,LeaseUpRampPct+(1-LeaseUpRampPct)*LeaseUp!GJ$10/StabilizedOccupancy))</f>
        <v/>
      </c>
      <c r="GK11" s="157">
        <f>IF(189&lt;DeliverStart,LeaseUpRampPct,MIN(1,LeaseUpRampPct+(1-LeaseUpRampPct)*LeaseUp!GK$10/StabilizedOccupancy))</f>
        <v/>
      </c>
      <c r="GL11" s="157">
        <f>IF(190&lt;DeliverStart,LeaseUpRampPct,MIN(1,LeaseUpRampPct+(1-LeaseUpRampPct)*LeaseUp!GL$10/StabilizedOccupancy))</f>
        <v/>
      </c>
      <c r="GM11" s="157">
        <f>IF(191&lt;DeliverStart,LeaseUpRampPct,MIN(1,LeaseUpRampPct+(1-LeaseUpRampPct)*LeaseUp!GM$10/StabilizedOccupancy))</f>
        <v/>
      </c>
      <c r="GN11" s="157">
        <f>IF(192&lt;DeliverStart,LeaseUpRampPct,MIN(1,LeaseUpRampPct+(1-LeaseUpRampPct)*LeaseUp!GN$10/StabilizedOccupancy))</f>
        <v/>
      </c>
      <c r="GO11" s="157">
        <f>IF(193&lt;DeliverStart,LeaseUpRampPct,MIN(1,LeaseUpRampPct+(1-LeaseUpRampPct)*LeaseUp!GO$10/StabilizedOccupancy))</f>
        <v/>
      </c>
      <c r="GP11" s="157">
        <f>IF(194&lt;DeliverStart,LeaseUpRampPct,MIN(1,LeaseUpRampPct+(1-LeaseUpRampPct)*LeaseUp!GP$10/StabilizedOccupancy))</f>
        <v/>
      </c>
      <c r="GQ11" s="157">
        <f>IF(195&lt;DeliverStart,LeaseUpRampPct,MIN(1,LeaseUpRampPct+(1-LeaseUpRampPct)*LeaseUp!GQ$10/StabilizedOccupancy))</f>
        <v/>
      </c>
      <c r="GR11" s="157">
        <f>IF(196&lt;DeliverStart,LeaseUpRampPct,MIN(1,LeaseUpRampPct+(1-LeaseUpRampPct)*LeaseUp!GR$10/StabilizedOccupancy))</f>
        <v/>
      </c>
      <c r="GS11" s="157">
        <f>IF(197&lt;DeliverStart,LeaseUpRampPct,MIN(1,LeaseUpRampPct+(1-LeaseUpRampPct)*LeaseUp!GS$10/StabilizedOccupancy))</f>
        <v/>
      </c>
      <c r="GT11" s="157">
        <f>IF(198&lt;DeliverStart,LeaseUpRampPct,MIN(1,LeaseUpRampPct+(1-LeaseUpRampPct)*LeaseUp!GT$10/StabilizedOccupancy))</f>
        <v/>
      </c>
      <c r="GU11" s="157">
        <f>IF(199&lt;DeliverStart,LeaseUpRampPct,MIN(1,LeaseUpRampPct+(1-LeaseUpRampPct)*LeaseUp!GU$10/StabilizedOccupancy))</f>
        <v/>
      </c>
      <c r="GV11" s="157">
        <f>IF(200&lt;DeliverStart,LeaseUpRampPct,MIN(1,LeaseUpRampPct+(1-LeaseUpRampPct)*LeaseUp!GV$10/StabilizedOccupancy))</f>
        <v/>
      </c>
      <c r="GW11" s="157">
        <f>IF(201&lt;DeliverStart,LeaseUpRampPct,MIN(1,LeaseUpRampPct+(1-LeaseUpRampPct)*LeaseUp!GW$10/StabilizedOccupancy))</f>
        <v/>
      </c>
      <c r="GX11" s="157">
        <f>IF(202&lt;DeliverStart,LeaseUpRampPct,MIN(1,LeaseUpRampPct+(1-LeaseUpRampPct)*LeaseUp!GX$10/StabilizedOccupancy))</f>
        <v/>
      </c>
      <c r="GY11" s="157">
        <f>IF(203&lt;DeliverStart,LeaseUpRampPct,MIN(1,LeaseUpRampPct+(1-LeaseUpRampPct)*LeaseUp!GY$10/StabilizedOccupancy))</f>
        <v/>
      </c>
      <c r="GZ11" s="157">
        <f>IF(204&lt;DeliverStart,LeaseUpRampPct,MIN(1,LeaseUpRampPct+(1-LeaseUpRampPct)*LeaseUp!GZ$10/StabilizedOccupancy))</f>
        <v/>
      </c>
      <c r="HA11" s="157">
        <f>IF(205&lt;DeliverStart,LeaseUpRampPct,MIN(1,LeaseUpRampPct+(1-LeaseUpRampPct)*LeaseUp!HA$10/StabilizedOccupancy))</f>
        <v/>
      </c>
      <c r="HB11" s="157">
        <f>IF(206&lt;DeliverStart,LeaseUpRampPct,MIN(1,LeaseUpRampPct+(1-LeaseUpRampPct)*LeaseUp!HB$10/StabilizedOccupancy))</f>
        <v/>
      </c>
      <c r="HC11" s="157">
        <f>IF(207&lt;DeliverStart,LeaseUpRampPct,MIN(1,LeaseUpRampPct+(1-LeaseUpRampPct)*LeaseUp!HC$10/StabilizedOccupancy))</f>
        <v/>
      </c>
      <c r="HD11" s="157">
        <f>IF(208&lt;DeliverStart,LeaseUpRampPct,MIN(1,LeaseUpRampPct+(1-LeaseUpRampPct)*LeaseUp!HD$10/StabilizedOccupancy))</f>
        <v/>
      </c>
      <c r="HE11" s="157">
        <f>IF(209&lt;DeliverStart,LeaseUpRampPct,MIN(1,LeaseUpRampPct+(1-LeaseUpRampPct)*LeaseUp!HE$10/StabilizedOccupancy))</f>
        <v/>
      </c>
      <c r="HF11" s="157">
        <f>IF(210&lt;DeliverStart,LeaseUpRampPct,MIN(1,LeaseUpRampPct+(1-LeaseUpRampPct)*LeaseUp!HF$10/StabilizedOccupancy))</f>
        <v/>
      </c>
      <c r="HG11" s="157">
        <f>IF(211&lt;DeliverStart,LeaseUpRampPct,MIN(1,LeaseUpRampPct+(1-LeaseUpRampPct)*LeaseUp!HG$10/StabilizedOccupancy))</f>
        <v/>
      </c>
      <c r="HH11" s="157">
        <f>IF(212&lt;DeliverStart,LeaseUpRampPct,MIN(1,LeaseUpRampPct+(1-LeaseUpRampPct)*LeaseUp!HH$10/StabilizedOccupancy))</f>
        <v/>
      </c>
      <c r="HI11" s="157">
        <f>IF(213&lt;DeliverStart,LeaseUpRampPct,MIN(1,LeaseUpRampPct+(1-LeaseUpRampPct)*LeaseUp!HI$10/StabilizedOccupancy))</f>
        <v/>
      </c>
      <c r="HJ11" s="157">
        <f>IF(214&lt;DeliverStart,LeaseUpRampPct,MIN(1,LeaseUpRampPct+(1-LeaseUpRampPct)*LeaseUp!HJ$10/StabilizedOccupancy))</f>
        <v/>
      </c>
      <c r="HK11" s="157">
        <f>IF(215&lt;DeliverStart,LeaseUpRampPct,MIN(1,LeaseUpRampPct+(1-LeaseUpRampPct)*LeaseUp!HK$10/StabilizedOccupancy))</f>
        <v/>
      </c>
      <c r="HL11" s="157">
        <f>IF(216&lt;DeliverStart,LeaseUpRampPct,MIN(1,LeaseUpRampPct+(1-LeaseUpRampPct)*LeaseUp!HL$10/StabilizedOccupancy))</f>
        <v/>
      </c>
      <c r="HM11" s="157">
        <f>IF(217&lt;DeliverStart,LeaseUpRampPct,MIN(1,LeaseUpRampPct+(1-LeaseUpRampPct)*LeaseUp!HM$10/StabilizedOccupancy))</f>
        <v/>
      </c>
      <c r="HN11" s="157">
        <f>IF(218&lt;DeliverStart,LeaseUpRampPct,MIN(1,LeaseUpRampPct+(1-LeaseUpRampPct)*LeaseUp!HN$10/StabilizedOccupancy))</f>
        <v/>
      </c>
      <c r="HO11" s="157">
        <f>IF(219&lt;DeliverStart,LeaseUpRampPct,MIN(1,LeaseUpRampPct+(1-LeaseUpRampPct)*LeaseUp!HO$10/StabilizedOccupancy))</f>
        <v/>
      </c>
      <c r="HP11" s="157">
        <f>IF(220&lt;DeliverStart,LeaseUpRampPct,MIN(1,LeaseUpRampPct+(1-LeaseUpRampPct)*LeaseUp!HP$10/StabilizedOccupancy))</f>
        <v/>
      </c>
      <c r="HQ11" s="157">
        <f>IF(221&lt;DeliverStart,LeaseUpRampPct,MIN(1,LeaseUpRampPct+(1-LeaseUpRampPct)*LeaseUp!HQ$10/StabilizedOccupancy))</f>
        <v/>
      </c>
      <c r="HR11" s="157">
        <f>IF(222&lt;DeliverStart,LeaseUpRampPct,MIN(1,LeaseUpRampPct+(1-LeaseUpRampPct)*LeaseUp!HR$10/StabilizedOccupancy))</f>
        <v/>
      </c>
      <c r="HS11" s="157">
        <f>IF(223&lt;DeliverStart,LeaseUpRampPct,MIN(1,LeaseUpRampPct+(1-LeaseUpRampPct)*LeaseUp!HS$10/StabilizedOccupancy))</f>
        <v/>
      </c>
      <c r="HT11" s="157">
        <f>IF(224&lt;DeliverStart,LeaseUpRampPct,MIN(1,LeaseUpRampPct+(1-LeaseUpRampPct)*LeaseUp!HT$10/StabilizedOccupancy))</f>
        <v/>
      </c>
      <c r="HU11" s="157">
        <f>IF(225&lt;DeliverStart,LeaseUpRampPct,MIN(1,LeaseUpRampPct+(1-LeaseUpRampPct)*LeaseUp!HU$10/StabilizedOccupancy))</f>
        <v/>
      </c>
      <c r="HV11" s="157">
        <f>IF(226&lt;DeliverStart,LeaseUpRampPct,MIN(1,LeaseUpRampPct+(1-LeaseUpRampPct)*LeaseUp!HV$10/StabilizedOccupancy))</f>
        <v/>
      </c>
      <c r="HW11" s="157">
        <f>IF(227&lt;DeliverStart,LeaseUpRampPct,MIN(1,LeaseUpRampPct+(1-LeaseUpRampPct)*LeaseUp!HW$10/StabilizedOccupancy))</f>
        <v/>
      </c>
      <c r="HX11" s="157">
        <f>IF(228&lt;DeliverStart,LeaseUpRampPct,MIN(1,LeaseUpRampPct+(1-LeaseUpRampPct)*LeaseUp!HX$10/StabilizedOccupancy))</f>
        <v/>
      </c>
      <c r="HY11" s="157">
        <f>IF(229&lt;DeliverStart,LeaseUpRampPct,MIN(1,LeaseUpRampPct+(1-LeaseUpRampPct)*LeaseUp!HY$10/StabilizedOccupancy))</f>
        <v/>
      </c>
      <c r="HZ11" s="157">
        <f>IF(230&lt;DeliverStart,LeaseUpRampPct,MIN(1,LeaseUpRampPct+(1-LeaseUpRampPct)*LeaseUp!HZ$10/StabilizedOccupancy))</f>
        <v/>
      </c>
      <c r="IA11" s="157">
        <f>IF(231&lt;DeliverStart,LeaseUpRampPct,MIN(1,LeaseUpRampPct+(1-LeaseUpRampPct)*LeaseUp!IA$10/StabilizedOccupancy))</f>
        <v/>
      </c>
      <c r="IB11" s="157">
        <f>IF(232&lt;DeliverStart,LeaseUpRampPct,MIN(1,LeaseUpRampPct+(1-LeaseUpRampPct)*LeaseUp!IB$10/StabilizedOccupancy))</f>
        <v/>
      </c>
      <c r="IC11" s="157">
        <f>IF(233&lt;DeliverStart,LeaseUpRampPct,MIN(1,LeaseUpRampPct+(1-LeaseUpRampPct)*LeaseUp!IC$10/StabilizedOccupancy))</f>
        <v/>
      </c>
      <c r="ID11" s="157">
        <f>IF(234&lt;DeliverStart,LeaseUpRampPct,MIN(1,LeaseUpRampPct+(1-LeaseUpRampPct)*LeaseUp!ID$10/StabilizedOccupancy))</f>
        <v/>
      </c>
      <c r="IE11" s="157">
        <f>IF(235&lt;DeliverStart,LeaseUpRampPct,MIN(1,LeaseUpRampPct+(1-LeaseUpRampPct)*LeaseUp!IE$10/StabilizedOccupancy))</f>
        <v/>
      </c>
      <c r="IF11" s="157">
        <f>IF(236&lt;DeliverStart,LeaseUpRampPct,MIN(1,LeaseUpRampPct+(1-LeaseUpRampPct)*LeaseUp!IF$10/StabilizedOccupancy))</f>
        <v/>
      </c>
      <c r="IG11" s="157">
        <f>IF(237&lt;DeliverStart,LeaseUpRampPct,MIN(1,LeaseUpRampPct+(1-LeaseUpRampPct)*LeaseUp!IG$10/StabilizedOccupancy))</f>
        <v/>
      </c>
      <c r="IH11" s="157">
        <f>IF(238&lt;DeliverStart,LeaseUpRampPct,MIN(1,LeaseUpRampPct+(1-LeaseUpRampPct)*LeaseUp!IH$10/StabilizedOccupancy))</f>
        <v/>
      </c>
      <c r="II11" s="157">
        <f>IF(239&lt;DeliverStart,LeaseUpRampPct,MIN(1,LeaseUpRampPct+(1-LeaseUpRampPct)*LeaseUp!II$10/StabilizedOccupancy))</f>
        <v/>
      </c>
      <c r="IJ11" s="157">
        <f>IF(240&lt;DeliverStart,LeaseUpRampPct,MIN(1,LeaseUpRampPct+(1-LeaseUpRampPct)*LeaseUp!IJ$10/StabilizedOccupancy))</f>
        <v/>
      </c>
      <c r="IK11" s="157">
        <f>IF(241&lt;DeliverStart,LeaseUpRampPct,MIN(1,LeaseUpRampPct+(1-LeaseUpRampPct)*LeaseUp!IK$10/StabilizedOccupancy))</f>
        <v/>
      </c>
      <c r="IL11" s="157">
        <f>IF(242&lt;DeliverStart,LeaseUpRampPct,MIN(1,LeaseUpRampPct+(1-LeaseUpRampPct)*LeaseUp!IL$10/StabilizedOccupancy))</f>
        <v/>
      </c>
      <c r="IM11" s="157">
        <f>IF(243&lt;DeliverStart,LeaseUpRampPct,MIN(1,LeaseUpRampPct+(1-LeaseUpRampPct)*LeaseUp!IM$10/StabilizedOccupancy))</f>
        <v/>
      </c>
      <c r="IN11" s="157">
        <f>IF(244&lt;DeliverStart,LeaseUpRampPct,MIN(1,LeaseUpRampPct+(1-LeaseUpRampPct)*LeaseUp!IN$10/StabilizedOccupancy))</f>
        <v/>
      </c>
      <c r="IO11" s="157">
        <f>IF(245&lt;DeliverStart,LeaseUpRampPct,MIN(1,LeaseUpRampPct+(1-LeaseUpRampPct)*LeaseUp!IO$10/StabilizedOccupancy))</f>
        <v/>
      </c>
      <c r="IP11" s="157">
        <f>IF(246&lt;DeliverStart,LeaseUpRampPct,MIN(1,LeaseUpRampPct+(1-LeaseUpRampPct)*LeaseUp!IP$10/StabilizedOccupancy))</f>
        <v/>
      </c>
      <c r="IQ11" s="157">
        <f>IF(247&lt;DeliverStart,LeaseUpRampPct,MIN(1,LeaseUpRampPct+(1-LeaseUpRampPct)*LeaseUp!IQ$10/StabilizedOccupancy))</f>
        <v/>
      </c>
      <c r="IR11" s="157">
        <f>IF(248&lt;DeliverStart,LeaseUpRampPct,MIN(1,LeaseUpRampPct+(1-LeaseUpRampPct)*LeaseUp!IR$10/StabilizedOccupancy))</f>
        <v/>
      </c>
      <c r="IS11" s="157">
        <f>IF(249&lt;DeliverStart,LeaseUpRampPct,MIN(1,LeaseUpRampPct+(1-LeaseUpRampPct)*LeaseUp!IS$10/StabilizedOccupancy))</f>
        <v/>
      </c>
      <c r="IT11" s="157">
        <f>IF(250&lt;DeliverStart,LeaseUpRampPct,MIN(1,LeaseUpRampPct+(1-LeaseUpRampPct)*LeaseUp!IT$10/StabilizedOccupancy))</f>
        <v/>
      </c>
      <c r="IU11" s="157">
        <f>IF(251&lt;DeliverStart,LeaseUpRampPct,MIN(1,LeaseUpRampPct+(1-LeaseUpRampPct)*LeaseUp!IU$10/StabilizedOccupancy))</f>
        <v/>
      </c>
      <c r="IV11" s="157">
        <f>IF(252&lt;DeliverStart,LeaseUpRampPct,MIN(1,LeaseUpRampPct+(1-LeaseUpRampPct)*LeaseUp!IV$10/StabilizedOccupancy))</f>
        <v/>
      </c>
      <c r="IW11" s="157">
        <f>IF(253&lt;DeliverStart,LeaseUpRampPct,MIN(1,LeaseUpRampPct+(1-LeaseUpRampPct)*LeaseUp!IW$10/StabilizedOccupancy))</f>
        <v/>
      </c>
      <c r="IX11" s="157">
        <f>IF(254&lt;DeliverStart,LeaseUpRampPct,MIN(1,LeaseUpRampPct+(1-LeaseUpRampPct)*LeaseUp!IX$10/StabilizedOccupancy))</f>
        <v/>
      </c>
      <c r="IY11" s="157">
        <f>IF(255&lt;DeliverStart,LeaseUpRampPct,MIN(1,LeaseUpRampPct+(1-LeaseUpRampPct)*LeaseUp!IY$10/StabilizedOccupancy))</f>
        <v/>
      </c>
      <c r="IZ11" s="157">
        <f>IF(256&lt;DeliverStart,LeaseUpRampPct,MIN(1,LeaseUpRampPct+(1-LeaseUpRampPct)*LeaseUp!IZ$10/StabilizedOccupancy))</f>
        <v/>
      </c>
      <c r="JA11" s="157">
        <f>IF(257&lt;DeliverStart,LeaseUpRampPct,MIN(1,LeaseUpRampPct+(1-LeaseUpRampPct)*LeaseUp!JA$10/StabilizedOccupancy))</f>
        <v/>
      </c>
      <c r="JB11" s="157">
        <f>IF(258&lt;DeliverStart,LeaseUpRampPct,MIN(1,LeaseUpRampPct+(1-LeaseUpRampPct)*LeaseUp!JB$10/StabilizedOccupancy))</f>
        <v/>
      </c>
      <c r="JC11" s="157">
        <f>IF(259&lt;DeliverStart,LeaseUpRampPct,MIN(1,LeaseUpRampPct+(1-LeaseUpRampPct)*LeaseUp!JC$10/StabilizedOccupancy))</f>
        <v/>
      </c>
      <c r="JD11" s="157">
        <f>IF(260&lt;DeliverStart,LeaseUpRampPct,MIN(1,LeaseUpRampPct+(1-LeaseUpRampPct)*LeaseUp!JD$10/StabilizedOccupancy))</f>
        <v/>
      </c>
      <c r="JE11" s="157">
        <f>IF(261&lt;DeliverStart,LeaseUpRampPct,MIN(1,LeaseUpRampPct+(1-LeaseUpRampPct)*LeaseUp!JE$10/StabilizedOccupancy))</f>
        <v/>
      </c>
      <c r="JF11" s="157">
        <f>IF(262&lt;DeliverStart,LeaseUpRampPct,MIN(1,LeaseUpRampPct+(1-LeaseUpRampPct)*LeaseUp!JF$10/StabilizedOccupancy))</f>
        <v/>
      </c>
      <c r="JG11" s="157">
        <f>IF(263&lt;DeliverStart,LeaseUpRampPct,MIN(1,LeaseUpRampPct+(1-LeaseUpRampPct)*LeaseUp!JG$10/StabilizedOccupancy))</f>
        <v/>
      </c>
      <c r="JH11" s="157">
        <f>IF(264&lt;DeliverStart,LeaseUpRampPct,MIN(1,LeaseUpRampPct+(1-LeaseUpRampPct)*LeaseUp!JH$10/StabilizedOccupancy))</f>
        <v/>
      </c>
      <c r="JI11" s="157">
        <f>IF(265&lt;DeliverStart,LeaseUpRampPct,MIN(1,LeaseUpRampPct+(1-LeaseUpRampPct)*LeaseUp!JI$10/StabilizedOccupancy))</f>
        <v/>
      </c>
      <c r="JJ11" s="157">
        <f>IF(266&lt;DeliverStart,LeaseUpRampPct,MIN(1,LeaseUpRampPct+(1-LeaseUpRampPct)*LeaseUp!JJ$10/StabilizedOccupancy))</f>
        <v/>
      </c>
      <c r="JK11" s="157">
        <f>IF(267&lt;DeliverStart,LeaseUpRampPct,MIN(1,LeaseUpRampPct+(1-LeaseUpRampPct)*LeaseUp!JK$10/StabilizedOccupancy))</f>
        <v/>
      </c>
      <c r="JL11" s="157">
        <f>IF(268&lt;DeliverStart,LeaseUpRampPct,MIN(1,LeaseUpRampPct+(1-LeaseUpRampPct)*LeaseUp!JL$10/StabilizedOccupancy))</f>
        <v/>
      </c>
      <c r="JM11" s="157">
        <f>IF(269&lt;DeliverStart,LeaseUpRampPct,MIN(1,LeaseUpRampPct+(1-LeaseUpRampPct)*LeaseUp!JM$10/StabilizedOccupancy))</f>
        <v/>
      </c>
      <c r="JN11" s="157">
        <f>IF(270&lt;DeliverStart,LeaseUpRampPct,MIN(1,LeaseUpRampPct+(1-LeaseUpRampPct)*LeaseUp!JN$10/StabilizedOccupancy))</f>
        <v/>
      </c>
      <c r="JO11" s="157">
        <f>IF(271&lt;DeliverStart,LeaseUpRampPct,MIN(1,LeaseUpRampPct+(1-LeaseUpRampPct)*LeaseUp!JO$10/StabilizedOccupancy))</f>
        <v/>
      </c>
      <c r="JP11" s="157">
        <f>IF(272&lt;DeliverStart,LeaseUpRampPct,MIN(1,LeaseUpRampPct+(1-LeaseUpRampPct)*LeaseUp!JP$10/StabilizedOccupancy))</f>
        <v/>
      </c>
      <c r="JQ11" s="157">
        <f>IF(273&lt;DeliverStart,LeaseUpRampPct,MIN(1,LeaseUpRampPct+(1-LeaseUpRampPct)*LeaseUp!JQ$10/StabilizedOccupancy))</f>
        <v/>
      </c>
      <c r="JR11" s="157">
        <f>IF(274&lt;DeliverStart,LeaseUpRampPct,MIN(1,LeaseUpRampPct+(1-LeaseUpRampPct)*LeaseUp!JR$10/StabilizedOccupancy))</f>
        <v/>
      </c>
      <c r="JS11" s="157">
        <f>IF(275&lt;DeliverStart,LeaseUpRampPct,MIN(1,LeaseUpRampPct+(1-LeaseUpRampPct)*LeaseUp!JS$10/StabilizedOccupancy))</f>
        <v/>
      </c>
      <c r="JT11" s="157">
        <f>IF(276&lt;DeliverStart,LeaseUpRampPct,MIN(1,LeaseUpRampPct+(1-LeaseUpRampPct)*LeaseUp!JT$10/StabilizedOccupancy))</f>
        <v/>
      </c>
      <c r="JU11" s="157">
        <f>IF(277&lt;DeliverStart,LeaseUpRampPct,MIN(1,LeaseUpRampPct+(1-LeaseUpRampPct)*LeaseUp!JU$10/StabilizedOccupancy))</f>
        <v/>
      </c>
      <c r="JV11" s="157">
        <f>IF(278&lt;DeliverStart,LeaseUpRampPct,MIN(1,LeaseUpRampPct+(1-LeaseUpRampPct)*LeaseUp!JV$10/StabilizedOccupancy))</f>
        <v/>
      </c>
      <c r="JW11" s="157">
        <f>IF(279&lt;DeliverStart,LeaseUpRampPct,MIN(1,LeaseUpRampPct+(1-LeaseUpRampPct)*LeaseUp!JW$10/StabilizedOccupancy))</f>
        <v/>
      </c>
      <c r="JX11" s="157">
        <f>IF(280&lt;DeliverStart,LeaseUpRampPct,MIN(1,LeaseUpRampPct+(1-LeaseUpRampPct)*LeaseUp!JX$10/StabilizedOccupancy))</f>
        <v/>
      </c>
      <c r="JY11" s="157">
        <f>IF(281&lt;DeliverStart,LeaseUpRampPct,MIN(1,LeaseUpRampPct+(1-LeaseUpRampPct)*LeaseUp!JY$10/StabilizedOccupancy))</f>
        <v/>
      </c>
      <c r="JZ11" s="157">
        <f>IF(282&lt;DeliverStart,LeaseUpRampPct,MIN(1,LeaseUpRampPct+(1-LeaseUpRampPct)*LeaseUp!JZ$10/StabilizedOccupancy))</f>
        <v/>
      </c>
      <c r="KA11" s="157">
        <f>IF(283&lt;DeliverStart,LeaseUpRampPct,MIN(1,LeaseUpRampPct+(1-LeaseUpRampPct)*LeaseUp!KA$10/StabilizedOccupancy))</f>
        <v/>
      </c>
      <c r="KB11" s="157">
        <f>IF(284&lt;DeliverStart,LeaseUpRampPct,MIN(1,LeaseUpRampPct+(1-LeaseUpRampPct)*LeaseUp!KB$10/StabilizedOccupancy))</f>
        <v/>
      </c>
      <c r="KC11" s="157">
        <f>IF(285&lt;DeliverStart,LeaseUpRampPct,MIN(1,LeaseUpRampPct+(1-LeaseUpRampPct)*LeaseUp!KC$10/StabilizedOccupancy))</f>
        <v/>
      </c>
      <c r="KD11" s="157">
        <f>IF(286&lt;DeliverStart,LeaseUpRampPct,MIN(1,LeaseUpRampPct+(1-LeaseUpRampPct)*LeaseUp!KD$10/StabilizedOccupancy))</f>
        <v/>
      </c>
      <c r="KE11" s="157">
        <f>IF(287&lt;DeliverStart,LeaseUpRampPct,MIN(1,LeaseUpRampPct+(1-LeaseUpRampPct)*LeaseUp!KE$10/StabilizedOccupancy))</f>
        <v/>
      </c>
      <c r="KF11" s="157">
        <f>IF(288&lt;DeliverStart,LeaseUpRampPct,MIN(1,LeaseUpRampPct+(1-LeaseUpRampPct)*LeaseUp!KF$10/StabilizedOccupancy))</f>
        <v/>
      </c>
      <c r="KG11" s="157">
        <f>IF(289&lt;DeliverStart,LeaseUpRampPct,MIN(1,LeaseUpRampPct+(1-LeaseUpRampPct)*LeaseUp!KG$10/StabilizedOccupancy))</f>
        <v/>
      </c>
      <c r="KH11" s="157">
        <f>IF(290&lt;DeliverStart,LeaseUpRampPct,MIN(1,LeaseUpRampPct+(1-LeaseUpRampPct)*LeaseUp!KH$10/StabilizedOccupancy))</f>
        <v/>
      </c>
      <c r="KI11" s="157">
        <f>IF(291&lt;DeliverStart,LeaseUpRampPct,MIN(1,LeaseUpRampPct+(1-LeaseUpRampPct)*LeaseUp!KI$10/StabilizedOccupancy))</f>
        <v/>
      </c>
      <c r="KJ11" s="157">
        <f>IF(292&lt;DeliverStart,LeaseUpRampPct,MIN(1,LeaseUpRampPct+(1-LeaseUpRampPct)*LeaseUp!KJ$10/StabilizedOccupancy))</f>
        <v/>
      </c>
      <c r="KK11" s="157">
        <f>IF(293&lt;DeliverStart,LeaseUpRampPct,MIN(1,LeaseUpRampPct+(1-LeaseUpRampPct)*LeaseUp!KK$10/StabilizedOccupancy))</f>
        <v/>
      </c>
      <c r="KL11" s="157">
        <f>IF(294&lt;DeliverStart,LeaseUpRampPct,MIN(1,LeaseUpRampPct+(1-LeaseUpRampPct)*LeaseUp!KL$10/StabilizedOccupancy))</f>
        <v/>
      </c>
      <c r="KM11" s="157">
        <f>IF(295&lt;DeliverStart,LeaseUpRampPct,MIN(1,LeaseUpRampPct+(1-LeaseUpRampPct)*LeaseUp!KM$10/StabilizedOccupancy))</f>
        <v/>
      </c>
      <c r="KN11" s="157">
        <f>IF(296&lt;DeliverStart,LeaseUpRampPct,MIN(1,LeaseUpRampPct+(1-LeaseUpRampPct)*LeaseUp!KN$10/StabilizedOccupancy))</f>
        <v/>
      </c>
      <c r="KO11" s="157">
        <f>IF(297&lt;DeliverStart,LeaseUpRampPct,MIN(1,LeaseUpRampPct+(1-LeaseUpRampPct)*LeaseUp!KO$10/StabilizedOccupancy))</f>
        <v/>
      </c>
      <c r="KP11" s="157">
        <f>IF(298&lt;DeliverStart,LeaseUpRampPct,MIN(1,LeaseUpRampPct+(1-LeaseUpRampPct)*LeaseUp!KP$10/StabilizedOccupancy))</f>
        <v/>
      </c>
      <c r="KQ11" s="157">
        <f>IF(299&lt;DeliverStart,LeaseUpRampPct,MIN(1,LeaseUpRampPct+(1-LeaseUpRampPct)*LeaseUp!KQ$10/StabilizedOccupancy))</f>
        <v/>
      </c>
      <c r="KR11" s="157">
        <f>IF(300&lt;DeliverStart,LeaseUpRampPct,MIN(1,LeaseUpRampPct+(1-LeaseUpRampPct)*LeaseUp!KR$10/StabilizedOccupancy))</f>
        <v/>
      </c>
      <c r="KS11" s="157">
        <f>IF(301&lt;DeliverStart,LeaseUpRampPct,MIN(1,LeaseUpRampPct+(1-LeaseUpRampPct)*LeaseUp!KS$10/StabilizedOccupancy))</f>
        <v/>
      </c>
      <c r="KT11" s="157">
        <f>IF(302&lt;DeliverStart,LeaseUpRampPct,MIN(1,LeaseUpRampPct+(1-LeaseUpRampPct)*LeaseUp!KT$10/StabilizedOccupancy))</f>
        <v/>
      </c>
      <c r="KU11" s="157">
        <f>IF(303&lt;DeliverStart,LeaseUpRampPct,MIN(1,LeaseUpRampPct+(1-LeaseUpRampPct)*LeaseUp!KU$10/StabilizedOccupancy))</f>
        <v/>
      </c>
      <c r="KV11" s="157">
        <f>IF(304&lt;DeliverStart,LeaseUpRampPct,MIN(1,LeaseUpRampPct+(1-LeaseUpRampPct)*LeaseUp!KV$10/StabilizedOccupancy))</f>
        <v/>
      </c>
      <c r="KW11" s="157">
        <f>IF(305&lt;DeliverStart,LeaseUpRampPct,MIN(1,LeaseUpRampPct+(1-LeaseUpRampPct)*LeaseUp!KW$10/StabilizedOccupancy))</f>
        <v/>
      </c>
      <c r="KX11" s="157">
        <f>IF(306&lt;DeliverStart,LeaseUpRampPct,MIN(1,LeaseUpRampPct+(1-LeaseUpRampPct)*LeaseUp!KX$10/StabilizedOccupancy))</f>
        <v/>
      </c>
      <c r="KY11" s="157">
        <f>IF(307&lt;DeliverStart,LeaseUpRampPct,MIN(1,LeaseUpRampPct+(1-LeaseUpRampPct)*LeaseUp!KY$10/StabilizedOccupancy))</f>
        <v/>
      </c>
      <c r="KZ11" s="157">
        <f>IF(308&lt;DeliverStart,LeaseUpRampPct,MIN(1,LeaseUpRampPct+(1-LeaseUpRampPct)*LeaseUp!KZ$10/StabilizedOccupancy))</f>
        <v/>
      </c>
      <c r="LA11" s="157">
        <f>IF(309&lt;DeliverStart,LeaseUpRampPct,MIN(1,LeaseUpRampPct+(1-LeaseUpRampPct)*LeaseUp!LA$10/StabilizedOccupancy))</f>
        <v/>
      </c>
      <c r="LB11" s="157">
        <f>IF(310&lt;DeliverStart,LeaseUpRampPct,MIN(1,LeaseUpRampPct+(1-LeaseUpRampPct)*LeaseUp!LB$10/StabilizedOccupancy))</f>
        <v/>
      </c>
      <c r="LC11" s="157">
        <f>IF(311&lt;DeliverStart,LeaseUpRampPct,MIN(1,LeaseUpRampPct+(1-LeaseUpRampPct)*LeaseUp!LC$10/StabilizedOccupancy))</f>
        <v/>
      </c>
      <c r="LD11" s="157">
        <f>IF(312&lt;DeliverStart,LeaseUpRampPct,MIN(1,LeaseUpRampPct+(1-LeaseUpRampPct)*LeaseUp!LD$10/StabilizedOccupancy))</f>
        <v/>
      </c>
      <c r="LE11" s="157">
        <f>IF(313&lt;DeliverStart,LeaseUpRampPct,MIN(1,LeaseUpRampPct+(1-LeaseUpRampPct)*LeaseUp!LE$10/StabilizedOccupancy))</f>
        <v/>
      </c>
      <c r="LF11" s="157">
        <f>IF(314&lt;DeliverStart,LeaseUpRampPct,MIN(1,LeaseUpRampPct+(1-LeaseUpRampPct)*LeaseUp!LF$10/StabilizedOccupancy))</f>
        <v/>
      </c>
      <c r="LG11" s="157">
        <f>IF(315&lt;DeliverStart,LeaseUpRampPct,MIN(1,LeaseUpRampPct+(1-LeaseUpRampPct)*LeaseUp!LG$10/StabilizedOccupancy))</f>
        <v/>
      </c>
      <c r="LH11" s="157">
        <f>IF(316&lt;DeliverStart,LeaseUpRampPct,MIN(1,LeaseUpRampPct+(1-LeaseUpRampPct)*LeaseUp!LH$10/StabilizedOccupancy))</f>
        <v/>
      </c>
      <c r="LI11" s="157">
        <f>IF(317&lt;DeliverStart,LeaseUpRampPct,MIN(1,LeaseUpRampPct+(1-LeaseUpRampPct)*LeaseUp!LI$10/StabilizedOccupancy))</f>
        <v/>
      </c>
      <c r="LJ11" s="157">
        <f>IF(318&lt;DeliverStart,LeaseUpRampPct,MIN(1,LeaseUpRampPct+(1-LeaseUpRampPct)*LeaseUp!LJ$10/StabilizedOccupancy))</f>
        <v/>
      </c>
      <c r="LK11" s="157">
        <f>IF(319&lt;DeliverStart,LeaseUpRampPct,MIN(1,LeaseUpRampPct+(1-LeaseUpRampPct)*LeaseUp!LK$10/StabilizedOccupancy))</f>
        <v/>
      </c>
      <c r="LL11" s="157">
        <f>IF(320&lt;DeliverStart,LeaseUpRampPct,MIN(1,LeaseUpRampPct+(1-LeaseUpRampPct)*LeaseUp!LL$10/StabilizedOccupancy))</f>
        <v/>
      </c>
      <c r="LM11" s="157">
        <f>IF(321&lt;DeliverStart,LeaseUpRampPct,MIN(1,LeaseUpRampPct+(1-LeaseUpRampPct)*LeaseUp!LM$10/StabilizedOccupancy))</f>
        <v/>
      </c>
      <c r="LN11" s="157">
        <f>IF(322&lt;DeliverStart,LeaseUpRampPct,MIN(1,LeaseUpRampPct+(1-LeaseUpRampPct)*LeaseUp!LN$10/StabilizedOccupancy))</f>
        <v/>
      </c>
      <c r="LO11" s="157">
        <f>IF(323&lt;DeliverStart,LeaseUpRampPct,MIN(1,LeaseUpRampPct+(1-LeaseUpRampPct)*LeaseUp!LO$10/StabilizedOccupancy))</f>
        <v/>
      </c>
      <c r="LP11" s="157">
        <f>IF(324&lt;DeliverStart,LeaseUpRampPct,MIN(1,LeaseUpRampPct+(1-LeaseUpRampPct)*LeaseUp!LP$10/StabilizedOccupancy))</f>
        <v/>
      </c>
      <c r="LQ11" s="157">
        <f>IF(325&lt;DeliverStart,LeaseUpRampPct,MIN(1,LeaseUpRampPct+(1-LeaseUpRampPct)*LeaseUp!LQ$10/StabilizedOccupancy))</f>
        <v/>
      </c>
      <c r="LR11" s="157">
        <f>IF(326&lt;DeliverStart,LeaseUpRampPct,MIN(1,LeaseUpRampPct+(1-LeaseUpRampPct)*LeaseUp!LR$10/StabilizedOccupancy))</f>
        <v/>
      </c>
      <c r="LS11" s="157">
        <f>IF(327&lt;DeliverStart,LeaseUpRampPct,MIN(1,LeaseUpRampPct+(1-LeaseUpRampPct)*LeaseUp!LS$10/StabilizedOccupancy))</f>
        <v/>
      </c>
      <c r="LT11" s="157">
        <f>IF(328&lt;DeliverStart,LeaseUpRampPct,MIN(1,LeaseUpRampPct+(1-LeaseUpRampPct)*LeaseUp!LT$10/StabilizedOccupancy))</f>
        <v/>
      </c>
      <c r="LU11" s="157">
        <f>IF(329&lt;DeliverStart,LeaseUpRampPct,MIN(1,LeaseUpRampPct+(1-LeaseUpRampPct)*LeaseUp!LU$10/StabilizedOccupancy))</f>
        <v/>
      </c>
      <c r="LV11" s="157">
        <f>IF(330&lt;DeliverStart,LeaseUpRampPct,MIN(1,LeaseUpRampPct+(1-LeaseUpRampPct)*LeaseUp!LV$10/StabilizedOccupancy))</f>
        <v/>
      </c>
      <c r="LW11" s="157">
        <f>IF(331&lt;DeliverStart,LeaseUpRampPct,MIN(1,LeaseUpRampPct+(1-LeaseUpRampPct)*LeaseUp!LW$10/StabilizedOccupancy))</f>
        <v/>
      </c>
      <c r="LX11" s="157">
        <f>IF(332&lt;DeliverStart,LeaseUpRampPct,MIN(1,LeaseUpRampPct+(1-LeaseUpRampPct)*LeaseUp!LX$10/StabilizedOccupancy))</f>
        <v/>
      </c>
      <c r="LY11" s="157">
        <f>IF(333&lt;DeliverStart,LeaseUpRampPct,MIN(1,LeaseUpRampPct+(1-LeaseUpRampPct)*LeaseUp!LY$10/StabilizedOccupancy))</f>
        <v/>
      </c>
      <c r="LZ11" s="157">
        <f>IF(334&lt;DeliverStart,LeaseUpRampPct,MIN(1,LeaseUpRampPct+(1-LeaseUpRampPct)*LeaseUp!LZ$10/StabilizedOccupancy))</f>
        <v/>
      </c>
      <c r="MA11" s="157">
        <f>IF(335&lt;DeliverStart,LeaseUpRampPct,MIN(1,LeaseUpRampPct+(1-LeaseUpRampPct)*LeaseUp!MA$10/StabilizedOccupancy))</f>
        <v/>
      </c>
      <c r="MB11" s="157">
        <f>IF(336&lt;DeliverStart,LeaseUpRampPct,MIN(1,LeaseUpRampPct+(1-LeaseUpRampPct)*LeaseUp!MB$10/StabilizedOccupancy))</f>
        <v/>
      </c>
      <c r="MC11" s="157">
        <f>IF(337&lt;DeliverStart,LeaseUpRampPct,MIN(1,LeaseUpRampPct+(1-LeaseUpRampPct)*LeaseUp!MC$10/StabilizedOccupancy))</f>
        <v/>
      </c>
      <c r="MD11" s="157">
        <f>IF(338&lt;DeliverStart,LeaseUpRampPct,MIN(1,LeaseUpRampPct+(1-LeaseUpRampPct)*LeaseUp!MD$10/StabilizedOccupancy))</f>
        <v/>
      </c>
      <c r="ME11" s="157">
        <f>IF(339&lt;DeliverStart,LeaseUpRampPct,MIN(1,LeaseUpRampPct+(1-LeaseUpRampPct)*LeaseUp!ME$10/StabilizedOccupancy))</f>
        <v/>
      </c>
      <c r="MF11" s="157">
        <f>IF(340&lt;DeliverStart,LeaseUpRampPct,MIN(1,LeaseUpRampPct+(1-LeaseUpRampPct)*LeaseUp!MF$10/StabilizedOccupancy))</f>
        <v/>
      </c>
      <c r="MG11" s="157">
        <f>IF(341&lt;DeliverStart,LeaseUpRampPct,MIN(1,LeaseUpRampPct+(1-LeaseUpRampPct)*LeaseUp!MG$10/StabilizedOccupancy))</f>
        <v/>
      </c>
      <c r="MH11" s="157">
        <f>IF(342&lt;DeliverStart,LeaseUpRampPct,MIN(1,LeaseUpRampPct+(1-LeaseUpRampPct)*LeaseUp!MH$10/StabilizedOccupancy))</f>
        <v/>
      </c>
      <c r="MI11" s="157">
        <f>IF(343&lt;DeliverStart,LeaseUpRampPct,MIN(1,LeaseUpRampPct+(1-LeaseUpRampPct)*LeaseUp!MI$10/StabilizedOccupancy))</f>
        <v/>
      </c>
      <c r="MJ11" s="157">
        <f>IF(344&lt;DeliverStart,LeaseUpRampPct,MIN(1,LeaseUpRampPct+(1-LeaseUpRampPct)*LeaseUp!MJ$10/StabilizedOccupancy))</f>
        <v/>
      </c>
      <c r="MK11" s="157">
        <f>IF(345&lt;DeliverStart,LeaseUpRampPct,MIN(1,LeaseUpRampPct+(1-LeaseUpRampPct)*LeaseUp!MK$10/StabilizedOccupancy))</f>
        <v/>
      </c>
      <c r="ML11" s="157">
        <f>IF(346&lt;DeliverStart,LeaseUpRampPct,MIN(1,LeaseUpRampPct+(1-LeaseUpRampPct)*LeaseUp!ML$10/StabilizedOccupancy))</f>
        <v/>
      </c>
      <c r="MM11" s="157">
        <f>IF(347&lt;DeliverStart,LeaseUpRampPct,MIN(1,LeaseUpRampPct+(1-LeaseUpRampPct)*LeaseUp!MM$10/StabilizedOccupancy))</f>
        <v/>
      </c>
      <c r="MN11" s="157">
        <f>IF(348&lt;DeliverStart,LeaseUpRampPct,MIN(1,LeaseUpRampPct+(1-LeaseUpRampPct)*LeaseUp!MN$10/StabilizedOccupancy))</f>
        <v/>
      </c>
      <c r="MO11" s="157">
        <f>IF(349&lt;DeliverStart,LeaseUpRampPct,MIN(1,LeaseUpRampPct+(1-LeaseUpRampPct)*LeaseUp!MO$10/StabilizedOccupancy))</f>
        <v/>
      </c>
      <c r="MP11" s="157">
        <f>IF(350&lt;DeliverStart,LeaseUpRampPct,MIN(1,LeaseUpRampPct+(1-LeaseUpRampPct)*LeaseUp!MP$10/StabilizedOccupancy))</f>
        <v/>
      </c>
      <c r="MQ11" s="157">
        <f>IF(351&lt;DeliverStart,LeaseUpRampPct,MIN(1,LeaseUpRampPct+(1-LeaseUpRampPct)*LeaseUp!MQ$10/StabilizedOccupancy))</f>
        <v/>
      </c>
      <c r="MR11" s="157">
        <f>IF(352&lt;DeliverStart,LeaseUpRampPct,MIN(1,LeaseUpRampPct+(1-LeaseUpRampPct)*LeaseUp!MR$10/StabilizedOccupancy))</f>
        <v/>
      </c>
      <c r="MS11" s="157">
        <f>IF(353&lt;DeliverStart,LeaseUpRampPct,MIN(1,LeaseUpRampPct+(1-LeaseUpRampPct)*LeaseUp!MS$10/StabilizedOccupancy))</f>
        <v/>
      </c>
      <c r="MT11" s="157">
        <f>IF(354&lt;DeliverStart,LeaseUpRampPct,MIN(1,LeaseUpRampPct+(1-LeaseUpRampPct)*LeaseUp!MT$10/StabilizedOccupancy))</f>
        <v/>
      </c>
      <c r="MU11" s="157">
        <f>IF(355&lt;DeliverStart,LeaseUpRampPct,MIN(1,LeaseUpRampPct+(1-LeaseUpRampPct)*LeaseUp!MU$10/StabilizedOccupancy))</f>
        <v/>
      </c>
      <c r="MV11" s="157">
        <f>IF(356&lt;DeliverStart,LeaseUpRampPct,MIN(1,LeaseUpRampPct+(1-LeaseUpRampPct)*LeaseUp!MV$10/StabilizedOccupancy))</f>
        <v/>
      </c>
      <c r="MW11" s="157">
        <f>IF(357&lt;DeliverStart,LeaseUpRampPct,MIN(1,LeaseUpRampPct+(1-LeaseUpRampPct)*LeaseUp!MW$10/StabilizedOccupancy))</f>
        <v/>
      </c>
      <c r="MX11" s="157">
        <f>IF(358&lt;DeliverStart,LeaseUpRampPct,MIN(1,LeaseUpRampPct+(1-LeaseUpRampPct)*LeaseUp!MX$10/StabilizedOccupancy))</f>
        <v/>
      </c>
      <c r="MY11" s="157">
        <f>IF(359&lt;DeliverStart,LeaseUpRampPct,MIN(1,LeaseUpRampPct+(1-LeaseUpRampPct)*LeaseUp!MY$10/StabilizedOccupancy))</f>
        <v/>
      </c>
      <c r="MZ11" s="157">
        <f>IF(360&lt;DeliverStart,LeaseUpRampPct,MIN(1,LeaseUpRampPct+(1-LeaseUpRampPct)*LeaseUp!MZ$10/StabilizedOccupancy))</f>
        <v/>
      </c>
      <c r="NA11" s="157">
        <f>IF(361&lt;DeliverStart,LeaseUpRampPct,MIN(1,LeaseUpRampPct+(1-LeaseUpRampPct)*LeaseUp!NA$10/StabilizedOccupancy))</f>
        <v/>
      </c>
      <c r="NB11" s="157">
        <f>IF(362&lt;DeliverStart,LeaseUpRampPct,MIN(1,LeaseUpRampPct+(1-LeaseUpRampPct)*LeaseUp!NB$10/StabilizedOccupancy))</f>
        <v/>
      </c>
      <c r="NC11" s="157">
        <f>IF(363&lt;DeliverStart,LeaseUpRampPct,MIN(1,LeaseUpRampPct+(1-LeaseUpRampPct)*LeaseUp!NC$10/StabilizedOccupancy))</f>
        <v/>
      </c>
      <c r="ND11" s="157">
        <f>IF(364&lt;DeliverStart,LeaseUpRampPct,MIN(1,LeaseUpRampPct+(1-LeaseUpRampPct)*LeaseUp!ND$10/StabilizedOccupancy))</f>
        <v/>
      </c>
      <c r="NE11" s="157">
        <f>IF(365&lt;DeliverStart,LeaseUpRampPct,MIN(1,LeaseUpRampPct+(1-LeaseUpRampPct)*LeaseUp!NE$10/StabilizedOccupancy))</f>
        <v/>
      </c>
      <c r="NF11" s="157">
        <f>IF(366&lt;DeliverStart,LeaseUpRampPct,MIN(1,LeaseUpRampPct+(1-LeaseUpRampPct)*LeaseUp!NF$10/StabilizedOccupancy))</f>
        <v/>
      </c>
      <c r="NG11" s="157">
        <f>IF(367&lt;DeliverStart,LeaseUpRampPct,MIN(1,LeaseUpRampPct+(1-LeaseUpRampPct)*LeaseUp!NG$10/StabilizedOccupancy))</f>
        <v/>
      </c>
      <c r="NH11" s="157">
        <f>IF(368&lt;DeliverStart,LeaseUpRampPct,MIN(1,LeaseUpRampPct+(1-LeaseUpRampPct)*LeaseUp!NH$10/StabilizedOccupancy))</f>
        <v/>
      </c>
      <c r="NI11" s="157">
        <f>IF(369&lt;DeliverStart,LeaseUpRampPct,MIN(1,LeaseUpRampPct+(1-LeaseUpRampPct)*LeaseUp!NI$10/StabilizedOccupancy))</f>
        <v/>
      </c>
      <c r="NJ11" s="157">
        <f>IF(370&lt;DeliverStart,LeaseUpRampPct,MIN(1,LeaseUpRampPct+(1-LeaseUpRampPct)*LeaseUp!NJ$10/StabilizedOccupancy))</f>
        <v/>
      </c>
      <c r="NK11" s="157">
        <f>IF(371&lt;DeliverStart,LeaseUpRampPct,MIN(1,LeaseUpRampPct+(1-LeaseUpRampPct)*LeaseUp!NK$10/StabilizedOccupancy))</f>
        <v/>
      </c>
      <c r="NL11" s="158">
        <f>IF(372&lt;DeliverStart,LeaseUpRampPct,MIN(1,LeaseUpRampPct+(1-LeaseUpRampPct)*LeaseUp!NL$10/StabilizedOccupancy))</f>
        <v/>
      </c>
    </row>
    <row r="12">
      <c r="B12" s="36" t="inlineStr">
        <is>
          <t>Elevated-Expense Factor</t>
        </is>
      </c>
      <c r="D12" s="156" t="n"/>
      <c r="E12" s="157">
        <f>1+LeaseUpElevationPct*MAX(0,1-LeaseUp!E$10/StabilizedOccupancy)</f>
        <v/>
      </c>
      <c r="F12" s="157">
        <f>1+LeaseUpElevationPct*MAX(0,1-LeaseUp!F$10/StabilizedOccupancy)</f>
        <v/>
      </c>
      <c r="G12" s="157">
        <f>1+LeaseUpElevationPct*MAX(0,1-LeaseUp!G$10/StabilizedOccupancy)</f>
        <v/>
      </c>
      <c r="H12" s="157">
        <f>1+LeaseUpElevationPct*MAX(0,1-LeaseUp!H$10/StabilizedOccupancy)</f>
        <v/>
      </c>
      <c r="I12" s="157">
        <f>1+LeaseUpElevationPct*MAX(0,1-LeaseUp!I$10/StabilizedOccupancy)</f>
        <v/>
      </c>
      <c r="J12" s="157">
        <f>1+LeaseUpElevationPct*MAX(0,1-LeaseUp!J$10/StabilizedOccupancy)</f>
        <v/>
      </c>
      <c r="K12" s="157">
        <f>1+LeaseUpElevationPct*MAX(0,1-LeaseUp!K$10/StabilizedOccupancy)</f>
        <v/>
      </c>
      <c r="L12" s="157">
        <f>1+LeaseUpElevationPct*MAX(0,1-LeaseUp!L$10/StabilizedOccupancy)</f>
        <v/>
      </c>
      <c r="M12" s="157">
        <f>1+LeaseUpElevationPct*MAX(0,1-LeaseUp!M$10/StabilizedOccupancy)</f>
        <v/>
      </c>
      <c r="N12" s="157">
        <f>1+LeaseUpElevationPct*MAX(0,1-LeaseUp!N$10/StabilizedOccupancy)</f>
        <v/>
      </c>
      <c r="O12" s="157">
        <f>1+LeaseUpElevationPct*MAX(0,1-LeaseUp!O$10/StabilizedOccupancy)</f>
        <v/>
      </c>
      <c r="P12" s="157">
        <f>1+LeaseUpElevationPct*MAX(0,1-LeaseUp!P$10/StabilizedOccupancy)</f>
        <v/>
      </c>
      <c r="Q12" s="157">
        <f>1+LeaseUpElevationPct*MAX(0,1-LeaseUp!Q$10/StabilizedOccupancy)</f>
        <v/>
      </c>
      <c r="R12" s="157">
        <f>1+LeaseUpElevationPct*MAX(0,1-LeaseUp!R$10/StabilizedOccupancy)</f>
        <v/>
      </c>
      <c r="S12" s="157">
        <f>1+LeaseUpElevationPct*MAX(0,1-LeaseUp!S$10/StabilizedOccupancy)</f>
        <v/>
      </c>
      <c r="T12" s="157">
        <f>1+LeaseUpElevationPct*MAX(0,1-LeaseUp!T$10/StabilizedOccupancy)</f>
        <v/>
      </c>
      <c r="U12" s="157">
        <f>1+LeaseUpElevationPct*MAX(0,1-LeaseUp!U$10/StabilizedOccupancy)</f>
        <v/>
      </c>
      <c r="V12" s="157">
        <f>1+LeaseUpElevationPct*MAX(0,1-LeaseUp!V$10/StabilizedOccupancy)</f>
        <v/>
      </c>
      <c r="W12" s="157">
        <f>1+LeaseUpElevationPct*MAX(0,1-LeaseUp!W$10/StabilizedOccupancy)</f>
        <v/>
      </c>
      <c r="X12" s="157">
        <f>1+LeaseUpElevationPct*MAX(0,1-LeaseUp!X$10/StabilizedOccupancy)</f>
        <v/>
      </c>
      <c r="Y12" s="157">
        <f>1+LeaseUpElevationPct*MAX(0,1-LeaseUp!Y$10/StabilizedOccupancy)</f>
        <v/>
      </c>
      <c r="Z12" s="157">
        <f>1+LeaseUpElevationPct*MAX(0,1-LeaseUp!Z$10/StabilizedOccupancy)</f>
        <v/>
      </c>
      <c r="AA12" s="157">
        <f>1+LeaseUpElevationPct*MAX(0,1-LeaseUp!AA$10/StabilizedOccupancy)</f>
        <v/>
      </c>
      <c r="AB12" s="157">
        <f>1+LeaseUpElevationPct*MAX(0,1-LeaseUp!AB$10/StabilizedOccupancy)</f>
        <v/>
      </c>
      <c r="AC12" s="157">
        <f>1+LeaseUpElevationPct*MAX(0,1-LeaseUp!AC$10/StabilizedOccupancy)</f>
        <v/>
      </c>
      <c r="AD12" s="157">
        <f>1+LeaseUpElevationPct*MAX(0,1-LeaseUp!AD$10/StabilizedOccupancy)</f>
        <v/>
      </c>
      <c r="AE12" s="157">
        <f>1+LeaseUpElevationPct*MAX(0,1-LeaseUp!AE$10/StabilizedOccupancy)</f>
        <v/>
      </c>
      <c r="AF12" s="157">
        <f>1+LeaseUpElevationPct*MAX(0,1-LeaseUp!AF$10/StabilizedOccupancy)</f>
        <v/>
      </c>
      <c r="AG12" s="157">
        <f>1+LeaseUpElevationPct*MAX(0,1-LeaseUp!AG$10/StabilizedOccupancy)</f>
        <v/>
      </c>
      <c r="AH12" s="157">
        <f>1+LeaseUpElevationPct*MAX(0,1-LeaseUp!AH$10/StabilizedOccupancy)</f>
        <v/>
      </c>
      <c r="AI12" s="157">
        <f>1+LeaseUpElevationPct*MAX(0,1-LeaseUp!AI$10/StabilizedOccupancy)</f>
        <v/>
      </c>
      <c r="AJ12" s="157">
        <f>1+LeaseUpElevationPct*MAX(0,1-LeaseUp!AJ$10/StabilizedOccupancy)</f>
        <v/>
      </c>
      <c r="AK12" s="157">
        <f>1+LeaseUpElevationPct*MAX(0,1-LeaseUp!AK$10/StabilizedOccupancy)</f>
        <v/>
      </c>
      <c r="AL12" s="157">
        <f>1+LeaseUpElevationPct*MAX(0,1-LeaseUp!AL$10/StabilizedOccupancy)</f>
        <v/>
      </c>
      <c r="AM12" s="157">
        <f>1+LeaseUpElevationPct*MAX(0,1-LeaseUp!AM$10/StabilizedOccupancy)</f>
        <v/>
      </c>
      <c r="AN12" s="157">
        <f>1+LeaseUpElevationPct*MAX(0,1-LeaseUp!AN$10/StabilizedOccupancy)</f>
        <v/>
      </c>
      <c r="AO12" s="157">
        <f>1+LeaseUpElevationPct*MAX(0,1-LeaseUp!AO$10/StabilizedOccupancy)</f>
        <v/>
      </c>
      <c r="AP12" s="157">
        <f>1+LeaseUpElevationPct*MAX(0,1-LeaseUp!AP$10/StabilizedOccupancy)</f>
        <v/>
      </c>
      <c r="AQ12" s="157">
        <f>1+LeaseUpElevationPct*MAX(0,1-LeaseUp!AQ$10/StabilizedOccupancy)</f>
        <v/>
      </c>
      <c r="AR12" s="157">
        <f>1+LeaseUpElevationPct*MAX(0,1-LeaseUp!AR$10/StabilizedOccupancy)</f>
        <v/>
      </c>
      <c r="AS12" s="157">
        <f>1+LeaseUpElevationPct*MAX(0,1-LeaseUp!AS$10/StabilizedOccupancy)</f>
        <v/>
      </c>
      <c r="AT12" s="157">
        <f>1+LeaseUpElevationPct*MAX(0,1-LeaseUp!AT$10/StabilizedOccupancy)</f>
        <v/>
      </c>
      <c r="AU12" s="157">
        <f>1+LeaseUpElevationPct*MAX(0,1-LeaseUp!AU$10/StabilizedOccupancy)</f>
        <v/>
      </c>
      <c r="AV12" s="157">
        <f>1+LeaseUpElevationPct*MAX(0,1-LeaseUp!AV$10/StabilizedOccupancy)</f>
        <v/>
      </c>
      <c r="AW12" s="157">
        <f>1+LeaseUpElevationPct*MAX(0,1-LeaseUp!AW$10/StabilizedOccupancy)</f>
        <v/>
      </c>
      <c r="AX12" s="157">
        <f>1+LeaseUpElevationPct*MAX(0,1-LeaseUp!AX$10/StabilizedOccupancy)</f>
        <v/>
      </c>
      <c r="AY12" s="157">
        <f>1+LeaseUpElevationPct*MAX(0,1-LeaseUp!AY$10/StabilizedOccupancy)</f>
        <v/>
      </c>
      <c r="AZ12" s="157">
        <f>1+LeaseUpElevationPct*MAX(0,1-LeaseUp!AZ$10/StabilizedOccupancy)</f>
        <v/>
      </c>
      <c r="BA12" s="157">
        <f>1+LeaseUpElevationPct*MAX(0,1-LeaseUp!BA$10/StabilizedOccupancy)</f>
        <v/>
      </c>
      <c r="BB12" s="157">
        <f>1+LeaseUpElevationPct*MAX(0,1-LeaseUp!BB$10/StabilizedOccupancy)</f>
        <v/>
      </c>
      <c r="BC12" s="157">
        <f>1+LeaseUpElevationPct*MAX(0,1-LeaseUp!BC$10/StabilizedOccupancy)</f>
        <v/>
      </c>
      <c r="BD12" s="157">
        <f>1+LeaseUpElevationPct*MAX(0,1-LeaseUp!BD$10/StabilizedOccupancy)</f>
        <v/>
      </c>
      <c r="BE12" s="157">
        <f>1+LeaseUpElevationPct*MAX(0,1-LeaseUp!BE$10/StabilizedOccupancy)</f>
        <v/>
      </c>
      <c r="BF12" s="157">
        <f>1+LeaseUpElevationPct*MAX(0,1-LeaseUp!BF$10/StabilizedOccupancy)</f>
        <v/>
      </c>
      <c r="BG12" s="157">
        <f>1+LeaseUpElevationPct*MAX(0,1-LeaseUp!BG$10/StabilizedOccupancy)</f>
        <v/>
      </c>
      <c r="BH12" s="157">
        <f>1+LeaseUpElevationPct*MAX(0,1-LeaseUp!BH$10/StabilizedOccupancy)</f>
        <v/>
      </c>
      <c r="BI12" s="157">
        <f>1+LeaseUpElevationPct*MAX(0,1-LeaseUp!BI$10/StabilizedOccupancy)</f>
        <v/>
      </c>
      <c r="BJ12" s="157">
        <f>1+LeaseUpElevationPct*MAX(0,1-LeaseUp!BJ$10/StabilizedOccupancy)</f>
        <v/>
      </c>
      <c r="BK12" s="157">
        <f>1+LeaseUpElevationPct*MAX(0,1-LeaseUp!BK$10/StabilizedOccupancy)</f>
        <v/>
      </c>
      <c r="BL12" s="157">
        <f>1+LeaseUpElevationPct*MAX(0,1-LeaseUp!BL$10/StabilizedOccupancy)</f>
        <v/>
      </c>
      <c r="BM12" s="157">
        <f>1+LeaseUpElevationPct*MAX(0,1-LeaseUp!BM$10/StabilizedOccupancy)</f>
        <v/>
      </c>
      <c r="BN12" s="157">
        <f>1+LeaseUpElevationPct*MAX(0,1-LeaseUp!BN$10/StabilizedOccupancy)</f>
        <v/>
      </c>
      <c r="BO12" s="157">
        <f>1+LeaseUpElevationPct*MAX(0,1-LeaseUp!BO$10/StabilizedOccupancy)</f>
        <v/>
      </c>
      <c r="BP12" s="157">
        <f>1+LeaseUpElevationPct*MAX(0,1-LeaseUp!BP$10/StabilizedOccupancy)</f>
        <v/>
      </c>
      <c r="BQ12" s="157">
        <f>1+LeaseUpElevationPct*MAX(0,1-LeaseUp!BQ$10/StabilizedOccupancy)</f>
        <v/>
      </c>
      <c r="BR12" s="157">
        <f>1+LeaseUpElevationPct*MAX(0,1-LeaseUp!BR$10/StabilizedOccupancy)</f>
        <v/>
      </c>
      <c r="BS12" s="157">
        <f>1+LeaseUpElevationPct*MAX(0,1-LeaseUp!BS$10/StabilizedOccupancy)</f>
        <v/>
      </c>
      <c r="BT12" s="157">
        <f>1+LeaseUpElevationPct*MAX(0,1-LeaseUp!BT$10/StabilizedOccupancy)</f>
        <v/>
      </c>
      <c r="BU12" s="157">
        <f>1+LeaseUpElevationPct*MAX(0,1-LeaseUp!BU$10/StabilizedOccupancy)</f>
        <v/>
      </c>
      <c r="BV12" s="157">
        <f>1+LeaseUpElevationPct*MAX(0,1-LeaseUp!BV$10/StabilizedOccupancy)</f>
        <v/>
      </c>
      <c r="BW12" s="157">
        <f>1+LeaseUpElevationPct*MAX(0,1-LeaseUp!BW$10/StabilizedOccupancy)</f>
        <v/>
      </c>
      <c r="BX12" s="157">
        <f>1+LeaseUpElevationPct*MAX(0,1-LeaseUp!BX$10/StabilizedOccupancy)</f>
        <v/>
      </c>
      <c r="BY12" s="157">
        <f>1+LeaseUpElevationPct*MAX(0,1-LeaseUp!BY$10/StabilizedOccupancy)</f>
        <v/>
      </c>
      <c r="BZ12" s="157">
        <f>1+LeaseUpElevationPct*MAX(0,1-LeaseUp!BZ$10/StabilizedOccupancy)</f>
        <v/>
      </c>
      <c r="CA12" s="157">
        <f>1+LeaseUpElevationPct*MAX(0,1-LeaseUp!CA$10/StabilizedOccupancy)</f>
        <v/>
      </c>
      <c r="CB12" s="157">
        <f>1+LeaseUpElevationPct*MAX(0,1-LeaseUp!CB$10/StabilizedOccupancy)</f>
        <v/>
      </c>
      <c r="CC12" s="157">
        <f>1+LeaseUpElevationPct*MAX(0,1-LeaseUp!CC$10/StabilizedOccupancy)</f>
        <v/>
      </c>
      <c r="CD12" s="157">
        <f>1+LeaseUpElevationPct*MAX(0,1-LeaseUp!CD$10/StabilizedOccupancy)</f>
        <v/>
      </c>
      <c r="CE12" s="157">
        <f>1+LeaseUpElevationPct*MAX(0,1-LeaseUp!CE$10/StabilizedOccupancy)</f>
        <v/>
      </c>
      <c r="CF12" s="157">
        <f>1+LeaseUpElevationPct*MAX(0,1-LeaseUp!CF$10/StabilizedOccupancy)</f>
        <v/>
      </c>
      <c r="CG12" s="157">
        <f>1+LeaseUpElevationPct*MAX(0,1-LeaseUp!CG$10/StabilizedOccupancy)</f>
        <v/>
      </c>
      <c r="CH12" s="157">
        <f>1+LeaseUpElevationPct*MAX(0,1-LeaseUp!CH$10/StabilizedOccupancy)</f>
        <v/>
      </c>
      <c r="CI12" s="157">
        <f>1+LeaseUpElevationPct*MAX(0,1-LeaseUp!CI$10/StabilizedOccupancy)</f>
        <v/>
      </c>
      <c r="CJ12" s="157">
        <f>1+LeaseUpElevationPct*MAX(0,1-LeaseUp!CJ$10/StabilizedOccupancy)</f>
        <v/>
      </c>
      <c r="CK12" s="157">
        <f>1+LeaseUpElevationPct*MAX(0,1-LeaseUp!CK$10/StabilizedOccupancy)</f>
        <v/>
      </c>
      <c r="CL12" s="157">
        <f>1+LeaseUpElevationPct*MAX(0,1-LeaseUp!CL$10/StabilizedOccupancy)</f>
        <v/>
      </c>
      <c r="CM12" s="157">
        <f>1+LeaseUpElevationPct*MAX(0,1-LeaseUp!CM$10/StabilizedOccupancy)</f>
        <v/>
      </c>
      <c r="CN12" s="157">
        <f>1+LeaseUpElevationPct*MAX(0,1-LeaseUp!CN$10/StabilizedOccupancy)</f>
        <v/>
      </c>
      <c r="CO12" s="157">
        <f>1+LeaseUpElevationPct*MAX(0,1-LeaseUp!CO$10/StabilizedOccupancy)</f>
        <v/>
      </c>
      <c r="CP12" s="157">
        <f>1+LeaseUpElevationPct*MAX(0,1-LeaseUp!CP$10/StabilizedOccupancy)</f>
        <v/>
      </c>
      <c r="CQ12" s="157">
        <f>1+LeaseUpElevationPct*MAX(0,1-LeaseUp!CQ$10/StabilizedOccupancy)</f>
        <v/>
      </c>
      <c r="CR12" s="157">
        <f>1+LeaseUpElevationPct*MAX(0,1-LeaseUp!CR$10/StabilizedOccupancy)</f>
        <v/>
      </c>
      <c r="CS12" s="157">
        <f>1+LeaseUpElevationPct*MAX(0,1-LeaseUp!CS$10/StabilizedOccupancy)</f>
        <v/>
      </c>
      <c r="CT12" s="157">
        <f>1+LeaseUpElevationPct*MAX(0,1-LeaseUp!CT$10/StabilizedOccupancy)</f>
        <v/>
      </c>
      <c r="CU12" s="157">
        <f>1+LeaseUpElevationPct*MAX(0,1-LeaseUp!CU$10/StabilizedOccupancy)</f>
        <v/>
      </c>
      <c r="CV12" s="157">
        <f>1+LeaseUpElevationPct*MAX(0,1-LeaseUp!CV$10/StabilizedOccupancy)</f>
        <v/>
      </c>
      <c r="CW12" s="157">
        <f>1+LeaseUpElevationPct*MAX(0,1-LeaseUp!CW$10/StabilizedOccupancy)</f>
        <v/>
      </c>
      <c r="CX12" s="157">
        <f>1+LeaseUpElevationPct*MAX(0,1-LeaseUp!CX$10/StabilizedOccupancy)</f>
        <v/>
      </c>
      <c r="CY12" s="157">
        <f>1+LeaseUpElevationPct*MAX(0,1-LeaseUp!CY$10/StabilizedOccupancy)</f>
        <v/>
      </c>
      <c r="CZ12" s="157">
        <f>1+LeaseUpElevationPct*MAX(0,1-LeaseUp!CZ$10/StabilizedOccupancy)</f>
        <v/>
      </c>
      <c r="DA12" s="157">
        <f>1+LeaseUpElevationPct*MAX(0,1-LeaseUp!DA$10/StabilizedOccupancy)</f>
        <v/>
      </c>
      <c r="DB12" s="157">
        <f>1+LeaseUpElevationPct*MAX(0,1-LeaseUp!DB$10/StabilizedOccupancy)</f>
        <v/>
      </c>
      <c r="DC12" s="157">
        <f>1+LeaseUpElevationPct*MAX(0,1-LeaseUp!DC$10/StabilizedOccupancy)</f>
        <v/>
      </c>
      <c r="DD12" s="157">
        <f>1+LeaseUpElevationPct*MAX(0,1-LeaseUp!DD$10/StabilizedOccupancy)</f>
        <v/>
      </c>
      <c r="DE12" s="157">
        <f>1+LeaseUpElevationPct*MAX(0,1-LeaseUp!DE$10/StabilizedOccupancy)</f>
        <v/>
      </c>
      <c r="DF12" s="157">
        <f>1+LeaseUpElevationPct*MAX(0,1-LeaseUp!DF$10/StabilizedOccupancy)</f>
        <v/>
      </c>
      <c r="DG12" s="157">
        <f>1+LeaseUpElevationPct*MAX(0,1-LeaseUp!DG$10/StabilizedOccupancy)</f>
        <v/>
      </c>
      <c r="DH12" s="157">
        <f>1+LeaseUpElevationPct*MAX(0,1-LeaseUp!DH$10/StabilizedOccupancy)</f>
        <v/>
      </c>
      <c r="DI12" s="157">
        <f>1+LeaseUpElevationPct*MAX(0,1-LeaseUp!DI$10/StabilizedOccupancy)</f>
        <v/>
      </c>
      <c r="DJ12" s="157">
        <f>1+LeaseUpElevationPct*MAX(0,1-LeaseUp!DJ$10/StabilizedOccupancy)</f>
        <v/>
      </c>
      <c r="DK12" s="157">
        <f>1+LeaseUpElevationPct*MAX(0,1-LeaseUp!DK$10/StabilizedOccupancy)</f>
        <v/>
      </c>
      <c r="DL12" s="157">
        <f>1+LeaseUpElevationPct*MAX(0,1-LeaseUp!DL$10/StabilizedOccupancy)</f>
        <v/>
      </c>
      <c r="DM12" s="157">
        <f>1+LeaseUpElevationPct*MAX(0,1-LeaseUp!DM$10/StabilizedOccupancy)</f>
        <v/>
      </c>
      <c r="DN12" s="157">
        <f>1+LeaseUpElevationPct*MAX(0,1-LeaseUp!DN$10/StabilizedOccupancy)</f>
        <v/>
      </c>
      <c r="DO12" s="157">
        <f>1+LeaseUpElevationPct*MAX(0,1-LeaseUp!DO$10/StabilizedOccupancy)</f>
        <v/>
      </c>
      <c r="DP12" s="157">
        <f>1+LeaseUpElevationPct*MAX(0,1-LeaseUp!DP$10/StabilizedOccupancy)</f>
        <v/>
      </c>
      <c r="DQ12" s="157">
        <f>1+LeaseUpElevationPct*MAX(0,1-LeaseUp!DQ$10/StabilizedOccupancy)</f>
        <v/>
      </c>
      <c r="DR12" s="157">
        <f>1+LeaseUpElevationPct*MAX(0,1-LeaseUp!DR$10/StabilizedOccupancy)</f>
        <v/>
      </c>
      <c r="DS12" s="157">
        <f>1+LeaseUpElevationPct*MAX(0,1-LeaseUp!DS$10/StabilizedOccupancy)</f>
        <v/>
      </c>
      <c r="DT12" s="157">
        <f>1+LeaseUpElevationPct*MAX(0,1-LeaseUp!DT$10/StabilizedOccupancy)</f>
        <v/>
      </c>
      <c r="DU12" s="157">
        <f>1+LeaseUpElevationPct*MAX(0,1-LeaseUp!DU$10/StabilizedOccupancy)</f>
        <v/>
      </c>
      <c r="DV12" s="157">
        <f>1+LeaseUpElevationPct*MAX(0,1-LeaseUp!DV$10/StabilizedOccupancy)</f>
        <v/>
      </c>
      <c r="DW12" s="157">
        <f>1+LeaseUpElevationPct*MAX(0,1-LeaseUp!DW$10/StabilizedOccupancy)</f>
        <v/>
      </c>
      <c r="DX12" s="157">
        <f>1+LeaseUpElevationPct*MAX(0,1-LeaseUp!DX$10/StabilizedOccupancy)</f>
        <v/>
      </c>
      <c r="DY12" s="157">
        <f>1+LeaseUpElevationPct*MAX(0,1-LeaseUp!DY$10/StabilizedOccupancy)</f>
        <v/>
      </c>
      <c r="DZ12" s="157">
        <f>1+LeaseUpElevationPct*MAX(0,1-LeaseUp!DZ$10/StabilizedOccupancy)</f>
        <v/>
      </c>
      <c r="EA12" s="157">
        <f>1+LeaseUpElevationPct*MAX(0,1-LeaseUp!EA$10/StabilizedOccupancy)</f>
        <v/>
      </c>
      <c r="EB12" s="157">
        <f>1+LeaseUpElevationPct*MAX(0,1-LeaseUp!EB$10/StabilizedOccupancy)</f>
        <v/>
      </c>
      <c r="EC12" s="157">
        <f>1+LeaseUpElevationPct*MAX(0,1-LeaseUp!EC$10/StabilizedOccupancy)</f>
        <v/>
      </c>
      <c r="ED12" s="157">
        <f>1+LeaseUpElevationPct*MAX(0,1-LeaseUp!ED$10/StabilizedOccupancy)</f>
        <v/>
      </c>
      <c r="EE12" s="157">
        <f>1+LeaseUpElevationPct*MAX(0,1-LeaseUp!EE$10/StabilizedOccupancy)</f>
        <v/>
      </c>
      <c r="EF12" s="157">
        <f>1+LeaseUpElevationPct*MAX(0,1-LeaseUp!EF$10/StabilizedOccupancy)</f>
        <v/>
      </c>
      <c r="EG12" s="157">
        <f>1+LeaseUpElevationPct*MAX(0,1-LeaseUp!EG$10/StabilizedOccupancy)</f>
        <v/>
      </c>
      <c r="EH12" s="157">
        <f>1+LeaseUpElevationPct*MAX(0,1-LeaseUp!EH$10/StabilizedOccupancy)</f>
        <v/>
      </c>
      <c r="EI12" s="157">
        <f>1+LeaseUpElevationPct*MAX(0,1-LeaseUp!EI$10/StabilizedOccupancy)</f>
        <v/>
      </c>
      <c r="EJ12" s="157">
        <f>1+LeaseUpElevationPct*MAX(0,1-LeaseUp!EJ$10/StabilizedOccupancy)</f>
        <v/>
      </c>
      <c r="EK12" s="157">
        <f>1+LeaseUpElevationPct*MAX(0,1-LeaseUp!EK$10/StabilizedOccupancy)</f>
        <v/>
      </c>
      <c r="EL12" s="157">
        <f>1+LeaseUpElevationPct*MAX(0,1-LeaseUp!EL$10/StabilizedOccupancy)</f>
        <v/>
      </c>
      <c r="EM12" s="157">
        <f>1+LeaseUpElevationPct*MAX(0,1-LeaseUp!EM$10/StabilizedOccupancy)</f>
        <v/>
      </c>
      <c r="EN12" s="157">
        <f>1+LeaseUpElevationPct*MAX(0,1-LeaseUp!EN$10/StabilizedOccupancy)</f>
        <v/>
      </c>
      <c r="EO12" s="157">
        <f>1+LeaseUpElevationPct*MAX(0,1-LeaseUp!EO$10/StabilizedOccupancy)</f>
        <v/>
      </c>
      <c r="EP12" s="157">
        <f>1+LeaseUpElevationPct*MAX(0,1-LeaseUp!EP$10/StabilizedOccupancy)</f>
        <v/>
      </c>
      <c r="EQ12" s="157">
        <f>1+LeaseUpElevationPct*MAX(0,1-LeaseUp!EQ$10/StabilizedOccupancy)</f>
        <v/>
      </c>
      <c r="ER12" s="157">
        <f>1+LeaseUpElevationPct*MAX(0,1-LeaseUp!ER$10/StabilizedOccupancy)</f>
        <v/>
      </c>
      <c r="ES12" s="157">
        <f>1+LeaseUpElevationPct*MAX(0,1-LeaseUp!ES$10/StabilizedOccupancy)</f>
        <v/>
      </c>
      <c r="ET12" s="157">
        <f>1+LeaseUpElevationPct*MAX(0,1-LeaseUp!ET$10/StabilizedOccupancy)</f>
        <v/>
      </c>
      <c r="EU12" s="157">
        <f>1+LeaseUpElevationPct*MAX(0,1-LeaseUp!EU$10/StabilizedOccupancy)</f>
        <v/>
      </c>
      <c r="EV12" s="157">
        <f>1+LeaseUpElevationPct*MAX(0,1-LeaseUp!EV$10/StabilizedOccupancy)</f>
        <v/>
      </c>
      <c r="EW12" s="157">
        <f>1+LeaseUpElevationPct*MAX(0,1-LeaseUp!EW$10/StabilizedOccupancy)</f>
        <v/>
      </c>
      <c r="EX12" s="157">
        <f>1+LeaseUpElevationPct*MAX(0,1-LeaseUp!EX$10/StabilizedOccupancy)</f>
        <v/>
      </c>
      <c r="EY12" s="157">
        <f>1+LeaseUpElevationPct*MAX(0,1-LeaseUp!EY$10/StabilizedOccupancy)</f>
        <v/>
      </c>
      <c r="EZ12" s="157">
        <f>1+LeaseUpElevationPct*MAX(0,1-LeaseUp!EZ$10/StabilizedOccupancy)</f>
        <v/>
      </c>
      <c r="FA12" s="157">
        <f>1+LeaseUpElevationPct*MAX(0,1-LeaseUp!FA$10/StabilizedOccupancy)</f>
        <v/>
      </c>
      <c r="FB12" s="157">
        <f>1+LeaseUpElevationPct*MAX(0,1-LeaseUp!FB$10/StabilizedOccupancy)</f>
        <v/>
      </c>
      <c r="FC12" s="157">
        <f>1+LeaseUpElevationPct*MAX(0,1-LeaseUp!FC$10/StabilizedOccupancy)</f>
        <v/>
      </c>
      <c r="FD12" s="157">
        <f>1+LeaseUpElevationPct*MAX(0,1-LeaseUp!FD$10/StabilizedOccupancy)</f>
        <v/>
      </c>
      <c r="FE12" s="157">
        <f>1+LeaseUpElevationPct*MAX(0,1-LeaseUp!FE$10/StabilizedOccupancy)</f>
        <v/>
      </c>
      <c r="FF12" s="157">
        <f>1+LeaseUpElevationPct*MAX(0,1-LeaseUp!FF$10/StabilizedOccupancy)</f>
        <v/>
      </c>
      <c r="FG12" s="157">
        <f>1+LeaseUpElevationPct*MAX(0,1-LeaseUp!FG$10/StabilizedOccupancy)</f>
        <v/>
      </c>
      <c r="FH12" s="157">
        <f>1+LeaseUpElevationPct*MAX(0,1-LeaseUp!FH$10/StabilizedOccupancy)</f>
        <v/>
      </c>
      <c r="FI12" s="157">
        <f>1+LeaseUpElevationPct*MAX(0,1-LeaseUp!FI$10/StabilizedOccupancy)</f>
        <v/>
      </c>
      <c r="FJ12" s="157">
        <f>1+LeaseUpElevationPct*MAX(0,1-LeaseUp!FJ$10/StabilizedOccupancy)</f>
        <v/>
      </c>
      <c r="FK12" s="157">
        <f>1+LeaseUpElevationPct*MAX(0,1-LeaseUp!FK$10/StabilizedOccupancy)</f>
        <v/>
      </c>
      <c r="FL12" s="157">
        <f>1+LeaseUpElevationPct*MAX(0,1-LeaseUp!FL$10/StabilizedOccupancy)</f>
        <v/>
      </c>
      <c r="FM12" s="157">
        <f>1+LeaseUpElevationPct*MAX(0,1-LeaseUp!FM$10/StabilizedOccupancy)</f>
        <v/>
      </c>
      <c r="FN12" s="157">
        <f>1+LeaseUpElevationPct*MAX(0,1-LeaseUp!FN$10/StabilizedOccupancy)</f>
        <v/>
      </c>
      <c r="FO12" s="157">
        <f>1+LeaseUpElevationPct*MAX(0,1-LeaseUp!FO$10/StabilizedOccupancy)</f>
        <v/>
      </c>
      <c r="FP12" s="157">
        <f>1+LeaseUpElevationPct*MAX(0,1-LeaseUp!FP$10/StabilizedOccupancy)</f>
        <v/>
      </c>
      <c r="FQ12" s="157">
        <f>1+LeaseUpElevationPct*MAX(0,1-LeaseUp!FQ$10/StabilizedOccupancy)</f>
        <v/>
      </c>
      <c r="FR12" s="157">
        <f>1+LeaseUpElevationPct*MAX(0,1-LeaseUp!FR$10/StabilizedOccupancy)</f>
        <v/>
      </c>
      <c r="FS12" s="157">
        <f>1+LeaseUpElevationPct*MAX(0,1-LeaseUp!FS$10/StabilizedOccupancy)</f>
        <v/>
      </c>
      <c r="FT12" s="157">
        <f>1+LeaseUpElevationPct*MAX(0,1-LeaseUp!FT$10/StabilizedOccupancy)</f>
        <v/>
      </c>
      <c r="FU12" s="157">
        <f>1+LeaseUpElevationPct*MAX(0,1-LeaseUp!FU$10/StabilizedOccupancy)</f>
        <v/>
      </c>
      <c r="FV12" s="157">
        <f>1+LeaseUpElevationPct*MAX(0,1-LeaseUp!FV$10/StabilizedOccupancy)</f>
        <v/>
      </c>
      <c r="FW12" s="157">
        <f>1+LeaseUpElevationPct*MAX(0,1-LeaseUp!FW$10/StabilizedOccupancy)</f>
        <v/>
      </c>
      <c r="FX12" s="157">
        <f>1+LeaseUpElevationPct*MAX(0,1-LeaseUp!FX$10/StabilizedOccupancy)</f>
        <v/>
      </c>
      <c r="FY12" s="157">
        <f>1+LeaseUpElevationPct*MAX(0,1-LeaseUp!FY$10/StabilizedOccupancy)</f>
        <v/>
      </c>
      <c r="FZ12" s="157">
        <f>1+LeaseUpElevationPct*MAX(0,1-LeaseUp!FZ$10/StabilizedOccupancy)</f>
        <v/>
      </c>
      <c r="GA12" s="157">
        <f>1+LeaseUpElevationPct*MAX(0,1-LeaseUp!GA$10/StabilizedOccupancy)</f>
        <v/>
      </c>
      <c r="GB12" s="157">
        <f>1+LeaseUpElevationPct*MAX(0,1-LeaseUp!GB$10/StabilizedOccupancy)</f>
        <v/>
      </c>
      <c r="GC12" s="157">
        <f>1+LeaseUpElevationPct*MAX(0,1-LeaseUp!GC$10/StabilizedOccupancy)</f>
        <v/>
      </c>
      <c r="GD12" s="157">
        <f>1+LeaseUpElevationPct*MAX(0,1-LeaseUp!GD$10/StabilizedOccupancy)</f>
        <v/>
      </c>
      <c r="GE12" s="157">
        <f>1+LeaseUpElevationPct*MAX(0,1-LeaseUp!GE$10/StabilizedOccupancy)</f>
        <v/>
      </c>
      <c r="GF12" s="157">
        <f>1+LeaseUpElevationPct*MAX(0,1-LeaseUp!GF$10/StabilizedOccupancy)</f>
        <v/>
      </c>
      <c r="GG12" s="157">
        <f>1+LeaseUpElevationPct*MAX(0,1-LeaseUp!GG$10/StabilizedOccupancy)</f>
        <v/>
      </c>
      <c r="GH12" s="157">
        <f>1+LeaseUpElevationPct*MAX(0,1-LeaseUp!GH$10/StabilizedOccupancy)</f>
        <v/>
      </c>
      <c r="GI12" s="157">
        <f>1+LeaseUpElevationPct*MAX(0,1-LeaseUp!GI$10/StabilizedOccupancy)</f>
        <v/>
      </c>
      <c r="GJ12" s="157">
        <f>1+LeaseUpElevationPct*MAX(0,1-LeaseUp!GJ$10/StabilizedOccupancy)</f>
        <v/>
      </c>
      <c r="GK12" s="157">
        <f>1+LeaseUpElevationPct*MAX(0,1-LeaseUp!GK$10/StabilizedOccupancy)</f>
        <v/>
      </c>
      <c r="GL12" s="157">
        <f>1+LeaseUpElevationPct*MAX(0,1-LeaseUp!GL$10/StabilizedOccupancy)</f>
        <v/>
      </c>
      <c r="GM12" s="157">
        <f>1+LeaseUpElevationPct*MAX(0,1-LeaseUp!GM$10/StabilizedOccupancy)</f>
        <v/>
      </c>
      <c r="GN12" s="157">
        <f>1+LeaseUpElevationPct*MAX(0,1-LeaseUp!GN$10/StabilizedOccupancy)</f>
        <v/>
      </c>
      <c r="GO12" s="157">
        <f>1+LeaseUpElevationPct*MAX(0,1-LeaseUp!GO$10/StabilizedOccupancy)</f>
        <v/>
      </c>
      <c r="GP12" s="157">
        <f>1+LeaseUpElevationPct*MAX(0,1-LeaseUp!GP$10/StabilizedOccupancy)</f>
        <v/>
      </c>
      <c r="GQ12" s="157">
        <f>1+LeaseUpElevationPct*MAX(0,1-LeaseUp!GQ$10/StabilizedOccupancy)</f>
        <v/>
      </c>
      <c r="GR12" s="157">
        <f>1+LeaseUpElevationPct*MAX(0,1-LeaseUp!GR$10/StabilizedOccupancy)</f>
        <v/>
      </c>
      <c r="GS12" s="157">
        <f>1+LeaseUpElevationPct*MAX(0,1-LeaseUp!GS$10/StabilizedOccupancy)</f>
        <v/>
      </c>
      <c r="GT12" s="157">
        <f>1+LeaseUpElevationPct*MAX(0,1-LeaseUp!GT$10/StabilizedOccupancy)</f>
        <v/>
      </c>
      <c r="GU12" s="157">
        <f>1+LeaseUpElevationPct*MAX(0,1-LeaseUp!GU$10/StabilizedOccupancy)</f>
        <v/>
      </c>
      <c r="GV12" s="157">
        <f>1+LeaseUpElevationPct*MAX(0,1-LeaseUp!GV$10/StabilizedOccupancy)</f>
        <v/>
      </c>
      <c r="GW12" s="157">
        <f>1+LeaseUpElevationPct*MAX(0,1-LeaseUp!GW$10/StabilizedOccupancy)</f>
        <v/>
      </c>
      <c r="GX12" s="157">
        <f>1+LeaseUpElevationPct*MAX(0,1-LeaseUp!GX$10/StabilizedOccupancy)</f>
        <v/>
      </c>
      <c r="GY12" s="157">
        <f>1+LeaseUpElevationPct*MAX(0,1-LeaseUp!GY$10/StabilizedOccupancy)</f>
        <v/>
      </c>
      <c r="GZ12" s="157">
        <f>1+LeaseUpElevationPct*MAX(0,1-LeaseUp!GZ$10/StabilizedOccupancy)</f>
        <v/>
      </c>
      <c r="HA12" s="157">
        <f>1+LeaseUpElevationPct*MAX(0,1-LeaseUp!HA$10/StabilizedOccupancy)</f>
        <v/>
      </c>
      <c r="HB12" s="157">
        <f>1+LeaseUpElevationPct*MAX(0,1-LeaseUp!HB$10/StabilizedOccupancy)</f>
        <v/>
      </c>
      <c r="HC12" s="157">
        <f>1+LeaseUpElevationPct*MAX(0,1-LeaseUp!HC$10/StabilizedOccupancy)</f>
        <v/>
      </c>
      <c r="HD12" s="157">
        <f>1+LeaseUpElevationPct*MAX(0,1-LeaseUp!HD$10/StabilizedOccupancy)</f>
        <v/>
      </c>
      <c r="HE12" s="157">
        <f>1+LeaseUpElevationPct*MAX(0,1-LeaseUp!HE$10/StabilizedOccupancy)</f>
        <v/>
      </c>
      <c r="HF12" s="157">
        <f>1+LeaseUpElevationPct*MAX(0,1-LeaseUp!HF$10/StabilizedOccupancy)</f>
        <v/>
      </c>
      <c r="HG12" s="157">
        <f>1+LeaseUpElevationPct*MAX(0,1-LeaseUp!HG$10/StabilizedOccupancy)</f>
        <v/>
      </c>
      <c r="HH12" s="157">
        <f>1+LeaseUpElevationPct*MAX(0,1-LeaseUp!HH$10/StabilizedOccupancy)</f>
        <v/>
      </c>
      <c r="HI12" s="157">
        <f>1+LeaseUpElevationPct*MAX(0,1-LeaseUp!HI$10/StabilizedOccupancy)</f>
        <v/>
      </c>
      <c r="HJ12" s="157">
        <f>1+LeaseUpElevationPct*MAX(0,1-LeaseUp!HJ$10/StabilizedOccupancy)</f>
        <v/>
      </c>
      <c r="HK12" s="157">
        <f>1+LeaseUpElevationPct*MAX(0,1-LeaseUp!HK$10/StabilizedOccupancy)</f>
        <v/>
      </c>
      <c r="HL12" s="157">
        <f>1+LeaseUpElevationPct*MAX(0,1-LeaseUp!HL$10/StabilizedOccupancy)</f>
        <v/>
      </c>
      <c r="HM12" s="157">
        <f>1+LeaseUpElevationPct*MAX(0,1-LeaseUp!HM$10/StabilizedOccupancy)</f>
        <v/>
      </c>
      <c r="HN12" s="157">
        <f>1+LeaseUpElevationPct*MAX(0,1-LeaseUp!HN$10/StabilizedOccupancy)</f>
        <v/>
      </c>
      <c r="HO12" s="157">
        <f>1+LeaseUpElevationPct*MAX(0,1-LeaseUp!HO$10/StabilizedOccupancy)</f>
        <v/>
      </c>
      <c r="HP12" s="157">
        <f>1+LeaseUpElevationPct*MAX(0,1-LeaseUp!HP$10/StabilizedOccupancy)</f>
        <v/>
      </c>
      <c r="HQ12" s="157">
        <f>1+LeaseUpElevationPct*MAX(0,1-LeaseUp!HQ$10/StabilizedOccupancy)</f>
        <v/>
      </c>
      <c r="HR12" s="157">
        <f>1+LeaseUpElevationPct*MAX(0,1-LeaseUp!HR$10/StabilizedOccupancy)</f>
        <v/>
      </c>
      <c r="HS12" s="157">
        <f>1+LeaseUpElevationPct*MAX(0,1-LeaseUp!HS$10/StabilizedOccupancy)</f>
        <v/>
      </c>
      <c r="HT12" s="157">
        <f>1+LeaseUpElevationPct*MAX(0,1-LeaseUp!HT$10/StabilizedOccupancy)</f>
        <v/>
      </c>
      <c r="HU12" s="157">
        <f>1+LeaseUpElevationPct*MAX(0,1-LeaseUp!HU$10/StabilizedOccupancy)</f>
        <v/>
      </c>
      <c r="HV12" s="157">
        <f>1+LeaseUpElevationPct*MAX(0,1-LeaseUp!HV$10/StabilizedOccupancy)</f>
        <v/>
      </c>
      <c r="HW12" s="157">
        <f>1+LeaseUpElevationPct*MAX(0,1-LeaseUp!HW$10/StabilizedOccupancy)</f>
        <v/>
      </c>
      <c r="HX12" s="157">
        <f>1+LeaseUpElevationPct*MAX(0,1-LeaseUp!HX$10/StabilizedOccupancy)</f>
        <v/>
      </c>
      <c r="HY12" s="157">
        <f>1+LeaseUpElevationPct*MAX(0,1-LeaseUp!HY$10/StabilizedOccupancy)</f>
        <v/>
      </c>
      <c r="HZ12" s="157">
        <f>1+LeaseUpElevationPct*MAX(0,1-LeaseUp!HZ$10/StabilizedOccupancy)</f>
        <v/>
      </c>
      <c r="IA12" s="157">
        <f>1+LeaseUpElevationPct*MAX(0,1-LeaseUp!IA$10/StabilizedOccupancy)</f>
        <v/>
      </c>
      <c r="IB12" s="157">
        <f>1+LeaseUpElevationPct*MAX(0,1-LeaseUp!IB$10/StabilizedOccupancy)</f>
        <v/>
      </c>
      <c r="IC12" s="157">
        <f>1+LeaseUpElevationPct*MAX(0,1-LeaseUp!IC$10/StabilizedOccupancy)</f>
        <v/>
      </c>
      <c r="ID12" s="157">
        <f>1+LeaseUpElevationPct*MAX(0,1-LeaseUp!ID$10/StabilizedOccupancy)</f>
        <v/>
      </c>
      <c r="IE12" s="157">
        <f>1+LeaseUpElevationPct*MAX(0,1-LeaseUp!IE$10/StabilizedOccupancy)</f>
        <v/>
      </c>
      <c r="IF12" s="157">
        <f>1+LeaseUpElevationPct*MAX(0,1-LeaseUp!IF$10/StabilizedOccupancy)</f>
        <v/>
      </c>
      <c r="IG12" s="157">
        <f>1+LeaseUpElevationPct*MAX(0,1-LeaseUp!IG$10/StabilizedOccupancy)</f>
        <v/>
      </c>
      <c r="IH12" s="157">
        <f>1+LeaseUpElevationPct*MAX(0,1-LeaseUp!IH$10/StabilizedOccupancy)</f>
        <v/>
      </c>
      <c r="II12" s="157">
        <f>1+LeaseUpElevationPct*MAX(0,1-LeaseUp!II$10/StabilizedOccupancy)</f>
        <v/>
      </c>
      <c r="IJ12" s="157">
        <f>1+LeaseUpElevationPct*MAX(0,1-LeaseUp!IJ$10/StabilizedOccupancy)</f>
        <v/>
      </c>
      <c r="IK12" s="157">
        <f>1+LeaseUpElevationPct*MAX(0,1-LeaseUp!IK$10/StabilizedOccupancy)</f>
        <v/>
      </c>
      <c r="IL12" s="157">
        <f>1+LeaseUpElevationPct*MAX(0,1-LeaseUp!IL$10/StabilizedOccupancy)</f>
        <v/>
      </c>
      <c r="IM12" s="157">
        <f>1+LeaseUpElevationPct*MAX(0,1-LeaseUp!IM$10/StabilizedOccupancy)</f>
        <v/>
      </c>
      <c r="IN12" s="157">
        <f>1+LeaseUpElevationPct*MAX(0,1-LeaseUp!IN$10/StabilizedOccupancy)</f>
        <v/>
      </c>
      <c r="IO12" s="157">
        <f>1+LeaseUpElevationPct*MAX(0,1-LeaseUp!IO$10/StabilizedOccupancy)</f>
        <v/>
      </c>
      <c r="IP12" s="157">
        <f>1+LeaseUpElevationPct*MAX(0,1-LeaseUp!IP$10/StabilizedOccupancy)</f>
        <v/>
      </c>
      <c r="IQ12" s="157">
        <f>1+LeaseUpElevationPct*MAX(0,1-LeaseUp!IQ$10/StabilizedOccupancy)</f>
        <v/>
      </c>
      <c r="IR12" s="157">
        <f>1+LeaseUpElevationPct*MAX(0,1-LeaseUp!IR$10/StabilizedOccupancy)</f>
        <v/>
      </c>
      <c r="IS12" s="157">
        <f>1+LeaseUpElevationPct*MAX(0,1-LeaseUp!IS$10/StabilizedOccupancy)</f>
        <v/>
      </c>
      <c r="IT12" s="157">
        <f>1+LeaseUpElevationPct*MAX(0,1-LeaseUp!IT$10/StabilizedOccupancy)</f>
        <v/>
      </c>
      <c r="IU12" s="157">
        <f>1+LeaseUpElevationPct*MAX(0,1-LeaseUp!IU$10/StabilizedOccupancy)</f>
        <v/>
      </c>
      <c r="IV12" s="157">
        <f>1+LeaseUpElevationPct*MAX(0,1-LeaseUp!IV$10/StabilizedOccupancy)</f>
        <v/>
      </c>
      <c r="IW12" s="157">
        <f>1+LeaseUpElevationPct*MAX(0,1-LeaseUp!IW$10/StabilizedOccupancy)</f>
        <v/>
      </c>
      <c r="IX12" s="157">
        <f>1+LeaseUpElevationPct*MAX(0,1-LeaseUp!IX$10/StabilizedOccupancy)</f>
        <v/>
      </c>
      <c r="IY12" s="157">
        <f>1+LeaseUpElevationPct*MAX(0,1-LeaseUp!IY$10/StabilizedOccupancy)</f>
        <v/>
      </c>
      <c r="IZ12" s="157">
        <f>1+LeaseUpElevationPct*MAX(0,1-LeaseUp!IZ$10/StabilizedOccupancy)</f>
        <v/>
      </c>
      <c r="JA12" s="157">
        <f>1+LeaseUpElevationPct*MAX(0,1-LeaseUp!JA$10/StabilizedOccupancy)</f>
        <v/>
      </c>
      <c r="JB12" s="157">
        <f>1+LeaseUpElevationPct*MAX(0,1-LeaseUp!JB$10/StabilizedOccupancy)</f>
        <v/>
      </c>
      <c r="JC12" s="157">
        <f>1+LeaseUpElevationPct*MAX(0,1-LeaseUp!JC$10/StabilizedOccupancy)</f>
        <v/>
      </c>
      <c r="JD12" s="157">
        <f>1+LeaseUpElevationPct*MAX(0,1-LeaseUp!JD$10/StabilizedOccupancy)</f>
        <v/>
      </c>
      <c r="JE12" s="157">
        <f>1+LeaseUpElevationPct*MAX(0,1-LeaseUp!JE$10/StabilizedOccupancy)</f>
        <v/>
      </c>
      <c r="JF12" s="157">
        <f>1+LeaseUpElevationPct*MAX(0,1-LeaseUp!JF$10/StabilizedOccupancy)</f>
        <v/>
      </c>
      <c r="JG12" s="157">
        <f>1+LeaseUpElevationPct*MAX(0,1-LeaseUp!JG$10/StabilizedOccupancy)</f>
        <v/>
      </c>
      <c r="JH12" s="157">
        <f>1+LeaseUpElevationPct*MAX(0,1-LeaseUp!JH$10/StabilizedOccupancy)</f>
        <v/>
      </c>
      <c r="JI12" s="157">
        <f>1+LeaseUpElevationPct*MAX(0,1-LeaseUp!JI$10/StabilizedOccupancy)</f>
        <v/>
      </c>
      <c r="JJ12" s="157">
        <f>1+LeaseUpElevationPct*MAX(0,1-LeaseUp!JJ$10/StabilizedOccupancy)</f>
        <v/>
      </c>
      <c r="JK12" s="157">
        <f>1+LeaseUpElevationPct*MAX(0,1-LeaseUp!JK$10/StabilizedOccupancy)</f>
        <v/>
      </c>
      <c r="JL12" s="157">
        <f>1+LeaseUpElevationPct*MAX(0,1-LeaseUp!JL$10/StabilizedOccupancy)</f>
        <v/>
      </c>
      <c r="JM12" s="157">
        <f>1+LeaseUpElevationPct*MAX(0,1-LeaseUp!JM$10/StabilizedOccupancy)</f>
        <v/>
      </c>
      <c r="JN12" s="157">
        <f>1+LeaseUpElevationPct*MAX(0,1-LeaseUp!JN$10/StabilizedOccupancy)</f>
        <v/>
      </c>
      <c r="JO12" s="157">
        <f>1+LeaseUpElevationPct*MAX(0,1-LeaseUp!JO$10/StabilizedOccupancy)</f>
        <v/>
      </c>
      <c r="JP12" s="157">
        <f>1+LeaseUpElevationPct*MAX(0,1-LeaseUp!JP$10/StabilizedOccupancy)</f>
        <v/>
      </c>
      <c r="JQ12" s="157">
        <f>1+LeaseUpElevationPct*MAX(0,1-LeaseUp!JQ$10/StabilizedOccupancy)</f>
        <v/>
      </c>
      <c r="JR12" s="157">
        <f>1+LeaseUpElevationPct*MAX(0,1-LeaseUp!JR$10/StabilizedOccupancy)</f>
        <v/>
      </c>
      <c r="JS12" s="157">
        <f>1+LeaseUpElevationPct*MAX(0,1-LeaseUp!JS$10/StabilizedOccupancy)</f>
        <v/>
      </c>
      <c r="JT12" s="157">
        <f>1+LeaseUpElevationPct*MAX(0,1-LeaseUp!JT$10/StabilizedOccupancy)</f>
        <v/>
      </c>
      <c r="JU12" s="157">
        <f>1+LeaseUpElevationPct*MAX(0,1-LeaseUp!JU$10/StabilizedOccupancy)</f>
        <v/>
      </c>
      <c r="JV12" s="157">
        <f>1+LeaseUpElevationPct*MAX(0,1-LeaseUp!JV$10/StabilizedOccupancy)</f>
        <v/>
      </c>
      <c r="JW12" s="157">
        <f>1+LeaseUpElevationPct*MAX(0,1-LeaseUp!JW$10/StabilizedOccupancy)</f>
        <v/>
      </c>
      <c r="JX12" s="157">
        <f>1+LeaseUpElevationPct*MAX(0,1-LeaseUp!JX$10/StabilizedOccupancy)</f>
        <v/>
      </c>
      <c r="JY12" s="157">
        <f>1+LeaseUpElevationPct*MAX(0,1-LeaseUp!JY$10/StabilizedOccupancy)</f>
        <v/>
      </c>
      <c r="JZ12" s="157">
        <f>1+LeaseUpElevationPct*MAX(0,1-LeaseUp!JZ$10/StabilizedOccupancy)</f>
        <v/>
      </c>
      <c r="KA12" s="157">
        <f>1+LeaseUpElevationPct*MAX(0,1-LeaseUp!KA$10/StabilizedOccupancy)</f>
        <v/>
      </c>
      <c r="KB12" s="157">
        <f>1+LeaseUpElevationPct*MAX(0,1-LeaseUp!KB$10/StabilizedOccupancy)</f>
        <v/>
      </c>
      <c r="KC12" s="157">
        <f>1+LeaseUpElevationPct*MAX(0,1-LeaseUp!KC$10/StabilizedOccupancy)</f>
        <v/>
      </c>
      <c r="KD12" s="157">
        <f>1+LeaseUpElevationPct*MAX(0,1-LeaseUp!KD$10/StabilizedOccupancy)</f>
        <v/>
      </c>
      <c r="KE12" s="157">
        <f>1+LeaseUpElevationPct*MAX(0,1-LeaseUp!KE$10/StabilizedOccupancy)</f>
        <v/>
      </c>
      <c r="KF12" s="157">
        <f>1+LeaseUpElevationPct*MAX(0,1-LeaseUp!KF$10/StabilizedOccupancy)</f>
        <v/>
      </c>
      <c r="KG12" s="157">
        <f>1+LeaseUpElevationPct*MAX(0,1-LeaseUp!KG$10/StabilizedOccupancy)</f>
        <v/>
      </c>
      <c r="KH12" s="157">
        <f>1+LeaseUpElevationPct*MAX(0,1-LeaseUp!KH$10/StabilizedOccupancy)</f>
        <v/>
      </c>
      <c r="KI12" s="157">
        <f>1+LeaseUpElevationPct*MAX(0,1-LeaseUp!KI$10/StabilizedOccupancy)</f>
        <v/>
      </c>
      <c r="KJ12" s="157">
        <f>1+LeaseUpElevationPct*MAX(0,1-LeaseUp!KJ$10/StabilizedOccupancy)</f>
        <v/>
      </c>
      <c r="KK12" s="157">
        <f>1+LeaseUpElevationPct*MAX(0,1-LeaseUp!KK$10/StabilizedOccupancy)</f>
        <v/>
      </c>
      <c r="KL12" s="157">
        <f>1+LeaseUpElevationPct*MAX(0,1-LeaseUp!KL$10/StabilizedOccupancy)</f>
        <v/>
      </c>
      <c r="KM12" s="157">
        <f>1+LeaseUpElevationPct*MAX(0,1-LeaseUp!KM$10/StabilizedOccupancy)</f>
        <v/>
      </c>
      <c r="KN12" s="157">
        <f>1+LeaseUpElevationPct*MAX(0,1-LeaseUp!KN$10/StabilizedOccupancy)</f>
        <v/>
      </c>
      <c r="KO12" s="157">
        <f>1+LeaseUpElevationPct*MAX(0,1-LeaseUp!KO$10/StabilizedOccupancy)</f>
        <v/>
      </c>
      <c r="KP12" s="157">
        <f>1+LeaseUpElevationPct*MAX(0,1-LeaseUp!KP$10/StabilizedOccupancy)</f>
        <v/>
      </c>
      <c r="KQ12" s="157">
        <f>1+LeaseUpElevationPct*MAX(0,1-LeaseUp!KQ$10/StabilizedOccupancy)</f>
        <v/>
      </c>
      <c r="KR12" s="157">
        <f>1+LeaseUpElevationPct*MAX(0,1-LeaseUp!KR$10/StabilizedOccupancy)</f>
        <v/>
      </c>
      <c r="KS12" s="157">
        <f>1+LeaseUpElevationPct*MAX(0,1-LeaseUp!KS$10/StabilizedOccupancy)</f>
        <v/>
      </c>
      <c r="KT12" s="157">
        <f>1+LeaseUpElevationPct*MAX(0,1-LeaseUp!KT$10/StabilizedOccupancy)</f>
        <v/>
      </c>
      <c r="KU12" s="157">
        <f>1+LeaseUpElevationPct*MAX(0,1-LeaseUp!KU$10/StabilizedOccupancy)</f>
        <v/>
      </c>
      <c r="KV12" s="157">
        <f>1+LeaseUpElevationPct*MAX(0,1-LeaseUp!KV$10/StabilizedOccupancy)</f>
        <v/>
      </c>
      <c r="KW12" s="157">
        <f>1+LeaseUpElevationPct*MAX(0,1-LeaseUp!KW$10/StabilizedOccupancy)</f>
        <v/>
      </c>
      <c r="KX12" s="157">
        <f>1+LeaseUpElevationPct*MAX(0,1-LeaseUp!KX$10/StabilizedOccupancy)</f>
        <v/>
      </c>
      <c r="KY12" s="157">
        <f>1+LeaseUpElevationPct*MAX(0,1-LeaseUp!KY$10/StabilizedOccupancy)</f>
        <v/>
      </c>
      <c r="KZ12" s="157">
        <f>1+LeaseUpElevationPct*MAX(0,1-LeaseUp!KZ$10/StabilizedOccupancy)</f>
        <v/>
      </c>
      <c r="LA12" s="157">
        <f>1+LeaseUpElevationPct*MAX(0,1-LeaseUp!LA$10/StabilizedOccupancy)</f>
        <v/>
      </c>
      <c r="LB12" s="157">
        <f>1+LeaseUpElevationPct*MAX(0,1-LeaseUp!LB$10/StabilizedOccupancy)</f>
        <v/>
      </c>
      <c r="LC12" s="157">
        <f>1+LeaseUpElevationPct*MAX(0,1-LeaseUp!LC$10/StabilizedOccupancy)</f>
        <v/>
      </c>
      <c r="LD12" s="157">
        <f>1+LeaseUpElevationPct*MAX(0,1-LeaseUp!LD$10/StabilizedOccupancy)</f>
        <v/>
      </c>
      <c r="LE12" s="157">
        <f>1+LeaseUpElevationPct*MAX(0,1-LeaseUp!LE$10/StabilizedOccupancy)</f>
        <v/>
      </c>
      <c r="LF12" s="157">
        <f>1+LeaseUpElevationPct*MAX(0,1-LeaseUp!LF$10/StabilizedOccupancy)</f>
        <v/>
      </c>
      <c r="LG12" s="157">
        <f>1+LeaseUpElevationPct*MAX(0,1-LeaseUp!LG$10/StabilizedOccupancy)</f>
        <v/>
      </c>
      <c r="LH12" s="157">
        <f>1+LeaseUpElevationPct*MAX(0,1-LeaseUp!LH$10/StabilizedOccupancy)</f>
        <v/>
      </c>
      <c r="LI12" s="157">
        <f>1+LeaseUpElevationPct*MAX(0,1-LeaseUp!LI$10/StabilizedOccupancy)</f>
        <v/>
      </c>
      <c r="LJ12" s="157">
        <f>1+LeaseUpElevationPct*MAX(0,1-LeaseUp!LJ$10/StabilizedOccupancy)</f>
        <v/>
      </c>
      <c r="LK12" s="157">
        <f>1+LeaseUpElevationPct*MAX(0,1-LeaseUp!LK$10/StabilizedOccupancy)</f>
        <v/>
      </c>
      <c r="LL12" s="157">
        <f>1+LeaseUpElevationPct*MAX(0,1-LeaseUp!LL$10/StabilizedOccupancy)</f>
        <v/>
      </c>
      <c r="LM12" s="157">
        <f>1+LeaseUpElevationPct*MAX(0,1-LeaseUp!LM$10/StabilizedOccupancy)</f>
        <v/>
      </c>
      <c r="LN12" s="157">
        <f>1+LeaseUpElevationPct*MAX(0,1-LeaseUp!LN$10/StabilizedOccupancy)</f>
        <v/>
      </c>
      <c r="LO12" s="157">
        <f>1+LeaseUpElevationPct*MAX(0,1-LeaseUp!LO$10/StabilizedOccupancy)</f>
        <v/>
      </c>
      <c r="LP12" s="157">
        <f>1+LeaseUpElevationPct*MAX(0,1-LeaseUp!LP$10/StabilizedOccupancy)</f>
        <v/>
      </c>
      <c r="LQ12" s="157">
        <f>1+LeaseUpElevationPct*MAX(0,1-LeaseUp!LQ$10/StabilizedOccupancy)</f>
        <v/>
      </c>
      <c r="LR12" s="157">
        <f>1+LeaseUpElevationPct*MAX(0,1-LeaseUp!LR$10/StabilizedOccupancy)</f>
        <v/>
      </c>
      <c r="LS12" s="157">
        <f>1+LeaseUpElevationPct*MAX(0,1-LeaseUp!LS$10/StabilizedOccupancy)</f>
        <v/>
      </c>
      <c r="LT12" s="157">
        <f>1+LeaseUpElevationPct*MAX(0,1-LeaseUp!LT$10/StabilizedOccupancy)</f>
        <v/>
      </c>
      <c r="LU12" s="157">
        <f>1+LeaseUpElevationPct*MAX(0,1-LeaseUp!LU$10/StabilizedOccupancy)</f>
        <v/>
      </c>
      <c r="LV12" s="157">
        <f>1+LeaseUpElevationPct*MAX(0,1-LeaseUp!LV$10/StabilizedOccupancy)</f>
        <v/>
      </c>
      <c r="LW12" s="157">
        <f>1+LeaseUpElevationPct*MAX(0,1-LeaseUp!LW$10/StabilizedOccupancy)</f>
        <v/>
      </c>
      <c r="LX12" s="157">
        <f>1+LeaseUpElevationPct*MAX(0,1-LeaseUp!LX$10/StabilizedOccupancy)</f>
        <v/>
      </c>
      <c r="LY12" s="157">
        <f>1+LeaseUpElevationPct*MAX(0,1-LeaseUp!LY$10/StabilizedOccupancy)</f>
        <v/>
      </c>
      <c r="LZ12" s="157">
        <f>1+LeaseUpElevationPct*MAX(0,1-LeaseUp!LZ$10/StabilizedOccupancy)</f>
        <v/>
      </c>
      <c r="MA12" s="157">
        <f>1+LeaseUpElevationPct*MAX(0,1-LeaseUp!MA$10/StabilizedOccupancy)</f>
        <v/>
      </c>
      <c r="MB12" s="157">
        <f>1+LeaseUpElevationPct*MAX(0,1-LeaseUp!MB$10/StabilizedOccupancy)</f>
        <v/>
      </c>
      <c r="MC12" s="157">
        <f>1+LeaseUpElevationPct*MAX(0,1-LeaseUp!MC$10/StabilizedOccupancy)</f>
        <v/>
      </c>
      <c r="MD12" s="157">
        <f>1+LeaseUpElevationPct*MAX(0,1-LeaseUp!MD$10/StabilizedOccupancy)</f>
        <v/>
      </c>
      <c r="ME12" s="157">
        <f>1+LeaseUpElevationPct*MAX(0,1-LeaseUp!ME$10/StabilizedOccupancy)</f>
        <v/>
      </c>
      <c r="MF12" s="157">
        <f>1+LeaseUpElevationPct*MAX(0,1-LeaseUp!MF$10/StabilizedOccupancy)</f>
        <v/>
      </c>
      <c r="MG12" s="157">
        <f>1+LeaseUpElevationPct*MAX(0,1-LeaseUp!MG$10/StabilizedOccupancy)</f>
        <v/>
      </c>
      <c r="MH12" s="157">
        <f>1+LeaseUpElevationPct*MAX(0,1-LeaseUp!MH$10/StabilizedOccupancy)</f>
        <v/>
      </c>
      <c r="MI12" s="157">
        <f>1+LeaseUpElevationPct*MAX(0,1-LeaseUp!MI$10/StabilizedOccupancy)</f>
        <v/>
      </c>
      <c r="MJ12" s="157">
        <f>1+LeaseUpElevationPct*MAX(0,1-LeaseUp!MJ$10/StabilizedOccupancy)</f>
        <v/>
      </c>
      <c r="MK12" s="157">
        <f>1+LeaseUpElevationPct*MAX(0,1-LeaseUp!MK$10/StabilizedOccupancy)</f>
        <v/>
      </c>
      <c r="ML12" s="157">
        <f>1+LeaseUpElevationPct*MAX(0,1-LeaseUp!ML$10/StabilizedOccupancy)</f>
        <v/>
      </c>
      <c r="MM12" s="157">
        <f>1+LeaseUpElevationPct*MAX(0,1-LeaseUp!MM$10/StabilizedOccupancy)</f>
        <v/>
      </c>
      <c r="MN12" s="157">
        <f>1+LeaseUpElevationPct*MAX(0,1-LeaseUp!MN$10/StabilizedOccupancy)</f>
        <v/>
      </c>
      <c r="MO12" s="157">
        <f>1+LeaseUpElevationPct*MAX(0,1-LeaseUp!MO$10/StabilizedOccupancy)</f>
        <v/>
      </c>
      <c r="MP12" s="157">
        <f>1+LeaseUpElevationPct*MAX(0,1-LeaseUp!MP$10/StabilizedOccupancy)</f>
        <v/>
      </c>
      <c r="MQ12" s="157">
        <f>1+LeaseUpElevationPct*MAX(0,1-LeaseUp!MQ$10/StabilizedOccupancy)</f>
        <v/>
      </c>
      <c r="MR12" s="157">
        <f>1+LeaseUpElevationPct*MAX(0,1-LeaseUp!MR$10/StabilizedOccupancy)</f>
        <v/>
      </c>
      <c r="MS12" s="157">
        <f>1+LeaseUpElevationPct*MAX(0,1-LeaseUp!MS$10/StabilizedOccupancy)</f>
        <v/>
      </c>
      <c r="MT12" s="157">
        <f>1+LeaseUpElevationPct*MAX(0,1-LeaseUp!MT$10/StabilizedOccupancy)</f>
        <v/>
      </c>
      <c r="MU12" s="157">
        <f>1+LeaseUpElevationPct*MAX(0,1-LeaseUp!MU$10/StabilizedOccupancy)</f>
        <v/>
      </c>
      <c r="MV12" s="157">
        <f>1+LeaseUpElevationPct*MAX(0,1-LeaseUp!MV$10/StabilizedOccupancy)</f>
        <v/>
      </c>
      <c r="MW12" s="157">
        <f>1+LeaseUpElevationPct*MAX(0,1-LeaseUp!MW$10/StabilizedOccupancy)</f>
        <v/>
      </c>
      <c r="MX12" s="157">
        <f>1+LeaseUpElevationPct*MAX(0,1-LeaseUp!MX$10/StabilizedOccupancy)</f>
        <v/>
      </c>
      <c r="MY12" s="157">
        <f>1+LeaseUpElevationPct*MAX(0,1-LeaseUp!MY$10/StabilizedOccupancy)</f>
        <v/>
      </c>
      <c r="MZ12" s="157">
        <f>1+LeaseUpElevationPct*MAX(0,1-LeaseUp!MZ$10/StabilizedOccupancy)</f>
        <v/>
      </c>
      <c r="NA12" s="157">
        <f>1+LeaseUpElevationPct*MAX(0,1-LeaseUp!NA$10/StabilizedOccupancy)</f>
        <v/>
      </c>
      <c r="NB12" s="157">
        <f>1+LeaseUpElevationPct*MAX(0,1-LeaseUp!NB$10/StabilizedOccupancy)</f>
        <v/>
      </c>
      <c r="NC12" s="157">
        <f>1+LeaseUpElevationPct*MAX(0,1-LeaseUp!NC$10/StabilizedOccupancy)</f>
        <v/>
      </c>
      <c r="ND12" s="157">
        <f>1+LeaseUpElevationPct*MAX(0,1-LeaseUp!ND$10/StabilizedOccupancy)</f>
        <v/>
      </c>
      <c r="NE12" s="157">
        <f>1+LeaseUpElevationPct*MAX(0,1-LeaseUp!NE$10/StabilizedOccupancy)</f>
        <v/>
      </c>
      <c r="NF12" s="157">
        <f>1+LeaseUpElevationPct*MAX(0,1-LeaseUp!NF$10/StabilizedOccupancy)</f>
        <v/>
      </c>
      <c r="NG12" s="157">
        <f>1+LeaseUpElevationPct*MAX(0,1-LeaseUp!NG$10/StabilizedOccupancy)</f>
        <v/>
      </c>
      <c r="NH12" s="157">
        <f>1+LeaseUpElevationPct*MAX(0,1-LeaseUp!NH$10/StabilizedOccupancy)</f>
        <v/>
      </c>
      <c r="NI12" s="157">
        <f>1+LeaseUpElevationPct*MAX(0,1-LeaseUp!NI$10/StabilizedOccupancy)</f>
        <v/>
      </c>
      <c r="NJ12" s="157">
        <f>1+LeaseUpElevationPct*MAX(0,1-LeaseUp!NJ$10/StabilizedOccupancy)</f>
        <v/>
      </c>
      <c r="NK12" s="157">
        <f>1+LeaseUpElevationPct*MAX(0,1-LeaseUp!NK$10/StabilizedOccupancy)</f>
        <v/>
      </c>
      <c r="NL12" s="158">
        <f>1+LeaseUpElevationPct*MAX(0,1-LeaseUp!NL$10/StabilizedOccupancy)</f>
        <v/>
      </c>
    </row>
    <row r="13">
      <c r="B13" s="154" t="inlineStr">
        <is>
          <t>Revenue</t>
        </is>
      </c>
      <c r="C13" s="155" t="n"/>
      <c r="D13" s="155" t="n"/>
      <c r="NL13" s="53" t="n"/>
    </row>
    <row r="14">
      <c r="B14" s="36" t="inlineStr">
        <is>
          <t>Gross Potential Rent</t>
        </is>
      </c>
      <c r="D14" s="266">
        <f>SUM(E14:NL14)</f>
        <v/>
      </c>
      <c r="E14" s="218">
        <f>IF(1&gt;=DeliverStart,BaseMarketRentMo*E$6+BaseLowRentMo*E$7,0)</f>
        <v/>
      </c>
      <c r="F14" s="218">
        <f>IF(2&gt;=DeliverStart,BaseMarketRentMo*F$6+BaseLowRentMo*F$7,0)</f>
        <v/>
      </c>
      <c r="G14" s="218">
        <f>IF(3&gt;=DeliverStart,BaseMarketRentMo*G$6+BaseLowRentMo*G$7,0)</f>
        <v/>
      </c>
      <c r="H14" s="218">
        <f>IF(4&gt;=DeliverStart,BaseMarketRentMo*H$6+BaseLowRentMo*H$7,0)</f>
        <v/>
      </c>
      <c r="I14" s="218">
        <f>IF(5&gt;=DeliverStart,BaseMarketRentMo*I$6+BaseLowRentMo*I$7,0)</f>
        <v/>
      </c>
      <c r="J14" s="218">
        <f>IF(6&gt;=DeliverStart,BaseMarketRentMo*J$6+BaseLowRentMo*J$7,0)</f>
        <v/>
      </c>
      <c r="K14" s="218">
        <f>IF(7&gt;=DeliverStart,BaseMarketRentMo*K$6+BaseLowRentMo*K$7,0)</f>
        <v/>
      </c>
      <c r="L14" s="218">
        <f>IF(8&gt;=DeliverStart,BaseMarketRentMo*L$6+BaseLowRentMo*L$7,0)</f>
        <v/>
      </c>
      <c r="M14" s="218">
        <f>IF(9&gt;=DeliverStart,BaseMarketRentMo*M$6+BaseLowRentMo*M$7,0)</f>
        <v/>
      </c>
      <c r="N14" s="218">
        <f>IF(10&gt;=DeliverStart,BaseMarketRentMo*N$6+BaseLowRentMo*N$7,0)</f>
        <v/>
      </c>
      <c r="O14" s="218">
        <f>IF(11&gt;=DeliverStart,BaseMarketRentMo*O$6+BaseLowRentMo*O$7,0)</f>
        <v/>
      </c>
      <c r="P14" s="218">
        <f>IF(12&gt;=DeliverStart,BaseMarketRentMo*P$6+BaseLowRentMo*P$7,0)</f>
        <v/>
      </c>
      <c r="Q14" s="218">
        <f>IF(13&gt;=DeliverStart,BaseMarketRentMo*Q$6+BaseLowRentMo*Q$7,0)</f>
        <v/>
      </c>
      <c r="R14" s="218">
        <f>IF(14&gt;=DeliverStart,BaseMarketRentMo*R$6+BaseLowRentMo*R$7,0)</f>
        <v/>
      </c>
      <c r="S14" s="218">
        <f>IF(15&gt;=DeliverStart,BaseMarketRentMo*S$6+BaseLowRentMo*S$7,0)</f>
        <v/>
      </c>
      <c r="T14" s="218">
        <f>IF(16&gt;=DeliverStart,BaseMarketRentMo*T$6+BaseLowRentMo*T$7,0)</f>
        <v/>
      </c>
      <c r="U14" s="218">
        <f>IF(17&gt;=DeliverStart,BaseMarketRentMo*U$6+BaseLowRentMo*U$7,0)</f>
        <v/>
      </c>
      <c r="V14" s="218">
        <f>IF(18&gt;=DeliverStart,BaseMarketRentMo*V$6+BaseLowRentMo*V$7,0)</f>
        <v/>
      </c>
      <c r="W14" s="218">
        <f>IF(19&gt;=DeliverStart,BaseMarketRentMo*W$6+BaseLowRentMo*W$7,0)</f>
        <v/>
      </c>
      <c r="X14" s="218">
        <f>IF(20&gt;=DeliverStart,BaseMarketRentMo*X$6+BaseLowRentMo*X$7,0)</f>
        <v/>
      </c>
      <c r="Y14" s="218">
        <f>IF(21&gt;=DeliverStart,BaseMarketRentMo*Y$6+BaseLowRentMo*Y$7,0)</f>
        <v/>
      </c>
      <c r="Z14" s="218">
        <f>IF(22&gt;=DeliverStart,BaseMarketRentMo*Z$6+BaseLowRentMo*Z$7,0)</f>
        <v/>
      </c>
      <c r="AA14" s="218">
        <f>IF(23&gt;=DeliverStart,BaseMarketRentMo*AA$6+BaseLowRentMo*AA$7,0)</f>
        <v/>
      </c>
      <c r="AB14" s="218">
        <f>IF(24&gt;=DeliverStart,BaseMarketRentMo*AB$6+BaseLowRentMo*AB$7,0)</f>
        <v/>
      </c>
      <c r="AC14" s="218">
        <f>IF(25&gt;=DeliverStart,BaseMarketRentMo*AC$6+BaseLowRentMo*AC$7,0)</f>
        <v/>
      </c>
      <c r="AD14" s="218">
        <f>IF(26&gt;=DeliverStart,BaseMarketRentMo*AD$6+BaseLowRentMo*AD$7,0)</f>
        <v/>
      </c>
      <c r="AE14" s="218">
        <f>IF(27&gt;=DeliverStart,BaseMarketRentMo*AE$6+BaseLowRentMo*AE$7,0)</f>
        <v/>
      </c>
      <c r="AF14" s="218">
        <f>IF(28&gt;=DeliverStart,BaseMarketRentMo*AF$6+BaseLowRentMo*AF$7,0)</f>
        <v/>
      </c>
      <c r="AG14" s="218">
        <f>IF(29&gt;=DeliverStart,BaseMarketRentMo*AG$6+BaseLowRentMo*AG$7,0)</f>
        <v/>
      </c>
      <c r="AH14" s="218">
        <f>IF(30&gt;=DeliverStart,BaseMarketRentMo*AH$6+BaseLowRentMo*AH$7,0)</f>
        <v/>
      </c>
      <c r="AI14" s="218">
        <f>IF(31&gt;=DeliverStart,BaseMarketRentMo*AI$6+BaseLowRentMo*AI$7,0)</f>
        <v/>
      </c>
      <c r="AJ14" s="218">
        <f>IF(32&gt;=DeliverStart,BaseMarketRentMo*AJ$6+BaseLowRentMo*AJ$7,0)</f>
        <v/>
      </c>
      <c r="AK14" s="218">
        <f>IF(33&gt;=DeliverStart,BaseMarketRentMo*AK$6+BaseLowRentMo*AK$7,0)</f>
        <v/>
      </c>
      <c r="AL14" s="218">
        <f>IF(34&gt;=DeliverStart,BaseMarketRentMo*AL$6+BaseLowRentMo*AL$7,0)</f>
        <v/>
      </c>
      <c r="AM14" s="218">
        <f>IF(35&gt;=DeliverStart,BaseMarketRentMo*AM$6+BaseLowRentMo*AM$7,0)</f>
        <v/>
      </c>
      <c r="AN14" s="218">
        <f>IF(36&gt;=DeliverStart,BaseMarketRentMo*AN$6+BaseLowRentMo*AN$7,0)</f>
        <v/>
      </c>
      <c r="AO14" s="218">
        <f>IF(37&gt;=DeliverStart,BaseMarketRentMo*AO$6+BaseLowRentMo*AO$7,0)</f>
        <v/>
      </c>
      <c r="AP14" s="218">
        <f>IF(38&gt;=DeliverStart,BaseMarketRentMo*AP$6+BaseLowRentMo*AP$7,0)</f>
        <v/>
      </c>
      <c r="AQ14" s="218">
        <f>IF(39&gt;=DeliverStart,BaseMarketRentMo*AQ$6+BaseLowRentMo*AQ$7,0)</f>
        <v/>
      </c>
      <c r="AR14" s="218">
        <f>IF(40&gt;=DeliverStart,BaseMarketRentMo*AR$6+BaseLowRentMo*AR$7,0)</f>
        <v/>
      </c>
      <c r="AS14" s="218">
        <f>IF(41&gt;=DeliverStart,BaseMarketRentMo*AS$6+BaseLowRentMo*AS$7,0)</f>
        <v/>
      </c>
      <c r="AT14" s="218">
        <f>IF(42&gt;=DeliverStart,BaseMarketRentMo*AT$6+BaseLowRentMo*AT$7,0)</f>
        <v/>
      </c>
      <c r="AU14" s="218">
        <f>IF(43&gt;=DeliverStart,BaseMarketRentMo*AU$6+BaseLowRentMo*AU$7,0)</f>
        <v/>
      </c>
      <c r="AV14" s="218">
        <f>IF(44&gt;=DeliverStart,BaseMarketRentMo*AV$6+BaseLowRentMo*AV$7,0)</f>
        <v/>
      </c>
      <c r="AW14" s="218">
        <f>IF(45&gt;=DeliverStart,BaseMarketRentMo*AW$6+BaseLowRentMo*AW$7,0)</f>
        <v/>
      </c>
      <c r="AX14" s="218">
        <f>IF(46&gt;=DeliverStart,BaseMarketRentMo*AX$6+BaseLowRentMo*AX$7,0)</f>
        <v/>
      </c>
      <c r="AY14" s="218">
        <f>IF(47&gt;=DeliverStart,BaseMarketRentMo*AY$6+BaseLowRentMo*AY$7,0)</f>
        <v/>
      </c>
      <c r="AZ14" s="218">
        <f>IF(48&gt;=DeliverStart,BaseMarketRentMo*AZ$6+BaseLowRentMo*AZ$7,0)</f>
        <v/>
      </c>
      <c r="BA14" s="218">
        <f>IF(49&gt;=DeliverStart,BaseMarketRentMo*BA$6+BaseLowRentMo*BA$7,0)</f>
        <v/>
      </c>
      <c r="BB14" s="218">
        <f>IF(50&gt;=DeliverStart,BaseMarketRentMo*BB$6+BaseLowRentMo*BB$7,0)</f>
        <v/>
      </c>
      <c r="BC14" s="218">
        <f>IF(51&gt;=DeliverStart,BaseMarketRentMo*BC$6+BaseLowRentMo*BC$7,0)</f>
        <v/>
      </c>
      <c r="BD14" s="218">
        <f>IF(52&gt;=DeliverStart,BaseMarketRentMo*BD$6+BaseLowRentMo*BD$7,0)</f>
        <v/>
      </c>
      <c r="BE14" s="218">
        <f>IF(53&gt;=DeliverStart,BaseMarketRentMo*BE$6+BaseLowRentMo*BE$7,0)</f>
        <v/>
      </c>
      <c r="BF14" s="218">
        <f>IF(54&gt;=DeliverStart,BaseMarketRentMo*BF$6+BaseLowRentMo*BF$7,0)</f>
        <v/>
      </c>
      <c r="BG14" s="218">
        <f>IF(55&gt;=DeliverStart,BaseMarketRentMo*BG$6+BaseLowRentMo*BG$7,0)</f>
        <v/>
      </c>
      <c r="BH14" s="218">
        <f>IF(56&gt;=DeliverStart,BaseMarketRentMo*BH$6+BaseLowRentMo*BH$7,0)</f>
        <v/>
      </c>
      <c r="BI14" s="218">
        <f>IF(57&gt;=DeliverStart,BaseMarketRentMo*BI$6+BaseLowRentMo*BI$7,0)</f>
        <v/>
      </c>
      <c r="BJ14" s="218">
        <f>IF(58&gt;=DeliverStart,BaseMarketRentMo*BJ$6+BaseLowRentMo*BJ$7,0)</f>
        <v/>
      </c>
      <c r="BK14" s="218">
        <f>IF(59&gt;=DeliverStart,BaseMarketRentMo*BK$6+BaseLowRentMo*BK$7,0)</f>
        <v/>
      </c>
      <c r="BL14" s="218">
        <f>IF(60&gt;=DeliverStart,BaseMarketRentMo*BL$6+BaseLowRentMo*BL$7,0)</f>
        <v/>
      </c>
      <c r="BM14" s="218">
        <f>IF(61&gt;=DeliverStart,BaseMarketRentMo*BM$6+BaseLowRentMo*BM$7,0)</f>
        <v/>
      </c>
      <c r="BN14" s="218">
        <f>IF(62&gt;=DeliverStart,BaseMarketRentMo*BN$6+BaseLowRentMo*BN$7,0)</f>
        <v/>
      </c>
      <c r="BO14" s="218">
        <f>IF(63&gt;=DeliverStart,BaseMarketRentMo*BO$6+BaseLowRentMo*BO$7,0)</f>
        <v/>
      </c>
      <c r="BP14" s="218">
        <f>IF(64&gt;=DeliverStart,BaseMarketRentMo*BP$6+BaseLowRentMo*BP$7,0)</f>
        <v/>
      </c>
      <c r="BQ14" s="218">
        <f>IF(65&gt;=DeliverStart,BaseMarketRentMo*BQ$6+BaseLowRentMo*BQ$7,0)</f>
        <v/>
      </c>
      <c r="BR14" s="218">
        <f>IF(66&gt;=DeliverStart,BaseMarketRentMo*BR$6+BaseLowRentMo*BR$7,0)</f>
        <v/>
      </c>
      <c r="BS14" s="218">
        <f>IF(67&gt;=DeliverStart,BaseMarketRentMo*BS$6+BaseLowRentMo*BS$7,0)</f>
        <v/>
      </c>
      <c r="BT14" s="218">
        <f>IF(68&gt;=DeliverStart,BaseMarketRentMo*BT$6+BaseLowRentMo*BT$7,0)</f>
        <v/>
      </c>
      <c r="BU14" s="218">
        <f>IF(69&gt;=DeliverStart,BaseMarketRentMo*BU$6+BaseLowRentMo*BU$7,0)</f>
        <v/>
      </c>
      <c r="BV14" s="218">
        <f>IF(70&gt;=DeliverStart,BaseMarketRentMo*BV$6+BaseLowRentMo*BV$7,0)</f>
        <v/>
      </c>
      <c r="BW14" s="218">
        <f>IF(71&gt;=DeliverStart,BaseMarketRentMo*BW$6+BaseLowRentMo*BW$7,0)</f>
        <v/>
      </c>
      <c r="BX14" s="218">
        <f>IF(72&gt;=DeliverStart,BaseMarketRentMo*BX$6+BaseLowRentMo*BX$7,0)</f>
        <v/>
      </c>
      <c r="BY14" s="218">
        <f>IF(73&gt;=DeliverStart,BaseMarketRentMo*BY$6+BaseLowRentMo*BY$7,0)</f>
        <v/>
      </c>
      <c r="BZ14" s="218">
        <f>IF(74&gt;=DeliverStart,BaseMarketRentMo*BZ$6+BaseLowRentMo*BZ$7,0)</f>
        <v/>
      </c>
      <c r="CA14" s="218">
        <f>IF(75&gt;=DeliverStart,BaseMarketRentMo*CA$6+BaseLowRentMo*CA$7,0)</f>
        <v/>
      </c>
      <c r="CB14" s="218">
        <f>IF(76&gt;=DeliverStart,BaseMarketRentMo*CB$6+BaseLowRentMo*CB$7,0)</f>
        <v/>
      </c>
      <c r="CC14" s="218">
        <f>IF(77&gt;=DeliverStart,BaseMarketRentMo*CC$6+BaseLowRentMo*CC$7,0)</f>
        <v/>
      </c>
      <c r="CD14" s="218">
        <f>IF(78&gt;=DeliverStart,BaseMarketRentMo*CD$6+BaseLowRentMo*CD$7,0)</f>
        <v/>
      </c>
      <c r="CE14" s="218">
        <f>IF(79&gt;=DeliverStart,BaseMarketRentMo*CE$6+BaseLowRentMo*CE$7,0)</f>
        <v/>
      </c>
      <c r="CF14" s="218">
        <f>IF(80&gt;=DeliverStart,BaseMarketRentMo*CF$6+BaseLowRentMo*CF$7,0)</f>
        <v/>
      </c>
      <c r="CG14" s="218">
        <f>IF(81&gt;=DeliverStart,BaseMarketRentMo*CG$6+BaseLowRentMo*CG$7,0)</f>
        <v/>
      </c>
      <c r="CH14" s="218">
        <f>IF(82&gt;=DeliverStart,BaseMarketRentMo*CH$6+BaseLowRentMo*CH$7,0)</f>
        <v/>
      </c>
      <c r="CI14" s="218">
        <f>IF(83&gt;=DeliverStart,BaseMarketRentMo*CI$6+BaseLowRentMo*CI$7,0)</f>
        <v/>
      </c>
      <c r="CJ14" s="218">
        <f>IF(84&gt;=DeliverStart,BaseMarketRentMo*CJ$6+BaseLowRentMo*CJ$7,0)</f>
        <v/>
      </c>
      <c r="CK14" s="218">
        <f>IF(85&gt;=DeliverStart,BaseMarketRentMo*CK$6+BaseLowRentMo*CK$7,0)</f>
        <v/>
      </c>
      <c r="CL14" s="218">
        <f>IF(86&gt;=DeliverStart,BaseMarketRentMo*CL$6+BaseLowRentMo*CL$7,0)</f>
        <v/>
      </c>
      <c r="CM14" s="218">
        <f>IF(87&gt;=DeliverStart,BaseMarketRentMo*CM$6+BaseLowRentMo*CM$7,0)</f>
        <v/>
      </c>
      <c r="CN14" s="218">
        <f>IF(88&gt;=DeliverStart,BaseMarketRentMo*CN$6+BaseLowRentMo*CN$7,0)</f>
        <v/>
      </c>
      <c r="CO14" s="218">
        <f>IF(89&gt;=DeliverStart,BaseMarketRentMo*CO$6+BaseLowRentMo*CO$7,0)</f>
        <v/>
      </c>
      <c r="CP14" s="218">
        <f>IF(90&gt;=DeliverStart,BaseMarketRentMo*CP$6+BaseLowRentMo*CP$7,0)</f>
        <v/>
      </c>
      <c r="CQ14" s="218">
        <f>IF(91&gt;=DeliverStart,BaseMarketRentMo*CQ$6+BaseLowRentMo*CQ$7,0)</f>
        <v/>
      </c>
      <c r="CR14" s="218">
        <f>IF(92&gt;=DeliverStart,BaseMarketRentMo*CR$6+BaseLowRentMo*CR$7,0)</f>
        <v/>
      </c>
      <c r="CS14" s="218">
        <f>IF(93&gt;=DeliverStart,BaseMarketRentMo*CS$6+BaseLowRentMo*CS$7,0)</f>
        <v/>
      </c>
      <c r="CT14" s="218">
        <f>IF(94&gt;=DeliverStart,BaseMarketRentMo*CT$6+BaseLowRentMo*CT$7,0)</f>
        <v/>
      </c>
      <c r="CU14" s="218">
        <f>IF(95&gt;=DeliverStart,BaseMarketRentMo*CU$6+BaseLowRentMo*CU$7,0)</f>
        <v/>
      </c>
      <c r="CV14" s="218">
        <f>IF(96&gt;=DeliverStart,BaseMarketRentMo*CV$6+BaseLowRentMo*CV$7,0)</f>
        <v/>
      </c>
      <c r="CW14" s="218">
        <f>IF(97&gt;=DeliverStart,BaseMarketRentMo*CW$6+BaseLowRentMo*CW$7,0)</f>
        <v/>
      </c>
      <c r="CX14" s="218">
        <f>IF(98&gt;=DeliverStart,BaseMarketRentMo*CX$6+BaseLowRentMo*CX$7,0)</f>
        <v/>
      </c>
      <c r="CY14" s="218">
        <f>IF(99&gt;=DeliverStart,BaseMarketRentMo*CY$6+BaseLowRentMo*CY$7,0)</f>
        <v/>
      </c>
      <c r="CZ14" s="218">
        <f>IF(100&gt;=DeliverStart,BaseMarketRentMo*CZ$6+BaseLowRentMo*CZ$7,0)</f>
        <v/>
      </c>
      <c r="DA14" s="218">
        <f>IF(101&gt;=DeliverStart,BaseMarketRentMo*DA$6+BaseLowRentMo*DA$7,0)</f>
        <v/>
      </c>
      <c r="DB14" s="218">
        <f>IF(102&gt;=DeliverStart,BaseMarketRentMo*DB$6+BaseLowRentMo*DB$7,0)</f>
        <v/>
      </c>
      <c r="DC14" s="218">
        <f>IF(103&gt;=DeliverStart,BaseMarketRentMo*DC$6+BaseLowRentMo*DC$7,0)</f>
        <v/>
      </c>
      <c r="DD14" s="218">
        <f>IF(104&gt;=DeliverStart,BaseMarketRentMo*DD$6+BaseLowRentMo*DD$7,0)</f>
        <v/>
      </c>
      <c r="DE14" s="218">
        <f>IF(105&gt;=DeliverStart,BaseMarketRentMo*DE$6+BaseLowRentMo*DE$7,0)</f>
        <v/>
      </c>
      <c r="DF14" s="218">
        <f>IF(106&gt;=DeliverStart,BaseMarketRentMo*DF$6+BaseLowRentMo*DF$7,0)</f>
        <v/>
      </c>
      <c r="DG14" s="218">
        <f>IF(107&gt;=DeliverStart,BaseMarketRentMo*DG$6+BaseLowRentMo*DG$7,0)</f>
        <v/>
      </c>
      <c r="DH14" s="218">
        <f>IF(108&gt;=DeliverStart,BaseMarketRentMo*DH$6+BaseLowRentMo*DH$7,0)</f>
        <v/>
      </c>
      <c r="DI14" s="218">
        <f>IF(109&gt;=DeliverStart,BaseMarketRentMo*DI$6+BaseLowRentMo*DI$7,0)</f>
        <v/>
      </c>
      <c r="DJ14" s="218">
        <f>IF(110&gt;=DeliverStart,BaseMarketRentMo*DJ$6+BaseLowRentMo*DJ$7,0)</f>
        <v/>
      </c>
      <c r="DK14" s="218">
        <f>IF(111&gt;=DeliverStart,BaseMarketRentMo*DK$6+BaseLowRentMo*DK$7,0)</f>
        <v/>
      </c>
      <c r="DL14" s="218">
        <f>IF(112&gt;=DeliverStart,BaseMarketRentMo*DL$6+BaseLowRentMo*DL$7,0)</f>
        <v/>
      </c>
      <c r="DM14" s="218">
        <f>IF(113&gt;=DeliverStart,BaseMarketRentMo*DM$6+BaseLowRentMo*DM$7,0)</f>
        <v/>
      </c>
      <c r="DN14" s="218">
        <f>IF(114&gt;=DeliverStart,BaseMarketRentMo*DN$6+BaseLowRentMo*DN$7,0)</f>
        <v/>
      </c>
      <c r="DO14" s="218">
        <f>IF(115&gt;=DeliverStart,BaseMarketRentMo*DO$6+BaseLowRentMo*DO$7,0)</f>
        <v/>
      </c>
      <c r="DP14" s="218">
        <f>IF(116&gt;=DeliverStart,BaseMarketRentMo*DP$6+BaseLowRentMo*DP$7,0)</f>
        <v/>
      </c>
      <c r="DQ14" s="218">
        <f>IF(117&gt;=DeliverStart,BaseMarketRentMo*DQ$6+BaseLowRentMo*DQ$7,0)</f>
        <v/>
      </c>
      <c r="DR14" s="218">
        <f>IF(118&gt;=DeliverStart,BaseMarketRentMo*DR$6+BaseLowRentMo*DR$7,0)</f>
        <v/>
      </c>
      <c r="DS14" s="218">
        <f>IF(119&gt;=DeliverStart,BaseMarketRentMo*DS$6+BaseLowRentMo*DS$7,0)</f>
        <v/>
      </c>
      <c r="DT14" s="218">
        <f>IF(120&gt;=DeliverStart,BaseMarketRentMo*DT$6+BaseLowRentMo*DT$7,0)</f>
        <v/>
      </c>
      <c r="DU14" s="218">
        <f>IF(121&gt;=DeliverStart,BaseMarketRentMo*DU$6+BaseLowRentMo*DU$7,0)</f>
        <v/>
      </c>
      <c r="DV14" s="218">
        <f>IF(122&gt;=DeliverStart,BaseMarketRentMo*DV$6+BaseLowRentMo*DV$7,0)</f>
        <v/>
      </c>
      <c r="DW14" s="218">
        <f>IF(123&gt;=DeliverStart,BaseMarketRentMo*DW$6+BaseLowRentMo*DW$7,0)</f>
        <v/>
      </c>
      <c r="DX14" s="218">
        <f>IF(124&gt;=DeliverStart,BaseMarketRentMo*DX$6+BaseLowRentMo*DX$7,0)</f>
        <v/>
      </c>
      <c r="DY14" s="218">
        <f>IF(125&gt;=DeliverStart,BaseMarketRentMo*DY$6+BaseLowRentMo*DY$7,0)</f>
        <v/>
      </c>
      <c r="DZ14" s="218">
        <f>IF(126&gt;=DeliverStart,BaseMarketRentMo*DZ$6+BaseLowRentMo*DZ$7,0)</f>
        <v/>
      </c>
      <c r="EA14" s="218">
        <f>IF(127&gt;=DeliverStart,BaseMarketRentMo*EA$6+BaseLowRentMo*EA$7,0)</f>
        <v/>
      </c>
      <c r="EB14" s="218">
        <f>IF(128&gt;=DeliverStart,BaseMarketRentMo*EB$6+BaseLowRentMo*EB$7,0)</f>
        <v/>
      </c>
      <c r="EC14" s="218">
        <f>IF(129&gt;=DeliverStart,BaseMarketRentMo*EC$6+BaseLowRentMo*EC$7,0)</f>
        <v/>
      </c>
      <c r="ED14" s="218">
        <f>IF(130&gt;=DeliverStart,BaseMarketRentMo*ED$6+BaseLowRentMo*ED$7,0)</f>
        <v/>
      </c>
      <c r="EE14" s="218">
        <f>IF(131&gt;=DeliverStart,BaseMarketRentMo*EE$6+BaseLowRentMo*EE$7,0)</f>
        <v/>
      </c>
      <c r="EF14" s="218">
        <f>IF(132&gt;=DeliverStart,BaseMarketRentMo*EF$6+BaseLowRentMo*EF$7,0)</f>
        <v/>
      </c>
      <c r="EG14" s="218">
        <f>IF(133&gt;=DeliverStart,BaseMarketRentMo*EG$6+BaseLowRentMo*EG$7,0)</f>
        <v/>
      </c>
      <c r="EH14" s="218">
        <f>IF(134&gt;=DeliverStart,BaseMarketRentMo*EH$6+BaseLowRentMo*EH$7,0)</f>
        <v/>
      </c>
      <c r="EI14" s="218">
        <f>IF(135&gt;=DeliverStart,BaseMarketRentMo*EI$6+BaseLowRentMo*EI$7,0)</f>
        <v/>
      </c>
      <c r="EJ14" s="218">
        <f>IF(136&gt;=DeliverStart,BaseMarketRentMo*EJ$6+BaseLowRentMo*EJ$7,0)</f>
        <v/>
      </c>
      <c r="EK14" s="218">
        <f>IF(137&gt;=DeliverStart,BaseMarketRentMo*EK$6+BaseLowRentMo*EK$7,0)</f>
        <v/>
      </c>
      <c r="EL14" s="218">
        <f>IF(138&gt;=DeliverStart,BaseMarketRentMo*EL$6+BaseLowRentMo*EL$7,0)</f>
        <v/>
      </c>
      <c r="EM14" s="218">
        <f>IF(139&gt;=DeliverStart,BaseMarketRentMo*EM$6+BaseLowRentMo*EM$7,0)</f>
        <v/>
      </c>
      <c r="EN14" s="218">
        <f>IF(140&gt;=DeliverStart,BaseMarketRentMo*EN$6+BaseLowRentMo*EN$7,0)</f>
        <v/>
      </c>
      <c r="EO14" s="218">
        <f>IF(141&gt;=DeliverStart,BaseMarketRentMo*EO$6+BaseLowRentMo*EO$7,0)</f>
        <v/>
      </c>
      <c r="EP14" s="218">
        <f>IF(142&gt;=DeliverStart,BaseMarketRentMo*EP$6+BaseLowRentMo*EP$7,0)</f>
        <v/>
      </c>
      <c r="EQ14" s="218">
        <f>IF(143&gt;=DeliverStart,BaseMarketRentMo*EQ$6+BaseLowRentMo*EQ$7,0)</f>
        <v/>
      </c>
      <c r="ER14" s="218">
        <f>IF(144&gt;=DeliverStart,BaseMarketRentMo*ER$6+BaseLowRentMo*ER$7,0)</f>
        <v/>
      </c>
      <c r="ES14" s="218">
        <f>IF(145&gt;=DeliverStart,BaseMarketRentMo*ES$6+BaseLowRentMo*ES$7,0)</f>
        <v/>
      </c>
      <c r="ET14" s="218">
        <f>IF(146&gt;=DeliverStart,BaseMarketRentMo*ET$6+BaseLowRentMo*ET$7,0)</f>
        <v/>
      </c>
      <c r="EU14" s="218">
        <f>IF(147&gt;=DeliverStart,BaseMarketRentMo*EU$6+BaseLowRentMo*EU$7,0)</f>
        <v/>
      </c>
      <c r="EV14" s="218">
        <f>IF(148&gt;=DeliverStart,BaseMarketRentMo*EV$6+BaseLowRentMo*EV$7,0)</f>
        <v/>
      </c>
      <c r="EW14" s="218">
        <f>IF(149&gt;=DeliverStart,BaseMarketRentMo*EW$6+BaseLowRentMo*EW$7,0)</f>
        <v/>
      </c>
      <c r="EX14" s="218">
        <f>IF(150&gt;=DeliverStart,BaseMarketRentMo*EX$6+BaseLowRentMo*EX$7,0)</f>
        <v/>
      </c>
      <c r="EY14" s="218">
        <f>IF(151&gt;=DeliverStart,BaseMarketRentMo*EY$6+BaseLowRentMo*EY$7,0)</f>
        <v/>
      </c>
      <c r="EZ14" s="218">
        <f>IF(152&gt;=DeliverStart,BaseMarketRentMo*EZ$6+BaseLowRentMo*EZ$7,0)</f>
        <v/>
      </c>
      <c r="FA14" s="218">
        <f>IF(153&gt;=DeliverStart,BaseMarketRentMo*FA$6+BaseLowRentMo*FA$7,0)</f>
        <v/>
      </c>
      <c r="FB14" s="218">
        <f>IF(154&gt;=DeliverStart,BaseMarketRentMo*FB$6+BaseLowRentMo*FB$7,0)</f>
        <v/>
      </c>
      <c r="FC14" s="218">
        <f>IF(155&gt;=DeliverStart,BaseMarketRentMo*FC$6+BaseLowRentMo*FC$7,0)</f>
        <v/>
      </c>
      <c r="FD14" s="218">
        <f>IF(156&gt;=DeliverStart,BaseMarketRentMo*FD$6+BaseLowRentMo*FD$7,0)</f>
        <v/>
      </c>
      <c r="FE14" s="218">
        <f>IF(157&gt;=DeliverStart,BaseMarketRentMo*FE$6+BaseLowRentMo*FE$7,0)</f>
        <v/>
      </c>
      <c r="FF14" s="218">
        <f>IF(158&gt;=DeliverStart,BaseMarketRentMo*FF$6+BaseLowRentMo*FF$7,0)</f>
        <v/>
      </c>
      <c r="FG14" s="218">
        <f>IF(159&gt;=DeliverStart,BaseMarketRentMo*FG$6+BaseLowRentMo*FG$7,0)</f>
        <v/>
      </c>
      <c r="FH14" s="218">
        <f>IF(160&gt;=DeliverStart,BaseMarketRentMo*FH$6+BaseLowRentMo*FH$7,0)</f>
        <v/>
      </c>
      <c r="FI14" s="218">
        <f>IF(161&gt;=DeliverStart,BaseMarketRentMo*FI$6+BaseLowRentMo*FI$7,0)</f>
        <v/>
      </c>
      <c r="FJ14" s="218">
        <f>IF(162&gt;=DeliverStart,BaseMarketRentMo*FJ$6+BaseLowRentMo*FJ$7,0)</f>
        <v/>
      </c>
      <c r="FK14" s="218">
        <f>IF(163&gt;=DeliverStart,BaseMarketRentMo*FK$6+BaseLowRentMo*FK$7,0)</f>
        <v/>
      </c>
      <c r="FL14" s="218">
        <f>IF(164&gt;=DeliverStart,BaseMarketRentMo*FL$6+BaseLowRentMo*FL$7,0)</f>
        <v/>
      </c>
      <c r="FM14" s="218">
        <f>IF(165&gt;=DeliverStart,BaseMarketRentMo*FM$6+BaseLowRentMo*FM$7,0)</f>
        <v/>
      </c>
      <c r="FN14" s="218">
        <f>IF(166&gt;=DeliverStart,BaseMarketRentMo*FN$6+BaseLowRentMo*FN$7,0)</f>
        <v/>
      </c>
      <c r="FO14" s="218">
        <f>IF(167&gt;=DeliverStart,BaseMarketRentMo*FO$6+BaseLowRentMo*FO$7,0)</f>
        <v/>
      </c>
      <c r="FP14" s="218">
        <f>IF(168&gt;=DeliverStart,BaseMarketRentMo*FP$6+BaseLowRentMo*FP$7,0)</f>
        <v/>
      </c>
      <c r="FQ14" s="218">
        <f>IF(169&gt;=DeliverStart,BaseMarketRentMo*FQ$6+BaseLowRentMo*FQ$7,0)</f>
        <v/>
      </c>
      <c r="FR14" s="218">
        <f>IF(170&gt;=DeliverStart,BaseMarketRentMo*FR$6+BaseLowRentMo*FR$7,0)</f>
        <v/>
      </c>
      <c r="FS14" s="218">
        <f>IF(171&gt;=DeliverStart,BaseMarketRentMo*FS$6+BaseLowRentMo*FS$7,0)</f>
        <v/>
      </c>
      <c r="FT14" s="218">
        <f>IF(172&gt;=DeliverStart,BaseMarketRentMo*FT$6+BaseLowRentMo*FT$7,0)</f>
        <v/>
      </c>
      <c r="FU14" s="218">
        <f>IF(173&gt;=DeliverStart,BaseMarketRentMo*FU$6+BaseLowRentMo*FU$7,0)</f>
        <v/>
      </c>
      <c r="FV14" s="218">
        <f>IF(174&gt;=DeliverStart,BaseMarketRentMo*FV$6+BaseLowRentMo*FV$7,0)</f>
        <v/>
      </c>
      <c r="FW14" s="218">
        <f>IF(175&gt;=DeliverStart,BaseMarketRentMo*FW$6+BaseLowRentMo*FW$7,0)</f>
        <v/>
      </c>
      <c r="FX14" s="218">
        <f>IF(176&gt;=DeliverStart,BaseMarketRentMo*FX$6+BaseLowRentMo*FX$7,0)</f>
        <v/>
      </c>
      <c r="FY14" s="218">
        <f>IF(177&gt;=DeliverStart,BaseMarketRentMo*FY$6+BaseLowRentMo*FY$7,0)</f>
        <v/>
      </c>
      <c r="FZ14" s="218">
        <f>IF(178&gt;=DeliverStart,BaseMarketRentMo*FZ$6+BaseLowRentMo*FZ$7,0)</f>
        <v/>
      </c>
      <c r="GA14" s="218">
        <f>IF(179&gt;=DeliverStart,BaseMarketRentMo*GA$6+BaseLowRentMo*GA$7,0)</f>
        <v/>
      </c>
      <c r="GB14" s="218">
        <f>IF(180&gt;=DeliverStart,BaseMarketRentMo*GB$6+BaseLowRentMo*GB$7,0)</f>
        <v/>
      </c>
      <c r="GC14" s="218">
        <f>IF(181&gt;=DeliverStart,BaseMarketRentMo*GC$6+BaseLowRentMo*GC$7,0)</f>
        <v/>
      </c>
      <c r="GD14" s="218">
        <f>IF(182&gt;=DeliverStart,BaseMarketRentMo*GD$6+BaseLowRentMo*GD$7,0)</f>
        <v/>
      </c>
      <c r="GE14" s="218">
        <f>IF(183&gt;=DeliverStart,BaseMarketRentMo*GE$6+BaseLowRentMo*GE$7,0)</f>
        <v/>
      </c>
      <c r="GF14" s="218">
        <f>IF(184&gt;=DeliverStart,BaseMarketRentMo*GF$6+BaseLowRentMo*GF$7,0)</f>
        <v/>
      </c>
      <c r="GG14" s="218">
        <f>IF(185&gt;=DeliverStart,BaseMarketRentMo*GG$6+BaseLowRentMo*GG$7,0)</f>
        <v/>
      </c>
      <c r="GH14" s="218">
        <f>IF(186&gt;=DeliverStart,BaseMarketRentMo*GH$6+BaseLowRentMo*GH$7,0)</f>
        <v/>
      </c>
      <c r="GI14" s="218">
        <f>IF(187&gt;=DeliverStart,BaseMarketRentMo*GI$6+BaseLowRentMo*GI$7,0)</f>
        <v/>
      </c>
      <c r="GJ14" s="218">
        <f>IF(188&gt;=DeliverStart,BaseMarketRentMo*GJ$6+BaseLowRentMo*GJ$7,0)</f>
        <v/>
      </c>
      <c r="GK14" s="218">
        <f>IF(189&gt;=DeliverStart,BaseMarketRentMo*GK$6+BaseLowRentMo*GK$7,0)</f>
        <v/>
      </c>
      <c r="GL14" s="218">
        <f>IF(190&gt;=DeliverStart,BaseMarketRentMo*GL$6+BaseLowRentMo*GL$7,0)</f>
        <v/>
      </c>
      <c r="GM14" s="218">
        <f>IF(191&gt;=DeliverStart,BaseMarketRentMo*GM$6+BaseLowRentMo*GM$7,0)</f>
        <v/>
      </c>
      <c r="GN14" s="218">
        <f>IF(192&gt;=DeliverStart,BaseMarketRentMo*GN$6+BaseLowRentMo*GN$7,0)</f>
        <v/>
      </c>
      <c r="GO14" s="218">
        <f>IF(193&gt;=DeliverStart,BaseMarketRentMo*GO$6+BaseLowRentMo*GO$7,0)</f>
        <v/>
      </c>
      <c r="GP14" s="218">
        <f>IF(194&gt;=DeliverStart,BaseMarketRentMo*GP$6+BaseLowRentMo*GP$7,0)</f>
        <v/>
      </c>
      <c r="GQ14" s="218">
        <f>IF(195&gt;=DeliverStart,BaseMarketRentMo*GQ$6+BaseLowRentMo*GQ$7,0)</f>
        <v/>
      </c>
      <c r="GR14" s="218">
        <f>IF(196&gt;=DeliverStart,BaseMarketRentMo*GR$6+BaseLowRentMo*GR$7,0)</f>
        <v/>
      </c>
      <c r="GS14" s="218">
        <f>IF(197&gt;=DeliverStart,BaseMarketRentMo*GS$6+BaseLowRentMo*GS$7,0)</f>
        <v/>
      </c>
      <c r="GT14" s="218">
        <f>IF(198&gt;=DeliverStart,BaseMarketRentMo*GT$6+BaseLowRentMo*GT$7,0)</f>
        <v/>
      </c>
      <c r="GU14" s="218">
        <f>IF(199&gt;=DeliverStart,BaseMarketRentMo*GU$6+BaseLowRentMo*GU$7,0)</f>
        <v/>
      </c>
      <c r="GV14" s="218">
        <f>IF(200&gt;=DeliverStart,BaseMarketRentMo*GV$6+BaseLowRentMo*GV$7,0)</f>
        <v/>
      </c>
      <c r="GW14" s="218">
        <f>IF(201&gt;=DeliverStart,BaseMarketRentMo*GW$6+BaseLowRentMo*GW$7,0)</f>
        <v/>
      </c>
      <c r="GX14" s="218">
        <f>IF(202&gt;=DeliverStart,BaseMarketRentMo*GX$6+BaseLowRentMo*GX$7,0)</f>
        <v/>
      </c>
      <c r="GY14" s="218">
        <f>IF(203&gt;=DeliverStart,BaseMarketRentMo*GY$6+BaseLowRentMo*GY$7,0)</f>
        <v/>
      </c>
      <c r="GZ14" s="218">
        <f>IF(204&gt;=DeliverStart,BaseMarketRentMo*GZ$6+BaseLowRentMo*GZ$7,0)</f>
        <v/>
      </c>
      <c r="HA14" s="218">
        <f>IF(205&gt;=DeliverStart,BaseMarketRentMo*HA$6+BaseLowRentMo*HA$7,0)</f>
        <v/>
      </c>
      <c r="HB14" s="218">
        <f>IF(206&gt;=DeliverStart,BaseMarketRentMo*HB$6+BaseLowRentMo*HB$7,0)</f>
        <v/>
      </c>
      <c r="HC14" s="218">
        <f>IF(207&gt;=DeliverStart,BaseMarketRentMo*HC$6+BaseLowRentMo*HC$7,0)</f>
        <v/>
      </c>
      <c r="HD14" s="218">
        <f>IF(208&gt;=DeliverStart,BaseMarketRentMo*HD$6+BaseLowRentMo*HD$7,0)</f>
        <v/>
      </c>
      <c r="HE14" s="218">
        <f>IF(209&gt;=DeliverStart,BaseMarketRentMo*HE$6+BaseLowRentMo*HE$7,0)</f>
        <v/>
      </c>
      <c r="HF14" s="218">
        <f>IF(210&gt;=DeliverStart,BaseMarketRentMo*HF$6+BaseLowRentMo*HF$7,0)</f>
        <v/>
      </c>
      <c r="HG14" s="218">
        <f>IF(211&gt;=DeliverStart,BaseMarketRentMo*HG$6+BaseLowRentMo*HG$7,0)</f>
        <v/>
      </c>
      <c r="HH14" s="218">
        <f>IF(212&gt;=DeliverStart,BaseMarketRentMo*HH$6+BaseLowRentMo*HH$7,0)</f>
        <v/>
      </c>
      <c r="HI14" s="218">
        <f>IF(213&gt;=DeliverStart,BaseMarketRentMo*HI$6+BaseLowRentMo*HI$7,0)</f>
        <v/>
      </c>
      <c r="HJ14" s="218">
        <f>IF(214&gt;=DeliverStart,BaseMarketRentMo*HJ$6+BaseLowRentMo*HJ$7,0)</f>
        <v/>
      </c>
      <c r="HK14" s="218">
        <f>IF(215&gt;=DeliverStart,BaseMarketRentMo*HK$6+BaseLowRentMo*HK$7,0)</f>
        <v/>
      </c>
      <c r="HL14" s="218">
        <f>IF(216&gt;=DeliverStart,BaseMarketRentMo*HL$6+BaseLowRentMo*HL$7,0)</f>
        <v/>
      </c>
      <c r="HM14" s="218">
        <f>IF(217&gt;=DeliverStart,BaseMarketRentMo*HM$6+BaseLowRentMo*HM$7,0)</f>
        <v/>
      </c>
      <c r="HN14" s="218">
        <f>IF(218&gt;=DeliverStart,BaseMarketRentMo*HN$6+BaseLowRentMo*HN$7,0)</f>
        <v/>
      </c>
      <c r="HO14" s="218">
        <f>IF(219&gt;=DeliverStart,BaseMarketRentMo*HO$6+BaseLowRentMo*HO$7,0)</f>
        <v/>
      </c>
      <c r="HP14" s="218">
        <f>IF(220&gt;=DeliverStart,BaseMarketRentMo*HP$6+BaseLowRentMo*HP$7,0)</f>
        <v/>
      </c>
      <c r="HQ14" s="218">
        <f>IF(221&gt;=DeliverStart,BaseMarketRentMo*HQ$6+BaseLowRentMo*HQ$7,0)</f>
        <v/>
      </c>
      <c r="HR14" s="218">
        <f>IF(222&gt;=DeliverStart,BaseMarketRentMo*HR$6+BaseLowRentMo*HR$7,0)</f>
        <v/>
      </c>
      <c r="HS14" s="218">
        <f>IF(223&gt;=DeliverStart,BaseMarketRentMo*HS$6+BaseLowRentMo*HS$7,0)</f>
        <v/>
      </c>
      <c r="HT14" s="218">
        <f>IF(224&gt;=DeliverStart,BaseMarketRentMo*HT$6+BaseLowRentMo*HT$7,0)</f>
        <v/>
      </c>
      <c r="HU14" s="218">
        <f>IF(225&gt;=DeliverStart,BaseMarketRentMo*HU$6+BaseLowRentMo*HU$7,0)</f>
        <v/>
      </c>
      <c r="HV14" s="218">
        <f>IF(226&gt;=DeliverStart,BaseMarketRentMo*HV$6+BaseLowRentMo*HV$7,0)</f>
        <v/>
      </c>
      <c r="HW14" s="218">
        <f>IF(227&gt;=DeliverStart,BaseMarketRentMo*HW$6+BaseLowRentMo*HW$7,0)</f>
        <v/>
      </c>
      <c r="HX14" s="218">
        <f>IF(228&gt;=DeliverStart,BaseMarketRentMo*HX$6+BaseLowRentMo*HX$7,0)</f>
        <v/>
      </c>
      <c r="HY14" s="218">
        <f>IF(229&gt;=DeliverStart,BaseMarketRentMo*HY$6+BaseLowRentMo*HY$7,0)</f>
        <v/>
      </c>
      <c r="HZ14" s="218">
        <f>IF(230&gt;=DeliverStart,BaseMarketRentMo*HZ$6+BaseLowRentMo*HZ$7,0)</f>
        <v/>
      </c>
      <c r="IA14" s="218">
        <f>IF(231&gt;=DeliverStart,BaseMarketRentMo*IA$6+BaseLowRentMo*IA$7,0)</f>
        <v/>
      </c>
      <c r="IB14" s="218">
        <f>IF(232&gt;=DeliverStart,BaseMarketRentMo*IB$6+BaseLowRentMo*IB$7,0)</f>
        <v/>
      </c>
      <c r="IC14" s="218">
        <f>IF(233&gt;=DeliverStart,BaseMarketRentMo*IC$6+BaseLowRentMo*IC$7,0)</f>
        <v/>
      </c>
      <c r="ID14" s="218">
        <f>IF(234&gt;=DeliverStart,BaseMarketRentMo*ID$6+BaseLowRentMo*ID$7,0)</f>
        <v/>
      </c>
      <c r="IE14" s="218">
        <f>IF(235&gt;=DeliverStart,BaseMarketRentMo*IE$6+BaseLowRentMo*IE$7,0)</f>
        <v/>
      </c>
      <c r="IF14" s="218">
        <f>IF(236&gt;=DeliverStart,BaseMarketRentMo*IF$6+BaseLowRentMo*IF$7,0)</f>
        <v/>
      </c>
      <c r="IG14" s="218">
        <f>IF(237&gt;=DeliverStart,BaseMarketRentMo*IG$6+BaseLowRentMo*IG$7,0)</f>
        <v/>
      </c>
      <c r="IH14" s="218">
        <f>IF(238&gt;=DeliverStart,BaseMarketRentMo*IH$6+BaseLowRentMo*IH$7,0)</f>
        <v/>
      </c>
      <c r="II14" s="218">
        <f>IF(239&gt;=DeliverStart,BaseMarketRentMo*II$6+BaseLowRentMo*II$7,0)</f>
        <v/>
      </c>
      <c r="IJ14" s="218">
        <f>IF(240&gt;=DeliverStart,BaseMarketRentMo*IJ$6+BaseLowRentMo*IJ$7,0)</f>
        <v/>
      </c>
      <c r="IK14" s="218">
        <f>IF(241&gt;=DeliverStart,BaseMarketRentMo*IK$6+BaseLowRentMo*IK$7,0)</f>
        <v/>
      </c>
      <c r="IL14" s="218">
        <f>IF(242&gt;=DeliverStart,BaseMarketRentMo*IL$6+BaseLowRentMo*IL$7,0)</f>
        <v/>
      </c>
      <c r="IM14" s="218">
        <f>IF(243&gt;=DeliverStart,BaseMarketRentMo*IM$6+BaseLowRentMo*IM$7,0)</f>
        <v/>
      </c>
      <c r="IN14" s="218">
        <f>IF(244&gt;=DeliverStart,BaseMarketRentMo*IN$6+BaseLowRentMo*IN$7,0)</f>
        <v/>
      </c>
      <c r="IO14" s="218">
        <f>IF(245&gt;=DeliverStart,BaseMarketRentMo*IO$6+BaseLowRentMo*IO$7,0)</f>
        <v/>
      </c>
      <c r="IP14" s="218">
        <f>IF(246&gt;=DeliverStart,BaseMarketRentMo*IP$6+BaseLowRentMo*IP$7,0)</f>
        <v/>
      </c>
      <c r="IQ14" s="218">
        <f>IF(247&gt;=DeliverStart,BaseMarketRentMo*IQ$6+BaseLowRentMo*IQ$7,0)</f>
        <v/>
      </c>
      <c r="IR14" s="218">
        <f>IF(248&gt;=DeliverStart,BaseMarketRentMo*IR$6+BaseLowRentMo*IR$7,0)</f>
        <v/>
      </c>
      <c r="IS14" s="218">
        <f>IF(249&gt;=DeliverStart,BaseMarketRentMo*IS$6+BaseLowRentMo*IS$7,0)</f>
        <v/>
      </c>
      <c r="IT14" s="218">
        <f>IF(250&gt;=DeliverStart,BaseMarketRentMo*IT$6+BaseLowRentMo*IT$7,0)</f>
        <v/>
      </c>
      <c r="IU14" s="218">
        <f>IF(251&gt;=DeliverStart,BaseMarketRentMo*IU$6+BaseLowRentMo*IU$7,0)</f>
        <v/>
      </c>
      <c r="IV14" s="218">
        <f>IF(252&gt;=DeliverStart,BaseMarketRentMo*IV$6+BaseLowRentMo*IV$7,0)</f>
        <v/>
      </c>
      <c r="IW14" s="218">
        <f>IF(253&gt;=DeliverStart,BaseMarketRentMo*IW$6+BaseLowRentMo*IW$7,0)</f>
        <v/>
      </c>
      <c r="IX14" s="218">
        <f>IF(254&gt;=DeliverStart,BaseMarketRentMo*IX$6+BaseLowRentMo*IX$7,0)</f>
        <v/>
      </c>
      <c r="IY14" s="218">
        <f>IF(255&gt;=DeliverStart,BaseMarketRentMo*IY$6+BaseLowRentMo*IY$7,0)</f>
        <v/>
      </c>
      <c r="IZ14" s="218">
        <f>IF(256&gt;=DeliverStart,BaseMarketRentMo*IZ$6+BaseLowRentMo*IZ$7,0)</f>
        <v/>
      </c>
      <c r="JA14" s="218">
        <f>IF(257&gt;=DeliverStart,BaseMarketRentMo*JA$6+BaseLowRentMo*JA$7,0)</f>
        <v/>
      </c>
      <c r="JB14" s="218">
        <f>IF(258&gt;=DeliverStart,BaseMarketRentMo*JB$6+BaseLowRentMo*JB$7,0)</f>
        <v/>
      </c>
      <c r="JC14" s="218">
        <f>IF(259&gt;=DeliverStart,BaseMarketRentMo*JC$6+BaseLowRentMo*JC$7,0)</f>
        <v/>
      </c>
      <c r="JD14" s="218">
        <f>IF(260&gt;=DeliverStart,BaseMarketRentMo*JD$6+BaseLowRentMo*JD$7,0)</f>
        <v/>
      </c>
      <c r="JE14" s="218">
        <f>IF(261&gt;=DeliverStart,BaseMarketRentMo*JE$6+BaseLowRentMo*JE$7,0)</f>
        <v/>
      </c>
      <c r="JF14" s="218">
        <f>IF(262&gt;=DeliverStart,BaseMarketRentMo*JF$6+BaseLowRentMo*JF$7,0)</f>
        <v/>
      </c>
      <c r="JG14" s="218">
        <f>IF(263&gt;=DeliverStart,BaseMarketRentMo*JG$6+BaseLowRentMo*JG$7,0)</f>
        <v/>
      </c>
      <c r="JH14" s="218">
        <f>IF(264&gt;=DeliverStart,BaseMarketRentMo*JH$6+BaseLowRentMo*JH$7,0)</f>
        <v/>
      </c>
      <c r="JI14" s="218">
        <f>IF(265&gt;=DeliverStart,BaseMarketRentMo*JI$6+BaseLowRentMo*JI$7,0)</f>
        <v/>
      </c>
      <c r="JJ14" s="218">
        <f>IF(266&gt;=DeliverStart,BaseMarketRentMo*JJ$6+BaseLowRentMo*JJ$7,0)</f>
        <v/>
      </c>
      <c r="JK14" s="218">
        <f>IF(267&gt;=DeliverStart,BaseMarketRentMo*JK$6+BaseLowRentMo*JK$7,0)</f>
        <v/>
      </c>
      <c r="JL14" s="218">
        <f>IF(268&gt;=DeliverStart,BaseMarketRentMo*JL$6+BaseLowRentMo*JL$7,0)</f>
        <v/>
      </c>
      <c r="JM14" s="218">
        <f>IF(269&gt;=DeliverStart,BaseMarketRentMo*JM$6+BaseLowRentMo*JM$7,0)</f>
        <v/>
      </c>
      <c r="JN14" s="218">
        <f>IF(270&gt;=DeliverStart,BaseMarketRentMo*JN$6+BaseLowRentMo*JN$7,0)</f>
        <v/>
      </c>
      <c r="JO14" s="218">
        <f>IF(271&gt;=DeliverStart,BaseMarketRentMo*JO$6+BaseLowRentMo*JO$7,0)</f>
        <v/>
      </c>
      <c r="JP14" s="218">
        <f>IF(272&gt;=DeliverStart,BaseMarketRentMo*JP$6+BaseLowRentMo*JP$7,0)</f>
        <v/>
      </c>
      <c r="JQ14" s="218">
        <f>IF(273&gt;=DeliverStart,BaseMarketRentMo*JQ$6+BaseLowRentMo*JQ$7,0)</f>
        <v/>
      </c>
      <c r="JR14" s="218">
        <f>IF(274&gt;=DeliverStart,BaseMarketRentMo*JR$6+BaseLowRentMo*JR$7,0)</f>
        <v/>
      </c>
      <c r="JS14" s="218">
        <f>IF(275&gt;=DeliverStart,BaseMarketRentMo*JS$6+BaseLowRentMo*JS$7,0)</f>
        <v/>
      </c>
      <c r="JT14" s="218">
        <f>IF(276&gt;=DeliverStart,BaseMarketRentMo*JT$6+BaseLowRentMo*JT$7,0)</f>
        <v/>
      </c>
      <c r="JU14" s="218">
        <f>IF(277&gt;=DeliverStart,BaseMarketRentMo*JU$6+BaseLowRentMo*JU$7,0)</f>
        <v/>
      </c>
      <c r="JV14" s="218">
        <f>IF(278&gt;=DeliverStart,BaseMarketRentMo*JV$6+BaseLowRentMo*JV$7,0)</f>
        <v/>
      </c>
      <c r="JW14" s="218">
        <f>IF(279&gt;=DeliverStart,BaseMarketRentMo*JW$6+BaseLowRentMo*JW$7,0)</f>
        <v/>
      </c>
      <c r="JX14" s="218">
        <f>IF(280&gt;=DeliverStart,BaseMarketRentMo*JX$6+BaseLowRentMo*JX$7,0)</f>
        <v/>
      </c>
      <c r="JY14" s="218">
        <f>IF(281&gt;=DeliverStart,BaseMarketRentMo*JY$6+BaseLowRentMo*JY$7,0)</f>
        <v/>
      </c>
      <c r="JZ14" s="218">
        <f>IF(282&gt;=DeliverStart,BaseMarketRentMo*JZ$6+BaseLowRentMo*JZ$7,0)</f>
        <v/>
      </c>
      <c r="KA14" s="218">
        <f>IF(283&gt;=DeliverStart,BaseMarketRentMo*KA$6+BaseLowRentMo*KA$7,0)</f>
        <v/>
      </c>
      <c r="KB14" s="218">
        <f>IF(284&gt;=DeliverStart,BaseMarketRentMo*KB$6+BaseLowRentMo*KB$7,0)</f>
        <v/>
      </c>
      <c r="KC14" s="218">
        <f>IF(285&gt;=DeliverStart,BaseMarketRentMo*KC$6+BaseLowRentMo*KC$7,0)</f>
        <v/>
      </c>
      <c r="KD14" s="218">
        <f>IF(286&gt;=DeliverStart,BaseMarketRentMo*KD$6+BaseLowRentMo*KD$7,0)</f>
        <v/>
      </c>
      <c r="KE14" s="218">
        <f>IF(287&gt;=DeliverStart,BaseMarketRentMo*KE$6+BaseLowRentMo*KE$7,0)</f>
        <v/>
      </c>
      <c r="KF14" s="218">
        <f>IF(288&gt;=DeliverStart,BaseMarketRentMo*KF$6+BaseLowRentMo*KF$7,0)</f>
        <v/>
      </c>
      <c r="KG14" s="218">
        <f>IF(289&gt;=DeliverStart,BaseMarketRentMo*KG$6+BaseLowRentMo*KG$7,0)</f>
        <v/>
      </c>
      <c r="KH14" s="218">
        <f>IF(290&gt;=DeliverStart,BaseMarketRentMo*KH$6+BaseLowRentMo*KH$7,0)</f>
        <v/>
      </c>
      <c r="KI14" s="218">
        <f>IF(291&gt;=DeliverStart,BaseMarketRentMo*KI$6+BaseLowRentMo*KI$7,0)</f>
        <v/>
      </c>
      <c r="KJ14" s="218">
        <f>IF(292&gt;=DeliverStart,BaseMarketRentMo*KJ$6+BaseLowRentMo*KJ$7,0)</f>
        <v/>
      </c>
      <c r="KK14" s="218">
        <f>IF(293&gt;=DeliverStart,BaseMarketRentMo*KK$6+BaseLowRentMo*KK$7,0)</f>
        <v/>
      </c>
      <c r="KL14" s="218">
        <f>IF(294&gt;=DeliverStart,BaseMarketRentMo*KL$6+BaseLowRentMo*KL$7,0)</f>
        <v/>
      </c>
      <c r="KM14" s="218">
        <f>IF(295&gt;=DeliverStart,BaseMarketRentMo*KM$6+BaseLowRentMo*KM$7,0)</f>
        <v/>
      </c>
      <c r="KN14" s="218">
        <f>IF(296&gt;=DeliverStart,BaseMarketRentMo*KN$6+BaseLowRentMo*KN$7,0)</f>
        <v/>
      </c>
      <c r="KO14" s="218">
        <f>IF(297&gt;=DeliverStart,BaseMarketRentMo*KO$6+BaseLowRentMo*KO$7,0)</f>
        <v/>
      </c>
      <c r="KP14" s="218">
        <f>IF(298&gt;=DeliverStart,BaseMarketRentMo*KP$6+BaseLowRentMo*KP$7,0)</f>
        <v/>
      </c>
      <c r="KQ14" s="218">
        <f>IF(299&gt;=DeliverStart,BaseMarketRentMo*KQ$6+BaseLowRentMo*KQ$7,0)</f>
        <v/>
      </c>
      <c r="KR14" s="218">
        <f>IF(300&gt;=DeliverStart,BaseMarketRentMo*KR$6+BaseLowRentMo*KR$7,0)</f>
        <v/>
      </c>
      <c r="KS14" s="218">
        <f>IF(301&gt;=DeliverStart,BaseMarketRentMo*KS$6+BaseLowRentMo*KS$7,0)</f>
        <v/>
      </c>
      <c r="KT14" s="218">
        <f>IF(302&gt;=DeliverStart,BaseMarketRentMo*KT$6+BaseLowRentMo*KT$7,0)</f>
        <v/>
      </c>
      <c r="KU14" s="218">
        <f>IF(303&gt;=DeliverStart,BaseMarketRentMo*KU$6+BaseLowRentMo*KU$7,0)</f>
        <v/>
      </c>
      <c r="KV14" s="218">
        <f>IF(304&gt;=DeliverStart,BaseMarketRentMo*KV$6+BaseLowRentMo*KV$7,0)</f>
        <v/>
      </c>
      <c r="KW14" s="218">
        <f>IF(305&gt;=DeliverStart,BaseMarketRentMo*KW$6+BaseLowRentMo*KW$7,0)</f>
        <v/>
      </c>
      <c r="KX14" s="218">
        <f>IF(306&gt;=DeliverStart,BaseMarketRentMo*KX$6+BaseLowRentMo*KX$7,0)</f>
        <v/>
      </c>
      <c r="KY14" s="218">
        <f>IF(307&gt;=DeliverStart,BaseMarketRentMo*KY$6+BaseLowRentMo*KY$7,0)</f>
        <v/>
      </c>
      <c r="KZ14" s="218">
        <f>IF(308&gt;=DeliverStart,BaseMarketRentMo*KZ$6+BaseLowRentMo*KZ$7,0)</f>
        <v/>
      </c>
      <c r="LA14" s="218">
        <f>IF(309&gt;=DeliverStart,BaseMarketRentMo*LA$6+BaseLowRentMo*LA$7,0)</f>
        <v/>
      </c>
      <c r="LB14" s="218">
        <f>IF(310&gt;=DeliverStart,BaseMarketRentMo*LB$6+BaseLowRentMo*LB$7,0)</f>
        <v/>
      </c>
      <c r="LC14" s="218">
        <f>IF(311&gt;=DeliverStart,BaseMarketRentMo*LC$6+BaseLowRentMo*LC$7,0)</f>
        <v/>
      </c>
      <c r="LD14" s="218">
        <f>IF(312&gt;=DeliverStart,BaseMarketRentMo*LD$6+BaseLowRentMo*LD$7,0)</f>
        <v/>
      </c>
      <c r="LE14" s="218">
        <f>IF(313&gt;=DeliverStart,BaseMarketRentMo*LE$6+BaseLowRentMo*LE$7,0)</f>
        <v/>
      </c>
      <c r="LF14" s="218">
        <f>IF(314&gt;=DeliverStart,BaseMarketRentMo*LF$6+BaseLowRentMo*LF$7,0)</f>
        <v/>
      </c>
      <c r="LG14" s="218">
        <f>IF(315&gt;=DeliverStart,BaseMarketRentMo*LG$6+BaseLowRentMo*LG$7,0)</f>
        <v/>
      </c>
      <c r="LH14" s="218">
        <f>IF(316&gt;=DeliverStart,BaseMarketRentMo*LH$6+BaseLowRentMo*LH$7,0)</f>
        <v/>
      </c>
      <c r="LI14" s="218">
        <f>IF(317&gt;=DeliverStart,BaseMarketRentMo*LI$6+BaseLowRentMo*LI$7,0)</f>
        <v/>
      </c>
      <c r="LJ14" s="218">
        <f>IF(318&gt;=DeliverStart,BaseMarketRentMo*LJ$6+BaseLowRentMo*LJ$7,0)</f>
        <v/>
      </c>
      <c r="LK14" s="218">
        <f>IF(319&gt;=DeliverStart,BaseMarketRentMo*LK$6+BaseLowRentMo*LK$7,0)</f>
        <v/>
      </c>
      <c r="LL14" s="218">
        <f>IF(320&gt;=DeliverStart,BaseMarketRentMo*LL$6+BaseLowRentMo*LL$7,0)</f>
        <v/>
      </c>
      <c r="LM14" s="218">
        <f>IF(321&gt;=DeliverStart,BaseMarketRentMo*LM$6+BaseLowRentMo*LM$7,0)</f>
        <v/>
      </c>
      <c r="LN14" s="218">
        <f>IF(322&gt;=DeliverStart,BaseMarketRentMo*LN$6+BaseLowRentMo*LN$7,0)</f>
        <v/>
      </c>
      <c r="LO14" s="218">
        <f>IF(323&gt;=DeliverStart,BaseMarketRentMo*LO$6+BaseLowRentMo*LO$7,0)</f>
        <v/>
      </c>
      <c r="LP14" s="218">
        <f>IF(324&gt;=DeliverStart,BaseMarketRentMo*LP$6+BaseLowRentMo*LP$7,0)</f>
        <v/>
      </c>
      <c r="LQ14" s="218">
        <f>IF(325&gt;=DeliverStart,BaseMarketRentMo*LQ$6+BaseLowRentMo*LQ$7,0)</f>
        <v/>
      </c>
      <c r="LR14" s="218">
        <f>IF(326&gt;=DeliverStart,BaseMarketRentMo*LR$6+BaseLowRentMo*LR$7,0)</f>
        <v/>
      </c>
      <c r="LS14" s="218">
        <f>IF(327&gt;=DeliverStart,BaseMarketRentMo*LS$6+BaseLowRentMo*LS$7,0)</f>
        <v/>
      </c>
      <c r="LT14" s="218">
        <f>IF(328&gt;=DeliverStart,BaseMarketRentMo*LT$6+BaseLowRentMo*LT$7,0)</f>
        <v/>
      </c>
      <c r="LU14" s="218">
        <f>IF(329&gt;=DeliverStart,BaseMarketRentMo*LU$6+BaseLowRentMo*LU$7,0)</f>
        <v/>
      </c>
      <c r="LV14" s="218">
        <f>IF(330&gt;=DeliverStart,BaseMarketRentMo*LV$6+BaseLowRentMo*LV$7,0)</f>
        <v/>
      </c>
      <c r="LW14" s="218">
        <f>IF(331&gt;=DeliverStart,BaseMarketRentMo*LW$6+BaseLowRentMo*LW$7,0)</f>
        <v/>
      </c>
      <c r="LX14" s="218">
        <f>IF(332&gt;=DeliverStart,BaseMarketRentMo*LX$6+BaseLowRentMo*LX$7,0)</f>
        <v/>
      </c>
      <c r="LY14" s="218">
        <f>IF(333&gt;=DeliverStart,BaseMarketRentMo*LY$6+BaseLowRentMo*LY$7,0)</f>
        <v/>
      </c>
      <c r="LZ14" s="218">
        <f>IF(334&gt;=DeliverStart,BaseMarketRentMo*LZ$6+BaseLowRentMo*LZ$7,0)</f>
        <v/>
      </c>
      <c r="MA14" s="218">
        <f>IF(335&gt;=DeliverStart,BaseMarketRentMo*MA$6+BaseLowRentMo*MA$7,0)</f>
        <v/>
      </c>
      <c r="MB14" s="218">
        <f>IF(336&gt;=DeliverStart,BaseMarketRentMo*MB$6+BaseLowRentMo*MB$7,0)</f>
        <v/>
      </c>
      <c r="MC14" s="218">
        <f>IF(337&gt;=DeliverStart,BaseMarketRentMo*MC$6+BaseLowRentMo*MC$7,0)</f>
        <v/>
      </c>
      <c r="MD14" s="218">
        <f>IF(338&gt;=DeliverStart,BaseMarketRentMo*MD$6+BaseLowRentMo*MD$7,0)</f>
        <v/>
      </c>
      <c r="ME14" s="218">
        <f>IF(339&gt;=DeliverStart,BaseMarketRentMo*ME$6+BaseLowRentMo*ME$7,0)</f>
        <v/>
      </c>
      <c r="MF14" s="218">
        <f>IF(340&gt;=DeliverStart,BaseMarketRentMo*MF$6+BaseLowRentMo*MF$7,0)</f>
        <v/>
      </c>
      <c r="MG14" s="218">
        <f>IF(341&gt;=DeliverStart,BaseMarketRentMo*MG$6+BaseLowRentMo*MG$7,0)</f>
        <v/>
      </c>
      <c r="MH14" s="218">
        <f>IF(342&gt;=DeliverStart,BaseMarketRentMo*MH$6+BaseLowRentMo*MH$7,0)</f>
        <v/>
      </c>
      <c r="MI14" s="218">
        <f>IF(343&gt;=DeliverStart,BaseMarketRentMo*MI$6+BaseLowRentMo*MI$7,0)</f>
        <v/>
      </c>
      <c r="MJ14" s="218">
        <f>IF(344&gt;=DeliverStart,BaseMarketRentMo*MJ$6+BaseLowRentMo*MJ$7,0)</f>
        <v/>
      </c>
      <c r="MK14" s="218">
        <f>IF(345&gt;=DeliverStart,BaseMarketRentMo*MK$6+BaseLowRentMo*MK$7,0)</f>
        <v/>
      </c>
      <c r="ML14" s="218">
        <f>IF(346&gt;=DeliverStart,BaseMarketRentMo*ML$6+BaseLowRentMo*ML$7,0)</f>
        <v/>
      </c>
      <c r="MM14" s="218">
        <f>IF(347&gt;=DeliverStart,BaseMarketRentMo*MM$6+BaseLowRentMo*MM$7,0)</f>
        <v/>
      </c>
      <c r="MN14" s="218">
        <f>IF(348&gt;=DeliverStart,BaseMarketRentMo*MN$6+BaseLowRentMo*MN$7,0)</f>
        <v/>
      </c>
      <c r="MO14" s="218">
        <f>IF(349&gt;=DeliverStart,BaseMarketRentMo*MO$6+BaseLowRentMo*MO$7,0)</f>
        <v/>
      </c>
      <c r="MP14" s="218">
        <f>IF(350&gt;=DeliverStart,BaseMarketRentMo*MP$6+BaseLowRentMo*MP$7,0)</f>
        <v/>
      </c>
      <c r="MQ14" s="218">
        <f>IF(351&gt;=DeliverStart,BaseMarketRentMo*MQ$6+BaseLowRentMo*MQ$7,0)</f>
        <v/>
      </c>
      <c r="MR14" s="218">
        <f>IF(352&gt;=DeliverStart,BaseMarketRentMo*MR$6+BaseLowRentMo*MR$7,0)</f>
        <v/>
      </c>
      <c r="MS14" s="218">
        <f>IF(353&gt;=DeliverStart,BaseMarketRentMo*MS$6+BaseLowRentMo*MS$7,0)</f>
        <v/>
      </c>
      <c r="MT14" s="218">
        <f>IF(354&gt;=DeliverStart,BaseMarketRentMo*MT$6+BaseLowRentMo*MT$7,0)</f>
        <v/>
      </c>
      <c r="MU14" s="218">
        <f>IF(355&gt;=DeliverStart,BaseMarketRentMo*MU$6+BaseLowRentMo*MU$7,0)</f>
        <v/>
      </c>
      <c r="MV14" s="218">
        <f>IF(356&gt;=DeliverStart,BaseMarketRentMo*MV$6+BaseLowRentMo*MV$7,0)</f>
        <v/>
      </c>
      <c r="MW14" s="218">
        <f>IF(357&gt;=DeliverStart,BaseMarketRentMo*MW$6+BaseLowRentMo*MW$7,0)</f>
        <v/>
      </c>
      <c r="MX14" s="218">
        <f>IF(358&gt;=DeliverStart,BaseMarketRentMo*MX$6+BaseLowRentMo*MX$7,0)</f>
        <v/>
      </c>
      <c r="MY14" s="218">
        <f>IF(359&gt;=DeliverStart,BaseMarketRentMo*MY$6+BaseLowRentMo*MY$7,0)</f>
        <v/>
      </c>
      <c r="MZ14" s="218">
        <f>IF(360&gt;=DeliverStart,BaseMarketRentMo*MZ$6+BaseLowRentMo*MZ$7,0)</f>
        <v/>
      </c>
      <c r="NA14" s="218">
        <f>IF(361&gt;=DeliverStart,BaseMarketRentMo*NA$6+BaseLowRentMo*NA$7,0)</f>
        <v/>
      </c>
      <c r="NB14" s="218">
        <f>IF(362&gt;=DeliverStart,BaseMarketRentMo*NB$6+BaseLowRentMo*NB$7,0)</f>
        <v/>
      </c>
      <c r="NC14" s="218">
        <f>IF(363&gt;=DeliverStart,BaseMarketRentMo*NC$6+BaseLowRentMo*NC$7,0)</f>
        <v/>
      </c>
      <c r="ND14" s="218">
        <f>IF(364&gt;=DeliverStart,BaseMarketRentMo*ND$6+BaseLowRentMo*ND$7,0)</f>
        <v/>
      </c>
      <c r="NE14" s="218">
        <f>IF(365&gt;=DeliverStart,BaseMarketRentMo*NE$6+BaseLowRentMo*NE$7,0)</f>
        <v/>
      </c>
      <c r="NF14" s="218">
        <f>IF(366&gt;=DeliverStart,BaseMarketRentMo*NF$6+BaseLowRentMo*NF$7,0)</f>
        <v/>
      </c>
      <c r="NG14" s="218">
        <f>IF(367&gt;=DeliverStart,BaseMarketRentMo*NG$6+BaseLowRentMo*NG$7,0)</f>
        <v/>
      </c>
      <c r="NH14" s="218">
        <f>IF(368&gt;=DeliverStart,BaseMarketRentMo*NH$6+BaseLowRentMo*NH$7,0)</f>
        <v/>
      </c>
      <c r="NI14" s="218">
        <f>IF(369&gt;=DeliverStart,BaseMarketRentMo*NI$6+BaseLowRentMo*NI$7,0)</f>
        <v/>
      </c>
      <c r="NJ14" s="218">
        <f>IF(370&gt;=DeliverStart,BaseMarketRentMo*NJ$6+BaseLowRentMo*NJ$7,0)</f>
        <v/>
      </c>
      <c r="NK14" s="218">
        <f>IF(371&gt;=DeliverStart,BaseMarketRentMo*NK$6+BaseLowRentMo*NK$7,0)</f>
        <v/>
      </c>
      <c r="NL14" s="225">
        <f>IF(372&gt;=DeliverStart,BaseMarketRentMo*NL$6+BaseLowRentMo*NL$7,0)</f>
        <v/>
      </c>
    </row>
    <row r="15">
      <c r="B15" s="36" t="inlineStr">
        <is>
          <t>Vacancy Loss</t>
        </is>
      </c>
      <c r="D15" s="266">
        <f>SUM(E15:NL15)</f>
        <v/>
      </c>
      <c r="E15" s="218">
        <f>-E$14*(1-LeaseUp!E$10)-E$14*ModelUnits/TotalUnits</f>
        <v/>
      </c>
      <c r="F15" s="218">
        <f>-F$14*(1-LeaseUp!F$10)-F$14*ModelUnits/TotalUnits</f>
        <v/>
      </c>
      <c r="G15" s="218">
        <f>-G$14*(1-LeaseUp!G$10)-G$14*ModelUnits/TotalUnits</f>
        <v/>
      </c>
      <c r="H15" s="218">
        <f>-H$14*(1-LeaseUp!H$10)-H$14*ModelUnits/TotalUnits</f>
        <v/>
      </c>
      <c r="I15" s="218">
        <f>-I$14*(1-LeaseUp!I$10)-I$14*ModelUnits/TotalUnits</f>
        <v/>
      </c>
      <c r="J15" s="218">
        <f>-J$14*(1-LeaseUp!J$10)-J$14*ModelUnits/TotalUnits</f>
        <v/>
      </c>
      <c r="K15" s="218">
        <f>-K$14*(1-LeaseUp!K$10)-K$14*ModelUnits/TotalUnits</f>
        <v/>
      </c>
      <c r="L15" s="218">
        <f>-L$14*(1-LeaseUp!L$10)-L$14*ModelUnits/TotalUnits</f>
        <v/>
      </c>
      <c r="M15" s="218">
        <f>-M$14*(1-LeaseUp!M$10)-M$14*ModelUnits/TotalUnits</f>
        <v/>
      </c>
      <c r="N15" s="218">
        <f>-N$14*(1-LeaseUp!N$10)-N$14*ModelUnits/TotalUnits</f>
        <v/>
      </c>
      <c r="O15" s="218">
        <f>-O$14*(1-LeaseUp!O$10)-O$14*ModelUnits/TotalUnits</f>
        <v/>
      </c>
      <c r="P15" s="218">
        <f>-P$14*(1-LeaseUp!P$10)-P$14*ModelUnits/TotalUnits</f>
        <v/>
      </c>
      <c r="Q15" s="218">
        <f>-Q$14*(1-LeaseUp!Q$10)-Q$14*ModelUnits/TotalUnits</f>
        <v/>
      </c>
      <c r="R15" s="218">
        <f>-R$14*(1-LeaseUp!R$10)-R$14*ModelUnits/TotalUnits</f>
        <v/>
      </c>
      <c r="S15" s="218">
        <f>-S$14*(1-LeaseUp!S$10)-S$14*ModelUnits/TotalUnits</f>
        <v/>
      </c>
      <c r="T15" s="218">
        <f>-T$14*(1-LeaseUp!T$10)-T$14*ModelUnits/TotalUnits</f>
        <v/>
      </c>
      <c r="U15" s="218">
        <f>-U$14*(1-LeaseUp!U$10)-U$14*ModelUnits/TotalUnits</f>
        <v/>
      </c>
      <c r="V15" s="218">
        <f>-V$14*(1-LeaseUp!V$10)-V$14*ModelUnits/TotalUnits</f>
        <v/>
      </c>
      <c r="W15" s="218">
        <f>-W$14*(1-LeaseUp!W$10)-W$14*ModelUnits/TotalUnits</f>
        <v/>
      </c>
      <c r="X15" s="218">
        <f>-X$14*(1-LeaseUp!X$10)-X$14*ModelUnits/TotalUnits</f>
        <v/>
      </c>
      <c r="Y15" s="218">
        <f>-Y$14*(1-LeaseUp!Y$10)-Y$14*ModelUnits/TotalUnits</f>
        <v/>
      </c>
      <c r="Z15" s="218">
        <f>-Z$14*(1-LeaseUp!Z$10)-Z$14*ModelUnits/TotalUnits</f>
        <v/>
      </c>
      <c r="AA15" s="218">
        <f>-AA$14*(1-LeaseUp!AA$10)-AA$14*ModelUnits/TotalUnits</f>
        <v/>
      </c>
      <c r="AB15" s="218">
        <f>-AB$14*(1-LeaseUp!AB$10)-AB$14*ModelUnits/TotalUnits</f>
        <v/>
      </c>
      <c r="AC15" s="218">
        <f>-AC$14*(1-LeaseUp!AC$10)-AC$14*ModelUnits/TotalUnits</f>
        <v/>
      </c>
      <c r="AD15" s="218">
        <f>-AD$14*(1-LeaseUp!AD$10)-AD$14*ModelUnits/TotalUnits</f>
        <v/>
      </c>
      <c r="AE15" s="218">
        <f>-AE$14*(1-LeaseUp!AE$10)-AE$14*ModelUnits/TotalUnits</f>
        <v/>
      </c>
      <c r="AF15" s="218">
        <f>-AF$14*(1-LeaseUp!AF$10)-AF$14*ModelUnits/TotalUnits</f>
        <v/>
      </c>
      <c r="AG15" s="218">
        <f>-AG$14*(1-LeaseUp!AG$10)-AG$14*ModelUnits/TotalUnits</f>
        <v/>
      </c>
      <c r="AH15" s="218">
        <f>-AH$14*(1-LeaseUp!AH$10)-AH$14*ModelUnits/TotalUnits</f>
        <v/>
      </c>
      <c r="AI15" s="218">
        <f>-AI$14*(1-LeaseUp!AI$10)-AI$14*ModelUnits/TotalUnits</f>
        <v/>
      </c>
      <c r="AJ15" s="218">
        <f>-AJ$14*(1-LeaseUp!AJ$10)-AJ$14*ModelUnits/TotalUnits</f>
        <v/>
      </c>
      <c r="AK15" s="218">
        <f>-AK$14*(1-LeaseUp!AK$10)-AK$14*ModelUnits/TotalUnits</f>
        <v/>
      </c>
      <c r="AL15" s="218">
        <f>-AL$14*(1-LeaseUp!AL$10)-AL$14*ModelUnits/TotalUnits</f>
        <v/>
      </c>
      <c r="AM15" s="218">
        <f>-AM$14*(1-LeaseUp!AM$10)-AM$14*ModelUnits/TotalUnits</f>
        <v/>
      </c>
      <c r="AN15" s="218">
        <f>-AN$14*(1-LeaseUp!AN$10)-AN$14*ModelUnits/TotalUnits</f>
        <v/>
      </c>
      <c r="AO15" s="218">
        <f>-AO$14*(1-LeaseUp!AO$10)-AO$14*ModelUnits/TotalUnits</f>
        <v/>
      </c>
      <c r="AP15" s="218">
        <f>-AP$14*(1-LeaseUp!AP$10)-AP$14*ModelUnits/TotalUnits</f>
        <v/>
      </c>
      <c r="AQ15" s="218">
        <f>-AQ$14*(1-LeaseUp!AQ$10)-AQ$14*ModelUnits/TotalUnits</f>
        <v/>
      </c>
      <c r="AR15" s="218">
        <f>-AR$14*(1-LeaseUp!AR$10)-AR$14*ModelUnits/TotalUnits</f>
        <v/>
      </c>
      <c r="AS15" s="218">
        <f>-AS$14*(1-LeaseUp!AS$10)-AS$14*ModelUnits/TotalUnits</f>
        <v/>
      </c>
      <c r="AT15" s="218">
        <f>-AT$14*(1-LeaseUp!AT$10)-AT$14*ModelUnits/TotalUnits</f>
        <v/>
      </c>
      <c r="AU15" s="218">
        <f>-AU$14*(1-LeaseUp!AU$10)-AU$14*ModelUnits/TotalUnits</f>
        <v/>
      </c>
      <c r="AV15" s="218">
        <f>-AV$14*(1-LeaseUp!AV$10)-AV$14*ModelUnits/TotalUnits</f>
        <v/>
      </c>
      <c r="AW15" s="218">
        <f>-AW$14*(1-LeaseUp!AW$10)-AW$14*ModelUnits/TotalUnits</f>
        <v/>
      </c>
      <c r="AX15" s="218">
        <f>-AX$14*(1-LeaseUp!AX$10)-AX$14*ModelUnits/TotalUnits</f>
        <v/>
      </c>
      <c r="AY15" s="218">
        <f>-AY$14*(1-LeaseUp!AY$10)-AY$14*ModelUnits/TotalUnits</f>
        <v/>
      </c>
      <c r="AZ15" s="218">
        <f>-AZ$14*(1-LeaseUp!AZ$10)-AZ$14*ModelUnits/TotalUnits</f>
        <v/>
      </c>
      <c r="BA15" s="218">
        <f>-BA$14*(1-LeaseUp!BA$10)-BA$14*ModelUnits/TotalUnits</f>
        <v/>
      </c>
      <c r="BB15" s="218">
        <f>-BB$14*(1-LeaseUp!BB$10)-BB$14*ModelUnits/TotalUnits</f>
        <v/>
      </c>
      <c r="BC15" s="218">
        <f>-BC$14*(1-LeaseUp!BC$10)-BC$14*ModelUnits/TotalUnits</f>
        <v/>
      </c>
      <c r="BD15" s="218">
        <f>-BD$14*(1-LeaseUp!BD$10)-BD$14*ModelUnits/TotalUnits</f>
        <v/>
      </c>
      <c r="BE15" s="218">
        <f>-BE$14*(1-LeaseUp!BE$10)-BE$14*ModelUnits/TotalUnits</f>
        <v/>
      </c>
      <c r="BF15" s="218">
        <f>-BF$14*(1-LeaseUp!BF$10)-BF$14*ModelUnits/TotalUnits</f>
        <v/>
      </c>
      <c r="BG15" s="218">
        <f>-BG$14*(1-LeaseUp!BG$10)-BG$14*ModelUnits/TotalUnits</f>
        <v/>
      </c>
      <c r="BH15" s="218">
        <f>-BH$14*(1-LeaseUp!BH$10)-BH$14*ModelUnits/TotalUnits</f>
        <v/>
      </c>
      <c r="BI15" s="218">
        <f>-BI$14*(1-LeaseUp!BI$10)-BI$14*ModelUnits/TotalUnits</f>
        <v/>
      </c>
      <c r="BJ15" s="218">
        <f>-BJ$14*(1-LeaseUp!BJ$10)-BJ$14*ModelUnits/TotalUnits</f>
        <v/>
      </c>
      <c r="BK15" s="218">
        <f>-BK$14*(1-LeaseUp!BK$10)-BK$14*ModelUnits/TotalUnits</f>
        <v/>
      </c>
      <c r="BL15" s="218">
        <f>-BL$14*(1-LeaseUp!BL$10)-BL$14*ModelUnits/TotalUnits</f>
        <v/>
      </c>
      <c r="BM15" s="218">
        <f>-BM$14*(1-LeaseUp!BM$10)-BM$14*ModelUnits/TotalUnits</f>
        <v/>
      </c>
      <c r="BN15" s="218">
        <f>-BN$14*(1-LeaseUp!BN$10)-BN$14*ModelUnits/TotalUnits</f>
        <v/>
      </c>
      <c r="BO15" s="218">
        <f>-BO$14*(1-LeaseUp!BO$10)-BO$14*ModelUnits/TotalUnits</f>
        <v/>
      </c>
      <c r="BP15" s="218">
        <f>-BP$14*(1-LeaseUp!BP$10)-BP$14*ModelUnits/TotalUnits</f>
        <v/>
      </c>
      <c r="BQ15" s="218">
        <f>-BQ$14*(1-LeaseUp!BQ$10)-BQ$14*ModelUnits/TotalUnits</f>
        <v/>
      </c>
      <c r="BR15" s="218">
        <f>-BR$14*(1-LeaseUp!BR$10)-BR$14*ModelUnits/TotalUnits</f>
        <v/>
      </c>
      <c r="BS15" s="218">
        <f>-BS$14*(1-LeaseUp!BS$10)-BS$14*ModelUnits/TotalUnits</f>
        <v/>
      </c>
      <c r="BT15" s="218">
        <f>-BT$14*(1-LeaseUp!BT$10)-BT$14*ModelUnits/TotalUnits</f>
        <v/>
      </c>
      <c r="BU15" s="218">
        <f>-BU$14*(1-LeaseUp!BU$10)-BU$14*ModelUnits/TotalUnits</f>
        <v/>
      </c>
      <c r="BV15" s="218">
        <f>-BV$14*(1-LeaseUp!BV$10)-BV$14*ModelUnits/TotalUnits</f>
        <v/>
      </c>
      <c r="BW15" s="218">
        <f>-BW$14*(1-LeaseUp!BW$10)-BW$14*ModelUnits/TotalUnits</f>
        <v/>
      </c>
      <c r="BX15" s="218">
        <f>-BX$14*(1-LeaseUp!BX$10)-BX$14*ModelUnits/TotalUnits</f>
        <v/>
      </c>
      <c r="BY15" s="218">
        <f>-BY$14*(1-LeaseUp!BY$10)-BY$14*ModelUnits/TotalUnits</f>
        <v/>
      </c>
      <c r="BZ15" s="218">
        <f>-BZ$14*(1-LeaseUp!BZ$10)-BZ$14*ModelUnits/TotalUnits</f>
        <v/>
      </c>
      <c r="CA15" s="218">
        <f>-CA$14*(1-LeaseUp!CA$10)-CA$14*ModelUnits/TotalUnits</f>
        <v/>
      </c>
      <c r="CB15" s="218">
        <f>-CB$14*(1-LeaseUp!CB$10)-CB$14*ModelUnits/TotalUnits</f>
        <v/>
      </c>
      <c r="CC15" s="218">
        <f>-CC$14*(1-LeaseUp!CC$10)-CC$14*ModelUnits/TotalUnits</f>
        <v/>
      </c>
      <c r="CD15" s="218">
        <f>-CD$14*(1-LeaseUp!CD$10)-CD$14*ModelUnits/TotalUnits</f>
        <v/>
      </c>
      <c r="CE15" s="218">
        <f>-CE$14*(1-LeaseUp!CE$10)-CE$14*ModelUnits/TotalUnits</f>
        <v/>
      </c>
      <c r="CF15" s="218">
        <f>-CF$14*(1-LeaseUp!CF$10)-CF$14*ModelUnits/TotalUnits</f>
        <v/>
      </c>
      <c r="CG15" s="218">
        <f>-CG$14*(1-LeaseUp!CG$10)-CG$14*ModelUnits/TotalUnits</f>
        <v/>
      </c>
      <c r="CH15" s="218">
        <f>-CH$14*(1-LeaseUp!CH$10)-CH$14*ModelUnits/TotalUnits</f>
        <v/>
      </c>
      <c r="CI15" s="218">
        <f>-CI$14*(1-LeaseUp!CI$10)-CI$14*ModelUnits/TotalUnits</f>
        <v/>
      </c>
      <c r="CJ15" s="218">
        <f>-CJ$14*(1-LeaseUp!CJ$10)-CJ$14*ModelUnits/TotalUnits</f>
        <v/>
      </c>
      <c r="CK15" s="218">
        <f>-CK$14*(1-LeaseUp!CK$10)-CK$14*ModelUnits/TotalUnits</f>
        <v/>
      </c>
      <c r="CL15" s="218">
        <f>-CL$14*(1-LeaseUp!CL$10)-CL$14*ModelUnits/TotalUnits</f>
        <v/>
      </c>
      <c r="CM15" s="218">
        <f>-CM$14*(1-LeaseUp!CM$10)-CM$14*ModelUnits/TotalUnits</f>
        <v/>
      </c>
      <c r="CN15" s="218">
        <f>-CN$14*(1-LeaseUp!CN$10)-CN$14*ModelUnits/TotalUnits</f>
        <v/>
      </c>
      <c r="CO15" s="218">
        <f>-CO$14*(1-LeaseUp!CO$10)-CO$14*ModelUnits/TotalUnits</f>
        <v/>
      </c>
      <c r="CP15" s="218">
        <f>-CP$14*(1-LeaseUp!CP$10)-CP$14*ModelUnits/TotalUnits</f>
        <v/>
      </c>
      <c r="CQ15" s="218">
        <f>-CQ$14*(1-LeaseUp!CQ$10)-CQ$14*ModelUnits/TotalUnits</f>
        <v/>
      </c>
      <c r="CR15" s="218">
        <f>-CR$14*(1-LeaseUp!CR$10)-CR$14*ModelUnits/TotalUnits</f>
        <v/>
      </c>
      <c r="CS15" s="218">
        <f>-CS$14*(1-LeaseUp!CS$10)-CS$14*ModelUnits/TotalUnits</f>
        <v/>
      </c>
      <c r="CT15" s="218">
        <f>-CT$14*(1-LeaseUp!CT$10)-CT$14*ModelUnits/TotalUnits</f>
        <v/>
      </c>
      <c r="CU15" s="218">
        <f>-CU$14*(1-LeaseUp!CU$10)-CU$14*ModelUnits/TotalUnits</f>
        <v/>
      </c>
      <c r="CV15" s="218">
        <f>-CV$14*(1-LeaseUp!CV$10)-CV$14*ModelUnits/TotalUnits</f>
        <v/>
      </c>
      <c r="CW15" s="218">
        <f>-CW$14*(1-LeaseUp!CW$10)-CW$14*ModelUnits/TotalUnits</f>
        <v/>
      </c>
      <c r="CX15" s="218">
        <f>-CX$14*(1-LeaseUp!CX$10)-CX$14*ModelUnits/TotalUnits</f>
        <v/>
      </c>
      <c r="CY15" s="218">
        <f>-CY$14*(1-LeaseUp!CY$10)-CY$14*ModelUnits/TotalUnits</f>
        <v/>
      </c>
      <c r="CZ15" s="218">
        <f>-CZ$14*(1-LeaseUp!CZ$10)-CZ$14*ModelUnits/TotalUnits</f>
        <v/>
      </c>
      <c r="DA15" s="218">
        <f>-DA$14*(1-LeaseUp!DA$10)-DA$14*ModelUnits/TotalUnits</f>
        <v/>
      </c>
      <c r="DB15" s="218">
        <f>-DB$14*(1-LeaseUp!DB$10)-DB$14*ModelUnits/TotalUnits</f>
        <v/>
      </c>
      <c r="DC15" s="218">
        <f>-DC$14*(1-LeaseUp!DC$10)-DC$14*ModelUnits/TotalUnits</f>
        <v/>
      </c>
      <c r="DD15" s="218">
        <f>-DD$14*(1-LeaseUp!DD$10)-DD$14*ModelUnits/TotalUnits</f>
        <v/>
      </c>
      <c r="DE15" s="218">
        <f>-DE$14*(1-LeaseUp!DE$10)-DE$14*ModelUnits/TotalUnits</f>
        <v/>
      </c>
      <c r="DF15" s="218">
        <f>-DF$14*(1-LeaseUp!DF$10)-DF$14*ModelUnits/TotalUnits</f>
        <v/>
      </c>
      <c r="DG15" s="218">
        <f>-DG$14*(1-LeaseUp!DG$10)-DG$14*ModelUnits/TotalUnits</f>
        <v/>
      </c>
      <c r="DH15" s="218">
        <f>-DH$14*(1-LeaseUp!DH$10)-DH$14*ModelUnits/TotalUnits</f>
        <v/>
      </c>
      <c r="DI15" s="218">
        <f>-DI$14*(1-LeaseUp!DI$10)-DI$14*ModelUnits/TotalUnits</f>
        <v/>
      </c>
      <c r="DJ15" s="218">
        <f>-DJ$14*(1-LeaseUp!DJ$10)-DJ$14*ModelUnits/TotalUnits</f>
        <v/>
      </c>
      <c r="DK15" s="218">
        <f>-DK$14*(1-LeaseUp!DK$10)-DK$14*ModelUnits/TotalUnits</f>
        <v/>
      </c>
      <c r="DL15" s="218">
        <f>-DL$14*(1-LeaseUp!DL$10)-DL$14*ModelUnits/TotalUnits</f>
        <v/>
      </c>
      <c r="DM15" s="218">
        <f>-DM$14*(1-LeaseUp!DM$10)-DM$14*ModelUnits/TotalUnits</f>
        <v/>
      </c>
      <c r="DN15" s="218">
        <f>-DN$14*(1-LeaseUp!DN$10)-DN$14*ModelUnits/TotalUnits</f>
        <v/>
      </c>
      <c r="DO15" s="218">
        <f>-DO$14*(1-LeaseUp!DO$10)-DO$14*ModelUnits/TotalUnits</f>
        <v/>
      </c>
      <c r="DP15" s="218">
        <f>-DP$14*(1-LeaseUp!DP$10)-DP$14*ModelUnits/TotalUnits</f>
        <v/>
      </c>
      <c r="DQ15" s="218">
        <f>-DQ$14*(1-LeaseUp!DQ$10)-DQ$14*ModelUnits/TotalUnits</f>
        <v/>
      </c>
      <c r="DR15" s="218">
        <f>-DR$14*(1-LeaseUp!DR$10)-DR$14*ModelUnits/TotalUnits</f>
        <v/>
      </c>
      <c r="DS15" s="218">
        <f>-DS$14*(1-LeaseUp!DS$10)-DS$14*ModelUnits/TotalUnits</f>
        <v/>
      </c>
      <c r="DT15" s="218">
        <f>-DT$14*(1-LeaseUp!DT$10)-DT$14*ModelUnits/TotalUnits</f>
        <v/>
      </c>
      <c r="DU15" s="218">
        <f>-DU$14*(1-LeaseUp!DU$10)-DU$14*ModelUnits/TotalUnits</f>
        <v/>
      </c>
      <c r="DV15" s="218">
        <f>-DV$14*(1-LeaseUp!DV$10)-DV$14*ModelUnits/TotalUnits</f>
        <v/>
      </c>
      <c r="DW15" s="218">
        <f>-DW$14*(1-LeaseUp!DW$10)-DW$14*ModelUnits/TotalUnits</f>
        <v/>
      </c>
      <c r="DX15" s="218">
        <f>-DX$14*(1-LeaseUp!DX$10)-DX$14*ModelUnits/TotalUnits</f>
        <v/>
      </c>
      <c r="DY15" s="218">
        <f>-DY$14*(1-LeaseUp!DY$10)-DY$14*ModelUnits/TotalUnits</f>
        <v/>
      </c>
      <c r="DZ15" s="218">
        <f>-DZ$14*(1-LeaseUp!DZ$10)-DZ$14*ModelUnits/TotalUnits</f>
        <v/>
      </c>
      <c r="EA15" s="218">
        <f>-EA$14*(1-LeaseUp!EA$10)-EA$14*ModelUnits/TotalUnits</f>
        <v/>
      </c>
      <c r="EB15" s="218">
        <f>-EB$14*(1-LeaseUp!EB$10)-EB$14*ModelUnits/TotalUnits</f>
        <v/>
      </c>
      <c r="EC15" s="218">
        <f>-EC$14*(1-LeaseUp!EC$10)-EC$14*ModelUnits/TotalUnits</f>
        <v/>
      </c>
      <c r="ED15" s="218">
        <f>-ED$14*(1-LeaseUp!ED$10)-ED$14*ModelUnits/TotalUnits</f>
        <v/>
      </c>
      <c r="EE15" s="218">
        <f>-EE$14*(1-LeaseUp!EE$10)-EE$14*ModelUnits/TotalUnits</f>
        <v/>
      </c>
      <c r="EF15" s="218">
        <f>-EF$14*(1-LeaseUp!EF$10)-EF$14*ModelUnits/TotalUnits</f>
        <v/>
      </c>
      <c r="EG15" s="218">
        <f>-EG$14*(1-LeaseUp!EG$10)-EG$14*ModelUnits/TotalUnits</f>
        <v/>
      </c>
      <c r="EH15" s="218">
        <f>-EH$14*(1-LeaseUp!EH$10)-EH$14*ModelUnits/TotalUnits</f>
        <v/>
      </c>
      <c r="EI15" s="218">
        <f>-EI$14*(1-LeaseUp!EI$10)-EI$14*ModelUnits/TotalUnits</f>
        <v/>
      </c>
      <c r="EJ15" s="218">
        <f>-EJ$14*(1-LeaseUp!EJ$10)-EJ$14*ModelUnits/TotalUnits</f>
        <v/>
      </c>
      <c r="EK15" s="218">
        <f>-EK$14*(1-LeaseUp!EK$10)-EK$14*ModelUnits/TotalUnits</f>
        <v/>
      </c>
      <c r="EL15" s="218">
        <f>-EL$14*(1-LeaseUp!EL$10)-EL$14*ModelUnits/TotalUnits</f>
        <v/>
      </c>
      <c r="EM15" s="218">
        <f>-EM$14*(1-LeaseUp!EM$10)-EM$14*ModelUnits/TotalUnits</f>
        <v/>
      </c>
      <c r="EN15" s="218">
        <f>-EN$14*(1-LeaseUp!EN$10)-EN$14*ModelUnits/TotalUnits</f>
        <v/>
      </c>
      <c r="EO15" s="218">
        <f>-EO$14*(1-LeaseUp!EO$10)-EO$14*ModelUnits/TotalUnits</f>
        <v/>
      </c>
      <c r="EP15" s="218">
        <f>-EP$14*(1-LeaseUp!EP$10)-EP$14*ModelUnits/TotalUnits</f>
        <v/>
      </c>
      <c r="EQ15" s="218">
        <f>-EQ$14*(1-LeaseUp!EQ$10)-EQ$14*ModelUnits/TotalUnits</f>
        <v/>
      </c>
      <c r="ER15" s="218">
        <f>-ER$14*(1-LeaseUp!ER$10)-ER$14*ModelUnits/TotalUnits</f>
        <v/>
      </c>
      <c r="ES15" s="218">
        <f>-ES$14*(1-LeaseUp!ES$10)-ES$14*ModelUnits/TotalUnits</f>
        <v/>
      </c>
      <c r="ET15" s="218">
        <f>-ET$14*(1-LeaseUp!ET$10)-ET$14*ModelUnits/TotalUnits</f>
        <v/>
      </c>
      <c r="EU15" s="218">
        <f>-EU$14*(1-LeaseUp!EU$10)-EU$14*ModelUnits/TotalUnits</f>
        <v/>
      </c>
      <c r="EV15" s="218">
        <f>-EV$14*(1-LeaseUp!EV$10)-EV$14*ModelUnits/TotalUnits</f>
        <v/>
      </c>
      <c r="EW15" s="218">
        <f>-EW$14*(1-LeaseUp!EW$10)-EW$14*ModelUnits/TotalUnits</f>
        <v/>
      </c>
      <c r="EX15" s="218">
        <f>-EX$14*(1-LeaseUp!EX$10)-EX$14*ModelUnits/TotalUnits</f>
        <v/>
      </c>
      <c r="EY15" s="218">
        <f>-EY$14*(1-LeaseUp!EY$10)-EY$14*ModelUnits/TotalUnits</f>
        <v/>
      </c>
      <c r="EZ15" s="218">
        <f>-EZ$14*(1-LeaseUp!EZ$10)-EZ$14*ModelUnits/TotalUnits</f>
        <v/>
      </c>
      <c r="FA15" s="218">
        <f>-FA$14*(1-LeaseUp!FA$10)-FA$14*ModelUnits/TotalUnits</f>
        <v/>
      </c>
      <c r="FB15" s="218">
        <f>-FB$14*(1-LeaseUp!FB$10)-FB$14*ModelUnits/TotalUnits</f>
        <v/>
      </c>
      <c r="FC15" s="218">
        <f>-FC$14*(1-LeaseUp!FC$10)-FC$14*ModelUnits/TotalUnits</f>
        <v/>
      </c>
      <c r="FD15" s="218">
        <f>-FD$14*(1-LeaseUp!FD$10)-FD$14*ModelUnits/TotalUnits</f>
        <v/>
      </c>
      <c r="FE15" s="218">
        <f>-FE$14*(1-LeaseUp!FE$10)-FE$14*ModelUnits/TotalUnits</f>
        <v/>
      </c>
      <c r="FF15" s="218">
        <f>-FF$14*(1-LeaseUp!FF$10)-FF$14*ModelUnits/TotalUnits</f>
        <v/>
      </c>
      <c r="FG15" s="218">
        <f>-FG$14*(1-LeaseUp!FG$10)-FG$14*ModelUnits/TotalUnits</f>
        <v/>
      </c>
      <c r="FH15" s="218">
        <f>-FH$14*(1-LeaseUp!FH$10)-FH$14*ModelUnits/TotalUnits</f>
        <v/>
      </c>
      <c r="FI15" s="218">
        <f>-FI$14*(1-LeaseUp!FI$10)-FI$14*ModelUnits/TotalUnits</f>
        <v/>
      </c>
      <c r="FJ15" s="218">
        <f>-FJ$14*(1-LeaseUp!FJ$10)-FJ$14*ModelUnits/TotalUnits</f>
        <v/>
      </c>
      <c r="FK15" s="218">
        <f>-FK$14*(1-LeaseUp!FK$10)-FK$14*ModelUnits/TotalUnits</f>
        <v/>
      </c>
      <c r="FL15" s="218">
        <f>-FL$14*(1-LeaseUp!FL$10)-FL$14*ModelUnits/TotalUnits</f>
        <v/>
      </c>
      <c r="FM15" s="218">
        <f>-FM$14*(1-LeaseUp!FM$10)-FM$14*ModelUnits/TotalUnits</f>
        <v/>
      </c>
      <c r="FN15" s="218">
        <f>-FN$14*(1-LeaseUp!FN$10)-FN$14*ModelUnits/TotalUnits</f>
        <v/>
      </c>
      <c r="FO15" s="218">
        <f>-FO$14*(1-LeaseUp!FO$10)-FO$14*ModelUnits/TotalUnits</f>
        <v/>
      </c>
      <c r="FP15" s="218">
        <f>-FP$14*(1-LeaseUp!FP$10)-FP$14*ModelUnits/TotalUnits</f>
        <v/>
      </c>
      <c r="FQ15" s="218">
        <f>-FQ$14*(1-LeaseUp!FQ$10)-FQ$14*ModelUnits/TotalUnits</f>
        <v/>
      </c>
      <c r="FR15" s="218">
        <f>-FR$14*(1-LeaseUp!FR$10)-FR$14*ModelUnits/TotalUnits</f>
        <v/>
      </c>
      <c r="FS15" s="218">
        <f>-FS$14*(1-LeaseUp!FS$10)-FS$14*ModelUnits/TotalUnits</f>
        <v/>
      </c>
      <c r="FT15" s="218">
        <f>-FT$14*(1-LeaseUp!FT$10)-FT$14*ModelUnits/TotalUnits</f>
        <v/>
      </c>
      <c r="FU15" s="218">
        <f>-FU$14*(1-LeaseUp!FU$10)-FU$14*ModelUnits/TotalUnits</f>
        <v/>
      </c>
      <c r="FV15" s="218">
        <f>-FV$14*(1-LeaseUp!FV$10)-FV$14*ModelUnits/TotalUnits</f>
        <v/>
      </c>
      <c r="FW15" s="218">
        <f>-FW$14*(1-LeaseUp!FW$10)-FW$14*ModelUnits/TotalUnits</f>
        <v/>
      </c>
      <c r="FX15" s="218">
        <f>-FX$14*(1-LeaseUp!FX$10)-FX$14*ModelUnits/TotalUnits</f>
        <v/>
      </c>
      <c r="FY15" s="218">
        <f>-FY$14*(1-LeaseUp!FY$10)-FY$14*ModelUnits/TotalUnits</f>
        <v/>
      </c>
      <c r="FZ15" s="218">
        <f>-FZ$14*(1-LeaseUp!FZ$10)-FZ$14*ModelUnits/TotalUnits</f>
        <v/>
      </c>
      <c r="GA15" s="218">
        <f>-GA$14*(1-LeaseUp!GA$10)-GA$14*ModelUnits/TotalUnits</f>
        <v/>
      </c>
      <c r="GB15" s="218">
        <f>-GB$14*(1-LeaseUp!GB$10)-GB$14*ModelUnits/TotalUnits</f>
        <v/>
      </c>
      <c r="GC15" s="218">
        <f>-GC$14*(1-LeaseUp!GC$10)-GC$14*ModelUnits/TotalUnits</f>
        <v/>
      </c>
      <c r="GD15" s="218">
        <f>-GD$14*(1-LeaseUp!GD$10)-GD$14*ModelUnits/TotalUnits</f>
        <v/>
      </c>
      <c r="GE15" s="218">
        <f>-GE$14*(1-LeaseUp!GE$10)-GE$14*ModelUnits/TotalUnits</f>
        <v/>
      </c>
      <c r="GF15" s="218">
        <f>-GF$14*(1-LeaseUp!GF$10)-GF$14*ModelUnits/TotalUnits</f>
        <v/>
      </c>
      <c r="GG15" s="218">
        <f>-GG$14*(1-LeaseUp!GG$10)-GG$14*ModelUnits/TotalUnits</f>
        <v/>
      </c>
      <c r="GH15" s="218">
        <f>-GH$14*(1-LeaseUp!GH$10)-GH$14*ModelUnits/TotalUnits</f>
        <v/>
      </c>
      <c r="GI15" s="218">
        <f>-GI$14*(1-LeaseUp!GI$10)-GI$14*ModelUnits/TotalUnits</f>
        <v/>
      </c>
      <c r="GJ15" s="218">
        <f>-GJ$14*(1-LeaseUp!GJ$10)-GJ$14*ModelUnits/TotalUnits</f>
        <v/>
      </c>
      <c r="GK15" s="218">
        <f>-GK$14*(1-LeaseUp!GK$10)-GK$14*ModelUnits/TotalUnits</f>
        <v/>
      </c>
      <c r="GL15" s="218">
        <f>-GL$14*(1-LeaseUp!GL$10)-GL$14*ModelUnits/TotalUnits</f>
        <v/>
      </c>
      <c r="GM15" s="218">
        <f>-GM$14*(1-LeaseUp!GM$10)-GM$14*ModelUnits/TotalUnits</f>
        <v/>
      </c>
      <c r="GN15" s="218">
        <f>-GN$14*(1-LeaseUp!GN$10)-GN$14*ModelUnits/TotalUnits</f>
        <v/>
      </c>
      <c r="GO15" s="218">
        <f>-GO$14*(1-LeaseUp!GO$10)-GO$14*ModelUnits/TotalUnits</f>
        <v/>
      </c>
      <c r="GP15" s="218">
        <f>-GP$14*(1-LeaseUp!GP$10)-GP$14*ModelUnits/TotalUnits</f>
        <v/>
      </c>
      <c r="GQ15" s="218">
        <f>-GQ$14*(1-LeaseUp!GQ$10)-GQ$14*ModelUnits/TotalUnits</f>
        <v/>
      </c>
      <c r="GR15" s="218">
        <f>-GR$14*(1-LeaseUp!GR$10)-GR$14*ModelUnits/TotalUnits</f>
        <v/>
      </c>
      <c r="GS15" s="218">
        <f>-GS$14*(1-LeaseUp!GS$10)-GS$14*ModelUnits/TotalUnits</f>
        <v/>
      </c>
      <c r="GT15" s="218">
        <f>-GT$14*(1-LeaseUp!GT$10)-GT$14*ModelUnits/TotalUnits</f>
        <v/>
      </c>
      <c r="GU15" s="218">
        <f>-GU$14*(1-LeaseUp!GU$10)-GU$14*ModelUnits/TotalUnits</f>
        <v/>
      </c>
      <c r="GV15" s="218">
        <f>-GV$14*(1-LeaseUp!GV$10)-GV$14*ModelUnits/TotalUnits</f>
        <v/>
      </c>
      <c r="GW15" s="218">
        <f>-GW$14*(1-LeaseUp!GW$10)-GW$14*ModelUnits/TotalUnits</f>
        <v/>
      </c>
      <c r="GX15" s="218">
        <f>-GX$14*(1-LeaseUp!GX$10)-GX$14*ModelUnits/TotalUnits</f>
        <v/>
      </c>
      <c r="GY15" s="218">
        <f>-GY$14*(1-LeaseUp!GY$10)-GY$14*ModelUnits/TotalUnits</f>
        <v/>
      </c>
      <c r="GZ15" s="218">
        <f>-GZ$14*(1-LeaseUp!GZ$10)-GZ$14*ModelUnits/TotalUnits</f>
        <v/>
      </c>
      <c r="HA15" s="218">
        <f>-HA$14*(1-LeaseUp!HA$10)-HA$14*ModelUnits/TotalUnits</f>
        <v/>
      </c>
      <c r="HB15" s="218">
        <f>-HB$14*(1-LeaseUp!HB$10)-HB$14*ModelUnits/TotalUnits</f>
        <v/>
      </c>
      <c r="HC15" s="218">
        <f>-HC$14*(1-LeaseUp!HC$10)-HC$14*ModelUnits/TotalUnits</f>
        <v/>
      </c>
      <c r="HD15" s="218">
        <f>-HD$14*(1-LeaseUp!HD$10)-HD$14*ModelUnits/TotalUnits</f>
        <v/>
      </c>
      <c r="HE15" s="218">
        <f>-HE$14*(1-LeaseUp!HE$10)-HE$14*ModelUnits/TotalUnits</f>
        <v/>
      </c>
      <c r="HF15" s="218">
        <f>-HF$14*(1-LeaseUp!HF$10)-HF$14*ModelUnits/TotalUnits</f>
        <v/>
      </c>
      <c r="HG15" s="218">
        <f>-HG$14*(1-LeaseUp!HG$10)-HG$14*ModelUnits/TotalUnits</f>
        <v/>
      </c>
      <c r="HH15" s="218">
        <f>-HH$14*(1-LeaseUp!HH$10)-HH$14*ModelUnits/TotalUnits</f>
        <v/>
      </c>
      <c r="HI15" s="218">
        <f>-HI$14*(1-LeaseUp!HI$10)-HI$14*ModelUnits/TotalUnits</f>
        <v/>
      </c>
      <c r="HJ15" s="218">
        <f>-HJ$14*(1-LeaseUp!HJ$10)-HJ$14*ModelUnits/TotalUnits</f>
        <v/>
      </c>
      <c r="HK15" s="218">
        <f>-HK$14*(1-LeaseUp!HK$10)-HK$14*ModelUnits/TotalUnits</f>
        <v/>
      </c>
      <c r="HL15" s="218">
        <f>-HL$14*(1-LeaseUp!HL$10)-HL$14*ModelUnits/TotalUnits</f>
        <v/>
      </c>
      <c r="HM15" s="218">
        <f>-HM$14*(1-LeaseUp!HM$10)-HM$14*ModelUnits/TotalUnits</f>
        <v/>
      </c>
      <c r="HN15" s="218">
        <f>-HN$14*(1-LeaseUp!HN$10)-HN$14*ModelUnits/TotalUnits</f>
        <v/>
      </c>
      <c r="HO15" s="218">
        <f>-HO$14*(1-LeaseUp!HO$10)-HO$14*ModelUnits/TotalUnits</f>
        <v/>
      </c>
      <c r="HP15" s="218">
        <f>-HP$14*(1-LeaseUp!HP$10)-HP$14*ModelUnits/TotalUnits</f>
        <v/>
      </c>
      <c r="HQ15" s="218">
        <f>-HQ$14*(1-LeaseUp!HQ$10)-HQ$14*ModelUnits/TotalUnits</f>
        <v/>
      </c>
      <c r="HR15" s="218">
        <f>-HR$14*(1-LeaseUp!HR$10)-HR$14*ModelUnits/TotalUnits</f>
        <v/>
      </c>
      <c r="HS15" s="218">
        <f>-HS$14*(1-LeaseUp!HS$10)-HS$14*ModelUnits/TotalUnits</f>
        <v/>
      </c>
      <c r="HT15" s="218">
        <f>-HT$14*(1-LeaseUp!HT$10)-HT$14*ModelUnits/TotalUnits</f>
        <v/>
      </c>
      <c r="HU15" s="218">
        <f>-HU$14*(1-LeaseUp!HU$10)-HU$14*ModelUnits/TotalUnits</f>
        <v/>
      </c>
      <c r="HV15" s="218">
        <f>-HV$14*(1-LeaseUp!HV$10)-HV$14*ModelUnits/TotalUnits</f>
        <v/>
      </c>
      <c r="HW15" s="218">
        <f>-HW$14*(1-LeaseUp!HW$10)-HW$14*ModelUnits/TotalUnits</f>
        <v/>
      </c>
      <c r="HX15" s="218">
        <f>-HX$14*(1-LeaseUp!HX$10)-HX$14*ModelUnits/TotalUnits</f>
        <v/>
      </c>
      <c r="HY15" s="218">
        <f>-HY$14*(1-LeaseUp!HY$10)-HY$14*ModelUnits/TotalUnits</f>
        <v/>
      </c>
      <c r="HZ15" s="218">
        <f>-HZ$14*(1-LeaseUp!HZ$10)-HZ$14*ModelUnits/TotalUnits</f>
        <v/>
      </c>
      <c r="IA15" s="218">
        <f>-IA$14*(1-LeaseUp!IA$10)-IA$14*ModelUnits/TotalUnits</f>
        <v/>
      </c>
      <c r="IB15" s="218">
        <f>-IB$14*(1-LeaseUp!IB$10)-IB$14*ModelUnits/TotalUnits</f>
        <v/>
      </c>
      <c r="IC15" s="218">
        <f>-IC$14*(1-LeaseUp!IC$10)-IC$14*ModelUnits/TotalUnits</f>
        <v/>
      </c>
      <c r="ID15" s="218">
        <f>-ID$14*(1-LeaseUp!ID$10)-ID$14*ModelUnits/TotalUnits</f>
        <v/>
      </c>
      <c r="IE15" s="218">
        <f>-IE$14*(1-LeaseUp!IE$10)-IE$14*ModelUnits/TotalUnits</f>
        <v/>
      </c>
      <c r="IF15" s="218">
        <f>-IF$14*(1-LeaseUp!IF$10)-IF$14*ModelUnits/TotalUnits</f>
        <v/>
      </c>
      <c r="IG15" s="218">
        <f>-IG$14*(1-LeaseUp!IG$10)-IG$14*ModelUnits/TotalUnits</f>
        <v/>
      </c>
      <c r="IH15" s="218">
        <f>-IH$14*(1-LeaseUp!IH$10)-IH$14*ModelUnits/TotalUnits</f>
        <v/>
      </c>
      <c r="II15" s="218">
        <f>-II$14*(1-LeaseUp!II$10)-II$14*ModelUnits/TotalUnits</f>
        <v/>
      </c>
      <c r="IJ15" s="218">
        <f>-IJ$14*(1-LeaseUp!IJ$10)-IJ$14*ModelUnits/TotalUnits</f>
        <v/>
      </c>
      <c r="IK15" s="218">
        <f>-IK$14*(1-LeaseUp!IK$10)-IK$14*ModelUnits/TotalUnits</f>
        <v/>
      </c>
      <c r="IL15" s="218">
        <f>-IL$14*(1-LeaseUp!IL$10)-IL$14*ModelUnits/TotalUnits</f>
        <v/>
      </c>
      <c r="IM15" s="218">
        <f>-IM$14*(1-LeaseUp!IM$10)-IM$14*ModelUnits/TotalUnits</f>
        <v/>
      </c>
      <c r="IN15" s="218">
        <f>-IN$14*(1-LeaseUp!IN$10)-IN$14*ModelUnits/TotalUnits</f>
        <v/>
      </c>
      <c r="IO15" s="218">
        <f>-IO$14*(1-LeaseUp!IO$10)-IO$14*ModelUnits/TotalUnits</f>
        <v/>
      </c>
      <c r="IP15" s="218">
        <f>-IP$14*(1-LeaseUp!IP$10)-IP$14*ModelUnits/TotalUnits</f>
        <v/>
      </c>
      <c r="IQ15" s="218">
        <f>-IQ$14*(1-LeaseUp!IQ$10)-IQ$14*ModelUnits/TotalUnits</f>
        <v/>
      </c>
      <c r="IR15" s="218">
        <f>-IR$14*(1-LeaseUp!IR$10)-IR$14*ModelUnits/TotalUnits</f>
        <v/>
      </c>
      <c r="IS15" s="218">
        <f>-IS$14*(1-LeaseUp!IS$10)-IS$14*ModelUnits/TotalUnits</f>
        <v/>
      </c>
      <c r="IT15" s="218">
        <f>-IT$14*(1-LeaseUp!IT$10)-IT$14*ModelUnits/TotalUnits</f>
        <v/>
      </c>
      <c r="IU15" s="218">
        <f>-IU$14*(1-LeaseUp!IU$10)-IU$14*ModelUnits/TotalUnits</f>
        <v/>
      </c>
      <c r="IV15" s="218">
        <f>-IV$14*(1-LeaseUp!IV$10)-IV$14*ModelUnits/TotalUnits</f>
        <v/>
      </c>
      <c r="IW15" s="218">
        <f>-IW$14*(1-LeaseUp!IW$10)-IW$14*ModelUnits/TotalUnits</f>
        <v/>
      </c>
      <c r="IX15" s="218">
        <f>-IX$14*(1-LeaseUp!IX$10)-IX$14*ModelUnits/TotalUnits</f>
        <v/>
      </c>
      <c r="IY15" s="218">
        <f>-IY$14*(1-LeaseUp!IY$10)-IY$14*ModelUnits/TotalUnits</f>
        <v/>
      </c>
      <c r="IZ15" s="218">
        <f>-IZ$14*(1-LeaseUp!IZ$10)-IZ$14*ModelUnits/TotalUnits</f>
        <v/>
      </c>
      <c r="JA15" s="218">
        <f>-JA$14*(1-LeaseUp!JA$10)-JA$14*ModelUnits/TotalUnits</f>
        <v/>
      </c>
      <c r="JB15" s="218">
        <f>-JB$14*(1-LeaseUp!JB$10)-JB$14*ModelUnits/TotalUnits</f>
        <v/>
      </c>
      <c r="JC15" s="218">
        <f>-JC$14*(1-LeaseUp!JC$10)-JC$14*ModelUnits/TotalUnits</f>
        <v/>
      </c>
      <c r="JD15" s="218">
        <f>-JD$14*(1-LeaseUp!JD$10)-JD$14*ModelUnits/TotalUnits</f>
        <v/>
      </c>
      <c r="JE15" s="218">
        <f>-JE$14*(1-LeaseUp!JE$10)-JE$14*ModelUnits/TotalUnits</f>
        <v/>
      </c>
      <c r="JF15" s="218">
        <f>-JF$14*(1-LeaseUp!JF$10)-JF$14*ModelUnits/TotalUnits</f>
        <v/>
      </c>
      <c r="JG15" s="218">
        <f>-JG$14*(1-LeaseUp!JG$10)-JG$14*ModelUnits/TotalUnits</f>
        <v/>
      </c>
      <c r="JH15" s="218">
        <f>-JH$14*(1-LeaseUp!JH$10)-JH$14*ModelUnits/TotalUnits</f>
        <v/>
      </c>
      <c r="JI15" s="218">
        <f>-JI$14*(1-LeaseUp!JI$10)-JI$14*ModelUnits/TotalUnits</f>
        <v/>
      </c>
      <c r="JJ15" s="218">
        <f>-JJ$14*(1-LeaseUp!JJ$10)-JJ$14*ModelUnits/TotalUnits</f>
        <v/>
      </c>
      <c r="JK15" s="218">
        <f>-JK$14*(1-LeaseUp!JK$10)-JK$14*ModelUnits/TotalUnits</f>
        <v/>
      </c>
      <c r="JL15" s="218">
        <f>-JL$14*(1-LeaseUp!JL$10)-JL$14*ModelUnits/TotalUnits</f>
        <v/>
      </c>
      <c r="JM15" s="218">
        <f>-JM$14*(1-LeaseUp!JM$10)-JM$14*ModelUnits/TotalUnits</f>
        <v/>
      </c>
      <c r="JN15" s="218">
        <f>-JN$14*(1-LeaseUp!JN$10)-JN$14*ModelUnits/TotalUnits</f>
        <v/>
      </c>
      <c r="JO15" s="218">
        <f>-JO$14*(1-LeaseUp!JO$10)-JO$14*ModelUnits/TotalUnits</f>
        <v/>
      </c>
      <c r="JP15" s="218">
        <f>-JP$14*(1-LeaseUp!JP$10)-JP$14*ModelUnits/TotalUnits</f>
        <v/>
      </c>
      <c r="JQ15" s="218">
        <f>-JQ$14*(1-LeaseUp!JQ$10)-JQ$14*ModelUnits/TotalUnits</f>
        <v/>
      </c>
      <c r="JR15" s="218">
        <f>-JR$14*(1-LeaseUp!JR$10)-JR$14*ModelUnits/TotalUnits</f>
        <v/>
      </c>
      <c r="JS15" s="218">
        <f>-JS$14*(1-LeaseUp!JS$10)-JS$14*ModelUnits/TotalUnits</f>
        <v/>
      </c>
      <c r="JT15" s="218">
        <f>-JT$14*(1-LeaseUp!JT$10)-JT$14*ModelUnits/TotalUnits</f>
        <v/>
      </c>
      <c r="JU15" s="218">
        <f>-JU$14*(1-LeaseUp!JU$10)-JU$14*ModelUnits/TotalUnits</f>
        <v/>
      </c>
      <c r="JV15" s="218">
        <f>-JV$14*(1-LeaseUp!JV$10)-JV$14*ModelUnits/TotalUnits</f>
        <v/>
      </c>
      <c r="JW15" s="218">
        <f>-JW$14*(1-LeaseUp!JW$10)-JW$14*ModelUnits/TotalUnits</f>
        <v/>
      </c>
      <c r="JX15" s="218">
        <f>-JX$14*(1-LeaseUp!JX$10)-JX$14*ModelUnits/TotalUnits</f>
        <v/>
      </c>
      <c r="JY15" s="218">
        <f>-JY$14*(1-LeaseUp!JY$10)-JY$14*ModelUnits/TotalUnits</f>
        <v/>
      </c>
      <c r="JZ15" s="218">
        <f>-JZ$14*(1-LeaseUp!JZ$10)-JZ$14*ModelUnits/TotalUnits</f>
        <v/>
      </c>
      <c r="KA15" s="218">
        <f>-KA$14*(1-LeaseUp!KA$10)-KA$14*ModelUnits/TotalUnits</f>
        <v/>
      </c>
      <c r="KB15" s="218">
        <f>-KB$14*(1-LeaseUp!KB$10)-KB$14*ModelUnits/TotalUnits</f>
        <v/>
      </c>
      <c r="KC15" s="218">
        <f>-KC$14*(1-LeaseUp!KC$10)-KC$14*ModelUnits/TotalUnits</f>
        <v/>
      </c>
      <c r="KD15" s="218">
        <f>-KD$14*(1-LeaseUp!KD$10)-KD$14*ModelUnits/TotalUnits</f>
        <v/>
      </c>
      <c r="KE15" s="218">
        <f>-KE$14*(1-LeaseUp!KE$10)-KE$14*ModelUnits/TotalUnits</f>
        <v/>
      </c>
      <c r="KF15" s="218">
        <f>-KF$14*(1-LeaseUp!KF$10)-KF$14*ModelUnits/TotalUnits</f>
        <v/>
      </c>
      <c r="KG15" s="218">
        <f>-KG$14*(1-LeaseUp!KG$10)-KG$14*ModelUnits/TotalUnits</f>
        <v/>
      </c>
      <c r="KH15" s="218">
        <f>-KH$14*(1-LeaseUp!KH$10)-KH$14*ModelUnits/TotalUnits</f>
        <v/>
      </c>
      <c r="KI15" s="218">
        <f>-KI$14*(1-LeaseUp!KI$10)-KI$14*ModelUnits/TotalUnits</f>
        <v/>
      </c>
      <c r="KJ15" s="218">
        <f>-KJ$14*(1-LeaseUp!KJ$10)-KJ$14*ModelUnits/TotalUnits</f>
        <v/>
      </c>
      <c r="KK15" s="218">
        <f>-KK$14*(1-LeaseUp!KK$10)-KK$14*ModelUnits/TotalUnits</f>
        <v/>
      </c>
      <c r="KL15" s="218">
        <f>-KL$14*(1-LeaseUp!KL$10)-KL$14*ModelUnits/TotalUnits</f>
        <v/>
      </c>
      <c r="KM15" s="218">
        <f>-KM$14*(1-LeaseUp!KM$10)-KM$14*ModelUnits/TotalUnits</f>
        <v/>
      </c>
      <c r="KN15" s="218">
        <f>-KN$14*(1-LeaseUp!KN$10)-KN$14*ModelUnits/TotalUnits</f>
        <v/>
      </c>
      <c r="KO15" s="218">
        <f>-KO$14*(1-LeaseUp!KO$10)-KO$14*ModelUnits/TotalUnits</f>
        <v/>
      </c>
      <c r="KP15" s="218">
        <f>-KP$14*(1-LeaseUp!KP$10)-KP$14*ModelUnits/TotalUnits</f>
        <v/>
      </c>
      <c r="KQ15" s="218">
        <f>-KQ$14*(1-LeaseUp!KQ$10)-KQ$14*ModelUnits/TotalUnits</f>
        <v/>
      </c>
      <c r="KR15" s="218">
        <f>-KR$14*(1-LeaseUp!KR$10)-KR$14*ModelUnits/TotalUnits</f>
        <v/>
      </c>
      <c r="KS15" s="218">
        <f>-KS$14*(1-LeaseUp!KS$10)-KS$14*ModelUnits/TotalUnits</f>
        <v/>
      </c>
      <c r="KT15" s="218">
        <f>-KT$14*(1-LeaseUp!KT$10)-KT$14*ModelUnits/TotalUnits</f>
        <v/>
      </c>
      <c r="KU15" s="218">
        <f>-KU$14*(1-LeaseUp!KU$10)-KU$14*ModelUnits/TotalUnits</f>
        <v/>
      </c>
      <c r="KV15" s="218">
        <f>-KV$14*(1-LeaseUp!KV$10)-KV$14*ModelUnits/TotalUnits</f>
        <v/>
      </c>
      <c r="KW15" s="218">
        <f>-KW$14*(1-LeaseUp!KW$10)-KW$14*ModelUnits/TotalUnits</f>
        <v/>
      </c>
      <c r="KX15" s="218">
        <f>-KX$14*(1-LeaseUp!KX$10)-KX$14*ModelUnits/TotalUnits</f>
        <v/>
      </c>
      <c r="KY15" s="218">
        <f>-KY$14*(1-LeaseUp!KY$10)-KY$14*ModelUnits/TotalUnits</f>
        <v/>
      </c>
      <c r="KZ15" s="218">
        <f>-KZ$14*(1-LeaseUp!KZ$10)-KZ$14*ModelUnits/TotalUnits</f>
        <v/>
      </c>
      <c r="LA15" s="218">
        <f>-LA$14*(1-LeaseUp!LA$10)-LA$14*ModelUnits/TotalUnits</f>
        <v/>
      </c>
      <c r="LB15" s="218">
        <f>-LB$14*(1-LeaseUp!LB$10)-LB$14*ModelUnits/TotalUnits</f>
        <v/>
      </c>
      <c r="LC15" s="218">
        <f>-LC$14*(1-LeaseUp!LC$10)-LC$14*ModelUnits/TotalUnits</f>
        <v/>
      </c>
      <c r="LD15" s="218">
        <f>-LD$14*(1-LeaseUp!LD$10)-LD$14*ModelUnits/TotalUnits</f>
        <v/>
      </c>
      <c r="LE15" s="218">
        <f>-LE$14*(1-LeaseUp!LE$10)-LE$14*ModelUnits/TotalUnits</f>
        <v/>
      </c>
      <c r="LF15" s="218">
        <f>-LF$14*(1-LeaseUp!LF$10)-LF$14*ModelUnits/TotalUnits</f>
        <v/>
      </c>
      <c r="LG15" s="218">
        <f>-LG$14*(1-LeaseUp!LG$10)-LG$14*ModelUnits/TotalUnits</f>
        <v/>
      </c>
      <c r="LH15" s="218">
        <f>-LH$14*(1-LeaseUp!LH$10)-LH$14*ModelUnits/TotalUnits</f>
        <v/>
      </c>
      <c r="LI15" s="218">
        <f>-LI$14*(1-LeaseUp!LI$10)-LI$14*ModelUnits/TotalUnits</f>
        <v/>
      </c>
      <c r="LJ15" s="218">
        <f>-LJ$14*(1-LeaseUp!LJ$10)-LJ$14*ModelUnits/TotalUnits</f>
        <v/>
      </c>
      <c r="LK15" s="218">
        <f>-LK$14*(1-LeaseUp!LK$10)-LK$14*ModelUnits/TotalUnits</f>
        <v/>
      </c>
      <c r="LL15" s="218">
        <f>-LL$14*(1-LeaseUp!LL$10)-LL$14*ModelUnits/TotalUnits</f>
        <v/>
      </c>
      <c r="LM15" s="218">
        <f>-LM$14*(1-LeaseUp!LM$10)-LM$14*ModelUnits/TotalUnits</f>
        <v/>
      </c>
      <c r="LN15" s="218">
        <f>-LN$14*(1-LeaseUp!LN$10)-LN$14*ModelUnits/TotalUnits</f>
        <v/>
      </c>
      <c r="LO15" s="218">
        <f>-LO$14*(1-LeaseUp!LO$10)-LO$14*ModelUnits/TotalUnits</f>
        <v/>
      </c>
      <c r="LP15" s="218">
        <f>-LP$14*(1-LeaseUp!LP$10)-LP$14*ModelUnits/TotalUnits</f>
        <v/>
      </c>
      <c r="LQ15" s="218">
        <f>-LQ$14*(1-LeaseUp!LQ$10)-LQ$14*ModelUnits/TotalUnits</f>
        <v/>
      </c>
      <c r="LR15" s="218">
        <f>-LR$14*(1-LeaseUp!LR$10)-LR$14*ModelUnits/TotalUnits</f>
        <v/>
      </c>
      <c r="LS15" s="218">
        <f>-LS$14*(1-LeaseUp!LS$10)-LS$14*ModelUnits/TotalUnits</f>
        <v/>
      </c>
      <c r="LT15" s="218">
        <f>-LT$14*(1-LeaseUp!LT$10)-LT$14*ModelUnits/TotalUnits</f>
        <v/>
      </c>
      <c r="LU15" s="218">
        <f>-LU$14*(1-LeaseUp!LU$10)-LU$14*ModelUnits/TotalUnits</f>
        <v/>
      </c>
      <c r="LV15" s="218">
        <f>-LV$14*(1-LeaseUp!LV$10)-LV$14*ModelUnits/TotalUnits</f>
        <v/>
      </c>
      <c r="LW15" s="218">
        <f>-LW$14*(1-LeaseUp!LW$10)-LW$14*ModelUnits/TotalUnits</f>
        <v/>
      </c>
      <c r="LX15" s="218">
        <f>-LX$14*(1-LeaseUp!LX$10)-LX$14*ModelUnits/TotalUnits</f>
        <v/>
      </c>
      <c r="LY15" s="218">
        <f>-LY$14*(1-LeaseUp!LY$10)-LY$14*ModelUnits/TotalUnits</f>
        <v/>
      </c>
      <c r="LZ15" s="218">
        <f>-LZ$14*(1-LeaseUp!LZ$10)-LZ$14*ModelUnits/TotalUnits</f>
        <v/>
      </c>
      <c r="MA15" s="218">
        <f>-MA$14*(1-LeaseUp!MA$10)-MA$14*ModelUnits/TotalUnits</f>
        <v/>
      </c>
      <c r="MB15" s="218">
        <f>-MB$14*(1-LeaseUp!MB$10)-MB$14*ModelUnits/TotalUnits</f>
        <v/>
      </c>
      <c r="MC15" s="218">
        <f>-MC$14*(1-LeaseUp!MC$10)-MC$14*ModelUnits/TotalUnits</f>
        <v/>
      </c>
      <c r="MD15" s="218">
        <f>-MD$14*(1-LeaseUp!MD$10)-MD$14*ModelUnits/TotalUnits</f>
        <v/>
      </c>
      <c r="ME15" s="218">
        <f>-ME$14*(1-LeaseUp!ME$10)-ME$14*ModelUnits/TotalUnits</f>
        <v/>
      </c>
      <c r="MF15" s="218">
        <f>-MF$14*(1-LeaseUp!MF$10)-MF$14*ModelUnits/TotalUnits</f>
        <v/>
      </c>
      <c r="MG15" s="218">
        <f>-MG$14*(1-LeaseUp!MG$10)-MG$14*ModelUnits/TotalUnits</f>
        <v/>
      </c>
      <c r="MH15" s="218">
        <f>-MH$14*(1-LeaseUp!MH$10)-MH$14*ModelUnits/TotalUnits</f>
        <v/>
      </c>
      <c r="MI15" s="218">
        <f>-MI$14*(1-LeaseUp!MI$10)-MI$14*ModelUnits/TotalUnits</f>
        <v/>
      </c>
      <c r="MJ15" s="218">
        <f>-MJ$14*(1-LeaseUp!MJ$10)-MJ$14*ModelUnits/TotalUnits</f>
        <v/>
      </c>
      <c r="MK15" s="218">
        <f>-MK$14*(1-LeaseUp!MK$10)-MK$14*ModelUnits/TotalUnits</f>
        <v/>
      </c>
      <c r="ML15" s="218">
        <f>-ML$14*(1-LeaseUp!ML$10)-ML$14*ModelUnits/TotalUnits</f>
        <v/>
      </c>
      <c r="MM15" s="218">
        <f>-MM$14*(1-LeaseUp!MM$10)-MM$14*ModelUnits/TotalUnits</f>
        <v/>
      </c>
      <c r="MN15" s="218">
        <f>-MN$14*(1-LeaseUp!MN$10)-MN$14*ModelUnits/TotalUnits</f>
        <v/>
      </c>
      <c r="MO15" s="218">
        <f>-MO$14*(1-LeaseUp!MO$10)-MO$14*ModelUnits/TotalUnits</f>
        <v/>
      </c>
      <c r="MP15" s="218">
        <f>-MP$14*(1-LeaseUp!MP$10)-MP$14*ModelUnits/TotalUnits</f>
        <v/>
      </c>
      <c r="MQ15" s="218">
        <f>-MQ$14*(1-LeaseUp!MQ$10)-MQ$14*ModelUnits/TotalUnits</f>
        <v/>
      </c>
      <c r="MR15" s="218">
        <f>-MR$14*(1-LeaseUp!MR$10)-MR$14*ModelUnits/TotalUnits</f>
        <v/>
      </c>
      <c r="MS15" s="218">
        <f>-MS$14*(1-LeaseUp!MS$10)-MS$14*ModelUnits/TotalUnits</f>
        <v/>
      </c>
      <c r="MT15" s="218">
        <f>-MT$14*(1-LeaseUp!MT$10)-MT$14*ModelUnits/TotalUnits</f>
        <v/>
      </c>
      <c r="MU15" s="218">
        <f>-MU$14*(1-LeaseUp!MU$10)-MU$14*ModelUnits/TotalUnits</f>
        <v/>
      </c>
      <c r="MV15" s="218">
        <f>-MV$14*(1-LeaseUp!MV$10)-MV$14*ModelUnits/TotalUnits</f>
        <v/>
      </c>
      <c r="MW15" s="218">
        <f>-MW$14*(1-LeaseUp!MW$10)-MW$14*ModelUnits/TotalUnits</f>
        <v/>
      </c>
      <c r="MX15" s="218">
        <f>-MX$14*(1-LeaseUp!MX$10)-MX$14*ModelUnits/TotalUnits</f>
        <v/>
      </c>
      <c r="MY15" s="218">
        <f>-MY$14*(1-LeaseUp!MY$10)-MY$14*ModelUnits/TotalUnits</f>
        <v/>
      </c>
      <c r="MZ15" s="218">
        <f>-MZ$14*(1-LeaseUp!MZ$10)-MZ$14*ModelUnits/TotalUnits</f>
        <v/>
      </c>
      <c r="NA15" s="218">
        <f>-NA$14*(1-LeaseUp!NA$10)-NA$14*ModelUnits/TotalUnits</f>
        <v/>
      </c>
      <c r="NB15" s="218">
        <f>-NB$14*(1-LeaseUp!NB$10)-NB$14*ModelUnits/TotalUnits</f>
        <v/>
      </c>
      <c r="NC15" s="218">
        <f>-NC$14*(1-LeaseUp!NC$10)-NC$14*ModelUnits/TotalUnits</f>
        <v/>
      </c>
      <c r="ND15" s="218">
        <f>-ND$14*(1-LeaseUp!ND$10)-ND$14*ModelUnits/TotalUnits</f>
        <v/>
      </c>
      <c r="NE15" s="218">
        <f>-NE$14*(1-LeaseUp!NE$10)-NE$14*ModelUnits/TotalUnits</f>
        <v/>
      </c>
      <c r="NF15" s="218">
        <f>-NF$14*(1-LeaseUp!NF$10)-NF$14*ModelUnits/TotalUnits</f>
        <v/>
      </c>
      <c r="NG15" s="218">
        <f>-NG$14*(1-LeaseUp!NG$10)-NG$14*ModelUnits/TotalUnits</f>
        <v/>
      </c>
      <c r="NH15" s="218">
        <f>-NH$14*(1-LeaseUp!NH$10)-NH$14*ModelUnits/TotalUnits</f>
        <v/>
      </c>
      <c r="NI15" s="218">
        <f>-NI$14*(1-LeaseUp!NI$10)-NI$14*ModelUnits/TotalUnits</f>
        <v/>
      </c>
      <c r="NJ15" s="218">
        <f>-NJ$14*(1-LeaseUp!NJ$10)-NJ$14*ModelUnits/TotalUnits</f>
        <v/>
      </c>
      <c r="NK15" s="218">
        <f>-NK$14*(1-LeaseUp!NK$10)-NK$14*ModelUnits/TotalUnits</f>
        <v/>
      </c>
      <c r="NL15" s="225">
        <f>-NL$14*(1-LeaseUp!NL$10)-NL$14*ModelUnits/TotalUnits</f>
        <v/>
      </c>
    </row>
    <row r="16">
      <c r="B16" s="36" t="inlineStr">
        <is>
          <t>Gain/Loss to Lease</t>
        </is>
      </c>
      <c r="D16" s="266">
        <f>SUM(E16:NL16)</f>
        <v/>
      </c>
      <c r="E16" s="218">
        <f>E$14*LossToLeasePct</f>
        <v/>
      </c>
      <c r="F16" s="218">
        <f>F$14*LossToLeasePct</f>
        <v/>
      </c>
      <c r="G16" s="218">
        <f>G$14*LossToLeasePct</f>
        <v/>
      </c>
      <c r="H16" s="218">
        <f>H$14*LossToLeasePct</f>
        <v/>
      </c>
      <c r="I16" s="218">
        <f>I$14*LossToLeasePct</f>
        <v/>
      </c>
      <c r="J16" s="218">
        <f>J$14*LossToLeasePct</f>
        <v/>
      </c>
      <c r="K16" s="218">
        <f>K$14*LossToLeasePct</f>
        <v/>
      </c>
      <c r="L16" s="218">
        <f>L$14*LossToLeasePct</f>
        <v/>
      </c>
      <c r="M16" s="218">
        <f>M$14*LossToLeasePct</f>
        <v/>
      </c>
      <c r="N16" s="218">
        <f>N$14*LossToLeasePct</f>
        <v/>
      </c>
      <c r="O16" s="218">
        <f>O$14*LossToLeasePct</f>
        <v/>
      </c>
      <c r="P16" s="218">
        <f>P$14*LossToLeasePct</f>
        <v/>
      </c>
      <c r="Q16" s="218">
        <f>Q$14*LossToLeasePct</f>
        <v/>
      </c>
      <c r="R16" s="218">
        <f>R$14*LossToLeasePct</f>
        <v/>
      </c>
      <c r="S16" s="218">
        <f>S$14*LossToLeasePct</f>
        <v/>
      </c>
      <c r="T16" s="218">
        <f>T$14*LossToLeasePct</f>
        <v/>
      </c>
      <c r="U16" s="218">
        <f>U$14*LossToLeasePct</f>
        <v/>
      </c>
      <c r="V16" s="218">
        <f>V$14*LossToLeasePct</f>
        <v/>
      </c>
      <c r="W16" s="218">
        <f>W$14*LossToLeasePct</f>
        <v/>
      </c>
      <c r="X16" s="218">
        <f>X$14*LossToLeasePct</f>
        <v/>
      </c>
      <c r="Y16" s="218">
        <f>Y$14*LossToLeasePct</f>
        <v/>
      </c>
      <c r="Z16" s="218">
        <f>Z$14*LossToLeasePct</f>
        <v/>
      </c>
      <c r="AA16" s="218">
        <f>AA$14*LossToLeasePct</f>
        <v/>
      </c>
      <c r="AB16" s="218">
        <f>AB$14*LossToLeasePct</f>
        <v/>
      </c>
      <c r="AC16" s="218">
        <f>AC$14*LossToLeasePct</f>
        <v/>
      </c>
      <c r="AD16" s="218">
        <f>AD$14*LossToLeasePct</f>
        <v/>
      </c>
      <c r="AE16" s="218">
        <f>AE$14*LossToLeasePct</f>
        <v/>
      </c>
      <c r="AF16" s="218">
        <f>AF$14*LossToLeasePct</f>
        <v/>
      </c>
      <c r="AG16" s="218">
        <f>AG$14*LossToLeasePct</f>
        <v/>
      </c>
      <c r="AH16" s="218">
        <f>AH$14*LossToLeasePct</f>
        <v/>
      </c>
      <c r="AI16" s="218">
        <f>AI$14*LossToLeasePct</f>
        <v/>
      </c>
      <c r="AJ16" s="218">
        <f>AJ$14*LossToLeasePct</f>
        <v/>
      </c>
      <c r="AK16" s="218">
        <f>AK$14*LossToLeasePct</f>
        <v/>
      </c>
      <c r="AL16" s="218">
        <f>AL$14*LossToLeasePct</f>
        <v/>
      </c>
      <c r="AM16" s="218">
        <f>AM$14*LossToLeasePct</f>
        <v/>
      </c>
      <c r="AN16" s="218">
        <f>AN$14*LossToLeasePct</f>
        <v/>
      </c>
      <c r="AO16" s="218">
        <f>AO$14*LossToLeasePct</f>
        <v/>
      </c>
      <c r="AP16" s="218">
        <f>AP$14*LossToLeasePct</f>
        <v/>
      </c>
      <c r="AQ16" s="218">
        <f>AQ$14*LossToLeasePct</f>
        <v/>
      </c>
      <c r="AR16" s="218">
        <f>AR$14*LossToLeasePct</f>
        <v/>
      </c>
      <c r="AS16" s="218">
        <f>AS$14*LossToLeasePct</f>
        <v/>
      </c>
      <c r="AT16" s="218">
        <f>AT$14*LossToLeasePct</f>
        <v/>
      </c>
      <c r="AU16" s="218">
        <f>AU$14*LossToLeasePct</f>
        <v/>
      </c>
      <c r="AV16" s="218">
        <f>AV$14*LossToLeasePct</f>
        <v/>
      </c>
      <c r="AW16" s="218">
        <f>AW$14*LossToLeasePct</f>
        <v/>
      </c>
      <c r="AX16" s="218">
        <f>AX$14*LossToLeasePct</f>
        <v/>
      </c>
      <c r="AY16" s="218">
        <f>AY$14*LossToLeasePct</f>
        <v/>
      </c>
      <c r="AZ16" s="218">
        <f>AZ$14*LossToLeasePct</f>
        <v/>
      </c>
      <c r="BA16" s="218">
        <f>BA$14*LossToLeasePct</f>
        <v/>
      </c>
      <c r="BB16" s="218">
        <f>BB$14*LossToLeasePct</f>
        <v/>
      </c>
      <c r="BC16" s="218">
        <f>BC$14*LossToLeasePct</f>
        <v/>
      </c>
      <c r="BD16" s="218">
        <f>BD$14*LossToLeasePct</f>
        <v/>
      </c>
      <c r="BE16" s="218">
        <f>BE$14*LossToLeasePct</f>
        <v/>
      </c>
      <c r="BF16" s="218">
        <f>BF$14*LossToLeasePct</f>
        <v/>
      </c>
      <c r="BG16" s="218">
        <f>BG$14*LossToLeasePct</f>
        <v/>
      </c>
      <c r="BH16" s="218">
        <f>BH$14*LossToLeasePct</f>
        <v/>
      </c>
      <c r="BI16" s="218">
        <f>BI$14*LossToLeasePct</f>
        <v/>
      </c>
      <c r="BJ16" s="218">
        <f>BJ$14*LossToLeasePct</f>
        <v/>
      </c>
      <c r="BK16" s="218">
        <f>BK$14*LossToLeasePct</f>
        <v/>
      </c>
      <c r="BL16" s="218">
        <f>BL$14*LossToLeasePct</f>
        <v/>
      </c>
      <c r="BM16" s="218">
        <f>BM$14*LossToLeasePct</f>
        <v/>
      </c>
      <c r="BN16" s="218">
        <f>BN$14*LossToLeasePct</f>
        <v/>
      </c>
      <c r="BO16" s="218">
        <f>BO$14*LossToLeasePct</f>
        <v/>
      </c>
      <c r="BP16" s="218">
        <f>BP$14*LossToLeasePct</f>
        <v/>
      </c>
      <c r="BQ16" s="218">
        <f>BQ$14*LossToLeasePct</f>
        <v/>
      </c>
      <c r="BR16" s="218">
        <f>BR$14*LossToLeasePct</f>
        <v/>
      </c>
      <c r="BS16" s="218">
        <f>BS$14*LossToLeasePct</f>
        <v/>
      </c>
      <c r="BT16" s="218">
        <f>BT$14*LossToLeasePct</f>
        <v/>
      </c>
      <c r="BU16" s="218">
        <f>BU$14*LossToLeasePct</f>
        <v/>
      </c>
      <c r="BV16" s="218">
        <f>BV$14*LossToLeasePct</f>
        <v/>
      </c>
      <c r="BW16" s="218">
        <f>BW$14*LossToLeasePct</f>
        <v/>
      </c>
      <c r="BX16" s="218">
        <f>BX$14*LossToLeasePct</f>
        <v/>
      </c>
      <c r="BY16" s="218">
        <f>BY$14*LossToLeasePct</f>
        <v/>
      </c>
      <c r="BZ16" s="218">
        <f>BZ$14*LossToLeasePct</f>
        <v/>
      </c>
      <c r="CA16" s="218">
        <f>CA$14*LossToLeasePct</f>
        <v/>
      </c>
      <c r="CB16" s="218">
        <f>CB$14*LossToLeasePct</f>
        <v/>
      </c>
      <c r="CC16" s="218">
        <f>CC$14*LossToLeasePct</f>
        <v/>
      </c>
      <c r="CD16" s="218">
        <f>CD$14*LossToLeasePct</f>
        <v/>
      </c>
      <c r="CE16" s="218">
        <f>CE$14*LossToLeasePct</f>
        <v/>
      </c>
      <c r="CF16" s="218">
        <f>CF$14*LossToLeasePct</f>
        <v/>
      </c>
      <c r="CG16" s="218">
        <f>CG$14*LossToLeasePct</f>
        <v/>
      </c>
      <c r="CH16" s="218">
        <f>CH$14*LossToLeasePct</f>
        <v/>
      </c>
      <c r="CI16" s="218">
        <f>CI$14*LossToLeasePct</f>
        <v/>
      </c>
      <c r="CJ16" s="218">
        <f>CJ$14*LossToLeasePct</f>
        <v/>
      </c>
      <c r="CK16" s="218">
        <f>CK$14*LossToLeasePct</f>
        <v/>
      </c>
      <c r="CL16" s="218">
        <f>CL$14*LossToLeasePct</f>
        <v/>
      </c>
      <c r="CM16" s="218">
        <f>CM$14*LossToLeasePct</f>
        <v/>
      </c>
      <c r="CN16" s="218">
        <f>CN$14*LossToLeasePct</f>
        <v/>
      </c>
      <c r="CO16" s="218">
        <f>CO$14*LossToLeasePct</f>
        <v/>
      </c>
      <c r="CP16" s="218">
        <f>CP$14*LossToLeasePct</f>
        <v/>
      </c>
      <c r="CQ16" s="218">
        <f>CQ$14*LossToLeasePct</f>
        <v/>
      </c>
      <c r="CR16" s="218">
        <f>CR$14*LossToLeasePct</f>
        <v/>
      </c>
      <c r="CS16" s="218">
        <f>CS$14*LossToLeasePct</f>
        <v/>
      </c>
      <c r="CT16" s="218">
        <f>CT$14*LossToLeasePct</f>
        <v/>
      </c>
      <c r="CU16" s="218">
        <f>CU$14*LossToLeasePct</f>
        <v/>
      </c>
      <c r="CV16" s="218">
        <f>CV$14*LossToLeasePct</f>
        <v/>
      </c>
      <c r="CW16" s="218">
        <f>CW$14*LossToLeasePct</f>
        <v/>
      </c>
      <c r="CX16" s="218">
        <f>CX$14*LossToLeasePct</f>
        <v/>
      </c>
      <c r="CY16" s="218">
        <f>CY$14*LossToLeasePct</f>
        <v/>
      </c>
      <c r="CZ16" s="218">
        <f>CZ$14*LossToLeasePct</f>
        <v/>
      </c>
      <c r="DA16" s="218">
        <f>DA$14*LossToLeasePct</f>
        <v/>
      </c>
      <c r="DB16" s="218">
        <f>DB$14*LossToLeasePct</f>
        <v/>
      </c>
      <c r="DC16" s="218">
        <f>DC$14*LossToLeasePct</f>
        <v/>
      </c>
      <c r="DD16" s="218">
        <f>DD$14*LossToLeasePct</f>
        <v/>
      </c>
      <c r="DE16" s="218">
        <f>DE$14*LossToLeasePct</f>
        <v/>
      </c>
      <c r="DF16" s="218">
        <f>DF$14*LossToLeasePct</f>
        <v/>
      </c>
      <c r="DG16" s="218">
        <f>DG$14*LossToLeasePct</f>
        <v/>
      </c>
      <c r="DH16" s="218">
        <f>DH$14*LossToLeasePct</f>
        <v/>
      </c>
      <c r="DI16" s="218">
        <f>DI$14*LossToLeasePct</f>
        <v/>
      </c>
      <c r="DJ16" s="218">
        <f>DJ$14*LossToLeasePct</f>
        <v/>
      </c>
      <c r="DK16" s="218">
        <f>DK$14*LossToLeasePct</f>
        <v/>
      </c>
      <c r="DL16" s="218">
        <f>DL$14*LossToLeasePct</f>
        <v/>
      </c>
      <c r="DM16" s="218">
        <f>DM$14*LossToLeasePct</f>
        <v/>
      </c>
      <c r="DN16" s="218">
        <f>DN$14*LossToLeasePct</f>
        <v/>
      </c>
      <c r="DO16" s="218">
        <f>DO$14*LossToLeasePct</f>
        <v/>
      </c>
      <c r="DP16" s="218">
        <f>DP$14*LossToLeasePct</f>
        <v/>
      </c>
      <c r="DQ16" s="218">
        <f>DQ$14*LossToLeasePct</f>
        <v/>
      </c>
      <c r="DR16" s="218">
        <f>DR$14*LossToLeasePct</f>
        <v/>
      </c>
      <c r="DS16" s="218">
        <f>DS$14*LossToLeasePct</f>
        <v/>
      </c>
      <c r="DT16" s="218">
        <f>DT$14*LossToLeasePct</f>
        <v/>
      </c>
      <c r="DU16" s="218">
        <f>DU$14*LossToLeasePct</f>
        <v/>
      </c>
      <c r="DV16" s="218">
        <f>DV$14*LossToLeasePct</f>
        <v/>
      </c>
      <c r="DW16" s="218">
        <f>DW$14*LossToLeasePct</f>
        <v/>
      </c>
      <c r="DX16" s="218">
        <f>DX$14*LossToLeasePct</f>
        <v/>
      </c>
      <c r="DY16" s="218">
        <f>DY$14*LossToLeasePct</f>
        <v/>
      </c>
      <c r="DZ16" s="218">
        <f>DZ$14*LossToLeasePct</f>
        <v/>
      </c>
      <c r="EA16" s="218">
        <f>EA$14*LossToLeasePct</f>
        <v/>
      </c>
      <c r="EB16" s="218">
        <f>EB$14*LossToLeasePct</f>
        <v/>
      </c>
      <c r="EC16" s="218">
        <f>EC$14*LossToLeasePct</f>
        <v/>
      </c>
      <c r="ED16" s="218">
        <f>ED$14*LossToLeasePct</f>
        <v/>
      </c>
      <c r="EE16" s="218">
        <f>EE$14*LossToLeasePct</f>
        <v/>
      </c>
      <c r="EF16" s="218">
        <f>EF$14*LossToLeasePct</f>
        <v/>
      </c>
      <c r="EG16" s="218">
        <f>EG$14*LossToLeasePct</f>
        <v/>
      </c>
      <c r="EH16" s="218">
        <f>EH$14*LossToLeasePct</f>
        <v/>
      </c>
      <c r="EI16" s="218">
        <f>EI$14*LossToLeasePct</f>
        <v/>
      </c>
      <c r="EJ16" s="218">
        <f>EJ$14*LossToLeasePct</f>
        <v/>
      </c>
      <c r="EK16" s="218">
        <f>EK$14*LossToLeasePct</f>
        <v/>
      </c>
      <c r="EL16" s="218">
        <f>EL$14*LossToLeasePct</f>
        <v/>
      </c>
      <c r="EM16" s="218">
        <f>EM$14*LossToLeasePct</f>
        <v/>
      </c>
      <c r="EN16" s="218">
        <f>EN$14*LossToLeasePct</f>
        <v/>
      </c>
      <c r="EO16" s="218">
        <f>EO$14*LossToLeasePct</f>
        <v/>
      </c>
      <c r="EP16" s="218">
        <f>EP$14*LossToLeasePct</f>
        <v/>
      </c>
      <c r="EQ16" s="218">
        <f>EQ$14*LossToLeasePct</f>
        <v/>
      </c>
      <c r="ER16" s="218">
        <f>ER$14*LossToLeasePct</f>
        <v/>
      </c>
      <c r="ES16" s="218">
        <f>ES$14*LossToLeasePct</f>
        <v/>
      </c>
      <c r="ET16" s="218">
        <f>ET$14*LossToLeasePct</f>
        <v/>
      </c>
      <c r="EU16" s="218">
        <f>EU$14*LossToLeasePct</f>
        <v/>
      </c>
      <c r="EV16" s="218">
        <f>EV$14*LossToLeasePct</f>
        <v/>
      </c>
      <c r="EW16" s="218">
        <f>EW$14*LossToLeasePct</f>
        <v/>
      </c>
      <c r="EX16" s="218">
        <f>EX$14*LossToLeasePct</f>
        <v/>
      </c>
      <c r="EY16" s="218">
        <f>EY$14*LossToLeasePct</f>
        <v/>
      </c>
      <c r="EZ16" s="218">
        <f>EZ$14*LossToLeasePct</f>
        <v/>
      </c>
      <c r="FA16" s="218">
        <f>FA$14*LossToLeasePct</f>
        <v/>
      </c>
      <c r="FB16" s="218">
        <f>FB$14*LossToLeasePct</f>
        <v/>
      </c>
      <c r="FC16" s="218">
        <f>FC$14*LossToLeasePct</f>
        <v/>
      </c>
      <c r="FD16" s="218">
        <f>FD$14*LossToLeasePct</f>
        <v/>
      </c>
      <c r="FE16" s="218">
        <f>FE$14*LossToLeasePct</f>
        <v/>
      </c>
      <c r="FF16" s="218">
        <f>FF$14*LossToLeasePct</f>
        <v/>
      </c>
      <c r="FG16" s="218">
        <f>FG$14*LossToLeasePct</f>
        <v/>
      </c>
      <c r="FH16" s="218">
        <f>FH$14*LossToLeasePct</f>
        <v/>
      </c>
      <c r="FI16" s="218">
        <f>FI$14*LossToLeasePct</f>
        <v/>
      </c>
      <c r="FJ16" s="218">
        <f>FJ$14*LossToLeasePct</f>
        <v/>
      </c>
      <c r="FK16" s="218">
        <f>FK$14*LossToLeasePct</f>
        <v/>
      </c>
      <c r="FL16" s="218">
        <f>FL$14*LossToLeasePct</f>
        <v/>
      </c>
      <c r="FM16" s="218">
        <f>FM$14*LossToLeasePct</f>
        <v/>
      </c>
      <c r="FN16" s="218">
        <f>FN$14*LossToLeasePct</f>
        <v/>
      </c>
      <c r="FO16" s="218">
        <f>FO$14*LossToLeasePct</f>
        <v/>
      </c>
      <c r="FP16" s="218">
        <f>FP$14*LossToLeasePct</f>
        <v/>
      </c>
      <c r="FQ16" s="218">
        <f>FQ$14*LossToLeasePct</f>
        <v/>
      </c>
      <c r="FR16" s="218">
        <f>FR$14*LossToLeasePct</f>
        <v/>
      </c>
      <c r="FS16" s="218">
        <f>FS$14*LossToLeasePct</f>
        <v/>
      </c>
      <c r="FT16" s="218">
        <f>FT$14*LossToLeasePct</f>
        <v/>
      </c>
      <c r="FU16" s="218">
        <f>FU$14*LossToLeasePct</f>
        <v/>
      </c>
      <c r="FV16" s="218">
        <f>FV$14*LossToLeasePct</f>
        <v/>
      </c>
      <c r="FW16" s="218">
        <f>FW$14*LossToLeasePct</f>
        <v/>
      </c>
      <c r="FX16" s="218">
        <f>FX$14*LossToLeasePct</f>
        <v/>
      </c>
      <c r="FY16" s="218">
        <f>FY$14*LossToLeasePct</f>
        <v/>
      </c>
      <c r="FZ16" s="218">
        <f>FZ$14*LossToLeasePct</f>
        <v/>
      </c>
      <c r="GA16" s="218">
        <f>GA$14*LossToLeasePct</f>
        <v/>
      </c>
      <c r="GB16" s="218">
        <f>GB$14*LossToLeasePct</f>
        <v/>
      </c>
      <c r="GC16" s="218">
        <f>GC$14*LossToLeasePct</f>
        <v/>
      </c>
      <c r="GD16" s="218">
        <f>GD$14*LossToLeasePct</f>
        <v/>
      </c>
      <c r="GE16" s="218">
        <f>GE$14*LossToLeasePct</f>
        <v/>
      </c>
      <c r="GF16" s="218">
        <f>GF$14*LossToLeasePct</f>
        <v/>
      </c>
      <c r="GG16" s="218">
        <f>GG$14*LossToLeasePct</f>
        <v/>
      </c>
      <c r="GH16" s="218">
        <f>GH$14*LossToLeasePct</f>
        <v/>
      </c>
      <c r="GI16" s="218">
        <f>GI$14*LossToLeasePct</f>
        <v/>
      </c>
      <c r="GJ16" s="218">
        <f>GJ$14*LossToLeasePct</f>
        <v/>
      </c>
      <c r="GK16" s="218">
        <f>GK$14*LossToLeasePct</f>
        <v/>
      </c>
      <c r="GL16" s="218">
        <f>GL$14*LossToLeasePct</f>
        <v/>
      </c>
      <c r="GM16" s="218">
        <f>GM$14*LossToLeasePct</f>
        <v/>
      </c>
      <c r="GN16" s="218">
        <f>GN$14*LossToLeasePct</f>
        <v/>
      </c>
      <c r="GO16" s="218">
        <f>GO$14*LossToLeasePct</f>
        <v/>
      </c>
      <c r="GP16" s="218">
        <f>GP$14*LossToLeasePct</f>
        <v/>
      </c>
      <c r="GQ16" s="218">
        <f>GQ$14*LossToLeasePct</f>
        <v/>
      </c>
      <c r="GR16" s="218">
        <f>GR$14*LossToLeasePct</f>
        <v/>
      </c>
      <c r="GS16" s="218">
        <f>GS$14*LossToLeasePct</f>
        <v/>
      </c>
      <c r="GT16" s="218">
        <f>GT$14*LossToLeasePct</f>
        <v/>
      </c>
      <c r="GU16" s="218">
        <f>GU$14*LossToLeasePct</f>
        <v/>
      </c>
      <c r="GV16" s="218">
        <f>GV$14*LossToLeasePct</f>
        <v/>
      </c>
      <c r="GW16" s="218">
        <f>GW$14*LossToLeasePct</f>
        <v/>
      </c>
      <c r="GX16" s="218">
        <f>GX$14*LossToLeasePct</f>
        <v/>
      </c>
      <c r="GY16" s="218">
        <f>GY$14*LossToLeasePct</f>
        <v/>
      </c>
      <c r="GZ16" s="218">
        <f>GZ$14*LossToLeasePct</f>
        <v/>
      </c>
      <c r="HA16" s="218">
        <f>HA$14*LossToLeasePct</f>
        <v/>
      </c>
      <c r="HB16" s="218">
        <f>HB$14*LossToLeasePct</f>
        <v/>
      </c>
      <c r="HC16" s="218">
        <f>HC$14*LossToLeasePct</f>
        <v/>
      </c>
      <c r="HD16" s="218">
        <f>HD$14*LossToLeasePct</f>
        <v/>
      </c>
      <c r="HE16" s="218">
        <f>HE$14*LossToLeasePct</f>
        <v/>
      </c>
      <c r="HF16" s="218">
        <f>HF$14*LossToLeasePct</f>
        <v/>
      </c>
      <c r="HG16" s="218">
        <f>HG$14*LossToLeasePct</f>
        <v/>
      </c>
      <c r="HH16" s="218">
        <f>HH$14*LossToLeasePct</f>
        <v/>
      </c>
      <c r="HI16" s="218">
        <f>HI$14*LossToLeasePct</f>
        <v/>
      </c>
      <c r="HJ16" s="218">
        <f>HJ$14*LossToLeasePct</f>
        <v/>
      </c>
      <c r="HK16" s="218">
        <f>HK$14*LossToLeasePct</f>
        <v/>
      </c>
      <c r="HL16" s="218">
        <f>HL$14*LossToLeasePct</f>
        <v/>
      </c>
      <c r="HM16" s="218">
        <f>HM$14*LossToLeasePct</f>
        <v/>
      </c>
      <c r="HN16" s="218">
        <f>HN$14*LossToLeasePct</f>
        <v/>
      </c>
      <c r="HO16" s="218">
        <f>HO$14*LossToLeasePct</f>
        <v/>
      </c>
      <c r="HP16" s="218">
        <f>HP$14*LossToLeasePct</f>
        <v/>
      </c>
      <c r="HQ16" s="218">
        <f>HQ$14*LossToLeasePct</f>
        <v/>
      </c>
      <c r="HR16" s="218">
        <f>HR$14*LossToLeasePct</f>
        <v/>
      </c>
      <c r="HS16" s="218">
        <f>HS$14*LossToLeasePct</f>
        <v/>
      </c>
      <c r="HT16" s="218">
        <f>HT$14*LossToLeasePct</f>
        <v/>
      </c>
      <c r="HU16" s="218">
        <f>HU$14*LossToLeasePct</f>
        <v/>
      </c>
      <c r="HV16" s="218">
        <f>HV$14*LossToLeasePct</f>
        <v/>
      </c>
      <c r="HW16" s="218">
        <f>HW$14*LossToLeasePct</f>
        <v/>
      </c>
      <c r="HX16" s="218">
        <f>HX$14*LossToLeasePct</f>
        <v/>
      </c>
      <c r="HY16" s="218">
        <f>HY$14*LossToLeasePct</f>
        <v/>
      </c>
      <c r="HZ16" s="218">
        <f>HZ$14*LossToLeasePct</f>
        <v/>
      </c>
      <c r="IA16" s="218">
        <f>IA$14*LossToLeasePct</f>
        <v/>
      </c>
      <c r="IB16" s="218">
        <f>IB$14*LossToLeasePct</f>
        <v/>
      </c>
      <c r="IC16" s="218">
        <f>IC$14*LossToLeasePct</f>
        <v/>
      </c>
      <c r="ID16" s="218">
        <f>ID$14*LossToLeasePct</f>
        <v/>
      </c>
      <c r="IE16" s="218">
        <f>IE$14*LossToLeasePct</f>
        <v/>
      </c>
      <c r="IF16" s="218">
        <f>IF$14*LossToLeasePct</f>
        <v/>
      </c>
      <c r="IG16" s="218">
        <f>IG$14*LossToLeasePct</f>
        <v/>
      </c>
      <c r="IH16" s="218">
        <f>IH$14*LossToLeasePct</f>
        <v/>
      </c>
      <c r="II16" s="218">
        <f>II$14*LossToLeasePct</f>
        <v/>
      </c>
      <c r="IJ16" s="218">
        <f>IJ$14*LossToLeasePct</f>
        <v/>
      </c>
      <c r="IK16" s="218">
        <f>IK$14*LossToLeasePct</f>
        <v/>
      </c>
      <c r="IL16" s="218">
        <f>IL$14*LossToLeasePct</f>
        <v/>
      </c>
      <c r="IM16" s="218">
        <f>IM$14*LossToLeasePct</f>
        <v/>
      </c>
      <c r="IN16" s="218">
        <f>IN$14*LossToLeasePct</f>
        <v/>
      </c>
      <c r="IO16" s="218">
        <f>IO$14*LossToLeasePct</f>
        <v/>
      </c>
      <c r="IP16" s="218">
        <f>IP$14*LossToLeasePct</f>
        <v/>
      </c>
      <c r="IQ16" s="218">
        <f>IQ$14*LossToLeasePct</f>
        <v/>
      </c>
      <c r="IR16" s="218">
        <f>IR$14*LossToLeasePct</f>
        <v/>
      </c>
      <c r="IS16" s="218">
        <f>IS$14*LossToLeasePct</f>
        <v/>
      </c>
      <c r="IT16" s="218">
        <f>IT$14*LossToLeasePct</f>
        <v/>
      </c>
      <c r="IU16" s="218">
        <f>IU$14*LossToLeasePct</f>
        <v/>
      </c>
      <c r="IV16" s="218">
        <f>IV$14*LossToLeasePct</f>
        <v/>
      </c>
      <c r="IW16" s="218">
        <f>IW$14*LossToLeasePct</f>
        <v/>
      </c>
      <c r="IX16" s="218">
        <f>IX$14*LossToLeasePct</f>
        <v/>
      </c>
      <c r="IY16" s="218">
        <f>IY$14*LossToLeasePct</f>
        <v/>
      </c>
      <c r="IZ16" s="218">
        <f>IZ$14*LossToLeasePct</f>
        <v/>
      </c>
      <c r="JA16" s="218">
        <f>JA$14*LossToLeasePct</f>
        <v/>
      </c>
      <c r="JB16" s="218">
        <f>JB$14*LossToLeasePct</f>
        <v/>
      </c>
      <c r="JC16" s="218">
        <f>JC$14*LossToLeasePct</f>
        <v/>
      </c>
      <c r="JD16" s="218">
        <f>JD$14*LossToLeasePct</f>
        <v/>
      </c>
      <c r="JE16" s="218">
        <f>JE$14*LossToLeasePct</f>
        <v/>
      </c>
      <c r="JF16" s="218">
        <f>JF$14*LossToLeasePct</f>
        <v/>
      </c>
      <c r="JG16" s="218">
        <f>JG$14*LossToLeasePct</f>
        <v/>
      </c>
      <c r="JH16" s="218">
        <f>JH$14*LossToLeasePct</f>
        <v/>
      </c>
      <c r="JI16" s="218">
        <f>JI$14*LossToLeasePct</f>
        <v/>
      </c>
      <c r="JJ16" s="218">
        <f>JJ$14*LossToLeasePct</f>
        <v/>
      </c>
      <c r="JK16" s="218">
        <f>JK$14*LossToLeasePct</f>
        <v/>
      </c>
      <c r="JL16" s="218">
        <f>JL$14*LossToLeasePct</f>
        <v/>
      </c>
      <c r="JM16" s="218">
        <f>JM$14*LossToLeasePct</f>
        <v/>
      </c>
      <c r="JN16" s="218">
        <f>JN$14*LossToLeasePct</f>
        <v/>
      </c>
      <c r="JO16" s="218">
        <f>JO$14*LossToLeasePct</f>
        <v/>
      </c>
      <c r="JP16" s="218">
        <f>JP$14*LossToLeasePct</f>
        <v/>
      </c>
      <c r="JQ16" s="218">
        <f>JQ$14*LossToLeasePct</f>
        <v/>
      </c>
      <c r="JR16" s="218">
        <f>JR$14*LossToLeasePct</f>
        <v/>
      </c>
      <c r="JS16" s="218">
        <f>JS$14*LossToLeasePct</f>
        <v/>
      </c>
      <c r="JT16" s="218">
        <f>JT$14*LossToLeasePct</f>
        <v/>
      </c>
      <c r="JU16" s="218">
        <f>JU$14*LossToLeasePct</f>
        <v/>
      </c>
      <c r="JV16" s="218">
        <f>JV$14*LossToLeasePct</f>
        <v/>
      </c>
      <c r="JW16" s="218">
        <f>JW$14*LossToLeasePct</f>
        <v/>
      </c>
      <c r="JX16" s="218">
        <f>JX$14*LossToLeasePct</f>
        <v/>
      </c>
      <c r="JY16" s="218">
        <f>JY$14*LossToLeasePct</f>
        <v/>
      </c>
      <c r="JZ16" s="218">
        <f>JZ$14*LossToLeasePct</f>
        <v/>
      </c>
      <c r="KA16" s="218">
        <f>KA$14*LossToLeasePct</f>
        <v/>
      </c>
      <c r="KB16" s="218">
        <f>KB$14*LossToLeasePct</f>
        <v/>
      </c>
      <c r="KC16" s="218">
        <f>KC$14*LossToLeasePct</f>
        <v/>
      </c>
      <c r="KD16" s="218">
        <f>KD$14*LossToLeasePct</f>
        <v/>
      </c>
      <c r="KE16" s="218">
        <f>KE$14*LossToLeasePct</f>
        <v/>
      </c>
      <c r="KF16" s="218">
        <f>KF$14*LossToLeasePct</f>
        <v/>
      </c>
      <c r="KG16" s="218">
        <f>KG$14*LossToLeasePct</f>
        <v/>
      </c>
      <c r="KH16" s="218">
        <f>KH$14*LossToLeasePct</f>
        <v/>
      </c>
      <c r="KI16" s="218">
        <f>KI$14*LossToLeasePct</f>
        <v/>
      </c>
      <c r="KJ16" s="218">
        <f>KJ$14*LossToLeasePct</f>
        <v/>
      </c>
      <c r="KK16" s="218">
        <f>KK$14*LossToLeasePct</f>
        <v/>
      </c>
      <c r="KL16" s="218">
        <f>KL$14*LossToLeasePct</f>
        <v/>
      </c>
      <c r="KM16" s="218">
        <f>KM$14*LossToLeasePct</f>
        <v/>
      </c>
      <c r="KN16" s="218">
        <f>KN$14*LossToLeasePct</f>
        <v/>
      </c>
      <c r="KO16" s="218">
        <f>KO$14*LossToLeasePct</f>
        <v/>
      </c>
      <c r="KP16" s="218">
        <f>KP$14*LossToLeasePct</f>
        <v/>
      </c>
      <c r="KQ16" s="218">
        <f>KQ$14*LossToLeasePct</f>
        <v/>
      </c>
      <c r="KR16" s="218">
        <f>KR$14*LossToLeasePct</f>
        <v/>
      </c>
      <c r="KS16" s="218">
        <f>KS$14*LossToLeasePct</f>
        <v/>
      </c>
      <c r="KT16" s="218">
        <f>KT$14*LossToLeasePct</f>
        <v/>
      </c>
      <c r="KU16" s="218">
        <f>KU$14*LossToLeasePct</f>
        <v/>
      </c>
      <c r="KV16" s="218">
        <f>KV$14*LossToLeasePct</f>
        <v/>
      </c>
      <c r="KW16" s="218">
        <f>KW$14*LossToLeasePct</f>
        <v/>
      </c>
      <c r="KX16" s="218">
        <f>KX$14*LossToLeasePct</f>
        <v/>
      </c>
      <c r="KY16" s="218">
        <f>KY$14*LossToLeasePct</f>
        <v/>
      </c>
      <c r="KZ16" s="218">
        <f>KZ$14*LossToLeasePct</f>
        <v/>
      </c>
      <c r="LA16" s="218">
        <f>LA$14*LossToLeasePct</f>
        <v/>
      </c>
      <c r="LB16" s="218">
        <f>LB$14*LossToLeasePct</f>
        <v/>
      </c>
      <c r="LC16" s="218">
        <f>LC$14*LossToLeasePct</f>
        <v/>
      </c>
      <c r="LD16" s="218">
        <f>LD$14*LossToLeasePct</f>
        <v/>
      </c>
      <c r="LE16" s="218">
        <f>LE$14*LossToLeasePct</f>
        <v/>
      </c>
      <c r="LF16" s="218">
        <f>LF$14*LossToLeasePct</f>
        <v/>
      </c>
      <c r="LG16" s="218">
        <f>LG$14*LossToLeasePct</f>
        <v/>
      </c>
      <c r="LH16" s="218">
        <f>LH$14*LossToLeasePct</f>
        <v/>
      </c>
      <c r="LI16" s="218">
        <f>LI$14*LossToLeasePct</f>
        <v/>
      </c>
      <c r="LJ16" s="218">
        <f>LJ$14*LossToLeasePct</f>
        <v/>
      </c>
      <c r="LK16" s="218">
        <f>LK$14*LossToLeasePct</f>
        <v/>
      </c>
      <c r="LL16" s="218">
        <f>LL$14*LossToLeasePct</f>
        <v/>
      </c>
      <c r="LM16" s="218">
        <f>LM$14*LossToLeasePct</f>
        <v/>
      </c>
      <c r="LN16" s="218">
        <f>LN$14*LossToLeasePct</f>
        <v/>
      </c>
      <c r="LO16" s="218">
        <f>LO$14*LossToLeasePct</f>
        <v/>
      </c>
      <c r="LP16" s="218">
        <f>LP$14*LossToLeasePct</f>
        <v/>
      </c>
      <c r="LQ16" s="218">
        <f>LQ$14*LossToLeasePct</f>
        <v/>
      </c>
      <c r="LR16" s="218">
        <f>LR$14*LossToLeasePct</f>
        <v/>
      </c>
      <c r="LS16" s="218">
        <f>LS$14*LossToLeasePct</f>
        <v/>
      </c>
      <c r="LT16" s="218">
        <f>LT$14*LossToLeasePct</f>
        <v/>
      </c>
      <c r="LU16" s="218">
        <f>LU$14*LossToLeasePct</f>
        <v/>
      </c>
      <c r="LV16" s="218">
        <f>LV$14*LossToLeasePct</f>
        <v/>
      </c>
      <c r="LW16" s="218">
        <f>LW$14*LossToLeasePct</f>
        <v/>
      </c>
      <c r="LX16" s="218">
        <f>LX$14*LossToLeasePct</f>
        <v/>
      </c>
      <c r="LY16" s="218">
        <f>LY$14*LossToLeasePct</f>
        <v/>
      </c>
      <c r="LZ16" s="218">
        <f>LZ$14*LossToLeasePct</f>
        <v/>
      </c>
      <c r="MA16" s="218">
        <f>MA$14*LossToLeasePct</f>
        <v/>
      </c>
      <c r="MB16" s="218">
        <f>MB$14*LossToLeasePct</f>
        <v/>
      </c>
      <c r="MC16" s="218">
        <f>MC$14*LossToLeasePct</f>
        <v/>
      </c>
      <c r="MD16" s="218">
        <f>MD$14*LossToLeasePct</f>
        <v/>
      </c>
      <c r="ME16" s="218">
        <f>ME$14*LossToLeasePct</f>
        <v/>
      </c>
      <c r="MF16" s="218">
        <f>MF$14*LossToLeasePct</f>
        <v/>
      </c>
      <c r="MG16" s="218">
        <f>MG$14*LossToLeasePct</f>
        <v/>
      </c>
      <c r="MH16" s="218">
        <f>MH$14*LossToLeasePct</f>
        <v/>
      </c>
      <c r="MI16" s="218">
        <f>MI$14*LossToLeasePct</f>
        <v/>
      </c>
      <c r="MJ16" s="218">
        <f>MJ$14*LossToLeasePct</f>
        <v/>
      </c>
      <c r="MK16" s="218">
        <f>MK$14*LossToLeasePct</f>
        <v/>
      </c>
      <c r="ML16" s="218">
        <f>ML$14*LossToLeasePct</f>
        <v/>
      </c>
      <c r="MM16" s="218">
        <f>MM$14*LossToLeasePct</f>
        <v/>
      </c>
      <c r="MN16" s="218">
        <f>MN$14*LossToLeasePct</f>
        <v/>
      </c>
      <c r="MO16" s="218">
        <f>MO$14*LossToLeasePct</f>
        <v/>
      </c>
      <c r="MP16" s="218">
        <f>MP$14*LossToLeasePct</f>
        <v/>
      </c>
      <c r="MQ16" s="218">
        <f>MQ$14*LossToLeasePct</f>
        <v/>
      </c>
      <c r="MR16" s="218">
        <f>MR$14*LossToLeasePct</f>
        <v/>
      </c>
      <c r="MS16" s="218">
        <f>MS$14*LossToLeasePct</f>
        <v/>
      </c>
      <c r="MT16" s="218">
        <f>MT$14*LossToLeasePct</f>
        <v/>
      </c>
      <c r="MU16" s="218">
        <f>MU$14*LossToLeasePct</f>
        <v/>
      </c>
      <c r="MV16" s="218">
        <f>MV$14*LossToLeasePct</f>
        <v/>
      </c>
      <c r="MW16" s="218">
        <f>MW$14*LossToLeasePct</f>
        <v/>
      </c>
      <c r="MX16" s="218">
        <f>MX$14*LossToLeasePct</f>
        <v/>
      </c>
      <c r="MY16" s="218">
        <f>MY$14*LossToLeasePct</f>
        <v/>
      </c>
      <c r="MZ16" s="218">
        <f>MZ$14*LossToLeasePct</f>
        <v/>
      </c>
      <c r="NA16" s="218">
        <f>NA$14*LossToLeasePct</f>
        <v/>
      </c>
      <c r="NB16" s="218">
        <f>NB$14*LossToLeasePct</f>
        <v/>
      </c>
      <c r="NC16" s="218">
        <f>NC$14*LossToLeasePct</f>
        <v/>
      </c>
      <c r="ND16" s="218">
        <f>ND$14*LossToLeasePct</f>
        <v/>
      </c>
      <c r="NE16" s="218">
        <f>NE$14*LossToLeasePct</f>
        <v/>
      </c>
      <c r="NF16" s="218">
        <f>NF$14*LossToLeasePct</f>
        <v/>
      </c>
      <c r="NG16" s="218">
        <f>NG$14*LossToLeasePct</f>
        <v/>
      </c>
      <c r="NH16" s="218">
        <f>NH$14*LossToLeasePct</f>
        <v/>
      </c>
      <c r="NI16" s="218">
        <f>NI$14*LossToLeasePct</f>
        <v/>
      </c>
      <c r="NJ16" s="218">
        <f>NJ$14*LossToLeasePct</f>
        <v/>
      </c>
      <c r="NK16" s="218">
        <f>NK$14*LossToLeasePct</f>
        <v/>
      </c>
      <c r="NL16" s="225">
        <f>NL$14*LossToLeasePct</f>
        <v/>
      </c>
    </row>
    <row r="17">
      <c r="B17" s="36" t="inlineStr">
        <is>
          <t>Bad Debt</t>
        </is>
      </c>
      <c r="D17" s="266">
        <f>SUM(E17:NL17)</f>
        <v/>
      </c>
      <c r="E17" s="218">
        <f>E$14*BadDebtPct</f>
        <v/>
      </c>
      <c r="F17" s="218">
        <f>F$14*BadDebtPct</f>
        <v/>
      </c>
      <c r="G17" s="218">
        <f>G$14*BadDebtPct</f>
        <v/>
      </c>
      <c r="H17" s="218">
        <f>H$14*BadDebtPct</f>
        <v/>
      </c>
      <c r="I17" s="218">
        <f>I$14*BadDebtPct</f>
        <v/>
      </c>
      <c r="J17" s="218">
        <f>J$14*BadDebtPct</f>
        <v/>
      </c>
      <c r="K17" s="218">
        <f>K$14*BadDebtPct</f>
        <v/>
      </c>
      <c r="L17" s="218">
        <f>L$14*BadDebtPct</f>
        <v/>
      </c>
      <c r="M17" s="218">
        <f>M$14*BadDebtPct</f>
        <v/>
      </c>
      <c r="N17" s="218">
        <f>N$14*BadDebtPct</f>
        <v/>
      </c>
      <c r="O17" s="218">
        <f>O$14*BadDebtPct</f>
        <v/>
      </c>
      <c r="P17" s="218">
        <f>P$14*BadDebtPct</f>
        <v/>
      </c>
      <c r="Q17" s="218">
        <f>Q$14*BadDebtPct</f>
        <v/>
      </c>
      <c r="R17" s="218">
        <f>R$14*BadDebtPct</f>
        <v/>
      </c>
      <c r="S17" s="218">
        <f>S$14*BadDebtPct</f>
        <v/>
      </c>
      <c r="T17" s="218">
        <f>T$14*BadDebtPct</f>
        <v/>
      </c>
      <c r="U17" s="218">
        <f>U$14*BadDebtPct</f>
        <v/>
      </c>
      <c r="V17" s="218">
        <f>V$14*BadDebtPct</f>
        <v/>
      </c>
      <c r="W17" s="218">
        <f>W$14*BadDebtPct</f>
        <v/>
      </c>
      <c r="X17" s="218">
        <f>X$14*BadDebtPct</f>
        <v/>
      </c>
      <c r="Y17" s="218">
        <f>Y$14*BadDebtPct</f>
        <v/>
      </c>
      <c r="Z17" s="218">
        <f>Z$14*BadDebtPct</f>
        <v/>
      </c>
      <c r="AA17" s="218">
        <f>AA$14*BadDebtPct</f>
        <v/>
      </c>
      <c r="AB17" s="218">
        <f>AB$14*BadDebtPct</f>
        <v/>
      </c>
      <c r="AC17" s="218">
        <f>AC$14*BadDebtPct</f>
        <v/>
      </c>
      <c r="AD17" s="218">
        <f>AD$14*BadDebtPct</f>
        <v/>
      </c>
      <c r="AE17" s="218">
        <f>AE$14*BadDebtPct</f>
        <v/>
      </c>
      <c r="AF17" s="218">
        <f>AF$14*BadDebtPct</f>
        <v/>
      </c>
      <c r="AG17" s="218">
        <f>AG$14*BadDebtPct</f>
        <v/>
      </c>
      <c r="AH17" s="218">
        <f>AH$14*BadDebtPct</f>
        <v/>
      </c>
      <c r="AI17" s="218">
        <f>AI$14*BadDebtPct</f>
        <v/>
      </c>
      <c r="AJ17" s="218">
        <f>AJ$14*BadDebtPct</f>
        <v/>
      </c>
      <c r="AK17" s="218">
        <f>AK$14*BadDebtPct</f>
        <v/>
      </c>
      <c r="AL17" s="218">
        <f>AL$14*BadDebtPct</f>
        <v/>
      </c>
      <c r="AM17" s="218">
        <f>AM$14*BadDebtPct</f>
        <v/>
      </c>
      <c r="AN17" s="218">
        <f>AN$14*BadDebtPct</f>
        <v/>
      </c>
      <c r="AO17" s="218">
        <f>AO$14*BadDebtPct</f>
        <v/>
      </c>
      <c r="AP17" s="218">
        <f>AP$14*BadDebtPct</f>
        <v/>
      </c>
      <c r="AQ17" s="218">
        <f>AQ$14*BadDebtPct</f>
        <v/>
      </c>
      <c r="AR17" s="218">
        <f>AR$14*BadDebtPct</f>
        <v/>
      </c>
      <c r="AS17" s="218">
        <f>AS$14*BadDebtPct</f>
        <v/>
      </c>
      <c r="AT17" s="218">
        <f>AT$14*BadDebtPct</f>
        <v/>
      </c>
      <c r="AU17" s="218">
        <f>AU$14*BadDebtPct</f>
        <v/>
      </c>
      <c r="AV17" s="218">
        <f>AV$14*BadDebtPct</f>
        <v/>
      </c>
      <c r="AW17" s="218">
        <f>AW$14*BadDebtPct</f>
        <v/>
      </c>
      <c r="AX17" s="218">
        <f>AX$14*BadDebtPct</f>
        <v/>
      </c>
      <c r="AY17" s="218">
        <f>AY$14*BadDebtPct</f>
        <v/>
      </c>
      <c r="AZ17" s="218">
        <f>AZ$14*BadDebtPct</f>
        <v/>
      </c>
      <c r="BA17" s="218">
        <f>BA$14*BadDebtPct</f>
        <v/>
      </c>
      <c r="BB17" s="218">
        <f>BB$14*BadDebtPct</f>
        <v/>
      </c>
      <c r="BC17" s="218">
        <f>BC$14*BadDebtPct</f>
        <v/>
      </c>
      <c r="BD17" s="218">
        <f>BD$14*BadDebtPct</f>
        <v/>
      </c>
      <c r="BE17" s="218">
        <f>BE$14*BadDebtPct</f>
        <v/>
      </c>
      <c r="BF17" s="218">
        <f>BF$14*BadDebtPct</f>
        <v/>
      </c>
      <c r="BG17" s="218">
        <f>BG$14*BadDebtPct</f>
        <v/>
      </c>
      <c r="BH17" s="218">
        <f>BH$14*BadDebtPct</f>
        <v/>
      </c>
      <c r="BI17" s="218">
        <f>BI$14*BadDebtPct</f>
        <v/>
      </c>
      <c r="BJ17" s="218">
        <f>BJ$14*BadDebtPct</f>
        <v/>
      </c>
      <c r="BK17" s="218">
        <f>BK$14*BadDebtPct</f>
        <v/>
      </c>
      <c r="BL17" s="218">
        <f>BL$14*BadDebtPct</f>
        <v/>
      </c>
      <c r="BM17" s="218">
        <f>BM$14*BadDebtPct</f>
        <v/>
      </c>
      <c r="BN17" s="218">
        <f>BN$14*BadDebtPct</f>
        <v/>
      </c>
      <c r="BO17" s="218">
        <f>BO$14*BadDebtPct</f>
        <v/>
      </c>
      <c r="BP17" s="218">
        <f>BP$14*BadDebtPct</f>
        <v/>
      </c>
      <c r="BQ17" s="218">
        <f>BQ$14*BadDebtPct</f>
        <v/>
      </c>
      <c r="BR17" s="218">
        <f>BR$14*BadDebtPct</f>
        <v/>
      </c>
      <c r="BS17" s="218">
        <f>BS$14*BadDebtPct</f>
        <v/>
      </c>
      <c r="BT17" s="218">
        <f>BT$14*BadDebtPct</f>
        <v/>
      </c>
      <c r="BU17" s="218">
        <f>BU$14*BadDebtPct</f>
        <v/>
      </c>
      <c r="BV17" s="218">
        <f>BV$14*BadDebtPct</f>
        <v/>
      </c>
      <c r="BW17" s="218">
        <f>BW$14*BadDebtPct</f>
        <v/>
      </c>
      <c r="BX17" s="218">
        <f>BX$14*BadDebtPct</f>
        <v/>
      </c>
      <c r="BY17" s="218">
        <f>BY$14*BadDebtPct</f>
        <v/>
      </c>
      <c r="BZ17" s="218">
        <f>BZ$14*BadDebtPct</f>
        <v/>
      </c>
      <c r="CA17" s="218">
        <f>CA$14*BadDebtPct</f>
        <v/>
      </c>
      <c r="CB17" s="218">
        <f>CB$14*BadDebtPct</f>
        <v/>
      </c>
      <c r="CC17" s="218">
        <f>CC$14*BadDebtPct</f>
        <v/>
      </c>
      <c r="CD17" s="218">
        <f>CD$14*BadDebtPct</f>
        <v/>
      </c>
      <c r="CE17" s="218">
        <f>CE$14*BadDebtPct</f>
        <v/>
      </c>
      <c r="CF17" s="218">
        <f>CF$14*BadDebtPct</f>
        <v/>
      </c>
      <c r="CG17" s="218">
        <f>CG$14*BadDebtPct</f>
        <v/>
      </c>
      <c r="CH17" s="218">
        <f>CH$14*BadDebtPct</f>
        <v/>
      </c>
      <c r="CI17" s="218">
        <f>CI$14*BadDebtPct</f>
        <v/>
      </c>
      <c r="CJ17" s="218">
        <f>CJ$14*BadDebtPct</f>
        <v/>
      </c>
      <c r="CK17" s="218">
        <f>CK$14*BadDebtPct</f>
        <v/>
      </c>
      <c r="CL17" s="218">
        <f>CL$14*BadDebtPct</f>
        <v/>
      </c>
      <c r="CM17" s="218">
        <f>CM$14*BadDebtPct</f>
        <v/>
      </c>
      <c r="CN17" s="218">
        <f>CN$14*BadDebtPct</f>
        <v/>
      </c>
      <c r="CO17" s="218">
        <f>CO$14*BadDebtPct</f>
        <v/>
      </c>
      <c r="CP17" s="218">
        <f>CP$14*BadDebtPct</f>
        <v/>
      </c>
      <c r="CQ17" s="218">
        <f>CQ$14*BadDebtPct</f>
        <v/>
      </c>
      <c r="CR17" s="218">
        <f>CR$14*BadDebtPct</f>
        <v/>
      </c>
      <c r="CS17" s="218">
        <f>CS$14*BadDebtPct</f>
        <v/>
      </c>
      <c r="CT17" s="218">
        <f>CT$14*BadDebtPct</f>
        <v/>
      </c>
      <c r="CU17" s="218">
        <f>CU$14*BadDebtPct</f>
        <v/>
      </c>
      <c r="CV17" s="218">
        <f>CV$14*BadDebtPct</f>
        <v/>
      </c>
      <c r="CW17" s="218">
        <f>CW$14*BadDebtPct</f>
        <v/>
      </c>
      <c r="CX17" s="218">
        <f>CX$14*BadDebtPct</f>
        <v/>
      </c>
      <c r="CY17" s="218">
        <f>CY$14*BadDebtPct</f>
        <v/>
      </c>
      <c r="CZ17" s="218">
        <f>CZ$14*BadDebtPct</f>
        <v/>
      </c>
      <c r="DA17" s="218">
        <f>DA$14*BadDebtPct</f>
        <v/>
      </c>
      <c r="DB17" s="218">
        <f>DB$14*BadDebtPct</f>
        <v/>
      </c>
      <c r="DC17" s="218">
        <f>DC$14*BadDebtPct</f>
        <v/>
      </c>
      <c r="DD17" s="218">
        <f>DD$14*BadDebtPct</f>
        <v/>
      </c>
      <c r="DE17" s="218">
        <f>DE$14*BadDebtPct</f>
        <v/>
      </c>
      <c r="DF17" s="218">
        <f>DF$14*BadDebtPct</f>
        <v/>
      </c>
      <c r="DG17" s="218">
        <f>DG$14*BadDebtPct</f>
        <v/>
      </c>
      <c r="DH17" s="218">
        <f>DH$14*BadDebtPct</f>
        <v/>
      </c>
      <c r="DI17" s="218">
        <f>DI$14*BadDebtPct</f>
        <v/>
      </c>
      <c r="DJ17" s="218">
        <f>DJ$14*BadDebtPct</f>
        <v/>
      </c>
      <c r="DK17" s="218">
        <f>DK$14*BadDebtPct</f>
        <v/>
      </c>
      <c r="DL17" s="218">
        <f>DL$14*BadDebtPct</f>
        <v/>
      </c>
      <c r="DM17" s="218">
        <f>DM$14*BadDebtPct</f>
        <v/>
      </c>
      <c r="DN17" s="218">
        <f>DN$14*BadDebtPct</f>
        <v/>
      </c>
      <c r="DO17" s="218">
        <f>DO$14*BadDebtPct</f>
        <v/>
      </c>
      <c r="DP17" s="218">
        <f>DP$14*BadDebtPct</f>
        <v/>
      </c>
      <c r="DQ17" s="218">
        <f>DQ$14*BadDebtPct</f>
        <v/>
      </c>
      <c r="DR17" s="218">
        <f>DR$14*BadDebtPct</f>
        <v/>
      </c>
      <c r="DS17" s="218">
        <f>DS$14*BadDebtPct</f>
        <v/>
      </c>
      <c r="DT17" s="218">
        <f>DT$14*BadDebtPct</f>
        <v/>
      </c>
      <c r="DU17" s="218">
        <f>DU$14*BadDebtPct</f>
        <v/>
      </c>
      <c r="DV17" s="218">
        <f>DV$14*BadDebtPct</f>
        <v/>
      </c>
      <c r="DW17" s="218">
        <f>DW$14*BadDebtPct</f>
        <v/>
      </c>
      <c r="DX17" s="218">
        <f>DX$14*BadDebtPct</f>
        <v/>
      </c>
      <c r="DY17" s="218">
        <f>DY$14*BadDebtPct</f>
        <v/>
      </c>
      <c r="DZ17" s="218">
        <f>DZ$14*BadDebtPct</f>
        <v/>
      </c>
      <c r="EA17" s="218">
        <f>EA$14*BadDebtPct</f>
        <v/>
      </c>
      <c r="EB17" s="218">
        <f>EB$14*BadDebtPct</f>
        <v/>
      </c>
      <c r="EC17" s="218">
        <f>EC$14*BadDebtPct</f>
        <v/>
      </c>
      <c r="ED17" s="218">
        <f>ED$14*BadDebtPct</f>
        <v/>
      </c>
      <c r="EE17" s="218">
        <f>EE$14*BadDebtPct</f>
        <v/>
      </c>
      <c r="EF17" s="218">
        <f>EF$14*BadDebtPct</f>
        <v/>
      </c>
      <c r="EG17" s="218">
        <f>EG$14*BadDebtPct</f>
        <v/>
      </c>
      <c r="EH17" s="218">
        <f>EH$14*BadDebtPct</f>
        <v/>
      </c>
      <c r="EI17" s="218">
        <f>EI$14*BadDebtPct</f>
        <v/>
      </c>
      <c r="EJ17" s="218">
        <f>EJ$14*BadDebtPct</f>
        <v/>
      </c>
      <c r="EK17" s="218">
        <f>EK$14*BadDebtPct</f>
        <v/>
      </c>
      <c r="EL17" s="218">
        <f>EL$14*BadDebtPct</f>
        <v/>
      </c>
      <c r="EM17" s="218">
        <f>EM$14*BadDebtPct</f>
        <v/>
      </c>
      <c r="EN17" s="218">
        <f>EN$14*BadDebtPct</f>
        <v/>
      </c>
      <c r="EO17" s="218">
        <f>EO$14*BadDebtPct</f>
        <v/>
      </c>
      <c r="EP17" s="218">
        <f>EP$14*BadDebtPct</f>
        <v/>
      </c>
      <c r="EQ17" s="218">
        <f>EQ$14*BadDebtPct</f>
        <v/>
      </c>
      <c r="ER17" s="218">
        <f>ER$14*BadDebtPct</f>
        <v/>
      </c>
      <c r="ES17" s="218">
        <f>ES$14*BadDebtPct</f>
        <v/>
      </c>
      <c r="ET17" s="218">
        <f>ET$14*BadDebtPct</f>
        <v/>
      </c>
      <c r="EU17" s="218">
        <f>EU$14*BadDebtPct</f>
        <v/>
      </c>
      <c r="EV17" s="218">
        <f>EV$14*BadDebtPct</f>
        <v/>
      </c>
      <c r="EW17" s="218">
        <f>EW$14*BadDebtPct</f>
        <v/>
      </c>
      <c r="EX17" s="218">
        <f>EX$14*BadDebtPct</f>
        <v/>
      </c>
      <c r="EY17" s="218">
        <f>EY$14*BadDebtPct</f>
        <v/>
      </c>
      <c r="EZ17" s="218">
        <f>EZ$14*BadDebtPct</f>
        <v/>
      </c>
      <c r="FA17" s="218">
        <f>FA$14*BadDebtPct</f>
        <v/>
      </c>
      <c r="FB17" s="218">
        <f>FB$14*BadDebtPct</f>
        <v/>
      </c>
      <c r="FC17" s="218">
        <f>FC$14*BadDebtPct</f>
        <v/>
      </c>
      <c r="FD17" s="218">
        <f>FD$14*BadDebtPct</f>
        <v/>
      </c>
      <c r="FE17" s="218">
        <f>FE$14*BadDebtPct</f>
        <v/>
      </c>
      <c r="FF17" s="218">
        <f>FF$14*BadDebtPct</f>
        <v/>
      </c>
      <c r="FG17" s="218">
        <f>FG$14*BadDebtPct</f>
        <v/>
      </c>
      <c r="FH17" s="218">
        <f>FH$14*BadDebtPct</f>
        <v/>
      </c>
      <c r="FI17" s="218">
        <f>FI$14*BadDebtPct</f>
        <v/>
      </c>
      <c r="FJ17" s="218">
        <f>FJ$14*BadDebtPct</f>
        <v/>
      </c>
      <c r="FK17" s="218">
        <f>FK$14*BadDebtPct</f>
        <v/>
      </c>
      <c r="FL17" s="218">
        <f>FL$14*BadDebtPct</f>
        <v/>
      </c>
      <c r="FM17" s="218">
        <f>FM$14*BadDebtPct</f>
        <v/>
      </c>
      <c r="FN17" s="218">
        <f>FN$14*BadDebtPct</f>
        <v/>
      </c>
      <c r="FO17" s="218">
        <f>FO$14*BadDebtPct</f>
        <v/>
      </c>
      <c r="FP17" s="218">
        <f>FP$14*BadDebtPct</f>
        <v/>
      </c>
      <c r="FQ17" s="218">
        <f>FQ$14*BadDebtPct</f>
        <v/>
      </c>
      <c r="FR17" s="218">
        <f>FR$14*BadDebtPct</f>
        <v/>
      </c>
      <c r="FS17" s="218">
        <f>FS$14*BadDebtPct</f>
        <v/>
      </c>
      <c r="FT17" s="218">
        <f>FT$14*BadDebtPct</f>
        <v/>
      </c>
      <c r="FU17" s="218">
        <f>FU$14*BadDebtPct</f>
        <v/>
      </c>
      <c r="FV17" s="218">
        <f>FV$14*BadDebtPct</f>
        <v/>
      </c>
      <c r="FW17" s="218">
        <f>FW$14*BadDebtPct</f>
        <v/>
      </c>
      <c r="FX17" s="218">
        <f>FX$14*BadDebtPct</f>
        <v/>
      </c>
      <c r="FY17" s="218">
        <f>FY$14*BadDebtPct</f>
        <v/>
      </c>
      <c r="FZ17" s="218">
        <f>FZ$14*BadDebtPct</f>
        <v/>
      </c>
      <c r="GA17" s="218">
        <f>GA$14*BadDebtPct</f>
        <v/>
      </c>
      <c r="GB17" s="218">
        <f>GB$14*BadDebtPct</f>
        <v/>
      </c>
      <c r="GC17" s="218">
        <f>GC$14*BadDebtPct</f>
        <v/>
      </c>
      <c r="GD17" s="218">
        <f>GD$14*BadDebtPct</f>
        <v/>
      </c>
      <c r="GE17" s="218">
        <f>GE$14*BadDebtPct</f>
        <v/>
      </c>
      <c r="GF17" s="218">
        <f>GF$14*BadDebtPct</f>
        <v/>
      </c>
      <c r="GG17" s="218">
        <f>GG$14*BadDebtPct</f>
        <v/>
      </c>
      <c r="GH17" s="218">
        <f>GH$14*BadDebtPct</f>
        <v/>
      </c>
      <c r="GI17" s="218">
        <f>GI$14*BadDebtPct</f>
        <v/>
      </c>
      <c r="GJ17" s="218">
        <f>GJ$14*BadDebtPct</f>
        <v/>
      </c>
      <c r="GK17" s="218">
        <f>GK$14*BadDebtPct</f>
        <v/>
      </c>
      <c r="GL17" s="218">
        <f>GL$14*BadDebtPct</f>
        <v/>
      </c>
      <c r="GM17" s="218">
        <f>GM$14*BadDebtPct</f>
        <v/>
      </c>
      <c r="GN17" s="218">
        <f>GN$14*BadDebtPct</f>
        <v/>
      </c>
      <c r="GO17" s="218">
        <f>GO$14*BadDebtPct</f>
        <v/>
      </c>
      <c r="GP17" s="218">
        <f>GP$14*BadDebtPct</f>
        <v/>
      </c>
      <c r="GQ17" s="218">
        <f>GQ$14*BadDebtPct</f>
        <v/>
      </c>
      <c r="GR17" s="218">
        <f>GR$14*BadDebtPct</f>
        <v/>
      </c>
      <c r="GS17" s="218">
        <f>GS$14*BadDebtPct</f>
        <v/>
      </c>
      <c r="GT17" s="218">
        <f>GT$14*BadDebtPct</f>
        <v/>
      </c>
      <c r="GU17" s="218">
        <f>GU$14*BadDebtPct</f>
        <v/>
      </c>
      <c r="GV17" s="218">
        <f>GV$14*BadDebtPct</f>
        <v/>
      </c>
      <c r="GW17" s="218">
        <f>GW$14*BadDebtPct</f>
        <v/>
      </c>
      <c r="GX17" s="218">
        <f>GX$14*BadDebtPct</f>
        <v/>
      </c>
      <c r="GY17" s="218">
        <f>GY$14*BadDebtPct</f>
        <v/>
      </c>
      <c r="GZ17" s="218">
        <f>GZ$14*BadDebtPct</f>
        <v/>
      </c>
      <c r="HA17" s="218">
        <f>HA$14*BadDebtPct</f>
        <v/>
      </c>
      <c r="HB17" s="218">
        <f>HB$14*BadDebtPct</f>
        <v/>
      </c>
      <c r="HC17" s="218">
        <f>HC$14*BadDebtPct</f>
        <v/>
      </c>
      <c r="HD17" s="218">
        <f>HD$14*BadDebtPct</f>
        <v/>
      </c>
      <c r="HE17" s="218">
        <f>HE$14*BadDebtPct</f>
        <v/>
      </c>
      <c r="HF17" s="218">
        <f>HF$14*BadDebtPct</f>
        <v/>
      </c>
      <c r="HG17" s="218">
        <f>HG$14*BadDebtPct</f>
        <v/>
      </c>
      <c r="HH17" s="218">
        <f>HH$14*BadDebtPct</f>
        <v/>
      </c>
      <c r="HI17" s="218">
        <f>HI$14*BadDebtPct</f>
        <v/>
      </c>
      <c r="HJ17" s="218">
        <f>HJ$14*BadDebtPct</f>
        <v/>
      </c>
      <c r="HK17" s="218">
        <f>HK$14*BadDebtPct</f>
        <v/>
      </c>
      <c r="HL17" s="218">
        <f>HL$14*BadDebtPct</f>
        <v/>
      </c>
      <c r="HM17" s="218">
        <f>HM$14*BadDebtPct</f>
        <v/>
      </c>
      <c r="HN17" s="218">
        <f>HN$14*BadDebtPct</f>
        <v/>
      </c>
      <c r="HO17" s="218">
        <f>HO$14*BadDebtPct</f>
        <v/>
      </c>
      <c r="HP17" s="218">
        <f>HP$14*BadDebtPct</f>
        <v/>
      </c>
      <c r="HQ17" s="218">
        <f>HQ$14*BadDebtPct</f>
        <v/>
      </c>
      <c r="HR17" s="218">
        <f>HR$14*BadDebtPct</f>
        <v/>
      </c>
      <c r="HS17" s="218">
        <f>HS$14*BadDebtPct</f>
        <v/>
      </c>
      <c r="HT17" s="218">
        <f>HT$14*BadDebtPct</f>
        <v/>
      </c>
      <c r="HU17" s="218">
        <f>HU$14*BadDebtPct</f>
        <v/>
      </c>
      <c r="HV17" s="218">
        <f>HV$14*BadDebtPct</f>
        <v/>
      </c>
      <c r="HW17" s="218">
        <f>HW$14*BadDebtPct</f>
        <v/>
      </c>
      <c r="HX17" s="218">
        <f>HX$14*BadDebtPct</f>
        <v/>
      </c>
      <c r="HY17" s="218">
        <f>HY$14*BadDebtPct</f>
        <v/>
      </c>
      <c r="HZ17" s="218">
        <f>HZ$14*BadDebtPct</f>
        <v/>
      </c>
      <c r="IA17" s="218">
        <f>IA$14*BadDebtPct</f>
        <v/>
      </c>
      <c r="IB17" s="218">
        <f>IB$14*BadDebtPct</f>
        <v/>
      </c>
      <c r="IC17" s="218">
        <f>IC$14*BadDebtPct</f>
        <v/>
      </c>
      <c r="ID17" s="218">
        <f>ID$14*BadDebtPct</f>
        <v/>
      </c>
      <c r="IE17" s="218">
        <f>IE$14*BadDebtPct</f>
        <v/>
      </c>
      <c r="IF17" s="218">
        <f>IF$14*BadDebtPct</f>
        <v/>
      </c>
      <c r="IG17" s="218">
        <f>IG$14*BadDebtPct</f>
        <v/>
      </c>
      <c r="IH17" s="218">
        <f>IH$14*BadDebtPct</f>
        <v/>
      </c>
      <c r="II17" s="218">
        <f>II$14*BadDebtPct</f>
        <v/>
      </c>
      <c r="IJ17" s="218">
        <f>IJ$14*BadDebtPct</f>
        <v/>
      </c>
      <c r="IK17" s="218">
        <f>IK$14*BadDebtPct</f>
        <v/>
      </c>
      <c r="IL17" s="218">
        <f>IL$14*BadDebtPct</f>
        <v/>
      </c>
      <c r="IM17" s="218">
        <f>IM$14*BadDebtPct</f>
        <v/>
      </c>
      <c r="IN17" s="218">
        <f>IN$14*BadDebtPct</f>
        <v/>
      </c>
      <c r="IO17" s="218">
        <f>IO$14*BadDebtPct</f>
        <v/>
      </c>
      <c r="IP17" s="218">
        <f>IP$14*BadDebtPct</f>
        <v/>
      </c>
      <c r="IQ17" s="218">
        <f>IQ$14*BadDebtPct</f>
        <v/>
      </c>
      <c r="IR17" s="218">
        <f>IR$14*BadDebtPct</f>
        <v/>
      </c>
      <c r="IS17" s="218">
        <f>IS$14*BadDebtPct</f>
        <v/>
      </c>
      <c r="IT17" s="218">
        <f>IT$14*BadDebtPct</f>
        <v/>
      </c>
      <c r="IU17" s="218">
        <f>IU$14*BadDebtPct</f>
        <v/>
      </c>
      <c r="IV17" s="218">
        <f>IV$14*BadDebtPct</f>
        <v/>
      </c>
      <c r="IW17" s="218">
        <f>IW$14*BadDebtPct</f>
        <v/>
      </c>
      <c r="IX17" s="218">
        <f>IX$14*BadDebtPct</f>
        <v/>
      </c>
      <c r="IY17" s="218">
        <f>IY$14*BadDebtPct</f>
        <v/>
      </c>
      <c r="IZ17" s="218">
        <f>IZ$14*BadDebtPct</f>
        <v/>
      </c>
      <c r="JA17" s="218">
        <f>JA$14*BadDebtPct</f>
        <v/>
      </c>
      <c r="JB17" s="218">
        <f>JB$14*BadDebtPct</f>
        <v/>
      </c>
      <c r="JC17" s="218">
        <f>JC$14*BadDebtPct</f>
        <v/>
      </c>
      <c r="JD17" s="218">
        <f>JD$14*BadDebtPct</f>
        <v/>
      </c>
      <c r="JE17" s="218">
        <f>JE$14*BadDebtPct</f>
        <v/>
      </c>
      <c r="JF17" s="218">
        <f>JF$14*BadDebtPct</f>
        <v/>
      </c>
      <c r="JG17" s="218">
        <f>JG$14*BadDebtPct</f>
        <v/>
      </c>
      <c r="JH17" s="218">
        <f>JH$14*BadDebtPct</f>
        <v/>
      </c>
      <c r="JI17" s="218">
        <f>JI$14*BadDebtPct</f>
        <v/>
      </c>
      <c r="JJ17" s="218">
        <f>JJ$14*BadDebtPct</f>
        <v/>
      </c>
      <c r="JK17" s="218">
        <f>JK$14*BadDebtPct</f>
        <v/>
      </c>
      <c r="JL17" s="218">
        <f>JL$14*BadDebtPct</f>
        <v/>
      </c>
      <c r="JM17" s="218">
        <f>JM$14*BadDebtPct</f>
        <v/>
      </c>
      <c r="JN17" s="218">
        <f>JN$14*BadDebtPct</f>
        <v/>
      </c>
      <c r="JO17" s="218">
        <f>JO$14*BadDebtPct</f>
        <v/>
      </c>
      <c r="JP17" s="218">
        <f>JP$14*BadDebtPct</f>
        <v/>
      </c>
      <c r="JQ17" s="218">
        <f>JQ$14*BadDebtPct</f>
        <v/>
      </c>
      <c r="JR17" s="218">
        <f>JR$14*BadDebtPct</f>
        <v/>
      </c>
      <c r="JS17" s="218">
        <f>JS$14*BadDebtPct</f>
        <v/>
      </c>
      <c r="JT17" s="218">
        <f>JT$14*BadDebtPct</f>
        <v/>
      </c>
      <c r="JU17" s="218">
        <f>JU$14*BadDebtPct</f>
        <v/>
      </c>
      <c r="JV17" s="218">
        <f>JV$14*BadDebtPct</f>
        <v/>
      </c>
      <c r="JW17" s="218">
        <f>JW$14*BadDebtPct</f>
        <v/>
      </c>
      <c r="JX17" s="218">
        <f>JX$14*BadDebtPct</f>
        <v/>
      </c>
      <c r="JY17" s="218">
        <f>JY$14*BadDebtPct</f>
        <v/>
      </c>
      <c r="JZ17" s="218">
        <f>JZ$14*BadDebtPct</f>
        <v/>
      </c>
      <c r="KA17" s="218">
        <f>KA$14*BadDebtPct</f>
        <v/>
      </c>
      <c r="KB17" s="218">
        <f>KB$14*BadDebtPct</f>
        <v/>
      </c>
      <c r="KC17" s="218">
        <f>KC$14*BadDebtPct</f>
        <v/>
      </c>
      <c r="KD17" s="218">
        <f>KD$14*BadDebtPct</f>
        <v/>
      </c>
      <c r="KE17" s="218">
        <f>KE$14*BadDebtPct</f>
        <v/>
      </c>
      <c r="KF17" s="218">
        <f>KF$14*BadDebtPct</f>
        <v/>
      </c>
      <c r="KG17" s="218">
        <f>KG$14*BadDebtPct</f>
        <v/>
      </c>
      <c r="KH17" s="218">
        <f>KH$14*BadDebtPct</f>
        <v/>
      </c>
      <c r="KI17" s="218">
        <f>KI$14*BadDebtPct</f>
        <v/>
      </c>
      <c r="KJ17" s="218">
        <f>KJ$14*BadDebtPct</f>
        <v/>
      </c>
      <c r="KK17" s="218">
        <f>KK$14*BadDebtPct</f>
        <v/>
      </c>
      <c r="KL17" s="218">
        <f>KL$14*BadDebtPct</f>
        <v/>
      </c>
      <c r="KM17" s="218">
        <f>KM$14*BadDebtPct</f>
        <v/>
      </c>
      <c r="KN17" s="218">
        <f>KN$14*BadDebtPct</f>
        <v/>
      </c>
      <c r="KO17" s="218">
        <f>KO$14*BadDebtPct</f>
        <v/>
      </c>
      <c r="KP17" s="218">
        <f>KP$14*BadDebtPct</f>
        <v/>
      </c>
      <c r="KQ17" s="218">
        <f>KQ$14*BadDebtPct</f>
        <v/>
      </c>
      <c r="KR17" s="218">
        <f>KR$14*BadDebtPct</f>
        <v/>
      </c>
      <c r="KS17" s="218">
        <f>KS$14*BadDebtPct</f>
        <v/>
      </c>
      <c r="KT17" s="218">
        <f>KT$14*BadDebtPct</f>
        <v/>
      </c>
      <c r="KU17" s="218">
        <f>KU$14*BadDebtPct</f>
        <v/>
      </c>
      <c r="KV17" s="218">
        <f>KV$14*BadDebtPct</f>
        <v/>
      </c>
      <c r="KW17" s="218">
        <f>KW$14*BadDebtPct</f>
        <v/>
      </c>
      <c r="KX17" s="218">
        <f>KX$14*BadDebtPct</f>
        <v/>
      </c>
      <c r="KY17" s="218">
        <f>KY$14*BadDebtPct</f>
        <v/>
      </c>
      <c r="KZ17" s="218">
        <f>KZ$14*BadDebtPct</f>
        <v/>
      </c>
      <c r="LA17" s="218">
        <f>LA$14*BadDebtPct</f>
        <v/>
      </c>
      <c r="LB17" s="218">
        <f>LB$14*BadDebtPct</f>
        <v/>
      </c>
      <c r="LC17" s="218">
        <f>LC$14*BadDebtPct</f>
        <v/>
      </c>
      <c r="LD17" s="218">
        <f>LD$14*BadDebtPct</f>
        <v/>
      </c>
      <c r="LE17" s="218">
        <f>LE$14*BadDebtPct</f>
        <v/>
      </c>
      <c r="LF17" s="218">
        <f>LF$14*BadDebtPct</f>
        <v/>
      </c>
      <c r="LG17" s="218">
        <f>LG$14*BadDebtPct</f>
        <v/>
      </c>
      <c r="LH17" s="218">
        <f>LH$14*BadDebtPct</f>
        <v/>
      </c>
      <c r="LI17" s="218">
        <f>LI$14*BadDebtPct</f>
        <v/>
      </c>
      <c r="LJ17" s="218">
        <f>LJ$14*BadDebtPct</f>
        <v/>
      </c>
      <c r="LK17" s="218">
        <f>LK$14*BadDebtPct</f>
        <v/>
      </c>
      <c r="LL17" s="218">
        <f>LL$14*BadDebtPct</f>
        <v/>
      </c>
      <c r="LM17" s="218">
        <f>LM$14*BadDebtPct</f>
        <v/>
      </c>
      <c r="LN17" s="218">
        <f>LN$14*BadDebtPct</f>
        <v/>
      </c>
      <c r="LO17" s="218">
        <f>LO$14*BadDebtPct</f>
        <v/>
      </c>
      <c r="LP17" s="218">
        <f>LP$14*BadDebtPct</f>
        <v/>
      </c>
      <c r="LQ17" s="218">
        <f>LQ$14*BadDebtPct</f>
        <v/>
      </c>
      <c r="LR17" s="218">
        <f>LR$14*BadDebtPct</f>
        <v/>
      </c>
      <c r="LS17" s="218">
        <f>LS$14*BadDebtPct</f>
        <v/>
      </c>
      <c r="LT17" s="218">
        <f>LT$14*BadDebtPct</f>
        <v/>
      </c>
      <c r="LU17" s="218">
        <f>LU$14*BadDebtPct</f>
        <v/>
      </c>
      <c r="LV17" s="218">
        <f>LV$14*BadDebtPct</f>
        <v/>
      </c>
      <c r="LW17" s="218">
        <f>LW$14*BadDebtPct</f>
        <v/>
      </c>
      <c r="LX17" s="218">
        <f>LX$14*BadDebtPct</f>
        <v/>
      </c>
      <c r="LY17" s="218">
        <f>LY$14*BadDebtPct</f>
        <v/>
      </c>
      <c r="LZ17" s="218">
        <f>LZ$14*BadDebtPct</f>
        <v/>
      </c>
      <c r="MA17" s="218">
        <f>MA$14*BadDebtPct</f>
        <v/>
      </c>
      <c r="MB17" s="218">
        <f>MB$14*BadDebtPct</f>
        <v/>
      </c>
      <c r="MC17" s="218">
        <f>MC$14*BadDebtPct</f>
        <v/>
      </c>
      <c r="MD17" s="218">
        <f>MD$14*BadDebtPct</f>
        <v/>
      </c>
      <c r="ME17" s="218">
        <f>ME$14*BadDebtPct</f>
        <v/>
      </c>
      <c r="MF17" s="218">
        <f>MF$14*BadDebtPct</f>
        <v/>
      </c>
      <c r="MG17" s="218">
        <f>MG$14*BadDebtPct</f>
        <v/>
      </c>
      <c r="MH17" s="218">
        <f>MH$14*BadDebtPct</f>
        <v/>
      </c>
      <c r="MI17" s="218">
        <f>MI$14*BadDebtPct</f>
        <v/>
      </c>
      <c r="MJ17" s="218">
        <f>MJ$14*BadDebtPct</f>
        <v/>
      </c>
      <c r="MK17" s="218">
        <f>MK$14*BadDebtPct</f>
        <v/>
      </c>
      <c r="ML17" s="218">
        <f>ML$14*BadDebtPct</f>
        <v/>
      </c>
      <c r="MM17" s="218">
        <f>MM$14*BadDebtPct</f>
        <v/>
      </c>
      <c r="MN17" s="218">
        <f>MN$14*BadDebtPct</f>
        <v/>
      </c>
      <c r="MO17" s="218">
        <f>MO$14*BadDebtPct</f>
        <v/>
      </c>
      <c r="MP17" s="218">
        <f>MP$14*BadDebtPct</f>
        <v/>
      </c>
      <c r="MQ17" s="218">
        <f>MQ$14*BadDebtPct</f>
        <v/>
      </c>
      <c r="MR17" s="218">
        <f>MR$14*BadDebtPct</f>
        <v/>
      </c>
      <c r="MS17" s="218">
        <f>MS$14*BadDebtPct</f>
        <v/>
      </c>
      <c r="MT17" s="218">
        <f>MT$14*BadDebtPct</f>
        <v/>
      </c>
      <c r="MU17" s="218">
        <f>MU$14*BadDebtPct</f>
        <v/>
      </c>
      <c r="MV17" s="218">
        <f>MV$14*BadDebtPct</f>
        <v/>
      </c>
      <c r="MW17" s="218">
        <f>MW$14*BadDebtPct</f>
        <v/>
      </c>
      <c r="MX17" s="218">
        <f>MX$14*BadDebtPct</f>
        <v/>
      </c>
      <c r="MY17" s="218">
        <f>MY$14*BadDebtPct</f>
        <v/>
      </c>
      <c r="MZ17" s="218">
        <f>MZ$14*BadDebtPct</f>
        <v/>
      </c>
      <c r="NA17" s="218">
        <f>NA$14*BadDebtPct</f>
        <v/>
      </c>
      <c r="NB17" s="218">
        <f>NB$14*BadDebtPct</f>
        <v/>
      </c>
      <c r="NC17" s="218">
        <f>NC$14*BadDebtPct</f>
        <v/>
      </c>
      <c r="ND17" s="218">
        <f>ND$14*BadDebtPct</f>
        <v/>
      </c>
      <c r="NE17" s="218">
        <f>NE$14*BadDebtPct</f>
        <v/>
      </c>
      <c r="NF17" s="218">
        <f>NF$14*BadDebtPct</f>
        <v/>
      </c>
      <c r="NG17" s="218">
        <f>NG$14*BadDebtPct</f>
        <v/>
      </c>
      <c r="NH17" s="218">
        <f>NH$14*BadDebtPct</f>
        <v/>
      </c>
      <c r="NI17" s="218">
        <f>NI$14*BadDebtPct</f>
        <v/>
      </c>
      <c r="NJ17" s="218">
        <f>NJ$14*BadDebtPct</f>
        <v/>
      </c>
      <c r="NK17" s="218">
        <f>NK$14*BadDebtPct</f>
        <v/>
      </c>
      <c r="NL17" s="225">
        <f>NL$14*BadDebtPct</f>
        <v/>
      </c>
    </row>
    <row r="18">
      <c r="B18" s="36" t="inlineStr">
        <is>
          <t>Concessions</t>
        </is>
      </c>
      <c r="D18" s="266">
        <f>SUM(E18:NL18)</f>
        <v/>
      </c>
      <c r="E18" s="218">
        <f>E$14*ConcessionsPct</f>
        <v/>
      </c>
      <c r="F18" s="218">
        <f>F$14*ConcessionsPct</f>
        <v/>
      </c>
      <c r="G18" s="218">
        <f>G$14*ConcessionsPct</f>
        <v/>
      </c>
      <c r="H18" s="218">
        <f>H$14*ConcessionsPct</f>
        <v/>
      </c>
      <c r="I18" s="218">
        <f>I$14*ConcessionsPct</f>
        <v/>
      </c>
      <c r="J18" s="218">
        <f>J$14*ConcessionsPct</f>
        <v/>
      </c>
      <c r="K18" s="218">
        <f>K$14*ConcessionsPct</f>
        <v/>
      </c>
      <c r="L18" s="218">
        <f>L$14*ConcessionsPct</f>
        <v/>
      </c>
      <c r="M18" s="218">
        <f>M$14*ConcessionsPct</f>
        <v/>
      </c>
      <c r="N18" s="218">
        <f>N$14*ConcessionsPct</f>
        <v/>
      </c>
      <c r="O18" s="218">
        <f>O$14*ConcessionsPct</f>
        <v/>
      </c>
      <c r="P18" s="218">
        <f>P$14*ConcessionsPct</f>
        <v/>
      </c>
      <c r="Q18" s="218">
        <f>Q$14*ConcessionsPct</f>
        <v/>
      </c>
      <c r="R18" s="218">
        <f>R$14*ConcessionsPct</f>
        <v/>
      </c>
      <c r="S18" s="218">
        <f>S$14*ConcessionsPct</f>
        <v/>
      </c>
      <c r="T18" s="218">
        <f>T$14*ConcessionsPct</f>
        <v/>
      </c>
      <c r="U18" s="218">
        <f>U$14*ConcessionsPct</f>
        <v/>
      </c>
      <c r="V18" s="218">
        <f>V$14*ConcessionsPct</f>
        <v/>
      </c>
      <c r="W18" s="218">
        <f>W$14*ConcessionsPct</f>
        <v/>
      </c>
      <c r="X18" s="218">
        <f>X$14*ConcessionsPct</f>
        <v/>
      </c>
      <c r="Y18" s="218">
        <f>Y$14*ConcessionsPct</f>
        <v/>
      </c>
      <c r="Z18" s="218">
        <f>Z$14*ConcessionsPct</f>
        <v/>
      </c>
      <c r="AA18" s="218">
        <f>AA$14*ConcessionsPct</f>
        <v/>
      </c>
      <c r="AB18" s="218">
        <f>AB$14*ConcessionsPct</f>
        <v/>
      </c>
      <c r="AC18" s="218">
        <f>AC$14*ConcessionsPct</f>
        <v/>
      </c>
      <c r="AD18" s="218">
        <f>AD$14*ConcessionsPct</f>
        <v/>
      </c>
      <c r="AE18" s="218">
        <f>AE$14*ConcessionsPct</f>
        <v/>
      </c>
      <c r="AF18" s="218">
        <f>AF$14*ConcessionsPct</f>
        <v/>
      </c>
      <c r="AG18" s="218">
        <f>AG$14*ConcessionsPct</f>
        <v/>
      </c>
      <c r="AH18" s="218">
        <f>AH$14*ConcessionsPct</f>
        <v/>
      </c>
      <c r="AI18" s="218">
        <f>AI$14*ConcessionsPct</f>
        <v/>
      </c>
      <c r="AJ18" s="218">
        <f>AJ$14*ConcessionsPct</f>
        <v/>
      </c>
      <c r="AK18" s="218">
        <f>AK$14*ConcessionsPct</f>
        <v/>
      </c>
      <c r="AL18" s="218">
        <f>AL$14*ConcessionsPct</f>
        <v/>
      </c>
      <c r="AM18" s="218">
        <f>AM$14*ConcessionsPct</f>
        <v/>
      </c>
      <c r="AN18" s="218">
        <f>AN$14*ConcessionsPct</f>
        <v/>
      </c>
      <c r="AO18" s="218">
        <f>AO$14*ConcessionsPct</f>
        <v/>
      </c>
      <c r="AP18" s="218">
        <f>AP$14*ConcessionsPct</f>
        <v/>
      </c>
      <c r="AQ18" s="218">
        <f>AQ$14*ConcessionsPct</f>
        <v/>
      </c>
      <c r="AR18" s="218">
        <f>AR$14*ConcessionsPct</f>
        <v/>
      </c>
      <c r="AS18" s="218">
        <f>AS$14*ConcessionsPct</f>
        <v/>
      </c>
      <c r="AT18" s="218">
        <f>AT$14*ConcessionsPct</f>
        <v/>
      </c>
      <c r="AU18" s="218">
        <f>AU$14*ConcessionsPct</f>
        <v/>
      </c>
      <c r="AV18" s="218">
        <f>AV$14*ConcessionsPct</f>
        <v/>
      </c>
      <c r="AW18" s="218">
        <f>AW$14*ConcessionsPct</f>
        <v/>
      </c>
      <c r="AX18" s="218">
        <f>AX$14*ConcessionsPct</f>
        <v/>
      </c>
      <c r="AY18" s="218">
        <f>AY$14*ConcessionsPct</f>
        <v/>
      </c>
      <c r="AZ18" s="218">
        <f>AZ$14*ConcessionsPct</f>
        <v/>
      </c>
      <c r="BA18" s="218">
        <f>BA$14*ConcessionsPct</f>
        <v/>
      </c>
      <c r="BB18" s="218">
        <f>BB$14*ConcessionsPct</f>
        <v/>
      </c>
      <c r="BC18" s="218">
        <f>BC$14*ConcessionsPct</f>
        <v/>
      </c>
      <c r="BD18" s="218">
        <f>BD$14*ConcessionsPct</f>
        <v/>
      </c>
      <c r="BE18" s="218">
        <f>BE$14*ConcessionsPct</f>
        <v/>
      </c>
      <c r="BF18" s="218">
        <f>BF$14*ConcessionsPct</f>
        <v/>
      </c>
      <c r="BG18" s="218">
        <f>BG$14*ConcessionsPct</f>
        <v/>
      </c>
      <c r="BH18" s="218">
        <f>BH$14*ConcessionsPct</f>
        <v/>
      </c>
      <c r="BI18" s="218">
        <f>BI$14*ConcessionsPct</f>
        <v/>
      </c>
      <c r="BJ18" s="218">
        <f>BJ$14*ConcessionsPct</f>
        <v/>
      </c>
      <c r="BK18" s="218">
        <f>BK$14*ConcessionsPct</f>
        <v/>
      </c>
      <c r="BL18" s="218">
        <f>BL$14*ConcessionsPct</f>
        <v/>
      </c>
      <c r="BM18" s="218">
        <f>BM$14*ConcessionsPct</f>
        <v/>
      </c>
      <c r="BN18" s="218">
        <f>BN$14*ConcessionsPct</f>
        <v/>
      </c>
      <c r="BO18" s="218">
        <f>BO$14*ConcessionsPct</f>
        <v/>
      </c>
      <c r="BP18" s="218">
        <f>BP$14*ConcessionsPct</f>
        <v/>
      </c>
      <c r="BQ18" s="218">
        <f>BQ$14*ConcessionsPct</f>
        <v/>
      </c>
      <c r="BR18" s="218">
        <f>BR$14*ConcessionsPct</f>
        <v/>
      </c>
      <c r="BS18" s="218">
        <f>BS$14*ConcessionsPct</f>
        <v/>
      </c>
      <c r="BT18" s="218">
        <f>BT$14*ConcessionsPct</f>
        <v/>
      </c>
      <c r="BU18" s="218">
        <f>BU$14*ConcessionsPct</f>
        <v/>
      </c>
      <c r="BV18" s="218">
        <f>BV$14*ConcessionsPct</f>
        <v/>
      </c>
      <c r="BW18" s="218">
        <f>BW$14*ConcessionsPct</f>
        <v/>
      </c>
      <c r="BX18" s="218">
        <f>BX$14*ConcessionsPct</f>
        <v/>
      </c>
      <c r="BY18" s="218">
        <f>BY$14*ConcessionsPct</f>
        <v/>
      </c>
      <c r="BZ18" s="218">
        <f>BZ$14*ConcessionsPct</f>
        <v/>
      </c>
      <c r="CA18" s="218">
        <f>CA$14*ConcessionsPct</f>
        <v/>
      </c>
      <c r="CB18" s="218">
        <f>CB$14*ConcessionsPct</f>
        <v/>
      </c>
      <c r="CC18" s="218">
        <f>CC$14*ConcessionsPct</f>
        <v/>
      </c>
      <c r="CD18" s="218">
        <f>CD$14*ConcessionsPct</f>
        <v/>
      </c>
      <c r="CE18" s="218">
        <f>CE$14*ConcessionsPct</f>
        <v/>
      </c>
      <c r="CF18" s="218">
        <f>CF$14*ConcessionsPct</f>
        <v/>
      </c>
      <c r="CG18" s="218">
        <f>CG$14*ConcessionsPct</f>
        <v/>
      </c>
      <c r="CH18" s="218">
        <f>CH$14*ConcessionsPct</f>
        <v/>
      </c>
      <c r="CI18" s="218">
        <f>CI$14*ConcessionsPct</f>
        <v/>
      </c>
      <c r="CJ18" s="218">
        <f>CJ$14*ConcessionsPct</f>
        <v/>
      </c>
      <c r="CK18" s="218">
        <f>CK$14*ConcessionsPct</f>
        <v/>
      </c>
      <c r="CL18" s="218">
        <f>CL$14*ConcessionsPct</f>
        <v/>
      </c>
      <c r="CM18" s="218">
        <f>CM$14*ConcessionsPct</f>
        <v/>
      </c>
      <c r="CN18" s="218">
        <f>CN$14*ConcessionsPct</f>
        <v/>
      </c>
      <c r="CO18" s="218">
        <f>CO$14*ConcessionsPct</f>
        <v/>
      </c>
      <c r="CP18" s="218">
        <f>CP$14*ConcessionsPct</f>
        <v/>
      </c>
      <c r="CQ18" s="218">
        <f>CQ$14*ConcessionsPct</f>
        <v/>
      </c>
      <c r="CR18" s="218">
        <f>CR$14*ConcessionsPct</f>
        <v/>
      </c>
      <c r="CS18" s="218">
        <f>CS$14*ConcessionsPct</f>
        <v/>
      </c>
      <c r="CT18" s="218">
        <f>CT$14*ConcessionsPct</f>
        <v/>
      </c>
      <c r="CU18" s="218">
        <f>CU$14*ConcessionsPct</f>
        <v/>
      </c>
      <c r="CV18" s="218">
        <f>CV$14*ConcessionsPct</f>
        <v/>
      </c>
      <c r="CW18" s="218">
        <f>CW$14*ConcessionsPct</f>
        <v/>
      </c>
      <c r="CX18" s="218">
        <f>CX$14*ConcessionsPct</f>
        <v/>
      </c>
      <c r="CY18" s="218">
        <f>CY$14*ConcessionsPct</f>
        <v/>
      </c>
      <c r="CZ18" s="218">
        <f>CZ$14*ConcessionsPct</f>
        <v/>
      </c>
      <c r="DA18" s="218">
        <f>DA$14*ConcessionsPct</f>
        <v/>
      </c>
      <c r="DB18" s="218">
        <f>DB$14*ConcessionsPct</f>
        <v/>
      </c>
      <c r="DC18" s="218">
        <f>DC$14*ConcessionsPct</f>
        <v/>
      </c>
      <c r="DD18" s="218">
        <f>DD$14*ConcessionsPct</f>
        <v/>
      </c>
      <c r="DE18" s="218">
        <f>DE$14*ConcessionsPct</f>
        <v/>
      </c>
      <c r="DF18" s="218">
        <f>DF$14*ConcessionsPct</f>
        <v/>
      </c>
      <c r="DG18" s="218">
        <f>DG$14*ConcessionsPct</f>
        <v/>
      </c>
      <c r="DH18" s="218">
        <f>DH$14*ConcessionsPct</f>
        <v/>
      </c>
      <c r="DI18" s="218">
        <f>DI$14*ConcessionsPct</f>
        <v/>
      </c>
      <c r="DJ18" s="218">
        <f>DJ$14*ConcessionsPct</f>
        <v/>
      </c>
      <c r="DK18" s="218">
        <f>DK$14*ConcessionsPct</f>
        <v/>
      </c>
      <c r="DL18" s="218">
        <f>DL$14*ConcessionsPct</f>
        <v/>
      </c>
      <c r="DM18" s="218">
        <f>DM$14*ConcessionsPct</f>
        <v/>
      </c>
      <c r="DN18" s="218">
        <f>DN$14*ConcessionsPct</f>
        <v/>
      </c>
      <c r="DO18" s="218">
        <f>DO$14*ConcessionsPct</f>
        <v/>
      </c>
      <c r="DP18" s="218">
        <f>DP$14*ConcessionsPct</f>
        <v/>
      </c>
      <c r="DQ18" s="218">
        <f>DQ$14*ConcessionsPct</f>
        <v/>
      </c>
      <c r="DR18" s="218">
        <f>DR$14*ConcessionsPct</f>
        <v/>
      </c>
      <c r="DS18" s="218">
        <f>DS$14*ConcessionsPct</f>
        <v/>
      </c>
      <c r="DT18" s="218">
        <f>DT$14*ConcessionsPct</f>
        <v/>
      </c>
      <c r="DU18" s="218">
        <f>DU$14*ConcessionsPct</f>
        <v/>
      </c>
      <c r="DV18" s="218">
        <f>DV$14*ConcessionsPct</f>
        <v/>
      </c>
      <c r="DW18" s="218">
        <f>DW$14*ConcessionsPct</f>
        <v/>
      </c>
      <c r="DX18" s="218">
        <f>DX$14*ConcessionsPct</f>
        <v/>
      </c>
      <c r="DY18" s="218">
        <f>DY$14*ConcessionsPct</f>
        <v/>
      </c>
      <c r="DZ18" s="218">
        <f>DZ$14*ConcessionsPct</f>
        <v/>
      </c>
      <c r="EA18" s="218">
        <f>EA$14*ConcessionsPct</f>
        <v/>
      </c>
      <c r="EB18" s="218">
        <f>EB$14*ConcessionsPct</f>
        <v/>
      </c>
      <c r="EC18" s="218">
        <f>EC$14*ConcessionsPct</f>
        <v/>
      </c>
      <c r="ED18" s="218">
        <f>ED$14*ConcessionsPct</f>
        <v/>
      </c>
      <c r="EE18" s="218">
        <f>EE$14*ConcessionsPct</f>
        <v/>
      </c>
      <c r="EF18" s="218">
        <f>EF$14*ConcessionsPct</f>
        <v/>
      </c>
      <c r="EG18" s="218">
        <f>EG$14*ConcessionsPct</f>
        <v/>
      </c>
      <c r="EH18" s="218">
        <f>EH$14*ConcessionsPct</f>
        <v/>
      </c>
      <c r="EI18" s="218">
        <f>EI$14*ConcessionsPct</f>
        <v/>
      </c>
      <c r="EJ18" s="218">
        <f>EJ$14*ConcessionsPct</f>
        <v/>
      </c>
      <c r="EK18" s="218">
        <f>EK$14*ConcessionsPct</f>
        <v/>
      </c>
      <c r="EL18" s="218">
        <f>EL$14*ConcessionsPct</f>
        <v/>
      </c>
      <c r="EM18" s="218">
        <f>EM$14*ConcessionsPct</f>
        <v/>
      </c>
      <c r="EN18" s="218">
        <f>EN$14*ConcessionsPct</f>
        <v/>
      </c>
      <c r="EO18" s="218">
        <f>EO$14*ConcessionsPct</f>
        <v/>
      </c>
      <c r="EP18" s="218">
        <f>EP$14*ConcessionsPct</f>
        <v/>
      </c>
      <c r="EQ18" s="218">
        <f>EQ$14*ConcessionsPct</f>
        <v/>
      </c>
      <c r="ER18" s="218">
        <f>ER$14*ConcessionsPct</f>
        <v/>
      </c>
      <c r="ES18" s="218">
        <f>ES$14*ConcessionsPct</f>
        <v/>
      </c>
      <c r="ET18" s="218">
        <f>ET$14*ConcessionsPct</f>
        <v/>
      </c>
      <c r="EU18" s="218">
        <f>EU$14*ConcessionsPct</f>
        <v/>
      </c>
      <c r="EV18" s="218">
        <f>EV$14*ConcessionsPct</f>
        <v/>
      </c>
      <c r="EW18" s="218">
        <f>EW$14*ConcessionsPct</f>
        <v/>
      </c>
      <c r="EX18" s="218">
        <f>EX$14*ConcessionsPct</f>
        <v/>
      </c>
      <c r="EY18" s="218">
        <f>EY$14*ConcessionsPct</f>
        <v/>
      </c>
      <c r="EZ18" s="218">
        <f>EZ$14*ConcessionsPct</f>
        <v/>
      </c>
      <c r="FA18" s="218">
        <f>FA$14*ConcessionsPct</f>
        <v/>
      </c>
      <c r="FB18" s="218">
        <f>FB$14*ConcessionsPct</f>
        <v/>
      </c>
      <c r="FC18" s="218">
        <f>FC$14*ConcessionsPct</f>
        <v/>
      </c>
      <c r="FD18" s="218">
        <f>FD$14*ConcessionsPct</f>
        <v/>
      </c>
      <c r="FE18" s="218">
        <f>FE$14*ConcessionsPct</f>
        <v/>
      </c>
      <c r="FF18" s="218">
        <f>FF$14*ConcessionsPct</f>
        <v/>
      </c>
      <c r="FG18" s="218">
        <f>FG$14*ConcessionsPct</f>
        <v/>
      </c>
      <c r="FH18" s="218">
        <f>FH$14*ConcessionsPct</f>
        <v/>
      </c>
      <c r="FI18" s="218">
        <f>FI$14*ConcessionsPct</f>
        <v/>
      </c>
      <c r="FJ18" s="218">
        <f>FJ$14*ConcessionsPct</f>
        <v/>
      </c>
      <c r="FK18" s="218">
        <f>FK$14*ConcessionsPct</f>
        <v/>
      </c>
      <c r="FL18" s="218">
        <f>FL$14*ConcessionsPct</f>
        <v/>
      </c>
      <c r="FM18" s="218">
        <f>FM$14*ConcessionsPct</f>
        <v/>
      </c>
      <c r="FN18" s="218">
        <f>FN$14*ConcessionsPct</f>
        <v/>
      </c>
      <c r="FO18" s="218">
        <f>FO$14*ConcessionsPct</f>
        <v/>
      </c>
      <c r="FP18" s="218">
        <f>FP$14*ConcessionsPct</f>
        <v/>
      </c>
      <c r="FQ18" s="218">
        <f>FQ$14*ConcessionsPct</f>
        <v/>
      </c>
      <c r="FR18" s="218">
        <f>FR$14*ConcessionsPct</f>
        <v/>
      </c>
      <c r="FS18" s="218">
        <f>FS$14*ConcessionsPct</f>
        <v/>
      </c>
      <c r="FT18" s="218">
        <f>FT$14*ConcessionsPct</f>
        <v/>
      </c>
      <c r="FU18" s="218">
        <f>FU$14*ConcessionsPct</f>
        <v/>
      </c>
      <c r="FV18" s="218">
        <f>FV$14*ConcessionsPct</f>
        <v/>
      </c>
      <c r="FW18" s="218">
        <f>FW$14*ConcessionsPct</f>
        <v/>
      </c>
      <c r="FX18" s="218">
        <f>FX$14*ConcessionsPct</f>
        <v/>
      </c>
      <c r="FY18" s="218">
        <f>FY$14*ConcessionsPct</f>
        <v/>
      </c>
      <c r="FZ18" s="218">
        <f>FZ$14*ConcessionsPct</f>
        <v/>
      </c>
      <c r="GA18" s="218">
        <f>GA$14*ConcessionsPct</f>
        <v/>
      </c>
      <c r="GB18" s="218">
        <f>GB$14*ConcessionsPct</f>
        <v/>
      </c>
      <c r="GC18" s="218">
        <f>GC$14*ConcessionsPct</f>
        <v/>
      </c>
      <c r="GD18" s="218">
        <f>GD$14*ConcessionsPct</f>
        <v/>
      </c>
      <c r="GE18" s="218">
        <f>GE$14*ConcessionsPct</f>
        <v/>
      </c>
      <c r="GF18" s="218">
        <f>GF$14*ConcessionsPct</f>
        <v/>
      </c>
      <c r="GG18" s="218">
        <f>GG$14*ConcessionsPct</f>
        <v/>
      </c>
      <c r="GH18" s="218">
        <f>GH$14*ConcessionsPct</f>
        <v/>
      </c>
      <c r="GI18" s="218">
        <f>GI$14*ConcessionsPct</f>
        <v/>
      </c>
      <c r="GJ18" s="218">
        <f>GJ$14*ConcessionsPct</f>
        <v/>
      </c>
      <c r="GK18" s="218">
        <f>GK$14*ConcessionsPct</f>
        <v/>
      </c>
      <c r="GL18" s="218">
        <f>GL$14*ConcessionsPct</f>
        <v/>
      </c>
      <c r="GM18" s="218">
        <f>GM$14*ConcessionsPct</f>
        <v/>
      </c>
      <c r="GN18" s="218">
        <f>GN$14*ConcessionsPct</f>
        <v/>
      </c>
      <c r="GO18" s="218">
        <f>GO$14*ConcessionsPct</f>
        <v/>
      </c>
      <c r="GP18" s="218">
        <f>GP$14*ConcessionsPct</f>
        <v/>
      </c>
      <c r="GQ18" s="218">
        <f>GQ$14*ConcessionsPct</f>
        <v/>
      </c>
      <c r="GR18" s="218">
        <f>GR$14*ConcessionsPct</f>
        <v/>
      </c>
      <c r="GS18" s="218">
        <f>GS$14*ConcessionsPct</f>
        <v/>
      </c>
      <c r="GT18" s="218">
        <f>GT$14*ConcessionsPct</f>
        <v/>
      </c>
      <c r="GU18" s="218">
        <f>GU$14*ConcessionsPct</f>
        <v/>
      </c>
      <c r="GV18" s="218">
        <f>GV$14*ConcessionsPct</f>
        <v/>
      </c>
      <c r="GW18" s="218">
        <f>GW$14*ConcessionsPct</f>
        <v/>
      </c>
      <c r="GX18" s="218">
        <f>GX$14*ConcessionsPct</f>
        <v/>
      </c>
      <c r="GY18" s="218">
        <f>GY$14*ConcessionsPct</f>
        <v/>
      </c>
      <c r="GZ18" s="218">
        <f>GZ$14*ConcessionsPct</f>
        <v/>
      </c>
      <c r="HA18" s="218">
        <f>HA$14*ConcessionsPct</f>
        <v/>
      </c>
      <c r="HB18" s="218">
        <f>HB$14*ConcessionsPct</f>
        <v/>
      </c>
      <c r="HC18" s="218">
        <f>HC$14*ConcessionsPct</f>
        <v/>
      </c>
      <c r="HD18" s="218">
        <f>HD$14*ConcessionsPct</f>
        <v/>
      </c>
      <c r="HE18" s="218">
        <f>HE$14*ConcessionsPct</f>
        <v/>
      </c>
      <c r="HF18" s="218">
        <f>HF$14*ConcessionsPct</f>
        <v/>
      </c>
      <c r="HG18" s="218">
        <f>HG$14*ConcessionsPct</f>
        <v/>
      </c>
      <c r="HH18" s="218">
        <f>HH$14*ConcessionsPct</f>
        <v/>
      </c>
      <c r="HI18" s="218">
        <f>HI$14*ConcessionsPct</f>
        <v/>
      </c>
      <c r="HJ18" s="218">
        <f>HJ$14*ConcessionsPct</f>
        <v/>
      </c>
      <c r="HK18" s="218">
        <f>HK$14*ConcessionsPct</f>
        <v/>
      </c>
      <c r="HL18" s="218">
        <f>HL$14*ConcessionsPct</f>
        <v/>
      </c>
      <c r="HM18" s="218">
        <f>HM$14*ConcessionsPct</f>
        <v/>
      </c>
      <c r="HN18" s="218">
        <f>HN$14*ConcessionsPct</f>
        <v/>
      </c>
      <c r="HO18" s="218">
        <f>HO$14*ConcessionsPct</f>
        <v/>
      </c>
      <c r="HP18" s="218">
        <f>HP$14*ConcessionsPct</f>
        <v/>
      </c>
      <c r="HQ18" s="218">
        <f>HQ$14*ConcessionsPct</f>
        <v/>
      </c>
      <c r="HR18" s="218">
        <f>HR$14*ConcessionsPct</f>
        <v/>
      </c>
      <c r="HS18" s="218">
        <f>HS$14*ConcessionsPct</f>
        <v/>
      </c>
      <c r="HT18" s="218">
        <f>HT$14*ConcessionsPct</f>
        <v/>
      </c>
      <c r="HU18" s="218">
        <f>HU$14*ConcessionsPct</f>
        <v/>
      </c>
      <c r="HV18" s="218">
        <f>HV$14*ConcessionsPct</f>
        <v/>
      </c>
      <c r="HW18" s="218">
        <f>HW$14*ConcessionsPct</f>
        <v/>
      </c>
      <c r="HX18" s="218">
        <f>HX$14*ConcessionsPct</f>
        <v/>
      </c>
      <c r="HY18" s="218">
        <f>HY$14*ConcessionsPct</f>
        <v/>
      </c>
      <c r="HZ18" s="218">
        <f>HZ$14*ConcessionsPct</f>
        <v/>
      </c>
      <c r="IA18" s="218">
        <f>IA$14*ConcessionsPct</f>
        <v/>
      </c>
      <c r="IB18" s="218">
        <f>IB$14*ConcessionsPct</f>
        <v/>
      </c>
      <c r="IC18" s="218">
        <f>IC$14*ConcessionsPct</f>
        <v/>
      </c>
      <c r="ID18" s="218">
        <f>ID$14*ConcessionsPct</f>
        <v/>
      </c>
      <c r="IE18" s="218">
        <f>IE$14*ConcessionsPct</f>
        <v/>
      </c>
      <c r="IF18" s="218">
        <f>IF$14*ConcessionsPct</f>
        <v/>
      </c>
      <c r="IG18" s="218">
        <f>IG$14*ConcessionsPct</f>
        <v/>
      </c>
      <c r="IH18" s="218">
        <f>IH$14*ConcessionsPct</f>
        <v/>
      </c>
      <c r="II18" s="218">
        <f>II$14*ConcessionsPct</f>
        <v/>
      </c>
      <c r="IJ18" s="218">
        <f>IJ$14*ConcessionsPct</f>
        <v/>
      </c>
      <c r="IK18" s="218">
        <f>IK$14*ConcessionsPct</f>
        <v/>
      </c>
      <c r="IL18" s="218">
        <f>IL$14*ConcessionsPct</f>
        <v/>
      </c>
      <c r="IM18" s="218">
        <f>IM$14*ConcessionsPct</f>
        <v/>
      </c>
      <c r="IN18" s="218">
        <f>IN$14*ConcessionsPct</f>
        <v/>
      </c>
      <c r="IO18" s="218">
        <f>IO$14*ConcessionsPct</f>
        <v/>
      </c>
      <c r="IP18" s="218">
        <f>IP$14*ConcessionsPct</f>
        <v/>
      </c>
      <c r="IQ18" s="218">
        <f>IQ$14*ConcessionsPct</f>
        <v/>
      </c>
      <c r="IR18" s="218">
        <f>IR$14*ConcessionsPct</f>
        <v/>
      </c>
      <c r="IS18" s="218">
        <f>IS$14*ConcessionsPct</f>
        <v/>
      </c>
      <c r="IT18" s="218">
        <f>IT$14*ConcessionsPct</f>
        <v/>
      </c>
      <c r="IU18" s="218">
        <f>IU$14*ConcessionsPct</f>
        <v/>
      </c>
      <c r="IV18" s="218">
        <f>IV$14*ConcessionsPct</f>
        <v/>
      </c>
      <c r="IW18" s="218">
        <f>IW$14*ConcessionsPct</f>
        <v/>
      </c>
      <c r="IX18" s="218">
        <f>IX$14*ConcessionsPct</f>
        <v/>
      </c>
      <c r="IY18" s="218">
        <f>IY$14*ConcessionsPct</f>
        <v/>
      </c>
      <c r="IZ18" s="218">
        <f>IZ$14*ConcessionsPct</f>
        <v/>
      </c>
      <c r="JA18" s="218">
        <f>JA$14*ConcessionsPct</f>
        <v/>
      </c>
      <c r="JB18" s="218">
        <f>JB$14*ConcessionsPct</f>
        <v/>
      </c>
      <c r="JC18" s="218">
        <f>JC$14*ConcessionsPct</f>
        <v/>
      </c>
      <c r="JD18" s="218">
        <f>JD$14*ConcessionsPct</f>
        <v/>
      </c>
      <c r="JE18" s="218">
        <f>JE$14*ConcessionsPct</f>
        <v/>
      </c>
      <c r="JF18" s="218">
        <f>JF$14*ConcessionsPct</f>
        <v/>
      </c>
      <c r="JG18" s="218">
        <f>JG$14*ConcessionsPct</f>
        <v/>
      </c>
      <c r="JH18" s="218">
        <f>JH$14*ConcessionsPct</f>
        <v/>
      </c>
      <c r="JI18" s="218">
        <f>JI$14*ConcessionsPct</f>
        <v/>
      </c>
      <c r="JJ18" s="218">
        <f>JJ$14*ConcessionsPct</f>
        <v/>
      </c>
      <c r="JK18" s="218">
        <f>JK$14*ConcessionsPct</f>
        <v/>
      </c>
      <c r="JL18" s="218">
        <f>JL$14*ConcessionsPct</f>
        <v/>
      </c>
      <c r="JM18" s="218">
        <f>JM$14*ConcessionsPct</f>
        <v/>
      </c>
      <c r="JN18" s="218">
        <f>JN$14*ConcessionsPct</f>
        <v/>
      </c>
      <c r="JO18" s="218">
        <f>JO$14*ConcessionsPct</f>
        <v/>
      </c>
      <c r="JP18" s="218">
        <f>JP$14*ConcessionsPct</f>
        <v/>
      </c>
      <c r="JQ18" s="218">
        <f>JQ$14*ConcessionsPct</f>
        <v/>
      </c>
      <c r="JR18" s="218">
        <f>JR$14*ConcessionsPct</f>
        <v/>
      </c>
      <c r="JS18" s="218">
        <f>JS$14*ConcessionsPct</f>
        <v/>
      </c>
      <c r="JT18" s="218">
        <f>JT$14*ConcessionsPct</f>
        <v/>
      </c>
      <c r="JU18" s="218">
        <f>JU$14*ConcessionsPct</f>
        <v/>
      </c>
      <c r="JV18" s="218">
        <f>JV$14*ConcessionsPct</f>
        <v/>
      </c>
      <c r="JW18" s="218">
        <f>JW$14*ConcessionsPct</f>
        <v/>
      </c>
      <c r="JX18" s="218">
        <f>JX$14*ConcessionsPct</f>
        <v/>
      </c>
      <c r="JY18" s="218">
        <f>JY$14*ConcessionsPct</f>
        <v/>
      </c>
      <c r="JZ18" s="218">
        <f>JZ$14*ConcessionsPct</f>
        <v/>
      </c>
      <c r="KA18" s="218">
        <f>KA$14*ConcessionsPct</f>
        <v/>
      </c>
      <c r="KB18" s="218">
        <f>KB$14*ConcessionsPct</f>
        <v/>
      </c>
      <c r="KC18" s="218">
        <f>KC$14*ConcessionsPct</f>
        <v/>
      </c>
      <c r="KD18" s="218">
        <f>KD$14*ConcessionsPct</f>
        <v/>
      </c>
      <c r="KE18" s="218">
        <f>KE$14*ConcessionsPct</f>
        <v/>
      </c>
      <c r="KF18" s="218">
        <f>KF$14*ConcessionsPct</f>
        <v/>
      </c>
      <c r="KG18" s="218">
        <f>KG$14*ConcessionsPct</f>
        <v/>
      </c>
      <c r="KH18" s="218">
        <f>KH$14*ConcessionsPct</f>
        <v/>
      </c>
      <c r="KI18" s="218">
        <f>KI$14*ConcessionsPct</f>
        <v/>
      </c>
      <c r="KJ18" s="218">
        <f>KJ$14*ConcessionsPct</f>
        <v/>
      </c>
      <c r="KK18" s="218">
        <f>KK$14*ConcessionsPct</f>
        <v/>
      </c>
      <c r="KL18" s="218">
        <f>KL$14*ConcessionsPct</f>
        <v/>
      </c>
      <c r="KM18" s="218">
        <f>KM$14*ConcessionsPct</f>
        <v/>
      </c>
      <c r="KN18" s="218">
        <f>KN$14*ConcessionsPct</f>
        <v/>
      </c>
      <c r="KO18" s="218">
        <f>KO$14*ConcessionsPct</f>
        <v/>
      </c>
      <c r="KP18" s="218">
        <f>KP$14*ConcessionsPct</f>
        <v/>
      </c>
      <c r="KQ18" s="218">
        <f>KQ$14*ConcessionsPct</f>
        <v/>
      </c>
      <c r="KR18" s="218">
        <f>KR$14*ConcessionsPct</f>
        <v/>
      </c>
      <c r="KS18" s="218">
        <f>KS$14*ConcessionsPct</f>
        <v/>
      </c>
      <c r="KT18" s="218">
        <f>KT$14*ConcessionsPct</f>
        <v/>
      </c>
      <c r="KU18" s="218">
        <f>KU$14*ConcessionsPct</f>
        <v/>
      </c>
      <c r="KV18" s="218">
        <f>KV$14*ConcessionsPct</f>
        <v/>
      </c>
      <c r="KW18" s="218">
        <f>KW$14*ConcessionsPct</f>
        <v/>
      </c>
      <c r="KX18" s="218">
        <f>KX$14*ConcessionsPct</f>
        <v/>
      </c>
      <c r="KY18" s="218">
        <f>KY$14*ConcessionsPct</f>
        <v/>
      </c>
      <c r="KZ18" s="218">
        <f>KZ$14*ConcessionsPct</f>
        <v/>
      </c>
      <c r="LA18" s="218">
        <f>LA$14*ConcessionsPct</f>
        <v/>
      </c>
      <c r="LB18" s="218">
        <f>LB$14*ConcessionsPct</f>
        <v/>
      </c>
      <c r="LC18" s="218">
        <f>LC$14*ConcessionsPct</f>
        <v/>
      </c>
      <c r="LD18" s="218">
        <f>LD$14*ConcessionsPct</f>
        <v/>
      </c>
      <c r="LE18" s="218">
        <f>LE$14*ConcessionsPct</f>
        <v/>
      </c>
      <c r="LF18" s="218">
        <f>LF$14*ConcessionsPct</f>
        <v/>
      </c>
      <c r="LG18" s="218">
        <f>LG$14*ConcessionsPct</f>
        <v/>
      </c>
      <c r="LH18" s="218">
        <f>LH$14*ConcessionsPct</f>
        <v/>
      </c>
      <c r="LI18" s="218">
        <f>LI$14*ConcessionsPct</f>
        <v/>
      </c>
      <c r="LJ18" s="218">
        <f>LJ$14*ConcessionsPct</f>
        <v/>
      </c>
      <c r="LK18" s="218">
        <f>LK$14*ConcessionsPct</f>
        <v/>
      </c>
      <c r="LL18" s="218">
        <f>LL$14*ConcessionsPct</f>
        <v/>
      </c>
      <c r="LM18" s="218">
        <f>LM$14*ConcessionsPct</f>
        <v/>
      </c>
      <c r="LN18" s="218">
        <f>LN$14*ConcessionsPct</f>
        <v/>
      </c>
      <c r="LO18" s="218">
        <f>LO$14*ConcessionsPct</f>
        <v/>
      </c>
      <c r="LP18" s="218">
        <f>LP$14*ConcessionsPct</f>
        <v/>
      </c>
      <c r="LQ18" s="218">
        <f>LQ$14*ConcessionsPct</f>
        <v/>
      </c>
      <c r="LR18" s="218">
        <f>LR$14*ConcessionsPct</f>
        <v/>
      </c>
      <c r="LS18" s="218">
        <f>LS$14*ConcessionsPct</f>
        <v/>
      </c>
      <c r="LT18" s="218">
        <f>LT$14*ConcessionsPct</f>
        <v/>
      </c>
      <c r="LU18" s="218">
        <f>LU$14*ConcessionsPct</f>
        <v/>
      </c>
      <c r="LV18" s="218">
        <f>LV$14*ConcessionsPct</f>
        <v/>
      </c>
      <c r="LW18" s="218">
        <f>LW$14*ConcessionsPct</f>
        <v/>
      </c>
      <c r="LX18" s="218">
        <f>LX$14*ConcessionsPct</f>
        <v/>
      </c>
      <c r="LY18" s="218">
        <f>LY$14*ConcessionsPct</f>
        <v/>
      </c>
      <c r="LZ18" s="218">
        <f>LZ$14*ConcessionsPct</f>
        <v/>
      </c>
      <c r="MA18" s="218">
        <f>MA$14*ConcessionsPct</f>
        <v/>
      </c>
      <c r="MB18" s="218">
        <f>MB$14*ConcessionsPct</f>
        <v/>
      </c>
      <c r="MC18" s="218">
        <f>MC$14*ConcessionsPct</f>
        <v/>
      </c>
      <c r="MD18" s="218">
        <f>MD$14*ConcessionsPct</f>
        <v/>
      </c>
      <c r="ME18" s="218">
        <f>ME$14*ConcessionsPct</f>
        <v/>
      </c>
      <c r="MF18" s="218">
        <f>MF$14*ConcessionsPct</f>
        <v/>
      </c>
      <c r="MG18" s="218">
        <f>MG$14*ConcessionsPct</f>
        <v/>
      </c>
      <c r="MH18" s="218">
        <f>MH$14*ConcessionsPct</f>
        <v/>
      </c>
      <c r="MI18" s="218">
        <f>MI$14*ConcessionsPct</f>
        <v/>
      </c>
      <c r="MJ18" s="218">
        <f>MJ$14*ConcessionsPct</f>
        <v/>
      </c>
      <c r="MK18" s="218">
        <f>MK$14*ConcessionsPct</f>
        <v/>
      </c>
      <c r="ML18" s="218">
        <f>ML$14*ConcessionsPct</f>
        <v/>
      </c>
      <c r="MM18" s="218">
        <f>MM$14*ConcessionsPct</f>
        <v/>
      </c>
      <c r="MN18" s="218">
        <f>MN$14*ConcessionsPct</f>
        <v/>
      </c>
      <c r="MO18" s="218">
        <f>MO$14*ConcessionsPct</f>
        <v/>
      </c>
      <c r="MP18" s="218">
        <f>MP$14*ConcessionsPct</f>
        <v/>
      </c>
      <c r="MQ18" s="218">
        <f>MQ$14*ConcessionsPct</f>
        <v/>
      </c>
      <c r="MR18" s="218">
        <f>MR$14*ConcessionsPct</f>
        <v/>
      </c>
      <c r="MS18" s="218">
        <f>MS$14*ConcessionsPct</f>
        <v/>
      </c>
      <c r="MT18" s="218">
        <f>MT$14*ConcessionsPct</f>
        <v/>
      </c>
      <c r="MU18" s="218">
        <f>MU$14*ConcessionsPct</f>
        <v/>
      </c>
      <c r="MV18" s="218">
        <f>MV$14*ConcessionsPct</f>
        <v/>
      </c>
      <c r="MW18" s="218">
        <f>MW$14*ConcessionsPct</f>
        <v/>
      </c>
      <c r="MX18" s="218">
        <f>MX$14*ConcessionsPct</f>
        <v/>
      </c>
      <c r="MY18" s="218">
        <f>MY$14*ConcessionsPct</f>
        <v/>
      </c>
      <c r="MZ18" s="218">
        <f>MZ$14*ConcessionsPct</f>
        <v/>
      </c>
      <c r="NA18" s="218">
        <f>NA$14*ConcessionsPct</f>
        <v/>
      </c>
      <c r="NB18" s="218">
        <f>NB$14*ConcessionsPct</f>
        <v/>
      </c>
      <c r="NC18" s="218">
        <f>NC$14*ConcessionsPct</f>
        <v/>
      </c>
      <c r="ND18" s="218">
        <f>ND$14*ConcessionsPct</f>
        <v/>
      </c>
      <c r="NE18" s="218">
        <f>NE$14*ConcessionsPct</f>
        <v/>
      </c>
      <c r="NF18" s="218">
        <f>NF$14*ConcessionsPct</f>
        <v/>
      </c>
      <c r="NG18" s="218">
        <f>NG$14*ConcessionsPct</f>
        <v/>
      </c>
      <c r="NH18" s="218">
        <f>NH$14*ConcessionsPct</f>
        <v/>
      </c>
      <c r="NI18" s="218">
        <f>NI$14*ConcessionsPct</f>
        <v/>
      </c>
      <c r="NJ18" s="218">
        <f>NJ$14*ConcessionsPct</f>
        <v/>
      </c>
      <c r="NK18" s="218">
        <f>NK$14*ConcessionsPct</f>
        <v/>
      </c>
      <c r="NL18" s="225">
        <f>NL$14*ConcessionsPct</f>
        <v/>
      </c>
    </row>
    <row r="19">
      <c r="B19" s="36" t="inlineStr">
        <is>
          <t>Parking &amp; Storage</t>
        </is>
      </c>
      <c r="D19" s="266">
        <f>SUM(E19:NL19)</f>
        <v/>
      </c>
      <c r="E19" s="218">
        <f>IF(1&gt;=DeliverStart,ParkingPerUnitMo*LeaseUp!E$9*E$10,0)</f>
        <v/>
      </c>
      <c r="F19" s="218">
        <f>IF(2&gt;=DeliverStart,ParkingPerUnitMo*LeaseUp!F$9*F$10,0)</f>
        <v/>
      </c>
      <c r="G19" s="218">
        <f>IF(3&gt;=DeliverStart,ParkingPerUnitMo*LeaseUp!G$9*G$10,0)</f>
        <v/>
      </c>
      <c r="H19" s="218">
        <f>IF(4&gt;=DeliverStart,ParkingPerUnitMo*LeaseUp!H$9*H$10,0)</f>
        <v/>
      </c>
      <c r="I19" s="218">
        <f>IF(5&gt;=DeliverStart,ParkingPerUnitMo*LeaseUp!I$9*I$10,0)</f>
        <v/>
      </c>
      <c r="J19" s="218">
        <f>IF(6&gt;=DeliverStart,ParkingPerUnitMo*LeaseUp!J$9*J$10,0)</f>
        <v/>
      </c>
      <c r="K19" s="218">
        <f>IF(7&gt;=DeliverStart,ParkingPerUnitMo*LeaseUp!K$9*K$10,0)</f>
        <v/>
      </c>
      <c r="L19" s="218">
        <f>IF(8&gt;=DeliverStart,ParkingPerUnitMo*LeaseUp!L$9*L$10,0)</f>
        <v/>
      </c>
      <c r="M19" s="218">
        <f>IF(9&gt;=DeliverStart,ParkingPerUnitMo*LeaseUp!M$9*M$10,0)</f>
        <v/>
      </c>
      <c r="N19" s="218">
        <f>IF(10&gt;=DeliverStart,ParkingPerUnitMo*LeaseUp!N$9*N$10,0)</f>
        <v/>
      </c>
      <c r="O19" s="218">
        <f>IF(11&gt;=DeliverStart,ParkingPerUnitMo*LeaseUp!O$9*O$10,0)</f>
        <v/>
      </c>
      <c r="P19" s="218">
        <f>IF(12&gt;=DeliverStart,ParkingPerUnitMo*LeaseUp!P$9*P$10,0)</f>
        <v/>
      </c>
      <c r="Q19" s="218">
        <f>IF(13&gt;=DeliverStart,ParkingPerUnitMo*LeaseUp!Q$9*Q$10,0)</f>
        <v/>
      </c>
      <c r="R19" s="218">
        <f>IF(14&gt;=DeliverStart,ParkingPerUnitMo*LeaseUp!R$9*R$10,0)</f>
        <v/>
      </c>
      <c r="S19" s="218">
        <f>IF(15&gt;=DeliverStart,ParkingPerUnitMo*LeaseUp!S$9*S$10,0)</f>
        <v/>
      </c>
      <c r="T19" s="218">
        <f>IF(16&gt;=DeliverStart,ParkingPerUnitMo*LeaseUp!T$9*T$10,0)</f>
        <v/>
      </c>
      <c r="U19" s="218">
        <f>IF(17&gt;=DeliverStart,ParkingPerUnitMo*LeaseUp!U$9*U$10,0)</f>
        <v/>
      </c>
      <c r="V19" s="218">
        <f>IF(18&gt;=DeliverStart,ParkingPerUnitMo*LeaseUp!V$9*V$10,0)</f>
        <v/>
      </c>
      <c r="W19" s="218">
        <f>IF(19&gt;=DeliverStart,ParkingPerUnitMo*LeaseUp!W$9*W$10,0)</f>
        <v/>
      </c>
      <c r="X19" s="218">
        <f>IF(20&gt;=DeliverStart,ParkingPerUnitMo*LeaseUp!X$9*X$10,0)</f>
        <v/>
      </c>
      <c r="Y19" s="218">
        <f>IF(21&gt;=DeliverStart,ParkingPerUnitMo*LeaseUp!Y$9*Y$10,0)</f>
        <v/>
      </c>
      <c r="Z19" s="218">
        <f>IF(22&gt;=DeliverStart,ParkingPerUnitMo*LeaseUp!Z$9*Z$10,0)</f>
        <v/>
      </c>
      <c r="AA19" s="218">
        <f>IF(23&gt;=DeliverStart,ParkingPerUnitMo*LeaseUp!AA$9*AA$10,0)</f>
        <v/>
      </c>
      <c r="AB19" s="218">
        <f>IF(24&gt;=DeliverStart,ParkingPerUnitMo*LeaseUp!AB$9*AB$10,0)</f>
        <v/>
      </c>
      <c r="AC19" s="218">
        <f>IF(25&gt;=DeliverStart,ParkingPerUnitMo*LeaseUp!AC$9*AC$10,0)</f>
        <v/>
      </c>
      <c r="AD19" s="218">
        <f>IF(26&gt;=DeliverStart,ParkingPerUnitMo*LeaseUp!AD$9*AD$10,0)</f>
        <v/>
      </c>
      <c r="AE19" s="218">
        <f>IF(27&gt;=DeliverStart,ParkingPerUnitMo*LeaseUp!AE$9*AE$10,0)</f>
        <v/>
      </c>
      <c r="AF19" s="218">
        <f>IF(28&gt;=DeliverStart,ParkingPerUnitMo*LeaseUp!AF$9*AF$10,0)</f>
        <v/>
      </c>
      <c r="AG19" s="218">
        <f>IF(29&gt;=DeliverStart,ParkingPerUnitMo*LeaseUp!AG$9*AG$10,0)</f>
        <v/>
      </c>
      <c r="AH19" s="218">
        <f>IF(30&gt;=DeliverStart,ParkingPerUnitMo*LeaseUp!AH$9*AH$10,0)</f>
        <v/>
      </c>
      <c r="AI19" s="218">
        <f>IF(31&gt;=DeliverStart,ParkingPerUnitMo*LeaseUp!AI$9*AI$10,0)</f>
        <v/>
      </c>
      <c r="AJ19" s="218">
        <f>IF(32&gt;=DeliverStart,ParkingPerUnitMo*LeaseUp!AJ$9*AJ$10,0)</f>
        <v/>
      </c>
      <c r="AK19" s="218">
        <f>IF(33&gt;=DeliverStart,ParkingPerUnitMo*LeaseUp!AK$9*AK$10,0)</f>
        <v/>
      </c>
      <c r="AL19" s="218">
        <f>IF(34&gt;=DeliverStart,ParkingPerUnitMo*LeaseUp!AL$9*AL$10,0)</f>
        <v/>
      </c>
      <c r="AM19" s="218">
        <f>IF(35&gt;=DeliverStart,ParkingPerUnitMo*LeaseUp!AM$9*AM$10,0)</f>
        <v/>
      </c>
      <c r="AN19" s="218">
        <f>IF(36&gt;=DeliverStart,ParkingPerUnitMo*LeaseUp!AN$9*AN$10,0)</f>
        <v/>
      </c>
      <c r="AO19" s="218">
        <f>IF(37&gt;=DeliverStart,ParkingPerUnitMo*LeaseUp!AO$9*AO$10,0)</f>
        <v/>
      </c>
      <c r="AP19" s="218">
        <f>IF(38&gt;=DeliverStart,ParkingPerUnitMo*LeaseUp!AP$9*AP$10,0)</f>
        <v/>
      </c>
      <c r="AQ19" s="218">
        <f>IF(39&gt;=DeliverStart,ParkingPerUnitMo*LeaseUp!AQ$9*AQ$10,0)</f>
        <v/>
      </c>
      <c r="AR19" s="218">
        <f>IF(40&gt;=DeliverStart,ParkingPerUnitMo*LeaseUp!AR$9*AR$10,0)</f>
        <v/>
      </c>
      <c r="AS19" s="218">
        <f>IF(41&gt;=DeliverStart,ParkingPerUnitMo*LeaseUp!AS$9*AS$10,0)</f>
        <v/>
      </c>
      <c r="AT19" s="218">
        <f>IF(42&gt;=DeliverStart,ParkingPerUnitMo*LeaseUp!AT$9*AT$10,0)</f>
        <v/>
      </c>
      <c r="AU19" s="218">
        <f>IF(43&gt;=DeliverStart,ParkingPerUnitMo*LeaseUp!AU$9*AU$10,0)</f>
        <v/>
      </c>
      <c r="AV19" s="218">
        <f>IF(44&gt;=DeliverStart,ParkingPerUnitMo*LeaseUp!AV$9*AV$10,0)</f>
        <v/>
      </c>
      <c r="AW19" s="218">
        <f>IF(45&gt;=DeliverStart,ParkingPerUnitMo*LeaseUp!AW$9*AW$10,0)</f>
        <v/>
      </c>
      <c r="AX19" s="218">
        <f>IF(46&gt;=DeliverStart,ParkingPerUnitMo*LeaseUp!AX$9*AX$10,0)</f>
        <v/>
      </c>
      <c r="AY19" s="218">
        <f>IF(47&gt;=DeliverStart,ParkingPerUnitMo*LeaseUp!AY$9*AY$10,0)</f>
        <v/>
      </c>
      <c r="AZ19" s="218">
        <f>IF(48&gt;=DeliverStart,ParkingPerUnitMo*LeaseUp!AZ$9*AZ$10,0)</f>
        <v/>
      </c>
      <c r="BA19" s="218">
        <f>IF(49&gt;=DeliverStart,ParkingPerUnitMo*LeaseUp!BA$9*BA$10,0)</f>
        <v/>
      </c>
      <c r="BB19" s="218">
        <f>IF(50&gt;=DeliverStart,ParkingPerUnitMo*LeaseUp!BB$9*BB$10,0)</f>
        <v/>
      </c>
      <c r="BC19" s="218">
        <f>IF(51&gt;=DeliverStart,ParkingPerUnitMo*LeaseUp!BC$9*BC$10,0)</f>
        <v/>
      </c>
      <c r="BD19" s="218">
        <f>IF(52&gt;=DeliverStart,ParkingPerUnitMo*LeaseUp!BD$9*BD$10,0)</f>
        <v/>
      </c>
      <c r="BE19" s="218">
        <f>IF(53&gt;=DeliverStart,ParkingPerUnitMo*LeaseUp!BE$9*BE$10,0)</f>
        <v/>
      </c>
      <c r="BF19" s="218">
        <f>IF(54&gt;=DeliverStart,ParkingPerUnitMo*LeaseUp!BF$9*BF$10,0)</f>
        <v/>
      </c>
      <c r="BG19" s="218">
        <f>IF(55&gt;=DeliverStart,ParkingPerUnitMo*LeaseUp!BG$9*BG$10,0)</f>
        <v/>
      </c>
      <c r="BH19" s="218">
        <f>IF(56&gt;=DeliverStart,ParkingPerUnitMo*LeaseUp!BH$9*BH$10,0)</f>
        <v/>
      </c>
      <c r="BI19" s="218">
        <f>IF(57&gt;=DeliverStart,ParkingPerUnitMo*LeaseUp!BI$9*BI$10,0)</f>
        <v/>
      </c>
      <c r="BJ19" s="218">
        <f>IF(58&gt;=DeliverStart,ParkingPerUnitMo*LeaseUp!BJ$9*BJ$10,0)</f>
        <v/>
      </c>
      <c r="BK19" s="218">
        <f>IF(59&gt;=DeliverStart,ParkingPerUnitMo*LeaseUp!BK$9*BK$10,0)</f>
        <v/>
      </c>
      <c r="BL19" s="218">
        <f>IF(60&gt;=DeliverStart,ParkingPerUnitMo*LeaseUp!BL$9*BL$10,0)</f>
        <v/>
      </c>
      <c r="BM19" s="218">
        <f>IF(61&gt;=DeliverStart,ParkingPerUnitMo*LeaseUp!BM$9*BM$10,0)</f>
        <v/>
      </c>
      <c r="BN19" s="218">
        <f>IF(62&gt;=DeliverStart,ParkingPerUnitMo*LeaseUp!BN$9*BN$10,0)</f>
        <v/>
      </c>
      <c r="BO19" s="218">
        <f>IF(63&gt;=DeliverStart,ParkingPerUnitMo*LeaseUp!BO$9*BO$10,0)</f>
        <v/>
      </c>
      <c r="BP19" s="218">
        <f>IF(64&gt;=DeliverStart,ParkingPerUnitMo*LeaseUp!BP$9*BP$10,0)</f>
        <v/>
      </c>
      <c r="BQ19" s="218">
        <f>IF(65&gt;=DeliverStart,ParkingPerUnitMo*LeaseUp!BQ$9*BQ$10,0)</f>
        <v/>
      </c>
      <c r="BR19" s="218">
        <f>IF(66&gt;=DeliverStart,ParkingPerUnitMo*LeaseUp!BR$9*BR$10,0)</f>
        <v/>
      </c>
      <c r="BS19" s="218">
        <f>IF(67&gt;=DeliverStart,ParkingPerUnitMo*LeaseUp!BS$9*BS$10,0)</f>
        <v/>
      </c>
      <c r="BT19" s="218">
        <f>IF(68&gt;=DeliverStart,ParkingPerUnitMo*LeaseUp!BT$9*BT$10,0)</f>
        <v/>
      </c>
      <c r="BU19" s="218">
        <f>IF(69&gt;=DeliverStart,ParkingPerUnitMo*LeaseUp!BU$9*BU$10,0)</f>
        <v/>
      </c>
      <c r="BV19" s="218">
        <f>IF(70&gt;=DeliverStart,ParkingPerUnitMo*LeaseUp!BV$9*BV$10,0)</f>
        <v/>
      </c>
      <c r="BW19" s="218">
        <f>IF(71&gt;=DeliverStart,ParkingPerUnitMo*LeaseUp!BW$9*BW$10,0)</f>
        <v/>
      </c>
      <c r="BX19" s="218">
        <f>IF(72&gt;=DeliverStart,ParkingPerUnitMo*LeaseUp!BX$9*BX$10,0)</f>
        <v/>
      </c>
      <c r="BY19" s="218">
        <f>IF(73&gt;=DeliverStart,ParkingPerUnitMo*LeaseUp!BY$9*BY$10,0)</f>
        <v/>
      </c>
      <c r="BZ19" s="218">
        <f>IF(74&gt;=DeliverStart,ParkingPerUnitMo*LeaseUp!BZ$9*BZ$10,0)</f>
        <v/>
      </c>
      <c r="CA19" s="218">
        <f>IF(75&gt;=DeliverStart,ParkingPerUnitMo*LeaseUp!CA$9*CA$10,0)</f>
        <v/>
      </c>
      <c r="CB19" s="218">
        <f>IF(76&gt;=DeliverStart,ParkingPerUnitMo*LeaseUp!CB$9*CB$10,0)</f>
        <v/>
      </c>
      <c r="CC19" s="218">
        <f>IF(77&gt;=DeliverStart,ParkingPerUnitMo*LeaseUp!CC$9*CC$10,0)</f>
        <v/>
      </c>
      <c r="CD19" s="218">
        <f>IF(78&gt;=DeliverStart,ParkingPerUnitMo*LeaseUp!CD$9*CD$10,0)</f>
        <v/>
      </c>
      <c r="CE19" s="218">
        <f>IF(79&gt;=DeliverStart,ParkingPerUnitMo*LeaseUp!CE$9*CE$10,0)</f>
        <v/>
      </c>
      <c r="CF19" s="218">
        <f>IF(80&gt;=DeliverStart,ParkingPerUnitMo*LeaseUp!CF$9*CF$10,0)</f>
        <v/>
      </c>
      <c r="CG19" s="218">
        <f>IF(81&gt;=DeliverStart,ParkingPerUnitMo*LeaseUp!CG$9*CG$10,0)</f>
        <v/>
      </c>
      <c r="CH19" s="218">
        <f>IF(82&gt;=DeliverStart,ParkingPerUnitMo*LeaseUp!CH$9*CH$10,0)</f>
        <v/>
      </c>
      <c r="CI19" s="218">
        <f>IF(83&gt;=DeliverStart,ParkingPerUnitMo*LeaseUp!CI$9*CI$10,0)</f>
        <v/>
      </c>
      <c r="CJ19" s="218">
        <f>IF(84&gt;=DeliverStart,ParkingPerUnitMo*LeaseUp!CJ$9*CJ$10,0)</f>
        <v/>
      </c>
      <c r="CK19" s="218">
        <f>IF(85&gt;=DeliverStart,ParkingPerUnitMo*LeaseUp!CK$9*CK$10,0)</f>
        <v/>
      </c>
      <c r="CL19" s="218">
        <f>IF(86&gt;=DeliverStart,ParkingPerUnitMo*LeaseUp!CL$9*CL$10,0)</f>
        <v/>
      </c>
      <c r="CM19" s="218">
        <f>IF(87&gt;=DeliverStart,ParkingPerUnitMo*LeaseUp!CM$9*CM$10,0)</f>
        <v/>
      </c>
      <c r="CN19" s="218">
        <f>IF(88&gt;=DeliverStart,ParkingPerUnitMo*LeaseUp!CN$9*CN$10,0)</f>
        <v/>
      </c>
      <c r="CO19" s="218">
        <f>IF(89&gt;=DeliverStart,ParkingPerUnitMo*LeaseUp!CO$9*CO$10,0)</f>
        <v/>
      </c>
      <c r="CP19" s="218">
        <f>IF(90&gt;=DeliverStart,ParkingPerUnitMo*LeaseUp!CP$9*CP$10,0)</f>
        <v/>
      </c>
      <c r="CQ19" s="218">
        <f>IF(91&gt;=DeliverStart,ParkingPerUnitMo*LeaseUp!CQ$9*CQ$10,0)</f>
        <v/>
      </c>
      <c r="CR19" s="218">
        <f>IF(92&gt;=DeliverStart,ParkingPerUnitMo*LeaseUp!CR$9*CR$10,0)</f>
        <v/>
      </c>
      <c r="CS19" s="218">
        <f>IF(93&gt;=DeliverStart,ParkingPerUnitMo*LeaseUp!CS$9*CS$10,0)</f>
        <v/>
      </c>
      <c r="CT19" s="218">
        <f>IF(94&gt;=DeliverStart,ParkingPerUnitMo*LeaseUp!CT$9*CT$10,0)</f>
        <v/>
      </c>
      <c r="CU19" s="218">
        <f>IF(95&gt;=DeliverStart,ParkingPerUnitMo*LeaseUp!CU$9*CU$10,0)</f>
        <v/>
      </c>
      <c r="CV19" s="218">
        <f>IF(96&gt;=DeliverStart,ParkingPerUnitMo*LeaseUp!CV$9*CV$10,0)</f>
        <v/>
      </c>
      <c r="CW19" s="218">
        <f>IF(97&gt;=DeliverStart,ParkingPerUnitMo*LeaseUp!CW$9*CW$10,0)</f>
        <v/>
      </c>
      <c r="CX19" s="218">
        <f>IF(98&gt;=DeliverStart,ParkingPerUnitMo*LeaseUp!CX$9*CX$10,0)</f>
        <v/>
      </c>
      <c r="CY19" s="218">
        <f>IF(99&gt;=DeliverStart,ParkingPerUnitMo*LeaseUp!CY$9*CY$10,0)</f>
        <v/>
      </c>
      <c r="CZ19" s="218">
        <f>IF(100&gt;=DeliverStart,ParkingPerUnitMo*LeaseUp!CZ$9*CZ$10,0)</f>
        <v/>
      </c>
      <c r="DA19" s="218">
        <f>IF(101&gt;=DeliverStart,ParkingPerUnitMo*LeaseUp!DA$9*DA$10,0)</f>
        <v/>
      </c>
      <c r="DB19" s="218">
        <f>IF(102&gt;=DeliverStart,ParkingPerUnitMo*LeaseUp!DB$9*DB$10,0)</f>
        <v/>
      </c>
      <c r="DC19" s="218">
        <f>IF(103&gt;=DeliverStart,ParkingPerUnitMo*LeaseUp!DC$9*DC$10,0)</f>
        <v/>
      </c>
      <c r="DD19" s="218">
        <f>IF(104&gt;=DeliverStart,ParkingPerUnitMo*LeaseUp!DD$9*DD$10,0)</f>
        <v/>
      </c>
      <c r="DE19" s="218">
        <f>IF(105&gt;=DeliverStart,ParkingPerUnitMo*LeaseUp!DE$9*DE$10,0)</f>
        <v/>
      </c>
      <c r="DF19" s="218">
        <f>IF(106&gt;=DeliverStart,ParkingPerUnitMo*LeaseUp!DF$9*DF$10,0)</f>
        <v/>
      </c>
      <c r="DG19" s="218">
        <f>IF(107&gt;=DeliverStart,ParkingPerUnitMo*LeaseUp!DG$9*DG$10,0)</f>
        <v/>
      </c>
      <c r="DH19" s="218">
        <f>IF(108&gt;=DeliverStart,ParkingPerUnitMo*LeaseUp!DH$9*DH$10,0)</f>
        <v/>
      </c>
      <c r="DI19" s="218">
        <f>IF(109&gt;=DeliverStart,ParkingPerUnitMo*LeaseUp!DI$9*DI$10,0)</f>
        <v/>
      </c>
      <c r="DJ19" s="218">
        <f>IF(110&gt;=DeliverStart,ParkingPerUnitMo*LeaseUp!DJ$9*DJ$10,0)</f>
        <v/>
      </c>
      <c r="DK19" s="218">
        <f>IF(111&gt;=DeliverStart,ParkingPerUnitMo*LeaseUp!DK$9*DK$10,0)</f>
        <v/>
      </c>
      <c r="DL19" s="218">
        <f>IF(112&gt;=DeliverStart,ParkingPerUnitMo*LeaseUp!DL$9*DL$10,0)</f>
        <v/>
      </c>
      <c r="DM19" s="218">
        <f>IF(113&gt;=DeliverStart,ParkingPerUnitMo*LeaseUp!DM$9*DM$10,0)</f>
        <v/>
      </c>
      <c r="DN19" s="218">
        <f>IF(114&gt;=DeliverStart,ParkingPerUnitMo*LeaseUp!DN$9*DN$10,0)</f>
        <v/>
      </c>
      <c r="DO19" s="218">
        <f>IF(115&gt;=DeliverStart,ParkingPerUnitMo*LeaseUp!DO$9*DO$10,0)</f>
        <v/>
      </c>
      <c r="DP19" s="218">
        <f>IF(116&gt;=DeliverStart,ParkingPerUnitMo*LeaseUp!DP$9*DP$10,0)</f>
        <v/>
      </c>
      <c r="DQ19" s="218">
        <f>IF(117&gt;=DeliverStart,ParkingPerUnitMo*LeaseUp!DQ$9*DQ$10,0)</f>
        <v/>
      </c>
      <c r="DR19" s="218">
        <f>IF(118&gt;=DeliverStart,ParkingPerUnitMo*LeaseUp!DR$9*DR$10,0)</f>
        <v/>
      </c>
      <c r="DS19" s="218">
        <f>IF(119&gt;=DeliverStart,ParkingPerUnitMo*LeaseUp!DS$9*DS$10,0)</f>
        <v/>
      </c>
      <c r="DT19" s="218">
        <f>IF(120&gt;=DeliverStart,ParkingPerUnitMo*LeaseUp!DT$9*DT$10,0)</f>
        <v/>
      </c>
      <c r="DU19" s="218">
        <f>IF(121&gt;=DeliverStart,ParkingPerUnitMo*LeaseUp!DU$9*DU$10,0)</f>
        <v/>
      </c>
      <c r="DV19" s="218">
        <f>IF(122&gt;=DeliverStart,ParkingPerUnitMo*LeaseUp!DV$9*DV$10,0)</f>
        <v/>
      </c>
      <c r="DW19" s="218">
        <f>IF(123&gt;=DeliverStart,ParkingPerUnitMo*LeaseUp!DW$9*DW$10,0)</f>
        <v/>
      </c>
      <c r="DX19" s="218">
        <f>IF(124&gt;=DeliverStart,ParkingPerUnitMo*LeaseUp!DX$9*DX$10,0)</f>
        <v/>
      </c>
      <c r="DY19" s="218">
        <f>IF(125&gt;=DeliverStart,ParkingPerUnitMo*LeaseUp!DY$9*DY$10,0)</f>
        <v/>
      </c>
      <c r="DZ19" s="218">
        <f>IF(126&gt;=DeliverStart,ParkingPerUnitMo*LeaseUp!DZ$9*DZ$10,0)</f>
        <v/>
      </c>
      <c r="EA19" s="218">
        <f>IF(127&gt;=DeliverStart,ParkingPerUnitMo*LeaseUp!EA$9*EA$10,0)</f>
        <v/>
      </c>
      <c r="EB19" s="218">
        <f>IF(128&gt;=DeliverStart,ParkingPerUnitMo*LeaseUp!EB$9*EB$10,0)</f>
        <v/>
      </c>
      <c r="EC19" s="218">
        <f>IF(129&gt;=DeliverStart,ParkingPerUnitMo*LeaseUp!EC$9*EC$10,0)</f>
        <v/>
      </c>
      <c r="ED19" s="218">
        <f>IF(130&gt;=DeliverStart,ParkingPerUnitMo*LeaseUp!ED$9*ED$10,0)</f>
        <v/>
      </c>
      <c r="EE19" s="218">
        <f>IF(131&gt;=DeliverStart,ParkingPerUnitMo*LeaseUp!EE$9*EE$10,0)</f>
        <v/>
      </c>
      <c r="EF19" s="218">
        <f>IF(132&gt;=DeliverStart,ParkingPerUnitMo*LeaseUp!EF$9*EF$10,0)</f>
        <v/>
      </c>
      <c r="EG19" s="218">
        <f>IF(133&gt;=DeliverStart,ParkingPerUnitMo*LeaseUp!EG$9*EG$10,0)</f>
        <v/>
      </c>
      <c r="EH19" s="218">
        <f>IF(134&gt;=DeliverStart,ParkingPerUnitMo*LeaseUp!EH$9*EH$10,0)</f>
        <v/>
      </c>
      <c r="EI19" s="218">
        <f>IF(135&gt;=DeliverStart,ParkingPerUnitMo*LeaseUp!EI$9*EI$10,0)</f>
        <v/>
      </c>
      <c r="EJ19" s="218">
        <f>IF(136&gt;=DeliverStart,ParkingPerUnitMo*LeaseUp!EJ$9*EJ$10,0)</f>
        <v/>
      </c>
      <c r="EK19" s="218">
        <f>IF(137&gt;=DeliverStart,ParkingPerUnitMo*LeaseUp!EK$9*EK$10,0)</f>
        <v/>
      </c>
      <c r="EL19" s="218">
        <f>IF(138&gt;=DeliverStart,ParkingPerUnitMo*LeaseUp!EL$9*EL$10,0)</f>
        <v/>
      </c>
      <c r="EM19" s="218">
        <f>IF(139&gt;=DeliverStart,ParkingPerUnitMo*LeaseUp!EM$9*EM$10,0)</f>
        <v/>
      </c>
      <c r="EN19" s="218">
        <f>IF(140&gt;=DeliverStart,ParkingPerUnitMo*LeaseUp!EN$9*EN$10,0)</f>
        <v/>
      </c>
      <c r="EO19" s="218">
        <f>IF(141&gt;=DeliverStart,ParkingPerUnitMo*LeaseUp!EO$9*EO$10,0)</f>
        <v/>
      </c>
      <c r="EP19" s="218">
        <f>IF(142&gt;=DeliverStart,ParkingPerUnitMo*LeaseUp!EP$9*EP$10,0)</f>
        <v/>
      </c>
      <c r="EQ19" s="218">
        <f>IF(143&gt;=DeliverStart,ParkingPerUnitMo*LeaseUp!EQ$9*EQ$10,0)</f>
        <v/>
      </c>
      <c r="ER19" s="218">
        <f>IF(144&gt;=DeliverStart,ParkingPerUnitMo*LeaseUp!ER$9*ER$10,0)</f>
        <v/>
      </c>
      <c r="ES19" s="218">
        <f>IF(145&gt;=DeliverStart,ParkingPerUnitMo*LeaseUp!ES$9*ES$10,0)</f>
        <v/>
      </c>
      <c r="ET19" s="218">
        <f>IF(146&gt;=DeliverStart,ParkingPerUnitMo*LeaseUp!ET$9*ET$10,0)</f>
        <v/>
      </c>
      <c r="EU19" s="218">
        <f>IF(147&gt;=DeliverStart,ParkingPerUnitMo*LeaseUp!EU$9*EU$10,0)</f>
        <v/>
      </c>
      <c r="EV19" s="218">
        <f>IF(148&gt;=DeliverStart,ParkingPerUnitMo*LeaseUp!EV$9*EV$10,0)</f>
        <v/>
      </c>
      <c r="EW19" s="218">
        <f>IF(149&gt;=DeliverStart,ParkingPerUnitMo*LeaseUp!EW$9*EW$10,0)</f>
        <v/>
      </c>
      <c r="EX19" s="218">
        <f>IF(150&gt;=DeliverStart,ParkingPerUnitMo*LeaseUp!EX$9*EX$10,0)</f>
        <v/>
      </c>
      <c r="EY19" s="218">
        <f>IF(151&gt;=DeliverStart,ParkingPerUnitMo*LeaseUp!EY$9*EY$10,0)</f>
        <v/>
      </c>
      <c r="EZ19" s="218">
        <f>IF(152&gt;=DeliverStart,ParkingPerUnitMo*LeaseUp!EZ$9*EZ$10,0)</f>
        <v/>
      </c>
      <c r="FA19" s="218">
        <f>IF(153&gt;=DeliverStart,ParkingPerUnitMo*LeaseUp!FA$9*FA$10,0)</f>
        <v/>
      </c>
      <c r="FB19" s="218">
        <f>IF(154&gt;=DeliverStart,ParkingPerUnitMo*LeaseUp!FB$9*FB$10,0)</f>
        <v/>
      </c>
      <c r="FC19" s="218">
        <f>IF(155&gt;=DeliverStart,ParkingPerUnitMo*LeaseUp!FC$9*FC$10,0)</f>
        <v/>
      </c>
      <c r="FD19" s="218">
        <f>IF(156&gt;=DeliverStart,ParkingPerUnitMo*LeaseUp!FD$9*FD$10,0)</f>
        <v/>
      </c>
      <c r="FE19" s="218">
        <f>IF(157&gt;=DeliverStart,ParkingPerUnitMo*LeaseUp!FE$9*FE$10,0)</f>
        <v/>
      </c>
      <c r="FF19" s="218">
        <f>IF(158&gt;=DeliverStart,ParkingPerUnitMo*LeaseUp!FF$9*FF$10,0)</f>
        <v/>
      </c>
      <c r="FG19" s="218">
        <f>IF(159&gt;=DeliverStart,ParkingPerUnitMo*LeaseUp!FG$9*FG$10,0)</f>
        <v/>
      </c>
      <c r="FH19" s="218">
        <f>IF(160&gt;=DeliverStart,ParkingPerUnitMo*LeaseUp!FH$9*FH$10,0)</f>
        <v/>
      </c>
      <c r="FI19" s="218">
        <f>IF(161&gt;=DeliverStart,ParkingPerUnitMo*LeaseUp!FI$9*FI$10,0)</f>
        <v/>
      </c>
      <c r="FJ19" s="218">
        <f>IF(162&gt;=DeliverStart,ParkingPerUnitMo*LeaseUp!FJ$9*FJ$10,0)</f>
        <v/>
      </c>
      <c r="FK19" s="218">
        <f>IF(163&gt;=DeliverStart,ParkingPerUnitMo*LeaseUp!FK$9*FK$10,0)</f>
        <v/>
      </c>
      <c r="FL19" s="218">
        <f>IF(164&gt;=DeliverStart,ParkingPerUnitMo*LeaseUp!FL$9*FL$10,0)</f>
        <v/>
      </c>
      <c r="FM19" s="218">
        <f>IF(165&gt;=DeliverStart,ParkingPerUnitMo*LeaseUp!FM$9*FM$10,0)</f>
        <v/>
      </c>
      <c r="FN19" s="218">
        <f>IF(166&gt;=DeliverStart,ParkingPerUnitMo*LeaseUp!FN$9*FN$10,0)</f>
        <v/>
      </c>
      <c r="FO19" s="218">
        <f>IF(167&gt;=DeliverStart,ParkingPerUnitMo*LeaseUp!FO$9*FO$10,0)</f>
        <v/>
      </c>
      <c r="FP19" s="218">
        <f>IF(168&gt;=DeliverStart,ParkingPerUnitMo*LeaseUp!FP$9*FP$10,0)</f>
        <v/>
      </c>
      <c r="FQ19" s="218">
        <f>IF(169&gt;=DeliverStart,ParkingPerUnitMo*LeaseUp!FQ$9*FQ$10,0)</f>
        <v/>
      </c>
      <c r="FR19" s="218">
        <f>IF(170&gt;=DeliverStart,ParkingPerUnitMo*LeaseUp!FR$9*FR$10,0)</f>
        <v/>
      </c>
      <c r="FS19" s="218">
        <f>IF(171&gt;=DeliverStart,ParkingPerUnitMo*LeaseUp!FS$9*FS$10,0)</f>
        <v/>
      </c>
      <c r="FT19" s="218">
        <f>IF(172&gt;=DeliverStart,ParkingPerUnitMo*LeaseUp!FT$9*FT$10,0)</f>
        <v/>
      </c>
      <c r="FU19" s="218">
        <f>IF(173&gt;=DeliverStart,ParkingPerUnitMo*LeaseUp!FU$9*FU$10,0)</f>
        <v/>
      </c>
      <c r="FV19" s="218">
        <f>IF(174&gt;=DeliverStart,ParkingPerUnitMo*LeaseUp!FV$9*FV$10,0)</f>
        <v/>
      </c>
      <c r="FW19" s="218">
        <f>IF(175&gt;=DeliverStart,ParkingPerUnitMo*LeaseUp!FW$9*FW$10,0)</f>
        <v/>
      </c>
      <c r="FX19" s="218">
        <f>IF(176&gt;=DeliverStart,ParkingPerUnitMo*LeaseUp!FX$9*FX$10,0)</f>
        <v/>
      </c>
      <c r="FY19" s="218">
        <f>IF(177&gt;=DeliverStart,ParkingPerUnitMo*LeaseUp!FY$9*FY$10,0)</f>
        <v/>
      </c>
      <c r="FZ19" s="218">
        <f>IF(178&gt;=DeliverStart,ParkingPerUnitMo*LeaseUp!FZ$9*FZ$10,0)</f>
        <v/>
      </c>
      <c r="GA19" s="218">
        <f>IF(179&gt;=DeliverStart,ParkingPerUnitMo*LeaseUp!GA$9*GA$10,0)</f>
        <v/>
      </c>
      <c r="GB19" s="218">
        <f>IF(180&gt;=DeliverStart,ParkingPerUnitMo*LeaseUp!GB$9*GB$10,0)</f>
        <v/>
      </c>
      <c r="GC19" s="218">
        <f>IF(181&gt;=DeliverStart,ParkingPerUnitMo*LeaseUp!GC$9*GC$10,0)</f>
        <v/>
      </c>
      <c r="GD19" s="218">
        <f>IF(182&gt;=DeliverStart,ParkingPerUnitMo*LeaseUp!GD$9*GD$10,0)</f>
        <v/>
      </c>
      <c r="GE19" s="218">
        <f>IF(183&gt;=DeliverStart,ParkingPerUnitMo*LeaseUp!GE$9*GE$10,0)</f>
        <v/>
      </c>
      <c r="GF19" s="218">
        <f>IF(184&gt;=DeliverStart,ParkingPerUnitMo*LeaseUp!GF$9*GF$10,0)</f>
        <v/>
      </c>
      <c r="GG19" s="218">
        <f>IF(185&gt;=DeliverStart,ParkingPerUnitMo*LeaseUp!GG$9*GG$10,0)</f>
        <v/>
      </c>
      <c r="GH19" s="218">
        <f>IF(186&gt;=DeliverStart,ParkingPerUnitMo*LeaseUp!GH$9*GH$10,0)</f>
        <v/>
      </c>
      <c r="GI19" s="218">
        <f>IF(187&gt;=DeliverStart,ParkingPerUnitMo*LeaseUp!GI$9*GI$10,0)</f>
        <v/>
      </c>
      <c r="GJ19" s="218">
        <f>IF(188&gt;=DeliverStart,ParkingPerUnitMo*LeaseUp!GJ$9*GJ$10,0)</f>
        <v/>
      </c>
      <c r="GK19" s="218">
        <f>IF(189&gt;=DeliverStart,ParkingPerUnitMo*LeaseUp!GK$9*GK$10,0)</f>
        <v/>
      </c>
      <c r="GL19" s="218">
        <f>IF(190&gt;=DeliverStart,ParkingPerUnitMo*LeaseUp!GL$9*GL$10,0)</f>
        <v/>
      </c>
      <c r="GM19" s="218">
        <f>IF(191&gt;=DeliverStart,ParkingPerUnitMo*LeaseUp!GM$9*GM$10,0)</f>
        <v/>
      </c>
      <c r="GN19" s="218">
        <f>IF(192&gt;=DeliverStart,ParkingPerUnitMo*LeaseUp!GN$9*GN$10,0)</f>
        <v/>
      </c>
      <c r="GO19" s="218">
        <f>IF(193&gt;=DeliverStart,ParkingPerUnitMo*LeaseUp!GO$9*GO$10,0)</f>
        <v/>
      </c>
      <c r="GP19" s="218">
        <f>IF(194&gt;=DeliverStart,ParkingPerUnitMo*LeaseUp!GP$9*GP$10,0)</f>
        <v/>
      </c>
      <c r="GQ19" s="218">
        <f>IF(195&gt;=DeliverStart,ParkingPerUnitMo*LeaseUp!GQ$9*GQ$10,0)</f>
        <v/>
      </c>
      <c r="GR19" s="218">
        <f>IF(196&gt;=DeliverStart,ParkingPerUnitMo*LeaseUp!GR$9*GR$10,0)</f>
        <v/>
      </c>
      <c r="GS19" s="218">
        <f>IF(197&gt;=DeliverStart,ParkingPerUnitMo*LeaseUp!GS$9*GS$10,0)</f>
        <v/>
      </c>
      <c r="GT19" s="218">
        <f>IF(198&gt;=DeliverStart,ParkingPerUnitMo*LeaseUp!GT$9*GT$10,0)</f>
        <v/>
      </c>
      <c r="GU19" s="218">
        <f>IF(199&gt;=DeliverStart,ParkingPerUnitMo*LeaseUp!GU$9*GU$10,0)</f>
        <v/>
      </c>
      <c r="GV19" s="218">
        <f>IF(200&gt;=DeliverStart,ParkingPerUnitMo*LeaseUp!GV$9*GV$10,0)</f>
        <v/>
      </c>
      <c r="GW19" s="218">
        <f>IF(201&gt;=DeliverStart,ParkingPerUnitMo*LeaseUp!GW$9*GW$10,0)</f>
        <v/>
      </c>
      <c r="GX19" s="218">
        <f>IF(202&gt;=DeliverStart,ParkingPerUnitMo*LeaseUp!GX$9*GX$10,0)</f>
        <v/>
      </c>
      <c r="GY19" s="218">
        <f>IF(203&gt;=DeliverStart,ParkingPerUnitMo*LeaseUp!GY$9*GY$10,0)</f>
        <v/>
      </c>
      <c r="GZ19" s="218">
        <f>IF(204&gt;=DeliverStart,ParkingPerUnitMo*LeaseUp!GZ$9*GZ$10,0)</f>
        <v/>
      </c>
      <c r="HA19" s="218">
        <f>IF(205&gt;=DeliverStart,ParkingPerUnitMo*LeaseUp!HA$9*HA$10,0)</f>
        <v/>
      </c>
      <c r="HB19" s="218">
        <f>IF(206&gt;=DeliverStart,ParkingPerUnitMo*LeaseUp!HB$9*HB$10,0)</f>
        <v/>
      </c>
      <c r="HC19" s="218">
        <f>IF(207&gt;=DeliverStart,ParkingPerUnitMo*LeaseUp!HC$9*HC$10,0)</f>
        <v/>
      </c>
      <c r="HD19" s="218">
        <f>IF(208&gt;=DeliverStart,ParkingPerUnitMo*LeaseUp!HD$9*HD$10,0)</f>
        <v/>
      </c>
      <c r="HE19" s="218">
        <f>IF(209&gt;=DeliverStart,ParkingPerUnitMo*LeaseUp!HE$9*HE$10,0)</f>
        <v/>
      </c>
      <c r="HF19" s="218">
        <f>IF(210&gt;=DeliverStart,ParkingPerUnitMo*LeaseUp!HF$9*HF$10,0)</f>
        <v/>
      </c>
      <c r="HG19" s="218">
        <f>IF(211&gt;=DeliverStart,ParkingPerUnitMo*LeaseUp!HG$9*HG$10,0)</f>
        <v/>
      </c>
      <c r="HH19" s="218">
        <f>IF(212&gt;=DeliverStart,ParkingPerUnitMo*LeaseUp!HH$9*HH$10,0)</f>
        <v/>
      </c>
      <c r="HI19" s="218">
        <f>IF(213&gt;=DeliverStart,ParkingPerUnitMo*LeaseUp!HI$9*HI$10,0)</f>
        <v/>
      </c>
      <c r="HJ19" s="218">
        <f>IF(214&gt;=DeliverStart,ParkingPerUnitMo*LeaseUp!HJ$9*HJ$10,0)</f>
        <v/>
      </c>
      <c r="HK19" s="218">
        <f>IF(215&gt;=DeliverStart,ParkingPerUnitMo*LeaseUp!HK$9*HK$10,0)</f>
        <v/>
      </c>
      <c r="HL19" s="218">
        <f>IF(216&gt;=DeliverStart,ParkingPerUnitMo*LeaseUp!HL$9*HL$10,0)</f>
        <v/>
      </c>
      <c r="HM19" s="218">
        <f>IF(217&gt;=DeliverStart,ParkingPerUnitMo*LeaseUp!HM$9*HM$10,0)</f>
        <v/>
      </c>
      <c r="HN19" s="218">
        <f>IF(218&gt;=DeliverStart,ParkingPerUnitMo*LeaseUp!HN$9*HN$10,0)</f>
        <v/>
      </c>
      <c r="HO19" s="218">
        <f>IF(219&gt;=DeliverStart,ParkingPerUnitMo*LeaseUp!HO$9*HO$10,0)</f>
        <v/>
      </c>
      <c r="HP19" s="218">
        <f>IF(220&gt;=DeliverStart,ParkingPerUnitMo*LeaseUp!HP$9*HP$10,0)</f>
        <v/>
      </c>
      <c r="HQ19" s="218">
        <f>IF(221&gt;=DeliverStart,ParkingPerUnitMo*LeaseUp!HQ$9*HQ$10,0)</f>
        <v/>
      </c>
      <c r="HR19" s="218">
        <f>IF(222&gt;=DeliverStart,ParkingPerUnitMo*LeaseUp!HR$9*HR$10,0)</f>
        <v/>
      </c>
      <c r="HS19" s="218">
        <f>IF(223&gt;=DeliverStart,ParkingPerUnitMo*LeaseUp!HS$9*HS$10,0)</f>
        <v/>
      </c>
      <c r="HT19" s="218">
        <f>IF(224&gt;=DeliverStart,ParkingPerUnitMo*LeaseUp!HT$9*HT$10,0)</f>
        <v/>
      </c>
      <c r="HU19" s="218">
        <f>IF(225&gt;=DeliverStart,ParkingPerUnitMo*LeaseUp!HU$9*HU$10,0)</f>
        <v/>
      </c>
      <c r="HV19" s="218">
        <f>IF(226&gt;=DeliverStart,ParkingPerUnitMo*LeaseUp!HV$9*HV$10,0)</f>
        <v/>
      </c>
      <c r="HW19" s="218">
        <f>IF(227&gt;=DeliverStart,ParkingPerUnitMo*LeaseUp!HW$9*HW$10,0)</f>
        <v/>
      </c>
      <c r="HX19" s="218">
        <f>IF(228&gt;=DeliverStart,ParkingPerUnitMo*LeaseUp!HX$9*HX$10,0)</f>
        <v/>
      </c>
      <c r="HY19" s="218">
        <f>IF(229&gt;=DeliverStart,ParkingPerUnitMo*LeaseUp!HY$9*HY$10,0)</f>
        <v/>
      </c>
      <c r="HZ19" s="218">
        <f>IF(230&gt;=DeliverStart,ParkingPerUnitMo*LeaseUp!HZ$9*HZ$10,0)</f>
        <v/>
      </c>
      <c r="IA19" s="218">
        <f>IF(231&gt;=DeliverStart,ParkingPerUnitMo*LeaseUp!IA$9*IA$10,0)</f>
        <v/>
      </c>
      <c r="IB19" s="218">
        <f>IF(232&gt;=DeliverStart,ParkingPerUnitMo*LeaseUp!IB$9*IB$10,0)</f>
        <v/>
      </c>
      <c r="IC19" s="218">
        <f>IF(233&gt;=DeliverStart,ParkingPerUnitMo*LeaseUp!IC$9*IC$10,0)</f>
        <v/>
      </c>
      <c r="ID19" s="218">
        <f>IF(234&gt;=DeliverStart,ParkingPerUnitMo*LeaseUp!ID$9*ID$10,0)</f>
        <v/>
      </c>
      <c r="IE19" s="218">
        <f>IF(235&gt;=DeliverStart,ParkingPerUnitMo*LeaseUp!IE$9*IE$10,0)</f>
        <v/>
      </c>
      <c r="IF19" s="218">
        <f>IF(236&gt;=DeliverStart,ParkingPerUnitMo*LeaseUp!IF$9*IF$10,0)</f>
        <v/>
      </c>
      <c r="IG19" s="218">
        <f>IF(237&gt;=DeliverStart,ParkingPerUnitMo*LeaseUp!IG$9*IG$10,0)</f>
        <v/>
      </c>
      <c r="IH19" s="218">
        <f>IF(238&gt;=DeliverStart,ParkingPerUnitMo*LeaseUp!IH$9*IH$10,0)</f>
        <v/>
      </c>
      <c r="II19" s="218">
        <f>IF(239&gt;=DeliverStart,ParkingPerUnitMo*LeaseUp!II$9*II$10,0)</f>
        <v/>
      </c>
      <c r="IJ19" s="218">
        <f>IF(240&gt;=DeliverStart,ParkingPerUnitMo*LeaseUp!IJ$9*IJ$10,0)</f>
        <v/>
      </c>
      <c r="IK19" s="218">
        <f>IF(241&gt;=DeliverStart,ParkingPerUnitMo*LeaseUp!IK$9*IK$10,0)</f>
        <v/>
      </c>
      <c r="IL19" s="218">
        <f>IF(242&gt;=DeliverStart,ParkingPerUnitMo*LeaseUp!IL$9*IL$10,0)</f>
        <v/>
      </c>
      <c r="IM19" s="218">
        <f>IF(243&gt;=DeliverStart,ParkingPerUnitMo*LeaseUp!IM$9*IM$10,0)</f>
        <v/>
      </c>
      <c r="IN19" s="218">
        <f>IF(244&gt;=DeliverStart,ParkingPerUnitMo*LeaseUp!IN$9*IN$10,0)</f>
        <v/>
      </c>
      <c r="IO19" s="218">
        <f>IF(245&gt;=DeliverStart,ParkingPerUnitMo*LeaseUp!IO$9*IO$10,0)</f>
        <v/>
      </c>
      <c r="IP19" s="218">
        <f>IF(246&gt;=DeliverStart,ParkingPerUnitMo*LeaseUp!IP$9*IP$10,0)</f>
        <v/>
      </c>
      <c r="IQ19" s="218">
        <f>IF(247&gt;=DeliverStart,ParkingPerUnitMo*LeaseUp!IQ$9*IQ$10,0)</f>
        <v/>
      </c>
      <c r="IR19" s="218">
        <f>IF(248&gt;=DeliverStart,ParkingPerUnitMo*LeaseUp!IR$9*IR$10,0)</f>
        <v/>
      </c>
      <c r="IS19" s="218">
        <f>IF(249&gt;=DeliverStart,ParkingPerUnitMo*LeaseUp!IS$9*IS$10,0)</f>
        <v/>
      </c>
      <c r="IT19" s="218">
        <f>IF(250&gt;=DeliverStart,ParkingPerUnitMo*LeaseUp!IT$9*IT$10,0)</f>
        <v/>
      </c>
      <c r="IU19" s="218">
        <f>IF(251&gt;=DeliverStart,ParkingPerUnitMo*LeaseUp!IU$9*IU$10,0)</f>
        <v/>
      </c>
      <c r="IV19" s="218">
        <f>IF(252&gt;=DeliverStart,ParkingPerUnitMo*LeaseUp!IV$9*IV$10,0)</f>
        <v/>
      </c>
      <c r="IW19" s="218">
        <f>IF(253&gt;=DeliverStart,ParkingPerUnitMo*LeaseUp!IW$9*IW$10,0)</f>
        <v/>
      </c>
      <c r="IX19" s="218">
        <f>IF(254&gt;=DeliverStart,ParkingPerUnitMo*LeaseUp!IX$9*IX$10,0)</f>
        <v/>
      </c>
      <c r="IY19" s="218">
        <f>IF(255&gt;=DeliverStart,ParkingPerUnitMo*LeaseUp!IY$9*IY$10,0)</f>
        <v/>
      </c>
      <c r="IZ19" s="218">
        <f>IF(256&gt;=DeliverStart,ParkingPerUnitMo*LeaseUp!IZ$9*IZ$10,0)</f>
        <v/>
      </c>
      <c r="JA19" s="218">
        <f>IF(257&gt;=DeliverStart,ParkingPerUnitMo*LeaseUp!JA$9*JA$10,0)</f>
        <v/>
      </c>
      <c r="JB19" s="218">
        <f>IF(258&gt;=DeliverStart,ParkingPerUnitMo*LeaseUp!JB$9*JB$10,0)</f>
        <v/>
      </c>
      <c r="JC19" s="218">
        <f>IF(259&gt;=DeliverStart,ParkingPerUnitMo*LeaseUp!JC$9*JC$10,0)</f>
        <v/>
      </c>
      <c r="JD19" s="218">
        <f>IF(260&gt;=DeliverStart,ParkingPerUnitMo*LeaseUp!JD$9*JD$10,0)</f>
        <v/>
      </c>
      <c r="JE19" s="218">
        <f>IF(261&gt;=DeliverStart,ParkingPerUnitMo*LeaseUp!JE$9*JE$10,0)</f>
        <v/>
      </c>
      <c r="JF19" s="218">
        <f>IF(262&gt;=DeliverStart,ParkingPerUnitMo*LeaseUp!JF$9*JF$10,0)</f>
        <v/>
      </c>
      <c r="JG19" s="218">
        <f>IF(263&gt;=DeliverStart,ParkingPerUnitMo*LeaseUp!JG$9*JG$10,0)</f>
        <v/>
      </c>
      <c r="JH19" s="218">
        <f>IF(264&gt;=DeliverStart,ParkingPerUnitMo*LeaseUp!JH$9*JH$10,0)</f>
        <v/>
      </c>
      <c r="JI19" s="218">
        <f>IF(265&gt;=DeliverStart,ParkingPerUnitMo*LeaseUp!JI$9*JI$10,0)</f>
        <v/>
      </c>
      <c r="JJ19" s="218">
        <f>IF(266&gt;=DeliverStart,ParkingPerUnitMo*LeaseUp!JJ$9*JJ$10,0)</f>
        <v/>
      </c>
      <c r="JK19" s="218">
        <f>IF(267&gt;=DeliverStart,ParkingPerUnitMo*LeaseUp!JK$9*JK$10,0)</f>
        <v/>
      </c>
      <c r="JL19" s="218">
        <f>IF(268&gt;=DeliverStart,ParkingPerUnitMo*LeaseUp!JL$9*JL$10,0)</f>
        <v/>
      </c>
      <c r="JM19" s="218">
        <f>IF(269&gt;=DeliverStart,ParkingPerUnitMo*LeaseUp!JM$9*JM$10,0)</f>
        <v/>
      </c>
      <c r="JN19" s="218">
        <f>IF(270&gt;=DeliverStart,ParkingPerUnitMo*LeaseUp!JN$9*JN$10,0)</f>
        <v/>
      </c>
      <c r="JO19" s="218">
        <f>IF(271&gt;=DeliverStart,ParkingPerUnitMo*LeaseUp!JO$9*JO$10,0)</f>
        <v/>
      </c>
      <c r="JP19" s="218">
        <f>IF(272&gt;=DeliverStart,ParkingPerUnitMo*LeaseUp!JP$9*JP$10,0)</f>
        <v/>
      </c>
      <c r="JQ19" s="218">
        <f>IF(273&gt;=DeliverStart,ParkingPerUnitMo*LeaseUp!JQ$9*JQ$10,0)</f>
        <v/>
      </c>
      <c r="JR19" s="218">
        <f>IF(274&gt;=DeliverStart,ParkingPerUnitMo*LeaseUp!JR$9*JR$10,0)</f>
        <v/>
      </c>
      <c r="JS19" s="218">
        <f>IF(275&gt;=DeliverStart,ParkingPerUnitMo*LeaseUp!JS$9*JS$10,0)</f>
        <v/>
      </c>
      <c r="JT19" s="218">
        <f>IF(276&gt;=DeliverStart,ParkingPerUnitMo*LeaseUp!JT$9*JT$10,0)</f>
        <v/>
      </c>
      <c r="JU19" s="218">
        <f>IF(277&gt;=DeliverStart,ParkingPerUnitMo*LeaseUp!JU$9*JU$10,0)</f>
        <v/>
      </c>
      <c r="JV19" s="218">
        <f>IF(278&gt;=DeliverStart,ParkingPerUnitMo*LeaseUp!JV$9*JV$10,0)</f>
        <v/>
      </c>
      <c r="JW19" s="218">
        <f>IF(279&gt;=DeliverStart,ParkingPerUnitMo*LeaseUp!JW$9*JW$10,0)</f>
        <v/>
      </c>
      <c r="JX19" s="218">
        <f>IF(280&gt;=DeliverStart,ParkingPerUnitMo*LeaseUp!JX$9*JX$10,0)</f>
        <v/>
      </c>
      <c r="JY19" s="218">
        <f>IF(281&gt;=DeliverStart,ParkingPerUnitMo*LeaseUp!JY$9*JY$10,0)</f>
        <v/>
      </c>
      <c r="JZ19" s="218">
        <f>IF(282&gt;=DeliverStart,ParkingPerUnitMo*LeaseUp!JZ$9*JZ$10,0)</f>
        <v/>
      </c>
      <c r="KA19" s="218">
        <f>IF(283&gt;=DeliverStart,ParkingPerUnitMo*LeaseUp!KA$9*KA$10,0)</f>
        <v/>
      </c>
      <c r="KB19" s="218">
        <f>IF(284&gt;=DeliverStart,ParkingPerUnitMo*LeaseUp!KB$9*KB$10,0)</f>
        <v/>
      </c>
      <c r="KC19" s="218">
        <f>IF(285&gt;=DeliverStart,ParkingPerUnitMo*LeaseUp!KC$9*KC$10,0)</f>
        <v/>
      </c>
      <c r="KD19" s="218">
        <f>IF(286&gt;=DeliverStart,ParkingPerUnitMo*LeaseUp!KD$9*KD$10,0)</f>
        <v/>
      </c>
      <c r="KE19" s="218">
        <f>IF(287&gt;=DeliverStart,ParkingPerUnitMo*LeaseUp!KE$9*KE$10,0)</f>
        <v/>
      </c>
      <c r="KF19" s="218">
        <f>IF(288&gt;=DeliverStart,ParkingPerUnitMo*LeaseUp!KF$9*KF$10,0)</f>
        <v/>
      </c>
      <c r="KG19" s="218">
        <f>IF(289&gt;=DeliverStart,ParkingPerUnitMo*LeaseUp!KG$9*KG$10,0)</f>
        <v/>
      </c>
      <c r="KH19" s="218">
        <f>IF(290&gt;=DeliverStart,ParkingPerUnitMo*LeaseUp!KH$9*KH$10,0)</f>
        <v/>
      </c>
      <c r="KI19" s="218">
        <f>IF(291&gt;=DeliverStart,ParkingPerUnitMo*LeaseUp!KI$9*KI$10,0)</f>
        <v/>
      </c>
      <c r="KJ19" s="218">
        <f>IF(292&gt;=DeliverStart,ParkingPerUnitMo*LeaseUp!KJ$9*KJ$10,0)</f>
        <v/>
      </c>
      <c r="KK19" s="218">
        <f>IF(293&gt;=DeliverStart,ParkingPerUnitMo*LeaseUp!KK$9*KK$10,0)</f>
        <v/>
      </c>
      <c r="KL19" s="218">
        <f>IF(294&gt;=DeliverStart,ParkingPerUnitMo*LeaseUp!KL$9*KL$10,0)</f>
        <v/>
      </c>
      <c r="KM19" s="218">
        <f>IF(295&gt;=DeliverStart,ParkingPerUnitMo*LeaseUp!KM$9*KM$10,0)</f>
        <v/>
      </c>
      <c r="KN19" s="218">
        <f>IF(296&gt;=DeliverStart,ParkingPerUnitMo*LeaseUp!KN$9*KN$10,0)</f>
        <v/>
      </c>
      <c r="KO19" s="218">
        <f>IF(297&gt;=DeliverStart,ParkingPerUnitMo*LeaseUp!KO$9*KO$10,0)</f>
        <v/>
      </c>
      <c r="KP19" s="218">
        <f>IF(298&gt;=DeliverStart,ParkingPerUnitMo*LeaseUp!KP$9*KP$10,0)</f>
        <v/>
      </c>
      <c r="KQ19" s="218">
        <f>IF(299&gt;=DeliverStart,ParkingPerUnitMo*LeaseUp!KQ$9*KQ$10,0)</f>
        <v/>
      </c>
      <c r="KR19" s="218">
        <f>IF(300&gt;=DeliverStart,ParkingPerUnitMo*LeaseUp!KR$9*KR$10,0)</f>
        <v/>
      </c>
      <c r="KS19" s="218">
        <f>IF(301&gt;=DeliverStart,ParkingPerUnitMo*LeaseUp!KS$9*KS$10,0)</f>
        <v/>
      </c>
      <c r="KT19" s="218">
        <f>IF(302&gt;=DeliverStart,ParkingPerUnitMo*LeaseUp!KT$9*KT$10,0)</f>
        <v/>
      </c>
      <c r="KU19" s="218">
        <f>IF(303&gt;=DeliverStart,ParkingPerUnitMo*LeaseUp!KU$9*KU$10,0)</f>
        <v/>
      </c>
      <c r="KV19" s="218">
        <f>IF(304&gt;=DeliverStart,ParkingPerUnitMo*LeaseUp!KV$9*KV$10,0)</f>
        <v/>
      </c>
      <c r="KW19" s="218">
        <f>IF(305&gt;=DeliverStart,ParkingPerUnitMo*LeaseUp!KW$9*KW$10,0)</f>
        <v/>
      </c>
      <c r="KX19" s="218">
        <f>IF(306&gt;=DeliverStart,ParkingPerUnitMo*LeaseUp!KX$9*KX$10,0)</f>
        <v/>
      </c>
      <c r="KY19" s="218">
        <f>IF(307&gt;=DeliverStart,ParkingPerUnitMo*LeaseUp!KY$9*KY$10,0)</f>
        <v/>
      </c>
      <c r="KZ19" s="218">
        <f>IF(308&gt;=DeliverStart,ParkingPerUnitMo*LeaseUp!KZ$9*KZ$10,0)</f>
        <v/>
      </c>
      <c r="LA19" s="218">
        <f>IF(309&gt;=DeliverStart,ParkingPerUnitMo*LeaseUp!LA$9*LA$10,0)</f>
        <v/>
      </c>
      <c r="LB19" s="218">
        <f>IF(310&gt;=DeliverStart,ParkingPerUnitMo*LeaseUp!LB$9*LB$10,0)</f>
        <v/>
      </c>
      <c r="LC19" s="218">
        <f>IF(311&gt;=DeliverStart,ParkingPerUnitMo*LeaseUp!LC$9*LC$10,0)</f>
        <v/>
      </c>
      <c r="LD19" s="218">
        <f>IF(312&gt;=DeliverStart,ParkingPerUnitMo*LeaseUp!LD$9*LD$10,0)</f>
        <v/>
      </c>
      <c r="LE19" s="218">
        <f>IF(313&gt;=DeliverStart,ParkingPerUnitMo*LeaseUp!LE$9*LE$10,0)</f>
        <v/>
      </c>
      <c r="LF19" s="218">
        <f>IF(314&gt;=DeliverStart,ParkingPerUnitMo*LeaseUp!LF$9*LF$10,0)</f>
        <v/>
      </c>
      <c r="LG19" s="218">
        <f>IF(315&gt;=DeliverStart,ParkingPerUnitMo*LeaseUp!LG$9*LG$10,0)</f>
        <v/>
      </c>
      <c r="LH19" s="218">
        <f>IF(316&gt;=DeliverStart,ParkingPerUnitMo*LeaseUp!LH$9*LH$10,0)</f>
        <v/>
      </c>
      <c r="LI19" s="218">
        <f>IF(317&gt;=DeliverStart,ParkingPerUnitMo*LeaseUp!LI$9*LI$10,0)</f>
        <v/>
      </c>
      <c r="LJ19" s="218">
        <f>IF(318&gt;=DeliverStart,ParkingPerUnitMo*LeaseUp!LJ$9*LJ$10,0)</f>
        <v/>
      </c>
      <c r="LK19" s="218">
        <f>IF(319&gt;=DeliverStart,ParkingPerUnitMo*LeaseUp!LK$9*LK$10,0)</f>
        <v/>
      </c>
      <c r="LL19" s="218">
        <f>IF(320&gt;=DeliverStart,ParkingPerUnitMo*LeaseUp!LL$9*LL$10,0)</f>
        <v/>
      </c>
      <c r="LM19" s="218">
        <f>IF(321&gt;=DeliverStart,ParkingPerUnitMo*LeaseUp!LM$9*LM$10,0)</f>
        <v/>
      </c>
      <c r="LN19" s="218">
        <f>IF(322&gt;=DeliverStart,ParkingPerUnitMo*LeaseUp!LN$9*LN$10,0)</f>
        <v/>
      </c>
      <c r="LO19" s="218">
        <f>IF(323&gt;=DeliverStart,ParkingPerUnitMo*LeaseUp!LO$9*LO$10,0)</f>
        <v/>
      </c>
      <c r="LP19" s="218">
        <f>IF(324&gt;=DeliverStart,ParkingPerUnitMo*LeaseUp!LP$9*LP$10,0)</f>
        <v/>
      </c>
      <c r="LQ19" s="218">
        <f>IF(325&gt;=DeliverStart,ParkingPerUnitMo*LeaseUp!LQ$9*LQ$10,0)</f>
        <v/>
      </c>
      <c r="LR19" s="218">
        <f>IF(326&gt;=DeliverStart,ParkingPerUnitMo*LeaseUp!LR$9*LR$10,0)</f>
        <v/>
      </c>
      <c r="LS19" s="218">
        <f>IF(327&gt;=DeliverStart,ParkingPerUnitMo*LeaseUp!LS$9*LS$10,0)</f>
        <v/>
      </c>
      <c r="LT19" s="218">
        <f>IF(328&gt;=DeliverStart,ParkingPerUnitMo*LeaseUp!LT$9*LT$10,0)</f>
        <v/>
      </c>
      <c r="LU19" s="218">
        <f>IF(329&gt;=DeliverStart,ParkingPerUnitMo*LeaseUp!LU$9*LU$10,0)</f>
        <v/>
      </c>
      <c r="LV19" s="218">
        <f>IF(330&gt;=DeliverStart,ParkingPerUnitMo*LeaseUp!LV$9*LV$10,0)</f>
        <v/>
      </c>
      <c r="LW19" s="218">
        <f>IF(331&gt;=DeliverStart,ParkingPerUnitMo*LeaseUp!LW$9*LW$10,0)</f>
        <v/>
      </c>
      <c r="LX19" s="218">
        <f>IF(332&gt;=DeliverStart,ParkingPerUnitMo*LeaseUp!LX$9*LX$10,0)</f>
        <v/>
      </c>
      <c r="LY19" s="218">
        <f>IF(333&gt;=DeliverStart,ParkingPerUnitMo*LeaseUp!LY$9*LY$10,0)</f>
        <v/>
      </c>
      <c r="LZ19" s="218">
        <f>IF(334&gt;=DeliverStart,ParkingPerUnitMo*LeaseUp!LZ$9*LZ$10,0)</f>
        <v/>
      </c>
      <c r="MA19" s="218">
        <f>IF(335&gt;=DeliverStart,ParkingPerUnitMo*LeaseUp!MA$9*MA$10,0)</f>
        <v/>
      </c>
      <c r="MB19" s="218">
        <f>IF(336&gt;=DeliverStart,ParkingPerUnitMo*LeaseUp!MB$9*MB$10,0)</f>
        <v/>
      </c>
      <c r="MC19" s="218">
        <f>IF(337&gt;=DeliverStart,ParkingPerUnitMo*LeaseUp!MC$9*MC$10,0)</f>
        <v/>
      </c>
      <c r="MD19" s="218">
        <f>IF(338&gt;=DeliverStart,ParkingPerUnitMo*LeaseUp!MD$9*MD$10,0)</f>
        <v/>
      </c>
      <c r="ME19" s="218">
        <f>IF(339&gt;=DeliverStart,ParkingPerUnitMo*LeaseUp!ME$9*ME$10,0)</f>
        <v/>
      </c>
      <c r="MF19" s="218">
        <f>IF(340&gt;=DeliverStart,ParkingPerUnitMo*LeaseUp!MF$9*MF$10,0)</f>
        <v/>
      </c>
      <c r="MG19" s="218">
        <f>IF(341&gt;=DeliverStart,ParkingPerUnitMo*LeaseUp!MG$9*MG$10,0)</f>
        <v/>
      </c>
      <c r="MH19" s="218">
        <f>IF(342&gt;=DeliverStart,ParkingPerUnitMo*LeaseUp!MH$9*MH$10,0)</f>
        <v/>
      </c>
      <c r="MI19" s="218">
        <f>IF(343&gt;=DeliverStart,ParkingPerUnitMo*LeaseUp!MI$9*MI$10,0)</f>
        <v/>
      </c>
      <c r="MJ19" s="218">
        <f>IF(344&gt;=DeliverStart,ParkingPerUnitMo*LeaseUp!MJ$9*MJ$10,0)</f>
        <v/>
      </c>
      <c r="MK19" s="218">
        <f>IF(345&gt;=DeliverStart,ParkingPerUnitMo*LeaseUp!MK$9*MK$10,0)</f>
        <v/>
      </c>
      <c r="ML19" s="218">
        <f>IF(346&gt;=DeliverStart,ParkingPerUnitMo*LeaseUp!ML$9*ML$10,0)</f>
        <v/>
      </c>
      <c r="MM19" s="218">
        <f>IF(347&gt;=DeliverStart,ParkingPerUnitMo*LeaseUp!MM$9*MM$10,0)</f>
        <v/>
      </c>
      <c r="MN19" s="218">
        <f>IF(348&gt;=DeliverStart,ParkingPerUnitMo*LeaseUp!MN$9*MN$10,0)</f>
        <v/>
      </c>
      <c r="MO19" s="218">
        <f>IF(349&gt;=DeliverStart,ParkingPerUnitMo*LeaseUp!MO$9*MO$10,0)</f>
        <v/>
      </c>
      <c r="MP19" s="218">
        <f>IF(350&gt;=DeliverStart,ParkingPerUnitMo*LeaseUp!MP$9*MP$10,0)</f>
        <v/>
      </c>
      <c r="MQ19" s="218">
        <f>IF(351&gt;=DeliverStart,ParkingPerUnitMo*LeaseUp!MQ$9*MQ$10,0)</f>
        <v/>
      </c>
      <c r="MR19" s="218">
        <f>IF(352&gt;=DeliverStart,ParkingPerUnitMo*LeaseUp!MR$9*MR$10,0)</f>
        <v/>
      </c>
      <c r="MS19" s="218">
        <f>IF(353&gt;=DeliverStart,ParkingPerUnitMo*LeaseUp!MS$9*MS$10,0)</f>
        <v/>
      </c>
      <c r="MT19" s="218">
        <f>IF(354&gt;=DeliverStart,ParkingPerUnitMo*LeaseUp!MT$9*MT$10,0)</f>
        <v/>
      </c>
      <c r="MU19" s="218">
        <f>IF(355&gt;=DeliverStart,ParkingPerUnitMo*LeaseUp!MU$9*MU$10,0)</f>
        <v/>
      </c>
      <c r="MV19" s="218">
        <f>IF(356&gt;=DeliverStart,ParkingPerUnitMo*LeaseUp!MV$9*MV$10,0)</f>
        <v/>
      </c>
      <c r="MW19" s="218">
        <f>IF(357&gt;=DeliverStart,ParkingPerUnitMo*LeaseUp!MW$9*MW$10,0)</f>
        <v/>
      </c>
      <c r="MX19" s="218">
        <f>IF(358&gt;=DeliverStart,ParkingPerUnitMo*LeaseUp!MX$9*MX$10,0)</f>
        <v/>
      </c>
      <c r="MY19" s="218">
        <f>IF(359&gt;=DeliverStart,ParkingPerUnitMo*LeaseUp!MY$9*MY$10,0)</f>
        <v/>
      </c>
      <c r="MZ19" s="218">
        <f>IF(360&gt;=DeliverStart,ParkingPerUnitMo*LeaseUp!MZ$9*MZ$10,0)</f>
        <v/>
      </c>
      <c r="NA19" s="218">
        <f>IF(361&gt;=DeliverStart,ParkingPerUnitMo*LeaseUp!NA$9*NA$10,0)</f>
        <v/>
      </c>
      <c r="NB19" s="218">
        <f>IF(362&gt;=DeliverStart,ParkingPerUnitMo*LeaseUp!NB$9*NB$10,0)</f>
        <v/>
      </c>
      <c r="NC19" s="218">
        <f>IF(363&gt;=DeliverStart,ParkingPerUnitMo*LeaseUp!NC$9*NC$10,0)</f>
        <v/>
      </c>
      <c r="ND19" s="218">
        <f>IF(364&gt;=DeliverStart,ParkingPerUnitMo*LeaseUp!ND$9*ND$10,0)</f>
        <v/>
      </c>
      <c r="NE19" s="218">
        <f>IF(365&gt;=DeliverStart,ParkingPerUnitMo*LeaseUp!NE$9*NE$10,0)</f>
        <v/>
      </c>
      <c r="NF19" s="218">
        <f>IF(366&gt;=DeliverStart,ParkingPerUnitMo*LeaseUp!NF$9*NF$10,0)</f>
        <v/>
      </c>
      <c r="NG19" s="218">
        <f>IF(367&gt;=DeliverStart,ParkingPerUnitMo*LeaseUp!NG$9*NG$10,0)</f>
        <v/>
      </c>
      <c r="NH19" s="218">
        <f>IF(368&gt;=DeliverStart,ParkingPerUnitMo*LeaseUp!NH$9*NH$10,0)</f>
        <v/>
      </c>
      <c r="NI19" s="218">
        <f>IF(369&gt;=DeliverStart,ParkingPerUnitMo*LeaseUp!NI$9*NI$10,0)</f>
        <v/>
      </c>
      <c r="NJ19" s="218">
        <f>IF(370&gt;=DeliverStart,ParkingPerUnitMo*LeaseUp!NJ$9*NJ$10,0)</f>
        <v/>
      </c>
      <c r="NK19" s="218">
        <f>IF(371&gt;=DeliverStart,ParkingPerUnitMo*LeaseUp!NK$9*NK$10,0)</f>
        <v/>
      </c>
      <c r="NL19" s="225">
        <f>IF(372&gt;=DeliverStart,ParkingPerUnitMo*LeaseUp!NL$9*NL$10,0)</f>
        <v/>
      </c>
    </row>
    <row r="20">
      <c r="B20" s="36" t="inlineStr">
        <is>
          <t>Utility Reimbursement</t>
        </is>
      </c>
      <c r="D20" s="266">
        <f>SUM(E20:NL20)</f>
        <v/>
      </c>
      <c r="E20" s="218">
        <f>IF(1&gt;=DeliverStart,UtilReimbPerUnitMo*LeaseUp!E$9*E$10,0)</f>
        <v/>
      </c>
      <c r="F20" s="218">
        <f>IF(2&gt;=DeliverStart,UtilReimbPerUnitMo*LeaseUp!F$9*F$10,0)</f>
        <v/>
      </c>
      <c r="G20" s="218">
        <f>IF(3&gt;=DeliverStart,UtilReimbPerUnitMo*LeaseUp!G$9*G$10,0)</f>
        <v/>
      </c>
      <c r="H20" s="218">
        <f>IF(4&gt;=DeliverStart,UtilReimbPerUnitMo*LeaseUp!H$9*H$10,0)</f>
        <v/>
      </c>
      <c r="I20" s="218">
        <f>IF(5&gt;=DeliverStart,UtilReimbPerUnitMo*LeaseUp!I$9*I$10,0)</f>
        <v/>
      </c>
      <c r="J20" s="218">
        <f>IF(6&gt;=DeliverStart,UtilReimbPerUnitMo*LeaseUp!J$9*J$10,0)</f>
        <v/>
      </c>
      <c r="K20" s="218">
        <f>IF(7&gt;=DeliverStart,UtilReimbPerUnitMo*LeaseUp!K$9*K$10,0)</f>
        <v/>
      </c>
      <c r="L20" s="218">
        <f>IF(8&gt;=DeliverStart,UtilReimbPerUnitMo*LeaseUp!L$9*L$10,0)</f>
        <v/>
      </c>
      <c r="M20" s="218">
        <f>IF(9&gt;=DeliverStart,UtilReimbPerUnitMo*LeaseUp!M$9*M$10,0)</f>
        <v/>
      </c>
      <c r="N20" s="218">
        <f>IF(10&gt;=DeliverStart,UtilReimbPerUnitMo*LeaseUp!N$9*N$10,0)</f>
        <v/>
      </c>
      <c r="O20" s="218">
        <f>IF(11&gt;=DeliverStart,UtilReimbPerUnitMo*LeaseUp!O$9*O$10,0)</f>
        <v/>
      </c>
      <c r="P20" s="218">
        <f>IF(12&gt;=DeliverStart,UtilReimbPerUnitMo*LeaseUp!P$9*P$10,0)</f>
        <v/>
      </c>
      <c r="Q20" s="218">
        <f>IF(13&gt;=DeliverStart,UtilReimbPerUnitMo*LeaseUp!Q$9*Q$10,0)</f>
        <v/>
      </c>
      <c r="R20" s="218">
        <f>IF(14&gt;=DeliverStart,UtilReimbPerUnitMo*LeaseUp!R$9*R$10,0)</f>
        <v/>
      </c>
      <c r="S20" s="218">
        <f>IF(15&gt;=DeliverStart,UtilReimbPerUnitMo*LeaseUp!S$9*S$10,0)</f>
        <v/>
      </c>
      <c r="T20" s="218">
        <f>IF(16&gt;=DeliverStart,UtilReimbPerUnitMo*LeaseUp!T$9*T$10,0)</f>
        <v/>
      </c>
      <c r="U20" s="218">
        <f>IF(17&gt;=DeliverStart,UtilReimbPerUnitMo*LeaseUp!U$9*U$10,0)</f>
        <v/>
      </c>
      <c r="V20" s="218">
        <f>IF(18&gt;=DeliverStart,UtilReimbPerUnitMo*LeaseUp!V$9*V$10,0)</f>
        <v/>
      </c>
      <c r="W20" s="218">
        <f>IF(19&gt;=DeliverStart,UtilReimbPerUnitMo*LeaseUp!W$9*W$10,0)</f>
        <v/>
      </c>
      <c r="X20" s="218">
        <f>IF(20&gt;=DeliverStart,UtilReimbPerUnitMo*LeaseUp!X$9*X$10,0)</f>
        <v/>
      </c>
      <c r="Y20" s="218">
        <f>IF(21&gt;=DeliverStart,UtilReimbPerUnitMo*LeaseUp!Y$9*Y$10,0)</f>
        <v/>
      </c>
      <c r="Z20" s="218">
        <f>IF(22&gt;=DeliverStart,UtilReimbPerUnitMo*LeaseUp!Z$9*Z$10,0)</f>
        <v/>
      </c>
      <c r="AA20" s="218">
        <f>IF(23&gt;=DeliverStart,UtilReimbPerUnitMo*LeaseUp!AA$9*AA$10,0)</f>
        <v/>
      </c>
      <c r="AB20" s="218">
        <f>IF(24&gt;=DeliverStart,UtilReimbPerUnitMo*LeaseUp!AB$9*AB$10,0)</f>
        <v/>
      </c>
      <c r="AC20" s="218">
        <f>IF(25&gt;=DeliverStart,UtilReimbPerUnitMo*LeaseUp!AC$9*AC$10,0)</f>
        <v/>
      </c>
      <c r="AD20" s="218">
        <f>IF(26&gt;=DeliverStart,UtilReimbPerUnitMo*LeaseUp!AD$9*AD$10,0)</f>
        <v/>
      </c>
      <c r="AE20" s="218">
        <f>IF(27&gt;=DeliverStart,UtilReimbPerUnitMo*LeaseUp!AE$9*AE$10,0)</f>
        <v/>
      </c>
      <c r="AF20" s="218">
        <f>IF(28&gt;=DeliverStart,UtilReimbPerUnitMo*LeaseUp!AF$9*AF$10,0)</f>
        <v/>
      </c>
      <c r="AG20" s="218">
        <f>IF(29&gt;=DeliverStart,UtilReimbPerUnitMo*LeaseUp!AG$9*AG$10,0)</f>
        <v/>
      </c>
      <c r="AH20" s="218">
        <f>IF(30&gt;=DeliverStart,UtilReimbPerUnitMo*LeaseUp!AH$9*AH$10,0)</f>
        <v/>
      </c>
      <c r="AI20" s="218">
        <f>IF(31&gt;=DeliverStart,UtilReimbPerUnitMo*LeaseUp!AI$9*AI$10,0)</f>
        <v/>
      </c>
      <c r="AJ20" s="218">
        <f>IF(32&gt;=DeliverStart,UtilReimbPerUnitMo*LeaseUp!AJ$9*AJ$10,0)</f>
        <v/>
      </c>
      <c r="AK20" s="218">
        <f>IF(33&gt;=DeliverStart,UtilReimbPerUnitMo*LeaseUp!AK$9*AK$10,0)</f>
        <v/>
      </c>
      <c r="AL20" s="218">
        <f>IF(34&gt;=DeliverStart,UtilReimbPerUnitMo*LeaseUp!AL$9*AL$10,0)</f>
        <v/>
      </c>
      <c r="AM20" s="218">
        <f>IF(35&gt;=DeliverStart,UtilReimbPerUnitMo*LeaseUp!AM$9*AM$10,0)</f>
        <v/>
      </c>
      <c r="AN20" s="218">
        <f>IF(36&gt;=DeliverStart,UtilReimbPerUnitMo*LeaseUp!AN$9*AN$10,0)</f>
        <v/>
      </c>
      <c r="AO20" s="218">
        <f>IF(37&gt;=DeliverStart,UtilReimbPerUnitMo*LeaseUp!AO$9*AO$10,0)</f>
        <v/>
      </c>
      <c r="AP20" s="218">
        <f>IF(38&gt;=DeliverStart,UtilReimbPerUnitMo*LeaseUp!AP$9*AP$10,0)</f>
        <v/>
      </c>
      <c r="AQ20" s="218">
        <f>IF(39&gt;=DeliverStart,UtilReimbPerUnitMo*LeaseUp!AQ$9*AQ$10,0)</f>
        <v/>
      </c>
      <c r="AR20" s="218">
        <f>IF(40&gt;=DeliverStart,UtilReimbPerUnitMo*LeaseUp!AR$9*AR$10,0)</f>
        <v/>
      </c>
      <c r="AS20" s="218">
        <f>IF(41&gt;=DeliverStart,UtilReimbPerUnitMo*LeaseUp!AS$9*AS$10,0)</f>
        <v/>
      </c>
      <c r="AT20" s="218">
        <f>IF(42&gt;=DeliverStart,UtilReimbPerUnitMo*LeaseUp!AT$9*AT$10,0)</f>
        <v/>
      </c>
      <c r="AU20" s="218">
        <f>IF(43&gt;=DeliverStart,UtilReimbPerUnitMo*LeaseUp!AU$9*AU$10,0)</f>
        <v/>
      </c>
      <c r="AV20" s="218">
        <f>IF(44&gt;=DeliverStart,UtilReimbPerUnitMo*LeaseUp!AV$9*AV$10,0)</f>
        <v/>
      </c>
      <c r="AW20" s="218">
        <f>IF(45&gt;=DeliverStart,UtilReimbPerUnitMo*LeaseUp!AW$9*AW$10,0)</f>
        <v/>
      </c>
      <c r="AX20" s="218">
        <f>IF(46&gt;=DeliverStart,UtilReimbPerUnitMo*LeaseUp!AX$9*AX$10,0)</f>
        <v/>
      </c>
      <c r="AY20" s="218">
        <f>IF(47&gt;=DeliverStart,UtilReimbPerUnitMo*LeaseUp!AY$9*AY$10,0)</f>
        <v/>
      </c>
      <c r="AZ20" s="218">
        <f>IF(48&gt;=DeliverStart,UtilReimbPerUnitMo*LeaseUp!AZ$9*AZ$10,0)</f>
        <v/>
      </c>
      <c r="BA20" s="218">
        <f>IF(49&gt;=DeliverStart,UtilReimbPerUnitMo*LeaseUp!BA$9*BA$10,0)</f>
        <v/>
      </c>
      <c r="BB20" s="218">
        <f>IF(50&gt;=DeliverStart,UtilReimbPerUnitMo*LeaseUp!BB$9*BB$10,0)</f>
        <v/>
      </c>
      <c r="BC20" s="218">
        <f>IF(51&gt;=DeliverStart,UtilReimbPerUnitMo*LeaseUp!BC$9*BC$10,0)</f>
        <v/>
      </c>
      <c r="BD20" s="218">
        <f>IF(52&gt;=DeliverStart,UtilReimbPerUnitMo*LeaseUp!BD$9*BD$10,0)</f>
        <v/>
      </c>
      <c r="BE20" s="218">
        <f>IF(53&gt;=DeliverStart,UtilReimbPerUnitMo*LeaseUp!BE$9*BE$10,0)</f>
        <v/>
      </c>
      <c r="BF20" s="218">
        <f>IF(54&gt;=DeliverStart,UtilReimbPerUnitMo*LeaseUp!BF$9*BF$10,0)</f>
        <v/>
      </c>
      <c r="BG20" s="218">
        <f>IF(55&gt;=DeliverStart,UtilReimbPerUnitMo*LeaseUp!BG$9*BG$10,0)</f>
        <v/>
      </c>
      <c r="BH20" s="218">
        <f>IF(56&gt;=DeliverStart,UtilReimbPerUnitMo*LeaseUp!BH$9*BH$10,0)</f>
        <v/>
      </c>
      <c r="BI20" s="218">
        <f>IF(57&gt;=DeliverStart,UtilReimbPerUnitMo*LeaseUp!BI$9*BI$10,0)</f>
        <v/>
      </c>
      <c r="BJ20" s="218">
        <f>IF(58&gt;=DeliverStart,UtilReimbPerUnitMo*LeaseUp!BJ$9*BJ$10,0)</f>
        <v/>
      </c>
      <c r="BK20" s="218">
        <f>IF(59&gt;=DeliverStart,UtilReimbPerUnitMo*LeaseUp!BK$9*BK$10,0)</f>
        <v/>
      </c>
      <c r="BL20" s="218">
        <f>IF(60&gt;=DeliverStart,UtilReimbPerUnitMo*LeaseUp!BL$9*BL$10,0)</f>
        <v/>
      </c>
      <c r="BM20" s="218">
        <f>IF(61&gt;=DeliverStart,UtilReimbPerUnitMo*LeaseUp!BM$9*BM$10,0)</f>
        <v/>
      </c>
      <c r="BN20" s="218">
        <f>IF(62&gt;=DeliverStart,UtilReimbPerUnitMo*LeaseUp!BN$9*BN$10,0)</f>
        <v/>
      </c>
      <c r="BO20" s="218">
        <f>IF(63&gt;=DeliverStart,UtilReimbPerUnitMo*LeaseUp!BO$9*BO$10,0)</f>
        <v/>
      </c>
      <c r="BP20" s="218">
        <f>IF(64&gt;=DeliverStart,UtilReimbPerUnitMo*LeaseUp!BP$9*BP$10,0)</f>
        <v/>
      </c>
      <c r="BQ20" s="218">
        <f>IF(65&gt;=DeliverStart,UtilReimbPerUnitMo*LeaseUp!BQ$9*BQ$10,0)</f>
        <v/>
      </c>
      <c r="BR20" s="218">
        <f>IF(66&gt;=DeliverStart,UtilReimbPerUnitMo*LeaseUp!BR$9*BR$10,0)</f>
        <v/>
      </c>
      <c r="BS20" s="218">
        <f>IF(67&gt;=DeliverStart,UtilReimbPerUnitMo*LeaseUp!BS$9*BS$10,0)</f>
        <v/>
      </c>
      <c r="BT20" s="218">
        <f>IF(68&gt;=DeliverStart,UtilReimbPerUnitMo*LeaseUp!BT$9*BT$10,0)</f>
        <v/>
      </c>
      <c r="BU20" s="218">
        <f>IF(69&gt;=DeliverStart,UtilReimbPerUnitMo*LeaseUp!BU$9*BU$10,0)</f>
        <v/>
      </c>
      <c r="BV20" s="218">
        <f>IF(70&gt;=DeliverStart,UtilReimbPerUnitMo*LeaseUp!BV$9*BV$10,0)</f>
        <v/>
      </c>
      <c r="BW20" s="218">
        <f>IF(71&gt;=DeliverStart,UtilReimbPerUnitMo*LeaseUp!BW$9*BW$10,0)</f>
        <v/>
      </c>
      <c r="BX20" s="218">
        <f>IF(72&gt;=DeliverStart,UtilReimbPerUnitMo*LeaseUp!BX$9*BX$10,0)</f>
        <v/>
      </c>
      <c r="BY20" s="218">
        <f>IF(73&gt;=DeliverStart,UtilReimbPerUnitMo*LeaseUp!BY$9*BY$10,0)</f>
        <v/>
      </c>
      <c r="BZ20" s="218">
        <f>IF(74&gt;=DeliverStart,UtilReimbPerUnitMo*LeaseUp!BZ$9*BZ$10,0)</f>
        <v/>
      </c>
      <c r="CA20" s="218">
        <f>IF(75&gt;=DeliverStart,UtilReimbPerUnitMo*LeaseUp!CA$9*CA$10,0)</f>
        <v/>
      </c>
      <c r="CB20" s="218">
        <f>IF(76&gt;=DeliverStart,UtilReimbPerUnitMo*LeaseUp!CB$9*CB$10,0)</f>
        <v/>
      </c>
      <c r="CC20" s="218">
        <f>IF(77&gt;=DeliverStart,UtilReimbPerUnitMo*LeaseUp!CC$9*CC$10,0)</f>
        <v/>
      </c>
      <c r="CD20" s="218">
        <f>IF(78&gt;=DeliverStart,UtilReimbPerUnitMo*LeaseUp!CD$9*CD$10,0)</f>
        <v/>
      </c>
      <c r="CE20" s="218">
        <f>IF(79&gt;=DeliverStart,UtilReimbPerUnitMo*LeaseUp!CE$9*CE$10,0)</f>
        <v/>
      </c>
      <c r="CF20" s="218">
        <f>IF(80&gt;=DeliverStart,UtilReimbPerUnitMo*LeaseUp!CF$9*CF$10,0)</f>
        <v/>
      </c>
      <c r="CG20" s="218">
        <f>IF(81&gt;=DeliverStart,UtilReimbPerUnitMo*LeaseUp!CG$9*CG$10,0)</f>
        <v/>
      </c>
      <c r="CH20" s="218">
        <f>IF(82&gt;=DeliverStart,UtilReimbPerUnitMo*LeaseUp!CH$9*CH$10,0)</f>
        <v/>
      </c>
      <c r="CI20" s="218">
        <f>IF(83&gt;=DeliverStart,UtilReimbPerUnitMo*LeaseUp!CI$9*CI$10,0)</f>
        <v/>
      </c>
      <c r="CJ20" s="218">
        <f>IF(84&gt;=DeliverStart,UtilReimbPerUnitMo*LeaseUp!CJ$9*CJ$10,0)</f>
        <v/>
      </c>
      <c r="CK20" s="218">
        <f>IF(85&gt;=DeliverStart,UtilReimbPerUnitMo*LeaseUp!CK$9*CK$10,0)</f>
        <v/>
      </c>
      <c r="CL20" s="218">
        <f>IF(86&gt;=DeliverStart,UtilReimbPerUnitMo*LeaseUp!CL$9*CL$10,0)</f>
        <v/>
      </c>
      <c r="CM20" s="218">
        <f>IF(87&gt;=DeliverStart,UtilReimbPerUnitMo*LeaseUp!CM$9*CM$10,0)</f>
        <v/>
      </c>
      <c r="CN20" s="218">
        <f>IF(88&gt;=DeliverStart,UtilReimbPerUnitMo*LeaseUp!CN$9*CN$10,0)</f>
        <v/>
      </c>
      <c r="CO20" s="218">
        <f>IF(89&gt;=DeliverStart,UtilReimbPerUnitMo*LeaseUp!CO$9*CO$10,0)</f>
        <v/>
      </c>
      <c r="CP20" s="218">
        <f>IF(90&gt;=DeliverStart,UtilReimbPerUnitMo*LeaseUp!CP$9*CP$10,0)</f>
        <v/>
      </c>
      <c r="CQ20" s="218">
        <f>IF(91&gt;=DeliverStart,UtilReimbPerUnitMo*LeaseUp!CQ$9*CQ$10,0)</f>
        <v/>
      </c>
      <c r="CR20" s="218">
        <f>IF(92&gt;=DeliverStart,UtilReimbPerUnitMo*LeaseUp!CR$9*CR$10,0)</f>
        <v/>
      </c>
      <c r="CS20" s="218">
        <f>IF(93&gt;=DeliverStart,UtilReimbPerUnitMo*LeaseUp!CS$9*CS$10,0)</f>
        <v/>
      </c>
      <c r="CT20" s="218">
        <f>IF(94&gt;=DeliverStart,UtilReimbPerUnitMo*LeaseUp!CT$9*CT$10,0)</f>
        <v/>
      </c>
      <c r="CU20" s="218">
        <f>IF(95&gt;=DeliverStart,UtilReimbPerUnitMo*LeaseUp!CU$9*CU$10,0)</f>
        <v/>
      </c>
      <c r="CV20" s="218">
        <f>IF(96&gt;=DeliverStart,UtilReimbPerUnitMo*LeaseUp!CV$9*CV$10,0)</f>
        <v/>
      </c>
      <c r="CW20" s="218">
        <f>IF(97&gt;=DeliverStart,UtilReimbPerUnitMo*LeaseUp!CW$9*CW$10,0)</f>
        <v/>
      </c>
      <c r="CX20" s="218">
        <f>IF(98&gt;=DeliverStart,UtilReimbPerUnitMo*LeaseUp!CX$9*CX$10,0)</f>
        <v/>
      </c>
      <c r="CY20" s="218">
        <f>IF(99&gt;=DeliverStart,UtilReimbPerUnitMo*LeaseUp!CY$9*CY$10,0)</f>
        <v/>
      </c>
      <c r="CZ20" s="218">
        <f>IF(100&gt;=DeliverStart,UtilReimbPerUnitMo*LeaseUp!CZ$9*CZ$10,0)</f>
        <v/>
      </c>
      <c r="DA20" s="218">
        <f>IF(101&gt;=DeliverStart,UtilReimbPerUnitMo*LeaseUp!DA$9*DA$10,0)</f>
        <v/>
      </c>
      <c r="DB20" s="218">
        <f>IF(102&gt;=DeliverStart,UtilReimbPerUnitMo*LeaseUp!DB$9*DB$10,0)</f>
        <v/>
      </c>
      <c r="DC20" s="218">
        <f>IF(103&gt;=DeliverStart,UtilReimbPerUnitMo*LeaseUp!DC$9*DC$10,0)</f>
        <v/>
      </c>
      <c r="DD20" s="218">
        <f>IF(104&gt;=DeliverStart,UtilReimbPerUnitMo*LeaseUp!DD$9*DD$10,0)</f>
        <v/>
      </c>
      <c r="DE20" s="218">
        <f>IF(105&gt;=DeliverStart,UtilReimbPerUnitMo*LeaseUp!DE$9*DE$10,0)</f>
        <v/>
      </c>
      <c r="DF20" s="218">
        <f>IF(106&gt;=DeliverStart,UtilReimbPerUnitMo*LeaseUp!DF$9*DF$10,0)</f>
        <v/>
      </c>
      <c r="DG20" s="218">
        <f>IF(107&gt;=DeliverStart,UtilReimbPerUnitMo*LeaseUp!DG$9*DG$10,0)</f>
        <v/>
      </c>
      <c r="DH20" s="218">
        <f>IF(108&gt;=DeliverStart,UtilReimbPerUnitMo*LeaseUp!DH$9*DH$10,0)</f>
        <v/>
      </c>
      <c r="DI20" s="218">
        <f>IF(109&gt;=DeliverStart,UtilReimbPerUnitMo*LeaseUp!DI$9*DI$10,0)</f>
        <v/>
      </c>
      <c r="DJ20" s="218">
        <f>IF(110&gt;=DeliverStart,UtilReimbPerUnitMo*LeaseUp!DJ$9*DJ$10,0)</f>
        <v/>
      </c>
      <c r="DK20" s="218">
        <f>IF(111&gt;=DeliverStart,UtilReimbPerUnitMo*LeaseUp!DK$9*DK$10,0)</f>
        <v/>
      </c>
      <c r="DL20" s="218">
        <f>IF(112&gt;=DeliverStart,UtilReimbPerUnitMo*LeaseUp!DL$9*DL$10,0)</f>
        <v/>
      </c>
      <c r="DM20" s="218">
        <f>IF(113&gt;=DeliverStart,UtilReimbPerUnitMo*LeaseUp!DM$9*DM$10,0)</f>
        <v/>
      </c>
      <c r="DN20" s="218">
        <f>IF(114&gt;=DeliverStart,UtilReimbPerUnitMo*LeaseUp!DN$9*DN$10,0)</f>
        <v/>
      </c>
      <c r="DO20" s="218">
        <f>IF(115&gt;=DeliverStart,UtilReimbPerUnitMo*LeaseUp!DO$9*DO$10,0)</f>
        <v/>
      </c>
      <c r="DP20" s="218">
        <f>IF(116&gt;=DeliverStart,UtilReimbPerUnitMo*LeaseUp!DP$9*DP$10,0)</f>
        <v/>
      </c>
      <c r="DQ20" s="218">
        <f>IF(117&gt;=DeliverStart,UtilReimbPerUnitMo*LeaseUp!DQ$9*DQ$10,0)</f>
        <v/>
      </c>
      <c r="DR20" s="218">
        <f>IF(118&gt;=DeliverStart,UtilReimbPerUnitMo*LeaseUp!DR$9*DR$10,0)</f>
        <v/>
      </c>
      <c r="DS20" s="218">
        <f>IF(119&gt;=DeliverStart,UtilReimbPerUnitMo*LeaseUp!DS$9*DS$10,0)</f>
        <v/>
      </c>
      <c r="DT20" s="218">
        <f>IF(120&gt;=DeliverStart,UtilReimbPerUnitMo*LeaseUp!DT$9*DT$10,0)</f>
        <v/>
      </c>
      <c r="DU20" s="218">
        <f>IF(121&gt;=DeliverStart,UtilReimbPerUnitMo*LeaseUp!DU$9*DU$10,0)</f>
        <v/>
      </c>
      <c r="DV20" s="218">
        <f>IF(122&gt;=DeliverStart,UtilReimbPerUnitMo*LeaseUp!DV$9*DV$10,0)</f>
        <v/>
      </c>
      <c r="DW20" s="218">
        <f>IF(123&gt;=DeliverStart,UtilReimbPerUnitMo*LeaseUp!DW$9*DW$10,0)</f>
        <v/>
      </c>
      <c r="DX20" s="218">
        <f>IF(124&gt;=DeliverStart,UtilReimbPerUnitMo*LeaseUp!DX$9*DX$10,0)</f>
        <v/>
      </c>
      <c r="DY20" s="218">
        <f>IF(125&gt;=DeliverStart,UtilReimbPerUnitMo*LeaseUp!DY$9*DY$10,0)</f>
        <v/>
      </c>
      <c r="DZ20" s="218">
        <f>IF(126&gt;=DeliverStart,UtilReimbPerUnitMo*LeaseUp!DZ$9*DZ$10,0)</f>
        <v/>
      </c>
      <c r="EA20" s="218">
        <f>IF(127&gt;=DeliverStart,UtilReimbPerUnitMo*LeaseUp!EA$9*EA$10,0)</f>
        <v/>
      </c>
      <c r="EB20" s="218">
        <f>IF(128&gt;=DeliverStart,UtilReimbPerUnitMo*LeaseUp!EB$9*EB$10,0)</f>
        <v/>
      </c>
      <c r="EC20" s="218">
        <f>IF(129&gt;=DeliverStart,UtilReimbPerUnitMo*LeaseUp!EC$9*EC$10,0)</f>
        <v/>
      </c>
      <c r="ED20" s="218">
        <f>IF(130&gt;=DeliverStart,UtilReimbPerUnitMo*LeaseUp!ED$9*ED$10,0)</f>
        <v/>
      </c>
      <c r="EE20" s="218">
        <f>IF(131&gt;=DeliverStart,UtilReimbPerUnitMo*LeaseUp!EE$9*EE$10,0)</f>
        <v/>
      </c>
      <c r="EF20" s="218">
        <f>IF(132&gt;=DeliverStart,UtilReimbPerUnitMo*LeaseUp!EF$9*EF$10,0)</f>
        <v/>
      </c>
      <c r="EG20" s="218">
        <f>IF(133&gt;=DeliverStart,UtilReimbPerUnitMo*LeaseUp!EG$9*EG$10,0)</f>
        <v/>
      </c>
      <c r="EH20" s="218">
        <f>IF(134&gt;=DeliverStart,UtilReimbPerUnitMo*LeaseUp!EH$9*EH$10,0)</f>
        <v/>
      </c>
      <c r="EI20" s="218">
        <f>IF(135&gt;=DeliverStart,UtilReimbPerUnitMo*LeaseUp!EI$9*EI$10,0)</f>
        <v/>
      </c>
      <c r="EJ20" s="218">
        <f>IF(136&gt;=DeliverStart,UtilReimbPerUnitMo*LeaseUp!EJ$9*EJ$10,0)</f>
        <v/>
      </c>
      <c r="EK20" s="218">
        <f>IF(137&gt;=DeliverStart,UtilReimbPerUnitMo*LeaseUp!EK$9*EK$10,0)</f>
        <v/>
      </c>
      <c r="EL20" s="218">
        <f>IF(138&gt;=DeliverStart,UtilReimbPerUnitMo*LeaseUp!EL$9*EL$10,0)</f>
        <v/>
      </c>
      <c r="EM20" s="218">
        <f>IF(139&gt;=DeliverStart,UtilReimbPerUnitMo*LeaseUp!EM$9*EM$10,0)</f>
        <v/>
      </c>
      <c r="EN20" s="218">
        <f>IF(140&gt;=DeliverStart,UtilReimbPerUnitMo*LeaseUp!EN$9*EN$10,0)</f>
        <v/>
      </c>
      <c r="EO20" s="218">
        <f>IF(141&gt;=DeliverStart,UtilReimbPerUnitMo*LeaseUp!EO$9*EO$10,0)</f>
        <v/>
      </c>
      <c r="EP20" s="218">
        <f>IF(142&gt;=DeliverStart,UtilReimbPerUnitMo*LeaseUp!EP$9*EP$10,0)</f>
        <v/>
      </c>
      <c r="EQ20" s="218">
        <f>IF(143&gt;=DeliverStart,UtilReimbPerUnitMo*LeaseUp!EQ$9*EQ$10,0)</f>
        <v/>
      </c>
      <c r="ER20" s="218">
        <f>IF(144&gt;=DeliverStart,UtilReimbPerUnitMo*LeaseUp!ER$9*ER$10,0)</f>
        <v/>
      </c>
      <c r="ES20" s="218">
        <f>IF(145&gt;=DeliverStart,UtilReimbPerUnitMo*LeaseUp!ES$9*ES$10,0)</f>
        <v/>
      </c>
      <c r="ET20" s="218">
        <f>IF(146&gt;=DeliverStart,UtilReimbPerUnitMo*LeaseUp!ET$9*ET$10,0)</f>
        <v/>
      </c>
      <c r="EU20" s="218">
        <f>IF(147&gt;=DeliverStart,UtilReimbPerUnitMo*LeaseUp!EU$9*EU$10,0)</f>
        <v/>
      </c>
      <c r="EV20" s="218">
        <f>IF(148&gt;=DeliverStart,UtilReimbPerUnitMo*LeaseUp!EV$9*EV$10,0)</f>
        <v/>
      </c>
      <c r="EW20" s="218">
        <f>IF(149&gt;=DeliverStart,UtilReimbPerUnitMo*LeaseUp!EW$9*EW$10,0)</f>
        <v/>
      </c>
      <c r="EX20" s="218">
        <f>IF(150&gt;=DeliverStart,UtilReimbPerUnitMo*LeaseUp!EX$9*EX$10,0)</f>
        <v/>
      </c>
      <c r="EY20" s="218">
        <f>IF(151&gt;=DeliverStart,UtilReimbPerUnitMo*LeaseUp!EY$9*EY$10,0)</f>
        <v/>
      </c>
      <c r="EZ20" s="218">
        <f>IF(152&gt;=DeliverStart,UtilReimbPerUnitMo*LeaseUp!EZ$9*EZ$10,0)</f>
        <v/>
      </c>
      <c r="FA20" s="218">
        <f>IF(153&gt;=DeliverStart,UtilReimbPerUnitMo*LeaseUp!FA$9*FA$10,0)</f>
        <v/>
      </c>
      <c r="FB20" s="218">
        <f>IF(154&gt;=DeliverStart,UtilReimbPerUnitMo*LeaseUp!FB$9*FB$10,0)</f>
        <v/>
      </c>
      <c r="FC20" s="218">
        <f>IF(155&gt;=DeliverStart,UtilReimbPerUnitMo*LeaseUp!FC$9*FC$10,0)</f>
        <v/>
      </c>
      <c r="FD20" s="218">
        <f>IF(156&gt;=DeliverStart,UtilReimbPerUnitMo*LeaseUp!FD$9*FD$10,0)</f>
        <v/>
      </c>
      <c r="FE20" s="218">
        <f>IF(157&gt;=DeliverStart,UtilReimbPerUnitMo*LeaseUp!FE$9*FE$10,0)</f>
        <v/>
      </c>
      <c r="FF20" s="218">
        <f>IF(158&gt;=DeliverStart,UtilReimbPerUnitMo*LeaseUp!FF$9*FF$10,0)</f>
        <v/>
      </c>
      <c r="FG20" s="218">
        <f>IF(159&gt;=DeliverStart,UtilReimbPerUnitMo*LeaseUp!FG$9*FG$10,0)</f>
        <v/>
      </c>
      <c r="FH20" s="218">
        <f>IF(160&gt;=DeliverStart,UtilReimbPerUnitMo*LeaseUp!FH$9*FH$10,0)</f>
        <v/>
      </c>
      <c r="FI20" s="218">
        <f>IF(161&gt;=DeliverStart,UtilReimbPerUnitMo*LeaseUp!FI$9*FI$10,0)</f>
        <v/>
      </c>
      <c r="FJ20" s="218">
        <f>IF(162&gt;=DeliverStart,UtilReimbPerUnitMo*LeaseUp!FJ$9*FJ$10,0)</f>
        <v/>
      </c>
      <c r="FK20" s="218">
        <f>IF(163&gt;=DeliverStart,UtilReimbPerUnitMo*LeaseUp!FK$9*FK$10,0)</f>
        <v/>
      </c>
      <c r="FL20" s="218">
        <f>IF(164&gt;=DeliverStart,UtilReimbPerUnitMo*LeaseUp!FL$9*FL$10,0)</f>
        <v/>
      </c>
      <c r="FM20" s="218">
        <f>IF(165&gt;=DeliverStart,UtilReimbPerUnitMo*LeaseUp!FM$9*FM$10,0)</f>
        <v/>
      </c>
      <c r="FN20" s="218">
        <f>IF(166&gt;=DeliverStart,UtilReimbPerUnitMo*LeaseUp!FN$9*FN$10,0)</f>
        <v/>
      </c>
      <c r="FO20" s="218">
        <f>IF(167&gt;=DeliverStart,UtilReimbPerUnitMo*LeaseUp!FO$9*FO$10,0)</f>
        <v/>
      </c>
      <c r="FP20" s="218">
        <f>IF(168&gt;=DeliverStart,UtilReimbPerUnitMo*LeaseUp!FP$9*FP$10,0)</f>
        <v/>
      </c>
      <c r="FQ20" s="218">
        <f>IF(169&gt;=DeliverStart,UtilReimbPerUnitMo*LeaseUp!FQ$9*FQ$10,0)</f>
        <v/>
      </c>
      <c r="FR20" s="218">
        <f>IF(170&gt;=DeliverStart,UtilReimbPerUnitMo*LeaseUp!FR$9*FR$10,0)</f>
        <v/>
      </c>
      <c r="FS20" s="218">
        <f>IF(171&gt;=DeliverStart,UtilReimbPerUnitMo*LeaseUp!FS$9*FS$10,0)</f>
        <v/>
      </c>
      <c r="FT20" s="218">
        <f>IF(172&gt;=DeliverStart,UtilReimbPerUnitMo*LeaseUp!FT$9*FT$10,0)</f>
        <v/>
      </c>
      <c r="FU20" s="218">
        <f>IF(173&gt;=DeliverStart,UtilReimbPerUnitMo*LeaseUp!FU$9*FU$10,0)</f>
        <v/>
      </c>
      <c r="FV20" s="218">
        <f>IF(174&gt;=DeliverStart,UtilReimbPerUnitMo*LeaseUp!FV$9*FV$10,0)</f>
        <v/>
      </c>
      <c r="FW20" s="218">
        <f>IF(175&gt;=DeliverStart,UtilReimbPerUnitMo*LeaseUp!FW$9*FW$10,0)</f>
        <v/>
      </c>
      <c r="FX20" s="218">
        <f>IF(176&gt;=DeliverStart,UtilReimbPerUnitMo*LeaseUp!FX$9*FX$10,0)</f>
        <v/>
      </c>
      <c r="FY20" s="218">
        <f>IF(177&gt;=DeliverStart,UtilReimbPerUnitMo*LeaseUp!FY$9*FY$10,0)</f>
        <v/>
      </c>
      <c r="FZ20" s="218">
        <f>IF(178&gt;=DeliverStart,UtilReimbPerUnitMo*LeaseUp!FZ$9*FZ$10,0)</f>
        <v/>
      </c>
      <c r="GA20" s="218">
        <f>IF(179&gt;=DeliverStart,UtilReimbPerUnitMo*LeaseUp!GA$9*GA$10,0)</f>
        <v/>
      </c>
      <c r="GB20" s="218">
        <f>IF(180&gt;=DeliverStart,UtilReimbPerUnitMo*LeaseUp!GB$9*GB$10,0)</f>
        <v/>
      </c>
      <c r="GC20" s="218">
        <f>IF(181&gt;=DeliverStart,UtilReimbPerUnitMo*LeaseUp!GC$9*GC$10,0)</f>
        <v/>
      </c>
      <c r="GD20" s="218">
        <f>IF(182&gt;=DeliverStart,UtilReimbPerUnitMo*LeaseUp!GD$9*GD$10,0)</f>
        <v/>
      </c>
      <c r="GE20" s="218">
        <f>IF(183&gt;=DeliverStart,UtilReimbPerUnitMo*LeaseUp!GE$9*GE$10,0)</f>
        <v/>
      </c>
      <c r="GF20" s="218">
        <f>IF(184&gt;=DeliverStart,UtilReimbPerUnitMo*LeaseUp!GF$9*GF$10,0)</f>
        <v/>
      </c>
      <c r="GG20" s="218">
        <f>IF(185&gt;=DeliverStart,UtilReimbPerUnitMo*LeaseUp!GG$9*GG$10,0)</f>
        <v/>
      </c>
      <c r="GH20" s="218">
        <f>IF(186&gt;=DeliverStart,UtilReimbPerUnitMo*LeaseUp!GH$9*GH$10,0)</f>
        <v/>
      </c>
      <c r="GI20" s="218">
        <f>IF(187&gt;=DeliverStart,UtilReimbPerUnitMo*LeaseUp!GI$9*GI$10,0)</f>
        <v/>
      </c>
      <c r="GJ20" s="218">
        <f>IF(188&gt;=DeliverStart,UtilReimbPerUnitMo*LeaseUp!GJ$9*GJ$10,0)</f>
        <v/>
      </c>
      <c r="GK20" s="218">
        <f>IF(189&gt;=DeliverStart,UtilReimbPerUnitMo*LeaseUp!GK$9*GK$10,0)</f>
        <v/>
      </c>
      <c r="GL20" s="218">
        <f>IF(190&gt;=DeliverStart,UtilReimbPerUnitMo*LeaseUp!GL$9*GL$10,0)</f>
        <v/>
      </c>
      <c r="GM20" s="218">
        <f>IF(191&gt;=DeliverStart,UtilReimbPerUnitMo*LeaseUp!GM$9*GM$10,0)</f>
        <v/>
      </c>
      <c r="GN20" s="218">
        <f>IF(192&gt;=DeliverStart,UtilReimbPerUnitMo*LeaseUp!GN$9*GN$10,0)</f>
        <v/>
      </c>
      <c r="GO20" s="218">
        <f>IF(193&gt;=DeliverStart,UtilReimbPerUnitMo*LeaseUp!GO$9*GO$10,0)</f>
        <v/>
      </c>
      <c r="GP20" s="218">
        <f>IF(194&gt;=DeliverStart,UtilReimbPerUnitMo*LeaseUp!GP$9*GP$10,0)</f>
        <v/>
      </c>
      <c r="GQ20" s="218">
        <f>IF(195&gt;=DeliverStart,UtilReimbPerUnitMo*LeaseUp!GQ$9*GQ$10,0)</f>
        <v/>
      </c>
      <c r="GR20" s="218">
        <f>IF(196&gt;=DeliverStart,UtilReimbPerUnitMo*LeaseUp!GR$9*GR$10,0)</f>
        <v/>
      </c>
      <c r="GS20" s="218">
        <f>IF(197&gt;=DeliverStart,UtilReimbPerUnitMo*LeaseUp!GS$9*GS$10,0)</f>
        <v/>
      </c>
      <c r="GT20" s="218">
        <f>IF(198&gt;=DeliverStart,UtilReimbPerUnitMo*LeaseUp!GT$9*GT$10,0)</f>
        <v/>
      </c>
      <c r="GU20" s="218">
        <f>IF(199&gt;=DeliverStart,UtilReimbPerUnitMo*LeaseUp!GU$9*GU$10,0)</f>
        <v/>
      </c>
      <c r="GV20" s="218">
        <f>IF(200&gt;=DeliverStart,UtilReimbPerUnitMo*LeaseUp!GV$9*GV$10,0)</f>
        <v/>
      </c>
      <c r="GW20" s="218">
        <f>IF(201&gt;=DeliverStart,UtilReimbPerUnitMo*LeaseUp!GW$9*GW$10,0)</f>
        <v/>
      </c>
      <c r="GX20" s="218">
        <f>IF(202&gt;=DeliverStart,UtilReimbPerUnitMo*LeaseUp!GX$9*GX$10,0)</f>
        <v/>
      </c>
      <c r="GY20" s="218">
        <f>IF(203&gt;=DeliverStart,UtilReimbPerUnitMo*LeaseUp!GY$9*GY$10,0)</f>
        <v/>
      </c>
      <c r="GZ20" s="218">
        <f>IF(204&gt;=DeliverStart,UtilReimbPerUnitMo*LeaseUp!GZ$9*GZ$10,0)</f>
        <v/>
      </c>
      <c r="HA20" s="218">
        <f>IF(205&gt;=DeliverStart,UtilReimbPerUnitMo*LeaseUp!HA$9*HA$10,0)</f>
        <v/>
      </c>
      <c r="HB20" s="218">
        <f>IF(206&gt;=DeliverStart,UtilReimbPerUnitMo*LeaseUp!HB$9*HB$10,0)</f>
        <v/>
      </c>
      <c r="HC20" s="218">
        <f>IF(207&gt;=DeliverStart,UtilReimbPerUnitMo*LeaseUp!HC$9*HC$10,0)</f>
        <v/>
      </c>
      <c r="HD20" s="218">
        <f>IF(208&gt;=DeliverStart,UtilReimbPerUnitMo*LeaseUp!HD$9*HD$10,0)</f>
        <v/>
      </c>
      <c r="HE20" s="218">
        <f>IF(209&gt;=DeliverStart,UtilReimbPerUnitMo*LeaseUp!HE$9*HE$10,0)</f>
        <v/>
      </c>
      <c r="HF20" s="218">
        <f>IF(210&gt;=DeliverStart,UtilReimbPerUnitMo*LeaseUp!HF$9*HF$10,0)</f>
        <v/>
      </c>
      <c r="HG20" s="218">
        <f>IF(211&gt;=DeliverStart,UtilReimbPerUnitMo*LeaseUp!HG$9*HG$10,0)</f>
        <v/>
      </c>
      <c r="HH20" s="218">
        <f>IF(212&gt;=DeliverStart,UtilReimbPerUnitMo*LeaseUp!HH$9*HH$10,0)</f>
        <v/>
      </c>
      <c r="HI20" s="218">
        <f>IF(213&gt;=DeliverStart,UtilReimbPerUnitMo*LeaseUp!HI$9*HI$10,0)</f>
        <v/>
      </c>
      <c r="HJ20" s="218">
        <f>IF(214&gt;=DeliverStart,UtilReimbPerUnitMo*LeaseUp!HJ$9*HJ$10,0)</f>
        <v/>
      </c>
      <c r="HK20" s="218">
        <f>IF(215&gt;=DeliverStart,UtilReimbPerUnitMo*LeaseUp!HK$9*HK$10,0)</f>
        <v/>
      </c>
      <c r="HL20" s="218">
        <f>IF(216&gt;=DeliverStart,UtilReimbPerUnitMo*LeaseUp!HL$9*HL$10,0)</f>
        <v/>
      </c>
      <c r="HM20" s="218">
        <f>IF(217&gt;=DeliverStart,UtilReimbPerUnitMo*LeaseUp!HM$9*HM$10,0)</f>
        <v/>
      </c>
      <c r="HN20" s="218">
        <f>IF(218&gt;=DeliverStart,UtilReimbPerUnitMo*LeaseUp!HN$9*HN$10,0)</f>
        <v/>
      </c>
      <c r="HO20" s="218">
        <f>IF(219&gt;=DeliverStart,UtilReimbPerUnitMo*LeaseUp!HO$9*HO$10,0)</f>
        <v/>
      </c>
      <c r="HP20" s="218">
        <f>IF(220&gt;=DeliverStart,UtilReimbPerUnitMo*LeaseUp!HP$9*HP$10,0)</f>
        <v/>
      </c>
      <c r="HQ20" s="218">
        <f>IF(221&gt;=DeliverStart,UtilReimbPerUnitMo*LeaseUp!HQ$9*HQ$10,0)</f>
        <v/>
      </c>
      <c r="HR20" s="218">
        <f>IF(222&gt;=DeliverStart,UtilReimbPerUnitMo*LeaseUp!HR$9*HR$10,0)</f>
        <v/>
      </c>
      <c r="HS20" s="218">
        <f>IF(223&gt;=DeliverStart,UtilReimbPerUnitMo*LeaseUp!HS$9*HS$10,0)</f>
        <v/>
      </c>
      <c r="HT20" s="218">
        <f>IF(224&gt;=DeliverStart,UtilReimbPerUnitMo*LeaseUp!HT$9*HT$10,0)</f>
        <v/>
      </c>
      <c r="HU20" s="218">
        <f>IF(225&gt;=DeliverStart,UtilReimbPerUnitMo*LeaseUp!HU$9*HU$10,0)</f>
        <v/>
      </c>
      <c r="HV20" s="218">
        <f>IF(226&gt;=DeliverStart,UtilReimbPerUnitMo*LeaseUp!HV$9*HV$10,0)</f>
        <v/>
      </c>
      <c r="HW20" s="218">
        <f>IF(227&gt;=DeliverStart,UtilReimbPerUnitMo*LeaseUp!HW$9*HW$10,0)</f>
        <v/>
      </c>
      <c r="HX20" s="218">
        <f>IF(228&gt;=DeliverStart,UtilReimbPerUnitMo*LeaseUp!HX$9*HX$10,0)</f>
        <v/>
      </c>
      <c r="HY20" s="218">
        <f>IF(229&gt;=DeliverStart,UtilReimbPerUnitMo*LeaseUp!HY$9*HY$10,0)</f>
        <v/>
      </c>
      <c r="HZ20" s="218">
        <f>IF(230&gt;=DeliverStart,UtilReimbPerUnitMo*LeaseUp!HZ$9*HZ$10,0)</f>
        <v/>
      </c>
      <c r="IA20" s="218">
        <f>IF(231&gt;=DeliverStart,UtilReimbPerUnitMo*LeaseUp!IA$9*IA$10,0)</f>
        <v/>
      </c>
      <c r="IB20" s="218">
        <f>IF(232&gt;=DeliverStart,UtilReimbPerUnitMo*LeaseUp!IB$9*IB$10,0)</f>
        <v/>
      </c>
      <c r="IC20" s="218">
        <f>IF(233&gt;=DeliverStart,UtilReimbPerUnitMo*LeaseUp!IC$9*IC$10,0)</f>
        <v/>
      </c>
      <c r="ID20" s="218">
        <f>IF(234&gt;=DeliverStart,UtilReimbPerUnitMo*LeaseUp!ID$9*ID$10,0)</f>
        <v/>
      </c>
      <c r="IE20" s="218">
        <f>IF(235&gt;=DeliverStart,UtilReimbPerUnitMo*LeaseUp!IE$9*IE$10,0)</f>
        <v/>
      </c>
      <c r="IF20" s="218">
        <f>IF(236&gt;=DeliverStart,UtilReimbPerUnitMo*LeaseUp!IF$9*IF$10,0)</f>
        <v/>
      </c>
      <c r="IG20" s="218">
        <f>IF(237&gt;=DeliverStart,UtilReimbPerUnitMo*LeaseUp!IG$9*IG$10,0)</f>
        <v/>
      </c>
      <c r="IH20" s="218">
        <f>IF(238&gt;=DeliverStart,UtilReimbPerUnitMo*LeaseUp!IH$9*IH$10,0)</f>
        <v/>
      </c>
      <c r="II20" s="218">
        <f>IF(239&gt;=DeliverStart,UtilReimbPerUnitMo*LeaseUp!II$9*II$10,0)</f>
        <v/>
      </c>
      <c r="IJ20" s="218">
        <f>IF(240&gt;=DeliverStart,UtilReimbPerUnitMo*LeaseUp!IJ$9*IJ$10,0)</f>
        <v/>
      </c>
      <c r="IK20" s="218">
        <f>IF(241&gt;=DeliverStart,UtilReimbPerUnitMo*LeaseUp!IK$9*IK$10,0)</f>
        <v/>
      </c>
      <c r="IL20" s="218">
        <f>IF(242&gt;=DeliverStart,UtilReimbPerUnitMo*LeaseUp!IL$9*IL$10,0)</f>
        <v/>
      </c>
      <c r="IM20" s="218">
        <f>IF(243&gt;=DeliverStart,UtilReimbPerUnitMo*LeaseUp!IM$9*IM$10,0)</f>
        <v/>
      </c>
      <c r="IN20" s="218">
        <f>IF(244&gt;=DeliverStart,UtilReimbPerUnitMo*LeaseUp!IN$9*IN$10,0)</f>
        <v/>
      </c>
      <c r="IO20" s="218">
        <f>IF(245&gt;=DeliverStart,UtilReimbPerUnitMo*LeaseUp!IO$9*IO$10,0)</f>
        <v/>
      </c>
      <c r="IP20" s="218">
        <f>IF(246&gt;=DeliverStart,UtilReimbPerUnitMo*LeaseUp!IP$9*IP$10,0)</f>
        <v/>
      </c>
      <c r="IQ20" s="218">
        <f>IF(247&gt;=DeliverStart,UtilReimbPerUnitMo*LeaseUp!IQ$9*IQ$10,0)</f>
        <v/>
      </c>
      <c r="IR20" s="218">
        <f>IF(248&gt;=DeliverStart,UtilReimbPerUnitMo*LeaseUp!IR$9*IR$10,0)</f>
        <v/>
      </c>
      <c r="IS20" s="218">
        <f>IF(249&gt;=DeliverStart,UtilReimbPerUnitMo*LeaseUp!IS$9*IS$10,0)</f>
        <v/>
      </c>
      <c r="IT20" s="218">
        <f>IF(250&gt;=DeliverStart,UtilReimbPerUnitMo*LeaseUp!IT$9*IT$10,0)</f>
        <v/>
      </c>
      <c r="IU20" s="218">
        <f>IF(251&gt;=DeliverStart,UtilReimbPerUnitMo*LeaseUp!IU$9*IU$10,0)</f>
        <v/>
      </c>
      <c r="IV20" s="218">
        <f>IF(252&gt;=DeliverStart,UtilReimbPerUnitMo*LeaseUp!IV$9*IV$10,0)</f>
        <v/>
      </c>
      <c r="IW20" s="218">
        <f>IF(253&gt;=DeliverStart,UtilReimbPerUnitMo*LeaseUp!IW$9*IW$10,0)</f>
        <v/>
      </c>
      <c r="IX20" s="218">
        <f>IF(254&gt;=DeliverStart,UtilReimbPerUnitMo*LeaseUp!IX$9*IX$10,0)</f>
        <v/>
      </c>
      <c r="IY20" s="218">
        <f>IF(255&gt;=DeliverStart,UtilReimbPerUnitMo*LeaseUp!IY$9*IY$10,0)</f>
        <v/>
      </c>
      <c r="IZ20" s="218">
        <f>IF(256&gt;=DeliverStart,UtilReimbPerUnitMo*LeaseUp!IZ$9*IZ$10,0)</f>
        <v/>
      </c>
      <c r="JA20" s="218">
        <f>IF(257&gt;=DeliverStart,UtilReimbPerUnitMo*LeaseUp!JA$9*JA$10,0)</f>
        <v/>
      </c>
      <c r="JB20" s="218">
        <f>IF(258&gt;=DeliverStart,UtilReimbPerUnitMo*LeaseUp!JB$9*JB$10,0)</f>
        <v/>
      </c>
      <c r="JC20" s="218">
        <f>IF(259&gt;=DeliverStart,UtilReimbPerUnitMo*LeaseUp!JC$9*JC$10,0)</f>
        <v/>
      </c>
      <c r="JD20" s="218">
        <f>IF(260&gt;=DeliverStart,UtilReimbPerUnitMo*LeaseUp!JD$9*JD$10,0)</f>
        <v/>
      </c>
      <c r="JE20" s="218">
        <f>IF(261&gt;=DeliverStart,UtilReimbPerUnitMo*LeaseUp!JE$9*JE$10,0)</f>
        <v/>
      </c>
      <c r="JF20" s="218">
        <f>IF(262&gt;=DeliverStart,UtilReimbPerUnitMo*LeaseUp!JF$9*JF$10,0)</f>
        <v/>
      </c>
      <c r="JG20" s="218">
        <f>IF(263&gt;=DeliverStart,UtilReimbPerUnitMo*LeaseUp!JG$9*JG$10,0)</f>
        <v/>
      </c>
      <c r="JH20" s="218">
        <f>IF(264&gt;=DeliverStart,UtilReimbPerUnitMo*LeaseUp!JH$9*JH$10,0)</f>
        <v/>
      </c>
      <c r="JI20" s="218">
        <f>IF(265&gt;=DeliverStart,UtilReimbPerUnitMo*LeaseUp!JI$9*JI$10,0)</f>
        <v/>
      </c>
      <c r="JJ20" s="218">
        <f>IF(266&gt;=DeliverStart,UtilReimbPerUnitMo*LeaseUp!JJ$9*JJ$10,0)</f>
        <v/>
      </c>
      <c r="JK20" s="218">
        <f>IF(267&gt;=DeliverStart,UtilReimbPerUnitMo*LeaseUp!JK$9*JK$10,0)</f>
        <v/>
      </c>
      <c r="JL20" s="218">
        <f>IF(268&gt;=DeliverStart,UtilReimbPerUnitMo*LeaseUp!JL$9*JL$10,0)</f>
        <v/>
      </c>
      <c r="JM20" s="218">
        <f>IF(269&gt;=DeliverStart,UtilReimbPerUnitMo*LeaseUp!JM$9*JM$10,0)</f>
        <v/>
      </c>
      <c r="JN20" s="218">
        <f>IF(270&gt;=DeliverStart,UtilReimbPerUnitMo*LeaseUp!JN$9*JN$10,0)</f>
        <v/>
      </c>
      <c r="JO20" s="218">
        <f>IF(271&gt;=DeliverStart,UtilReimbPerUnitMo*LeaseUp!JO$9*JO$10,0)</f>
        <v/>
      </c>
      <c r="JP20" s="218">
        <f>IF(272&gt;=DeliverStart,UtilReimbPerUnitMo*LeaseUp!JP$9*JP$10,0)</f>
        <v/>
      </c>
      <c r="JQ20" s="218">
        <f>IF(273&gt;=DeliverStart,UtilReimbPerUnitMo*LeaseUp!JQ$9*JQ$10,0)</f>
        <v/>
      </c>
      <c r="JR20" s="218">
        <f>IF(274&gt;=DeliverStart,UtilReimbPerUnitMo*LeaseUp!JR$9*JR$10,0)</f>
        <v/>
      </c>
      <c r="JS20" s="218">
        <f>IF(275&gt;=DeliverStart,UtilReimbPerUnitMo*LeaseUp!JS$9*JS$10,0)</f>
        <v/>
      </c>
      <c r="JT20" s="218">
        <f>IF(276&gt;=DeliverStart,UtilReimbPerUnitMo*LeaseUp!JT$9*JT$10,0)</f>
        <v/>
      </c>
      <c r="JU20" s="218">
        <f>IF(277&gt;=DeliverStart,UtilReimbPerUnitMo*LeaseUp!JU$9*JU$10,0)</f>
        <v/>
      </c>
      <c r="JV20" s="218">
        <f>IF(278&gt;=DeliverStart,UtilReimbPerUnitMo*LeaseUp!JV$9*JV$10,0)</f>
        <v/>
      </c>
      <c r="JW20" s="218">
        <f>IF(279&gt;=DeliverStart,UtilReimbPerUnitMo*LeaseUp!JW$9*JW$10,0)</f>
        <v/>
      </c>
      <c r="JX20" s="218">
        <f>IF(280&gt;=DeliverStart,UtilReimbPerUnitMo*LeaseUp!JX$9*JX$10,0)</f>
        <v/>
      </c>
      <c r="JY20" s="218">
        <f>IF(281&gt;=DeliverStart,UtilReimbPerUnitMo*LeaseUp!JY$9*JY$10,0)</f>
        <v/>
      </c>
      <c r="JZ20" s="218">
        <f>IF(282&gt;=DeliverStart,UtilReimbPerUnitMo*LeaseUp!JZ$9*JZ$10,0)</f>
        <v/>
      </c>
      <c r="KA20" s="218">
        <f>IF(283&gt;=DeliverStart,UtilReimbPerUnitMo*LeaseUp!KA$9*KA$10,0)</f>
        <v/>
      </c>
      <c r="KB20" s="218">
        <f>IF(284&gt;=DeliverStart,UtilReimbPerUnitMo*LeaseUp!KB$9*KB$10,0)</f>
        <v/>
      </c>
      <c r="KC20" s="218">
        <f>IF(285&gt;=DeliverStart,UtilReimbPerUnitMo*LeaseUp!KC$9*KC$10,0)</f>
        <v/>
      </c>
      <c r="KD20" s="218">
        <f>IF(286&gt;=DeliverStart,UtilReimbPerUnitMo*LeaseUp!KD$9*KD$10,0)</f>
        <v/>
      </c>
      <c r="KE20" s="218">
        <f>IF(287&gt;=DeliverStart,UtilReimbPerUnitMo*LeaseUp!KE$9*KE$10,0)</f>
        <v/>
      </c>
      <c r="KF20" s="218">
        <f>IF(288&gt;=DeliverStart,UtilReimbPerUnitMo*LeaseUp!KF$9*KF$10,0)</f>
        <v/>
      </c>
      <c r="KG20" s="218">
        <f>IF(289&gt;=DeliverStart,UtilReimbPerUnitMo*LeaseUp!KG$9*KG$10,0)</f>
        <v/>
      </c>
      <c r="KH20" s="218">
        <f>IF(290&gt;=DeliverStart,UtilReimbPerUnitMo*LeaseUp!KH$9*KH$10,0)</f>
        <v/>
      </c>
      <c r="KI20" s="218">
        <f>IF(291&gt;=DeliverStart,UtilReimbPerUnitMo*LeaseUp!KI$9*KI$10,0)</f>
        <v/>
      </c>
      <c r="KJ20" s="218">
        <f>IF(292&gt;=DeliverStart,UtilReimbPerUnitMo*LeaseUp!KJ$9*KJ$10,0)</f>
        <v/>
      </c>
      <c r="KK20" s="218">
        <f>IF(293&gt;=DeliverStart,UtilReimbPerUnitMo*LeaseUp!KK$9*KK$10,0)</f>
        <v/>
      </c>
      <c r="KL20" s="218">
        <f>IF(294&gt;=DeliverStart,UtilReimbPerUnitMo*LeaseUp!KL$9*KL$10,0)</f>
        <v/>
      </c>
      <c r="KM20" s="218">
        <f>IF(295&gt;=DeliverStart,UtilReimbPerUnitMo*LeaseUp!KM$9*KM$10,0)</f>
        <v/>
      </c>
      <c r="KN20" s="218">
        <f>IF(296&gt;=DeliverStart,UtilReimbPerUnitMo*LeaseUp!KN$9*KN$10,0)</f>
        <v/>
      </c>
      <c r="KO20" s="218">
        <f>IF(297&gt;=DeliverStart,UtilReimbPerUnitMo*LeaseUp!KO$9*KO$10,0)</f>
        <v/>
      </c>
      <c r="KP20" s="218">
        <f>IF(298&gt;=DeliverStart,UtilReimbPerUnitMo*LeaseUp!KP$9*KP$10,0)</f>
        <v/>
      </c>
      <c r="KQ20" s="218">
        <f>IF(299&gt;=DeliverStart,UtilReimbPerUnitMo*LeaseUp!KQ$9*KQ$10,0)</f>
        <v/>
      </c>
      <c r="KR20" s="218">
        <f>IF(300&gt;=DeliverStart,UtilReimbPerUnitMo*LeaseUp!KR$9*KR$10,0)</f>
        <v/>
      </c>
      <c r="KS20" s="218">
        <f>IF(301&gt;=DeliverStart,UtilReimbPerUnitMo*LeaseUp!KS$9*KS$10,0)</f>
        <v/>
      </c>
      <c r="KT20" s="218">
        <f>IF(302&gt;=DeliverStart,UtilReimbPerUnitMo*LeaseUp!KT$9*KT$10,0)</f>
        <v/>
      </c>
      <c r="KU20" s="218">
        <f>IF(303&gt;=DeliverStart,UtilReimbPerUnitMo*LeaseUp!KU$9*KU$10,0)</f>
        <v/>
      </c>
      <c r="KV20" s="218">
        <f>IF(304&gt;=DeliverStart,UtilReimbPerUnitMo*LeaseUp!KV$9*KV$10,0)</f>
        <v/>
      </c>
      <c r="KW20" s="218">
        <f>IF(305&gt;=DeliverStart,UtilReimbPerUnitMo*LeaseUp!KW$9*KW$10,0)</f>
        <v/>
      </c>
      <c r="KX20" s="218">
        <f>IF(306&gt;=DeliverStart,UtilReimbPerUnitMo*LeaseUp!KX$9*KX$10,0)</f>
        <v/>
      </c>
      <c r="KY20" s="218">
        <f>IF(307&gt;=DeliverStart,UtilReimbPerUnitMo*LeaseUp!KY$9*KY$10,0)</f>
        <v/>
      </c>
      <c r="KZ20" s="218">
        <f>IF(308&gt;=DeliverStart,UtilReimbPerUnitMo*LeaseUp!KZ$9*KZ$10,0)</f>
        <v/>
      </c>
      <c r="LA20" s="218">
        <f>IF(309&gt;=DeliverStart,UtilReimbPerUnitMo*LeaseUp!LA$9*LA$10,0)</f>
        <v/>
      </c>
      <c r="LB20" s="218">
        <f>IF(310&gt;=DeliverStart,UtilReimbPerUnitMo*LeaseUp!LB$9*LB$10,0)</f>
        <v/>
      </c>
      <c r="LC20" s="218">
        <f>IF(311&gt;=DeliverStart,UtilReimbPerUnitMo*LeaseUp!LC$9*LC$10,0)</f>
        <v/>
      </c>
      <c r="LD20" s="218">
        <f>IF(312&gt;=DeliverStart,UtilReimbPerUnitMo*LeaseUp!LD$9*LD$10,0)</f>
        <v/>
      </c>
      <c r="LE20" s="218">
        <f>IF(313&gt;=DeliverStart,UtilReimbPerUnitMo*LeaseUp!LE$9*LE$10,0)</f>
        <v/>
      </c>
      <c r="LF20" s="218">
        <f>IF(314&gt;=DeliverStart,UtilReimbPerUnitMo*LeaseUp!LF$9*LF$10,0)</f>
        <v/>
      </c>
      <c r="LG20" s="218">
        <f>IF(315&gt;=DeliverStart,UtilReimbPerUnitMo*LeaseUp!LG$9*LG$10,0)</f>
        <v/>
      </c>
      <c r="LH20" s="218">
        <f>IF(316&gt;=DeliverStart,UtilReimbPerUnitMo*LeaseUp!LH$9*LH$10,0)</f>
        <v/>
      </c>
      <c r="LI20" s="218">
        <f>IF(317&gt;=DeliverStart,UtilReimbPerUnitMo*LeaseUp!LI$9*LI$10,0)</f>
        <v/>
      </c>
      <c r="LJ20" s="218">
        <f>IF(318&gt;=DeliverStart,UtilReimbPerUnitMo*LeaseUp!LJ$9*LJ$10,0)</f>
        <v/>
      </c>
      <c r="LK20" s="218">
        <f>IF(319&gt;=DeliverStart,UtilReimbPerUnitMo*LeaseUp!LK$9*LK$10,0)</f>
        <v/>
      </c>
      <c r="LL20" s="218">
        <f>IF(320&gt;=DeliverStart,UtilReimbPerUnitMo*LeaseUp!LL$9*LL$10,0)</f>
        <v/>
      </c>
      <c r="LM20" s="218">
        <f>IF(321&gt;=DeliverStart,UtilReimbPerUnitMo*LeaseUp!LM$9*LM$10,0)</f>
        <v/>
      </c>
      <c r="LN20" s="218">
        <f>IF(322&gt;=DeliverStart,UtilReimbPerUnitMo*LeaseUp!LN$9*LN$10,0)</f>
        <v/>
      </c>
      <c r="LO20" s="218">
        <f>IF(323&gt;=DeliverStart,UtilReimbPerUnitMo*LeaseUp!LO$9*LO$10,0)</f>
        <v/>
      </c>
      <c r="LP20" s="218">
        <f>IF(324&gt;=DeliverStart,UtilReimbPerUnitMo*LeaseUp!LP$9*LP$10,0)</f>
        <v/>
      </c>
      <c r="LQ20" s="218">
        <f>IF(325&gt;=DeliverStart,UtilReimbPerUnitMo*LeaseUp!LQ$9*LQ$10,0)</f>
        <v/>
      </c>
      <c r="LR20" s="218">
        <f>IF(326&gt;=DeliverStart,UtilReimbPerUnitMo*LeaseUp!LR$9*LR$10,0)</f>
        <v/>
      </c>
      <c r="LS20" s="218">
        <f>IF(327&gt;=DeliverStart,UtilReimbPerUnitMo*LeaseUp!LS$9*LS$10,0)</f>
        <v/>
      </c>
      <c r="LT20" s="218">
        <f>IF(328&gt;=DeliverStart,UtilReimbPerUnitMo*LeaseUp!LT$9*LT$10,0)</f>
        <v/>
      </c>
      <c r="LU20" s="218">
        <f>IF(329&gt;=DeliverStart,UtilReimbPerUnitMo*LeaseUp!LU$9*LU$10,0)</f>
        <v/>
      </c>
      <c r="LV20" s="218">
        <f>IF(330&gt;=DeliverStart,UtilReimbPerUnitMo*LeaseUp!LV$9*LV$10,0)</f>
        <v/>
      </c>
      <c r="LW20" s="218">
        <f>IF(331&gt;=DeliverStart,UtilReimbPerUnitMo*LeaseUp!LW$9*LW$10,0)</f>
        <v/>
      </c>
      <c r="LX20" s="218">
        <f>IF(332&gt;=DeliverStart,UtilReimbPerUnitMo*LeaseUp!LX$9*LX$10,0)</f>
        <v/>
      </c>
      <c r="LY20" s="218">
        <f>IF(333&gt;=DeliverStart,UtilReimbPerUnitMo*LeaseUp!LY$9*LY$10,0)</f>
        <v/>
      </c>
      <c r="LZ20" s="218">
        <f>IF(334&gt;=DeliverStart,UtilReimbPerUnitMo*LeaseUp!LZ$9*LZ$10,0)</f>
        <v/>
      </c>
      <c r="MA20" s="218">
        <f>IF(335&gt;=DeliverStart,UtilReimbPerUnitMo*LeaseUp!MA$9*MA$10,0)</f>
        <v/>
      </c>
      <c r="MB20" s="218">
        <f>IF(336&gt;=DeliverStart,UtilReimbPerUnitMo*LeaseUp!MB$9*MB$10,0)</f>
        <v/>
      </c>
      <c r="MC20" s="218">
        <f>IF(337&gt;=DeliverStart,UtilReimbPerUnitMo*LeaseUp!MC$9*MC$10,0)</f>
        <v/>
      </c>
      <c r="MD20" s="218">
        <f>IF(338&gt;=DeliverStart,UtilReimbPerUnitMo*LeaseUp!MD$9*MD$10,0)</f>
        <v/>
      </c>
      <c r="ME20" s="218">
        <f>IF(339&gt;=DeliverStart,UtilReimbPerUnitMo*LeaseUp!ME$9*ME$10,0)</f>
        <v/>
      </c>
      <c r="MF20" s="218">
        <f>IF(340&gt;=DeliverStart,UtilReimbPerUnitMo*LeaseUp!MF$9*MF$10,0)</f>
        <v/>
      </c>
      <c r="MG20" s="218">
        <f>IF(341&gt;=DeliverStart,UtilReimbPerUnitMo*LeaseUp!MG$9*MG$10,0)</f>
        <v/>
      </c>
      <c r="MH20" s="218">
        <f>IF(342&gt;=DeliverStart,UtilReimbPerUnitMo*LeaseUp!MH$9*MH$10,0)</f>
        <v/>
      </c>
      <c r="MI20" s="218">
        <f>IF(343&gt;=DeliverStart,UtilReimbPerUnitMo*LeaseUp!MI$9*MI$10,0)</f>
        <v/>
      </c>
      <c r="MJ20" s="218">
        <f>IF(344&gt;=DeliverStart,UtilReimbPerUnitMo*LeaseUp!MJ$9*MJ$10,0)</f>
        <v/>
      </c>
      <c r="MK20" s="218">
        <f>IF(345&gt;=DeliverStart,UtilReimbPerUnitMo*LeaseUp!MK$9*MK$10,0)</f>
        <v/>
      </c>
      <c r="ML20" s="218">
        <f>IF(346&gt;=DeliverStart,UtilReimbPerUnitMo*LeaseUp!ML$9*ML$10,0)</f>
        <v/>
      </c>
      <c r="MM20" s="218">
        <f>IF(347&gt;=DeliverStart,UtilReimbPerUnitMo*LeaseUp!MM$9*MM$10,0)</f>
        <v/>
      </c>
      <c r="MN20" s="218">
        <f>IF(348&gt;=DeliverStart,UtilReimbPerUnitMo*LeaseUp!MN$9*MN$10,0)</f>
        <v/>
      </c>
      <c r="MO20" s="218">
        <f>IF(349&gt;=DeliverStart,UtilReimbPerUnitMo*LeaseUp!MO$9*MO$10,0)</f>
        <v/>
      </c>
      <c r="MP20" s="218">
        <f>IF(350&gt;=DeliverStart,UtilReimbPerUnitMo*LeaseUp!MP$9*MP$10,0)</f>
        <v/>
      </c>
      <c r="MQ20" s="218">
        <f>IF(351&gt;=DeliverStart,UtilReimbPerUnitMo*LeaseUp!MQ$9*MQ$10,0)</f>
        <v/>
      </c>
      <c r="MR20" s="218">
        <f>IF(352&gt;=DeliverStart,UtilReimbPerUnitMo*LeaseUp!MR$9*MR$10,0)</f>
        <v/>
      </c>
      <c r="MS20" s="218">
        <f>IF(353&gt;=DeliverStart,UtilReimbPerUnitMo*LeaseUp!MS$9*MS$10,0)</f>
        <v/>
      </c>
      <c r="MT20" s="218">
        <f>IF(354&gt;=DeliverStart,UtilReimbPerUnitMo*LeaseUp!MT$9*MT$10,0)</f>
        <v/>
      </c>
      <c r="MU20" s="218">
        <f>IF(355&gt;=DeliverStart,UtilReimbPerUnitMo*LeaseUp!MU$9*MU$10,0)</f>
        <v/>
      </c>
      <c r="MV20" s="218">
        <f>IF(356&gt;=DeliverStart,UtilReimbPerUnitMo*LeaseUp!MV$9*MV$10,0)</f>
        <v/>
      </c>
      <c r="MW20" s="218">
        <f>IF(357&gt;=DeliverStart,UtilReimbPerUnitMo*LeaseUp!MW$9*MW$10,0)</f>
        <v/>
      </c>
      <c r="MX20" s="218">
        <f>IF(358&gt;=DeliverStart,UtilReimbPerUnitMo*LeaseUp!MX$9*MX$10,0)</f>
        <v/>
      </c>
      <c r="MY20" s="218">
        <f>IF(359&gt;=DeliverStart,UtilReimbPerUnitMo*LeaseUp!MY$9*MY$10,0)</f>
        <v/>
      </c>
      <c r="MZ20" s="218">
        <f>IF(360&gt;=DeliverStart,UtilReimbPerUnitMo*LeaseUp!MZ$9*MZ$10,0)</f>
        <v/>
      </c>
      <c r="NA20" s="218">
        <f>IF(361&gt;=DeliverStart,UtilReimbPerUnitMo*LeaseUp!NA$9*NA$10,0)</f>
        <v/>
      </c>
      <c r="NB20" s="218">
        <f>IF(362&gt;=DeliverStart,UtilReimbPerUnitMo*LeaseUp!NB$9*NB$10,0)</f>
        <v/>
      </c>
      <c r="NC20" s="218">
        <f>IF(363&gt;=DeliverStart,UtilReimbPerUnitMo*LeaseUp!NC$9*NC$10,0)</f>
        <v/>
      </c>
      <c r="ND20" s="218">
        <f>IF(364&gt;=DeliverStart,UtilReimbPerUnitMo*LeaseUp!ND$9*ND$10,0)</f>
        <v/>
      </c>
      <c r="NE20" s="218">
        <f>IF(365&gt;=DeliverStart,UtilReimbPerUnitMo*LeaseUp!NE$9*NE$10,0)</f>
        <v/>
      </c>
      <c r="NF20" s="218">
        <f>IF(366&gt;=DeliverStart,UtilReimbPerUnitMo*LeaseUp!NF$9*NF$10,0)</f>
        <v/>
      </c>
      <c r="NG20" s="218">
        <f>IF(367&gt;=DeliverStart,UtilReimbPerUnitMo*LeaseUp!NG$9*NG$10,0)</f>
        <v/>
      </c>
      <c r="NH20" s="218">
        <f>IF(368&gt;=DeliverStart,UtilReimbPerUnitMo*LeaseUp!NH$9*NH$10,0)</f>
        <v/>
      </c>
      <c r="NI20" s="218">
        <f>IF(369&gt;=DeliverStart,UtilReimbPerUnitMo*LeaseUp!NI$9*NI$10,0)</f>
        <v/>
      </c>
      <c r="NJ20" s="218">
        <f>IF(370&gt;=DeliverStart,UtilReimbPerUnitMo*LeaseUp!NJ$9*NJ$10,0)</f>
        <v/>
      </c>
      <c r="NK20" s="218">
        <f>IF(371&gt;=DeliverStart,UtilReimbPerUnitMo*LeaseUp!NK$9*NK$10,0)</f>
        <v/>
      </c>
      <c r="NL20" s="225">
        <f>IF(372&gt;=DeliverStart,UtilReimbPerUnitMo*LeaseUp!NL$9*NL$10,0)</f>
        <v/>
      </c>
    </row>
    <row r="21">
      <c r="B21" s="36" t="inlineStr">
        <is>
          <t>Other Income</t>
        </is>
      </c>
      <c r="D21" s="266">
        <f>SUM(E21:NL21)</f>
        <v/>
      </c>
      <c r="E21" s="218">
        <f>IF(1&gt;=DeliverStart,OtherIncPerUnitMo*LeaseUp!E$9*E$10,0)</f>
        <v/>
      </c>
      <c r="F21" s="218">
        <f>IF(2&gt;=DeliverStart,OtherIncPerUnitMo*LeaseUp!F$9*F$10,0)</f>
        <v/>
      </c>
      <c r="G21" s="218">
        <f>IF(3&gt;=DeliverStart,OtherIncPerUnitMo*LeaseUp!G$9*G$10,0)</f>
        <v/>
      </c>
      <c r="H21" s="218">
        <f>IF(4&gt;=DeliverStart,OtherIncPerUnitMo*LeaseUp!H$9*H$10,0)</f>
        <v/>
      </c>
      <c r="I21" s="218">
        <f>IF(5&gt;=DeliverStart,OtherIncPerUnitMo*LeaseUp!I$9*I$10,0)</f>
        <v/>
      </c>
      <c r="J21" s="218">
        <f>IF(6&gt;=DeliverStart,OtherIncPerUnitMo*LeaseUp!J$9*J$10,0)</f>
        <v/>
      </c>
      <c r="K21" s="218">
        <f>IF(7&gt;=DeliverStart,OtherIncPerUnitMo*LeaseUp!K$9*K$10,0)</f>
        <v/>
      </c>
      <c r="L21" s="218">
        <f>IF(8&gt;=DeliverStart,OtherIncPerUnitMo*LeaseUp!L$9*L$10,0)</f>
        <v/>
      </c>
      <c r="M21" s="218">
        <f>IF(9&gt;=DeliverStart,OtherIncPerUnitMo*LeaseUp!M$9*M$10,0)</f>
        <v/>
      </c>
      <c r="N21" s="218">
        <f>IF(10&gt;=DeliverStart,OtherIncPerUnitMo*LeaseUp!N$9*N$10,0)</f>
        <v/>
      </c>
      <c r="O21" s="218">
        <f>IF(11&gt;=DeliverStart,OtherIncPerUnitMo*LeaseUp!O$9*O$10,0)</f>
        <v/>
      </c>
      <c r="P21" s="218">
        <f>IF(12&gt;=DeliverStart,OtherIncPerUnitMo*LeaseUp!P$9*P$10,0)</f>
        <v/>
      </c>
      <c r="Q21" s="218">
        <f>IF(13&gt;=DeliverStart,OtherIncPerUnitMo*LeaseUp!Q$9*Q$10,0)</f>
        <v/>
      </c>
      <c r="R21" s="218">
        <f>IF(14&gt;=DeliverStart,OtherIncPerUnitMo*LeaseUp!R$9*R$10,0)</f>
        <v/>
      </c>
      <c r="S21" s="218">
        <f>IF(15&gt;=DeliverStart,OtherIncPerUnitMo*LeaseUp!S$9*S$10,0)</f>
        <v/>
      </c>
      <c r="T21" s="218">
        <f>IF(16&gt;=DeliverStart,OtherIncPerUnitMo*LeaseUp!T$9*T$10,0)</f>
        <v/>
      </c>
      <c r="U21" s="218">
        <f>IF(17&gt;=DeliverStart,OtherIncPerUnitMo*LeaseUp!U$9*U$10,0)</f>
        <v/>
      </c>
      <c r="V21" s="218">
        <f>IF(18&gt;=DeliverStart,OtherIncPerUnitMo*LeaseUp!V$9*V$10,0)</f>
        <v/>
      </c>
      <c r="W21" s="218">
        <f>IF(19&gt;=DeliverStart,OtherIncPerUnitMo*LeaseUp!W$9*W$10,0)</f>
        <v/>
      </c>
      <c r="X21" s="218">
        <f>IF(20&gt;=DeliverStart,OtherIncPerUnitMo*LeaseUp!X$9*X$10,0)</f>
        <v/>
      </c>
      <c r="Y21" s="218">
        <f>IF(21&gt;=DeliverStart,OtherIncPerUnitMo*LeaseUp!Y$9*Y$10,0)</f>
        <v/>
      </c>
      <c r="Z21" s="218">
        <f>IF(22&gt;=DeliverStart,OtherIncPerUnitMo*LeaseUp!Z$9*Z$10,0)</f>
        <v/>
      </c>
      <c r="AA21" s="218">
        <f>IF(23&gt;=DeliverStart,OtherIncPerUnitMo*LeaseUp!AA$9*AA$10,0)</f>
        <v/>
      </c>
      <c r="AB21" s="218">
        <f>IF(24&gt;=DeliverStart,OtherIncPerUnitMo*LeaseUp!AB$9*AB$10,0)</f>
        <v/>
      </c>
      <c r="AC21" s="218">
        <f>IF(25&gt;=DeliverStart,OtherIncPerUnitMo*LeaseUp!AC$9*AC$10,0)</f>
        <v/>
      </c>
      <c r="AD21" s="218">
        <f>IF(26&gt;=DeliverStart,OtherIncPerUnitMo*LeaseUp!AD$9*AD$10,0)</f>
        <v/>
      </c>
      <c r="AE21" s="218">
        <f>IF(27&gt;=DeliverStart,OtherIncPerUnitMo*LeaseUp!AE$9*AE$10,0)</f>
        <v/>
      </c>
      <c r="AF21" s="218">
        <f>IF(28&gt;=DeliverStart,OtherIncPerUnitMo*LeaseUp!AF$9*AF$10,0)</f>
        <v/>
      </c>
      <c r="AG21" s="218">
        <f>IF(29&gt;=DeliverStart,OtherIncPerUnitMo*LeaseUp!AG$9*AG$10,0)</f>
        <v/>
      </c>
      <c r="AH21" s="218">
        <f>IF(30&gt;=DeliverStart,OtherIncPerUnitMo*LeaseUp!AH$9*AH$10,0)</f>
        <v/>
      </c>
      <c r="AI21" s="218">
        <f>IF(31&gt;=DeliverStart,OtherIncPerUnitMo*LeaseUp!AI$9*AI$10,0)</f>
        <v/>
      </c>
      <c r="AJ21" s="218">
        <f>IF(32&gt;=DeliverStart,OtherIncPerUnitMo*LeaseUp!AJ$9*AJ$10,0)</f>
        <v/>
      </c>
      <c r="AK21" s="218">
        <f>IF(33&gt;=DeliverStart,OtherIncPerUnitMo*LeaseUp!AK$9*AK$10,0)</f>
        <v/>
      </c>
      <c r="AL21" s="218">
        <f>IF(34&gt;=DeliverStart,OtherIncPerUnitMo*LeaseUp!AL$9*AL$10,0)</f>
        <v/>
      </c>
      <c r="AM21" s="218">
        <f>IF(35&gt;=DeliverStart,OtherIncPerUnitMo*LeaseUp!AM$9*AM$10,0)</f>
        <v/>
      </c>
      <c r="AN21" s="218">
        <f>IF(36&gt;=DeliverStart,OtherIncPerUnitMo*LeaseUp!AN$9*AN$10,0)</f>
        <v/>
      </c>
      <c r="AO21" s="218">
        <f>IF(37&gt;=DeliverStart,OtherIncPerUnitMo*LeaseUp!AO$9*AO$10,0)</f>
        <v/>
      </c>
      <c r="AP21" s="218">
        <f>IF(38&gt;=DeliverStart,OtherIncPerUnitMo*LeaseUp!AP$9*AP$10,0)</f>
        <v/>
      </c>
      <c r="AQ21" s="218">
        <f>IF(39&gt;=DeliverStart,OtherIncPerUnitMo*LeaseUp!AQ$9*AQ$10,0)</f>
        <v/>
      </c>
      <c r="AR21" s="218">
        <f>IF(40&gt;=DeliverStart,OtherIncPerUnitMo*LeaseUp!AR$9*AR$10,0)</f>
        <v/>
      </c>
      <c r="AS21" s="218">
        <f>IF(41&gt;=DeliverStart,OtherIncPerUnitMo*LeaseUp!AS$9*AS$10,0)</f>
        <v/>
      </c>
      <c r="AT21" s="218">
        <f>IF(42&gt;=DeliverStart,OtherIncPerUnitMo*LeaseUp!AT$9*AT$10,0)</f>
        <v/>
      </c>
      <c r="AU21" s="218">
        <f>IF(43&gt;=DeliverStart,OtherIncPerUnitMo*LeaseUp!AU$9*AU$10,0)</f>
        <v/>
      </c>
      <c r="AV21" s="218">
        <f>IF(44&gt;=DeliverStart,OtherIncPerUnitMo*LeaseUp!AV$9*AV$10,0)</f>
        <v/>
      </c>
      <c r="AW21" s="218">
        <f>IF(45&gt;=DeliverStart,OtherIncPerUnitMo*LeaseUp!AW$9*AW$10,0)</f>
        <v/>
      </c>
      <c r="AX21" s="218">
        <f>IF(46&gt;=DeliverStart,OtherIncPerUnitMo*LeaseUp!AX$9*AX$10,0)</f>
        <v/>
      </c>
      <c r="AY21" s="218">
        <f>IF(47&gt;=DeliverStart,OtherIncPerUnitMo*LeaseUp!AY$9*AY$10,0)</f>
        <v/>
      </c>
      <c r="AZ21" s="218">
        <f>IF(48&gt;=DeliverStart,OtherIncPerUnitMo*LeaseUp!AZ$9*AZ$10,0)</f>
        <v/>
      </c>
      <c r="BA21" s="218">
        <f>IF(49&gt;=DeliverStart,OtherIncPerUnitMo*LeaseUp!BA$9*BA$10,0)</f>
        <v/>
      </c>
      <c r="BB21" s="218">
        <f>IF(50&gt;=DeliverStart,OtherIncPerUnitMo*LeaseUp!BB$9*BB$10,0)</f>
        <v/>
      </c>
      <c r="BC21" s="218">
        <f>IF(51&gt;=DeliverStart,OtherIncPerUnitMo*LeaseUp!BC$9*BC$10,0)</f>
        <v/>
      </c>
      <c r="BD21" s="218">
        <f>IF(52&gt;=DeliverStart,OtherIncPerUnitMo*LeaseUp!BD$9*BD$10,0)</f>
        <v/>
      </c>
      <c r="BE21" s="218">
        <f>IF(53&gt;=DeliverStart,OtherIncPerUnitMo*LeaseUp!BE$9*BE$10,0)</f>
        <v/>
      </c>
      <c r="BF21" s="218">
        <f>IF(54&gt;=DeliverStart,OtherIncPerUnitMo*LeaseUp!BF$9*BF$10,0)</f>
        <v/>
      </c>
      <c r="BG21" s="218">
        <f>IF(55&gt;=DeliverStart,OtherIncPerUnitMo*LeaseUp!BG$9*BG$10,0)</f>
        <v/>
      </c>
      <c r="BH21" s="218">
        <f>IF(56&gt;=DeliverStart,OtherIncPerUnitMo*LeaseUp!BH$9*BH$10,0)</f>
        <v/>
      </c>
      <c r="BI21" s="218">
        <f>IF(57&gt;=DeliverStart,OtherIncPerUnitMo*LeaseUp!BI$9*BI$10,0)</f>
        <v/>
      </c>
      <c r="BJ21" s="218">
        <f>IF(58&gt;=DeliverStart,OtherIncPerUnitMo*LeaseUp!BJ$9*BJ$10,0)</f>
        <v/>
      </c>
      <c r="BK21" s="218">
        <f>IF(59&gt;=DeliverStart,OtherIncPerUnitMo*LeaseUp!BK$9*BK$10,0)</f>
        <v/>
      </c>
      <c r="BL21" s="218">
        <f>IF(60&gt;=DeliverStart,OtherIncPerUnitMo*LeaseUp!BL$9*BL$10,0)</f>
        <v/>
      </c>
      <c r="BM21" s="218">
        <f>IF(61&gt;=DeliverStart,OtherIncPerUnitMo*LeaseUp!BM$9*BM$10,0)</f>
        <v/>
      </c>
      <c r="BN21" s="218">
        <f>IF(62&gt;=DeliverStart,OtherIncPerUnitMo*LeaseUp!BN$9*BN$10,0)</f>
        <v/>
      </c>
      <c r="BO21" s="218">
        <f>IF(63&gt;=DeliverStart,OtherIncPerUnitMo*LeaseUp!BO$9*BO$10,0)</f>
        <v/>
      </c>
      <c r="BP21" s="218">
        <f>IF(64&gt;=DeliverStart,OtherIncPerUnitMo*LeaseUp!BP$9*BP$10,0)</f>
        <v/>
      </c>
      <c r="BQ21" s="218">
        <f>IF(65&gt;=DeliverStart,OtherIncPerUnitMo*LeaseUp!BQ$9*BQ$10,0)</f>
        <v/>
      </c>
      <c r="BR21" s="218">
        <f>IF(66&gt;=DeliverStart,OtherIncPerUnitMo*LeaseUp!BR$9*BR$10,0)</f>
        <v/>
      </c>
      <c r="BS21" s="218">
        <f>IF(67&gt;=DeliverStart,OtherIncPerUnitMo*LeaseUp!BS$9*BS$10,0)</f>
        <v/>
      </c>
      <c r="BT21" s="218">
        <f>IF(68&gt;=DeliverStart,OtherIncPerUnitMo*LeaseUp!BT$9*BT$10,0)</f>
        <v/>
      </c>
      <c r="BU21" s="218">
        <f>IF(69&gt;=DeliverStart,OtherIncPerUnitMo*LeaseUp!BU$9*BU$10,0)</f>
        <v/>
      </c>
      <c r="BV21" s="218">
        <f>IF(70&gt;=DeliverStart,OtherIncPerUnitMo*LeaseUp!BV$9*BV$10,0)</f>
        <v/>
      </c>
      <c r="BW21" s="218">
        <f>IF(71&gt;=DeliverStart,OtherIncPerUnitMo*LeaseUp!BW$9*BW$10,0)</f>
        <v/>
      </c>
      <c r="BX21" s="218">
        <f>IF(72&gt;=DeliverStart,OtherIncPerUnitMo*LeaseUp!BX$9*BX$10,0)</f>
        <v/>
      </c>
      <c r="BY21" s="218">
        <f>IF(73&gt;=DeliverStart,OtherIncPerUnitMo*LeaseUp!BY$9*BY$10,0)</f>
        <v/>
      </c>
      <c r="BZ21" s="218">
        <f>IF(74&gt;=DeliverStart,OtherIncPerUnitMo*LeaseUp!BZ$9*BZ$10,0)</f>
        <v/>
      </c>
      <c r="CA21" s="218">
        <f>IF(75&gt;=DeliverStart,OtherIncPerUnitMo*LeaseUp!CA$9*CA$10,0)</f>
        <v/>
      </c>
      <c r="CB21" s="218">
        <f>IF(76&gt;=DeliverStart,OtherIncPerUnitMo*LeaseUp!CB$9*CB$10,0)</f>
        <v/>
      </c>
      <c r="CC21" s="218">
        <f>IF(77&gt;=DeliverStart,OtherIncPerUnitMo*LeaseUp!CC$9*CC$10,0)</f>
        <v/>
      </c>
      <c r="CD21" s="218">
        <f>IF(78&gt;=DeliverStart,OtherIncPerUnitMo*LeaseUp!CD$9*CD$10,0)</f>
        <v/>
      </c>
      <c r="CE21" s="218">
        <f>IF(79&gt;=DeliverStart,OtherIncPerUnitMo*LeaseUp!CE$9*CE$10,0)</f>
        <v/>
      </c>
      <c r="CF21" s="218">
        <f>IF(80&gt;=DeliverStart,OtherIncPerUnitMo*LeaseUp!CF$9*CF$10,0)</f>
        <v/>
      </c>
      <c r="CG21" s="218">
        <f>IF(81&gt;=DeliverStart,OtherIncPerUnitMo*LeaseUp!CG$9*CG$10,0)</f>
        <v/>
      </c>
      <c r="CH21" s="218">
        <f>IF(82&gt;=DeliverStart,OtherIncPerUnitMo*LeaseUp!CH$9*CH$10,0)</f>
        <v/>
      </c>
      <c r="CI21" s="218">
        <f>IF(83&gt;=DeliverStart,OtherIncPerUnitMo*LeaseUp!CI$9*CI$10,0)</f>
        <v/>
      </c>
      <c r="CJ21" s="218">
        <f>IF(84&gt;=DeliverStart,OtherIncPerUnitMo*LeaseUp!CJ$9*CJ$10,0)</f>
        <v/>
      </c>
      <c r="CK21" s="218">
        <f>IF(85&gt;=DeliverStart,OtherIncPerUnitMo*LeaseUp!CK$9*CK$10,0)</f>
        <v/>
      </c>
      <c r="CL21" s="218">
        <f>IF(86&gt;=DeliverStart,OtherIncPerUnitMo*LeaseUp!CL$9*CL$10,0)</f>
        <v/>
      </c>
      <c r="CM21" s="218">
        <f>IF(87&gt;=DeliverStart,OtherIncPerUnitMo*LeaseUp!CM$9*CM$10,0)</f>
        <v/>
      </c>
      <c r="CN21" s="218">
        <f>IF(88&gt;=DeliverStart,OtherIncPerUnitMo*LeaseUp!CN$9*CN$10,0)</f>
        <v/>
      </c>
      <c r="CO21" s="218">
        <f>IF(89&gt;=DeliverStart,OtherIncPerUnitMo*LeaseUp!CO$9*CO$10,0)</f>
        <v/>
      </c>
      <c r="CP21" s="218">
        <f>IF(90&gt;=DeliverStart,OtherIncPerUnitMo*LeaseUp!CP$9*CP$10,0)</f>
        <v/>
      </c>
      <c r="CQ21" s="218">
        <f>IF(91&gt;=DeliverStart,OtherIncPerUnitMo*LeaseUp!CQ$9*CQ$10,0)</f>
        <v/>
      </c>
      <c r="CR21" s="218">
        <f>IF(92&gt;=DeliverStart,OtherIncPerUnitMo*LeaseUp!CR$9*CR$10,0)</f>
        <v/>
      </c>
      <c r="CS21" s="218">
        <f>IF(93&gt;=DeliverStart,OtherIncPerUnitMo*LeaseUp!CS$9*CS$10,0)</f>
        <v/>
      </c>
      <c r="CT21" s="218">
        <f>IF(94&gt;=DeliverStart,OtherIncPerUnitMo*LeaseUp!CT$9*CT$10,0)</f>
        <v/>
      </c>
      <c r="CU21" s="218">
        <f>IF(95&gt;=DeliverStart,OtherIncPerUnitMo*LeaseUp!CU$9*CU$10,0)</f>
        <v/>
      </c>
      <c r="CV21" s="218">
        <f>IF(96&gt;=DeliverStart,OtherIncPerUnitMo*LeaseUp!CV$9*CV$10,0)</f>
        <v/>
      </c>
      <c r="CW21" s="218">
        <f>IF(97&gt;=DeliverStart,OtherIncPerUnitMo*LeaseUp!CW$9*CW$10,0)</f>
        <v/>
      </c>
      <c r="CX21" s="218">
        <f>IF(98&gt;=DeliverStart,OtherIncPerUnitMo*LeaseUp!CX$9*CX$10,0)</f>
        <v/>
      </c>
      <c r="CY21" s="218">
        <f>IF(99&gt;=DeliverStart,OtherIncPerUnitMo*LeaseUp!CY$9*CY$10,0)</f>
        <v/>
      </c>
      <c r="CZ21" s="218">
        <f>IF(100&gt;=DeliverStart,OtherIncPerUnitMo*LeaseUp!CZ$9*CZ$10,0)</f>
        <v/>
      </c>
      <c r="DA21" s="218">
        <f>IF(101&gt;=DeliverStart,OtherIncPerUnitMo*LeaseUp!DA$9*DA$10,0)</f>
        <v/>
      </c>
      <c r="DB21" s="218">
        <f>IF(102&gt;=DeliverStart,OtherIncPerUnitMo*LeaseUp!DB$9*DB$10,0)</f>
        <v/>
      </c>
      <c r="DC21" s="218">
        <f>IF(103&gt;=DeliverStart,OtherIncPerUnitMo*LeaseUp!DC$9*DC$10,0)</f>
        <v/>
      </c>
      <c r="DD21" s="218">
        <f>IF(104&gt;=DeliverStart,OtherIncPerUnitMo*LeaseUp!DD$9*DD$10,0)</f>
        <v/>
      </c>
      <c r="DE21" s="218">
        <f>IF(105&gt;=DeliverStart,OtherIncPerUnitMo*LeaseUp!DE$9*DE$10,0)</f>
        <v/>
      </c>
      <c r="DF21" s="218">
        <f>IF(106&gt;=DeliverStart,OtherIncPerUnitMo*LeaseUp!DF$9*DF$10,0)</f>
        <v/>
      </c>
      <c r="DG21" s="218">
        <f>IF(107&gt;=DeliverStart,OtherIncPerUnitMo*LeaseUp!DG$9*DG$10,0)</f>
        <v/>
      </c>
      <c r="DH21" s="218">
        <f>IF(108&gt;=DeliverStart,OtherIncPerUnitMo*LeaseUp!DH$9*DH$10,0)</f>
        <v/>
      </c>
      <c r="DI21" s="218">
        <f>IF(109&gt;=DeliverStart,OtherIncPerUnitMo*LeaseUp!DI$9*DI$10,0)</f>
        <v/>
      </c>
      <c r="DJ21" s="218">
        <f>IF(110&gt;=DeliverStart,OtherIncPerUnitMo*LeaseUp!DJ$9*DJ$10,0)</f>
        <v/>
      </c>
      <c r="DK21" s="218">
        <f>IF(111&gt;=DeliverStart,OtherIncPerUnitMo*LeaseUp!DK$9*DK$10,0)</f>
        <v/>
      </c>
      <c r="DL21" s="218">
        <f>IF(112&gt;=DeliverStart,OtherIncPerUnitMo*LeaseUp!DL$9*DL$10,0)</f>
        <v/>
      </c>
      <c r="DM21" s="218">
        <f>IF(113&gt;=DeliverStart,OtherIncPerUnitMo*LeaseUp!DM$9*DM$10,0)</f>
        <v/>
      </c>
      <c r="DN21" s="218">
        <f>IF(114&gt;=DeliverStart,OtherIncPerUnitMo*LeaseUp!DN$9*DN$10,0)</f>
        <v/>
      </c>
      <c r="DO21" s="218">
        <f>IF(115&gt;=DeliverStart,OtherIncPerUnitMo*LeaseUp!DO$9*DO$10,0)</f>
        <v/>
      </c>
      <c r="DP21" s="218">
        <f>IF(116&gt;=DeliverStart,OtherIncPerUnitMo*LeaseUp!DP$9*DP$10,0)</f>
        <v/>
      </c>
      <c r="DQ21" s="218">
        <f>IF(117&gt;=DeliverStart,OtherIncPerUnitMo*LeaseUp!DQ$9*DQ$10,0)</f>
        <v/>
      </c>
      <c r="DR21" s="218">
        <f>IF(118&gt;=DeliverStart,OtherIncPerUnitMo*LeaseUp!DR$9*DR$10,0)</f>
        <v/>
      </c>
      <c r="DS21" s="218">
        <f>IF(119&gt;=DeliverStart,OtherIncPerUnitMo*LeaseUp!DS$9*DS$10,0)</f>
        <v/>
      </c>
      <c r="DT21" s="218">
        <f>IF(120&gt;=DeliverStart,OtherIncPerUnitMo*LeaseUp!DT$9*DT$10,0)</f>
        <v/>
      </c>
      <c r="DU21" s="218">
        <f>IF(121&gt;=DeliverStart,OtherIncPerUnitMo*LeaseUp!DU$9*DU$10,0)</f>
        <v/>
      </c>
      <c r="DV21" s="218">
        <f>IF(122&gt;=DeliverStart,OtherIncPerUnitMo*LeaseUp!DV$9*DV$10,0)</f>
        <v/>
      </c>
      <c r="DW21" s="218">
        <f>IF(123&gt;=DeliverStart,OtherIncPerUnitMo*LeaseUp!DW$9*DW$10,0)</f>
        <v/>
      </c>
      <c r="DX21" s="218">
        <f>IF(124&gt;=DeliverStart,OtherIncPerUnitMo*LeaseUp!DX$9*DX$10,0)</f>
        <v/>
      </c>
      <c r="DY21" s="218">
        <f>IF(125&gt;=DeliverStart,OtherIncPerUnitMo*LeaseUp!DY$9*DY$10,0)</f>
        <v/>
      </c>
      <c r="DZ21" s="218">
        <f>IF(126&gt;=DeliverStart,OtherIncPerUnitMo*LeaseUp!DZ$9*DZ$10,0)</f>
        <v/>
      </c>
      <c r="EA21" s="218">
        <f>IF(127&gt;=DeliverStart,OtherIncPerUnitMo*LeaseUp!EA$9*EA$10,0)</f>
        <v/>
      </c>
      <c r="EB21" s="218">
        <f>IF(128&gt;=DeliverStart,OtherIncPerUnitMo*LeaseUp!EB$9*EB$10,0)</f>
        <v/>
      </c>
      <c r="EC21" s="218">
        <f>IF(129&gt;=DeliverStart,OtherIncPerUnitMo*LeaseUp!EC$9*EC$10,0)</f>
        <v/>
      </c>
      <c r="ED21" s="218">
        <f>IF(130&gt;=DeliverStart,OtherIncPerUnitMo*LeaseUp!ED$9*ED$10,0)</f>
        <v/>
      </c>
      <c r="EE21" s="218">
        <f>IF(131&gt;=DeliverStart,OtherIncPerUnitMo*LeaseUp!EE$9*EE$10,0)</f>
        <v/>
      </c>
      <c r="EF21" s="218">
        <f>IF(132&gt;=DeliverStart,OtherIncPerUnitMo*LeaseUp!EF$9*EF$10,0)</f>
        <v/>
      </c>
      <c r="EG21" s="218">
        <f>IF(133&gt;=DeliverStart,OtherIncPerUnitMo*LeaseUp!EG$9*EG$10,0)</f>
        <v/>
      </c>
      <c r="EH21" s="218">
        <f>IF(134&gt;=DeliverStart,OtherIncPerUnitMo*LeaseUp!EH$9*EH$10,0)</f>
        <v/>
      </c>
      <c r="EI21" s="218">
        <f>IF(135&gt;=DeliverStart,OtherIncPerUnitMo*LeaseUp!EI$9*EI$10,0)</f>
        <v/>
      </c>
      <c r="EJ21" s="218">
        <f>IF(136&gt;=DeliverStart,OtherIncPerUnitMo*LeaseUp!EJ$9*EJ$10,0)</f>
        <v/>
      </c>
      <c r="EK21" s="218">
        <f>IF(137&gt;=DeliverStart,OtherIncPerUnitMo*LeaseUp!EK$9*EK$10,0)</f>
        <v/>
      </c>
      <c r="EL21" s="218">
        <f>IF(138&gt;=DeliverStart,OtherIncPerUnitMo*LeaseUp!EL$9*EL$10,0)</f>
        <v/>
      </c>
      <c r="EM21" s="218">
        <f>IF(139&gt;=DeliverStart,OtherIncPerUnitMo*LeaseUp!EM$9*EM$10,0)</f>
        <v/>
      </c>
      <c r="EN21" s="218">
        <f>IF(140&gt;=DeliverStart,OtherIncPerUnitMo*LeaseUp!EN$9*EN$10,0)</f>
        <v/>
      </c>
      <c r="EO21" s="218">
        <f>IF(141&gt;=DeliverStart,OtherIncPerUnitMo*LeaseUp!EO$9*EO$10,0)</f>
        <v/>
      </c>
      <c r="EP21" s="218">
        <f>IF(142&gt;=DeliverStart,OtherIncPerUnitMo*LeaseUp!EP$9*EP$10,0)</f>
        <v/>
      </c>
      <c r="EQ21" s="218">
        <f>IF(143&gt;=DeliverStart,OtherIncPerUnitMo*LeaseUp!EQ$9*EQ$10,0)</f>
        <v/>
      </c>
      <c r="ER21" s="218">
        <f>IF(144&gt;=DeliverStart,OtherIncPerUnitMo*LeaseUp!ER$9*ER$10,0)</f>
        <v/>
      </c>
      <c r="ES21" s="218">
        <f>IF(145&gt;=DeliverStart,OtherIncPerUnitMo*LeaseUp!ES$9*ES$10,0)</f>
        <v/>
      </c>
      <c r="ET21" s="218">
        <f>IF(146&gt;=DeliverStart,OtherIncPerUnitMo*LeaseUp!ET$9*ET$10,0)</f>
        <v/>
      </c>
      <c r="EU21" s="218">
        <f>IF(147&gt;=DeliverStart,OtherIncPerUnitMo*LeaseUp!EU$9*EU$10,0)</f>
        <v/>
      </c>
      <c r="EV21" s="218">
        <f>IF(148&gt;=DeliverStart,OtherIncPerUnitMo*LeaseUp!EV$9*EV$10,0)</f>
        <v/>
      </c>
      <c r="EW21" s="218">
        <f>IF(149&gt;=DeliverStart,OtherIncPerUnitMo*LeaseUp!EW$9*EW$10,0)</f>
        <v/>
      </c>
      <c r="EX21" s="218">
        <f>IF(150&gt;=DeliverStart,OtherIncPerUnitMo*LeaseUp!EX$9*EX$10,0)</f>
        <v/>
      </c>
      <c r="EY21" s="218">
        <f>IF(151&gt;=DeliverStart,OtherIncPerUnitMo*LeaseUp!EY$9*EY$10,0)</f>
        <v/>
      </c>
      <c r="EZ21" s="218">
        <f>IF(152&gt;=DeliverStart,OtherIncPerUnitMo*LeaseUp!EZ$9*EZ$10,0)</f>
        <v/>
      </c>
      <c r="FA21" s="218">
        <f>IF(153&gt;=DeliverStart,OtherIncPerUnitMo*LeaseUp!FA$9*FA$10,0)</f>
        <v/>
      </c>
      <c r="FB21" s="218">
        <f>IF(154&gt;=DeliverStart,OtherIncPerUnitMo*LeaseUp!FB$9*FB$10,0)</f>
        <v/>
      </c>
      <c r="FC21" s="218">
        <f>IF(155&gt;=DeliverStart,OtherIncPerUnitMo*LeaseUp!FC$9*FC$10,0)</f>
        <v/>
      </c>
      <c r="FD21" s="218">
        <f>IF(156&gt;=DeliverStart,OtherIncPerUnitMo*LeaseUp!FD$9*FD$10,0)</f>
        <v/>
      </c>
      <c r="FE21" s="218">
        <f>IF(157&gt;=DeliverStart,OtherIncPerUnitMo*LeaseUp!FE$9*FE$10,0)</f>
        <v/>
      </c>
      <c r="FF21" s="218">
        <f>IF(158&gt;=DeliverStart,OtherIncPerUnitMo*LeaseUp!FF$9*FF$10,0)</f>
        <v/>
      </c>
      <c r="FG21" s="218">
        <f>IF(159&gt;=DeliverStart,OtherIncPerUnitMo*LeaseUp!FG$9*FG$10,0)</f>
        <v/>
      </c>
      <c r="FH21" s="218">
        <f>IF(160&gt;=DeliverStart,OtherIncPerUnitMo*LeaseUp!FH$9*FH$10,0)</f>
        <v/>
      </c>
      <c r="FI21" s="218">
        <f>IF(161&gt;=DeliverStart,OtherIncPerUnitMo*LeaseUp!FI$9*FI$10,0)</f>
        <v/>
      </c>
      <c r="FJ21" s="218">
        <f>IF(162&gt;=DeliverStart,OtherIncPerUnitMo*LeaseUp!FJ$9*FJ$10,0)</f>
        <v/>
      </c>
      <c r="FK21" s="218">
        <f>IF(163&gt;=DeliverStart,OtherIncPerUnitMo*LeaseUp!FK$9*FK$10,0)</f>
        <v/>
      </c>
      <c r="FL21" s="218">
        <f>IF(164&gt;=DeliverStart,OtherIncPerUnitMo*LeaseUp!FL$9*FL$10,0)</f>
        <v/>
      </c>
      <c r="FM21" s="218">
        <f>IF(165&gt;=DeliverStart,OtherIncPerUnitMo*LeaseUp!FM$9*FM$10,0)</f>
        <v/>
      </c>
      <c r="FN21" s="218">
        <f>IF(166&gt;=DeliverStart,OtherIncPerUnitMo*LeaseUp!FN$9*FN$10,0)</f>
        <v/>
      </c>
      <c r="FO21" s="218">
        <f>IF(167&gt;=DeliverStart,OtherIncPerUnitMo*LeaseUp!FO$9*FO$10,0)</f>
        <v/>
      </c>
      <c r="FP21" s="218">
        <f>IF(168&gt;=DeliverStart,OtherIncPerUnitMo*LeaseUp!FP$9*FP$10,0)</f>
        <v/>
      </c>
      <c r="FQ21" s="218">
        <f>IF(169&gt;=DeliverStart,OtherIncPerUnitMo*LeaseUp!FQ$9*FQ$10,0)</f>
        <v/>
      </c>
      <c r="FR21" s="218">
        <f>IF(170&gt;=DeliverStart,OtherIncPerUnitMo*LeaseUp!FR$9*FR$10,0)</f>
        <v/>
      </c>
      <c r="FS21" s="218">
        <f>IF(171&gt;=DeliverStart,OtherIncPerUnitMo*LeaseUp!FS$9*FS$10,0)</f>
        <v/>
      </c>
      <c r="FT21" s="218">
        <f>IF(172&gt;=DeliverStart,OtherIncPerUnitMo*LeaseUp!FT$9*FT$10,0)</f>
        <v/>
      </c>
      <c r="FU21" s="218">
        <f>IF(173&gt;=DeliverStart,OtherIncPerUnitMo*LeaseUp!FU$9*FU$10,0)</f>
        <v/>
      </c>
      <c r="FV21" s="218">
        <f>IF(174&gt;=DeliverStart,OtherIncPerUnitMo*LeaseUp!FV$9*FV$10,0)</f>
        <v/>
      </c>
      <c r="FW21" s="218">
        <f>IF(175&gt;=DeliverStart,OtherIncPerUnitMo*LeaseUp!FW$9*FW$10,0)</f>
        <v/>
      </c>
      <c r="FX21" s="218">
        <f>IF(176&gt;=DeliverStart,OtherIncPerUnitMo*LeaseUp!FX$9*FX$10,0)</f>
        <v/>
      </c>
      <c r="FY21" s="218">
        <f>IF(177&gt;=DeliverStart,OtherIncPerUnitMo*LeaseUp!FY$9*FY$10,0)</f>
        <v/>
      </c>
      <c r="FZ21" s="218">
        <f>IF(178&gt;=DeliverStart,OtherIncPerUnitMo*LeaseUp!FZ$9*FZ$10,0)</f>
        <v/>
      </c>
      <c r="GA21" s="218">
        <f>IF(179&gt;=DeliverStart,OtherIncPerUnitMo*LeaseUp!GA$9*GA$10,0)</f>
        <v/>
      </c>
      <c r="GB21" s="218">
        <f>IF(180&gt;=DeliverStart,OtherIncPerUnitMo*LeaseUp!GB$9*GB$10,0)</f>
        <v/>
      </c>
      <c r="GC21" s="218">
        <f>IF(181&gt;=DeliverStart,OtherIncPerUnitMo*LeaseUp!GC$9*GC$10,0)</f>
        <v/>
      </c>
      <c r="GD21" s="218">
        <f>IF(182&gt;=DeliverStart,OtherIncPerUnitMo*LeaseUp!GD$9*GD$10,0)</f>
        <v/>
      </c>
      <c r="GE21" s="218">
        <f>IF(183&gt;=DeliverStart,OtherIncPerUnitMo*LeaseUp!GE$9*GE$10,0)</f>
        <v/>
      </c>
      <c r="GF21" s="218">
        <f>IF(184&gt;=DeliverStart,OtherIncPerUnitMo*LeaseUp!GF$9*GF$10,0)</f>
        <v/>
      </c>
      <c r="GG21" s="218">
        <f>IF(185&gt;=DeliverStart,OtherIncPerUnitMo*LeaseUp!GG$9*GG$10,0)</f>
        <v/>
      </c>
      <c r="GH21" s="218">
        <f>IF(186&gt;=DeliverStart,OtherIncPerUnitMo*LeaseUp!GH$9*GH$10,0)</f>
        <v/>
      </c>
      <c r="GI21" s="218">
        <f>IF(187&gt;=DeliverStart,OtherIncPerUnitMo*LeaseUp!GI$9*GI$10,0)</f>
        <v/>
      </c>
      <c r="GJ21" s="218">
        <f>IF(188&gt;=DeliverStart,OtherIncPerUnitMo*LeaseUp!GJ$9*GJ$10,0)</f>
        <v/>
      </c>
      <c r="GK21" s="218">
        <f>IF(189&gt;=DeliverStart,OtherIncPerUnitMo*LeaseUp!GK$9*GK$10,0)</f>
        <v/>
      </c>
      <c r="GL21" s="218">
        <f>IF(190&gt;=DeliverStart,OtherIncPerUnitMo*LeaseUp!GL$9*GL$10,0)</f>
        <v/>
      </c>
      <c r="GM21" s="218">
        <f>IF(191&gt;=DeliverStart,OtherIncPerUnitMo*LeaseUp!GM$9*GM$10,0)</f>
        <v/>
      </c>
      <c r="GN21" s="218">
        <f>IF(192&gt;=DeliverStart,OtherIncPerUnitMo*LeaseUp!GN$9*GN$10,0)</f>
        <v/>
      </c>
      <c r="GO21" s="218">
        <f>IF(193&gt;=DeliverStart,OtherIncPerUnitMo*LeaseUp!GO$9*GO$10,0)</f>
        <v/>
      </c>
      <c r="GP21" s="218">
        <f>IF(194&gt;=DeliverStart,OtherIncPerUnitMo*LeaseUp!GP$9*GP$10,0)</f>
        <v/>
      </c>
      <c r="GQ21" s="218">
        <f>IF(195&gt;=DeliverStart,OtherIncPerUnitMo*LeaseUp!GQ$9*GQ$10,0)</f>
        <v/>
      </c>
      <c r="GR21" s="218">
        <f>IF(196&gt;=DeliverStart,OtherIncPerUnitMo*LeaseUp!GR$9*GR$10,0)</f>
        <v/>
      </c>
      <c r="GS21" s="218">
        <f>IF(197&gt;=DeliverStart,OtherIncPerUnitMo*LeaseUp!GS$9*GS$10,0)</f>
        <v/>
      </c>
      <c r="GT21" s="218">
        <f>IF(198&gt;=DeliverStart,OtherIncPerUnitMo*LeaseUp!GT$9*GT$10,0)</f>
        <v/>
      </c>
      <c r="GU21" s="218">
        <f>IF(199&gt;=DeliverStart,OtherIncPerUnitMo*LeaseUp!GU$9*GU$10,0)</f>
        <v/>
      </c>
      <c r="GV21" s="218">
        <f>IF(200&gt;=DeliverStart,OtherIncPerUnitMo*LeaseUp!GV$9*GV$10,0)</f>
        <v/>
      </c>
      <c r="GW21" s="218">
        <f>IF(201&gt;=DeliverStart,OtherIncPerUnitMo*LeaseUp!GW$9*GW$10,0)</f>
        <v/>
      </c>
      <c r="GX21" s="218">
        <f>IF(202&gt;=DeliverStart,OtherIncPerUnitMo*LeaseUp!GX$9*GX$10,0)</f>
        <v/>
      </c>
      <c r="GY21" s="218">
        <f>IF(203&gt;=DeliverStart,OtherIncPerUnitMo*LeaseUp!GY$9*GY$10,0)</f>
        <v/>
      </c>
      <c r="GZ21" s="218">
        <f>IF(204&gt;=DeliverStart,OtherIncPerUnitMo*LeaseUp!GZ$9*GZ$10,0)</f>
        <v/>
      </c>
      <c r="HA21" s="218">
        <f>IF(205&gt;=DeliverStart,OtherIncPerUnitMo*LeaseUp!HA$9*HA$10,0)</f>
        <v/>
      </c>
      <c r="HB21" s="218">
        <f>IF(206&gt;=DeliverStart,OtherIncPerUnitMo*LeaseUp!HB$9*HB$10,0)</f>
        <v/>
      </c>
      <c r="HC21" s="218">
        <f>IF(207&gt;=DeliverStart,OtherIncPerUnitMo*LeaseUp!HC$9*HC$10,0)</f>
        <v/>
      </c>
      <c r="HD21" s="218">
        <f>IF(208&gt;=DeliverStart,OtherIncPerUnitMo*LeaseUp!HD$9*HD$10,0)</f>
        <v/>
      </c>
      <c r="HE21" s="218">
        <f>IF(209&gt;=DeliverStart,OtherIncPerUnitMo*LeaseUp!HE$9*HE$10,0)</f>
        <v/>
      </c>
      <c r="HF21" s="218">
        <f>IF(210&gt;=DeliverStart,OtherIncPerUnitMo*LeaseUp!HF$9*HF$10,0)</f>
        <v/>
      </c>
      <c r="HG21" s="218">
        <f>IF(211&gt;=DeliverStart,OtherIncPerUnitMo*LeaseUp!HG$9*HG$10,0)</f>
        <v/>
      </c>
      <c r="HH21" s="218">
        <f>IF(212&gt;=DeliverStart,OtherIncPerUnitMo*LeaseUp!HH$9*HH$10,0)</f>
        <v/>
      </c>
      <c r="HI21" s="218">
        <f>IF(213&gt;=DeliverStart,OtherIncPerUnitMo*LeaseUp!HI$9*HI$10,0)</f>
        <v/>
      </c>
      <c r="HJ21" s="218">
        <f>IF(214&gt;=DeliverStart,OtherIncPerUnitMo*LeaseUp!HJ$9*HJ$10,0)</f>
        <v/>
      </c>
      <c r="HK21" s="218">
        <f>IF(215&gt;=DeliverStart,OtherIncPerUnitMo*LeaseUp!HK$9*HK$10,0)</f>
        <v/>
      </c>
      <c r="HL21" s="218">
        <f>IF(216&gt;=DeliverStart,OtherIncPerUnitMo*LeaseUp!HL$9*HL$10,0)</f>
        <v/>
      </c>
      <c r="HM21" s="218">
        <f>IF(217&gt;=DeliverStart,OtherIncPerUnitMo*LeaseUp!HM$9*HM$10,0)</f>
        <v/>
      </c>
      <c r="HN21" s="218">
        <f>IF(218&gt;=DeliverStart,OtherIncPerUnitMo*LeaseUp!HN$9*HN$10,0)</f>
        <v/>
      </c>
      <c r="HO21" s="218">
        <f>IF(219&gt;=DeliverStart,OtherIncPerUnitMo*LeaseUp!HO$9*HO$10,0)</f>
        <v/>
      </c>
      <c r="HP21" s="218">
        <f>IF(220&gt;=DeliverStart,OtherIncPerUnitMo*LeaseUp!HP$9*HP$10,0)</f>
        <v/>
      </c>
      <c r="HQ21" s="218">
        <f>IF(221&gt;=DeliverStart,OtherIncPerUnitMo*LeaseUp!HQ$9*HQ$10,0)</f>
        <v/>
      </c>
      <c r="HR21" s="218">
        <f>IF(222&gt;=DeliverStart,OtherIncPerUnitMo*LeaseUp!HR$9*HR$10,0)</f>
        <v/>
      </c>
      <c r="HS21" s="218">
        <f>IF(223&gt;=DeliverStart,OtherIncPerUnitMo*LeaseUp!HS$9*HS$10,0)</f>
        <v/>
      </c>
      <c r="HT21" s="218">
        <f>IF(224&gt;=DeliverStart,OtherIncPerUnitMo*LeaseUp!HT$9*HT$10,0)</f>
        <v/>
      </c>
      <c r="HU21" s="218">
        <f>IF(225&gt;=DeliverStart,OtherIncPerUnitMo*LeaseUp!HU$9*HU$10,0)</f>
        <v/>
      </c>
      <c r="HV21" s="218">
        <f>IF(226&gt;=DeliverStart,OtherIncPerUnitMo*LeaseUp!HV$9*HV$10,0)</f>
        <v/>
      </c>
      <c r="HW21" s="218">
        <f>IF(227&gt;=DeliverStart,OtherIncPerUnitMo*LeaseUp!HW$9*HW$10,0)</f>
        <v/>
      </c>
      <c r="HX21" s="218">
        <f>IF(228&gt;=DeliverStart,OtherIncPerUnitMo*LeaseUp!HX$9*HX$10,0)</f>
        <v/>
      </c>
      <c r="HY21" s="218">
        <f>IF(229&gt;=DeliverStart,OtherIncPerUnitMo*LeaseUp!HY$9*HY$10,0)</f>
        <v/>
      </c>
      <c r="HZ21" s="218">
        <f>IF(230&gt;=DeliverStart,OtherIncPerUnitMo*LeaseUp!HZ$9*HZ$10,0)</f>
        <v/>
      </c>
      <c r="IA21" s="218">
        <f>IF(231&gt;=DeliverStart,OtherIncPerUnitMo*LeaseUp!IA$9*IA$10,0)</f>
        <v/>
      </c>
      <c r="IB21" s="218">
        <f>IF(232&gt;=DeliverStart,OtherIncPerUnitMo*LeaseUp!IB$9*IB$10,0)</f>
        <v/>
      </c>
      <c r="IC21" s="218">
        <f>IF(233&gt;=DeliverStart,OtherIncPerUnitMo*LeaseUp!IC$9*IC$10,0)</f>
        <v/>
      </c>
      <c r="ID21" s="218">
        <f>IF(234&gt;=DeliverStart,OtherIncPerUnitMo*LeaseUp!ID$9*ID$10,0)</f>
        <v/>
      </c>
      <c r="IE21" s="218">
        <f>IF(235&gt;=DeliverStart,OtherIncPerUnitMo*LeaseUp!IE$9*IE$10,0)</f>
        <v/>
      </c>
      <c r="IF21" s="218">
        <f>IF(236&gt;=DeliverStart,OtherIncPerUnitMo*LeaseUp!IF$9*IF$10,0)</f>
        <v/>
      </c>
      <c r="IG21" s="218">
        <f>IF(237&gt;=DeliverStart,OtherIncPerUnitMo*LeaseUp!IG$9*IG$10,0)</f>
        <v/>
      </c>
      <c r="IH21" s="218">
        <f>IF(238&gt;=DeliverStart,OtherIncPerUnitMo*LeaseUp!IH$9*IH$10,0)</f>
        <v/>
      </c>
      <c r="II21" s="218">
        <f>IF(239&gt;=DeliverStart,OtherIncPerUnitMo*LeaseUp!II$9*II$10,0)</f>
        <v/>
      </c>
      <c r="IJ21" s="218">
        <f>IF(240&gt;=DeliverStart,OtherIncPerUnitMo*LeaseUp!IJ$9*IJ$10,0)</f>
        <v/>
      </c>
      <c r="IK21" s="218">
        <f>IF(241&gt;=DeliverStart,OtherIncPerUnitMo*LeaseUp!IK$9*IK$10,0)</f>
        <v/>
      </c>
      <c r="IL21" s="218">
        <f>IF(242&gt;=DeliverStart,OtherIncPerUnitMo*LeaseUp!IL$9*IL$10,0)</f>
        <v/>
      </c>
      <c r="IM21" s="218">
        <f>IF(243&gt;=DeliverStart,OtherIncPerUnitMo*LeaseUp!IM$9*IM$10,0)</f>
        <v/>
      </c>
      <c r="IN21" s="218">
        <f>IF(244&gt;=DeliverStart,OtherIncPerUnitMo*LeaseUp!IN$9*IN$10,0)</f>
        <v/>
      </c>
      <c r="IO21" s="218">
        <f>IF(245&gt;=DeliverStart,OtherIncPerUnitMo*LeaseUp!IO$9*IO$10,0)</f>
        <v/>
      </c>
      <c r="IP21" s="218">
        <f>IF(246&gt;=DeliverStart,OtherIncPerUnitMo*LeaseUp!IP$9*IP$10,0)</f>
        <v/>
      </c>
      <c r="IQ21" s="218">
        <f>IF(247&gt;=DeliverStart,OtherIncPerUnitMo*LeaseUp!IQ$9*IQ$10,0)</f>
        <v/>
      </c>
      <c r="IR21" s="218">
        <f>IF(248&gt;=DeliverStart,OtherIncPerUnitMo*LeaseUp!IR$9*IR$10,0)</f>
        <v/>
      </c>
      <c r="IS21" s="218">
        <f>IF(249&gt;=DeliverStart,OtherIncPerUnitMo*LeaseUp!IS$9*IS$10,0)</f>
        <v/>
      </c>
      <c r="IT21" s="218">
        <f>IF(250&gt;=DeliverStart,OtherIncPerUnitMo*LeaseUp!IT$9*IT$10,0)</f>
        <v/>
      </c>
      <c r="IU21" s="218">
        <f>IF(251&gt;=DeliverStart,OtherIncPerUnitMo*LeaseUp!IU$9*IU$10,0)</f>
        <v/>
      </c>
      <c r="IV21" s="218">
        <f>IF(252&gt;=DeliverStart,OtherIncPerUnitMo*LeaseUp!IV$9*IV$10,0)</f>
        <v/>
      </c>
      <c r="IW21" s="218">
        <f>IF(253&gt;=DeliverStart,OtherIncPerUnitMo*LeaseUp!IW$9*IW$10,0)</f>
        <v/>
      </c>
      <c r="IX21" s="218">
        <f>IF(254&gt;=DeliverStart,OtherIncPerUnitMo*LeaseUp!IX$9*IX$10,0)</f>
        <v/>
      </c>
      <c r="IY21" s="218">
        <f>IF(255&gt;=DeliverStart,OtherIncPerUnitMo*LeaseUp!IY$9*IY$10,0)</f>
        <v/>
      </c>
      <c r="IZ21" s="218">
        <f>IF(256&gt;=DeliverStart,OtherIncPerUnitMo*LeaseUp!IZ$9*IZ$10,0)</f>
        <v/>
      </c>
      <c r="JA21" s="218">
        <f>IF(257&gt;=DeliverStart,OtherIncPerUnitMo*LeaseUp!JA$9*JA$10,0)</f>
        <v/>
      </c>
      <c r="JB21" s="218">
        <f>IF(258&gt;=DeliverStart,OtherIncPerUnitMo*LeaseUp!JB$9*JB$10,0)</f>
        <v/>
      </c>
      <c r="JC21" s="218">
        <f>IF(259&gt;=DeliverStart,OtherIncPerUnitMo*LeaseUp!JC$9*JC$10,0)</f>
        <v/>
      </c>
      <c r="JD21" s="218">
        <f>IF(260&gt;=DeliverStart,OtherIncPerUnitMo*LeaseUp!JD$9*JD$10,0)</f>
        <v/>
      </c>
      <c r="JE21" s="218">
        <f>IF(261&gt;=DeliverStart,OtherIncPerUnitMo*LeaseUp!JE$9*JE$10,0)</f>
        <v/>
      </c>
      <c r="JF21" s="218">
        <f>IF(262&gt;=DeliverStart,OtherIncPerUnitMo*LeaseUp!JF$9*JF$10,0)</f>
        <v/>
      </c>
      <c r="JG21" s="218">
        <f>IF(263&gt;=DeliverStart,OtherIncPerUnitMo*LeaseUp!JG$9*JG$10,0)</f>
        <v/>
      </c>
      <c r="JH21" s="218">
        <f>IF(264&gt;=DeliverStart,OtherIncPerUnitMo*LeaseUp!JH$9*JH$10,0)</f>
        <v/>
      </c>
      <c r="JI21" s="218">
        <f>IF(265&gt;=DeliverStart,OtherIncPerUnitMo*LeaseUp!JI$9*JI$10,0)</f>
        <v/>
      </c>
      <c r="JJ21" s="218">
        <f>IF(266&gt;=DeliverStart,OtherIncPerUnitMo*LeaseUp!JJ$9*JJ$10,0)</f>
        <v/>
      </c>
      <c r="JK21" s="218">
        <f>IF(267&gt;=DeliverStart,OtherIncPerUnitMo*LeaseUp!JK$9*JK$10,0)</f>
        <v/>
      </c>
      <c r="JL21" s="218">
        <f>IF(268&gt;=DeliverStart,OtherIncPerUnitMo*LeaseUp!JL$9*JL$10,0)</f>
        <v/>
      </c>
      <c r="JM21" s="218">
        <f>IF(269&gt;=DeliverStart,OtherIncPerUnitMo*LeaseUp!JM$9*JM$10,0)</f>
        <v/>
      </c>
      <c r="JN21" s="218">
        <f>IF(270&gt;=DeliverStart,OtherIncPerUnitMo*LeaseUp!JN$9*JN$10,0)</f>
        <v/>
      </c>
      <c r="JO21" s="218">
        <f>IF(271&gt;=DeliverStart,OtherIncPerUnitMo*LeaseUp!JO$9*JO$10,0)</f>
        <v/>
      </c>
      <c r="JP21" s="218">
        <f>IF(272&gt;=DeliverStart,OtherIncPerUnitMo*LeaseUp!JP$9*JP$10,0)</f>
        <v/>
      </c>
      <c r="JQ21" s="218">
        <f>IF(273&gt;=DeliverStart,OtherIncPerUnitMo*LeaseUp!JQ$9*JQ$10,0)</f>
        <v/>
      </c>
      <c r="JR21" s="218">
        <f>IF(274&gt;=DeliverStart,OtherIncPerUnitMo*LeaseUp!JR$9*JR$10,0)</f>
        <v/>
      </c>
      <c r="JS21" s="218">
        <f>IF(275&gt;=DeliverStart,OtherIncPerUnitMo*LeaseUp!JS$9*JS$10,0)</f>
        <v/>
      </c>
      <c r="JT21" s="218">
        <f>IF(276&gt;=DeliverStart,OtherIncPerUnitMo*LeaseUp!JT$9*JT$10,0)</f>
        <v/>
      </c>
      <c r="JU21" s="218">
        <f>IF(277&gt;=DeliverStart,OtherIncPerUnitMo*LeaseUp!JU$9*JU$10,0)</f>
        <v/>
      </c>
      <c r="JV21" s="218">
        <f>IF(278&gt;=DeliverStart,OtherIncPerUnitMo*LeaseUp!JV$9*JV$10,0)</f>
        <v/>
      </c>
      <c r="JW21" s="218">
        <f>IF(279&gt;=DeliverStart,OtherIncPerUnitMo*LeaseUp!JW$9*JW$10,0)</f>
        <v/>
      </c>
      <c r="JX21" s="218">
        <f>IF(280&gt;=DeliverStart,OtherIncPerUnitMo*LeaseUp!JX$9*JX$10,0)</f>
        <v/>
      </c>
      <c r="JY21" s="218">
        <f>IF(281&gt;=DeliverStart,OtherIncPerUnitMo*LeaseUp!JY$9*JY$10,0)</f>
        <v/>
      </c>
      <c r="JZ21" s="218">
        <f>IF(282&gt;=DeliverStart,OtherIncPerUnitMo*LeaseUp!JZ$9*JZ$10,0)</f>
        <v/>
      </c>
      <c r="KA21" s="218">
        <f>IF(283&gt;=DeliverStart,OtherIncPerUnitMo*LeaseUp!KA$9*KA$10,0)</f>
        <v/>
      </c>
      <c r="KB21" s="218">
        <f>IF(284&gt;=DeliverStart,OtherIncPerUnitMo*LeaseUp!KB$9*KB$10,0)</f>
        <v/>
      </c>
      <c r="KC21" s="218">
        <f>IF(285&gt;=DeliverStart,OtherIncPerUnitMo*LeaseUp!KC$9*KC$10,0)</f>
        <v/>
      </c>
      <c r="KD21" s="218">
        <f>IF(286&gt;=DeliverStart,OtherIncPerUnitMo*LeaseUp!KD$9*KD$10,0)</f>
        <v/>
      </c>
      <c r="KE21" s="218">
        <f>IF(287&gt;=DeliverStart,OtherIncPerUnitMo*LeaseUp!KE$9*KE$10,0)</f>
        <v/>
      </c>
      <c r="KF21" s="218">
        <f>IF(288&gt;=DeliverStart,OtherIncPerUnitMo*LeaseUp!KF$9*KF$10,0)</f>
        <v/>
      </c>
      <c r="KG21" s="218">
        <f>IF(289&gt;=DeliverStart,OtherIncPerUnitMo*LeaseUp!KG$9*KG$10,0)</f>
        <v/>
      </c>
      <c r="KH21" s="218">
        <f>IF(290&gt;=DeliverStart,OtherIncPerUnitMo*LeaseUp!KH$9*KH$10,0)</f>
        <v/>
      </c>
      <c r="KI21" s="218">
        <f>IF(291&gt;=DeliverStart,OtherIncPerUnitMo*LeaseUp!KI$9*KI$10,0)</f>
        <v/>
      </c>
      <c r="KJ21" s="218">
        <f>IF(292&gt;=DeliverStart,OtherIncPerUnitMo*LeaseUp!KJ$9*KJ$10,0)</f>
        <v/>
      </c>
      <c r="KK21" s="218">
        <f>IF(293&gt;=DeliverStart,OtherIncPerUnitMo*LeaseUp!KK$9*KK$10,0)</f>
        <v/>
      </c>
      <c r="KL21" s="218">
        <f>IF(294&gt;=DeliverStart,OtherIncPerUnitMo*LeaseUp!KL$9*KL$10,0)</f>
        <v/>
      </c>
      <c r="KM21" s="218">
        <f>IF(295&gt;=DeliverStart,OtherIncPerUnitMo*LeaseUp!KM$9*KM$10,0)</f>
        <v/>
      </c>
      <c r="KN21" s="218">
        <f>IF(296&gt;=DeliverStart,OtherIncPerUnitMo*LeaseUp!KN$9*KN$10,0)</f>
        <v/>
      </c>
      <c r="KO21" s="218">
        <f>IF(297&gt;=DeliverStart,OtherIncPerUnitMo*LeaseUp!KO$9*KO$10,0)</f>
        <v/>
      </c>
      <c r="KP21" s="218">
        <f>IF(298&gt;=DeliverStart,OtherIncPerUnitMo*LeaseUp!KP$9*KP$10,0)</f>
        <v/>
      </c>
      <c r="KQ21" s="218">
        <f>IF(299&gt;=DeliverStart,OtherIncPerUnitMo*LeaseUp!KQ$9*KQ$10,0)</f>
        <v/>
      </c>
      <c r="KR21" s="218">
        <f>IF(300&gt;=DeliverStart,OtherIncPerUnitMo*LeaseUp!KR$9*KR$10,0)</f>
        <v/>
      </c>
      <c r="KS21" s="218">
        <f>IF(301&gt;=DeliverStart,OtherIncPerUnitMo*LeaseUp!KS$9*KS$10,0)</f>
        <v/>
      </c>
      <c r="KT21" s="218">
        <f>IF(302&gt;=DeliverStart,OtherIncPerUnitMo*LeaseUp!KT$9*KT$10,0)</f>
        <v/>
      </c>
      <c r="KU21" s="218">
        <f>IF(303&gt;=DeliverStart,OtherIncPerUnitMo*LeaseUp!KU$9*KU$10,0)</f>
        <v/>
      </c>
      <c r="KV21" s="218">
        <f>IF(304&gt;=DeliverStart,OtherIncPerUnitMo*LeaseUp!KV$9*KV$10,0)</f>
        <v/>
      </c>
      <c r="KW21" s="218">
        <f>IF(305&gt;=DeliverStart,OtherIncPerUnitMo*LeaseUp!KW$9*KW$10,0)</f>
        <v/>
      </c>
      <c r="KX21" s="218">
        <f>IF(306&gt;=DeliverStart,OtherIncPerUnitMo*LeaseUp!KX$9*KX$10,0)</f>
        <v/>
      </c>
      <c r="KY21" s="218">
        <f>IF(307&gt;=DeliverStart,OtherIncPerUnitMo*LeaseUp!KY$9*KY$10,0)</f>
        <v/>
      </c>
      <c r="KZ21" s="218">
        <f>IF(308&gt;=DeliverStart,OtherIncPerUnitMo*LeaseUp!KZ$9*KZ$10,0)</f>
        <v/>
      </c>
      <c r="LA21" s="218">
        <f>IF(309&gt;=DeliverStart,OtherIncPerUnitMo*LeaseUp!LA$9*LA$10,0)</f>
        <v/>
      </c>
      <c r="LB21" s="218">
        <f>IF(310&gt;=DeliverStart,OtherIncPerUnitMo*LeaseUp!LB$9*LB$10,0)</f>
        <v/>
      </c>
      <c r="LC21" s="218">
        <f>IF(311&gt;=DeliverStart,OtherIncPerUnitMo*LeaseUp!LC$9*LC$10,0)</f>
        <v/>
      </c>
      <c r="LD21" s="218">
        <f>IF(312&gt;=DeliverStart,OtherIncPerUnitMo*LeaseUp!LD$9*LD$10,0)</f>
        <v/>
      </c>
      <c r="LE21" s="218">
        <f>IF(313&gt;=DeliverStart,OtherIncPerUnitMo*LeaseUp!LE$9*LE$10,0)</f>
        <v/>
      </c>
      <c r="LF21" s="218">
        <f>IF(314&gt;=DeliverStart,OtherIncPerUnitMo*LeaseUp!LF$9*LF$10,0)</f>
        <v/>
      </c>
      <c r="LG21" s="218">
        <f>IF(315&gt;=DeliverStart,OtherIncPerUnitMo*LeaseUp!LG$9*LG$10,0)</f>
        <v/>
      </c>
      <c r="LH21" s="218">
        <f>IF(316&gt;=DeliverStart,OtherIncPerUnitMo*LeaseUp!LH$9*LH$10,0)</f>
        <v/>
      </c>
      <c r="LI21" s="218">
        <f>IF(317&gt;=DeliverStart,OtherIncPerUnitMo*LeaseUp!LI$9*LI$10,0)</f>
        <v/>
      </c>
      <c r="LJ21" s="218">
        <f>IF(318&gt;=DeliverStart,OtherIncPerUnitMo*LeaseUp!LJ$9*LJ$10,0)</f>
        <v/>
      </c>
      <c r="LK21" s="218">
        <f>IF(319&gt;=DeliverStart,OtherIncPerUnitMo*LeaseUp!LK$9*LK$10,0)</f>
        <v/>
      </c>
      <c r="LL21" s="218">
        <f>IF(320&gt;=DeliverStart,OtherIncPerUnitMo*LeaseUp!LL$9*LL$10,0)</f>
        <v/>
      </c>
      <c r="LM21" s="218">
        <f>IF(321&gt;=DeliverStart,OtherIncPerUnitMo*LeaseUp!LM$9*LM$10,0)</f>
        <v/>
      </c>
      <c r="LN21" s="218">
        <f>IF(322&gt;=DeliverStart,OtherIncPerUnitMo*LeaseUp!LN$9*LN$10,0)</f>
        <v/>
      </c>
      <c r="LO21" s="218">
        <f>IF(323&gt;=DeliverStart,OtherIncPerUnitMo*LeaseUp!LO$9*LO$10,0)</f>
        <v/>
      </c>
      <c r="LP21" s="218">
        <f>IF(324&gt;=DeliverStart,OtherIncPerUnitMo*LeaseUp!LP$9*LP$10,0)</f>
        <v/>
      </c>
      <c r="LQ21" s="218">
        <f>IF(325&gt;=DeliverStart,OtherIncPerUnitMo*LeaseUp!LQ$9*LQ$10,0)</f>
        <v/>
      </c>
      <c r="LR21" s="218">
        <f>IF(326&gt;=DeliverStart,OtherIncPerUnitMo*LeaseUp!LR$9*LR$10,0)</f>
        <v/>
      </c>
      <c r="LS21" s="218">
        <f>IF(327&gt;=DeliverStart,OtherIncPerUnitMo*LeaseUp!LS$9*LS$10,0)</f>
        <v/>
      </c>
      <c r="LT21" s="218">
        <f>IF(328&gt;=DeliverStart,OtherIncPerUnitMo*LeaseUp!LT$9*LT$10,0)</f>
        <v/>
      </c>
      <c r="LU21" s="218">
        <f>IF(329&gt;=DeliverStart,OtherIncPerUnitMo*LeaseUp!LU$9*LU$10,0)</f>
        <v/>
      </c>
      <c r="LV21" s="218">
        <f>IF(330&gt;=DeliverStart,OtherIncPerUnitMo*LeaseUp!LV$9*LV$10,0)</f>
        <v/>
      </c>
      <c r="LW21" s="218">
        <f>IF(331&gt;=DeliverStart,OtherIncPerUnitMo*LeaseUp!LW$9*LW$10,0)</f>
        <v/>
      </c>
      <c r="LX21" s="218">
        <f>IF(332&gt;=DeliverStart,OtherIncPerUnitMo*LeaseUp!LX$9*LX$10,0)</f>
        <v/>
      </c>
      <c r="LY21" s="218">
        <f>IF(333&gt;=DeliverStart,OtherIncPerUnitMo*LeaseUp!LY$9*LY$10,0)</f>
        <v/>
      </c>
      <c r="LZ21" s="218">
        <f>IF(334&gt;=DeliverStart,OtherIncPerUnitMo*LeaseUp!LZ$9*LZ$10,0)</f>
        <v/>
      </c>
      <c r="MA21" s="218">
        <f>IF(335&gt;=DeliverStart,OtherIncPerUnitMo*LeaseUp!MA$9*MA$10,0)</f>
        <v/>
      </c>
      <c r="MB21" s="218">
        <f>IF(336&gt;=DeliverStart,OtherIncPerUnitMo*LeaseUp!MB$9*MB$10,0)</f>
        <v/>
      </c>
      <c r="MC21" s="218">
        <f>IF(337&gt;=DeliverStart,OtherIncPerUnitMo*LeaseUp!MC$9*MC$10,0)</f>
        <v/>
      </c>
      <c r="MD21" s="218">
        <f>IF(338&gt;=DeliverStart,OtherIncPerUnitMo*LeaseUp!MD$9*MD$10,0)</f>
        <v/>
      </c>
      <c r="ME21" s="218">
        <f>IF(339&gt;=DeliverStart,OtherIncPerUnitMo*LeaseUp!ME$9*ME$10,0)</f>
        <v/>
      </c>
      <c r="MF21" s="218">
        <f>IF(340&gt;=DeliverStart,OtherIncPerUnitMo*LeaseUp!MF$9*MF$10,0)</f>
        <v/>
      </c>
      <c r="MG21" s="218">
        <f>IF(341&gt;=DeliverStart,OtherIncPerUnitMo*LeaseUp!MG$9*MG$10,0)</f>
        <v/>
      </c>
      <c r="MH21" s="218">
        <f>IF(342&gt;=DeliverStart,OtherIncPerUnitMo*LeaseUp!MH$9*MH$10,0)</f>
        <v/>
      </c>
      <c r="MI21" s="218">
        <f>IF(343&gt;=DeliverStart,OtherIncPerUnitMo*LeaseUp!MI$9*MI$10,0)</f>
        <v/>
      </c>
      <c r="MJ21" s="218">
        <f>IF(344&gt;=DeliverStart,OtherIncPerUnitMo*LeaseUp!MJ$9*MJ$10,0)</f>
        <v/>
      </c>
      <c r="MK21" s="218">
        <f>IF(345&gt;=DeliverStart,OtherIncPerUnitMo*LeaseUp!MK$9*MK$10,0)</f>
        <v/>
      </c>
      <c r="ML21" s="218">
        <f>IF(346&gt;=DeliverStart,OtherIncPerUnitMo*LeaseUp!ML$9*ML$10,0)</f>
        <v/>
      </c>
      <c r="MM21" s="218">
        <f>IF(347&gt;=DeliverStart,OtherIncPerUnitMo*LeaseUp!MM$9*MM$10,0)</f>
        <v/>
      </c>
      <c r="MN21" s="218">
        <f>IF(348&gt;=DeliverStart,OtherIncPerUnitMo*LeaseUp!MN$9*MN$10,0)</f>
        <v/>
      </c>
      <c r="MO21" s="218">
        <f>IF(349&gt;=DeliverStart,OtherIncPerUnitMo*LeaseUp!MO$9*MO$10,0)</f>
        <v/>
      </c>
      <c r="MP21" s="218">
        <f>IF(350&gt;=DeliverStart,OtherIncPerUnitMo*LeaseUp!MP$9*MP$10,0)</f>
        <v/>
      </c>
      <c r="MQ21" s="218">
        <f>IF(351&gt;=DeliverStart,OtherIncPerUnitMo*LeaseUp!MQ$9*MQ$10,0)</f>
        <v/>
      </c>
      <c r="MR21" s="218">
        <f>IF(352&gt;=DeliverStart,OtherIncPerUnitMo*LeaseUp!MR$9*MR$10,0)</f>
        <v/>
      </c>
      <c r="MS21" s="218">
        <f>IF(353&gt;=DeliverStart,OtherIncPerUnitMo*LeaseUp!MS$9*MS$10,0)</f>
        <v/>
      </c>
      <c r="MT21" s="218">
        <f>IF(354&gt;=DeliverStart,OtherIncPerUnitMo*LeaseUp!MT$9*MT$10,0)</f>
        <v/>
      </c>
      <c r="MU21" s="218">
        <f>IF(355&gt;=DeliverStart,OtherIncPerUnitMo*LeaseUp!MU$9*MU$10,0)</f>
        <v/>
      </c>
      <c r="MV21" s="218">
        <f>IF(356&gt;=DeliverStart,OtherIncPerUnitMo*LeaseUp!MV$9*MV$10,0)</f>
        <v/>
      </c>
      <c r="MW21" s="218">
        <f>IF(357&gt;=DeliverStart,OtherIncPerUnitMo*LeaseUp!MW$9*MW$10,0)</f>
        <v/>
      </c>
      <c r="MX21" s="218">
        <f>IF(358&gt;=DeliverStart,OtherIncPerUnitMo*LeaseUp!MX$9*MX$10,0)</f>
        <v/>
      </c>
      <c r="MY21" s="218">
        <f>IF(359&gt;=DeliverStart,OtherIncPerUnitMo*LeaseUp!MY$9*MY$10,0)</f>
        <v/>
      </c>
      <c r="MZ21" s="218">
        <f>IF(360&gt;=DeliverStart,OtherIncPerUnitMo*LeaseUp!MZ$9*MZ$10,0)</f>
        <v/>
      </c>
      <c r="NA21" s="218">
        <f>IF(361&gt;=DeliverStart,OtherIncPerUnitMo*LeaseUp!NA$9*NA$10,0)</f>
        <v/>
      </c>
      <c r="NB21" s="218">
        <f>IF(362&gt;=DeliverStart,OtherIncPerUnitMo*LeaseUp!NB$9*NB$10,0)</f>
        <v/>
      </c>
      <c r="NC21" s="218">
        <f>IF(363&gt;=DeliverStart,OtherIncPerUnitMo*LeaseUp!NC$9*NC$10,0)</f>
        <v/>
      </c>
      <c r="ND21" s="218">
        <f>IF(364&gt;=DeliverStart,OtherIncPerUnitMo*LeaseUp!ND$9*ND$10,0)</f>
        <v/>
      </c>
      <c r="NE21" s="218">
        <f>IF(365&gt;=DeliverStart,OtherIncPerUnitMo*LeaseUp!NE$9*NE$10,0)</f>
        <v/>
      </c>
      <c r="NF21" s="218">
        <f>IF(366&gt;=DeliverStart,OtherIncPerUnitMo*LeaseUp!NF$9*NF$10,0)</f>
        <v/>
      </c>
      <c r="NG21" s="218">
        <f>IF(367&gt;=DeliverStart,OtherIncPerUnitMo*LeaseUp!NG$9*NG$10,0)</f>
        <v/>
      </c>
      <c r="NH21" s="218">
        <f>IF(368&gt;=DeliverStart,OtherIncPerUnitMo*LeaseUp!NH$9*NH$10,0)</f>
        <v/>
      </c>
      <c r="NI21" s="218">
        <f>IF(369&gt;=DeliverStart,OtherIncPerUnitMo*LeaseUp!NI$9*NI$10,0)</f>
        <v/>
      </c>
      <c r="NJ21" s="218">
        <f>IF(370&gt;=DeliverStart,OtherIncPerUnitMo*LeaseUp!NJ$9*NJ$10,0)</f>
        <v/>
      </c>
      <c r="NK21" s="218">
        <f>IF(371&gt;=DeliverStart,OtherIncPerUnitMo*LeaseUp!NK$9*NK$10,0)</f>
        <v/>
      </c>
      <c r="NL21" s="225">
        <f>IF(372&gt;=DeliverStart,OtherIncPerUnitMo*LeaseUp!NL$9*NL$10,0)</f>
        <v/>
      </c>
    </row>
    <row r="22">
      <c r="B22" s="36" t="inlineStr">
        <is>
          <t>Retail Income</t>
        </is>
      </c>
      <c r="D22" s="266">
        <f>SUM(E22:NL22)</f>
        <v/>
      </c>
      <c r="E22" s="218">
        <f>IF(1&gt;=DeliverStart,(RetailRentMo+RetailIncomeMo)*E$10*MIN(1,LeaseUp!E$10/StabilizedOccupancy),0)</f>
        <v/>
      </c>
      <c r="F22" s="218">
        <f>IF(2&gt;=DeliverStart,(RetailRentMo+RetailIncomeMo)*F$10*MIN(1,LeaseUp!F$10/StabilizedOccupancy),0)</f>
        <v/>
      </c>
      <c r="G22" s="218">
        <f>IF(3&gt;=DeliverStart,(RetailRentMo+RetailIncomeMo)*G$10*MIN(1,LeaseUp!G$10/StabilizedOccupancy),0)</f>
        <v/>
      </c>
      <c r="H22" s="218">
        <f>IF(4&gt;=DeliverStart,(RetailRentMo+RetailIncomeMo)*H$10*MIN(1,LeaseUp!H$10/StabilizedOccupancy),0)</f>
        <v/>
      </c>
      <c r="I22" s="218">
        <f>IF(5&gt;=DeliverStart,(RetailRentMo+RetailIncomeMo)*I$10*MIN(1,LeaseUp!I$10/StabilizedOccupancy),0)</f>
        <v/>
      </c>
      <c r="J22" s="218">
        <f>IF(6&gt;=DeliverStart,(RetailRentMo+RetailIncomeMo)*J$10*MIN(1,LeaseUp!J$10/StabilizedOccupancy),0)</f>
        <v/>
      </c>
      <c r="K22" s="218">
        <f>IF(7&gt;=DeliverStart,(RetailRentMo+RetailIncomeMo)*K$10*MIN(1,LeaseUp!K$10/StabilizedOccupancy),0)</f>
        <v/>
      </c>
      <c r="L22" s="218">
        <f>IF(8&gt;=DeliverStart,(RetailRentMo+RetailIncomeMo)*L$10*MIN(1,LeaseUp!L$10/StabilizedOccupancy),0)</f>
        <v/>
      </c>
      <c r="M22" s="218">
        <f>IF(9&gt;=DeliverStart,(RetailRentMo+RetailIncomeMo)*M$10*MIN(1,LeaseUp!M$10/StabilizedOccupancy),0)</f>
        <v/>
      </c>
      <c r="N22" s="218">
        <f>IF(10&gt;=DeliverStart,(RetailRentMo+RetailIncomeMo)*N$10*MIN(1,LeaseUp!N$10/StabilizedOccupancy),0)</f>
        <v/>
      </c>
      <c r="O22" s="218">
        <f>IF(11&gt;=DeliverStart,(RetailRentMo+RetailIncomeMo)*O$10*MIN(1,LeaseUp!O$10/StabilizedOccupancy),0)</f>
        <v/>
      </c>
      <c r="P22" s="218">
        <f>IF(12&gt;=DeliverStart,(RetailRentMo+RetailIncomeMo)*P$10*MIN(1,LeaseUp!P$10/StabilizedOccupancy),0)</f>
        <v/>
      </c>
      <c r="Q22" s="218">
        <f>IF(13&gt;=DeliverStart,(RetailRentMo+RetailIncomeMo)*Q$10*MIN(1,LeaseUp!Q$10/StabilizedOccupancy),0)</f>
        <v/>
      </c>
      <c r="R22" s="218">
        <f>IF(14&gt;=DeliverStart,(RetailRentMo+RetailIncomeMo)*R$10*MIN(1,LeaseUp!R$10/StabilizedOccupancy),0)</f>
        <v/>
      </c>
      <c r="S22" s="218">
        <f>IF(15&gt;=DeliverStart,(RetailRentMo+RetailIncomeMo)*S$10*MIN(1,LeaseUp!S$10/StabilizedOccupancy),0)</f>
        <v/>
      </c>
      <c r="T22" s="218">
        <f>IF(16&gt;=DeliverStart,(RetailRentMo+RetailIncomeMo)*T$10*MIN(1,LeaseUp!T$10/StabilizedOccupancy),0)</f>
        <v/>
      </c>
      <c r="U22" s="218">
        <f>IF(17&gt;=DeliverStart,(RetailRentMo+RetailIncomeMo)*U$10*MIN(1,LeaseUp!U$10/StabilizedOccupancy),0)</f>
        <v/>
      </c>
      <c r="V22" s="218">
        <f>IF(18&gt;=DeliverStart,(RetailRentMo+RetailIncomeMo)*V$10*MIN(1,LeaseUp!V$10/StabilizedOccupancy),0)</f>
        <v/>
      </c>
      <c r="W22" s="218">
        <f>IF(19&gt;=DeliverStart,(RetailRentMo+RetailIncomeMo)*W$10*MIN(1,LeaseUp!W$10/StabilizedOccupancy),0)</f>
        <v/>
      </c>
      <c r="X22" s="218">
        <f>IF(20&gt;=DeliverStart,(RetailRentMo+RetailIncomeMo)*X$10*MIN(1,LeaseUp!X$10/StabilizedOccupancy),0)</f>
        <v/>
      </c>
      <c r="Y22" s="218">
        <f>IF(21&gt;=DeliverStart,(RetailRentMo+RetailIncomeMo)*Y$10*MIN(1,LeaseUp!Y$10/StabilizedOccupancy),0)</f>
        <v/>
      </c>
      <c r="Z22" s="218">
        <f>IF(22&gt;=DeliverStart,(RetailRentMo+RetailIncomeMo)*Z$10*MIN(1,LeaseUp!Z$10/StabilizedOccupancy),0)</f>
        <v/>
      </c>
      <c r="AA22" s="218">
        <f>IF(23&gt;=DeliverStart,(RetailRentMo+RetailIncomeMo)*AA$10*MIN(1,LeaseUp!AA$10/StabilizedOccupancy),0)</f>
        <v/>
      </c>
      <c r="AB22" s="218">
        <f>IF(24&gt;=DeliverStart,(RetailRentMo+RetailIncomeMo)*AB$10*MIN(1,LeaseUp!AB$10/StabilizedOccupancy),0)</f>
        <v/>
      </c>
      <c r="AC22" s="218">
        <f>IF(25&gt;=DeliverStart,(RetailRentMo+RetailIncomeMo)*AC$10*MIN(1,LeaseUp!AC$10/StabilizedOccupancy),0)</f>
        <v/>
      </c>
      <c r="AD22" s="218">
        <f>IF(26&gt;=DeliverStart,(RetailRentMo+RetailIncomeMo)*AD$10*MIN(1,LeaseUp!AD$10/StabilizedOccupancy),0)</f>
        <v/>
      </c>
      <c r="AE22" s="218">
        <f>IF(27&gt;=DeliverStart,(RetailRentMo+RetailIncomeMo)*AE$10*MIN(1,LeaseUp!AE$10/StabilizedOccupancy),0)</f>
        <v/>
      </c>
      <c r="AF22" s="218">
        <f>IF(28&gt;=DeliverStart,(RetailRentMo+RetailIncomeMo)*AF$10*MIN(1,LeaseUp!AF$10/StabilizedOccupancy),0)</f>
        <v/>
      </c>
      <c r="AG22" s="218">
        <f>IF(29&gt;=DeliverStart,(RetailRentMo+RetailIncomeMo)*AG$10*MIN(1,LeaseUp!AG$10/StabilizedOccupancy),0)</f>
        <v/>
      </c>
      <c r="AH22" s="218">
        <f>IF(30&gt;=DeliverStart,(RetailRentMo+RetailIncomeMo)*AH$10*MIN(1,LeaseUp!AH$10/StabilizedOccupancy),0)</f>
        <v/>
      </c>
      <c r="AI22" s="218">
        <f>IF(31&gt;=DeliverStart,(RetailRentMo+RetailIncomeMo)*AI$10*MIN(1,LeaseUp!AI$10/StabilizedOccupancy),0)</f>
        <v/>
      </c>
      <c r="AJ22" s="218">
        <f>IF(32&gt;=DeliverStart,(RetailRentMo+RetailIncomeMo)*AJ$10*MIN(1,LeaseUp!AJ$10/StabilizedOccupancy),0)</f>
        <v/>
      </c>
      <c r="AK22" s="218">
        <f>IF(33&gt;=DeliverStart,(RetailRentMo+RetailIncomeMo)*AK$10*MIN(1,LeaseUp!AK$10/StabilizedOccupancy),0)</f>
        <v/>
      </c>
      <c r="AL22" s="218">
        <f>IF(34&gt;=DeliverStart,(RetailRentMo+RetailIncomeMo)*AL$10*MIN(1,LeaseUp!AL$10/StabilizedOccupancy),0)</f>
        <v/>
      </c>
      <c r="AM22" s="218">
        <f>IF(35&gt;=DeliverStart,(RetailRentMo+RetailIncomeMo)*AM$10*MIN(1,LeaseUp!AM$10/StabilizedOccupancy),0)</f>
        <v/>
      </c>
      <c r="AN22" s="218">
        <f>IF(36&gt;=DeliverStart,(RetailRentMo+RetailIncomeMo)*AN$10*MIN(1,LeaseUp!AN$10/StabilizedOccupancy),0)</f>
        <v/>
      </c>
      <c r="AO22" s="218">
        <f>IF(37&gt;=DeliverStart,(RetailRentMo+RetailIncomeMo)*AO$10*MIN(1,LeaseUp!AO$10/StabilizedOccupancy),0)</f>
        <v/>
      </c>
      <c r="AP22" s="218">
        <f>IF(38&gt;=DeliverStart,(RetailRentMo+RetailIncomeMo)*AP$10*MIN(1,LeaseUp!AP$10/StabilizedOccupancy),0)</f>
        <v/>
      </c>
      <c r="AQ22" s="218">
        <f>IF(39&gt;=DeliverStart,(RetailRentMo+RetailIncomeMo)*AQ$10*MIN(1,LeaseUp!AQ$10/StabilizedOccupancy),0)</f>
        <v/>
      </c>
      <c r="AR22" s="218">
        <f>IF(40&gt;=DeliverStart,(RetailRentMo+RetailIncomeMo)*AR$10*MIN(1,LeaseUp!AR$10/StabilizedOccupancy),0)</f>
        <v/>
      </c>
      <c r="AS22" s="218">
        <f>IF(41&gt;=DeliverStart,(RetailRentMo+RetailIncomeMo)*AS$10*MIN(1,LeaseUp!AS$10/StabilizedOccupancy),0)</f>
        <v/>
      </c>
      <c r="AT22" s="218">
        <f>IF(42&gt;=DeliverStart,(RetailRentMo+RetailIncomeMo)*AT$10*MIN(1,LeaseUp!AT$10/StabilizedOccupancy),0)</f>
        <v/>
      </c>
      <c r="AU22" s="218">
        <f>IF(43&gt;=DeliverStart,(RetailRentMo+RetailIncomeMo)*AU$10*MIN(1,LeaseUp!AU$10/StabilizedOccupancy),0)</f>
        <v/>
      </c>
      <c r="AV22" s="218">
        <f>IF(44&gt;=DeliverStart,(RetailRentMo+RetailIncomeMo)*AV$10*MIN(1,LeaseUp!AV$10/StabilizedOccupancy),0)</f>
        <v/>
      </c>
      <c r="AW22" s="218">
        <f>IF(45&gt;=DeliverStart,(RetailRentMo+RetailIncomeMo)*AW$10*MIN(1,LeaseUp!AW$10/StabilizedOccupancy),0)</f>
        <v/>
      </c>
      <c r="AX22" s="218">
        <f>IF(46&gt;=DeliverStart,(RetailRentMo+RetailIncomeMo)*AX$10*MIN(1,LeaseUp!AX$10/StabilizedOccupancy),0)</f>
        <v/>
      </c>
      <c r="AY22" s="218">
        <f>IF(47&gt;=DeliverStart,(RetailRentMo+RetailIncomeMo)*AY$10*MIN(1,LeaseUp!AY$10/StabilizedOccupancy),0)</f>
        <v/>
      </c>
      <c r="AZ22" s="218">
        <f>IF(48&gt;=DeliverStart,(RetailRentMo+RetailIncomeMo)*AZ$10*MIN(1,LeaseUp!AZ$10/StabilizedOccupancy),0)</f>
        <v/>
      </c>
      <c r="BA22" s="218">
        <f>IF(49&gt;=DeliverStart,(RetailRentMo+RetailIncomeMo)*BA$10*MIN(1,LeaseUp!BA$10/StabilizedOccupancy),0)</f>
        <v/>
      </c>
      <c r="BB22" s="218">
        <f>IF(50&gt;=DeliverStart,(RetailRentMo+RetailIncomeMo)*BB$10*MIN(1,LeaseUp!BB$10/StabilizedOccupancy),0)</f>
        <v/>
      </c>
      <c r="BC22" s="218">
        <f>IF(51&gt;=DeliverStart,(RetailRentMo+RetailIncomeMo)*BC$10*MIN(1,LeaseUp!BC$10/StabilizedOccupancy),0)</f>
        <v/>
      </c>
      <c r="BD22" s="218">
        <f>IF(52&gt;=DeliverStart,(RetailRentMo+RetailIncomeMo)*BD$10*MIN(1,LeaseUp!BD$10/StabilizedOccupancy),0)</f>
        <v/>
      </c>
      <c r="BE22" s="218">
        <f>IF(53&gt;=DeliverStart,(RetailRentMo+RetailIncomeMo)*BE$10*MIN(1,LeaseUp!BE$10/StabilizedOccupancy),0)</f>
        <v/>
      </c>
      <c r="BF22" s="218">
        <f>IF(54&gt;=DeliverStart,(RetailRentMo+RetailIncomeMo)*BF$10*MIN(1,LeaseUp!BF$10/StabilizedOccupancy),0)</f>
        <v/>
      </c>
      <c r="BG22" s="218">
        <f>IF(55&gt;=DeliverStart,(RetailRentMo+RetailIncomeMo)*BG$10*MIN(1,LeaseUp!BG$10/StabilizedOccupancy),0)</f>
        <v/>
      </c>
      <c r="BH22" s="218">
        <f>IF(56&gt;=DeliverStart,(RetailRentMo+RetailIncomeMo)*BH$10*MIN(1,LeaseUp!BH$10/StabilizedOccupancy),0)</f>
        <v/>
      </c>
      <c r="BI22" s="218">
        <f>IF(57&gt;=DeliverStart,(RetailRentMo+RetailIncomeMo)*BI$10*MIN(1,LeaseUp!BI$10/StabilizedOccupancy),0)</f>
        <v/>
      </c>
      <c r="BJ22" s="218">
        <f>IF(58&gt;=DeliverStart,(RetailRentMo+RetailIncomeMo)*BJ$10*MIN(1,LeaseUp!BJ$10/StabilizedOccupancy),0)</f>
        <v/>
      </c>
      <c r="BK22" s="218">
        <f>IF(59&gt;=DeliverStart,(RetailRentMo+RetailIncomeMo)*BK$10*MIN(1,LeaseUp!BK$10/StabilizedOccupancy),0)</f>
        <v/>
      </c>
      <c r="BL22" s="218">
        <f>IF(60&gt;=DeliverStart,(RetailRentMo+RetailIncomeMo)*BL$10*MIN(1,LeaseUp!BL$10/StabilizedOccupancy),0)</f>
        <v/>
      </c>
      <c r="BM22" s="218">
        <f>IF(61&gt;=DeliverStart,(RetailRentMo+RetailIncomeMo)*BM$10*MIN(1,LeaseUp!BM$10/StabilizedOccupancy),0)</f>
        <v/>
      </c>
      <c r="BN22" s="218">
        <f>IF(62&gt;=DeliverStart,(RetailRentMo+RetailIncomeMo)*BN$10*MIN(1,LeaseUp!BN$10/StabilizedOccupancy),0)</f>
        <v/>
      </c>
      <c r="BO22" s="218">
        <f>IF(63&gt;=DeliverStart,(RetailRentMo+RetailIncomeMo)*BO$10*MIN(1,LeaseUp!BO$10/StabilizedOccupancy),0)</f>
        <v/>
      </c>
      <c r="BP22" s="218">
        <f>IF(64&gt;=DeliverStart,(RetailRentMo+RetailIncomeMo)*BP$10*MIN(1,LeaseUp!BP$10/StabilizedOccupancy),0)</f>
        <v/>
      </c>
      <c r="BQ22" s="218">
        <f>IF(65&gt;=DeliverStart,(RetailRentMo+RetailIncomeMo)*BQ$10*MIN(1,LeaseUp!BQ$10/StabilizedOccupancy),0)</f>
        <v/>
      </c>
      <c r="BR22" s="218">
        <f>IF(66&gt;=DeliverStart,(RetailRentMo+RetailIncomeMo)*BR$10*MIN(1,LeaseUp!BR$10/StabilizedOccupancy),0)</f>
        <v/>
      </c>
      <c r="BS22" s="218">
        <f>IF(67&gt;=DeliverStart,(RetailRentMo+RetailIncomeMo)*BS$10*MIN(1,LeaseUp!BS$10/StabilizedOccupancy),0)</f>
        <v/>
      </c>
      <c r="BT22" s="218">
        <f>IF(68&gt;=DeliverStart,(RetailRentMo+RetailIncomeMo)*BT$10*MIN(1,LeaseUp!BT$10/StabilizedOccupancy),0)</f>
        <v/>
      </c>
      <c r="BU22" s="218">
        <f>IF(69&gt;=DeliverStart,(RetailRentMo+RetailIncomeMo)*BU$10*MIN(1,LeaseUp!BU$10/StabilizedOccupancy),0)</f>
        <v/>
      </c>
      <c r="BV22" s="218">
        <f>IF(70&gt;=DeliverStart,(RetailRentMo+RetailIncomeMo)*BV$10*MIN(1,LeaseUp!BV$10/StabilizedOccupancy),0)</f>
        <v/>
      </c>
      <c r="BW22" s="218">
        <f>IF(71&gt;=DeliverStart,(RetailRentMo+RetailIncomeMo)*BW$10*MIN(1,LeaseUp!BW$10/StabilizedOccupancy),0)</f>
        <v/>
      </c>
      <c r="BX22" s="218">
        <f>IF(72&gt;=DeliverStart,(RetailRentMo+RetailIncomeMo)*BX$10*MIN(1,LeaseUp!BX$10/StabilizedOccupancy),0)</f>
        <v/>
      </c>
      <c r="BY22" s="218">
        <f>IF(73&gt;=DeliverStart,(RetailRentMo+RetailIncomeMo)*BY$10*MIN(1,LeaseUp!BY$10/StabilizedOccupancy),0)</f>
        <v/>
      </c>
      <c r="BZ22" s="218">
        <f>IF(74&gt;=DeliverStart,(RetailRentMo+RetailIncomeMo)*BZ$10*MIN(1,LeaseUp!BZ$10/StabilizedOccupancy),0)</f>
        <v/>
      </c>
      <c r="CA22" s="218">
        <f>IF(75&gt;=DeliverStart,(RetailRentMo+RetailIncomeMo)*CA$10*MIN(1,LeaseUp!CA$10/StabilizedOccupancy),0)</f>
        <v/>
      </c>
      <c r="CB22" s="218">
        <f>IF(76&gt;=DeliverStart,(RetailRentMo+RetailIncomeMo)*CB$10*MIN(1,LeaseUp!CB$10/StabilizedOccupancy),0)</f>
        <v/>
      </c>
      <c r="CC22" s="218">
        <f>IF(77&gt;=DeliverStart,(RetailRentMo+RetailIncomeMo)*CC$10*MIN(1,LeaseUp!CC$10/StabilizedOccupancy),0)</f>
        <v/>
      </c>
      <c r="CD22" s="218">
        <f>IF(78&gt;=DeliverStart,(RetailRentMo+RetailIncomeMo)*CD$10*MIN(1,LeaseUp!CD$10/StabilizedOccupancy),0)</f>
        <v/>
      </c>
      <c r="CE22" s="218">
        <f>IF(79&gt;=DeliverStart,(RetailRentMo+RetailIncomeMo)*CE$10*MIN(1,LeaseUp!CE$10/StabilizedOccupancy),0)</f>
        <v/>
      </c>
      <c r="CF22" s="218">
        <f>IF(80&gt;=DeliverStart,(RetailRentMo+RetailIncomeMo)*CF$10*MIN(1,LeaseUp!CF$10/StabilizedOccupancy),0)</f>
        <v/>
      </c>
      <c r="CG22" s="218">
        <f>IF(81&gt;=DeliverStart,(RetailRentMo+RetailIncomeMo)*CG$10*MIN(1,LeaseUp!CG$10/StabilizedOccupancy),0)</f>
        <v/>
      </c>
      <c r="CH22" s="218">
        <f>IF(82&gt;=DeliverStart,(RetailRentMo+RetailIncomeMo)*CH$10*MIN(1,LeaseUp!CH$10/StabilizedOccupancy),0)</f>
        <v/>
      </c>
      <c r="CI22" s="218">
        <f>IF(83&gt;=DeliverStart,(RetailRentMo+RetailIncomeMo)*CI$10*MIN(1,LeaseUp!CI$10/StabilizedOccupancy),0)</f>
        <v/>
      </c>
      <c r="CJ22" s="218">
        <f>IF(84&gt;=DeliverStart,(RetailRentMo+RetailIncomeMo)*CJ$10*MIN(1,LeaseUp!CJ$10/StabilizedOccupancy),0)</f>
        <v/>
      </c>
      <c r="CK22" s="218">
        <f>IF(85&gt;=DeliverStart,(RetailRentMo+RetailIncomeMo)*CK$10*MIN(1,LeaseUp!CK$10/StabilizedOccupancy),0)</f>
        <v/>
      </c>
      <c r="CL22" s="218">
        <f>IF(86&gt;=DeliverStart,(RetailRentMo+RetailIncomeMo)*CL$10*MIN(1,LeaseUp!CL$10/StabilizedOccupancy),0)</f>
        <v/>
      </c>
      <c r="CM22" s="218">
        <f>IF(87&gt;=DeliverStart,(RetailRentMo+RetailIncomeMo)*CM$10*MIN(1,LeaseUp!CM$10/StabilizedOccupancy),0)</f>
        <v/>
      </c>
      <c r="CN22" s="218">
        <f>IF(88&gt;=DeliverStart,(RetailRentMo+RetailIncomeMo)*CN$10*MIN(1,LeaseUp!CN$10/StabilizedOccupancy),0)</f>
        <v/>
      </c>
      <c r="CO22" s="218">
        <f>IF(89&gt;=DeliverStart,(RetailRentMo+RetailIncomeMo)*CO$10*MIN(1,LeaseUp!CO$10/StabilizedOccupancy),0)</f>
        <v/>
      </c>
      <c r="CP22" s="218">
        <f>IF(90&gt;=DeliverStart,(RetailRentMo+RetailIncomeMo)*CP$10*MIN(1,LeaseUp!CP$10/StabilizedOccupancy),0)</f>
        <v/>
      </c>
      <c r="CQ22" s="218">
        <f>IF(91&gt;=DeliverStart,(RetailRentMo+RetailIncomeMo)*CQ$10*MIN(1,LeaseUp!CQ$10/StabilizedOccupancy),0)</f>
        <v/>
      </c>
      <c r="CR22" s="218">
        <f>IF(92&gt;=DeliverStart,(RetailRentMo+RetailIncomeMo)*CR$10*MIN(1,LeaseUp!CR$10/StabilizedOccupancy),0)</f>
        <v/>
      </c>
      <c r="CS22" s="218">
        <f>IF(93&gt;=DeliverStart,(RetailRentMo+RetailIncomeMo)*CS$10*MIN(1,LeaseUp!CS$10/StabilizedOccupancy),0)</f>
        <v/>
      </c>
      <c r="CT22" s="218">
        <f>IF(94&gt;=DeliverStart,(RetailRentMo+RetailIncomeMo)*CT$10*MIN(1,LeaseUp!CT$10/StabilizedOccupancy),0)</f>
        <v/>
      </c>
      <c r="CU22" s="218">
        <f>IF(95&gt;=DeliverStart,(RetailRentMo+RetailIncomeMo)*CU$10*MIN(1,LeaseUp!CU$10/StabilizedOccupancy),0)</f>
        <v/>
      </c>
      <c r="CV22" s="218">
        <f>IF(96&gt;=DeliverStart,(RetailRentMo+RetailIncomeMo)*CV$10*MIN(1,LeaseUp!CV$10/StabilizedOccupancy),0)</f>
        <v/>
      </c>
      <c r="CW22" s="218">
        <f>IF(97&gt;=DeliverStart,(RetailRentMo+RetailIncomeMo)*CW$10*MIN(1,LeaseUp!CW$10/StabilizedOccupancy),0)</f>
        <v/>
      </c>
      <c r="CX22" s="218">
        <f>IF(98&gt;=DeliverStart,(RetailRentMo+RetailIncomeMo)*CX$10*MIN(1,LeaseUp!CX$10/StabilizedOccupancy),0)</f>
        <v/>
      </c>
      <c r="CY22" s="218">
        <f>IF(99&gt;=DeliverStart,(RetailRentMo+RetailIncomeMo)*CY$10*MIN(1,LeaseUp!CY$10/StabilizedOccupancy),0)</f>
        <v/>
      </c>
      <c r="CZ22" s="218">
        <f>IF(100&gt;=DeliverStart,(RetailRentMo+RetailIncomeMo)*CZ$10*MIN(1,LeaseUp!CZ$10/StabilizedOccupancy),0)</f>
        <v/>
      </c>
      <c r="DA22" s="218">
        <f>IF(101&gt;=DeliverStart,(RetailRentMo+RetailIncomeMo)*DA$10*MIN(1,LeaseUp!DA$10/StabilizedOccupancy),0)</f>
        <v/>
      </c>
      <c r="DB22" s="218">
        <f>IF(102&gt;=DeliverStart,(RetailRentMo+RetailIncomeMo)*DB$10*MIN(1,LeaseUp!DB$10/StabilizedOccupancy),0)</f>
        <v/>
      </c>
      <c r="DC22" s="218">
        <f>IF(103&gt;=DeliverStart,(RetailRentMo+RetailIncomeMo)*DC$10*MIN(1,LeaseUp!DC$10/StabilizedOccupancy),0)</f>
        <v/>
      </c>
      <c r="DD22" s="218">
        <f>IF(104&gt;=DeliverStart,(RetailRentMo+RetailIncomeMo)*DD$10*MIN(1,LeaseUp!DD$10/StabilizedOccupancy),0)</f>
        <v/>
      </c>
      <c r="DE22" s="218">
        <f>IF(105&gt;=DeliverStart,(RetailRentMo+RetailIncomeMo)*DE$10*MIN(1,LeaseUp!DE$10/StabilizedOccupancy),0)</f>
        <v/>
      </c>
      <c r="DF22" s="218">
        <f>IF(106&gt;=DeliverStart,(RetailRentMo+RetailIncomeMo)*DF$10*MIN(1,LeaseUp!DF$10/StabilizedOccupancy),0)</f>
        <v/>
      </c>
      <c r="DG22" s="218">
        <f>IF(107&gt;=DeliverStart,(RetailRentMo+RetailIncomeMo)*DG$10*MIN(1,LeaseUp!DG$10/StabilizedOccupancy),0)</f>
        <v/>
      </c>
      <c r="DH22" s="218">
        <f>IF(108&gt;=DeliverStart,(RetailRentMo+RetailIncomeMo)*DH$10*MIN(1,LeaseUp!DH$10/StabilizedOccupancy),0)</f>
        <v/>
      </c>
      <c r="DI22" s="218">
        <f>IF(109&gt;=DeliverStart,(RetailRentMo+RetailIncomeMo)*DI$10*MIN(1,LeaseUp!DI$10/StabilizedOccupancy),0)</f>
        <v/>
      </c>
      <c r="DJ22" s="218">
        <f>IF(110&gt;=DeliverStart,(RetailRentMo+RetailIncomeMo)*DJ$10*MIN(1,LeaseUp!DJ$10/StabilizedOccupancy),0)</f>
        <v/>
      </c>
      <c r="DK22" s="218">
        <f>IF(111&gt;=DeliverStart,(RetailRentMo+RetailIncomeMo)*DK$10*MIN(1,LeaseUp!DK$10/StabilizedOccupancy),0)</f>
        <v/>
      </c>
      <c r="DL22" s="218">
        <f>IF(112&gt;=DeliverStart,(RetailRentMo+RetailIncomeMo)*DL$10*MIN(1,LeaseUp!DL$10/StabilizedOccupancy),0)</f>
        <v/>
      </c>
      <c r="DM22" s="218">
        <f>IF(113&gt;=DeliverStart,(RetailRentMo+RetailIncomeMo)*DM$10*MIN(1,LeaseUp!DM$10/StabilizedOccupancy),0)</f>
        <v/>
      </c>
      <c r="DN22" s="218">
        <f>IF(114&gt;=DeliverStart,(RetailRentMo+RetailIncomeMo)*DN$10*MIN(1,LeaseUp!DN$10/StabilizedOccupancy),0)</f>
        <v/>
      </c>
      <c r="DO22" s="218">
        <f>IF(115&gt;=DeliverStart,(RetailRentMo+RetailIncomeMo)*DO$10*MIN(1,LeaseUp!DO$10/StabilizedOccupancy),0)</f>
        <v/>
      </c>
      <c r="DP22" s="218">
        <f>IF(116&gt;=DeliverStart,(RetailRentMo+RetailIncomeMo)*DP$10*MIN(1,LeaseUp!DP$10/StabilizedOccupancy),0)</f>
        <v/>
      </c>
      <c r="DQ22" s="218">
        <f>IF(117&gt;=DeliverStart,(RetailRentMo+RetailIncomeMo)*DQ$10*MIN(1,LeaseUp!DQ$10/StabilizedOccupancy),0)</f>
        <v/>
      </c>
      <c r="DR22" s="218">
        <f>IF(118&gt;=DeliverStart,(RetailRentMo+RetailIncomeMo)*DR$10*MIN(1,LeaseUp!DR$10/StabilizedOccupancy),0)</f>
        <v/>
      </c>
      <c r="DS22" s="218">
        <f>IF(119&gt;=DeliverStart,(RetailRentMo+RetailIncomeMo)*DS$10*MIN(1,LeaseUp!DS$10/StabilizedOccupancy),0)</f>
        <v/>
      </c>
      <c r="DT22" s="218">
        <f>IF(120&gt;=DeliverStart,(RetailRentMo+RetailIncomeMo)*DT$10*MIN(1,LeaseUp!DT$10/StabilizedOccupancy),0)</f>
        <v/>
      </c>
      <c r="DU22" s="218">
        <f>IF(121&gt;=DeliverStart,(RetailRentMo+RetailIncomeMo)*DU$10*MIN(1,LeaseUp!DU$10/StabilizedOccupancy),0)</f>
        <v/>
      </c>
      <c r="DV22" s="218">
        <f>IF(122&gt;=DeliverStart,(RetailRentMo+RetailIncomeMo)*DV$10*MIN(1,LeaseUp!DV$10/StabilizedOccupancy),0)</f>
        <v/>
      </c>
      <c r="DW22" s="218">
        <f>IF(123&gt;=DeliverStart,(RetailRentMo+RetailIncomeMo)*DW$10*MIN(1,LeaseUp!DW$10/StabilizedOccupancy),0)</f>
        <v/>
      </c>
      <c r="DX22" s="218">
        <f>IF(124&gt;=DeliverStart,(RetailRentMo+RetailIncomeMo)*DX$10*MIN(1,LeaseUp!DX$10/StabilizedOccupancy),0)</f>
        <v/>
      </c>
      <c r="DY22" s="218">
        <f>IF(125&gt;=DeliverStart,(RetailRentMo+RetailIncomeMo)*DY$10*MIN(1,LeaseUp!DY$10/StabilizedOccupancy),0)</f>
        <v/>
      </c>
      <c r="DZ22" s="218">
        <f>IF(126&gt;=DeliverStart,(RetailRentMo+RetailIncomeMo)*DZ$10*MIN(1,LeaseUp!DZ$10/StabilizedOccupancy),0)</f>
        <v/>
      </c>
      <c r="EA22" s="218">
        <f>IF(127&gt;=DeliverStart,(RetailRentMo+RetailIncomeMo)*EA$10*MIN(1,LeaseUp!EA$10/StabilizedOccupancy),0)</f>
        <v/>
      </c>
      <c r="EB22" s="218">
        <f>IF(128&gt;=DeliverStart,(RetailRentMo+RetailIncomeMo)*EB$10*MIN(1,LeaseUp!EB$10/StabilizedOccupancy),0)</f>
        <v/>
      </c>
      <c r="EC22" s="218">
        <f>IF(129&gt;=DeliverStart,(RetailRentMo+RetailIncomeMo)*EC$10*MIN(1,LeaseUp!EC$10/StabilizedOccupancy),0)</f>
        <v/>
      </c>
      <c r="ED22" s="218">
        <f>IF(130&gt;=DeliverStart,(RetailRentMo+RetailIncomeMo)*ED$10*MIN(1,LeaseUp!ED$10/StabilizedOccupancy),0)</f>
        <v/>
      </c>
      <c r="EE22" s="218">
        <f>IF(131&gt;=DeliverStart,(RetailRentMo+RetailIncomeMo)*EE$10*MIN(1,LeaseUp!EE$10/StabilizedOccupancy),0)</f>
        <v/>
      </c>
      <c r="EF22" s="218">
        <f>IF(132&gt;=DeliverStart,(RetailRentMo+RetailIncomeMo)*EF$10*MIN(1,LeaseUp!EF$10/StabilizedOccupancy),0)</f>
        <v/>
      </c>
      <c r="EG22" s="218">
        <f>IF(133&gt;=DeliverStart,(RetailRentMo+RetailIncomeMo)*EG$10*MIN(1,LeaseUp!EG$10/StabilizedOccupancy),0)</f>
        <v/>
      </c>
      <c r="EH22" s="218">
        <f>IF(134&gt;=DeliverStart,(RetailRentMo+RetailIncomeMo)*EH$10*MIN(1,LeaseUp!EH$10/StabilizedOccupancy),0)</f>
        <v/>
      </c>
      <c r="EI22" s="218">
        <f>IF(135&gt;=DeliverStart,(RetailRentMo+RetailIncomeMo)*EI$10*MIN(1,LeaseUp!EI$10/StabilizedOccupancy),0)</f>
        <v/>
      </c>
      <c r="EJ22" s="218">
        <f>IF(136&gt;=DeliverStart,(RetailRentMo+RetailIncomeMo)*EJ$10*MIN(1,LeaseUp!EJ$10/StabilizedOccupancy),0)</f>
        <v/>
      </c>
      <c r="EK22" s="218">
        <f>IF(137&gt;=DeliverStart,(RetailRentMo+RetailIncomeMo)*EK$10*MIN(1,LeaseUp!EK$10/StabilizedOccupancy),0)</f>
        <v/>
      </c>
      <c r="EL22" s="218">
        <f>IF(138&gt;=DeliverStart,(RetailRentMo+RetailIncomeMo)*EL$10*MIN(1,LeaseUp!EL$10/StabilizedOccupancy),0)</f>
        <v/>
      </c>
      <c r="EM22" s="218">
        <f>IF(139&gt;=DeliverStart,(RetailRentMo+RetailIncomeMo)*EM$10*MIN(1,LeaseUp!EM$10/StabilizedOccupancy),0)</f>
        <v/>
      </c>
      <c r="EN22" s="218">
        <f>IF(140&gt;=DeliverStart,(RetailRentMo+RetailIncomeMo)*EN$10*MIN(1,LeaseUp!EN$10/StabilizedOccupancy),0)</f>
        <v/>
      </c>
      <c r="EO22" s="218">
        <f>IF(141&gt;=DeliverStart,(RetailRentMo+RetailIncomeMo)*EO$10*MIN(1,LeaseUp!EO$10/StabilizedOccupancy),0)</f>
        <v/>
      </c>
      <c r="EP22" s="218">
        <f>IF(142&gt;=DeliverStart,(RetailRentMo+RetailIncomeMo)*EP$10*MIN(1,LeaseUp!EP$10/StabilizedOccupancy),0)</f>
        <v/>
      </c>
      <c r="EQ22" s="218">
        <f>IF(143&gt;=DeliverStart,(RetailRentMo+RetailIncomeMo)*EQ$10*MIN(1,LeaseUp!EQ$10/StabilizedOccupancy),0)</f>
        <v/>
      </c>
      <c r="ER22" s="218">
        <f>IF(144&gt;=DeliverStart,(RetailRentMo+RetailIncomeMo)*ER$10*MIN(1,LeaseUp!ER$10/StabilizedOccupancy),0)</f>
        <v/>
      </c>
      <c r="ES22" s="218">
        <f>IF(145&gt;=DeliverStart,(RetailRentMo+RetailIncomeMo)*ES$10*MIN(1,LeaseUp!ES$10/StabilizedOccupancy),0)</f>
        <v/>
      </c>
      <c r="ET22" s="218">
        <f>IF(146&gt;=DeliverStart,(RetailRentMo+RetailIncomeMo)*ET$10*MIN(1,LeaseUp!ET$10/StabilizedOccupancy),0)</f>
        <v/>
      </c>
      <c r="EU22" s="218">
        <f>IF(147&gt;=DeliverStart,(RetailRentMo+RetailIncomeMo)*EU$10*MIN(1,LeaseUp!EU$10/StabilizedOccupancy),0)</f>
        <v/>
      </c>
      <c r="EV22" s="218">
        <f>IF(148&gt;=DeliverStart,(RetailRentMo+RetailIncomeMo)*EV$10*MIN(1,LeaseUp!EV$10/StabilizedOccupancy),0)</f>
        <v/>
      </c>
      <c r="EW22" s="218">
        <f>IF(149&gt;=DeliverStart,(RetailRentMo+RetailIncomeMo)*EW$10*MIN(1,LeaseUp!EW$10/StabilizedOccupancy),0)</f>
        <v/>
      </c>
      <c r="EX22" s="218">
        <f>IF(150&gt;=DeliverStart,(RetailRentMo+RetailIncomeMo)*EX$10*MIN(1,LeaseUp!EX$10/StabilizedOccupancy),0)</f>
        <v/>
      </c>
      <c r="EY22" s="218">
        <f>IF(151&gt;=DeliverStart,(RetailRentMo+RetailIncomeMo)*EY$10*MIN(1,LeaseUp!EY$10/StabilizedOccupancy),0)</f>
        <v/>
      </c>
      <c r="EZ22" s="218">
        <f>IF(152&gt;=DeliverStart,(RetailRentMo+RetailIncomeMo)*EZ$10*MIN(1,LeaseUp!EZ$10/StabilizedOccupancy),0)</f>
        <v/>
      </c>
      <c r="FA22" s="218">
        <f>IF(153&gt;=DeliverStart,(RetailRentMo+RetailIncomeMo)*FA$10*MIN(1,LeaseUp!FA$10/StabilizedOccupancy),0)</f>
        <v/>
      </c>
      <c r="FB22" s="218">
        <f>IF(154&gt;=DeliverStart,(RetailRentMo+RetailIncomeMo)*FB$10*MIN(1,LeaseUp!FB$10/StabilizedOccupancy),0)</f>
        <v/>
      </c>
      <c r="FC22" s="218">
        <f>IF(155&gt;=DeliverStart,(RetailRentMo+RetailIncomeMo)*FC$10*MIN(1,LeaseUp!FC$10/StabilizedOccupancy),0)</f>
        <v/>
      </c>
      <c r="FD22" s="218">
        <f>IF(156&gt;=DeliverStart,(RetailRentMo+RetailIncomeMo)*FD$10*MIN(1,LeaseUp!FD$10/StabilizedOccupancy),0)</f>
        <v/>
      </c>
      <c r="FE22" s="218">
        <f>IF(157&gt;=DeliverStart,(RetailRentMo+RetailIncomeMo)*FE$10*MIN(1,LeaseUp!FE$10/StabilizedOccupancy),0)</f>
        <v/>
      </c>
      <c r="FF22" s="218">
        <f>IF(158&gt;=DeliverStart,(RetailRentMo+RetailIncomeMo)*FF$10*MIN(1,LeaseUp!FF$10/StabilizedOccupancy),0)</f>
        <v/>
      </c>
      <c r="FG22" s="218">
        <f>IF(159&gt;=DeliverStart,(RetailRentMo+RetailIncomeMo)*FG$10*MIN(1,LeaseUp!FG$10/StabilizedOccupancy),0)</f>
        <v/>
      </c>
      <c r="FH22" s="218">
        <f>IF(160&gt;=DeliverStart,(RetailRentMo+RetailIncomeMo)*FH$10*MIN(1,LeaseUp!FH$10/StabilizedOccupancy),0)</f>
        <v/>
      </c>
      <c r="FI22" s="218">
        <f>IF(161&gt;=DeliverStart,(RetailRentMo+RetailIncomeMo)*FI$10*MIN(1,LeaseUp!FI$10/StabilizedOccupancy),0)</f>
        <v/>
      </c>
      <c r="FJ22" s="218">
        <f>IF(162&gt;=DeliverStart,(RetailRentMo+RetailIncomeMo)*FJ$10*MIN(1,LeaseUp!FJ$10/StabilizedOccupancy),0)</f>
        <v/>
      </c>
      <c r="FK22" s="218">
        <f>IF(163&gt;=DeliverStart,(RetailRentMo+RetailIncomeMo)*FK$10*MIN(1,LeaseUp!FK$10/StabilizedOccupancy),0)</f>
        <v/>
      </c>
      <c r="FL22" s="218">
        <f>IF(164&gt;=DeliverStart,(RetailRentMo+RetailIncomeMo)*FL$10*MIN(1,LeaseUp!FL$10/StabilizedOccupancy),0)</f>
        <v/>
      </c>
      <c r="FM22" s="218">
        <f>IF(165&gt;=DeliverStart,(RetailRentMo+RetailIncomeMo)*FM$10*MIN(1,LeaseUp!FM$10/StabilizedOccupancy),0)</f>
        <v/>
      </c>
      <c r="FN22" s="218">
        <f>IF(166&gt;=DeliverStart,(RetailRentMo+RetailIncomeMo)*FN$10*MIN(1,LeaseUp!FN$10/StabilizedOccupancy),0)</f>
        <v/>
      </c>
      <c r="FO22" s="218">
        <f>IF(167&gt;=DeliverStart,(RetailRentMo+RetailIncomeMo)*FO$10*MIN(1,LeaseUp!FO$10/StabilizedOccupancy),0)</f>
        <v/>
      </c>
      <c r="FP22" s="218">
        <f>IF(168&gt;=DeliverStart,(RetailRentMo+RetailIncomeMo)*FP$10*MIN(1,LeaseUp!FP$10/StabilizedOccupancy),0)</f>
        <v/>
      </c>
      <c r="FQ22" s="218">
        <f>IF(169&gt;=DeliverStart,(RetailRentMo+RetailIncomeMo)*FQ$10*MIN(1,LeaseUp!FQ$10/StabilizedOccupancy),0)</f>
        <v/>
      </c>
      <c r="FR22" s="218">
        <f>IF(170&gt;=DeliverStart,(RetailRentMo+RetailIncomeMo)*FR$10*MIN(1,LeaseUp!FR$10/StabilizedOccupancy),0)</f>
        <v/>
      </c>
      <c r="FS22" s="218">
        <f>IF(171&gt;=DeliverStart,(RetailRentMo+RetailIncomeMo)*FS$10*MIN(1,LeaseUp!FS$10/StabilizedOccupancy),0)</f>
        <v/>
      </c>
      <c r="FT22" s="218">
        <f>IF(172&gt;=DeliverStart,(RetailRentMo+RetailIncomeMo)*FT$10*MIN(1,LeaseUp!FT$10/StabilizedOccupancy),0)</f>
        <v/>
      </c>
      <c r="FU22" s="218">
        <f>IF(173&gt;=DeliverStart,(RetailRentMo+RetailIncomeMo)*FU$10*MIN(1,LeaseUp!FU$10/StabilizedOccupancy),0)</f>
        <v/>
      </c>
      <c r="FV22" s="218">
        <f>IF(174&gt;=DeliverStart,(RetailRentMo+RetailIncomeMo)*FV$10*MIN(1,LeaseUp!FV$10/StabilizedOccupancy),0)</f>
        <v/>
      </c>
      <c r="FW22" s="218">
        <f>IF(175&gt;=DeliverStart,(RetailRentMo+RetailIncomeMo)*FW$10*MIN(1,LeaseUp!FW$10/StabilizedOccupancy),0)</f>
        <v/>
      </c>
      <c r="FX22" s="218">
        <f>IF(176&gt;=DeliverStart,(RetailRentMo+RetailIncomeMo)*FX$10*MIN(1,LeaseUp!FX$10/StabilizedOccupancy),0)</f>
        <v/>
      </c>
      <c r="FY22" s="218">
        <f>IF(177&gt;=DeliverStart,(RetailRentMo+RetailIncomeMo)*FY$10*MIN(1,LeaseUp!FY$10/StabilizedOccupancy),0)</f>
        <v/>
      </c>
      <c r="FZ22" s="218">
        <f>IF(178&gt;=DeliverStart,(RetailRentMo+RetailIncomeMo)*FZ$10*MIN(1,LeaseUp!FZ$10/StabilizedOccupancy),0)</f>
        <v/>
      </c>
      <c r="GA22" s="218">
        <f>IF(179&gt;=DeliverStart,(RetailRentMo+RetailIncomeMo)*GA$10*MIN(1,LeaseUp!GA$10/StabilizedOccupancy),0)</f>
        <v/>
      </c>
      <c r="GB22" s="218">
        <f>IF(180&gt;=DeliverStart,(RetailRentMo+RetailIncomeMo)*GB$10*MIN(1,LeaseUp!GB$10/StabilizedOccupancy),0)</f>
        <v/>
      </c>
      <c r="GC22" s="218">
        <f>IF(181&gt;=DeliverStart,(RetailRentMo+RetailIncomeMo)*GC$10*MIN(1,LeaseUp!GC$10/StabilizedOccupancy),0)</f>
        <v/>
      </c>
      <c r="GD22" s="218">
        <f>IF(182&gt;=DeliverStart,(RetailRentMo+RetailIncomeMo)*GD$10*MIN(1,LeaseUp!GD$10/StabilizedOccupancy),0)</f>
        <v/>
      </c>
      <c r="GE22" s="218">
        <f>IF(183&gt;=DeliverStart,(RetailRentMo+RetailIncomeMo)*GE$10*MIN(1,LeaseUp!GE$10/StabilizedOccupancy),0)</f>
        <v/>
      </c>
      <c r="GF22" s="218">
        <f>IF(184&gt;=DeliverStart,(RetailRentMo+RetailIncomeMo)*GF$10*MIN(1,LeaseUp!GF$10/StabilizedOccupancy),0)</f>
        <v/>
      </c>
      <c r="GG22" s="218">
        <f>IF(185&gt;=DeliverStart,(RetailRentMo+RetailIncomeMo)*GG$10*MIN(1,LeaseUp!GG$10/StabilizedOccupancy),0)</f>
        <v/>
      </c>
      <c r="GH22" s="218">
        <f>IF(186&gt;=DeliverStart,(RetailRentMo+RetailIncomeMo)*GH$10*MIN(1,LeaseUp!GH$10/StabilizedOccupancy),0)</f>
        <v/>
      </c>
      <c r="GI22" s="218">
        <f>IF(187&gt;=DeliverStart,(RetailRentMo+RetailIncomeMo)*GI$10*MIN(1,LeaseUp!GI$10/StabilizedOccupancy),0)</f>
        <v/>
      </c>
      <c r="GJ22" s="218">
        <f>IF(188&gt;=DeliverStart,(RetailRentMo+RetailIncomeMo)*GJ$10*MIN(1,LeaseUp!GJ$10/StabilizedOccupancy),0)</f>
        <v/>
      </c>
      <c r="GK22" s="218">
        <f>IF(189&gt;=DeliverStart,(RetailRentMo+RetailIncomeMo)*GK$10*MIN(1,LeaseUp!GK$10/StabilizedOccupancy),0)</f>
        <v/>
      </c>
      <c r="GL22" s="218">
        <f>IF(190&gt;=DeliverStart,(RetailRentMo+RetailIncomeMo)*GL$10*MIN(1,LeaseUp!GL$10/StabilizedOccupancy),0)</f>
        <v/>
      </c>
      <c r="GM22" s="218">
        <f>IF(191&gt;=DeliverStart,(RetailRentMo+RetailIncomeMo)*GM$10*MIN(1,LeaseUp!GM$10/StabilizedOccupancy),0)</f>
        <v/>
      </c>
      <c r="GN22" s="218">
        <f>IF(192&gt;=DeliverStart,(RetailRentMo+RetailIncomeMo)*GN$10*MIN(1,LeaseUp!GN$10/StabilizedOccupancy),0)</f>
        <v/>
      </c>
      <c r="GO22" s="218">
        <f>IF(193&gt;=DeliverStart,(RetailRentMo+RetailIncomeMo)*GO$10*MIN(1,LeaseUp!GO$10/StabilizedOccupancy),0)</f>
        <v/>
      </c>
      <c r="GP22" s="218">
        <f>IF(194&gt;=DeliverStart,(RetailRentMo+RetailIncomeMo)*GP$10*MIN(1,LeaseUp!GP$10/StabilizedOccupancy),0)</f>
        <v/>
      </c>
      <c r="GQ22" s="218">
        <f>IF(195&gt;=DeliverStart,(RetailRentMo+RetailIncomeMo)*GQ$10*MIN(1,LeaseUp!GQ$10/StabilizedOccupancy),0)</f>
        <v/>
      </c>
      <c r="GR22" s="218">
        <f>IF(196&gt;=DeliverStart,(RetailRentMo+RetailIncomeMo)*GR$10*MIN(1,LeaseUp!GR$10/StabilizedOccupancy),0)</f>
        <v/>
      </c>
      <c r="GS22" s="218">
        <f>IF(197&gt;=DeliverStart,(RetailRentMo+RetailIncomeMo)*GS$10*MIN(1,LeaseUp!GS$10/StabilizedOccupancy),0)</f>
        <v/>
      </c>
      <c r="GT22" s="218">
        <f>IF(198&gt;=DeliverStart,(RetailRentMo+RetailIncomeMo)*GT$10*MIN(1,LeaseUp!GT$10/StabilizedOccupancy),0)</f>
        <v/>
      </c>
      <c r="GU22" s="218">
        <f>IF(199&gt;=DeliverStart,(RetailRentMo+RetailIncomeMo)*GU$10*MIN(1,LeaseUp!GU$10/StabilizedOccupancy),0)</f>
        <v/>
      </c>
      <c r="GV22" s="218">
        <f>IF(200&gt;=DeliverStart,(RetailRentMo+RetailIncomeMo)*GV$10*MIN(1,LeaseUp!GV$10/StabilizedOccupancy),0)</f>
        <v/>
      </c>
      <c r="GW22" s="218">
        <f>IF(201&gt;=DeliverStart,(RetailRentMo+RetailIncomeMo)*GW$10*MIN(1,LeaseUp!GW$10/StabilizedOccupancy),0)</f>
        <v/>
      </c>
      <c r="GX22" s="218">
        <f>IF(202&gt;=DeliverStart,(RetailRentMo+RetailIncomeMo)*GX$10*MIN(1,LeaseUp!GX$10/StabilizedOccupancy),0)</f>
        <v/>
      </c>
      <c r="GY22" s="218">
        <f>IF(203&gt;=DeliverStart,(RetailRentMo+RetailIncomeMo)*GY$10*MIN(1,LeaseUp!GY$10/StabilizedOccupancy),0)</f>
        <v/>
      </c>
      <c r="GZ22" s="218">
        <f>IF(204&gt;=DeliverStart,(RetailRentMo+RetailIncomeMo)*GZ$10*MIN(1,LeaseUp!GZ$10/StabilizedOccupancy),0)</f>
        <v/>
      </c>
      <c r="HA22" s="218">
        <f>IF(205&gt;=DeliverStart,(RetailRentMo+RetailIncomeMo)*HA$10*MIN(1,LeaseUp!HA$10/StabilizedOccupancy),0)</f>
        <v/>
      </c>
      <c r="HB22" s="218">
        <f>IF(206&gt;=DeliverStart,(RetailRentMo+RetailIncomeMo)*HB$10*MIN(1,LeaseUp!HB$10/StabilizedOccupancy),0)</f>
        <v/>
      </c>
      <c r="HC22" s="218">
        <f>IF(207&gt;=DeliverStart,(RetailRentMo+RetailIncomeMo)*HC$10*MIN(1,LeaseUp!HC$10/StabilizedOccupancy),0)</f>
        <v/>
      </c>
      <c r="HD22" s="218">
        <f>IF(208&gt;=DeliverStart,(RetailRentMo+RetailIncomeMo)*HD$10*MIN(1,LeaseUp!HD$10/StabilizedOccupancy),0)</f>
        <v/>
      </c>
      <c r="HE22" s="218">
        <f>IF(209&gt;=DeliverStart,(RetailRentMo+RetailIncomeMo)*HE$10*MIN(1,LeaseUp!HE$10/StabilizedOccupancy),0)</f>
        <v/>
      </c>
      <c r="HF22" s="218">
        <f>IF(210&gt;=DeliverStart,(RetailRentMo+RetailIncomeMo)*HF$10*MIN(1,LeaseUp!HF$10/StabilizedOccupancy),0)</f>
        <v/>
      </c>
      <c r="HG22" s="218">
        <f>IF(211&gt;=DeliverStart,(RetailRentMo+RetailIncomeMo)*HG$10*MIN(1,LeaseUp!HG$10/StabilizedOccupancy),0)</f>
        <v/>
      </c>
      <c r="HH22" s="218">
        <f>IF(212&gt;=DeliverStart,(RetailRentMo+RetailIncomeMo)*HH$10*MIN(1,LeaseUp!HH$10/StabilizedOccupancy),0)</f>
        <v/>
      </c>
      <c r="HI22" s="218">
        <f>IF(213&gt;=DeliverStart,(RetailRentMo+RetailIncomeMo)*HI$10*MIN(1,LeaseUp!HI$10/StabilizedOccupancy),0)</f>
        <v/>
      </c>
      <c r="HJ22" s="218">
        <f>IF(214&gt;=DeliverStart,(RetailRentMo+RetailIncomeMo)*HJ$10*MIN(1,LeaseUp!HJ$10/StabilizedOccupancy),0)</f>
        <v/>
      </c>
      <c r="HK22" s="218">
        <f>IF(215&gt;=DeliverStart,(RetailRentMo+RetailIncomeMo)*HK$10*MIN(1,LeaseUp!HK$10/StabilizedOccupancy),0)</f>
        <v/>
      </c>
      <c r="HL22" s="218">
        <f>IF(216&gt;=DeliverStart,(RetailRentMo+RetailIncomeMo)*HL$10*MIN(1,LeaseUp!HL$10/StabilizedOccupancy),0)</f>
        <v/>
      </c>
      <c r="HM22" s="218">
        <f>IF(217&gt;=DeliverStart,(RetailRentMo+RetailIncomeMo)*HM$10*MIN(1,LeaseUp!HM$10/StabilizedOccupancy),0)</f>
        <v/>
      </c>
      <c r="HN22" s="218">
        <f>IF(218&gt;=DeliverStart,(RetailRentMo+RetailIncomeMo)*HN$10*MIN(1,LeaseUp!HN$10/StabilizedOccupancy),0)</f>
        <v/>
      </c>
      <c r="HO22" s="218">
        <f>IF(219&gt;=DeliverStart,(RetailRentMo+RetailIncomeMo)*HO$10*MIN(1,LeaseUp!HO$10/StabilizedOccupancy),0)</f>
        <v/>
      </c>
      <c r="HP22" s="218">
        <f>IF(220&gt;=DeliverStart,(RetailRentMo+RetailIncomeMo)*HP$10*MIN(1,LeaseUp!HP$10/StabilizedOccupancy),0)</f>
        <v/>
      </c>
      <c r="HQ22" s="218">
        <f>IF(221&gt;=DeliverStart,(RetailRentMo+RetailIncomeMo)*HQ$10*MIN(1,LeaseUp!HQ$10/StabilizedOccupancy),0)</f>
        <v/>
      </c>
      <c r="HR22" s="218">
        <f>IF(222&gt;=DeliverStart,(RetailRentMo+RetailIncomeMo)*HR$10*MIN(1,LeaseUp!HR$10/StabilizedOccupancy),0)</f>
        <v/>
      </c>
      <c r="HS22" s="218">
        <f>IF(223&gt;=DeliverStart,(RetailRentMo+RetailIncomeMo)*HS$10*MIN(1,LeaseUp!HS$10/StabilizedOccupancy),0)</f>
        <v/>
      </c>
      <c r="HT22" s="218">
        <f>IF(224&gt;=DeliverStart,(RetailRentMo+RetailIncomeMo)*HT$10*MIN(1,LeaseUp!HT$10/StabilizedOccupancy),0)</f>
        <v/>
      </c>
      <c r="HU22" s="218">
        <f>IF(225&gt;=DeliverStart,(RetailRentMo+RetailIncomeMo)*HU$10*MIN(1,LeaseUp!HU$10/StabilizedOccupancy),0)</f>
        <v/>
      </c>
      <c r="HV22" s="218">
        <f>IF(226&gt;=DeliverStart,(RetailRentMo+RetailIncomeMo)*HV$10*MIN(1,LeaseUp!HV$10/StabilizedOccupancy),0)</f>
        <v/>
      </c>
      <c r="HW22" s="218">
        <f>IF(227&gt;=DeliverStart,(RetailRentMo+RetailIncomeMo)*HW$10*MIN(1,LeaseUp!HW$10/StabilizedOccupancy),0)</f>
        <v/>
      </c>
      <c r="HX22" s="218">
        <f>IF(228&gt;=DeliverStart,(RetailRentMo+RetailIncomeMo)*HX$10*MIN(1,LeaseUp!HX$10/StabilizedOccupancy),0)</f>
        <v/>
      </c>
      <c r="HY22" s="218">
        <f>IF(229&gt;=DeliverStart,(RetailRentMo+RetailIncomeMo)*HY$10*MIN(1,LeaseUp!HY$10/StabilizedOccupancy),0)</f>
        <v/>
      </c>
      <c r="HZ22" s="218">
        <f>IF(230&gt;=DeliverStart,(RetailRentMo+RetailIncomeMo)*HZ$10*MIN(1,LeaseUp!HZ$10/StabilizedOccupancy),0)</f>
        <v/>
      </c>
      <c r="IA22" s="218">
        <f>IF(231&gt;=DeliverStart,(RetailRentMo+RetailIncomeMo)*IA$10*MIN(1,LeaseUp!IA$10/StabilizedOccupancy),0)</f>
        <v/>
      </c>
      <c r="IB22" s="218">
        <f>IF(232&gt;=DeliverStart,(RetailRentMo+RetailIncomeMo)*IB$10*MIN(1,LeaseUp!IB$10/StabilizedOccupancy),0)</f>
        <v/>
      </c>
      <c r="IC22" s="218">
        <f>IF(233&gt;=DeliverStart,(RetailRentMo+RetailIncomeMo)*IC$10*MIN(1,LeaseUp!IC$10/StabilizedOccupancy),0)</f>
        <v/>
      </c>
      <c r="ID22" s="218">
        <f>IF(234&gt;=DeliverStart,(RetailRentMo+RetailIncomeMo)*ID$10*MIN(1,LeaseUp!ID$10/StabilizedOccupancy),0)</f>
        <v/>
      </c>
      <c r="IE22" s="218">
        <f>IF(235&gt;=DeliverStart,(RetailRentMo+RetailIncomeMo)*IE$10*MIN(1,LeaseUp!IE$10/StabilizedOccupancy),0)</f>
        <v/>
      </c>
      <c r="IF22" s="218">
        <f>IF(236&gt;=DeliverStart,(RetailRentMo+RetailIncomeMo)*IF$10*MIN(1,LeaseUp!IF$10/StabilizedOccupancy),0)</f>
        <v/>
      </c>
      <c r="IG22" s="218">
        <f>IF(237&gt;=DeliverStart,(RetailRentMo+RetailIncomeMo)*IG$10*MIN(1,LeaseUp!IG$10/StabilizedOccupancy),0)</f>
        <v/>
      </c>
      <c r="IH22" s="218">
        <f>IF(238&gt;=DeliverStart,(RetailRentMo+RetailIncomeMo)*IH$10*MIN(1,LeaseUp!IH$10/StabilizedOccupancy),0)</f>
        <v/>
      </c>
      <c r="II22" s="218">
        <f>IF(239&gt;=DeliverStart,(RetailRentMo+RetailIncomeMo)*II$10*MIN(1,LeaseUp!II$10/StabilizedOccupancy),0)</f>
        <v/>
      </c>
      <c r="IJ22" s="218">
        <f>IF(240&gt;=DeliverStart,(RetailRentMo+RetailIncomeMo)*IJ$10*MIN(1,LeaseUp!IJ$10/StabilizedOccupancy),0)</f>
        <v/>
      </c>
      <c r="IK22" s="218">
        <f>IF(241&gt;=DeliverStart,(RetailRentMo+RetailIncomeMo)*IK$10*MIN(1,LeaseUp!IK$10/StabilizedOccupancy),0)</f>
        <v/>
      </c>
      <c r="IL22" s="218">
        <f>IF(242&gt;=DeliverStart,(RetailRentMo+RetailIncomeMo)*IL$10*MIN(1,LeaseUp!IL$10/StabilizedOccupancy),0)</f>
        <v/>
      </c>
      <c r="IM22" s="218">
        <f>IF(243&gt;=DeliverStart,(RetailRentMo+RetailIncomeMo)*IM$10*MIN(1,LeaseUp!IM$10/StabilizedOccupancy),0)</f>
        <v/>
      </c>
      <c r="IN22" s="218">
        <f>IF(244&gt;=DeliverStart,(RetailRentMo+RetailIncomeMo)*IN$10*MIN(1,LeaseUp!IN$10/StabilizedOccupancy),0)</f>
        <v/>
      </c>
      <c r="IO22" s="218">
        <f>IF(245&gt;=DeliverStart,(RetailRentMo+RetailIncomeMo)*IO$10*MIN(1,LeaseUp!IO$10/StabilizedOccupancy),0)</f>
        <v/>
      </c>
      <c r="IP22" s="218">
        <f>IF(246&gt;=DeliverStart,(RetailRentMo+RetailIncomeMo)*IP$10*MIN(1,LeaseUp!IP$10/StabilizedOccupancy),0)</f>
        <v/>
      </c>
      <c r="IQ22" s="218">
        <f>IF(247&gt;=DeliverStart,(RetailRentMo+RetailIncomeMo)*IQ$10*MIN(1,LeaseUp!IQ$10/StabilizedOccupancy),0)</f>
        <v/>
      </c>
      <c r="IR22" s="218">
        <f>IF(248&gt;=DeliverStart,(RetailRentMo+RetailIncomeMo)*IR$10*MIN(1,LeaseUp!IR$10/StabilizedOccupancy),0)</f>
        <v/>
      </c>
      <c r="IS22" s="218">
        <f>IF(249&gt;=DeliverStart,(RetailRentMo+RetailIncomeMo)*IS$10*MIN(1,LeaseUp!IS$10/StabilizedOccupancy),0)</f>
        <v/>
      </c>
      <c r="IT22" s="218">
        <f>IF(250&gt;=DeliverStart,(RetailRentMo+RetailIncomeMo)*IT$10*MIN(1,LeaseUp!IT$10/StabilizedOccupancy),0)</f>
        <v/>
      </c>
      <c r="IU22" s="218">
        <f>IF(251&gt;=DeliverStart,(RetailRentMo+RetailIncomeMo)*IU$10*MIN(1,LeaseUp!IU$10/StabilizedOccupancy),0)</f>
        <v/>
      </c>
      <c r="IV22" s="218">
        <f>IF(252&gt;=DeliverStart,(RetailRentMo+RetailIncomeMo)*IV$10*MIN(1,LeaseUp!IV$10/StabilizedOccupancy),0)</f>
        <v/>
      </c>
      <c r="IW22" s="218">
        <f>IF(253&gt;=DeliverStart,(RetailRentMo+RetailIncomeMo)*IW$10*MIN(1,LeaseUp!IW$10/StabilizedOccupancy),0)</f>
        <v/>
      </c>
      <c r="IX22" s="218">
        <f>IF(254&gt;=DeliverStart,(RetailRentMo+RetailIncomeMo)*IX$10*MIN(1,LeaseUp!IX$10/StabilizedOccupancy),0)</f>
        <v/>
      </c>
      <c r="IY22" s="218">
        <f>IF(255&gt;=DeliverStart,(RetailRentMo+RetailIncomeMo)*IY$10*MIN(1,LeaseUp!IY$10/StabilizedOccupancy),0)</f>
        <v/>
      </c>
      <c r="IZ22" s="218">
        <f>IF(256&gt;=DeliverStart,(RetailRentMo+RetailIncomeMo)*IZ$10*MIN(1,LeaseUp!IZ$10/StabilizedOccupancy),0)</f>
        <v/>
      </c>
      <c r="JA22" s="218">
        <f>IF(257&gt;=DeliverStart,(RetailRentMo+RetailIncomeMo)*JA$10*MIN(1,LeaseUp!JA$10/StabilizedOccupancy),0)</f>
        <v/>
      </c>
      <c r="JB22" s="218">
        <f>IF(258&gt;=DeliverStart,(RetailRentMo+RetailIncomeMo)*JB$10*MIN(1,LeaseUp!JB$10/StabilizedOccupancy),0)</f>
        <v/>
      </c>
      <c r="JC22" s="218">
        <f>IF(259&gt;=DeliverStart,(RetailRentMo+RetailIncomeMo)*JC$10*MIN(1,LeaseUp!JC$10/StabilizedOccupancy),0)</f>
        <v/>
      </c>
      <c r="JD22" s="218">
        <f>IF(260&gt;=DeliverStart,(RetailRentMo+RetailIncomeMo)*JD$10*MIN(1,LeaseUp!JD$10/StabilizedOccupancy),0)</f>
        <v/>
      </c>
      <c r="JE22" s="218">
        <f>IF(261&gt;=DeliverStart,(RetailRentMo+RetailIncomeMo)*JE$10*MIN(1,LeaseUp!JE$10/StabilizedOccupancy),0)</f>
        <v/>
      </c>
      <c r="JF22" s="218">
        <f>IF(262&gt;=DeliverStart,(RetailRentMo+RetailIncomeMo)*JF$10*MIN(1,LeaseUp!JF$10/StabilizedOccupancy),0)</f>
        <v/>
      </c>
      <c r="JG22" s="218">
        <f>IF(263&gt;=DeliverStart,(RetailRentMo+RetailIncomeMo)*JG$10*MIN(1,LeaseUp!JG$10/StabilizedOccupancy),0)</f>
        <v/>
      </c>
      <c r="JH22" s="218">
        <f>IF(264&gt;=DeliverStart,(RetailRentMo+RetailIncomeMo)*JH$10*MIN(1,LeaseUp!JH$10/StabilizedOccupancy),0)</f>
        <v/>
      </c>
      <c r="JI22" s="218">
        <f>IF(265&gt;=DeliverStart,(RetailRentMo+RetailIncomeMo)*JI$10*MIN(1,LeaseUp!JI$10/StabilizedOccupancy),0)</f>
        <v/>
      </c>
      <c r="JJ22" s="218">
        <f>IF(266&gt;=DeliverStart,(RetailRentMo+RetailIncomeMo)*JJ$10*MIN(1,LeaseUp!JJ$10/StabilizedOccupancy),0)</f>
        <v/>
      </c>
      <c r="JK22" s="218">
        <f>IF(267&gt;=DeliverStart,(RetailRentMo+RetailIncomeMo)*JK$10*MIN(1,LeaseUp!JK$10/StabilizedOccupancy),0)</f>
        <v/>
      </c>
      <c r="JL22" s="218">
        <f>IF(268&gt;=DeliverStart,(RetailRentMo+RetailIncomeMo)*JL$10*MIN(1,LeaseUp!JL$10/StabilizedOccupancy),0)</f>
        <v/>
      </c>
      <c r="JM22" s="218">
        <f>IF(269&gt;=DeliverStart,(RetailRentMo+RetailIncomeMo)*JM$10*MIN(1,LeaseUp!JM$10/StabilizedOccupancy),0)</f>
        <v/>
      </c>
      <c r="JN22" s="218">
        <f>IF(270&gt;=DeliverStart,(RetailRentMo+RetailIncomeMo)*JN$10*MIN(1,LeaseUp!JN$10/StabilizedOccupancy),0)</f>
        <v/>
      </c>
      <c r="JO22" s="218">
        <f>IF(271&gt;=DeliverStart,(RetailRentMo+RetailIncomeMo)*JO$10*MIN(1,LeaseUp!JO$10/StabilizedOccupancy),0)</f>
        <v/>
      </c>
      <c r="JP22" s="218">
        <f>IF(272&gt;=DeliverStart,(RetailRentMo+RetailIncomeMo)*JP$10*MIN(1,LeaseUp!JP$10/StabilizedOccupancy),0)</f>
        <v/>
      </c>
      <c r="JQ22" s="218">
        <f>IF(273&gt;=DeliverStart,(RetailRentMo+RetailIncomeMo)*JQ$10*MIN(1,LeaseUp!JQ$10/StabilizedOccupancy),0)</f>
        <v/>
      </c>
      <c r="JR22" s="218">
        <f>IF(274&gt;=DeliverStart,(RetailRentMo+RetailIncomeMo)*JR$10*MIN(1,LeaseUp!JR$10/StabilizedOccupancy),0)</f>
        <v/>
      </c>
      <c r="JS22" s="218">
        <f>IF(275&gt;=DeliverStart,(RetailRentMo+RetailIncomeMo)*JS$10*MIN(1,LeaseUp!JS$10/StabilizedOccupancy),0)</f>
        <v/>
      </c>
      <c r="JT22" s="218">
        <f>IF(276&gt;=DeliverStart,(RetailRentMo+RetailIncomeMo)*JT$10*MIN(1,LeaseUp!JT$10/StabilizedOccupancy),0)</f>
        <v/>
      </c>
      <c r="JU22" s="218">
        <f>IF(277&gt;=DeliverStart,(RetailRentMo+RetailIncomeMo)*JU$10*MIN(1,LeaseUp!JU$10/StabilizedOccupancy),0)</f>
        <v/>
      </c>
      <c r="JV22" s="218">
        <f>IF(278&gt;=DeliverStart,(RetailRentMo+RetailIncomeMo)*JV$10*MIN(1,LeaseUp!JV$10/StabilizedOccupancy),0)</f>
        <v/>
      </c>
      <c r="JW22" s="218">
        <f>IF(279&gt;=DeliverStart,(RetailRentMo+RetailIncomeMo)*JW$10*MIN(1,LeaseUp!JW$10/StabilizedOccupancy),0)</f>
        <v/>
      </c>
      <c r="JX22" s="218">
        <f>IF(280&gt;=DeliverStart,(RetailRentMo+RetailIncomeMo)*JX$10*MIN(1,LeaseUp!JX$10/StabilizedOccupancy),0)</f>
        <v/>
      </c>
      <c r="JY22" s="218">
        <f>IF(281&gt;=DeliverStart,(RetailRentMo+RetailIncomeMo)*JY$10*MIN(1,LeaseUp!JY$10/StabilizedOccupancy),0)</f>
        <v/>
      </c>
      <c r="JZ22" s="218">
        <f>IF(282&gt;=DeliverStart,(RetailRentMo+RetailIncomeMo)*JZ$10*MIN(1,LeaseUp!JZ$10/StabilizedOccupancy),0)</f>
        <v/>
      </c>
      <c r="KA22" s="218">
        <f>IF(283&gt;=DeliverStart,(RetailRentMo+RetailIncomeMo)*KA$10*MIN(1,LeaseUp!KA$10/StabilizedOccupancy),0)</f>
        <v/>
      </c>
      <c r="KB22" s="218">
        <f>IF(284&gt;=DeliverStart,(RetailRentMo+RetailIncomeMo)*KB$10*MIN(1,LeaseUp!KB$10/StabilizedOccupancy),0)</f>
        <v/>
      </c>
      <c r="KC22" s="218">
        <f>IF(285&gt;=DeliverStart,(RetailRentMo+RetailIncomeMo)*KC$10*MIN(1,LeaseUp!KC$10/StabilizedOccupancy),0)</f>
        <v/>
      </c>
      <c r="KD22" s="218">
        <f>IF(286&gt;=DeliverStart,(RetailRentMo+RetailIncomeMo)*KD$10*MIN(1,LeaseUp!KD$10/StabilizedOccupancy),0)</f>
        <v/>
      </c>
      <c r="KE22" s="218">
        <f>IF(287&gt;=DeliverStart,(RetailRentMo+RetailIncomeMo)*KE$10*MIN(1,LeaseUp!KE$10/StabilizedOccupancy),0)</f>
        <v/>
      </c>
      <c r="KF22" s="218">
        <f>IF(288&gt;=DeliverStart,(RetailRentMo+RetailIncomeMo)*KF$10*MIN(1,LeaseUp!KF$10/StabilizedOccupancy),0)</f>
        <v/>
      </c>
      <c r="KG22" s="218">
        <f>IF(289&gt;=DeliverStart,(RetailRentMo+RetailIncomeMo)*KG$10*MIN(1,LeaseUp!KG$10/StabilizedOccupancy),0)</f>
        <v/>
      </c>
      <c r="KH22" s="218">
        <f>IF(290&gt;=DeliverStart,(RetailRentMo+RetailIncomeMo)*KH$10*MIN(1,LeaseUp!KH$10/StabilizedOccupancy),0)</f>
        <v/>
      </c>
      <c r="KI22" s="218">
        <f>IF(291&gt;=DeliverStart,(RetailRentMo+RetailIncomeMo)*KI$10*MIN(1,LeaseUp!KI$10/StabilizedOccupancy),0)</f>
        <v/>
      </c>
      <c r="KJ22" s="218">
        <f>IF(292&gt;=DeliverStart,(RetailRentMo+RetailIncomeMo)*KJ$10*MIN(1,LeaseUp!KJ$10/StabilizedOccupancy),0)</f>
        <v/>
      </c>
      <c r="KK22" s="218">
        <f>IF(293&gt;=DeliverStart,(RetailRentMo+RetailIncomeMo)*KK$10*MIN(1,LeaseUp!KK$10/StabilizedOccupancy),0)</f>
        <v/>
      </c>
      <c r="KL22" s="218">
        <f>IF(294&gt;=DeliverStart,(RetailRentMo+RetailIncomeMo)*KL$10*MIN(1,LeaseUp!KL$10/StabilizedOccupancy),0)</f>
        <v/>
      </c>
      <c r="KM22" s="218">
        <f>IF(295&gt;=DeliverStart,(RetailRentMo+RetailIncomeMo)*KM$10*MIN(1,LeaseUp!KM$10/StabilizedOccupancy),0)</f>
        <v/>
      </c>
      <c r="KN22" s="218">
        <f>IF(296&gt;=DeliverStart,(RetailRentMo+RetailIncomeMo)*KN$10*MIN(1,LeaseUp!KN$10/StabilizedOccupancy),0)</f>
        <v/>
      </c>
      <c r="KO22" s="218">
        <f>IF(297&gt;=DeliverStart,(RetailRentMo+RetailIncomeMo)*KO$10*MIN(1,LeaseUp!KO$10/StabilizedOccupancy),0)</f>
        <v/>
      </c>
      <c r="KP22" s="218">
        <f>IF(298&gt;=DeliverStart,(RetailRentMo+RetailIncomeMo)*KP$10*MIN(1,LeaseUp!KP$10/StabilizedOccupancy),0)</f>
        <v/>
      </c>
      <c r="KQ22" s="218">
        <f>IF(299&gt;=DeliverStart,(RetailRentMo+RetailIncomeMo)*KQ$10*MIN(1,LeaseUp!KQ$10/StabilizedOccupancy),0)</f>
        <v/>
      </c>
      <c r="KR22" s="218">
        <f>IF(300&gt;=DeliverStart,(RetailRentMo+RetailIncomeMo)*KR$10*MIN(1,LeaseUp!KR$10/StabilizedOccupancy),0)</f>
        <v/>
      </c>
      <c r="KS22" s="218">
        <f>IF(301&gt;=DeliverStart,(RetailRentMo+RetailIncomeMo)*KS$10*MIN(1,LeaseUp!KS$10/StabilizedOccupancy),0)</f>
        <v/>
      </c>
      <c r="KT22" s="218">
        <f>IF(302&gt;=DeliverStart,(RetailRentMo+RetailIncomeMo)*KT$10*MIN(1,LeaseUp!KT$10/StabilizedOccupancy),0)</f>
        <v/>
      </c>
      <c r="KU22" s="218">
        <f>IF(303&gt;=DeliverStart,(RetailRentMo+RetailIncomeMo)*KU$10*MIN(1,LeaseUp!KU$10/StabilizedOccupancy),0)</f>
        <v/>
      </c>
      <c r="KV22" s="218">
        <f>IF(304&gt;=DeliverStart,(RetailRentMo+RetailIncomeMo)*KV$10*MIN(1,LeaseUp!KV$10/StabilizedOccupancy),0)</f>
        <v/>
      </c>
      <c r="KW22" s="218">
        <f>IF(305&gt;=DeliverStart,(RetailRentMo+RetailIncomeMo)*KW$10*MIN(1,LeaseUp!KW$10/StabilizedOccupancy),0)</f>
        <v/>
      </c>
      <c r="KX22" s="218">
        <f>IF(306&gt;=DeliverStart,(RetailRentMo+RetailIncomeMo)*KX$10*MIN(1,LeaseUp!KX$10/StabilizedOccupancy),0)</f>
        <v/>
      </c>
      <c r="KY22" s="218">
        <f>IF(307&gt;=DeliverStart,(RetailRentMo+RetailIncomeMo)*KY$10*MIN(1,LeaseUp!KY$10/StabilizedOccupancy),0)</f>
        <v/>
      </c>
      <c r="KZ22" s="218">
        <f>IF(308&gt;=DeliverStart,(RetailRentMo+RetailIncomeMo)*KZ$10*MIN(1,LeaseUp!KZ$10/StabilizedOccupancy),0)</f>
        <v/>
      </c>
      <c r="LA22" s="218">
        <f>IF(309&gt;=DeliverStart,(RetailRentMo+RetailIncomeMo)*LA$10*MIN(1,LeaseUp!LA$10/StabilizedOccupancy),0)</f>
        <v/>
      </c>
      <c r="LB22" s="218">
        <f>IF(310&gt;=DeliverStart,(RetailRentMo+RetailIncomeMo)*LB$10*MIN(1,LeaseUp!LB$10/StabilizedOccupancy),0)</f>
        <v/>
      </c>
      <c r="LC22" s="218">
        <f>IF(311&gt;=DeliverStart,(RetailRentMo+RetailIncomeMo)*LC$10*MIN(1,LeaseUp!LC$10/StabilizedOccupancy),0)</f>
        <v/>
      </c>
      <c r="LD22" s="218">
        <f>IF(312&gt;=DeliverStart,(RetailRentMo+RetailIncomeMo)*LD$10*MIN(1,LeaseUp!LD$10/StabilizedOccupancy),0)</f>
        <v/>
      </c>
      <c r="LE22" s="218">
        <f>IF(313&gt;=DeliverStart,(RetailRentMo+RetailIncomeMo)*LE$10*MIN(1,LeaseUp!LE$10/StabilizedOccupancy),0)</f>
        <v/>
      </c>
      <c r="LF22" s="218">
        <f>IF(314&gt;=DeliverStart,(RetailRentMo+RetailIncomeMo)*LF$10*MIN(1,LeaseUp!LF$10/StabilizedOccupancy),0)</f>
        <v/>
      </c>
      <c r="LG22" s="218">
        <f>IF(315&gt;=DeliverStart,(RetailRentMo+RetailIncomeMo)*LG$10*MIN(1,LeaseUp!LG$10/StabilizedOccupancy),0)</f>
        <v/>
      </c>
      <c r="LH22" s="218">
        <f>IF(316&gt;=DeliverStart,(RetailRentMo+RetailIncomeMo)*LH$10*MIN(1,LeaseUp!LH$10/StabilizedOccupancy),0)</f>
        <v/>
      </c>
      <c r="LI22" s="218">
        <f>IF(317&gt;=DeliverStart,(RetailRentMo+RetailIncomeMo)*LI$10*MIN(1,LeaseUp!LI$10/StabilizedOccupancy),0)</f>
        <v/>
      </c>
      <c r="LJ22" s="218">
        <f>IF(318&gt;=DeliverStart,(RetailRentMo+RetailIncomeMo)*LJ$10*MIN(1,LeaseUp!LJ$10/StabilizedOccupancy),0)</f>
        <v/>
      </c>
      <c r="LK22" s="218">
        <f>IF(319&gt;=DeliverStart,(RetailRentMo+RetailIncomeMo)*LK$10*MIN(1,LeaseUp!LK$10/StabilizedOccupancy),0)</f>
        <v/>
      </c>
      <c r="LL22" s="218">
        <f>IF(320&gt;=DeliverStart,(RetailRentMo+RetailIncomeMo)*LL$10*MIN(1,LeaseUp!LL$10/StabilizedOccupancy),0)</f>
        <v/>
      </c>
      <c r="LM22" s="218">
        <f>IF(321&gt;=DeliverStart,(RetailRentMo+RetailIncomeMo)*LM$10*MIN(1,LeaseUp!LM$10/StabilizedOccupancy),0)</f>
        <v/>
      </c>
      <c r="LN22" s="218">
        <f>IF(322&gt;=DeliverStart,(RetailRentMo+RetailIncomeMo)*LN$10*MIN(1,LeaseUp!LN$10/StabilizedOccupancy),0)</f>
        <v/>
      </c>
      <c r="LO22" s="218">
        <f>IF(323&gt;=DeliverStart,(RetailRentMo+RetailIncomeMo)*LO$10*MIN(1,LeaseUp!LO$10/StabilizedOccupancy),0)</f>
        <v/>
      </c>
      <c r="LP22" s="218">
        <f>IF(324&gt;=DeliverStart,(RetailRentMo+RetailIncomeMo)*LP$10*MIN(1,LeaseUp!LP$10/StabilizedOccupancy),0)</f>
        <v/>
      </c>
      <c r="LQ22" s="218">
        <f>IF(325&gt;=DeliverStart,(RetailRentMo+RetailIncomeMo)*LQ$10*MIN(1,LeaseUp!LQ$10/StabilizedOccupancy),0)</f>
        <v/>
      </c>
      <c r="LR22" s="218">
        <f>IF(326&gt;=DeliverStart,(RetailRentMo+RetailIncomeMo)*LR$10*MIN(1,LeaseUp!LR$10/StabilizedOccupancy),0)</f>
        <v/>
      </c>
      <c r="LS22" s="218">
        <f>IF(327&gt;=DeliverStart,(RetailRentMo+RetailIncomeMo)*LS$10*MIN(1,LeaseUp!LS$10/StabilizedOccupancy),0)</f>
        <v/>
      </c>
      <c r="LT22" s="218">
        <f>IF(328&gt;=DeliverStart,(RetailRentMo+RetailIncomeMo)*LT$10*MIN(1,LeaseUp!LT$10/StabilizedOccupancy),0)</f>
        <v/>
      </c>
      <c r="LU22" s="218">
        <f>IF(329&gt;=DeliverStart,(RetailRentMo+RetailIncomeMo)*LU$10*MIN(1,LeaseUp!LU$10/StabilizedOccupancy),0)</f>
        <v/>
      </c>
      <c r="LV22" s="218">
        <f>IF(330&gt;=DeliverStart,(RetailRentMo+RetailIncomeMo)*LV$10*MIN(1,LeaseUp!LV$10/StabilizedOccupancy),0)</f>
        <v/>
      </c>
      <c r="LW22" s="218">
        <f>IF(331&gt;=DeliverStart,(RetailRentMo+RetailIncomeMo)*LW$10*MIN(1,LeaseUp!LW$10/StabilizedOccupancy),0)</f>
        <v/>
      </c>
      <c r="LX22" s="218">
        <f>IF(332&gt;=DeliverStart,(RetailRentMo+RetailIncomeMo)*LX$10*MIN(1,LeaseUp!LX$10/StabilizedOccupancy),0)</f>
        <v/>
      </c>
      <c r="LY22" s="218">
        <f>IF(333&gt;=DeliverStart,(RetailRentMo+RetailIncomeMo)*LY$10*MIN(1,LeaseUp!LY$10/StabilizedOccupancy),0)</f>
        <v/>
      </c>
      <c r="LZ22" s="218">
        <f>IF(334&gt;=DeliverStart,(RetailRentMo+RetailIncomeMo)*LZ$10*MIN(1,LeaseUp!LZ$10/StabilizedOccupancy),0)</f>
        <v/>
      </c>
      <c r="MA22" s="218">
        <f>IF(335&gt;=DeliverStart,(RetailRentMo+RetailIncomeMo)*MA$10*MIN(1,LeaseUp!MA$10/StabilizedOccupancy),0)</f>
        <v/>
      </c>
      <c r="MB22" s="218">
        <f>IF(336&gt;=DeliverStart,(RetailRentMo+RetailIncomeMo)*MB$10*MIN(1,LeaseUp!MB$10/StabilizedOccupancy),0)</f>
        <v/>
      </c>
      <c r="MC22" s="218">
        <f>IF(337&gt;=DeliverStart,(RetailRentMo+RetailIncomeMo)*MC$10*MIN(1,LeaseUp!MC$10/StabilizedOccupancy),0)</f>
        <v/>
      </c>
      <c r="MD22" s="218">
        <f>IF(338&gt;=DeliverStart,(RetailRentMo+RetailIncomeMo)*MD$10*MIN(1,LeaseUp!MD$10/StabilizedOccupancy),0)</f>
        <v/>
      </c>
      <c r="ME22" s="218">
        <f>IF(339&gt;=DeliverStart,(RetailRentMo+RetailIncomeMo)*ME$10*MIN(1,LeaseUp!ME$10/StabilizedOccupancy),0)</f>
        <v/>
      </c>
      <c r="MF22" s="218">
        <f>IF(340&gt;=DeliverStart,(RetailRentMo+RetailIncomeMo)*MF$10*MIN(1,LeaseUp!MF$10/StabilizedOccupancy),0)</f>
        <v/>
      </c>
      <c r="MG22" s="218">
        <f>IF(341&gt;=DeliverStart,(RetailRentMo+RetailIncomeMo)*MG$10*MIN(1,LeaseUp!MG$10/StabilizedOccupancy),0)</f>
        <v/>
      </c>
      <c r="MH22" s="218">
        <f>IF(342&gt;=DeliverStart,(RetailRentMo+RetailIncomeMo)*MH$10*MIN(1,LeaseUp!MH$10/StabilizedOccupancy),0)</f>
        <v/>
      </c>
      <c r="MI22" s="218">
        <f>IF(343&gt;=DeliverStart,(RetailRentMo+RetailIncomeMo)*MI$10*MIN(1,LeaseUp!MI$10/StabilizedOccupancy),0)</f>
        <v/>
      </c>
      <c r="MJ22" s="218">
        <f>IF(344&gt;=DeliverStart,(RetailRentMo+RetailIncomeMo)*MJ$10*MIN(1,LeaseUp!MJ$10/StabilizedOccupancy),0)</f>
        <v/>
      </c>
      <c r="MK22" s="218">
        <f>IF(345&gt;=DeliverStart,(RetailRentMo+RetailIncomeMo)*MK$10*MIN(1,LeaseUp!MK$10/StabilizedOccupancy),0)</f>
        <v/>
      </c>
      <c r="ML22" s="218">
        <f>IF(346&gt;=DeliverStart,(RetailRentMo+RetailIncomeMo)*ML$10*MIN(1,LeaseUp!ML$10/StabilizedOccupancy),0)</f>
        <v/>
      </c>
      <c r="MM22" s="218">
        <f>IF(347&gt;=DeliverStart,(RetailRentMo+RetailIncomeMo)*MM$10*MIN(1,LeaseUp!MM$10/StabilizedOccupancy),0)</f>
        <v/>
      </c>
      <c r="MN22" s="218">
        <f>IF(348&gt;=DeliverStart,(RetailRentMo+RetailIncomeMo)*MN$10*MIN(1,LeaseUp!MN$10/StabilizedOccupancy),0)</f>
        <v/>
      </c>
      <c r="MO22" s="218">
        <f>IF(349&gt;=DeliverStart,(RetailRentMo+RetailIncomeMo)*MO$10*MIN(1,LeaseUp!MO$10/StabilizedOccupancy),0)</f>
        <v/>
      </c>
      <c r="MP22" s="218">
        <f>IF(350&gt;=DeliverStart,(RetailRentMo+RetailIncomeMo)*MP$10*MIN(1,LeaseUp!MP$10/StabilizedOccupancy),0)</f>
        <v/>
      </c>
      <c r="MQ22" s="218">
        <f>IF(351&gt;=DeliverStart,(RetailRentMo+RetailIncomeMo)*MQ$10*MIN(1,LeaseUp!MQ$10/StabilizedOccupancy),0)</f>
        <v/>
      </c>
      <c r="MR22" s="218">
        <f>IF(352&gt;=DeliverStart,(RetailRentMo+RetailIncomeMo)*MR$10*MIN(1,LeaseUp!MR$10/StabilizedOccupancy),0)</f>
        <v/>
      </c>
      <c r="MS22" s="218">
        <f>IF(353&gt;=DeliverStart,(RetailRentMo+RetailIncomeMo)*MS$10*MIN(1,LeaseUp!MS$10/StabilizedOccupancy),0)</f>
        <v/>
      </c>
      <c r="MT22" s="218">
        <f>IF(354&gt;=DeliverStart,(RetailRentMo+RetailIncomeMo)*MT$10*MIN(1,LeaseUp!MT$10/StabilizedOccupancy),0)</f>
        <v/>
      </c>
      <c r="MU22" s="218">
        <f>IF(355&gt;=DeliverStart,(RetailRentMo+RetailIncomeMo)*MU$10*MIN(1,LeaseUp!MU$10/StabilizedOccupancy),0)</f>
        <v/>
      </c>
      <c r="MV22" s="218">
        <f>IF(356&gt;=DeliverStart,(RetailRentMo+RetailIncomeMo)*MV$10*MIN(1,LeaseUp!MV$10/StabilizedOccupancy),0)</f>
        <v/>
      </c>
      <c r="MW22" s="218">
        <f>IF(357&gt;=DeliverStart,(RetailRentMo+RetailIncomeMo)*MW$10*MIN(1,LeaseUp!MW$10/StabilizedOccupancy),0)</f>
        <v/>
      </c>
      <c r="MX22" s="218">
        <f>IF(358&gt;=DeliverStart,(RetailRentMo+RetailIncomeMo)*MX$10*MIN(1,LeaseUp!MX$10/StabilizedOccupancy),0)</f>
        <v/>
      </c>
      <c r="MY22" s="218">
        <f>IF(359&gt;=DeliverStart,(RetailRentMo+RetailIncomeMo)*MY$10*MIN(1,LeaseUp!MY$10/StabilizedOccupancy),0)</f>
        <v/>
      </c>
      <c r="MZ22" s="218">
        <f>IF(360&gt;=DeliverStart,(RetailRentMo+RetailIncomeMo)*MZ$10*MIN(1,LeaseUp!MZ$10/StabilizedOccupancy),0)</f>
        <v/>
      </c>
      <c r="NA22" s="218">
        <f>IF(361&gt;=DeliverStart,(RetailRentMo+RetailIncomeMo)*NA$10*MIN(1,LeaseUp!NA$10/StabilizedOccupancy),0)</f>
        <v/>
      </c>
      <c r="NB22" s="218">
        <f>IF(362&gt;=DeliverStart,(RetailRentMo+RetailIncomeMo)*NB$10*MIN(1,LeaseUp!NB$10/StabilizedOccupancy),0)</f>
        <v/>
      </c>
      <c r="NC22" s="218">
        <f>IF(363&gt;=DeliverStart,(RetailRentMo+RetailIncomeMo)*NC$10*MIN(1,LeaseUp!NC$10/StabilizedOccupancy),0)</f>
        <v/>
      </c>
      <c r="ND22" s="218">
        <f>IF(364&gt;=DeliverStart,(RetailRentMo+RetailIncomeMo)*ND$10*MIN(1,LeaseUp!ND$10/StabilizedOccupancy),0)</f>
        <v/>
      </c>
      <c r="NE22" s="218">
        <f>IF(365&gt;=DeliverStart,(RetailRentMo+RetailIncomeMo)*NE$10*MIN(1,LeaseUp!NE$10/StabilizedOccupancy),0)</f>
        <v/>
      </c>
      <c r="NF22" s="218">
        <f>IF(366&gt;=DeliverStart,(RetailRentMo+RetailIncomeMo)*NF$10*MIN(1,LeaseUp!NF$10/StabilizedOccupancy),0)</f>
        <v/>
      </c>
      <c r="NG22" s="218">
        <f>IF(367&gt;=DeliverStart,(RetailRentMo+RetailIncomeMo)*NG$10*MIN(1,LeaseUp!NG$10/StabilizedOccupancy),0)</f>
        <v/>
      </c>
      <c r="NH22" s="218">
        <f>IF(368&gt;=DeliverStart,(RetailRentMo+RetailIncomeMo)*NH$10*MIN(1,LeaseUp!NH$10/StabilizedOccupancy),0)</f>
        <v/>
      </c>
      <c r="NI22" s="218">
        <f>IF(369&gt;=DeliverStart,(RetailRentMo+RetailIncomeMo)*NI$10*MIN(1,LeaseUp!NI$10/StabilizedOccupancy),0)</f>
        <v/>
      </c>
      <c r="NJ22" s="218">
        <f>IF(370&gt;=DeliverStart,(RetailRentMo+RetailIncomeMo)*NJ$10*MIN(1,LeaseUp!NJ$10/StabilizedOccupancy),0)</f>
        <v/>
      </c>
      <c r="NK22" s="218">
        <f>IF(371&gt;=DeliverStart,(RetailRentMo+RetailIncomeMo)*NK$10*MIN(1,LeaseUp!NK$10/StabilizedOccupancy),0)</f>
        <v/>
      </c>
      <c r="NL22" s="225">
        <f>IF(372&gt;=DeliverStart,(RetailRentMo+RetailIncomeMo)*NL$10*MIN(1,LeaseUp!NL$10/StabilizedOccupancy),0)</f>
        <v/>
      </c>
    </row>
    <row r="23">
      <c r="B23" s="50" t="inlineStr">
        <is>
          <t>Effective Gross Income</t>
        </is>
      </c>
      <c r="D23" s="266">
        <f>SUM(E23:NL23)</f>
        <v/>
      </c>
      <c r="E23" s="267">
        <f>E$14+E$15+E$16+E$17+E$18+E$19+E$20+E$21+E$22</f>
        <v/>
      </c>
      <c r="F23" s="267">
        <f>F$14+F$15+F$16+F$17+F$18+F$19+F$20+F$21+F$22</f>
        <v/>
      </c>
      <c r="G23" s="267">
        <f>G$14+G$15+G$16+G$17+G$18+G$19+G$20+G$21+G$22</f>
        <v/>
      </c>
      <c r="H23" s="267">
        <f>H$14+H$15+H$16+H$17+H$18+H$19+H$20+H$21+H$22</f>
        <v/>
      </c>
      <c r="I23" s="267">
        <f>I$14+I$15+I$16+I$17+I$18+I$19+I$20+I$21+I$22</f>
        <v/>
      </c>
      <c r="J23" s="267">
        <f>J$14+J$15+J$16+J$17+J$18+J$19+J$20+J$21+J$22</f>
        <v/>
      </c>
      <c r="K23" s="267">
        <f>K$14+K$15+K$16+K$17+K$18+K$19+K$20+K$21+K$22</f>
        <v/>
      </c>
      <c r="L23" s="267">
        <f>L$14+L$15+L$16+L$17+L$18+L$19+L$20+L$21+L$22</f>
        <v/>
      </c>
      <c r="M23" s="267">
        <f>M$14+M$15+M$16+M$17+M$18+M$19+M$20+M$21+M$22</f>
        <v/>
      </c>
      <c r="N23" s="267">
        <f>N$14+N$15+N$16+N$17+N$18+N$19+N$20+N$21+N$22</f>
        <v/>
      </c>
      <c r="O23" s="267">
        <f>O$14+O$15+O$16+O$17+O$18+O$19+O$20+O$21+O$22</f>
        <v/>
      </c>
      <c r="P23" s="267">
        <f>P$14+P$15+P$16+P$17+P$18+P$19+P$20+P$21+P$22</f>
        <v/>
      </c>
      <c r="Q23" s="267">
        <f>Q$14+Q$15+Q$16+Q$17+Q$18+Q$19+Q$20+Q$21+Q$22</f>
        <v/>
      </c>
      <c r="R23" s="267">
        <f>R$14+R$15+R$16+R$17+R$18+R$19+R$20+R$21+R$22</f>
        <v/>
      </c>
      <c r="S23" s="267">
        <f>S$14+S$15+S$16+S$17+S$18+S$19+S$20+S$21+S$22</f>
        <v/>
      </c>
      <c r="T23" s="267">
        <f>T$14+T$15+T$16+T$17+T$18+T$19+T$20+T$21+T$22</f>
        <v/>
      </c>
      <c r="U23" s="267">
        <f>U$14+U$15+U$16+U$17+U$18+U$19+U$20+U$21+U$22</f>
        <v/>
      </c>
      <c r="V23" s="267">
        <f>V$14+V$15+V$16+V$17+V$18+V$19+V$20+V$21+V$22</f>
        <v/>
      </c>
      <c r="W23" s="267">
        <f>W$14+W$15+W$16+W$17+W$18+W$19+W$20+W$21+W$22</f>
        <v/>
      </c>
      <c r="X23" s="267">
        <f>X$14+X$15+X$16+X$17+X$18+X$19+X$20+X$21+X$22</f>
        <v/>
      </c>
      <c r="Y23" s="267">
        <f>Y$14+Y$15+Y$16+Y$17+Y$18+Y$19+Y$20+Y$21+Y$22</f>
        <v/>
      </c>
      <c r="Z23" s="267">
        <f>Z$14+Z$15+Z$16+Z$17+Z$18+Z$19+Z$20+Z$21+Z$22</f>
        <v/>
      </c>
      <c r="AA23" s="267">
        <f>AA$14+AA$15+AA$16+AA$17+AA$18+AA$19+AA$20+AA$21+AA$22</f>
        <v/>
      </c>
      <c r="AB23" s="267">
        <f>AB$14+AB$15+AB$16+AB$17+AB$18+AB$19+AB$20+AB$21+AB$22</f>
        <v/>
      </c>
      <c r="AC23" s="267">
        <f>AC$14+AC$15+AC$16+AC$17+AC$18+AC$19+AC$20+AC$21+AC$22</f>
        <v/>
      </c>
      <c r="AD23" s="267">
        <f>AD$14+AD$15+AD$16+AD$17+AD$18+AD$19+AD$20+AD$21+AD$22</f>
        <v/>
      </c>
      <c r="AE23" s="267">
        <f>AE$14+AE$15+AE$16+AE$17+AE$18+AE$19+AE$20+AE$21+AE$22</f>
        <v/>
      </c>
      <c r="AF23" s="267">
        <f>AF$14+AF$15+AF$16+AF$17+AF$18+AF$19+AF$20+AF$21+AF$22</f>
        <v/>
      </c>
      <c r="AG23" s="267">
        <f>AG$14+AG$15+AG$16+AG$17+AG$18+AG$19+AG$20+AG$21+AG$22</f>
        <v/>
      </c>
      <c r="AH23" s="267">
        <f>AH$14+AH$15+AH$16+AH$17+AH$18+AH$19+AH$20+AH$21+AH$22</f>
        <v/>
      </c>
      <c r="AI23" s="267">
        <f>AI$14+AI$15+AI$16+AI$17+AI$18+AI$19+AI$20+AI$21+AI$22</f>
        <v/>
      </c>
      <c r="AJ23" s="267">
        <f>AJ$14+AJ$15+AJ$16+AJ$17+AJ$18+AJ$19+AJ$20+AJ$21+AJ$22</f>
        <v/>
      </c>
      <c r="AK23" s="267">
        <f>AK$14+AK$15+AK$16+AK$17+AK$18+AK$19+AK$20+AK$21+AK$22</f>
        <v/>
      </c>
      <c r="AL23" s="267">
        <f>AL$14+AL$15+AL$16+AL$17+AL$18+AL$19+AL$20+AL$21+AL$22</f>
        <v/>
      </c>
      <c r="AM23" s="267">
        <f>AM$14+AM$15+AM$16+AM$17+AM$18+AM$19+AM$20+AM$21+AM$22</f>
        <v/>
      </c>
      <c r="AN23" s="267">
        <f>AN$14+AN$15+AN$16+AN$17+AN$18+AN$19+AN$20+AN$21+AN$22</f>
        <v/>
      </c>
      <c r="AO23" s="267">
        <f>AO$14+AO$15+AO$16+AO$17+AO$18+AO$19+AO$20+AO$21+AO$22</f>
        <v/>
      </c>
      <c r="AP23" s="267">
        <f>AP$14+AP$15+AP$16+AP$17+AP$18+AP$19+AP$20+AP$21+AP$22</f>
        <v/>
      </c>
      <c r="AQ23" s="267">
        <f>AQ$14+AQ$15+AQ$16+AQ$17+AQ$18+AQ$19+AQ$20+AQ$21+AQ$22</f>
        <v/>
      </c>
      <c r="AR23" s="267">
        <f>AR$14+AR$15+AR$16+AR$17+AR$18+AR$19+AR$20+AR$21+AR$22</f>
        <v/>
      </c>
      <c r="AS23" s="267">
        <f>AS$14+AS$15+AS$16+AS$17+AS$18+AS$19+AS$20+AS$21+AS$22</f>
        <v/>
      </c>
      <c r="AT23" s="267">
        <f>AT$14+AT$15+AT$16+AT$17+AT$18+AT$19+AT$20+AT$21+AT$22</f>
        <v/>
      </c>
      <c r="AU23" s="267">
        <f>AU$14+AU$15+AU$16+AU$17+AU$18+AU$19+AU$20+AU$21+AU$22</f>
        <v/>
      </c>
      <c r="AV23" s="267">
        <f>AV$14+AV$15+AV$16+AV$17+AV$18+AV$19+AV$20+AV$21+AV$22</f>
        <v/>
      </c>
      <c r="AW23" s="267">
        <f>AW$14+AW$15+AW$16+AW$17+AW$18+AW$19+AW$20+AW$21+AW$22</f>
        <v/>
      </c>
      <c r="AX23" s="267">
        <f>AX$14+AX$15+AX$16+AX$17+AX$18+AX$19+AX$20+AX$21+AX$22</f>
        <v/>
      </c>
      <c r="AY23" s="267">
        <f>AY$14+AY$15+AY$16+AY$17+AY$18+AY$19+AY$20+AY$21+AY$22</f>
        <v/>
      </c>
      <c r="AZ23" s="267">
        <f>AZ$14+AZ$15+AZ$16+AZ$17+AZ$18+AZ$19+AZ$20+AZ$21+AZ$22</f>
        <v/>
      </c>
      <c r="BA23" s="267">
        <f>BA$14+BA$15+BA$16+BA$17+BA$18+BA$19+BA$20+BA$21+BA$22</f>
        <v/>
      </c>
      <c r="BB23" s="267">
        <f>BB$14+BB$15+BB$16+BB$17+BB$18+BB$19+BB$20+BB$21+BB$22</f>
        <v/>
      </c>
      <c r="BC23" s="267">
        <f>BC$14+BC$15+BC$16+BC$17+BC$18+BC$19+BC$20+BC$21+BC$22</f>
        <v/>
      </c>
      <c r="BD23" s="267">
        <f>BD$14+BD$15+BD$16+BD$17+BD$18+BD$19+BD$20+BD$21+BD$22</f>
        <v/>
      </c>
      <c r="BE23" s="267">
        <f>BE$14+BE$15+BE$16+BE$17+BE$18+BE$19+BE$20+BE$21+BE$22</f>
        <v/>
      </c>
      <c r="BF23" s="267">
        <f>BF$14+BF$15+BF$16+BF$17+BF$18+BF$19+BF$20+BF$21+BF$22</f>
        <v/>
      </c>
      <c r="BG23" s="267">
        <f>BG$14+BG$15+BG$16+BG$17+BG$18+BG$19+BG$20+BG$21+BG$22</f>
        <v/>
      </c>
      <c r="BH23" s="267">
        <f>BH$14+BH$15+BH$16+BH$17+BH$18+BH$19+BH$20+BH$21+BH$22</f>
        <v/>
      </c>
      <c r="BI23" s="267">
        <f>BI$14+BI$15+BI$16+BI$17+BI$18+BI$19+BI$20+BI$21+BI$22</f>
        <v/>
      </c>
      <c r="BJ23" s="267">
        <f>BJ$14+BJ$15+BJ$16+BJ$17+BJ$18+BJ$19+BJ$20+BJ$21+BJ$22</f>
        <v/>
      </c>
      <c r="BK23" s="267">
        <f>BK$14+BK$15+BK$16+BK$17+BK$18+BK$19+BK$20+BK$21+BK$22</f>
        <v/>
      </c>
      <c r="BL23" s="267">
        <f>BL$14+BL$15+BL$16+BL$17+BL$18+BL$19+BL$20+BL$21+BL$22</f>
        <v/>
      </c>
      <c r="BM23" s="267">
        <f>BM$14+BM$15+BM$16+BM$17+BM$18+BM$19+BM$20+BM$21+BM$22</f>
        <v/>
      </c>
      <c r="BN23" s="267">
        <f>BN$14+BN$15+BN$16+BN$17+BN$18+BN$19+BN$20+BN$21+BN$22</f>
        <v/>
      </c>
      <c r="BO23" s="267">
        <f>BO$14+BO$15+BO$16+BO$17+BO$18+BO$19+BO$20+BO$21+BO$22</f>
        <v/>
      </c>
      <c r="BP23" s="267">
        <f>BP$14+BP$15+BP$16+BP$17+BP$18+BP$19+BP$20+BP$21+BP$22</f>
        <v/>
      </c>
      <c r="BQ23" s="267">
        <f>BQ$14+BQ$15+BQ$16+BQ$17+BQ$18+BQ$19+BQ$20+BQ$21+BQ$22</f>
        <v/>
      </c>
      <c r="BR23" s="267">
        <f>BR$14+BR$15+BR$16+BR$17+BR$18+BR$19+BR$20+BR$21+BR$22</f>
        <v/>
      </c>
      <c r="BS23" s="267">
        <f>BS$14+BS$15+BS$16+BS$17+BS$18+BS$19+BS$20+BS$21+BS$22</f>
        <v/>
      </c>
      <c r="BT23" s="267">
        <f>BT$14+BT$15+BT$16+BT$17+BT$18+BT$19+BT$20+BT$21+BT$22</f>
        <v/>
      </c>
      <c r="BU23" s="267">
        <f>BU$14+BU$15+BU$16+BU$17+BU$18+BU$19+BU$20+BU$21+BU$22</f>
        <v/>
      </c>
      <c r="BV23" s="267">
        <f>BV$14+BV$15+BV$16+BV$17+BV$18+BV$19+BV$20+BV$21+BV$22</f>
        <v/>
      </c>
      <c r="BW23" s="267">
        <f>BW$14+BW$15+BW$16+BW$17+BW$18+BW$19+BW$20+BW$21+BW$22</f>
        <v/>
      </c>
      <c r="BX23" s="267">
        <f>BX$14+BX$15+BX$16+BX$17+BX$18+BX$19+BX$20+BX$21+BX$22</f>
        <v/>
      </c>
      <c r="BY23" s="267">
        <f>BY$14+BY$15+BY$16+BY$17+BY$18+BY$19+BY$20+BY$21+BY$22</f>
        <v/>
      </c>
      <c r="BZ23" s="267">
        <f>BZ$14+BZ$15+BZ$16+BZ$17+BZ$18+BZ$19+BZ$20+BZ$21+BZ$22</f>
        <v/>
      </c>
      <c r="CA23" s="267">
        <f>CA$14+CA$15+CA$16+CA$17+CA$18+CA$19+CA$20+CA$21+CA$22</f>
        <v/>
      </c>
      <c r="CB23" s="267">
        <f>CB$14+CB$15+CB$16+CB$17+CB$18+CB$19+CB$20+CB$21+CB$22</f>
        <v/>
      </c>
      <c r="CC23" s="267">
        <f>CC$14+CC$15+CC$16+CC$17+CC$18+CC$19+CC$20+CC$21+CC$22</f>
        <v/>
      </c>
      <c r="CD23" s="267">
        <f>CD$14+CD$15+CD$16+CD$17+CD$18+CD$19+CD$20+CD$21+CD$22</f>
        <v/>
      </c>
      <c r="CE23" s="267">
        <f>CE$14+CE$15+CE$16+CE$17+CE$18+CE$19+CE$20+CE$21+CE$22</f>
        <v/>
      </c>
      <c r="CF23" s="267">
        <f>CF$14+CF$15+CF$16+CF$17+CF$18+CF$19+CF$20+CF$21+CF$22</f>
        <v/>
      </c>
      <c r="CG23" s="267">
        <f>CG$14+CG$15+CG$16+CG$17+CG$18+CG$19+CG$20+CG$21+CG$22</f>
        <v/>
      </c>
      <c r="CH23" s="267">
        <f>CH$14+CH$15+CH$16+CH$17+CH$18+CH$19+CH$20+CH$21+CH$22</f>
        <v/>
      </c>
      <c r="CI23" s="267">
        <f>CI$14+CI$15+CI$16+CI$17+CI$18+CI$19+CI$20+CI$21+CI$22</f>
        <v/>
      </c>
      <c r="CJ23" s="267">
        <f>CJ$14+CJ$15+CJ$16+CJ$17+CJ$18+CJ$19+CJ$20+CJ$21+CJ$22</f>
        <v/>
      </c>
      <c r="CK23" s="267">
        <f>CK$14+CK$15+CK$16+CK$17+CK$18+CK$19+CK$20+CK$21+CK$22</f>
        <v/>
      </c>
      <c r="CL23" s="267">
        <f>CL$14+CL$15+CL$16+CL$17+CL$18+CL$19+CL$20+CL$21+CL$22</f>
        <v/>
      </c>
      <c r="CM23" s="267">
        <f>CM$14+CM$15+CM$16+CM$17+CM$18+CM$19+CM$20+CM$21+CM$22</f>
        <v/>
      </c>
      <c r="CN23" s="267">
        <f>CN$14+CN$15+CN$16+CN$17+CN$18+CN$19+CN$20+CN$21+CN$22</f>
        <v/>
      </c>
      <c r="CO23" s="267">
        <f>CO$14+CO$15+CO$16+CO$17+CO$18+CO$19+CO$20+CO$21+CO$22</f>
        <v/>
      </c>
      <c r="CP23" s="267">
        <f>CP$14+CP$15+CP$16+CP$17+CP$18+CP$19+CP$20+CP$21+CP$22</f>
        <v/>
      </c>
      <c r="CQ23" s="267">
        <f>CQ$14+CQ$15+CQ$16+CQ$17+CQ$18+CQ$19+CQ$20+CQ$21+CQ$22</f>
        <v/>
      </c>
      <c r="CR23" s="267">
        <f>CR$14+CR$15+CR$16+CR$17+CR$18+CR$19+CR$20+CR$21+CR$22</f>
        <v/>
      </c>
      <c r="CS23" s="267">
        <f>CS$14+CS$15+CS$16+CS$17+CS$18+CS$19+CS$20+CS$21+CS$22</f>
        <v/>
      </c>
      <c r="CT23" s="267">
        <f>CT$14+CT$15+CT$16+CT$17+CT$18+CT$19+CT$20+CT$21+CT$22</f>
        <v/>
      </c>
      <c r="CU23" s="267">
        <f>CU$14+CU$15+CU$16+CU$17+CU$18+CU$19+CU$20+CU$21+CU$22</f>
        <v/>
      </c>
      <c r="CV23" s="267">
        <f>CV$14+CV$15+CV$16+CV$17+CV$18+CV$19+CV$20+CV$21+CV$22</f>
        <v/>
      </c>
      <c r="CW23" s="267">
        <f>CW$14+CW$15+CW$16+CW$17+CW$18+CW$19+CW$20+CW$21+CW$22</f>
        <v/>
      </c>
      <c r="CX23" s="267">
        <f>CX$14+CX$15+CX$16+CX$17+CX$18+CX$19+CX$20+CX$21+CX$22</f>
        <v/>
      </c>
      <c r="CY23" s="267">
        <f>CY$14+CY$15+CY$16+CY$17+CY$18+CY$19+CY$20+CY$21+CY$22</f>
        <v/>
      </c>
      <c r="CZ23" s="267">
        <f>CZ$14+CZ$15+CZ$16+CZ$17+CZ$18+CZ$19+CZ$20+CZ$21+CZ$22</f>
        <v/>
      </c>
      <c r="DA23" s="267">
        <f>DA$14+DA$15+DA$16+DA$17+DA$18+DA$19+DA$20+DA$21+DA$22</f>
        <v/>
      </c>
      <c r="DB23" s="267">
        <f>DB$14+DB$15+DB$16+DB$17+DB$18+DB$19+DB$20+DB$21+DB$22</f>
        <v/>
      </c>
      <c r="DC23" s="267">
        <f>DC$14+DC$15+DC$16+DC$17+DC$18+DC$19+DC$20+DC$21+DC$22</f>
        <v/>
      </c>
      <c r="DD23" s="267">
        <f>DD$14+DD$15+DD$16+DD$17+DD$18+DD$19+DD$20+DD$21+DD$22</f>
        <v/>
      </c>
      <c r="DE23" s="267">
        <f>DE$14+DE$15+DE$16+DE$17+DE$18+DE$19+DE$20+DE$21+DE$22</f>
        <v/>
      </c>
      <c r="DF23" s="267">
        <f>DF$14+DF$15+DF$16+DF$17+DF$18+DF$19+DF$20+DF$21+DF$22</f>
        <v/>
      </c>
      <c r="DG23" s="267">
        <f>DG$14+DG$15+DG$16+DG$17+DG$18+DG$19+DG$20+DG$21+DG$22</f>
        <v/>
      </c>
      <c r="DH23" s="267">
        <f>DH$14+DH$15+DH$16+DH$17+DH$18+DH$19+DH$20+DH$21+DH$22</f>
        <v/>
      </c>
      <c r="DI23" s="267">
        <f>DI$14+DI$15+DI$16+DI$17+DI$18+DI$19+DI$20+DI$21+DI$22</f>
        <v/>
      </c>
      <c r="DJ23" s="267">
        <f>DJ$14+DJ$15+DJ$16+DJ$17+DJ$18+DJ$19+DJ$20+DJ$21+DJ$22</f>
        <v/>
      </c>
      <c r="DK23" s="267">
        <f>DK$14+DK$15+DK$16+DK$17+DK$18+DK$19+DK$20+DK$21+DK$22</f>
        <v/>
      </c>
      <c r="DL23" s="267">
        <f>DL$14+DL$15+DL$16+DL$17+DL$18+DL$19+DL$20+DL$21+DL$22</f>
        <v/>
      </c>
      <c r="DM23" s="267">
        <f>DM$14+DM$15+DM$16+DM$17+DM$18+DM$19+DM$20+DM$21+DM$22</f>
        <v/>
      </c>
      <c r="DN23" s="267">
        <f>DN$14+DN$15+DN$16+DN$17+DN$18+DN$19+DN$20+DN$21+DN$22</f>
        <v/>
      </c>
      <c r="DO23" s="267">
        <f>DO$14+DO$15+DO$16+DO$17+DO$18+DO$19+DO$20+DO$21+DO$22</f>
        <v/>
      </c>
      <c r="DP23" s="267">
        <f>DP$14+DP$15+DP$16+DP$17+DP$18+DP$19+DP$20+DP$21+DP$22</f>
        <v/>
      </c>
      <c r="DQ23" s="267">
        <f>DQ$14+DQ$15+DQ$16+DQ$17+DQ$18+DQ$19+DQ$20+DQ$21+DQ$22</f>
        <v/>
      </c>
      <c r="DR23" s="267">
        <f>DR$14+DR$15+DR$16+DR$17+DR$18+DR$19+DR$20+DR$21+DR$22</f>
        <v/>
      </c>
      <c r="DS23" s="267">
        <f>DS$14+DS$15+DS$16+DS$17+DS$18+DS$19+DS$20+DS$21+DS$22</f>
        <v/>
      </c>
      <c r="DT23" s="267">
        <f>DT$14+DT$15+DT$16+DT$17+DT$18+DT$19+DT$20+DT$21+DT$22</f>
        <v/>
      </c>
      <c r="DU23" s="267">
        <f>DU$14+DU$15+DU$16+DU$17+DU$18+DU$19+DU$20+DU$21+DU$22</f>
        <v/>
      </c>
      <c r="DV23" s="267">
        <f>DV$14+DV$15+DV$16+DV$17+DV$18+DV$19+DV$20+DV$21+DV$22</f>
        <v/>
      </c>
      <c r="DW23" s="267">
        <f>DW$14+DW$15+DW$16+DW$17+DW$18+DW$19+DW$20+DW$21+DW$22</f>
        <v/>
      </c>
      <c r="DX23" s="267">
        <f>DX$14+DX$15+DX$16+DX$17+DX$18+DX$19+DX$20+DX$21+DX$22</f>
        <v/>
      </c>
      <c r="DY23" s="267">
        <f>DY$14+DY$15+DY$16+DY$17+DY$18+DY$19+DY$20+DY$21+DY$22</f>
        <v/>
      </c>
      <c r="DZ23" s="267">
        <f>DZ$14+DZ$15+DZ$16+DZ$17+DZ$18+DZ$19+DZ$20+DZ$21+DZ$22</f>
        <v/>
      </c>
      <c r="EA23" s="267">
        <f>EA$14+EA$15+EA$16+EA$17+EA$18+EA$19+EA$20+EA$21+EA$22</f>
        <v/>
      </c>
      <c r="EB23" s="267">
        <f>EB$14+EB$15+EB$16+EB$17+EB$18+EB$19+EB$20+EB$21+EB$22</f>
        <v/>
      </c>
      <c r="EC23" s="267">
        <f>EC$14+EC$15+EC$16+EC$17+EC$18+EC$19+EC$20+EC$21+EC$22</f>
        <v/>
      </c>
      <c r="ED23" s="267">
        <f>ED$14+ED$15+ED$16+ED$17+ED$18+ED$19+ED$20+ED$21+ED$22</f>
        <v/>
      </c>
      <c r="EE23" s="267">
        <f>EE$14+EE$15+EE$16+EE$17+EE$18+EE$19+EE$20+EE$21+EE$22</f>
        <v/>
      </c>
      <c r="EF23" s="267">
        <f>EF$14+EF$15+EF$16+EF$17+EF$18+EF$19+EF$20+EF$21+EF$22</f>
        <v/>
      </c>
      <c r="EG23" s="267">
        <f>EG$14+EG$15+EG$16+EG$17+EG$18+EG$19+EG$20+EG$21+EG$22</f>
        <v/>
      </c>
      <c r="EH23" s="267">
        <f>EH$14+EH$15+EH$16+EH$17+EH$18+EH$19+EH$20+EH$21+EH$22</f>
        <v/>
      </c>
      <c r="EI23" s="267">
        <f>EI$14+EI$15+EI$16+EI$17+EI$18+EI$19+EI$20+EI$21+EI$22</f>
        <v/>
      </c>
      <c r="EJ23" s="267">
        <f>EJ$14+EJ$15+EJ$16+EJ$17+EJ$18+EJ$19+EJ$20+EJ$21+EJ$22</f>
        <v/>
      </c>
      <c r="EK23" s="267">
        <f>EK$14+EK$15+EK$16+EK$17+EK$18+EK$19+EK$20+EK$21+EK$22</f>
        <v/>
      </c>
      <c r="EL23" s="267">
        <f>EL$14+EL$15+EL$16+EL$17+EL$18+EL$19+EL$20+EL$21+EL$22</f>
        <v/>
      </c>
      <c r="EM23" s="267">
        <f>EM$14+EM$15+EM$16+EM$17+EM$18+EM$19+EM$20+EM$21+EM$22</f>
        <v/>
      </c>
      <c r="EN23" s="267">
        <f>EN$14+EN$15+EN$16+EN$17+EN$18+EN$19+EN$20+EN$21+EN$22</f>
        <v/>
      </c>
      <c r="EO23" s="267">
        <f>EO$14+EO$15+EO$16+EO$17+EO$18+EO$19+EO$20+EO$21+EO$22</f>
        <v/>
      </c>
      <c r="EP23" s="267">
        <f>EP$14+EP$15+EP$16+EP$17+EP$18+EP$19+EP$20+EP$21+EP$22</f>
        <v/>
      </c>
      <c r="EQ23" s="267">
        <f>EQ$14+EQ$15+EQ$16+EQ$17+EQ$18+EQ$19+EQ$20+EQ$21+EQ$22</f>
        <v/>
      </c>
      <c r="ER23" s="267">
        <f>ER$14+ER$15+ER$16+ER$17+ER$18+ER$19+ER$20+ER$21+ER$22</f>
        <v/>
      </c>
      <c r="ES23" s="267">
        <f>ES$14+ES$15+ES$16+ES$17+ES$18+ES$19+ES$20+ES$21+ES$22</f>
        <v/>
      </c>
      <c r="ET23" s="267">
        <f>ET$14+ET$15+ET$16+ET$17+ET$18+ET$19+ET$20+ET$21+ET$22</f>
        <v/>
      </c>
      <c r="EU23" s="267">
        <f>EU$14+EU$15+EU$16+EU$17+EU$18+EU$19+EU$20+EU$21+EU$22</f>
        <v/>
      </c>
      <c r="EV23" s="267">
        <f>EV$14+EV$15+EV$16+EV$17+EV$18+EV$19+EV$20+EV$21+EV$22</f>
        <v/>
      </c>
      <c r="EW23" s="267">
        <f>EW$14+EW$15+EW$16+EW$17+EW$18+EW$19+EW$20+EW$21+EW$22</f>
        <v/>
      </c>
      <c r="EX23" s="267">
        <f>EX$14+EX$15+EX$16+EX$17+EX$18+EX$19+EX$20+EX$21+EX$22</f>
        <v/>
      </c>
      <c r="EY23" s="267">
        <f>EY$14+EY$15+EY$16+EY$17+EY$18+EY$19+EY$20+EY$21+EY$22</f>
        <v/>
      </c>
      <c r="EZ23" s="267">
        <f>EZ$14+EZ$15+EZ$16+EZ$17+EZ$18+EZ$19+EZ$20+EZ$21+EZ$22</f>
        <v/>
      </c>
      <c r="FA23" s="267">
        <f>FA$14+FA$15+FA$16+FA$17+FA$18+FA$19+FA$20+FA$21+FA$22</f>
        <v/>
      </c>
      <c r="FB23" s="267">
        <f>FB$14+FB$15+FB$16+FB$17+FB$18+FB$19+FB$20+FB$21+FB$22</f>
        <v/>
      </c>
      <c r="FC23" s="267">
        <f>FC$14+FC$15+FC$16+FC$17+FC$18+FC$19+FC$20+FC$21+FC$22</f>
        <v/>
      </c>
      <c r="FD23" s="267">
        <f>FD$14+FD$15+FD$16+FD$17+FD$18+FD$19+FD$20+FD$21+FD$22</f>
        <v/>
      </c>
      <c r="FE23" s="267">
        <f>FE$14+FE$15+FE$16+FE$17+FE$18+FE$19+FE$20+FE$21+FE$22</f>
        <v/>
      </c>
      <c r="FF23" s="267">
        <f>FF$14+FF$15+FF$16+FF$17+FF$18+FF$19+FF$20+FF$21+FF$22</f>
        <v/>
      </c>
      <c r="FG23" s="267">
        <f>FG$14+FG$15+FG$16+FG$17+FG$18+FG$19+FG$20+FG$21+FG$22</f>
        <v/>
      </c>
      <c r="FH23" s="267">
        <f>FH$14+FH$15+FH$16+FH$17+FH$18+FH$19+FH$20+FH$21+FH$22</f>
        <v/>
      </c>
      <c r="FI23" s="267">
        <f>FI$14+FI$15+FI$16+FI$17+FI$18+FI$19+FI$20+FI$21+FI$22</f>
        <v/>
      </c>
      <c r="FJ23" s="267">
        <f>FJ$14+FJ$15+FJ$16+FJ$17+FJ$18+FJ$19+FJ$20+FJ$21+FJ$22</f>
        <v/>
      </c>
      <c r="FK23" s="267">
        <f>FK$14+FK$15+FK$16+FK$17+FK$18+FK$19+FK$20+FK$21+FK$22</f>
        <v/>
      </c>
      <c r="FL23" s="267">
        <f>FL$14+FL$15+FL$16+FL$17+FL$18+FL$19+FL$20+FL$21+FL$22</f>
        <v/>
      </c>
      <c r="FM23" s="267">
        <f>FM$14+FM$15+FM$16+FM$17+FM$18+FM$19+FM$20+FM$21+FM$22</f>
        <v/>
      </c>
      <c r="FN23" s="267">
        <f>FN$14+FN$15+FN$16+FN$17+FN$18+FN$19+FN$20+FN$21+FN$22</f>
        <v/>
      </c>
      <c r="FO23" s="267">
        <f>FO$14+FO$15+FO$16+FO$17+FO$18+FO$19+FO$20+FO$21+FO$22</f>
        <v/>
      </c>
      <c r="FP23" s="267">
        <f>FP$14+FP$15+FP$16+FP$17+FP$18+FP$19+FP$20+FP$21+FP$22</f>
        <v/>
      </c>
      <c r="FQ23" s="267">
        <f>FQ$14+FQ$15+FQ$16+FQ$17+FQ$18+FQ$19+FQ$20+FQ$21+FQ$22</f>
        <v/>
      </c>
      <c r="FR23" s="267">
        <f>FR$14+FR$15+FR$16+FR$17+FR$18+FR$19+FR$20+FR$21+FR$22</f>
        <v/>
      </c>
      <c r="FS23" s="267">
        <f>FS$14+FS$15+FS$16+FS$17+FS$18+FS$19+FS$20+FS$21+FS$22</f>
        <v/>
      </c>
      <c r="FT23" s="267">
        <f>FT$14+FT$15+FT$16+FT$17+FT$18+FT$19+FT$20+FT$21+FT$22</f>
        <v/>
      </c>
      <c r="FU23" s="267">
        <f>FU$14+FU$15+FU$16+FU$17+FU$18+FU$19+FU$20+FU$21+FU$22</f>
        <v/>
      </c>
      <c r="FV23" s="267">
        <f>FV$14+FV$15+FV$16+FV$17+FV$18+FV$19+FV$20+FV$21+FV$22</f>
        <v/>
      </c>
      <c r="FW23" s="267">
        <f>FW$14+FW$15+FW$16+FW$17+FW$18+FW$19+FW$20+FW$21+FW$22</f>
        <v/>
      </c>
      <c r="FX23" s="267">
        <f>FX$14+FX$15+FX$16+FX$17+FX$18+FX$19+FX$20+FX$21+FX$22</f>
        <v/>
      </c>
      <c r="FY23" s="267">
        <f>FY$14+FY$15+FY$16+FY$17+FY$18+FY$19+FY$20+FY$21+FY$22</f>
        <v/>
      </c>
      <c r="FZ23" s="267">
        <f>FZ$14+FZ$15+FZ$16+FZ$17+FZ$18+FZ$19+FZ$20+FZ$21+FZ$22</f>
        <v/>
      </c>
      <c r="GA23" s="267">
        <f>GA$14+GA$15+GA$16+GA$17+GA$18+GA$19+GA$20+GA$21+GA$22</f>
        <v/>
      </c>
      <c r="GB23" s="267">
        <f>GB$14+GB$15+GB$16+GB$17+GB$18+GB$19+GB$20+GB$21+GB$22</f>
        <v/>
      </c>
      <c r="GC23" s="267">
        <f>GC$14+GC$15+GC$16+GC$17+GC$18+GC$19+GC$20+GC$21+GC$22</f>
        <v/>
      </c>
      <c r="GD23" s="267">
        <f>GD$14+GD$15+GD$16+GD$17+GD$18+GD$19+GD$20+GD$21+GD$22</f>
        <v/>
      </c>
      <c r="GE23" s="267">
        <f>GE$14+GE$15+GE$16+GE$17+GE$18+GE$19+GE$20+GE$21+GE$22</f>
        <v/>
      </c>
      <c r="GF23" s="267">
        <f>GF$14+GF$15+GF$16+GF$17+GF$18+GF$19+GF$20+GF$21+GF$22</f>
        <v/>
      </c>
      <c r="GG23" s="267">
        <f>GG$14+GG$15+GG$16+GG$17+GG$18+GG$19+GG$20+GG$21+GG$22</f>
        <v/>
      </c>
      <c r="GH23" s="267">
        <f>GH$14+GH$15+GH$16+GH$17+GH$18+GH$19+GH$20+GH$21+GH$22</f>
        <v/>
      </c>
      <c r="GI23" s="267">
        <f>GI$14+GI$15+GI$16+GI$17+GI$18+GI$19+GI$20+GI$21+GI$22</f>
        <v/>
      </c>
      <c r="GJ23" s="267">
        <f>GJ$14+GJ$15+GJ$16+GJ$17+GJ$18+GJ$19+GJ$20+GJ$21+GJ$22</f>
        <v/>
      </c>
      <c r="GK23" s="267">
        <f>GK$14+GK$15+GK$16+GK$17+GK$18+GK$19+GK$20+GK$21+GK$22</f>
        <v/>
      </c>
      <c r="GL23" s="267">
        <f>GL$14+GL$15+GL$16+GL$17+GL$18+GL$19+GL$20+GL$21+GL$22</f>
        <v/>
      </c>
      <c r="GM23" s="267">
        <f>GM$14+GM$15+GM$16+GM$17+GM$18+GM$19+GM$20+GM$21+GM$22</f>
        <v/>
      </c>
      <c r="GN23" s="267">
        <f>GN$14+GN$15+GN$16+GN$17+GN$18+GN$19+GN$20+GN$21+GN$22</f>
        <v/>
      </c>
      <c r="GO23" s="267">
        <f>GO$14+GO$15+GO$16+GO$17+GO$18+GO$19+GO$20+GO$21+GO$22</f>
        <v/>
      </c>
      <c r="GP23" s="267">
        <f>GP$14+GP$15+GP$16+GP$17+GP$18+GP$19+GP$20+GP$21+GP$22</f>
        <v/>
      </c>
      <c r="GQ23" s="267">
        <f>GQ$14+GQ$15+GQ$16+GQ$17+GQ$18+GQ$19+GQ$20+GQ$21+GQ$22</f>
        <v/>
      </c>
      <c r="GR23" s="267">
        <f>GR$14+GR$15+GR$16+GR$17+GR$18+GR$19+GR$20+GR$21+GR$22</f>
        <v/>
      </c>
      <c r="GS23" s="267">
        <f>GS$14+GS$15+GS$16+GS$17+GS$18+GS$19+GS$20+GS$21+GS$22</f>
        <v/>
      </c>
      <c r="GT23" s="267">
        <f>GT$14+GT$15+GT$16+GT$17+GT$18+GT$19+GT$20+GT$21+GT$22</f>
        <v/>
      </c>
      <c r="GU23" s="267">
        <f>GU$14+GU$15+GU$16+GU$17+GU$18+GU$19+GU$20+GU$21+GU$22</f>
        <v/>
      </c>
      <c r="GV23" s="267">
        <f>GV$14+GV$15+GV$16+GV$17+GV$18+GV$19+GV$20+GV$21+GV$22</f>
        <v/>
      </c>
      <c r="GW23" s="267">
        <f>GW$14+GW$15+GW$16+GW$17+GW$18+GW$19+GW$20+GW$21+GW$22</f>
        <v/>
      </c>
      <c r="GX23" s="267">
        <f>GX$14+GX$15+GX$16+GX$17+GX$18+GX$19+GX$20+GX$21+GX$22</f>
        <v/>
      </c>
      <c r="GY23" s="267">
        <f>GY$14+GY$15+GY$16+GY$17+GY$18+GY$19+GY$20+GY$21+GY$22</f>
        <v/>
      </c>
      <c r="GZ23" s="267">
        <f>GZ$14+GZ$15+GZ$16+GZ$17+GZ$18+GZ$19+GZ$20+GZ$21+GZ$22</f>
        <v/>
      </c>
      <c r="HA23" s="267">
        <f>HA$14+HA$15+HA$16+HA$17+HA$18+HA$19+HA$20+HA$21+HA$22</f>
        <v/>
      </c>
      <c r="HB23" s="267">
        <f>HB$14+HB$15+HB$16+HB$17+HB$18+HB$19+HB$20+HB$21+HB$22</f>
        <v/>
      </c>
      <c r="HC23" s="267">
        <f>HC$14+HC$15+HC$16+HC$17+HC$18+HC$19+HC$20+HC$21+HC$22</f>
        <v/>
      </c>
      <c r="HD23" s="267">
        <f>HD$14+HD$15+HD$16+HD$17+HD$18+HD$19+HD$20+HD$21+HD$22</f>
        <v/>
      </c>
      <c r="HE23" s="267">
        <f>HE$14+HE$15+HE$16+HE$17+HE$18+HE$19+HE$20+HE$21+HE$22</f>
        <v/>
      </c>
      <c r="HF23" s="267">
        <f>HF$14+HF$15+HF$16+HF$17+HF$18+HF$19+HF$20+HF$21+HF$22</f>
        <v/>
      </c>
      <c r="HG23" s="267">
        <f>HG$14+HG$15+HG$16+HG$17+HG$18+HG$19+HG$20+HG$21+HG$22</f>
        <v/>
      </c>
      <c r="HH23" s="267">
        <f>HH$14+HH$15+HH$16+HH$17+HH$18+HH$19+HH$20+HH$21+HH$22</f>
        <v/>
      </c>
      <c r="HI23" s="267">
        <f>HI$14+HI$15+HI$16+HI$17+HI$18+HI$19+HI$20+HI$21+HI$22</f>
        <v/>
      </c>
      <c r="HJ23" s="267">
        <f>HJ$14+HJ$15+HJ$16+HJ$17+HJ$18+HJ$19+HJ$20+HJ$21+HJ$22</f>
        <v/>
      </c>
      <c r="HK23" s="267">
        <f>HK$14+HK$15+HK$16+HK$17+HK$18+HK$19+HK$20+HK$21+HK$22</f>
        <v/>
      </c>
      <c r="HL23" s="267">
        <f>HL$14+HL$15+HL$16+HL$17+HL$18+HL$19+HL$20+HL$21+HL$22</f>
        <v/>
      </c>
      <c r="HM23" s="267">
        <f>HM$14+HM$15+HM$16+HM$17+HM$18+HM$19+HM$20+HM$21+HM$22</f>
        <v/>
      </c>
      <c r="HN23" s="267">
        <f>HN$14+HN$15+HN$16+HN$17+HN$18+HN$19+HN$20+HN$21+HN$22</f>
        <v/>
      </c>
      <c r="HO23" s="267">
        <f>HO$14+HO$15+HO$16+HO$17+HO$18+HO$19+HO$20+HO$21+HO$22</f>
        <v/>
      </c>
      <c r="HP23" s="267">
        <f>HP$14+HP$15+HP$16+HP$17+HP$18+HP$19+HP$20+HP$21+HP$22</f>
        <v/>
      </c>
      <c r="HQ23" s="267">
        <f>HQ$14+HQ$15+HQ$16+HQ$17+HQ$18+HQ$19+HQ$20+HQ$21+HQ$22</f>
        <v/>
      </c>
      <c r="HR23" s="267">
        <f>HR$14+HR$15+HR$16+HR$17+HR$18+HR$19+HR$20+HR$21+HR$22</f>
        <v/>
      </c>
      <c r="HS23" s="267">
        <f>HS$14+HS$15+HS$16+HS$17+HS$18+HS$19+HS$20+HS$21+HS$22</f>
        <v/>
      </c>
      <c r="HT23" s="267">
        <f>HT$14+HT$15+HT$16+HT$17+HT$18+HT$19+HT$20+HT$21+HT$22</f>
        <v/>
      </c>
      <c r="HU23" s="267">
        <f>HU$14+HU$15+HU$16+HU$17+HU$18+HU$19+HU$20+HU$21+HU$22</f>
        <v/>
      </c>
      <c r="HV23" s="267">
        <f>HV$14+HV$15+HV$16+HV$17+HV$18+HV$19+HV$20+HV$21+HV$22</f>
        <v/>
      </c>
      <c r="HW23" s="267">
        <f>HW$14+HW$15+HW$16+HW$17+HW$18+HW$19+HW$20+HW$21+HW$22</f>
        <v/>
      </c>
      <c r="HX23" s="267">
        <f>HX$14+HX$15+HX$16+HX$17+HX$18+HX$19+HX$20+HX$21+HX$22</f>
        <v/>
      </c>
      <c r="HY23" s="267">
        <f>HY$14+HY$15+HY$16+HY$17+HY$18+HY$19+HY$20+HY$21+HY$22</f>
        <v/>
      </c>
      <c r="HZ23" s="267">
        <f>HZ$14+HZ$15+HZ$16+HZ$17+HZ$18+HZ$19+HZ$20+HZ$21+HZ$22</f>
        <v/>
      </c>
      <c r="IA23" s="267">
        <f>IA$14+IA$15+IA$16+IA$17+IA$18+IA$19+IA$20+IA$21+IA$22</f>
        <v/>
      </c>
      <c r="IB23" s="267">
        <f>IB$14+IB$15+IB$16+IB$17+IB$18+IB$19+IB$20+IB$21+IB$22</f>
        <v/>
      </c>
      <c r="IC23" s="267">
        <f>IC$14+IC$15+IC$16+IC$17+IC$18+IC$19+IC$20+IC$21+IC$22</f>
        <v/>
      </c>
      <c r="ID23" s="267">
        <f>ID$14+ID$15+ID$16+ID$17+ID$18+ID$19+ID$20+ID$21+ID$22</f>
        <v/>
      </c>
      <c r="IE23" s="267">
        <f>IE$14+IE$15+IE$16+IE$17+IE$18+IE$19+IE$20+IE$21+IE$22</f>
        <v/>
      </c>
      <c r="IF23" s="267">
        <f>IF$14+IF$15+IF$16+IF$17+IF$18+IF$19+IF$20+IF$21+IF$22</f>
        <v/>
      </c>
      <c r="IG23" s="267">
        <f>IG$14+IG$15+IG$16+IG$17+IG$18+IG$19+IG$20+IG$21+IG$22</f>
        <v/>
      </c>
      <c r="IH23" s="267">
        <f>IH$14+IH$15+IH$16+IH$17+IH$18+IH$19+IH$20+IH$21+IH$22</f>
        <v/>
      </c>
      <c r="II23" s="267">
        <f>II$14+II$15+II$16+II$17+II$18+II$19+II$20+II$21+II$22</f>
        <v/>
      </c>
      <c r="IJ23" s="267">
        <f>IJ$14+IJ$15+IJ$16+IJ$17+IJ$18+IJ$19+IJ$20+IJ$21+IJ$22</f>
        <v/>
      </c>
      <c r="IK23" s="267">
        <f>IK$14+IK$15+IK$16+IK$17+IK$18+IK$19+IK$20+IK$21+IK$22</f>
        <v/>
      </c>
      <c r="IL23" s="267">
        <f>IL$14+IL$15+IL$16+IL$17+IL$18+IL$19+IL$20+IL$21+IL$22</f>
        <v/>
      </c>
      <c r="IM23" s="267">
        <f>IM$14+IM$15+IM$16+IM$17+IM$18+IM$19+IM$20+IM$21+IM$22</f>
        <v/>
      </c>
      <c r="IN23" s="267">
        <f>IN$14+IN$15+IN$16+IN$17+IN$18+IN$19+IN$20+IN$21+IN$22</f>
        <v/>
      </c>
      <c r="IO23" s="267">
        <f>IO$14+IO$15+IO$16+IO$17+IO$18+IO$19+IO$20+IO$21+IO$22</f>
        <v/>
      </c>
      <c r="IP23" s="267">
        <f>IP$14+IP$15+IP$16+IP$17+IP$18+IP$19+IP$20+IP$21+IP$22</f>
        <v/>
      </c>
      <c r="IQ23" s="267">
        <f>IQ$14+IQ$15+IQ$16+IQ$17+IQ$18+IQ$19+IQ$20+IQ$21+IQ$22</f>
        <v/>
      </c>
      <c r="IR23" s="267">
        <f>IR$14+IR$15+IR$16+IR$17+IR$18+IR$19+IR$20+IR$21+IR$22</f>
        <v/>
      </c>
      <c r="IS23" s="267">
        <f>IS$14+IS$15+IS$16+IS$17+IS$18+IS$19+IS$20+IS$21+IS$22</f>
        <v/>
      </c>
      <c r="IT23" s="267">
        <f>IT$14+IT$15+IT$16+IT$17+IT$18+IT$19+IT$20+IT$21+IT$22</f>
        <v/>
      </c>
      <c r="IU23" s="267">
        <f>IU$14+IU$15+IU$16+IU$17+IU$18+IU$19+IU$20+IU$21+IU$22</f>
        <v/>
      </c>
      <c r="IV23" s="267">
        <f>IV$14+IV$15+IV$16+IV$17+IV$18+IV$19+IV$20+IV$21+IV$22</f>
        <v/>
      </c>
      <c r="IW23" s="267">
        <f>IW$14+IW$15+IW$16+IW$17+IW$18+IW$19+IW$20+IW$21+IW$22</f>
        <v/>
      </c>
      <c r="IX23" s="267">
        <f>IX$14+IX$15+IX$16+IX$17+IX$18+IX$19+IX$20+IX$21+IX$22</f>
        <v/>
      </c>
      <c r="IY23" s="267">
        <f>IY$14+IY$15+IY$16+IY$17+IY$18+IY$19+IY$20+IY$21+IY$22</f>
        <v/>
      </c>
      <c r="IZ23" s="267">
        <f>IZ$14+IZ$15+IZ$16+IZ$17+IZ$18+IZ$19+IZ$20+IZ$21+IZ$22</f>
        <v/>
      </c>
      <c r="JA23" s="267">
        <f>JA$14+JA$15+JA$16+JA$17+JA$18+JA$19+JA$20+JA$21+JA$22</f>
        <v/>
      </c>
      <c r="JB23" s="267">
        <f>JB$14+JB$15+JB$16+JB$17+JB$18+JB$19+JB$20+JB$21+JB$22</f>
        <v/>
      </c>
      <c r="JC23" s="267">
        <f>JC$14+JC$15+JC$16+JC$17+JC$18+JC$19+JC$20+JC$21+JC$22</f>
        <v/>
      </c>
      <c r="JD23" s="267">
        <f>JD$14+JD$15+JD$16+JD$17+JD$18+JD$19+JD$20+JD$21+JD$22</f>
        <v/>
      </c>
      <c r="JE23" s="267">
        <f>JE$14+JE$15+JE$16+JE$17+JE$18+JE$19+JE$20+JE$21+JE$22</f>
        <v/>
      </c>
      <c r="JF23" s="267">
        <f>JF$14+JF$15+JF$16+JF$17+JF$18+JF$19+JF$20+JF$21+JF$22</f>
        <v/>
      </c>
      <c r="JG23" s="267">
        <f>JG$14+JG$15+JG$16+JG$17+JG$18+JG$19+JG$20+JG$21+JG$22</f>
        <v/>
      </c>
      <c r="JH23" s="267">
        <f>JH$14+JH$15+JH$16+JH$17+JH$18+JH$19+JH$20+JH$21+JH$22</f>
        <v/>
      </c>
      <c r="JI23" s="267">
        <f>JI$14+JI$15+JI$16+JI$17+JI$18+JI$19+JI$20+JI$21+JI$22</f>
        <v/>
      </c>
      <c r="JJ23" s="267">
        <f>JJ$14+JJ$15+JJ$16+JJ$17+JJ$18+JJ$19+JJ$20+JJ$21+JJ$22</f>
        <v/>
      </c>
      <c r="JK23" s="267">
        <f>JK$14+JK$15+JK$16+JK$17+JK$18+JK$19+JK$20+JK$21+JK$22</f>
        <v/>
      </c>
      <c r="JL23" s="267">
        <f>JL$14+JL$15+JL$16+JL$17+JL$18+JL$19+JL$20+JL$21+JL$22</f>
        <v/>
      </c>
      <c r="JM23" s="267">
        <f>JM$14+JM$15+JM$16+JM$17+JM$18+JM$19+JM$20+JM$21+JM$22</f>
        <v/>
      </c>
      <c r="JN23" s="267">
        <f>JN$14+JN$15+JN$16+JN$17+JN$18+JN$19+JN$20+JN$21+JN$22</f>
        <v/>
      </c>
      <c r="JO23" s="267">
        <f>JO$14+JO$15+JO$16+JO$17+JO$18+JO$19+JO$20+JO$21+JO$22</f>
        <v/>
      </c>
      <c r="JP23" s="267">
        <f>JP$14+JP$15+JP$16+JP$17+JP$18+JP$19+JP$20+JP$21+JP$22</f>
        <v/>
      </c>
      <c r="JQ23" s="267">
        <f>JQ$14+JQ$15+JQ$16+JQ$17+JQ$18+JQ$19+JQ$20+JQ$21+JQ$22</f>
        <v/>
      </c>
      <c r="JR23" s="267">
        <f>JR$14+JR$15+JR$16+JR$17+JR$18+JR$19+JR$20+JR$21+JR$22</f>
        <v/>
      </c>
      <c r="JS23" s="267">
        <f>JS$14+JS$15+JS$16+JS$17+JS$18+JS$19+JS$20+JS$21+JS$22</f>
        <v/>
      </c>
      <c r="JT23" s="267">
        <f>JT$14+JT$15+JT$16+JT$17+JT$18+JT$19+JT$20+JT$21+JT$22</f>
        <v/>
      </c>
      <c r="JU23" s="267">
        <f>JU$14+JU$15+JU$16+JU$17+JU$18+JU$19+JU$20+JU$21+JU$22</f>
        <v/>
      </c>
      <c r="JV23" s="267">
        <f>JV$14+JV$15+JV$16+JV$17+JV$18+JV$19+JV$20+JV$21+JV$22</f>
        <v/>
      </c>
      <c r="JW23" s="267">
        <f>JW$14+JW$15+JW$16+JW$17+JW$18+JW$19+JW$20+JW$21+JW$22</f>
        <v/>
      </c>
      <c r="JX23" s="267">
        <f>JX$14+JX$15+JX$16+JX$17+JX$18+JX$19+JX$20+JX$21+JX$22</f>
        <v/>
      </c>
      <c r="JY23" s="267">
        <f>JY$14+JY$15+JY$16+JY$17+JY$18+JY$19+JY$20+JY$21+JY$22</f>
        <v/>
      </c>
      <c r="JZ23" s="267">
        <f>JZ$14+JZ$15+JZ$16+JZ$17+JZ$18+JZ$19+JZ$20+JZ$21+JZ$22</f>
        <v/>
      </c>
      <c r="KA23" s="267">
        <f>KA$14+KA$15+KA$16+KA$17+KA$18+KA$19+KA$20+KA$21+KA$22</f>
        <v/>
      </c>
      <c r="KB23" s="267">
        <f>KB$14+KB$15+KB$16+KB$17+KB$18+KB$19+KB$20+KB$21+KB$22</f>
        <v/>
      </c>
      <c r="KC23" s="267">
        <f>KC$14+KC$15+KC$16+KC$17+KC$18+KC$19+KC$20+KC$21+KC$22</f>
        <v/>
      </c>
      <c r="KD23" s="267">
        <f>KD$14+KD$15+KD$16+KD$17+KD$18+KD$19+KD$20+KD$21+KD$22</f>
        <v/>
      </c>
      <c r="KE23" s="267">
        <f>KE$14+KE$15+KE$16+KE$17+KE$18+KE$19+KE$20+KE$21+KE$22</f>
        <v/>
      </c>
      <c r="KF23" s="267">
        <f>KF$14+KF$15+KF$16+KF$17+KF$18+KF$19+KF$20+KF$21+KF$22</f>
        <v/>
      </c>
      <c r="KG23" s="267">
        <f>KG$14+KG$15+KG$16+KG$17+KG$18+KG$19+KG$20+KG$21+KG$22</f>
        <v/>
      </c>
      <c r="KH23" s="267">
        <f>KH$14+KH$15+KH$16+KH$17+KH$18+KH$19+KH$20+KH$21+KH$22</f>
        <v/>
      </c>
      <c r="KI23" s="267">
        <f>KI$14+KI$15+KI$16+KI$17+KI$18+KI$19+KI$20+KI$21+KI$22</f>
        <v/>
      </c>
      <c r="KJ23" s="267">
        <f>KJ$14+KJ$15+KJ$16+KJ$17+KJ$18+KJ$19+KJ$20+KJ$21+KJ$22</f>
        <v/>
      </c>
      <c r="KK23" s="267">
        <f>KK$14+KK$15+KK$16+KK$17+KK$18+KK$19+KK$20+KK$21+KK$22</f>
        <v/>
      </c>
      <c r="KL23" s="267">
        <f>KL$14+KL$15+KL$16+KL$17+KL$18+KL$19+KL$20+KL$21+KL$22</f>
        <v/>
      </c>
      <c r="KM23" s="267">
        <f>KM$14+KM$15+KM$16+KM$17+KM$18+KM$19+KM$20+KM$21+KM$22</f>
        <v/>
      </c>
      <c r="KN23" s="267">
        <f>KN$14+KN$15+KN$16+KN$17+KN$18+KN$19+KN$20+KN$21+KN$22</f>
        <v/>
      </c>
      <c r="KO23" s="267">
        <f>KO$14+KO$15+KO$16+KO$17+KO$18+KO$19+KO$20+KO$21+KO$22</f>
        <v/>
      </c>
      <c r="KP23" s="267">
        <f>KP$14+KP$15+KP$16+KP$17+KP$18+KP$19+KP$20+KP$21+KP$22</f>
        <v/>
      </c>
      <c r="KQ23" s="267">
        <f>KQ$14+KQ$15+KQ$16+KQ$17+KQ$18+KQ$19+KQ$20+KQ$21+KQ$22</f>
        <v/>
      </c>
      <c r="KR23" s="267">
        <f>KR$14+KR$15+KR$16+KR$17+KR$18+KR$19+KR$20+KR$21+KR$22</f>
        <v/>
      </c>
      <c r="KS23" s="267">
        <f>KS$14+KS$15+KS$16+KS$17+KS$18+KS$19+KS$20+KS$21+KS$22</f>
        <v/>
      </c>
      <c r="KT23" s="267">
        <f>KT$14+KT$15+KT$16+KT$17+KT$18+KT$19+KT$20+KT$21+KT$22</f>
        <v/>
      </c>
      <c r="KU23" s="267">
        <f>KU$14+KU$15+KU$16+KU$17+KU$18+KU$19+KU$20+KU$21+KU$22</f>
        <v/>
      </c>
      <c r="KV23" s="267">
        <f>KV$14+KV$15+KV$16+KV$17+KV$18+KV$19+KV$20+KV$21+KV$22</f>
        <v/>
      </c>
      <c r="KW23" s="267">
        <f>KW$14+KW$15+KW$16+KW$17+KW$18+KW$19+KW$20+KW$21+KW$22</f>
        <v/>
      </c>
      <c r="KX23" s="267">
        <f>KX$14+KX$15+KX$16+KX$17+KX$18+KX$19+KX$20+KX$21+KX$22</f>
        <v/>
      </c>
      <c r="KY23" s="267">
        <f>KY$14+KY$15+KY$16+KY$17+KY$18+KY$19+KY$20+KY$21+KY$22</f>
        <v/>
      </c>
      <c r="KZ23" s="267">
        <f>KZ$14+KZ$15+KZ$16+KZ$17+KZ$18+KZ$19+KZ$20+KZ$21+KZ$22</f>
        <v/>
      </c>
      <c r="LA23" s="267">
        <f>LA$14+LA$15+LA$16+LA$17+LA$18+LA$19+LA$20+LA$21+LA$22</f>
        <v/>
      </c>
      <c r="LB23" s="267">
        <f>LB$14+LB$15+LB$16+LB$17+LB$18+LB$19+LB$20+LB$21+LB$22</f>
        <v/>
      </c>
      <c r="LC23" s="267">
        <f>LC$14+LC$15+LC$16+LC$17+LC$18+LC$19+LC$20+LC$21+LC$22</f>
        <v/>
      </c>
      <c r="LD23" s="267">
        <f>LD$14+LD$15+LD$16+LD$17+LD$18+LD$19+LD$20+LD$21+LD$22</f>
        <v/>
      </c>
      <c r="LE23" s="267">
        <f>LE$14+LE$15+LE$16+LE$17+LE$18+LE$19+LE$20+LE$21+LE$22</f>
        <v/>
      </c>
      <c r="LF23" s="267">
        <f>LF$14+LF$15+LF$16+LF$17+LF$18+LF$19+LF$20+LF$21+LF$22</f>
        <v/>
      </c>
      <c r="LG23" s="267">
        <f>LG$14+LG$15+LG$16+LG$17+LG$18+LG$19+LG$20+LG$21+LG$22</f>
        <v/>
      </c>
      <c r="LH23" s="267">
        <f>LH$14+LH$15+LH$16+LH$17+LH$18+LH$19+LH$20+LH$21+LH$22</f>
        <v/>
      </c>
      <c r="LI23" s="267">
        <f>LI$14+LI$15+LI$16+LI$17+LI$18+LI$19+LI$20+LI$21+LI$22</f>
        <v/>
      </c>
      <c r="LJ23" s="267">
        <f>LJ$14+LJ$15+LJ$16+LJ$17+LJ$18+LJ$19+LJ$20+LJ$21+LJ$22</f>
        <v/>
      </c>
      <c r="LK23" s="267">
        <f>LK$14+LK$15+LK$16+LK$17+LK$18+LK$19+LK$20+LK$21+LK$22</f>
        <v/>
      </c>
      <c r="LL23" s="267">
        <f>LL$14+LL$15+LL$16+LL$17+LL$18+LL$19+LL$20+LL$21+LL$22</f>
        <v/>
      </c>
      <c r="LM23" s="267">
        <f>LM$14+LM$15+LM$16+LM$17+LM$18+LM$19+LM$20+LM$21+LM$22</f>
        <v/>
      </c>
      <c r="LN23" s="267">
        <f>LN$14+LN$15+LN$16+LN$17+LN$18+LN$19+LN$20+LN$21+LN$22</f>
        <v/>
      </c>
      <c r="LO23" s="267">
        <f>LO$14+LO$15+LO$16+LO$17+LO$18+LO$19+LO$20+LO$21+LO$22</f>
        <v/>
      </c>
      <c r="LP23" s="267">
        <f>LP$14+LP$15+LP$16+LP$17+LP$18+LP$19+LP$20+LP$21+LP$22</f>
        <v/>
      </c>
      <c r="LQ23" s="267">
        <f>LQ$14+LQ$15+LQ$16+LQ$17+LQ$18+LQ$19+LQ$20+LQ$21+LQ$22</f>
        <v/>
      </c>
      <c r="LR23" s="267">
        <f>LR$14+LR$15+LR$16+LR$17+LR$18+LR$19+LR$20+LR$21+LR$22</f>
        <v/>
      </c>
      <c r="LS23" s="267">
        <f>LS$14+LS$15+LS$16+LS$17+LS$18+LS$19+LS$20+LS$21+LS$22</f>
        <v/>
      </c>
      <c r="LT23" s="267">
        <f>LT$14+LT$15+LT$16+LT$17+LT$18+LT$19+LT$20+LT$21+LT$22</f>
        <v/>
      </c>
      <c r="LU23" s="267">
        <f>LU$14+LU$15+LU$16+LU$17+LU$18+LU$19+LU$20+LU$21+LU$22</f>
        <v/>
      </c>
      <c r="LV23" s="267">
        <f>LV$14+LV$15+LV$16+LV$17+LV$18+LV$19+LV$20+LV$21+LV$22</f>
        <v/>
      </c>
      <c r="LW23" s="267">
        <f>LW$14+LW$15+LW$16+LW$17+LW$18+LW$19+LW$20+LW$21+LW$22</f>
        <v/>
      </c>
      <c r="LX23" s="267">
        <f>LX$14+LX$15+LX$16+LX$17+LX$18+LX$19+LX$20+LX$21+LX$22</f>
        <v/>
      </c>
      <c r="LY23" s="267">
        <f>LY$14+LY$15+LY$16+LY$17+LY$18+LY$19+LY$20+LY$21+LY$22</f>
        <v/>
      </c>
      <c r="LZ23" s="267">
        <f>LZ$14+LZ$15+LZ$16+LZ$17+LZ$18+LZ$19+LZ$20+LZ$21+LZ$22</f>
        <v/>
      </c>
      <c r="MA23" s="267">
        <f>MA$14+MA$15+MA$16+MA$17+MA$18+MA$19+MA$20+MA$21+MA$22</f>
        <v/>
      </c>
      <c r="MB23" s="267">
        <f>MB$14+MB$15+MB$16+MB$17+MB$18+MB$19+MB$20+MB$21+MB$22</f>
        <v/>
      </c>
      <c r="MC23" s="267">
        <f>MC$14+MC$15+MC$16+MC$17+MC$18+MC$19+MC$20+MC$21+MC$22</f>
        <v/>
      </c>
      <c r="MD23" s="267">
        <f>MD$14+MD$15+MD$16+MD$17+MD$18+MD$19+MD$20+MD$21+MD$22</f>
        <v/>
      </c>
      <c r="ME23" s="267">
        <f>ME$14+ME$15+ME$16+ME$17+ME$18+ME$19+ME$20+ME$21+ME$22</f>
        <v/>
      </c>
      <c r="MF23" s="267">
        <f>MF$14+MF$15+MF$16+MF$17+MF$18+MF$19+MF$20+MF$21+MF$22</f>
        <v/>
      </c>
      <c r="MG23" s="267">
        <f>MG$14+MG$15+MG$16+MG$17+MG$18+MG$19+MG$20+MG$21+MG$22</f>
        <v/>
      </c>
      <c r="MH23" s="267">
        <f>MH$14+MH$15+MH$16+MH$17+MH$18+MH$19+MH$20+MH$21+MH$22</f>
        <v/>
      </c>
      <c r="MI23" s="267">
        <f>MI$14+MI$15+MI$16+MI$17+MI$18+MI$19+MI$20+MI$21+MI$22</f>
        <v/>
      </c>
      <c r="MJ23" s="267">
        <f>MJ$14+MJ$15+MJ$16+MJ$17+MJ$18+MJ$19+MJ$20+MJ$21+MJ$22</f>
        <v/>
      </c>
      <c r="MK23" s="267">
        <f>MK$14+MK$15+MK$16+MK$17+MK$18+MK$19+MK$20+MK$21+MK$22</f>
        <v/>
      </c>
      <c r="ML23" s="267">
        <f>ML$14+ML$15+ML$16+ML$17+ML$18+ML$19+ML$20+ML$21+ML$22</f>
        <v/>
      </c>
      <c r="MM23" s="267">
        <f>MM$14+MM$15+MM$16+MM$17+MM$18+MM$19+MM$20+MM$21+MM$22</f>
        <v/>
      </c>
      <c r="MN23" s="267">
        <f>MN$14+MN$15+MN$16+MN$17+MN$18+MN$19+MN$20+MN$21+MN$22</f>
        <v/>
      </c>
      <c r="MO23" s="267">
        <f>MO$14+MO$15+MO$16+MO$17+MO$18+MO$19+MO$20+MO$21+MO$22</f>
        <v/>
      </c>
      <c r="MP23" s="267">
        <f>MP$14+MP$15+MP$16+MP$17+MP$18+MP$19+MP$20+MP$21+MP$22</f>
        <v/>
      </c>
      <c r="MQ23" s="267">
        <f>MQ$14+MQ$15+MQ$16+MQ$17+MQ$18+MQ$19+MQ$20+MQ$21+MQ$22</f>
        <v/>
      </c>
      <c r="MR23" s="267">
        <f>MR$14+MR$15+MR$16+MR$17+MR$18+MR$19+MR$20+MR$21+MR$22</f>
        <v/>
      </c>
      <c r="MS23" s="267">
        <f>MS$14+MS$15+MS$16+MS$17+MS$18+MS$19+MS$20+MS$21+MS$22</f>
        <v/>
      </c>
      <c r="MT23" s="267">
        <f>MT$14+MT$15+MT$16+MT$17+MT$18+MT$19+MT$20+MT$21+MT$22</f>
        <v/>
      </c>
      <c r="MU23" s="267">
        <f>MU$14+MU$15+MU$16+MU$17+MU$18+MU$19+MU$20+MU$21+MU$22</f>
        <v/>
      </c>
      <c r="MV23" s="267">
        <f>MV$14+MV$15+MV$16+MV$17+MV$18+MV$19+MV$20+MV$21+MV$22</f>
        <v/>
      </c>
      <c r="MW23" s="267">
        <f>MW$14+MW$15+MW$16+MW$17+MW$18+MW$19+MW$20+MW$21+MW$22</f>
        <v/>
      </c>
      <c r="MX23" s="267">
        <f>MX$14+MX$15+MX$16+MX$17+MX$18+MX$19+MX$20+MX$21+MX$22</f>
        <v/>
      </c>
      <c r="MY23" s="267">
        <f>MY$14+MY$15+MY$16+MY$17+MY$18+MY$19+MY$20+MY$21+MY$22</f>
        <v/>
      </c>
      <c r="MZ23" s="267">
        <f>MZ$14+MZ$15+MZ$16+MZ$17+MZ$18+MZ$19+MZ$20+MZ$21+MZ$22</f>
        <v/>
      </c>
      <c r="NA23" s="267">
        <f>NA$14+NA$15+NA$16+NA$17+NA$18+NA$19+NA$20+NA$21+NA$22</f>
        <v/>
      </c>
      <c r="NB23" s="267">
        <f>NB$14+NB$15+NB$16+NB$17+NB$18+NB$19+NB$20+NB$21+NB$22</f>
        <v/>
      </c>
      <c r="NC23" s="267">
        <f>NC$14+NC$15+NC$16+NC$17+NC$18+NC$19+NC$20+NC$21+NC$22</f>
        <v/>
      </c>
      <c r="ND23" s="267">
        <f>ND$14+ND$15+ND$16+ND$17+ND$18+ND$19+ND$20+ND$21+ND$22</f>
        <v/>
      </c>
      <c r="NE23" s="267">
        <f>NE$14+NE$15+NE$16+NE$17+NE$18+NE$19+NE$20+NE$21+NE$22</f>
        <v/>
      </c>
      <c r="NF23" s="267">
        <f>NF$14+NF$15+NF$16+NF$17+NF$18+NF$19+NF$20+NF$21+NF$22</f>
        <v/>
      </c>
      <c r="NG23" s="267">
        <f>NG$14+NG$15+NG$16+NG$17+NG$18+NG$19+NG$20+NG$21+NG$22</f>
        <v/>
      </c>
      <c r="NH23" s="267">
        <f>NH$14+NH$15+NH$16+NH$17+NH$18+NH$19+NH$20+NH$21+NH$22</f>
        <v/>
      </c>
      <c r="NI23" s="267">
        <f>NI$14+NI$15+NI$16+NI$17+NI$18+NI$19+NI$20+NI$21+NI$22</f>
        <v/>
      </c>
      <c r="NJ23" s="267">
        <f>NJ$14+NJ$15+NJ$16+NJ$17+NJ$18+NJ$19+NJ$20+NJ$21+NJ$22</f>
        <v/>
      </c>
      <c r="NK23" s="267">
        <f>NK$14+NK$15+NK$16+NK$17+NK$18+NK$19+NK$20+NK$21+NK$22</f>
        <v/>
      </c>
      <c r="NL23" s="253">
        <f>NL$14+NL$15+NL$16+NL$17+NL$18+NL$19+NL$20+NL$21+NL$22</f>
        <v/>
      </c>
    </row>
    <row r="24">
      <c r="B24" s="154" t="inlineStr">
        <is>
          <t>Operating Expenses</t>
        </is>
      </c>
      <c r="C24" s="155" t="n"/>
      <c r="D24" s="155" t="n"/>
      <c r="NL24" s="53" t="n"/>
    </row>
    <row r="25">
      <c r="B25" s="36" t="inlineStr">
        <is>
          <t>Insurance</t>
        </is>
      </c>
      <c r="D25" s="266">
        <f>SUM(E25:NL25)</f>
        <v/>
      </c>
      <c r="E25" s="218">
        <f>IF(1&gt;=DeliverStart,ExpInsurancePerUnit*TotalUnits/12*E$8,0)</f>
        <v/>
      </c>
      <c r="F25" s="218">
        <f>IF(2&gt;=DeliverStart,ExpInsurancePerUnit*TotalUnits/12*F$8,0)</f>
        <v/>
      </c>
      <c r="G25" s="218">
        <f>IF(3&gt;=DeliverStart,ExpInsurancePerUnit*TotalUnits/12*G$8,0)</f>
        <v/>
      </c>
      <c r="H25" s="218">
        <f>IF(4&gt;=DeliverStart,ExpInsurancePerUnit*TotalUnits/12*H$8,0)</f>
        <v/>
      </c>
      <c r="I25" s="218">
        <f>IF(5&gt;=DeliverStart,ExpInsurancePerUnit*TotalUnits/12*I$8,0)</f>
        <v/>
      </c>
      <c r="J25" s="218">
        <f>IF(6&gt;=DeliverStart,ExpInsurancePerUnit*TotalUnits/12*J$8,0)</f>
        <v/>
      </c>
      <c r="K25" s="218">
        <f>IF(7&gt;=DeliverStart,ExpInsurancePerUnit*TotalUnits/12*K$8,0)</f>
        <v/>
      </c>
      <c r="L25" s="218">
        <f>IF(8&gt;=DeliverStart,ExpInsurancePerUnit*TotalUnits/12*L$8,0)</f>
        <v/>
      </c>
      <c r="M25" s="218">
        <f>IF(9&gt;=DeliverStart,ExpInsurancePerUnit*TotalUnits/12*M$8,0)</f>
        <v/>
      </c>
      <c r="N25" s="218">
        <f>IF(10&gt;=DeliverStart,ExpInsurancePerUnit*TotalUnits/12*N$8,0)</f>
        <v/>
      </c>
      <c r="O25" s="218">
        <f>IF(11&gt;=DeliverStart,ExpInsurancePerUnit*TotalUnits/12*O$8,0)</f>
        <v/>
      </c>
      <c r="P25" s="218">
        <f>IF(12&gt;=DeliverStart,ExpInsurancePerUnit*TotalUnits/12*P$8,0)</f>
        <v/>
      </c>
      <c r="Q25" s="218">
        <f>IF(13&gt;=DeliverStart,ExpInsurancePerUnit*TotalUnits/12*Q$8,0)</f>
        <v/>
      </c>
      <c r="R25" s="218">
        <f>IF(14&gt;=DeliverStart,ExpInsurancePerUnit*TotalUnits/12*R$8,0)</f>
        <v/>
      </c>
      <c r="S25" s="218">
        <f>IF(15&gt;=DeliverStart,ExpInsurancePerUnit*TotalUnits/12*S$8,0)</f>
        <v/>
      </c>
      <c r="T25" s="218">
        <f>IF(16&gt;=DeliverStart,ExpInsurancePerUnit*TotalUnits/12*T$8,0)</f>
        <v/>
      </c>
      <c r="U25" s="218">
        <f>IF(17&gt;=DeliverStart,ExpInsurancePerUnit*TotalUnits/12*U$8,0)</f>
        <v/>
      </c>
      <c r="V25" s="218">
        <f>IF(18&gt;=DeliverStart,ExpInsurancePerUnit*TotalUnits/12*V$8,0)</f>
        <v/>
      </c>
      <c r="W25" s="218">
        <f>IF(19&gt;=DeliverStart,ExpInsurancePerUnit*TotalUnits/12*W$8,0)</f>
        <v/>
      </c>
      <c r="X25" s="218">
        <f>IF(20&gt;=DeliverStart,ExpInsurancePerUnit*TotalUnits/12*X$8,0)</f>
        <v/>
      </c>
      <c r="Y25" s="218">
        <f>IF(21&gt;=DeliverStart,ExpInsurancePerUnit*TotalUnits/12*Y$8,0)</f>
        <v/>
      </c>
      <c r="Z25" s="218">
        <f>IF(22&gt;=DeliverStart,ExpInsurancePerUnit*TotalUnits/12*Z$8,0)</f>
        <v/>
      </c>
      <c r="AA25" s="218">
        <f>IF(23&gt;=DeliverStart,ExpInsurancePerUnit*TotalUnits/12*AA$8,0)</f>
        <v/>
      </c>
      <c r="AB25" s="218">
        <f>IF(24&gt;=DeliverStart,ExpInsurancePerUnit*TotalUnits/12*AB$8,0)</f>
        <v/>
      </c>
      <c r="AC25" s="218">
        <f>IF(25&gt;=DeliverStart,ExpInsurancePerUnit*TotalUnits/12*AC$8,0)</f>
        <v/>
      </c>
      <c r="AD25" s="218">
        <f>IF(26&gt;=DeliverStart,ExpInsurancePerUnit*TotalUnits/12*AD$8,0)</f>
        <v/>
      </c>
      <c r="AE25" s="218">
        <f>IF(27&gt;=DeliverStart,ExpInsurancePerUnit*TotalUnits/12*AE$8,0)</f>
        <v/>
      </c>
      <c r="AF25" s="218">
        <f>IF(28&gt;=DeliverStart,ExpInsurancePerUnit*TotalUnits/12*AF$8,0)</f>
        <v/>
      </c>
      <c r="AG25" s="218">
        <f>IF(29&gt;=DeliverStart,ExpInsurancePerUnit*TotalUnits/12*AG$8,0)</f>
        <v/>
      </c>
      <c r="AH25" s="218">
        <f>IF(30&gt;=DeliverStart,ExpInsurancePerUnit*TotalUnits/12*AH$8,0)</f>
        <v/>
      </c>
      <c r="AI25" s="218">
        <f>IF(31&gt;=DeliverStart,ExpInsurancePerUnit*TotalUnits/12*AI$8,0)</f>
        <v/>
      </c>
      <c r="AJ25" s="218">
        <f>IF(32&gt;=DeliverStart,ExpInsurancePerUnit*TotalUnits/12*AJ$8,0)</f>
        <v/>
      </c>
      <c r="AK25" s="218">
        <f>IF(33&gt;=DeliverStart,ExpInsurancePerUnit*TotalUnits/12*AK$8,0)</f>
        <v/>
      </c>
      <c r="AL25" s="218">
        <f>IF(34&gt;=DeliverStart,ExpInsurancePerUnit*TotalUnits/12*AL$8,0)</f>
        <v/>
      </c>
      <c r="AM25" s="218">
        <f>IF(35&gt;=DeliverStart,ExpInsurancePerUnit*TotalUnits/12*AM$8,0)</f>
        <v/>
      </c>
      <c r="AN25" s="218">
        <f>IF(36&gt;=DeliverStart,ExpInsurancePerUnit*TotalUnits/12*AN$8,0)</f>
        <v/>
      </c>
      <c r="AO25" s="218">
        <f>IF(37&gt;=DeliverStart,ExpInsurancePerUnit*TotalUnits/12*AO$8,0)</f>
        <v/>
      </c>
      <c r="AP25" s="218">
        <f>IF(38&gt;=DeliverStart,ExpInsurancePerUnit*TotalUnits/12*AP$8,0)</f>
        <v/>
      </c>
      <c r="AQ25" s="218">
        <f>IF(39&gt;=DeliverStart,ExpInsurancePerUnit*TotalUnits/12*AQ$8,0)</f>
        <v/>
      </c>
      <c r="AR25" s="218">
        <f>IF(40&gt;=DeliverStart,ExpInsurancePerUnit*TotalUnits/12*AR$8,0)</f>
        <v/>
      </c>
      <c r="AS25" s="218">
        <f>IF(41&gt;=DeliverStart,ExpInsurancePerUnit*TotalUnits/12*AS$8,0)</f>
        <v/>
      </c>
      <c r="AT25" s="218">
        <f>IF(42&gt;=DeliverStart,ExpInsurancePerUnit*TotalUnits/12*AT$8,0)</f>
        <v/>
      </c>
      <c r="AU25" s="218">
        <f>IF(43&gt;=DeliverStart,ExpInsurancePerUnit*TotalUnits/12*AU$8,0)</f>
        <v/>
      </c>
      <c r="AV25" s="218">
        <f>IF(44&gt;=DeliverStart,ExpInsurancePerUnit*TotalUnits/12*AV$8,0)</f>
        <v/>
      </c>
      <c r="AW25" s="218">
        <f>IF(45&gt;=DeliverStart,ExpInsurancePerUnit*TotalUnits/12*AW$8,0)</f>
        <v/>
      </c>
      <c r="AX25" s="218">
        <f>IF(46&gt;=DeliverStart,ExpInsurancePerUnit*TotalUnits/12*AX$8,0)</f>
        <v/>
      </c>
      <c r="AY25" s="218">
        <f>IF(47&gt;=DeliverStart,ExpInsurancePerUnit*TotalUnits/12*AY$8,0)</f>
        <v/>
      </c>
      <c r="AZ25" s="218">
        <f>IF(48&gt;=DeliverStart,ExpInsurancePerUnit*TotalUnits/12*AZ$8,0)</f>
        <v/>
      </c>
      <c r="BA25" s="218">
        <f>IF(49&gt;=DeliverStart,ExpInsurancePerUnit*TotalUnits/12*BA$8,0)</f>
        <v/>
      </c>
      <c r="BB25" s="218">
        <f>IF(50&gt;=DeliverStart,ExpInsurancePerUnit*TotalUnits/12*BB$8,0)</f>
        <v/>
      </c>
      <c r="BC25" s="218">
        <f>IF(51&gt;=DeliverStart,ExpInsurancePerUnit*TotalUnits/12*BC$8,0)</f>
        <v/>
      </c>
      <c r="BD25" s="218">
        <f>IF(52&gt;=DeliverStart,ExpInsurancePerUnit*TotalUnits/12*BD$8,0)</f>
        <v/>
      </c>
      <c r="BE25" s="218">
        <f>IF(53&gt;=DeliverStart,ExpInsurancePerUnit*TotalUnits/12*BE$8,0)</f>
        <v/>
      </c>
      <c r="BF25" s="218">
        <f>IF(54&gt;=DeliverStart,ExpInsurancePerUnit*TotalUnits/12*BF$8,0)</f>
        <v/>
      </c>
      <c r="BG25" s="218">
        <f>IF(55&gt;=DeliverStart,ExpInsurancePerUnit*TotalUnits/12*BG$8,0)</f>
        <v/>
      </c>
      <c r="BH25" s="218">
        <f>IF(56&gt;=DeliverStart,ExpInsurancePerUnit*TotalUnits/12*BH$8,0)</f>
        <v/>
      </c>
      <c r="BI25" s="218">
        <f>IF(57&gt;=DeliverStart,ExpInsurancePerUnit*TotalUnits/12*BI$8,0)</f>
        <v/>
      </c>
      <c r="BJ25" s="218">
        <f>IF(58&gt;=DeliverStart,ExpInsurancePerUnit*TotalUnits/12*BJ$8,0)</f>
        <v/>
      </c>
      <c r="BK25" s="218">
        <f>IF(59&gt;=DeliverStart,ExpInsurancePerUnit*TotalUnits/12*BK$8,0)</f>
        <v/>
      </c>
      <c r="BL25" s="218">
        <f>IF(60&gt;=DeliverStart,ExpInsurancePerUnit*TotalUnits/12*BL$8,0)</f>
        <v/>
      </c>
      <c r="BM25" s="218">
        <f>IF(61&gt;=DeliverStart,ExpInsurancePerUnit*TotalUnits/12*BM$8,0)</f>
        <v/>
      </c>
      <c r="BN25" s="218">
        <f>IF(62&gt;=DeliverStart,ExpInsurancePerUnit*TotalUnits/12*BN$8,0)</f>
        <v/>
      </c>
      <c r="BO25" s="218">
        <f>IF(63&gt;=DeliverStart,ExpInsurancePerUnit*TotalUnits/12*BO$8,0)</f>
        <v/>
      </c>
      <c r="BP25" s="218">
        <f>IF(64&gt;=DeliverStart,ExpInsurancePerUnit*TotalUnits/12*BP$8,0)</f>
        <v/>
      </c>
      <c r="BQ25" s="218">
        <f>IF(65&gt;=DeliverStart,ExpInsurancePerUnit*TotalUnits/12*BQ$8,0)</f>
        <v/>
      </c>
      <c r="BR25" s="218">
        <f>IF(66&gt;=DeliverStart,ExpInsurancePerUnit*TotalUnits/12*BR$8,0)</f>
        <v/>
      </c>
      <c r="BS25" s="218">
        <f>IF(67&gt;=DeliverStart,ExpInsurancePerUnit*TotalUnits/12*BS$8,0)</f>
        <v/>
      </c>
      <c r="BT25" s="218">
        <f>IF(68&gt;=DeliverStart,ExpInsurancePerUnit*TotalUnits/12*BT$8,0)</f>
        <v/>
      </c>
      <c r="BU25" s="218">
        <f>IF(69&gt;=DeliverStart,ExpInsurancePerUnit*TotalUnits/12*BU$8,0)</f>
        <v/>
      </c>
      <c r="BV25" s="218">
        <f>IF(70&gt;=DeliverStart,ExpInsurancePerUnit*TotalUnits/12*BV$8,0)</f>
        <v/>
      </c>
      <c r="BW25" s="218">
        <f>IF(71&gt;=DeliverStart,ExpInsurancePerUnit*TotalUnits/12*BW$8,0)</f>
        <v/>
      </c>
      <c r="BX25" s="218">
        <f>IF(72&gt;=DeliverStart,ExpInsurancePerUnit*TotalUnits/12*BX$8,0)</f>
        <v/>
      </c>
      <c r="BY25" s="218">
        <f>IF(73&gt;=DeliverStart,ExpInsurancePerUnit*TotalUnits/12*BY$8,0)</f>
        <v/>
      </c>
      <c r="BZ25" s="218">
        <f>IF(74&gt;=DeliverStart,ExpInsurancePerUnit*TotalUnits/12*BZ$8,0)</f>
        <v/>
      </c>
      <c r="CA25" s="218">
        <f>IF(75&gt;=DeliverStart,ExpInsurancePerUnit*TotalUnits/12*CA$8,0)</f>
        <v/>
      </c>
      <c r="CB25" s="218">
        <f>IF(76&gt;=DeliverStart,ExpInsurancePerUnit*TotalUnits/12*CB$8,0)</f>
        <v/>
      </c>
      <c r="CC25" s="218">
        <f>IF(77&gt;=DeliverStart,ExpInsurancePerUnit*TotalUnits/12*CC$8,0)</f>
        <v/>
      </c>
      <c r="CD25" s="218">
        <f>IF(78&gt;=DeliverStart,ExpInsurancePerUnit*TotalUnits/12*CD$8,0)</f>
        <v/>
      </c>
      <c r="CE25" s="218">
        <f>IF(79&gt;=DeliverStart,ExpInsurancePerUnit*TotalUnits/12*CE$8,0)</f>
        <v/>
      </c>
      <c r="CF25" s="218">
        <f>IF(80&gt;=DeliverStart,ExpInsurancePerUnit*TotalUnits/12*CF$8,0)</f>
        <v/>
      </c>
      <c r="CG25" s="218">
        <f>IF(81&gt;=DeliverStart,ExpInsurancePerUnit*TotalUnits/12*CG$8,0)</f>
        <v/>
      </c>
      <c r="CH25" s="218">
        <f>IF(82&gt;=DeliverStart,ExpInsurancePerUnit*TotalUnits/12*CH$8,0)</f>
        <v/>
      </c>
      <c r="CI25" s="218">
        <f>IF(83&gt;=DeliverStart,ExpInsurancePerUnit*TotalUnits/12*CI$8,0)</f>
        <v/>
      </c>
      <c r="CJ25" s="218">
        <f>IF(84&gt;=DeliverStart,ExpInsurancePerUnit*TotalUnits/12*CJ$8,0)</f>
        <v/>
      </c>
      <c r="CK25" s="218">
        <f>IF(85&gt;=DeliverStart,ExpInsurancePerUnit*TotalUnits/12*CK$8,0)</f>
        <v/>
      </c>
      <c r="CL25" s="218">
        <f>IF(86&gt;=DeliverStart,ExpInsurancePerUnit*TotalUnits/12*CL$8,0)</f>
        <v/>
      </c>
      <c r="CM25" s="218">
        <f>IF(87&gt;=DeliverStart,ExpInsurancePerUnit*TotalUnits/12*CM$8,0)</f>
        <v/>
      </c>
      <c r="CN25" s="218">
        <f>IF(88&gt;=DeliverStart,ExpInsurancePerUnit*TotalUnits/12*CN$8,0)</f>
        <v/>
      </c>
      <c r="CO25" s="218">
        <f>IF(89&gt;=DeliverStart,ExpInsurancePerUnit*TotalUnits/12*CO$8,0)</f>
        <v/>
      </c>
      <c r="CP25" s="218">
        <f>IF(90&gt;=DeliverStart,ExpInsurancePerUnit*TotalUnits/12*CP$8,0)</f>
        <v/>
      </c>
      <c r="CQ25" s="218">
        <f>IF(91&gt;=DeliverStart,ExpInsurancePerUnit*TotalUnits/12*CQ$8,0)</f>
        <v/>
      </c>
      <c r="CR25" s="218">
        <f>IF(92&gt;=DeliverStart,ExpInsurancePerUnit*TotalUnits/12*CR$8,0)</f>
        <v/>
      </c>
      <c r="CS25" s="218">
        <f>IF(93&gt;=DeliverStart,ExpInsurancePerUnit*TotalUnits/12*CS$8,0)</f>
        <v/>
      </c>
      <c r="CT25" s="218">
        <f>IF(94&gt;=DeliverStart,ExpInsurancePerUnit*TotalUnits/12*CT$8,0)</f>
        <v/>
      </c>
      <c r="CU25" s="218">
        <f>IF(95&gt;=DeliverStart,ExpInsurancePerUnit*TotalUnits/12*CU$8,0)</f>
        <v/>
      </c>
      <c r="CV25" s="218">
        <f>IF(96&gt;=DeliverStart,ExpInsurancePerUnit*TotalUnits/12*CV$8,0)</f>
        <v/>
      </c>
      <c r="CW25" s="218">
        <f>IF(97&gt;=DeliverStart,ExpInsurancePerUnit*TotalUnits/12*CW$8,0)</f>
        <v/>
      </c>
      <c r="CX25" s="218">
        <f>IF(98&gt;=DeliverStart,ExpInsurancePerUnit*TotalUnits/12*CX$8,0)</f>
        <v/>
      </c>
      <c r="CY25" s="218">
        <f>IF(99&gt;=DeliverStart,ExpInsurancePerUnit*TotalUnits/12*CY$8,0)</f>
        <v/>
      </c>
      <c r="CZ25" s="218">
        <f>IF(100&gt;=DeliverStart,ExpInsurancePerUnit*TotalUnits/12*CZ$8,0)</f>
        <v/>
      </c>
      <c r="DA25" s="218">
        <f>IF(101&gt;=DeliverStart,ExpInsurancePerUnit*TotalUnits/12*DA$8,0)</f>
        <v/>
      </c>
      <c r="DB25" s="218">
        <f>IF(102&gt;=DeliverStart,ExpInsurancePerUnit*TotalUnits/12*DB$8,0)</f>
        <v/>
      </c>
      <c r="DC25" s="218">
        <f>IF(103&gt;=DeliverStart,ExpInsurancePerUnit*TotalUnits/12*DC$8,0)</f>
        <v/>
      </c>
      <c r="DD25" s="218">
        <f>IF(104&gt;=DeliverStart,ExpInsurancePerUnit*TotalUnits/12*DD$8,0)</f>
        <v/>
      </c>
      <c r="DE25" s="218">
        <f>IF(105&gt;=DeliverStart,ExpInsurancePerUnit*TotalUnits/12*DE$8,0)</f>
        <v/>
      </c>
      <c r="DF25" s="218">
        <f>IF(106&gt;=DeliverStart,ExpInsurancePerUnit*TotalUnits/12*DF$8,0)</f>
        <v/>
      </c>
      <c r="DG25" s="218">
        <f>IF(107&gt;=DeliverStart,ExpInsurancePerUnit*TotalUnits/12*DG$8,0)</f>
        <v/>
      </c>
      <c r="DH25" s="218">
        <f>IF(108&gt;=DeliverStart,ExpInsurancePerUnit*TotalUnits/12*DH$8,0)</f>
        <v/>
      </c>
      <c r="DI25" s="218">
        <f>IF(109&gt;=DeliverStart,ExpInsurancePerUnit*TotalUnits/12*DI$8,0)</f>
        <v/>
      </c>
      <c r="DJ25" s="218">
        <f>IF(110&gt;=DeliverStart,ExpInsurancePerUnit*TotalUnits/12*DJ$8,0)</f>
        <v/>
      </c>
      <c r="DK25" s="218">
        <f>IF(111&gt;=DeliverStart,ExpInsurancePerUnit*TotalUnits/12*DK$8,0)</f>
        <v/>
      </c>
      <c r="DL25" s="218">
        <f>IF(112&gt;=DeliverStart,ExpInsurancePerUnit*TotalUnits/12*DL$8,0)</f>
        <v/>
      </c>
      <c r="DM25" s="218">
        <f>IF(113&gt;=DeliverStart,ExpInsurancePerUnit*TotalUnits/12*DM$8,0)</f>
        <v/>
      </c>
      <c r="DN25" s="218">
        <f>IF(114&gt;=DeliverStart,ExpInsurancePerUnit*TotalUnits/12*DN$8,0)</f>
        <v/>
      </c>
      <c r="DO25" s="218">
        <f>IF(115&gt;=DeliverStart,ExpInsurancePerUnit*TotalUnits/12*DO$8,0)</f>
        <v/>
      </c>
      <c r="DP25" s="218">
        <f>IF(116&gt;=DeliverStart,ExpInsurancePerUnit*TotalUnits/12*DP$8,0)</f>
        <v/>
      </c>
      <c r="DQ25" s="218">
        <f>IF(117&gt;=DeliverStart,ExpInsurancePerUnit*TotalUnits/12*DQ$8,0)</f>
        <v/>
      </c>
      <c r="DR25" s="218">
        <f>IF(118&gt;=DeliverStart,ExpInsurancePerUnit*TotalUnits/12*DR$8,0)</f>
        <v/>
      </c>
      <c r="DS25" s="218">
        <f>IF(119&gt;=DeliverStart,ExpInsurancePerUnit*TotalUnits/12*DS$8,0)</f>
        <v/>
      </c>
      <c r="DT25" s="218">
        <f>IF(120&gt;=DeliverStart,ExpInsurancePerUnit*TotalUnits/12*DT$8,0)</f>
        <v/>
      </c>
      <c r="DU25" s="218">
        <f>IF(121&gt;=DeliverStart,ExpInsurancePerUnit*TotalUnits/12*DU$8,0)</f>
        <v/>
      </c>
      <c r="DV25" s="218">
        <f>IF(122&gt;=DeliverStart,ExpInsurancePerUnit*TotalUnits/12*DV$8,0)</f>
        <v/>
      </c>
      <c r="DW25" s="218">
        <f>IF(123&gt;=DeliverStart,ExpInsurancePerUnit*TotalUnits/12*DW$8,0)</f>
        <v/>
      </c>
      <c r="DX25" s="218">
        <f>IF(124&gt;=DeliverStart,ExpInsurancePerUnit*TotalUnits/12*DX$8,0)</f>
        <v/>
      </c>
      <c r="DY25" s="218">
        <f>IF(125&gt;=DeliverStart,ExpInsurancePerUnit*TotalUnits/12*DY$8,0)</f>
        <v/>
      </c>
      <c r="DZ25" s="218">
        <f>IF(126&gt;=DeliverStart,ExpInsurancePerUnit*TotalUnits/12*DZ$8,0)</f>
        <v/>
      </c>
      <c r="EA25" s="218">
        <f>IF(127&gt;=DeliverStart,ExpInsurancePerUnit*TotalUnits/12*EA$8,0)</f>
        <v/>
      </c>
      <c r="EB25" s="218">
        <f>IF(128&gt;=DeliverStart,ExpInsurancePerUnit*TotalUnits/12*EB$8,0)</f>
        <v/>
      </c>
      <c r="EC25" s="218">
        <f>IF(129&gt;=DeliverStart,ExpInsurancePerUnit*TotalUnits/12*EC$8,0)</f>
        <v/>
      </c>
      <c r="ED25" s="218">
        <f>IF(130&gt;=DeliverStart,ExpInsurancePerUnit*TotalUnits/12*ED$8,0)</f>
        <v/>
      </c>
      <c r="EE25" s="218">
        <f>IF(131&gt;=DeliverStart,ExpInsurancePerUnit*TotalUnits/12*EE$8,0)</f>
        <v/>
      </c>
      <c r="EF25" s="218">
        <f>IF(132&gt;=DeliverStart,ExpInsurancePerUnit*TotalUnits/12*EF$8,0)</f>
        <v/>
      </c>
      <c r="EG25" s="218">
        <f>IF(133&gt;=DeliverStart,ExpInsurancePerUnit*TotalUnits/12*EG$8,0)</f>
        <v/>
      </c>
      <c r="EH25" s="218">
        <f>IF(134&gt;=DeliverStart,ExpInsurancePerUnit*TotalUnits/12*EH$8,0)</f>
        <v/>
      </c>
      <c r="EI25" s="218">
        <f>IF(135&gt;=DeliverStart,ExpInsurancePerUnit*TotalUnits/12*EI$8,0)</f>
        <v/>
      </c>
      <c r="EJ25" s="218">
        <f>IF(136&gt;=DeliverStart,ExpInsurancePerUnit*TotalUnits/12*EJ$8,0)</f>
        <v/>
      </c>
      <c r="EK25" s="218">
        <f>IF(137&gt;=DeliverStart,ExpInsurancePerUnit*TotalUnits/12*EK$8,0)</f>
        <v/>
      </c>
      <c r="EL25" s="218">
        <f>IF(138&gt;=DeliverStart,ExpInsurancePerUnit*TotalUnits/12*EL$8,0)</f>
        <v/>
      </c>
      <c r="EM25" s="218">
        <f>IF(139&gt;=DeliverStart,ExpInsurancePerUnit*TotalUnits/12*EM$8,0)</f>
        <v/>
      </c>
      <c r="EN25" s="218">
        <f>IF(140&gt;=DeliverStart,ExpInsurancePerUnit*TotalUnits/12*EN$8,0)</f>
        <v/>
      </c>
      <c r="EO25" s="218">
        <f>IF(141&gt;=DeliverStart,ExpInsurancePerUnit*TotalUnits/12*EO$8,0)</f>
        <v/>
      </c>
      <c r="EP25" s="218">
        <f>IF(142&gt;=DeliverStart,ExpInsurancePerUnit*TotalUnits/12*EP$8,0)</f>
        <v/>
      </c>
      <c r="EQ25" s="218">
        <f>IF(143&gt;=DeliverStart,ExpInsurancePerUnit*TotalUnits/12*EQ$8,0)</f>
        <v/>
      </c>
      <c r="ER25" s="218">
        <f>IF(144&gt;=DeliverStart,ExpInsurancePerUnit*TotalUnits/12*ER$8,0)</f>
        <v/>
      </c>
      <c r="ES25" s="218">
        <f>IF(145&gt;=DeliverStart,ExpInsurancePerUnit*TotalUnits/12*ES$8,0)</f>
        <v/>
      </c>
      <c r="ET25" s="218">
        <f>IF(146&gt;=DeliverStart,ExpInsurancePerUnit*TotalUnits/12*ET$8,0)</f>
        <v/>
      </c>
      <c r="EU25" s="218">
        <f>IF(147&gt;=DeliverStart,ExpInsurancePerUnit*TotalUnits/12*EU$8,0)</f>
        <v/>
      </c>
      <c r="EV25" s="218">
        <f>IF(148&gt;=DeliverStart,ExpInsurancePerUnit*TotalUnits/12*EV$8,0)</f>
        <v/>
      </c>
      <c r="EW25" s="218">
        <f>IF(149&gt;=DeliverStart,ExpInsurancePerUnit*TotalUnits/12*EW$8,0)</f>
        <v/>
      </c>
      <c r="EX25" s="218">
        <f>IF(150&gt;=DeliverStart,ExpInsurancePerUnit*TotalUnits/12*EX$8,0)</f>
        <v/>
      </c>
      <c r="EY25" s="218">
        <f>IF(151&gt;=DeliverStart,ExpInsurancePerUnit*TotalUnits/12*EY$8,0)</f>
        <v/>
      </c>
      <c r="EZ25" s="218">
        <f>IF(152&gt;=DeliverStart,ExpInsurancePerUnit*TotalUnits/12*EZ$8,0)</f>
        <v/>
      </c>
      <c r="FA25" s="218">
        <f>IF(153&gt;=DeliverStart,ExpInsurancePerUnit*TotalUnits/12*FA$8,0)</f>
        <v/>
      </c>
      <c r="FB25" s="218">
        <f>IF(154&gt;=DeliverStart,ExpInsurancePerUnit*TotalUnits/12*FB$8,0)</f>
        <v/>
      </c>
      <c r="FC25" s="218">
        <f>IF(155&gt;=DeliverStart,ExpInsurancePerUnit*TotalUnits/12*FC$8,0)</f>
        <v/>
      </c>
      <c r="FD25" s="218">
        <f>IF(156&gt;=DeliverStart,ExpInsurancePerUnit*TotalUnits/12*FD$8,0)</f>
        <v/>
      </c>
      <c r="FE25" s="218">
        <f>IF(157&gt;=DeliverStart,ExpInsurancePerUnit*TotalUnits/12*FE$8,0)</f>
        <v/>
      </c>
      <c r="FF25" s="218">
        <f>IF(158&gt;=DeliverStart,ExpInsurancePerUnit*TotalUnits/12*FF$8,0)</f>
        <v/>
      </c>
      <c r="FG25" s="218">
        <f>IF(159&gt;=DeliverStart,ExpInsurancePerUnit*TotalUnits/12*FG$8,0)</f>
        <v/>
      </c>
      <c r="FH25" s="218">
        <f>IF(160&gt;=DeliverStart,ExpInsurancePerUnit*TotalUnits/12*FH$8,0)</f>
        <v/>
      </c>
      <c r="FI25" s="218">
        <f>IF(161&gt;=DeliverStart,ExpInsurancePerUnit*TotalUnits/12*FI$8,0)</f>
        <v/>
      </c>
      <c r="FJ25" s="218">
        <f>IF(162&gt;=DeliverStart,ExpInsurancePerUnit*TotalUnits/12*FJ$8,0)</f>
        <v/>
      </c>
      <c r="FK25" s="218">
        <f>IF(163&gt;=DeliverStart,ExpInsurancePerUnit*TotalUnits/12*FK$8,0)</f>
        <v/>
      </c>
      <c r="FL25" s="218">
        <f>IF(164&gt;=DeliverStart,ExpInsurancePerUnit*TotalUnits/12*FL$8,0)</f>
        <v/>
      </c>
      <c r="FM25" s="218">
        <f>IF(165&gt;=DeliverStart,ExpInsurancePerUnit*TotalUnits/12*FM$8,0)</f>
        <v/>
      </c>
      <c r="FN25" s="218">
        <f>IF(166&gt;=DeliverStart,ExpInsurancePerUnit*TotalUnits/12*FN$8,0)</f>
        <v/>
      </c>
      <c r="FO25" s="218">
        <f>IF(167&gt;=DeliverStart,ExpInsurancePerUnit*TotalUnits/12*FO$8,0)</f>
        <v/>
      </c>
      <c r="FP25" s="218">
        <f>IF(168&gt;=DeliverStart,ExpInsurancePerUnit*TotalUnits/12*FP$8,0)</f>
        <v/>
      </c>
      <c r="FQ25" s="218">
        <f>IF(169&gt;=DeliverStart,ExpInsurancePerUnit*TotalUnits/12*FQ$8,0)</f>
        <v/>
      </c>
      <c r="FR25" s="218">
        <f>IF(170&gt;=DeliverStart,ExpInsurancePerUnit*TotalUnits/12*FR$8,0)</f>
        <v/>
      </c>
      <c r="FS25" s="218">
        <f>IF(171&gt;=DeliverStart,ExpInsurancePerUnit*TotalUnits/12*FS$8,0)</f>
        <v/>
      </c>
      <c r="FT25" s="218">
        <f>IF(172&gt;=DeliverStart,ExpInsurancePerUnit*TotalUnits/12*FT$8,0)</f>
        <v/>
      </c>
      <c r="FU25" s="218">
        <f>IF(173&gt;=DeliverStart,ExpInsurancePerUnit*TotalUnits/12*FU$8,0)</f>
        <v/>
      </c>
      <c r="FV25" s="218">
        <f>IF(174&gt;=DeliverStart,ExpInsurancePerUnit*TotalUnits/12*FV$8,0)</f>
        <v/>
      </c>
      <c r="FW25" s="218">
        <f>IF(175&gt;=DeliverStart,ExpInsurancePerUnit*TotalUnits/12*FW$8,0)</f>
        <v/>
      </c>
      <c r="FX25" s="218">
        <f>IF(176&gt;=DeliverStart,ExpInsurancePerUnit*TotalUnits/12*FX$8,0)</f>
        <v/>
      </c>
      <c r="FY25" s="218">
        <f>IF(177&gt;=DeliverStart,ExpInsurancePerUnit*TotalUnits/12*FY$8,0)</f>
        <v/>
      </c>
      <c r="FZ25" s="218">
        <f>IF(178&gt;=DeliverStart,ExpInsurancePerUnit*TotalUnits/12*FZ$8,0)</f>
        <v/>
      </c>
      <c r="GA25" s="218">
        <f>IF(179&gt;=DeliverStart,ExpInsurancePerUnit*TotalUnits/12*GA$8,0)</f>
        <v/>
      </c>
      <c r="GB25" s="218">
        <f>IF(180&gt;=DeliverStart,ExpInsurancePerUnit*TotalUnits/12*GB$8,0)</f>
        <v/>
      </c>
      <c r="GC25" s="218">
        <f>IF(181&gt;=DeliverStart,ExpInsurancePerUnit*TotalUnits/12*GC$8,0)</f>
        <v/>
      </c>
      <c r="GD25" s="218">
        <f>IF(182&gt;=DeliverStart,ExpInsurancePerUnit*TotalUnits/12*GD$8,0)</f>
        <v/>
      </c>
      <c r="GE25" s="218">
        <f>IF(183&gt;=DeliverStart,ExpInsurancePerUnit*TotalUnits/12*GE$8,0)</f>
        <v/>
      </c>
      <c r="GF25" s="218">
        <f>IF(184&gt;=DeliverStart,ExpInsurancePerUnit*TotalUnits/12*GF$8,0)</f>
        <v/>
      </c>
      <c r="GG25" s="218">
        <f>IF(185&gt;=DeliverStart,ExpInsurancePerUnit*TotalUnits/12*GG$8,0)</f>
        <v/>
      </c>
      <c r="GH25" s="218">
        <f>IF(186&gt;=DeliverStart,ExpInsurancePerUnit*TotalUnits/12*GH$8,0)</f>
        <v/>
      </c>
      <c r="GI25" s="218">
        <f>IF(187&gt;=DeliverStart,ExpInsurancePerUnit*TotalUnits/12*GI$8,0)</f>
        <v/>
      </c>
      <c r="GJ25" s="218">
        <f>IF(188&gt;=DeliverStart,ExpInsurancePerUnit*TotalUnits/12*GJ$8,0)</f>
        <v/>
      </c>
      <c r="GK25" s="218">
        <f>IF(189&gt;=DeliverStart,ExpInsurancePerUnit*TotalUnits/12*GK$8,0)</f>
        <v/>
      </c>
      <c r="GL25" s="218">
        <f>IF(190&gt;=DeliverStart,ExpInsurancePerUnit*TotalUnits/12*GL$8,0)</f>
        <v/>
      </c>
      <c r="GM25" s="218">
        <f>IF(191&gt;=DeliverStart,ExpInsurancePerUnit*TotalUnits/12*GM$8,0)</f>
        <v/>
      </c>
      <c r="GN25" s="218">
        <f>IF(192&gt;=DeliverStart,ExpInsurancePerUnit*TotalUnits/12*GN$8,0)</f>
        <v/>
      </c>
      <c r="GO25" s="218">
        <f>IF(193&gt;=DeliverStart,ExpInsurancePerUnit*TotalUnits/12*GO$8,0)</f>
        <v/>
      </c>
      <c r="GP25" s="218">
        <f>IF(194&gt;=DeliverStart,ExpInsurancePerUnit*TotalUnits/12*GP$8,0)</f>
        <v/>
      </c>
      <c r="GQ25" s="218">
        <f>IF(195&gt;=DeliverStart,ExpInsurancePerUnit*TotalUnits/12*GQ$8,0)</f>
        <v/>
      </c>
      <c r="GR25" s="218">
        <f>IF(196&gt;=DeliverStart,ExpInsurancePerUnit*TotalUnits/12*GR$8,0)</f>
        <v/>
      </c>
      <c r="GS25" s="218">
        <f>IF(197&gt;=DeliverStart,ExpInsurancePerUnit*TotalUnits/12*GS$8,0)</f>
        <v/>
      </c>
      <c r="GT25" s="218">
        <f>IF(198&gt;=DeliverStart,ExpInsurancePerUnit*TotalUnits/12*GT$8,0)</f>
        <v/>
      </c>
      <c r="GU25" s="218">
        <f>IF(199&gt;=DeliverStart,ExpInsurancePerUnit*TotalUnits/12*GU$8,0)</f>
        <v/>
      </c>
      <c r="GV25" s="218">
        <f>IF(200&gt;=DeliverStart,ExpInsurancePerUnit*TotalUnits/12*GV$8,0)</f>
        <v/>
      </c>
      <c r="GW25" s="218">
        <f>IF(201&gt;=DeliverStart,ExpInsurancePerUnit*TotalUnits/12*GW$8,0)</f>
        <v/>
      </c>
      <c r="GX25" s="218">
        <f>IF(202&gt;=DeliverStart,ExpInsurancePerUnit*TotalUnits/12*GX$8,0)</f>
        <v/>
      </c>
      <c r="GY25" s="218">
        <f>IF(203&gt;=DeliverStart,ExpInsurancePerUnit*TotalUnits/12*GY$8,0)</f>
        <v/>
      </c>
      <c r="GZ25" s="218">
        <f>IF(204&gt;=DeliverStart,ExpInsurancePerUnit*TotalUnits/12*GZ$8,0)</f>
        <v/>
      </c>
      <c r="HA25" s="218">
        <f>IF(205&gt;=DeliverStart,ExpInsurancePerUnit*TotalUnits/12*HA$8,0)</f>
        <v/>
      </c>
      <c r="HB25" s="218">
        <f>IF(206&gt;=DeliverStart,ExpInsurancePerUnit*TotalUnits/12*HB$8,0)</f>
        <v/>
      </c>
      <c r="HC25" s="218">
        <f>IF(207&gt;=DeliverStart,ExpInsurancePerUnit*TotalUnits/12*HC$8,0)</f>
        <v/>
      </c>
      <c r="HD25" s="218">
        <f>IF(208&gt;=DeliverStart,ExpInsurancePerUnit*TotalUnits/12*HD$8,0)</f>
        <v/>
      </c>
      <c r="HE25" s="218">
        <f>IF(209&gt;=DeliverStart,ExpInsurancePerUnit*TotalUnits/12*HE$8,0)</f>
        <v/>
      </c>
      <c r="HF25" s="218">
        <f>IF(210&gt;=DeliverStart,ExpInsurancePerUnit*TotalUnits/12*HF$8,0)</f>
        <v/>
      </c>
      <c r="HG25" s="218">
        <f>IF(211&gt;=DeliverStart,ExpInsurancePerUnit*TotalUnits/12*HG$8,0)</f>
        <v/>
      </c>
      <c r="HH25" s="218">
        <f>IF(212&gt;=DeliverStart,ExpInsurancePerUnit*TotalUnits/12*HH$8,0)</f>
        <v/>
      </c>
      <c r="HI25" s="218">
        <f>IF(213&gt;=DeliverStart,ExpInsurancePerUnit*TotalUnits/12*HI$8,0)</f>
        <v/>
      </c>
      <c r="HJ25" s="218">
        <f>IF(214&gt;=DeliverStart,ExpInsurancePerUnit*TotalUnits/12*HJ$8,0)</f>
        <v/>
      </c>
      <c r="HK25" s="218">
        <f>IF(215&gt;=DeliverStart,ExpInsurancePerUnit*TotalUnits/12*HK$8,0)</f>
        <v/>
      </c>
      <c r="HL25" s="218">
        <f>IF(216&gt;=DeliverStart,ExpInsurancePerUnit*TotalUnits/12*HL$8,0)</f>
        <v/>
      </c>
      <c r="HM25" s="218">
        <f>IF(217&gt;=DeliverStart,ExpInsurancePerUnit*TotalUnits/12*HM$8,0)</f>
        <v/>
      </c>
      <c r="HN25" s="218">
        <f>IF(218&gt;=DeliverStart,ExpInsurancePerUnit*TotalUnits/12*HN$8,0)</f>
        <v/>
      </c>
      <c r="HO25" s="218">
        <f>IF(219&gt;=DeliverStart,ExpInsurancePerUnit*TotalUnits/12*HO$8,0)</f>
        <v/>
      </c>
      <c r="HP25" s="218">
        <f>IF(220&gt;=DeliverStart,ExpInsurancePerUnit*TotalUnits/12*HP$8,0)</f>
        <v/>
      </c>
      <c r="HQ25" s="218">
        <f>IF(221&gt;=DeliverStart,ExpInsurancePerUnit*TotalUnits/12*HQ$8,0)</f>
        <v/>
      </c>
      <c r="HR25" s="218">
        <f>IF(222&gt;=DeliverStart,ExpInsurancePerUnit*TotalUnits/12*HR$8,0)</f>
        <v/>
      </c>
      <c r="HS25" s="218">
        <f>IF(223&gt;=DeliverStart,ExpInsurancePerUnit*TotalUnits/12*HS$8,0)</f>
        <v/>
      </c>
      <c r="HT25" s="218">
        <f>IF(224&gt;=DeliverStart,ExpInsurancePerUnit*TotalUnits/12*HT$8,0)</f>
        <v/>
      </c>
      <c r="HU25" s="218">
        <f>IF(225&gt;=DeliverStart,ExpInsurancePerUnit*TotalUnits/12*HU$8,0)</f>
        <v/>
      </c>
      <c r="HV25" s="218">
        <f>IF(226&gt;=DeliverStart,ExpInsurancePerUnit*TotalUnits/12*HV$8,0)</f>
        <v/>
      </c>
      <c r="HW25" s="218">
        <f>IF(227&gt;=DeliverStart,ExpInsurancePerUnit*TotalUnits/12*HW$8,0)</f>
        <v/>
      </c>
      <c r="HX25" s="218">
        <f>IF(228&gt;=DeliverStart,ExpInsurancePerUnit*TotalUnits/12*HX$8,0)</f>
        <v/>
      </c>
      <c r="HY25" s="218">
        <f>IF(229&gt;=DeliverStart,ExpInsurancePerUnit*TotalUnits/12*HY$8,0)</f>
        <v/>
      </c>
      <c r="HZ25" s="218">
        <f>IF(230&gt;=DeliverStart,ExpInsurancePerUnit*TotalUnits/12*HZ$8,0)</f>
        <v/>
      </c>
      <c r="IA25" s="218">
        <f>IF(231&gt;=DeliverStart,ExpInsurancePerUnit*TotalUnits/12*IA$8,0)</f>
        <v/>
      </c>
      <c r="IB25" s="218">
        <f>IF(232&gt;=DeliverStart,ExpInsurancePerUnit*TotalUnits/12*IB$8,0)</f>
        <v/>
      </c>
      <c r="IC25" s="218">
        <f>IF(233&gt;=DeliverStart,ExpInsurancePerUnit*TotalUnits/12*IC$8,0)</f>
        <v/>
      </c>
      <c r="ID25" s="218">
        <f>IF(234&gt;=DeliverStart,ExpInsurancePerUnit*TotalUnits/12*ID$8,0)</f>
        <v/>
      </c>
      <c r="IE25" s="218">
        <f>IF(235&gt;=DeliverStart,ExpInsurancePerUnit*TotalUnits/12*IE$8,0)</f>
        <v/>
      </c>
      <c r="IF25" s="218">
        <f>IF(236&gt;=DeliverStart,ExpInsurancePerUnit*TotalUnits/12*IF$8,0)</f>
        <v/>
      </c>
      <c r="IG25" s="218">
        <f>IF(237&gt;=DeliverStart,ExpInsurancePerUnit*TotalUnits/12*IG$8,0)</f>
        <v/>
      </c>
      <c r="IH25" s="218">
        <f>IF(238&gt;=DeliverStart,ExpInsurancePerUnit*TotalUnits/12*IH$8,0)</f>
        <v/>
      </c>
      <c r="II25" s="218">
        <f>IF(239&gt;=DeliverStart,ExpInsurancePerUnit*TotalUnits/12*II$8,0)</f>
        <v/>
      </c>
      <c r="IJ25" s="218">
        <f>IF(240&gt;=DeliverStart,ExpInsurancePerUnit*TotalUnits/12*IJ$8,0)</f>
        <v/>
      </c>
      <c r="IK25" s="218">
        <f>IF(241&gt;=DeliverStart,ExpInsurancePerUnit*TotalUnits/12*IK$8,0)</f>
        <v/>
      </c>
      <c r="IL25" s="218">
        <f>IF(242&gt;=DeliverStart,ExpInsurancePerUnit*TotalUnits/12*IL$8,0)</f>
        <v/>
      </c>
      <c r="IM25" s="218">
        <f>IF(243&gt;=DeliverStart,ExpInsurancePerUnit*TotalUnits/12*IM$8,0)</f>
        <v/>
      </c>
      <c r="IN25" s="218">
        <f>IF(244&gt;=DeliverStart,ExpInsurancePerUnit*TotalUnits/12*IN$8,0)</f>
        <v/>
      </c>
      <c r="IO25" s="218">
        <f>IF(245&gt;=DeliverStart,ExpInsurancePerUnit*TotalUnits/12*IO$8,0)</f>
        <v/>
      </c>
      <c r="IP25" s="218">
        <f>IF(246&gt;=DeliverStart,ExpInsurancePerUnit*TotalUnits/12*IP$8,0)</f>
        <v/>
      </c>
      <c r="IQ25" s="218">
        <f>IF(247&gt;=DeliverStart,ExpInsurancePerUnit*TotalUnits/12*IQ$8,0)</f>
        <v/>
      </c>
      <c r="IR25" s="218">
        <f>IF(248&gt;=DeliverStart,ExpInsurancePerUnit*TotalUnits/12*IR$8,0)</f>
        <v/>
      </c>
      <c r="IS25" s="218">
        <f>IF(249&gt;=DeliverStart,ExpInsurancePerUnit*TotalUnits/12*IS$8,0)</f>
        <v/>
      </c>
      <c r="IT25" s="218">
        <f>IF(250&gt;=DeliverStart,ExpInsurancePerUnit*TotalUnits/12*IT$8,0)</f>
        <v/>
      </c>
      <c r="IU25" s="218">
        <f>IF(251&gt;=DeliverStart,ExpInsurancePerUnit*TotalUnits/12*IU$8,0)</f>
        <v/>
      </c>
      <c r="IV25" s="218">
        <f>IF(252&gt;=DeliverStart,ExpInsurancePerUnit*TotalUnits/12*IV$8,0)</f>
        <v/>
      </c>
      <c r="IW25" s="218">
        <f>IF(253&gt;=DeliverStart,ExpInsurancePerUnit*TotalUnits/12*IW$8,0)</f>
        <v/>
      </c>
      <c r="IX25" s="218">
        <f>IF(254&gt;=DeliverStart,ExpInsurancePerUnit*TotalUnits/12*IX$8,0)</f>
        <v/>
      </c>
      <c r="IY25" s="218">
        <f>IF(255&gt;=DeliverStart,ExpInsurancePerUnit*TotalUnits/12*IY$8,0)</f>
        <v/>
      </c>
      <c r="IZ25" s="218">
        <f>IF(256&gt;=DeliverStart,ExpInsurancePerUnit*TotalUnits/12*IZ$8,0)</f>
        <v/>
      </c>
      <c r="JA25" s="218">
        <f>IF(257&gt;=DeliverStart,ExpInsurancePerUnit*TotalUnits/12*JA$8,0)</f>
        <v/>
      </c>
      <c r="JB25" s="218">
        <f>IF(258&gt;=DeliverStart,ExpInsurancePerUnit*TotalUnits/12*JB$8,0)</f>
        <v/>
      </c>
      <c r="JC25" s="218">
        <f>IF(259&gt;=DeliverStart,ExpInsurancePerUnit*TotalUnits/12*JC$8,0)</f>
        <v/>
      </c>
      <c r="JD25" s="218">
        <f>IF(260&gt;=DeliverStart,ExpInsurancePerUnit*TotalUnits/12*JD$8,0)</f>
        <v/>
      </c>
      <c r="JE25" s="218">
        <f>IF(261&gt;=DeliverStart,ExpInsurancePerUnit*TotalUnits/12*JE$8,0)</f>
        <v/>
      </c>
      <c r="JF25" s="218">
        <f>IF(262&gt;=DeliverStart,ExpInsurancePerUnit*TotalUnits/12*JF$8,0)</f>
        <v/>
      </c>
      <c r="JG25" s="218">
        <f>IF(263&gt;=DeliverStart,ExpInsurancePerUnit*TotalUnits/12*JG$8,0)</f>
        <v/>
      </c>
      <c r="JH25" s="218">
        <f>IF(264&gt;=DeliverStart,ExpInsurancePerUnit*TotalUnits/12*JH$8,0)</f>
        <v/>
      </c>
      <c r="JI25" s="218">
        <f>IF(265&gt;=DeliverStart,ExpInsurancePerUnit*TotalUnits/12*JI$8,0)</f>
        <v/>
      </c>
      <c r="JJ25" s="218">
        <f>IF(266&gt;=DeliverStart,ExpInsurancePerUnit*TotalUnits/12*JJ$8,0)</f>
        <v/>
      </c>
      <c r="JK25" s="218">
        <f>IF(267&gt;=DeliverStart,ExpInsurancePerUnit*TotalUnits/12*JK$8,0)</f>
        <v/>
      </c>
      <c r="JL25" s="218">
        <f>IF(268&gt;=DeliverStart,ExpInsurancePerUnit*TotalUnits/12*JL$8,0)</f>
        <v/>
      </c>
      <c r="JM25" s="218">
        <f>IF(269&gt;=DeliverStart,ExpInsurancePerUnit*TotalUnits/12*JM$8,0)</f>
        <v/>
      </c>
      <c r="JN25" s="218">
        <f>IF(270&gt;=DeliverStart,ExpInsurancePerUnit*TotalUnits/12*JN$8,0)</f>
        <v/>
      </c>
      <c r="JO25" s="218">
        <f>IF(271&gt;=DeliverStart,ExpInsurancePerUnit*TotalUnits/12*JO$8,0)</f>
        <v/>
      </c>
      <c r="JP25" s="218">
        <f>IF(272&gt;=DeliverStart,ExpInsurancePerUnit*TotalUnits/12*JP$8,0)</f>
        <v/>
      </c>
      <c r="JQ25" s="218">
        <f>IF(273&gt;=DeliverStart,ExpInsurancePerUnit*TotalUnits/12*JQ$8,0)</f>
        <v/>
      </c>
      <c r="JR25" s="218">
        <f>IF(274&gt;=DeliverStart,ExpInsurancePerUnit*TotalUnits/12*JR$8,0)</f>
        <v/>
      </c>
      <c r="JS25" s="218">
        <f>IF(275&gt;=DeliverStart,ExpInsurancePerUnit*TotalUnits/12*JS$8,0)</f>
        <v/>
      </c>
      <c r="JT25" s="218">
        <f>IF(276&gt;=DeliverStart,ExpInsurancePerUnit*TotalUnits/12*JT$8,0)</f>
        <v/>
      </c>
      <c r="JU25" s="218">
        <f>IF(277&gt;=DeliverStart,ExpInsurancePerUnit*TotalUnits/12*JU$8,0)</f>
        <v/>
      </c>
      <c r="JV25" s="218">
        <f>IF(278&gt;=DeliverStart,ExpInsurancePerUnit*TotalUnits/12*JV$8,0)</f>
        <v/>
      </c>
      <c r="JW25" s="218">
        <f>IF(279&gt;=DeliverStart,ExpInsurancePerUnit*TotalUnits/12*JW$8,0)</f>
        <v/>
      </c>
      <c r="JX25" s="218">
        <f>IF(280&gt;=DeliverStart,ExpInsurancePerUnit*TotalUnits/12*JX$8,0)</f>
        <v/>
      </c>
      <c r="JY25" s="218">
        <f>IF(281&gt;=DeliverStart,ExpInsurancePerUnit*TotalUnits/12*JY$8,0)</f>
        <v/>
      </c>
      <c r="JZ25" s="218">
        <f>IF(282&gt;=DeliverStart,ExpInsurancePerUnit*TotalUnits/12*JZ$8,0)</f>
        <v/>
      </c>
      <c r="KA25" s="218">
        <f>IF(283&gt;=DeliverStart,ExpInsurancePerUnit*TotalUnits/12*KA$8,0)</f>
        <v/>
      </c>
      <c r="KB25" s="218">
        <f>IF(284&gt;=DeliverStart,ExpInsurancePerUnit*TotalUnits/12*KB$8,0)</f>
        <v/>
      </c>
      <c r="KC25" s="218">
        <f>IF(285&gt;=DeliverStart,ExpInsurancePerUnit*TotalUnits/12*KC$8,0)</f>
        <v/>
      </c>
      <c r="KD25" s="218">
        <f>IF(286&gt;=DeliverStart,ExpInsurancePerUnit*TotalUnits/12*KD$8,0)</f>
        <v/>
      </c>
      <c r="KE25" s="218">
        <f>IF(287&gt;=DeliverStart,ExpInsurancePerUnit*TotalUnits/12*KE$8,0)</f>
        <v/>
      </c>
      <c r="KF25" s="218">
        <f>IF(288&gt;=DeliverStart,ExpInsurancePerUnit*TotalUnits/12*KF$8,0)</f>
        <v/>
      </c>
      <c r="KG25" s="218">
        <f>IF(289&gt;=DeliverStart,ExpInsurancePerUnit*TotalUnits/12*KG$8,0)</f>
        <v/>
      </c>
      <c r="KH25" s="218">
        <f>IF(290&gt;=DeliverStart,ExpInsurancePerUnit*TotalUnits/12*KH$8,0)</f>
        <v/>
      </c>
      <c r="KI25" s="218">
        <f>IF(291&gt;=DeliverStart,ExpInsurancePerUnit*TotalUnits/12*KI$8,0)</f>
        <v/>
      </c>
      <c r="KJ25" s="218">
        <f>IF(292&gt;=DeliverStart,ExpInsurancePerUnit*TotalUnits/12*KJ$8,0)</f>
        <v/>
      </c>
      <c r="KK25" s="218">
        <f>IF(293&gt;=DeliverStart,ExpInsurancePerUnit*TotalUnits/12*KK$8,0)</f>
        <v/>
      </c>
      <c r="KL25" s="218">
        <f>IF(294&gt;=DeliverStart,ExpInsurancePerUnit*TotalUnits/12*KL$8,0)</f>
        <v/>
      </c>
      <c r="KM25" s="218">
        <f>IF(295&gt;=DeliverStart,ExpInsurancePerUnit*TotalUnits/12*KM$8,0)</f>
        <v/>
      </c>
      <c r="KN25" s="218">
        <f>IF(296&gt;=DeliverStart,ExpInsurancePerUnit*TotalUnits/12*KN$8,0)</f>
        <v/>
      </c>
      <c r="KO25" s="218">
        <f>IF(297&gt;=DeliverStart,ExpInsurancePerUnit*TotalUnits/12*KO$8,0)</f>
        <v/>
      </c>
      <c r="KP25" s="218">
        <f>IF(298&gt;=DeliverStart,ExpInsurancePerUnit*TotalUnits/12*KP$8,0)</f>
        <v/>
      </c>
      <c r="KQ25" s="218">
        <f>IF(299&gt;=DeliverStart,ExpInsurancePerUnit*TotalUnits/12*KQ$8,0)</f>
        <v/>
      </c>
      <c r="KR25" s="218">
        <f>IF(300&gt;=DeliverStart,ExpInsurancePerUnit*TotalUnits/12*KR$8,0)</f>
        <v/>
      </c>
      <c r="KS25" s="218">
        <f>IF(301&gt;=DeliverStart,ExpInsurancePerUnit*TotalUnits/12*KS$8,0)</f>
        <v/>
      </c>
      <c r="KT25" s="218">
        <f>IF(302&gt;=DeliverStart,ExpInsurancePerUnit*TotalUnits/12*KT$8,0)</f>
        <v/>
      </c>
      <c r="KU25" s="218">
        <f>IF(303&gt;=DeliverStart,ExpInsurancePerUnit*TotalUnits/12*KU$8,0)</f>
        <v/>
      </c>
      <c r="KV25" s="218">
        <f>IF(304&gt;=DeliverStart,ExpInsurancePerUnit*TotalUnits/12*KV$8,0)</f>
        <v/>
      </c>
      <c r="KW25" s="218">
        <f>IF(305&gt;=DeliverStart,ExpInsurancePerUnit*TotalUnits/12*KW$8,0)</f>
        <v/>
      </c>
      <c r="KX25" s="218">
        <f>IF(306&gt;=DeliverStart,ExpInsurancePerUnit*TotalUnits/12*KX$8,0)</f>
        <v/>
      </c>
      <c r="KY25" s="218">
        <f>IF(307&gt;=DeliverStart,ExpInsurancePerUnit*TotalUnits/12*KY$8,0)</f>
        <v/>
      </c>
      <c r="KZ25" s="218">
        <f>IF(308&gt;=DeliverStart,ExpInsurancePerUnit*TotalUnits/12*KZ$8,0)</f>
        <v/>
      </c>
      <c r="LA25" s="218">
        <f>IF(309&gt;=DeliverStart,ExpInsurancePerUnit*TotalUnits/12*LA$8,0)</f>
        <v/>
      </c>
      <c r="LB25" s="218">
        <f>IF(310&gt;=DeliverStart,ExpInsurancePerUnit*TotalUnits/12*LB$8,0)</f>
        <v/>
      </c>
      <c r="LC25" s="218">
        <f>IF(311&gt;=DeliverStart,ExpInsurancePerUnit*TotalUnits/12*LC$8,0)</f>
        <v/>
      </c>
      <c r="LD25" s="218">
        <f>IF(312&gt;=DeliverStart,ExpInsurancePerUnit*TotalUnits/12*LD$8,0)</f>
        <v/>
      </c>
      <c r="LE25" s="218">
        <f>IF(313&gt;=DeliverStart,ExpInsurancePerUnit*TotalUnits/12*LE$8,0)</f>
        <v/>
      </c>
      <c r="LF25" s="218">
        <f>IF(314&gt;=DeliverStart,ExpInsurancePerUnit*TotalUnits/12*LF$8,0)</f>
        <v/>
      </c>
      <c r="LG25" s="218">
        <f>IF(315&gt;=DeliverStart,ExpInsurancePerUnit*TotalUnits/12*LG$8,0)</f>
        <v/>
      </c>
      <c r="LH25" s="218">
        <f>IF(316&gt;=DeliverStart,ExpInsurancePerUnit*TotalUnits/12*LH$8,0)</f>
        <v/>
      </c>
      <c r="LI25" s="218">
        <f>IF(317&gt;=DeliverStart,ExpInsurancePerUnit*TotalUnits/12*LI$8,0)</f>
        <v/>
      </c>
      <c r="LJ25" s="218">
        <f>IF(318&gt;=DeliverStart,ExpInsurancePerUnit*TotalUnits/12*LJ$8,0)</f>
        <v/>
      </c>
      <c r="LK25" s="218">
        <f>IF(319&gt;=DeliverStart,ExpInsurancePerUnit*TotalUnits/12*LK$8,0)</f>
        <v/>
      </c>
      <c r="LL25" s="218">
        <f>IF(320&gt;=DeliverStart,ExpInsurancePerUnit*TotalUnits/12*LL$8,0)</f>
        <v/>
      </c>
      <c r="LM25" s="218">
        <f>IF(321&gt;=DeliverStart,ExpInsurancePerUnit*TotalUnits/12*LM$8,0)</f>
        <v/>
      </c>
      <c r="LN25" s="218">
        <f>IF(322&gt;=DeliverStart,ExpInsurancePerUnit*TotalUnits/12*LN$8,0)</f>
        <v/>
      </c>
      <c r="LO25" s="218">
        <f>IF(323&gt;=DeliverStart,ExpInsurancePerUnit*TotalUnits/12*LO$8,0)</f>
        <v/>
      </c>
      <c r="LP25" s="218">
        <f>IF(324&gt;=DeliverStart,ExpInsurancePerUnit*TotalUnits/12*LP$8,0)</f>
        <v/>
      </c>
      <c r="LQ25" s="218">
        <f>IF(325&gt;=DeliverStart,ExpInsurancePerUnit*TotalUnits/12*LQ$8,0)</f>
        <v/>
      </c>
      <c r="LR25" s="218">
        <f>IF(326&gt;=DeliverStart,ExpInsurancePerUnit*TotalUnits/12*LR$8,0)</f>
        <v/>
      </c>
      <c r="LS25" s="218">
        <f>IF(327&gt;=DeliverStart,ExpInsurancePerUnit*TotalUnits/12*LS$8,0)</f>
        <v/>
      </c>
      <c r="LT25" s="218">
        <f>IF(328&gt;=DeliverStart,ExpInsurancePerUnit*TotalUnits/12*LT$8,0)</f>
        <v/>
      </c>
      <c r="LU25" s="218">
        <f>IF(329&gt;=DeliverStart,ExpInsurancePerUnit*TotalUnits/12*LU$8,0)</f>
        <v/>
      </c>
      <c r="LV25" s="218">
        <f>IF(330&gt;=DeliverStart,ExpInsurancePerUnit*TotalUnits/12*LV$8,0)</f>
        <v/>
      </c>
      <c r="LW25" s="218">
        <f>IF(331&gt;=DeliverStart,ExpInsurancePerUnit*TotalUnits/12*LW$8,0)</f>
        <v/>
      </c>
      <c r="LX25" s="218">
        <f>IF(332&gt;=DeliverStart,ExpInsurancePerUnit*TotalUnits/12*LX$8,0)</f>
        <v/>
      </c>
      <c r="LY25" s="218">
        <f>IF(333&gt;=DeliverStart,ExpInsurancePerUnit*TotalUnits/12*LY$8,0)</f>
        <v/>
      </c>
      <c r="LZ25" s="218">
        <f>IF(334&gt;=DeliverStart,ExpInsurancePerUnit*TotalUnits/12*LZ$8,0)</f>
        <v/>
      </c>
      <c r="MA25" s="218">
        <f>IF(335&gt;=DeliverStart,ExpInsurancePerUnit*TotalUnits/12*MA$8,0)</f>
        <v/>
      </c>
      <c r="MB25" s="218">
        <f>IF(336&gt;=DeliverStart,ExpInsurancePerUnit*TotalUnits/12*MB$8,0)</f>
        <v/>
      </c>
      <c r="MC25" s="218">
        <f>IF(337&gt;=DeliverStart,ExpInsurancePerUnit*TotalUnits/12*MC$8,0)</f>
        <v/>
      </c>
      <c r="MD25" s="218">
        <f>IF(338&gt;=DeliverStart,ExpInsurancePerUnit*TotalUnits/12*MD$8,0)</f>
        <v/>
      </c>
      <c r="ME25" s="218">
        <f>IF(339&gt;=DeliverStart,ExpInsurancePerUnit*TotalUnits/12*ME$8,0)</f>
        <v/>
      </c>
      <c r="MF25" s="218">
        <f>IF(340&gt;=DeliverStart,ExpInsurancePerUnit*TotalUnits/12*MF$8,0)</f>
        <v/>
      </c>
      <c r="MG25" s="218">
        <f>IF(341&gt;=DeliverStart,ExpInsurancePerUnit*TotalUnits/12*MG$8,0)</f>
        <v/>
      </c>
      <c r="MH25" s="218">
        <f>IF(342&gt;=DeliverStart,ExpInsurancePerUnit*TotalUnits/12*MH$8,0)</f>
        <v/>
      </c>
      <c r="MI25" s="218">
        <f>IF(343&gt;=DeliverStart,ExpInsurancePerUnit*TotalUnits/12*MI$8,0)</f>
        <v/>
      </c>
      <c r="MJ25" s="218">
        <f>IF(344&gt;=DeliverStart,ExpInsurancePerUnit*TotalUnits/12*MJ$8,0)</f>
        <v/>
      </c>
      <c r="MK25" s="218">
        <f>IF(345&gt;=DeliverStart,ExpInsurancePerUnit*TotalUnits/12*MK$8,0)</f>
        <v/>
      </c>
      <c r="ML25" s="218">
        <f>IF(346&gt;=DeliverStart,ExpInsurancePerUnit*TotalUnits/12*ML$8,0)</f>
        <v/>
      </c>
      <c r="MM25" s="218">
        <f>IF(347&gt;=DeliverStart,ExpInsurancePerUnit*TotalUnits/12*MM$8,0)</f>
        <v/>
      </c>
      <c r="MN25" s="218">
        <f>IF(348&gt;=DeliverStart,ExpInsurancePerUnit*TotalUnits/12*MN$8,0)</f>
        <v/>
      </c>
      <c r="MO25" s="218">
        <f>IF(349&gt;=DeliverStart,ExpInsurancePerUnit*TotalUnits/12*MO$8,0)</f>
        <v/>
      </c>
      <c r="MP25" s="218">
        <f>IF(350&gt;=DeliverStart,ExpInsurancePerUnit*TotalUnits/12*MP$8,0)</f>
        <v/>
      </c>
      <c r="MQ25" s="218">
        <f>IF(351&gt;=DeliverStart,ExpInsurancePerUnit*TotalUnits/12*MQ$8,0)</f>
        <v/>
      </c>
      <c r="MR25" s="218">
        <f>IF(352&gt;=DeliverStart,ExpInsurancePerUnit*TotalUnits/12*MR$8,0)</f>
        <v/>
      </c>
      <c r="MS25" s="218">
        <f>IF(353&gt;=DeliverStart,ExpInsurancePerUnit*TotalUnits/12*MS$8,0)</f>
        <v/>
      </c>
      <c r="MT25" s="218">
        <f>IF(354&gt;=DeliverStart,ExpInsurancePerUnit*TotalUnits/12*MT$8,0)</f>
        <v/>
      </c>
      <c r="MU25" s="218">
        <f>IF(355&gt;=DeliverStart,ExpInsurancePerUnit*TotalUnits/12*MU$8,0)</f>
        <v/>
      </c>
      <c r="MV25" s="218">
        <f>IF(356&gt;=DeliverStart,ExpInsurancePerUnit*TotalUnits/12*MV$8,0)</f>
        <v/>
      </c>
      <c r="MW25" s="218">
        <f>IF(357&gt;=DeliverStart,ExpInsurancePerUnit*TotalUnits/12*MW$8,0)</f>
        <v/>
      </c>
      <c r="MX25" s="218">
        <f>IF(358&gt;=DeliverStart,ExpInsurancePerUnit*TotalUnits/12*MX$8,0)</f>
        <v/>
      </c>
      <c r="MY25" s="218">
        <f>IF(359&gt;=DeliverStart,ExpInsurancePerUnit*TotalUnits/12*MY$8,0)</f>
        <v/>
      </c>
      <c r="MZ25" s="218">
        <f>IF(360&gt;=DeliverStart,ExpInsurancePerUnit*TotalUnits/12*MZ$8,0)</f>
        <v/>
      </c>
      <c r="NA25" s="218">
        <f>IF(361&gt;=DeliverStart,ExpInsurancePerUnit*TotalUnits/12*NA$8,0)</f>
        <v/>
      </c>
      <c r="NB25" s="218">
        <f>IF(362&gt;=DeliverStart,ExpInsurancePerUnit*TotalUnits/12*NB$8,0)</f>
        <v/>
      </c>
      <c r="NC25" s="218">
        <f>IF(363&gt;=DeliverStart,ExpInsurancePerUnit*TotalUnits/12*NC$8,0)</f>
        <v/>
      </c>
      <c r="ND25" s="218">
        <f>IF(364&gt;=DeliverStart,ExpInsurancePerUnit*TotalUnits/12*ND$8,0)</f>
        <v/>
      </c>
      <c r="NE25" s="218">
        <f>IF(365&gt;=DeliverStart,ExpInsurancePerUnit*TotalUnits/12*NE$8,0)</f>
        <v/>
      </c>
      <c r="NF25" s="218">
        <f>IF(366&gt;=DeliverStart,ExpInsurancePerUnit*TotalUnits/12*NF$8,0)</f>
        <v/>
      </c>
      <c r="NG25" s="218">
        <f>IF(367&gt;=DeliverStart,ExpInsurancePerUnit*TotalUnits/12*NG$8,0)</f>
        <v/>
      </c>
      <c r="NH25" s="218">
        <f>IF(368&gt;=DeliverStart,ExpInsurancePerUnit*TotalUnits/12*NH$8,0)</f>
        <v/>
      </c>
      <c r="NI25" s="218">
        <f>IF(369&gt;=DeliverStart,ExpInsurancePerUnit*TotalUnits/12*NI$8,0)</f>
        <v/>
      </c>
      <c r="NJ25" s="218">
        <f>IF(370&gt;=DeliverStart,ExpInsurancePerUnit*TotalUnits/12*NJ$8,0)</f>
        <v/>
      </c>
      <c r="NK25" s="218">
        <f>IF(371&gt;=DeliverStart,ExpInsurancePerUnit*TotalUnits/12*NK$8,0)</f>
        <v/>
      </c>
      <c r="NL25" s="225">
        <f>IF(372&gt;=DeliverStart,ExpInsurancePerUnit*TotalUnits/12*NL$8,0)</f>
        <v/>
      </c>
    </row>
    <row r="26">
      <c r="B26" s="36" t="inlineStr">
        <is>
          <t>Admin &amp; Legal</t>
        </is>
      </c>
      <c r="D26" s="266">
        <f>SUM(E26:NL26)</f>
        <v/>
      </c>
      <c r="E26" s="218">
        <f>IF(1&gt;=DeliverStart,ExpAdminPerUnit*TotalUnits/12*E$8,0)</f>
        <v/>
      </c>
      <c r="F26" s="218">
        <f>IF(2&gt;=DeliverStart,ExpAdminPerUnit*TotalUnits/12*F$8,0)</f>
        <v/>
      </c>
      <c r="G26" s="218">
        <f>IF(3&gt;=DeliverStart,ExpAdminPerUnit*TotalUnits/12*G$8,0)</f>
        <v/>
      </c>
      <c r="H26" s="218">
        <f>IF(4&gt;=DeliverStart,ExpAdminPerUnit*TotalUnits/12*H$8,0)</f>
        <v/>
      </c>
      <c r="I26" s="218">
        <f>IF(5&gt;=DeliverStart,ExpAdminPerUnit*TotalUnits/12*I$8,0)</f>
        <v/>
      </c>
      <c r="J26" s="218">
        <f>IF(6&gt;=DeliverStart,ExpAdminPerUnit*TotalUnits/12*J$8,0)</f>
        <v/>
      </c>
      <c r="K26" s="218">
        <f>IF(7&gt;=DeliverStart,ExpAdminPerUnit*TotalUnits/12*K$8,0)</f>
        <v/>
      </c>
      <c r="L26" s="218">
        <f>IF(8&gt;=DeliverStart,ExpAdminPerUnit*TotalUnits/12*L$8,0)</f>
        <v/>
      </c>
      <c r="M26" s="218">
        <f>IF(9&gt;=DeliverStart,ExpAdminPerUnit*TotalUnits/12*M$8,0)</f>
        <v/>
      </c>
      <c r="N26" s="218">
        <f>IF(10&gt;=DeliverStart,ExpAdminPerUnit*TotalUnits/12*N$8,0)</f>
        <v/>
      </c>
      <c r="O26" s="218">
        <f>IF(11&gt;=DeliverStart,ExpAdminPerUnit*TotalUnits/12*O$8,0)</f>
        <v/>
      </c>
      <c r="P26" s="218">
        <f>IF(12&gt;=DeliverStart,ExpAdminPerUnit*TotalUnits/12*P$8,0)</f>
        <v/>
      </c>
      <c r="Q26" s="218">
        <f>IF(13&gt;=DeliverStart,ExpAdminPerUnit*TotalUnits/12*Q$8,0)</f>
        <v/>
      </c>
      <c r="R26" s="218">
        <f>IF(14&gt;=DeliverStart,ExpAdminPerUnit*TotalUnits/12*R$8,0)</f>
        <v/>
      </c>
      <c r="S26" s="218">
        <f>IF(15&gt;=DeliverStart,ExpAdminPerUnit*TotalUnits/12*S$8,0)</f>
        <v/>
      </c>
      <c r="T26" s="218">
        <f>IF(16&gt;=DeliverStart,ExpAdminPerUnit*TotalUnits/12*T$8,0)</f>
        <v/>
      </c>
      <c r="U26" s="218">
        <f>IF(17&gt;=DeliverStart,ExpAdminPerUnit*TotalUnits/12*U$8,0)</f>
        <v/>
      </c>
      <c r="V26" s="218">
        <f>IF(18&gt;=DeliverStart,ExpAdminPerUnit*TotalUnits/12*V$8,0)</f>
        <v/>
      </c>
      <c r="W26" s="218">
        <f>IF(19&gt;=DeliverStart,ExpAdminPerUnit*TotalUnits/12*W$8,0)</f>
        <v/>
      </c>
      <c r="X26" s="218">
        <f>IF(20&gt;=DeliverStart,ExpAdminPerUnit*TotalUnits/12*X$8,0)</f>
        <v/>
      </c>
      <c r="Y26" s="218">
        <f>IF(21&gt;=DeliverStart,ExpAdminPerUnit*TotalUnits/12*Y$8,0)</f>
        <v/>
      </c>
      <c r="Z26" s="218">
        <f>IF(22&gt;=DeliverStart,ExpAdminPerUnit*TotalUnits/12*Z$8,0)</f>
        <v/>
      </c>
      <c r="AA26" s="218">
        <f>IF(23&gt;=DeliverStart,ExpAdminPerUnit*TotalUnits/12*AA$8,0)</f>
        <v/>
      </c>
      <c r="AB26" s="218">
        <f>IF(24&gt;=DeliverStart,ExpAdminPerUnit*TotalUnits/12*AB$8,0)</f>
        <v/>
      </c>
      <c r="AC26" s="218">
        <f>IF(25&gt;=DeliverStart,ExpAdminPerUnit*TotalUnits/12*AC$8,0)</f>
        <v/>
      </c>
      <c r="AD26" s="218">
        <f>IF(26&gt;=DeliverStart,ExpAdminPerUnit*TotalUnits/12*AD$8,0)</f>
        <v/>
      </c>
      <c r="AE26" s="218">
        <f>IF(27&gt;=DeliverStart,ExpAdminPerUnit*TotalUnits/12*AE$8,0)</f>
        <v/>
      </c>
      <c r="AF26" s="218">
        <f>IF(28&gt;=DeliverStart,ExpAdminPerUnit*TotalUnits/12*AF$8,0)</f>
        <v/>
      </c>
      <c r="AG26" s="218">
        <f>IF(29&gt;=DeliverStart,ExpAdminPerUnit*TotalUnits/12*AG$8,0)</f>
        <v/>
      </c>
      <c r="AH26" s="218">
        <f>IF(30&gt;=DeliverStart,ExpAdminPerUnit*TotalUnits/12*AH$8,0)</f>
        <v/>
      </c>
      <c r="AI26" s="218">
        <f>IF(31&gt;=DeliverStart,ExpAdminPerUnit*TotalUnits/12*AI$8,0)</f>
        <v/>
      </c>
      <c r="AJ26" s="218">
        <f>IF(32&gt;=DeliverStart,ExpAdminPerUnit*TotalUnits/12*AJ$8,0)</f>
        <v/>
      </c>
      <c r="AK26" s="218">
        <f>IF(33&gt;=DeliverStart,ExpAdminPerUnit*TotalUnits/12*AK$8,0)</f>
        <v/>
      </c>
      <c r="AL26" s="218">
        <f>IF(34&gt;=DeliverStart,ExpAdminPerUnit*TotalUnits/12*AL$8,0)</f>
        <v/>
      </c>
      <c r="AM26" s="218">
        <f>IF(35&gt;=DeliverStart,ExpAdminPerUnit*TotalUnits/12*AM$8,0)</f>
        <v/>
      </c>
      <c r="AN26" s="218">
        <f>IF(36&gt;=DeliverStart,ExpAdminPerUnit*TotalUnits/12*AN$8,0)</f>
        <v/>
      </c>
      <c r="AO26" s="218">
        <f>IF(37&gt;=DeliverStart,ExpAdminPerUnit*TotalUnits/12*AO$8,0)</f>
        <v/>
      </c>
      <c r="AP26" s="218">
        <f>IF(38&gt;=DeliverStart,ExpAdminPerUnit*TotalUnits/12*AP$8,0)</f>
        <v/>
      </c>
      <c r="AQ26" s="218">
        <f>IF(39&gt;=DeliverStart,ExpAdminPerUnit*TotalUnits/12*AQ$8,0)</f>
        <v/>
      </c>
      <c r="AR26" s="218">
        <f>IF(40&gt;=DeliverStart,ExpAdminPerUnit*TotalUnits/12*AR$8,0)</f>
        <v/>
      </c>
      <c r="AS26" s="218">
        <f>IF(41&gt;=DeliverStart,ExpAdminPerUnit*TotalUnits/12*AS$8,0)</f>
        <v/>
      </c>
      <c r="AT26" s="218">
        <f>IF(42&gt;=DeliverStart,ExpAdminPerUnit*TotalUnits/12*AT$8,0)</f>
        <v/>
      </c>
      <c r="AU26" s="218">
        <f>IF(43&gt;=DeliverStart,ExpAdminPerUnit*TotalUnits/12*AU$8,0)</f>
        <v/>
      </c>
      <c r="AV26" s="218">
        <f>IF(44&gt;=DeliverStart,ExpAdminPerUnit*TotalUnits/12*AV$8,0)</f>
        <v/>
      </c>
      <c r="AW26" s="218">
        <f>IF(45&gt;=DeliverStart,ExpAdminPerUnit*TotalUnits/12*AW$8,0)</f>
        <v/>
      </c>
      <c r="AX26" s="218">
        <f>IF(46&gt;=DeliverStart,ExpAdminPerUnit*TotalUnits/12*AX$8,0)</f>
        <v/>
      </c>
      <c r="AY26" s="218">
        <f>IF(47&gt;=DeliverStart,ExpAdminPerUnit*TotalUnits/12*AY$8,0)</f>
        <v/>
      </c>
      <c r="AZ26" s="218">
        <f>IF(48&gt;=DeliverStart,ExpAdminPerUnit*TotalUnits/12*AZ$8,0)</f>
        <v/>
      </c>
      <c r="BA26" s="218">
        <f>IF(49&gt;=DeliverStart,ExpAdminPerUnit*TotalUnits/12*BA$8,0)</f>
        <v/>
      </c>
      <c r="BB26" s="218">
        <f>IF(50&gt;=DeliverStart,ExpAdminPerUnit*TotalUnits/12*BB$8,0)</f>
        <v/>
      </c>
      <c r="BC26" s="218">
        <f>IF(51&gt;=DeliverStart,ExpAdminPerUnit*TotalUnits/12*BC$8,0)</f>
        <v/>
      </c>
      <c r="BD26" s="218">
        <f>IF(52&gt;=DeliverStart,ExpAdminPerUnit*TotalUnits/12*BD$8,0)</f>
        <v/>
      </c>
      <c r="BE26" s="218">
        <f>IF(53&gt;=DeliverStart,ExpAdminPerUnit*TotalUnits/12*BE$8,0)</f>
        <v/>
      </c>
      <c r="BF26" s="218">
        <f>IF(54&gt;=DeliverStart,ExpAdminPerUnit*TotalUnits/12*BF$8,0)</f>
        <v/>
      </c>
      <c r="BG26" s="218">
        <f>IF(55&gt;=DeliverStart,ExpAdminPerUnit*TotalUnits/12*BG$8,0)</f>
        <v/>
      </c>
      <c r="BH26" s="218">
        <f>IF(56&gt;=DeliverStart,ExpAdminPerUnit*TotalUnits/12*BH$8,0)</f>
        <v/>
      </c>
      <c r="BI26" s="218">
        <f>IF(57&gt;=DeliverStart,ExpAdminPerUnit*TotalUnits/12*BI$8,0)</f>
        <v/>
      </c>
      <c r="BJ26" s="218">
        <f>IF(58&gt;=DeliverStart,ExpAdminPerUnit*TotalUnits/12*BJ$8,0)</f>
        <v/>
      </c>
      <c r="BK26" s="218">
        <f>IF(59&gt;=DeliverStart,ExpAdminPerUnit*TotalUnits/12*BK$8,0)</f>
        <v/>
      </c>
      <c r="BL26" s="218">
        <f>IF(60&gt;=DeliverStart,ExpAdminPerUnit*TotalUnits/12*BL$8,0)</f>
        <v/>
      </c>
      <c r="BM26" s="218">
        <f>IF(61&gt;=DeliverStart,ExpAdminPerUnit*TotalUnits/12*BM$8,0)</f>
        <v/>
      </c>
      <c r="BN26" s="218">
        <f>IF(62&gt;=DeliverStart,ExpAdminPerUnit*TotalUnits/12*BN$8,0)</f>
        <v/>
      </c>
      <c r="BO26" s="218">
        <f>IF(63&gt;=DeliverStart,ExpAdminPerUnit*TotalUnits/12*BO$8,0)</f>
        <v/>
      </c>
      <c r="BP26" s="218">
        <f>IF(64&gt;=DeliverStart,ExpAdminPerUnit*TotalUnits/12*BP$8,0)</f>
        <v/>
      </c>
      <c r="BQ26" s="218">
        <f>IF(65&gt;=DeliverStart,ExpAdminPerUnit*TotalUnits/12*BQ$8,0)</f>
        <v/>
      </c>
      <c r="BR26" s="218">
        <f>IF(66&gt;=DeliverStart,ExpAdminPerUnit*TotalUnits/12*BR$8,0)</f>
        <v/>
      </c>
      <c r="BS26" s="218">
        <f>IF(67&gt;=DeliverStart,ExpAdminPerUnit*TotalUnits/12*BS$8,0)</f>
        <v/>
      </c>
      <c r="BT26" s="218">
        <f>IF(68&gt;=DeliverStart,ExpAdminPerUnit*TotalUnits/12*BT$8,0)</f>
        <v/>
      </c>
      <c r="BU26" s="218">
        <f>IF(69&gt;=DeliverStart,ExpAdminPerUnit*TotalUnits/12*BU$8,0)</f>
        <v/>
      </c>
      <c r="BV26" s="218">
        <f>IF(70&gt;=DeliverStart,ExpAdminPerUnit*TotalUnits/12*BV$8,0)</f>
        <v/>
      </c>
      <c r="BW26" s="218">
        <f>IF(71&gt;=DeliverStart,ExpAdminPerUnit*TotalUnits/12*BW$8,0)</f>
        <v/>
      </c>
      <c r="BX26" s="218">
        <f>IF(72&gt;=DeliverStart,ExpAdminPerUnit*TotalUnits/12*BX$8,0)</f>
        <v/>
      </c>
      <c r="BY26" s="218">
        <f>IF(73&gt;=DeliverStart,ExpAdminPerUnit*TotalUnits/12*BY$8,0)</f>
        <v/>
      </c>
      <c r="BZ26" s="218">
        <f>IF(74&gt;=DeliverStart,ExpAdminPerUnit*TotalUnits/12*BZ$8,0)</f>
        <v/>
      </c>
      <c r="CA26" s="218">
        <f>IF(75&gt;=DeliverStart,ExpAdminPerUnit*TotalUnits/12*CA$8,0)</f>
        <v/>
      </c>
      <c r="CB26" s="218">
        <f>IF(76&gt;=DeliverStart,ExpAdminPerUnit*TotalUnits/12*CB$8,0)</f>
        <v/>
      </c>
      <c r="CC26" s="218">
        <f>IF(77&gt;=DeliverStart,ExpAdminPerUnit*TotalUnits/12*CC$8,0)</f>
        <v/>
      </c>
      <c r="CD26" s="218">
        <f>IF(78&gt;=DeliverStart,ExpAdminPerUnit*TotalUnits/12*CD$8,0)</f>
        <v/>
      </c>
      <c r="CE26" s="218">
        <f>IF(79&gt;=DeliverStart,ExpAdminPerUnit*TotalUnits/12*CE$8,0)</f>
        <v/>
      </c>
      <c r="CF26" s="218">
        <f>IF(80&gt;=DeliverStart,ExpAdminPerUnit*TotalUnits/12*CF$8,0)</f>
        <v/>
      </c>
      <c r="CG26" s="218">
        <f>IF(81&gt;=DeliverStart,ExpAdminPerUnit*TotalUnits/12*CG$8,0)</f>
        <v/>
      </c>
      <c r="CH26" s="218">
        <f>IF(82&gt;=DeliverStart,ExpAdminPerUnit*TotalUnits/12*CH$8,0)</f>
        <v/>
      </c>
      <c r="CI26" s="218">
        <f>IF(83&gt;=DeliverStart,ExpAdminPerUnit*TotalUnits/12*CI$8,0)</f>
        <v/>
      </c>
      <c r="CJ26" s="218">
        <f>IF(84&gt;=DeliverStart,ExpAdminPerUnit*TotalUnits/12*CJ$8,0)</f>
        <v/>
      </c>
      <c r="CK26" s="218">
        <f>IF(85&gt;=DeliverStart,ExpAdminPerUnit*TotalUnits/12*CK$8,0)</f>
        <v/>
      </c>
      <c r="CL26" s="218">
        <f>IF(86&gt;=DeliverStart,ExpAdminPerUnit*TotalUnits/12*CL$8,0)</f>
        <v/>
      </c>
      <c r="CM26" s="218">
        <f>IF(87&gt;=DeliverStart,ExpAdminPerUnit*TotalUnits/12*CM$8,0)</f>
        <v/>
      </c>
      <c r="CN26" s="218">
        <f>IF(88&gt;=DeliverStart,ExpAdminPerUnit*TotalUnits/12*CN$8,0)</f>
        <v/>
      </c>
      <c r="CO26" s="218">
        <f>IF(89&gt;=DeliverStart,ExpAdminPerUnit*TotalUnits/12*CO$8,0)</f>
        <v/>
      </c>
      <c r="CP26" s="218">
        <f>IF(90&gt;=DeliverStart,ExpAdminPerUnit*TotalUnits/12*CP$8,0)</f>
        <v/>
      </c>
      <c r="CQ26" s="218">
        <f>IF(91&gt;=DeliverStart,ExpAdminPerUnit*TotalUnits/12*CQ$8,0)</f>
        <v/>
      </c>
      <c r="CR26" s="218">
        <f>IF(92&gt;=DeliverStart,ExpAdminPerUnit*TotalUnits/12*CR$8,0)</f>
        <v/>
      </c>
      <c r="CS26" s="218">
        <f>IF(93&gt;=DeliverStart,ExpAdminPerUnit*TotalUnits/12*CS$8,0)</f>
        <v/>
      </c>
      <c r="CT26" s="218">
        <f>IF(94&gt;=DeliverStart,ExpAdminPerUnit*TotalUnits/12*CT$8,0)</f>
        <v/>
      </c>
      <c r="CU26" s="218">
        <f>IF(95&gt;=DeliverStart,ExpAdminPerUnit*TotalUnits/12*CU$8,0)</f>
        <v/>
      </c>
      <c r="CV26" s="218">
        <f>IF(96&gt;=DeliverStart,ExpAdminPerUnit*TotalUnits/12*CV$8,0)</f>
        <v/>
      </c>
      <c r="CW26" s="218">
        <f>IF(97&gt;=DeliverStart,ExpAdminPerUnit*TotalUnits/12*CW$8,0)</f>
        <v/>
      </c>
      <c r="CX26" s="218">
        <f>IF(98&gt;=DeliverStart,ExpAdminPerUnit*TotalUnits/12*CX$8,0)</f>
        <v/>
      </c>
      <c r="CY26" s="218">
        <f>IF(99&gt;=DeliverStart,ExpAdminPerUnit*TotalUnits/12*CY$8,0)</f>
        <v/>
      </c>
      <c r="CZ26" s="218">
        <f>IF(100&gt;=DeliverStart,ExpAdminPerUnit*TotalUnits/12*CZ$8,0)</f>
        <v/>
      </c>
      <c r="DA26" s="218">
        <f>IF(101&gt;=DeliverStart,ExpAdminPerUnit*TotalUnits/12*DA$8,0)</f>
        <v/>
      </c>
      <c r="DB26" s="218">
        <f>IF(102&gt;=DeliverStart,ExpAdminPerUnit*TotalUnits/12*DB$8,0)</f>
        <v/>
      </c>
      <c r="DC26" s="218">
        <f>IF(103&gt;=DeliverStart,ExpAdminPerUnit*TotalUnits/12*DC$8,0)</f>
        <v/>
      </c>
      <c r="DD26" s="218">
        <f>IF(104&gt;=DeliverStart,ExpAdminPerUnit*TotalUnits/12*DD$8,0)</f>
        <v/>
      </c>
      <c r="DE26" s="218">
        <f>IF(105&gt;=DeliverStart,ExpAdminPerUnit*TotalUnits/12*DE$8,0)</f>
        <v/>
      </c>
      <c r="DF26" s="218">
        <f>IF(106&gt;=DeliverStart,ExpAdminPerUnit*TotalUnits/12*DF$8,0)</f>
        <v/>
      </c>
      <c r="DG26" s="218">
        <f>IF(107&gt;=DeliverStart,ExpAdminPerUnit*TotalUnits/12*DG$8,0)</f>
        <v/>
      </c>
      <c r="DH26" s="218">
        <f>IF(108&gt;=DeliverStart,ExpAdminPerUnit*TotalUnits/12*DH$8,0)</f>
        <v/>
      </c>
      <c r="DI26" s="218">
        <f>IF(109&gt;=DeliverStart,ExpAdminPerUnit*TotalUnits/12*DI$8,0)</f>
        <v/>
      </c>
      <c r="DJ26" s="218">
        <f>IF(110&gt;=DeliverStart,ExpAdminPerUnit*TotalUnits/12*DJ$8,0)</f>
        <v/>
      </c>
      <c r="DK26" s="218">
        <f>IF(111&gt;=DeliverStart,ExpAdminPerUnit*TotalUnits/12*DK$8,0)</f>
        <v/>
      </c>
      <c r="DL26" s="218">
        <f>IF(112&gt;=DeliverStart,ExpAdminPerUnit*TotalUnits/12*DL$8,0)</f>
        <v/>
      </c>
      <c r="DM26" s="218">
        <f>IF(113&gt;=DeliverStart,ExpAdminPerUnit*TotalUnits/12*DM$8,0)</f>
        <v/>
      </c>
      <c r="DN26" s="218">
        <f>IF(114&gt;=DeliverStart,ExpAdminPerUnit*TotalUnits/12*DN$8,0)</f>
        <v/>
      </c>
      <c r="DO26" s="218">
        <f>IF(115&gt;=DeliverStart,ExpAdminPerUnit*TotalUnits/12*DO$8,0)</f>
        <v/>
      </c>
      <c r="DP26" s="218">
        <f>IF(116&gt;=DeliverStart,ExpAdminPerUnit*TotalUnits/12*DP$8,0)</f>
        <v/>
      </c>
      <c r="DQ26" s="218">
        <f>IF(117&gt;=DeliverStart,ExpAdminPerUnit*TotalUnits/12*DQ$8,0)</f>
        <v/>
      </c>
      <c r="DR26" s="218">
        <f>IF(118&gt;=DeliverStart,ExpAdminPerUnit*TotalUnits/12*DR$8,0)</f>
        <v/>
      </c>
      <c r="DS26" s="218">
        <f>IF(119&gt;=DeliverStart,ExpAdminPerUnit*TotalUnits/12*DS$8,0)</f>
        <v/>
      </c>
      <c r="DT26" s="218">
        <f>IF(120&gt;=DeliverStart,ExpAdminPerUnit*TotalUnits/12*DT$8,0)</f>
        <v/>
      </c>
      <c r="DU26" s="218">
        <f>IF(121&gt;=DeliverStart,ExpAdminPerUnit*TotalUnits/12*DU$8,0)</f>
        <v/>
      </c>
      <c r="DV26" s="218">
        <f>IF(122&gt;=DeliverStart,ExpAdminPerUnit*TotalUnits/12*DV$8,0)</f>
        <v/>
      </c>
      <c r="DW26" s="218">
        <f>IF(123&gt;=DeliverStart,ExpAdminPerUnit*TotalUnits/12*DW$8,0)</f>
        <v/>
      </c>
      <c r="DX26" s="218">
        <f>IF(124&gt;=DeliverStart,ExpAdminPerUnit*TotalUnits/12*DX$8,0)</f>
        <v/>
      </c>
      <c r="DY26" s="218">
        <f>IF(125&gt;=DeliverStart,ExpAdminPerUnit*TotalUnits/12*DY$8,0)</f>
        <v/>
      </c>
      <c r="DZ26" s="218">
        <f>IF(126&gt;=DeliverStart,ExpAdminPerUnit*TotalUnits/12*DZ$8,0)</f>
        <v/>
      </c>
      <c r="EA26" s="218">
        <f>IF(127&gt;=DeliverStart,ExpAdminPerUnit*TotalUnits/12*EA$8,0)</f>
        <v/>
      </c>
      <c r="EB26" s="218">
        <f>IF(128&gt;=DeliverStart,ExpAdminPerUnit*TotalUnits/12*EB$8,0)</f>
        <v/>
      </c>
      <c r="EC26" s="218">
        <f>IF(129&gt;=DeliverStart,ExpAdminPerUnit*TotalUnits/12*EC$8,0)</f>
        <v/>
      </c>
      <c r="ED26" s="218">
        <f>IF(130&gt;=DeliverStart,ExpAdminPerUnit*TotalUnits/12*ED$8,0)</f>
        <v/>
      </c>
      <c r="EE26" s="218">
        <f>IF(131&gt;=DeliverStart,ExpAdminPerUnit*TotalUnits/12*EE$8,0)</f>
        <v/>
      </c>
      <c r="EF26" s="218">
        <f>IF(132&gt;=DeliverStart,ExpAdminPerUnit*TotalUnits/12*EF$8,0)</f>
        <v/>
      </c>
      <c r="EG26" s="218">
        <f>IF(133&gt;=DeliverStart,ExpAdminPerUnit*TotalUnits/12*EG$8,0)</f>
        <v/>
      </c>
      <c r="EH26" s="218">
        <f>IF(134&gt;=DeliverStart,ExpAdminPerUnit*TotalUnits/12*EH$8,0)</f>
        <v/>
      </c>
      <c r="EI26" s="218">
        <f>IF(135&gt;=DeliverStart,ExpAdminPerUnit*TotalUnits/12*EI$8,0)</f>
        <v/>
      </c>
      <c r="EJ26" s="218">
        <f>IF(136&gt;=DeliverStart,ExpAdminPerUnit*TotalUnits/12*EJ$8,0)</f>
        <v/>
      </c>
      <c r="EK26" s="218">
        <f>IF(137&gt;=DeliverStart,ExpAdminPerUnit*TotalUnits/12*EK$8,0)</f>
        <v/>
      </c>
      <c r="EL26" s="218">
        <f>IF(138&gt;=DeliverStart,ExpAdminPerUnit*TotalUnits/12*EL$8,0)</f>
        <v/>
      </c>
      <c r="EM26" s="218">
        <f>IF(139&gt;=DeliverStart,ExpAdminPerUnit*TotalUnits/12*EM$8,0)</f>
        <v/>
      </c>
      <c r="EN26" s="218">
        <f>IF(140&gt;=DeliverStart,ExpAdminPerUnit*TotalUnits/12*EN$8,0)</f>
        <v/>
      </c>
      <c r="EO26" s="218">
        <f>IF(141&gt;=DeliverStart,ExpAdminPerUnit*TotalUnits/12*EO$8,0)</f>
        <v/>
      </c>
      <c r="EP26" s="218">
        <f>IF(142&gt;=DeliverStart,ExpAdminPerUnit*TotalUnits/12*EP$8,0)</f>
        <v/>
      </c>
      <c r="EQ26" s="218">
        <f>IF(143&gt;=DeliverStart,ExpAdminPerUnit*TotalUnits/12*EQ$8,0)</f>
        <v/>
      </c>
      <c r="ER26" s="218">
        <f>IF(144&gt;=DeliverStart,ExpAdminPerUnit*TotalUnits/12*ER$8,0)</f>
        <v/>
      </c>
      <c r="ES26" s="218">
        <f>IF(145&gt;=DeliverStart,ExpAdminPerUnit*TotalUnits/12*ES$8,0)</f>
        <v/>
      </c>
      <c r="ET26" s="218">
        <f>IF(146&gt;=DeliverStart,ExpAdminPerUnit*TotalUnits/12*ET$8,0)</f>
        <v/>
      </c>
      <c r="EU26" s="218">
        <f>IF(147&gt;=DeliverStart,ExpAdminPerUnit*TotalUnits/12*EU$8,0)</f>
        <v/>
      </c>
      <c r="EV26" s="218">
        <f>IF(148&gt;=DeliverStart,ExpAdminPerUnit*TotalUnits/12*EV$8,0)</f>
        <v/>
      </c>
      <c r="EW26" s="218">
        <f>IF(149&gt;=DeliverStart,ExpAdminPerUnit*TotalUnits/12*EW$8,0)</f>
        <v/>
      </c>
      <c r="EX26" s="218">
        <f>IF(150&gt;=DeliverStart,ExpAdminPerUnit*TotalUnits/12*EX$8,0)</f>
        <v/>
      </c>
      <c r="EY26" s="218">
        <f>IF(151&gt;=DeliverStart,ExpAdminPerUnit*TotalUnits/12*EY$8,0)</f>
        <v/>
      </c>
      <c r="EZ26" s="218">
        <f>IF(152&gt;=DeliverStart,ExpAdminPerUnit*TotalUnits/12*EZ$8,0)</f>
        <v/>
      </c>
      <c r="FA26" s="218">
        <f>IF(153&gt;=DeliverStart,ExpAdminPerUnit*TotalUnits/12*FA$8,0)</f>
        <v/>
      </c>
      <c r="FB26" s="218">
        <f>IF(154&gt;=DeliverStart,ExpAdminPerUnit*TotalUnits/12*FB$8,0)</f>
        <v/>
      </c>
      <c r="FC26" s="218">
        <f>IF(155&gt;=DeliverStart,ExpAdminPerUnit*TotalUnits/12*FC$8,0)</f>
        <v/>
      </c>
      <c r="FD26" s="218">
        <f>IF(156&gt;=DeliverStart,ExpAdminPerUnit*TotalUnits/12*FD$8,0)</f>
        <v/>
      </c>
      <c r="FE26" s="218">
        <f>IF(157&gt;=DeliverStart,ExpAdminPerUnit*TotalUnits/12*FE$8,0)</f>
        <v/>
      </c>
      <c r="FF26" s="218">
        <f>IF(158&gt;=DeliverStart,ExpAdminPerUnit*TotalUnits/12*FF$8,0)</f>
        <v/>
      </c>
      <c r="FG26" s="218">
        <f>IF(159&gt;=DeliverStart,ExpAdminPerUnit*TotalUnits/12*FG$8,0)</f>
        <v/>
      </c>
      <c r="FH26" s="218">
        <f>IF(160&gt;=DeliverStart,ExpAdminPerUnit*TotalUnits/12*FH$8,0)</f>
        <v/>
      </c>
      <c r="FI26" s="218">
        <f>IF(161&gt;=DeliverStart,ExpAdminPerUnit*TotalUnits/12*FI$8,0)</f>
        <v/>
      </c>
      <c r="FJ26" s="218">
        <f>IF(162&gt;=DeliverStart,ExpAdminPerUnit*TotalUnits/12*FJ$8,0)</f>
        <v/>
      </c>
      <c r="FK26" s="218">
        <f>IF(163&gt;=DeliverStart,ExpAdminPerUnit*TotalUnits/12*FK$8,0)</f>
        <v/>
      </c>
      <c r="FL26" s="218">
        <f>IF(164&gt;=DeliverStart,ExpAdminPerUnit*TotalUnits/12*FL$8,0)</f>
        <v/>
      </c>
      <c r="FM26" s="218">
        <f>IF(165&gt;=DeliverStart,ExpAdminPerUnit*TotalUnits/12*FM$8,0)</f>
        <v/>
      </c>
      <c r="FN26" s="218">
        <f>IF(166&gt;=DeliverStart,ExpAdminPerUnit*TotalUnits/12*FN$8,0)</f>
        <v/>
      </c>
      <c r="FO26" s="218">
        <f>IF(167&gt;=DeliverStart,ExpAdminPerUnit*TotalUnits/12*FO$8,0)</f>
        <v/>
      </c>
      <c r="FP26" s="218">
        <f>IF(168&gt;=DeliverStart,ExpAdminPerUnit*TotalUnits/12*FP$8,0)</f>
        <v/>
      </c>
      <c r="FQ26" s="218">
        <f>IF(169&gt;=DeliverStart,ExpAdminPerUnit*TotalUnits/12*FQ$8,0)</f>
        <v/>
      </c>
      <c r="FR26" s="218">
        <f>IF(170&gt;=DeliverStart,ExpAdminPerUnit*TotalUnits/12*FR$8,0)</f>
        <v/>
      </c>
      <c r="FS26" s="218">
        <f>IF(171&gt;=DeliverStart,ExpAdminPerUnit*TotalUnits/12*FS$8,0)</f>
        <v/>
      </c>
      <c r="FT26" s="218">
        <f>IF(172&gt;=DeliverStart,ExpAdminPerUnit*TotalUnits/12*FT$8,0)</f>
        <v/>
      </c>
      <c r="FU26" s="218">
        <f>IF(173&gt;=DeliverStart,ExpAdminPerUnit*TotalUnits/12*FU$8,0)</f>
        <v/>
      </c>
      <c r="FV26" s="218">
        <f>IF(174&gt;=DeliverStart,ExpAdminPerUnit*TotalUnits/12*FV$8,0)</f>
        <v/>
      </c>
      <c r="FW26" s="218">
        <f>IF(175&gt;=DeliverStart,ExpAdminPerUnit*TotalUnits/12*FW$8,0)</f>
        <v/>
      </c>
      <c r="FX26" s="218">
        <f>IF(176&gt;=DeliverStart,ExpAdminPerUnit*TotalUnits/12*FX$8,0)</f>
        <v/>
      </c>
      <c r="FY26" s="218">
        <f>IF(177&gt;=DeliverStart,ExpAdminPerUnit*TotalUnits/12*FY$8,0)</f>
        <v/>
      </c>
      <c r="FZ26" s="218">
        <f>IF(178&gt;=DeliverStart,ExpAdminPerUnit*TotalUnits/12*FZ$8,0)</f>
        <v/>
      </c>
      <c r="GA26" s="218">
        <f>IF(179&gt;=DeliverStart,ExpAdminPerUnit*TotalUnits/12*GA$8,0)</f>
        <v/>
      </c>
      <c r="GB26" s="218">
        <f>IF(180&gt;=DeliverStart,ExpAdminPerUnit*TotalUnits/12*GB$8,0)</f>
        <v/>
      </c>
      <c r="GC26" s="218">
        <f>IF(181&gt;=DeliverStart,ExpAdminPerUnit*TotalUnits/12*GC$8,0)</f>
        <v/>
      </c>
      <c r="GD26" s="218">
        <f>IF(182&gt;=DeliverStart,ExpAdminPerUnit*TotalUnits/12*GD$8,0)</f>
        <v/>
      </c>
      <c r="GE26" s="218">
        <f>IF(183&gt;=DeliverStart,ExpAdminPerUnit*TotalUnits/12*GE$8,0)</f>
        <v/>
      </c>
      <c r="GF26" s="218">
        <f>IF(184&gt;=DeliverStart,ExpAdminPerUnit*TotalUnits/12*GF$8,0)</f>
        <v/>
      </c>
      <c r="GG26" s="218">
        <f>IF(185&gt;=DeliverStart,ExpAdminPerUnit*TotalUnits/12*GG$8,0)</f>
        <v/>
      </c>
      <c r="GH26" s="218">
        <f>IF(186&gt;=DeliverStart,ExpAdminPerUnit*TotalUnits/12*GH$8,0)</f>
        <v/>
      </c>
      <c r="GI26" s="218">
        <f>IF(187&gt;=DeliverStart,ExpAdminPerUnit*TotalUnits/12*GI$8,0)</f>
        <v/>
      </c>
      <c r="GJ26" s="218">
        <f>IF(188&gt;=DeliverStart,ExpAdminPerUnit*TotalUnits/12*GJ$8,0)</f>
        <v/>
      </c>
      <c r="GK26" s="218">
        <f>IF(189&gt;=DeliverStart,ExpAdminPerUnit*TotalUnits/12*GK$8,0)</f>
        <v/>
      </c>
      <c r="GL26" s="218">
        <f>IF(190&gt;=DeliverStart,ExpAdminPerUnit*TotalUnits/12*GL$8,0)</f>
        <v/>
      </c>
      <c r="GM26" s="218">
        <f>IF(191&gt;=DeliverStart,ExpAdminPerUnit*TotalUnits/12*GM$8,0)</f>
        <v/>
      </c>
      <c r="GN26" s="218">
        <f>IF(192&gt;=DeliverStart,ExpAdminPerUnit*TotalUnits/12*GN$8,0)</f>
        <v/>
      </c>
      <c r="GO26" s="218">
        <f>IF(193&gt;=DeliverStart,ExpAdminPerUnit*TotalUnits/12*GO$8,0)</f>
        <v/>
      </c>
      <c r="GP26" s="218">
        <f>IF(194&gt;=DeliverStart,ExpAdminPerUnit*TotalUnits/12*GP$8,0)</f>
        <v/>
      </c>
      <c r="GQ26" s="218">
        <f>IF(195&gt;=DeliverStart,ExpAdminPerUnit*TotalUnits/12*GQ$8,0)</f>
        <v/>
      </c>
      <c r="GR26" s="218">
        <f>IF(196&gt;=DeliverStart,ExpAdminPerUnit*TotalUnits/12*GR$8,0)</f>
        <v/>
      </c>
      <c r="GS26" s="218">
        <f>IF(197&gt;=DeliverStart,ExpAdminPerUnit*TotalUnits/12*GS$8,0)</f>
        <v/>
      </c>
      <c r="GT26" s="218">
        <f>IF(198&gt;=DeliverStart,ExpAdminPerUnit*TotalUnits/12*GT$8,0)</f>
        <v/>
      </c>
      <c r="GU26" s="218">
        <f>IF(199&gt;=DeliverStart,ExpAdminPerUnit*TotalUnits/12*GU$8,0)</f>
        <v/>
      </c>
      <c r="GV26" s="218">
        <f>IF(200&gt;=DeliverStart,ExpAdminPerUnit*TotalUnits/12*GV$8,0)</f>
        <v/>
      </c>
      <c r="GW26" s="218">
        <f>IF(201&gt;=DeliverStart,ExpAdminPerUnit*TotalUnits/12*GW$8,0)</f>
        <v/>
      </c>
      <c r="GX26" s="218">
        <f>IF(202&gt;=DeliverStart,ExpAdminPerUnit*TotalUnits/12*GX$8,0)</f>
        <v/>
      </c>
      <c r="GY26" s="218">
        <f>IF(203&gt;=DeliverStart,ExpAdminPerUnit*TotalUnits/12*GY$8,0)</f>
        <v/>
      </c>
      <c r="GZ26" s="218">
        <f>IF(204&gt;=DeliverStart,ExpAdminPerUnit*TotalUnits/12*GZ$8,0)</f>
        <v/>
      </c>
      <c r="HA26" s="218">
        <f>IF(205&gt;=DeliverStart,ExpAdminPerUnit*TotalUnits/12*HA$8,0)</f>
        <v/>
      </c>
      <c r="HB26" s="218">
        <f>IF(206&gt;=DeliverStart,ExpAdminPerUnit*TotalUnits/12*HB$8,0)</f>
        <v/>
      </c>
      <c r="HC26" s="218">
        <f>IF(207&gt;=DeliverStart,ExpAdminPerUnit*TotalUnits/12*HC$8,0)</f>
        <v/>
      </c>
      <c r="HD26" s="218">
        <f>IF(208&gt;=DeliverStart,ExpAdminPerUnit*TotalUnits/12*HD$8,0)</f>
        <v/>
      </c>
      <c r="HE26" s="218">
        <f>IF(209&gt;=DeliverStart,ExpAdminPerUnit*TotalUnits/12*HE$8,0)</f>
        <v/>
      </c>
      <c r="HF26" s="218">
        <f>IF(210&gt;=DeliverStart,ExpAdminPerUnit*TotalUnits/12*HF$8,0)</f>
        <v/>
      </c>
      <c r="HG26" s="218">
        <f>IF(211&gt;=DeliverStart,ExpAdminPerUnit*TotalUnits/12*HG$8,0)</f>
        <v/>
      </c>
      <c r="HH26" s="218">
        <f>IF(212&gt;=DeliverStart,ExpAdminPerUnit*TotalUnits/12*HH$8,0)</f>
        <v/>
      </c>
      <c r="HI26" s="218">
        <f>IF(213&gt;=DeliverStart,ExpAdminPerUnit*TotalUnits/12*HI$8,0)</f>
        <v/>
      </c>
      <c r="HJ26" s="218">
        <f>IF(214&gt;=DeliverStart,ExpAdminPerUnit*TotalUnits/12*HJ$8,0)</f>
        <v/>
      </c>
      <c r="HK26" s="218">
        <f>IF(215&gt;=DeliverStart,ExpAdminPerUnit*TotalUnits/12*HK$8,0)</f>
        <v/>
      </c>
      <c r="HL26" s="218">
        <f>IF(216&gt;=DeliverStart,ExpAdminPerUnit*TotalUnits/12*HL$8,0)</f>
        <v/>
      </c>
      <c r="HM26" s="218">
        <f>IF(217&gt;=DeliverStart,ExpAdminPerUnit*TotalUnits/12*HM$8,0)</f>
        <v/>
      </c>
      <c r="HN26" s="218">
        <f>IF(218&gt;=DeliverStart,ExpAdminPerUnit*TotalUnits/12*HN$8,0)</f>
        <v/>
      </c>
      <c r="HO26" s="218">
        <f>IF(219&gt;=DeliverStart,ExpAdminPerUnit*TotalUnits/12*HO$8,0)</f>
        <v/>
      </c>
      <c r="HP26" s="218">
        <f>IF(220&gt;=DeliverStart,ExpAdminPerUnit*TotalUnits/12*HP$8,0)</f>
        <v/>
      </c>
      <c r="HQ26" s="218">
        <f>IF(221&gt;=DeliverStart,ExpAdminPerUnit*TotalUnits/12*HQ$8,0)</f>
        <v/>
      </c>
      <c r="HR26" s="218">
        <f>IF(222&gt;=DeliverStart,ExpAdminPerUnit*TotalUnits/12*HR$8,0)</f>
        <v/>
      </c>
      <c r="HS26" s="218">
        <f>IF(223&gt;=DeliverStart,ExpAdminPerUnit*TotalUnits/12*HS$8,0)</f>
        <v/>
      </c>
      <c r="HT26" s="218">
        <f>IF(224&gt;=DeliverStart,ExpAdminPerUnit*TotalUnits/12*HT$8,0)</f>
        <v/>
      </c>
      <c r="HU26" s="218">
        <f>IF(225&gt;=DeliverStart,ExpAdminPerUnit*TotalUnits/12*HU$8,0)</f>
        <v/>
      </c>
      <c r="HV26" s="218">
        <f>IF(226&gt;=DeliverStart,ExpAdminPerUnit*TotalUnits/12*HV$8,0)</f>
        <v/>
      </c>
      <c r="HW26" s="218">
        <f>IF(227&gt;=DeliverStart,ExpAdminPerUnit*TotalUnits/12*HW$8,0)</f>
        <v/>
      </c>
      <c r="HX26" s="218">
        <f>IF(228&gt;=DeliverStart,ExpAdminPerUnit*TotalUnits/12*HX$8,0)</f>
        <v/>
      </c>
      <c r="HY26" s="218">
        <f>IF(229&gt;=DeliverStart,ExpAdminPerUnit*TotalUnits/12*HY$8,0)</f>
        <v/>
      </c>
      <c r="HZ26" s="218">
        <f>IF(230&gt;=DeliverStart,ExpAdminPerUnit*TotalUnits/12*HZ$8,0)</f>
        <v/>
      </c>
      <c r="IA26" s="218">
        <f>IF(231&gt;=DeliverStart,ExpAdminPerUnit*TotalUnits/12*IA$8,0)</f>
        <v/>
      </c>
      <c r="IB26" s="218">
        <f>IF(232&gt;=DeliverStart,ExpAdminPerUnit*TotalUnits/12*IB$8,0)</f>
        <v/>
      </c>
      <c r="IC26" s="218">
        <f>IF(233&gt;=DeliverStart,ExpAdminPerUnit*TotalUnits/12*IC$8,0)</f>
        <v/>
      </c>
      <c r="ID26" s="218">
        <f>IF(234&gt;=DeliverStart,ExpAdminPerUnit*TotalUnits/12*ID$8,0)</f>
        <v/>
      </c>
      <c r="IE26" s="218">
        <f>IF(235&gt;=DeliverStart,ExpAdminPerUnit*TotalUnits/12*IE$8,0)</f>
        <v/>
      </c>
      <c r="IF26" s="218">
        <f>IF(236&gt;=DeliverStart,ExpAdminPerUnit*TotalUnits/12*IF$8,0)</f>
        <v/>
      </c>
      <c r="IG26" s="218">
        <f>IF(237&gt;=DeliverStart,ExpAdminPerUnit*TotalUnits/12*IG$8,0)</f>
        <v/>
      </c>
      <c r="IH26" s="218">
        <f>IF(238&gt;=DeliverStart,ExpAdminPerUnit*TotalUnits/12*IH$8,0)</f>
        <v/>
      </c>
      <c r="II26" s="218">
        <f>IF(239&gt;=DeliverStart,ExpAdminPerUnit*TotalUnits/12*II$8,0)</f>
        <v/>
      </c>
      <c r="IJ26" s="218">
        <f>IF(240&gt;=DeliverStart,ExpAdminPerUnit*TotalUnits/12*IJ$8,0)</f>
        <v/>
      </c>
      <c r="IK26" s="218">
        <f>IF(241&gt;=DeliverStart,ExpAdminPerUnit*TotalUnits/12*IK$8,0)</f>
        <v/>
      </c>
      <c r="IL26" s="218">
        <f>IF(242&gt;=DeliverStart,ExpAdminPerUnit*TotalUnits/12*IL$8,0)</f>
        <v/>
      </c>
      <c r="IM26" s="218">
        <f>IF(243&gt;=DeliverStart,ExpAdminPerUnit*TotalUnits/12*IM$8,0)</f>
        <v/>
      </c>
      <c r="IN26" s="218">
        <f>IF(244&gt;=DeliverStart,ExpAdminPerUnit*TotalUnits/12*IN$8,0)</f>
        <v/>
      </c>
      <c r="IO26" s="218">
        <f>IF(245&gt;=DeliverStart,ExpAdminPerUnit*TotalUnits/12*IO$8,0)</f>
        <v/>
      </c>
      <c r="IP26" s="218">
        <f>IF(246&gt;=DeliverStart,ExpAdminPerUnit*TotalUnits/12*IP$8,0)</f>
        <v/>
      </c>
      <c r="IQ26" s="218">
        <f>IF(247&gt;=DeliverStart,ExpAdminPerUnit*TotalUnits/12*IQ$8,0)</f>
        <v/>
      </c>
      <c r="IR26" s="218">
        <f>IF(248&gt;=DeliverStart,ExpAdminPerUnit*TotalUnits/12*IR$8,0)</f>
        <v/>
      </c>
      <c r="IS26" s="218">
        <f>IF(249&gt;=DeliverStart,ExpAdminPerUnit*TotalUnits/12*IS$8,0)</f>
        <v/>
      </c>
      <c r="IT26" s="218">
        <f>IF(250&gt;=DeliverStart,ExpAdminPerUnit*TotalUnits/12*IT$8,0)</f>
        <v/>
      </c>
      <c r="IU26" s="218">
        <f>IF(251&gt;=DeliverStart,ExpAdminPerUnit*TotalUnits/12*IU$8,0)</f>
        <v/>
      </c>
      <c r="IV26" s="218">
        <f>IF(252&gt;=DeliverStart,ExpAdminPerUnit*TotalUnits/12*IV$8,0)</f>
        <v/>
      </c>
      <c r="IW26" s="218">
        <f>IF(253&gt;=DeliverStart,ExpAdminPerUnit*TotalUnits/12*IW$8,0)</f>
        <v/>
      </c>
      <c r="IX26" s="218">
        <f>IF(254&gt;=DeliverStart,ExpAdminPerUnit*TotalUnits/12*IX$8,0)</f>
        <v/>
      </c>
      <c r="IY26" s="218">
        <f>IF(255&gt;=DeliverStart,ExpAdminPerUnit*TotalUnits/12*IY$8,0)</f>
        <v/>
      </c>
      <c r="IZ26" s="218">
        <f>IF(256&gt;=DeliverStart,ExpAdminPerUnit*TotalUnits/12*IZ$8,0)</f>
        <v/>
      </c>
      <c r="JA26" s="218">
        <f>IF(257&gt;=DeliverStart,ExpAdminPerUnit*TotalUnits/12*JA$8,0)</f>
        <v/>
      </c>
      <c r="JB26" s="218">
        <f>IF(258&gt;=DeliverStart,ExpAdminPerUnit*TotalUnits/12*JB$8,0)</f>
        <v/>
      </c>
      <c r="JC26" s="218">
        <f>IF(259&gt;=DeliverStart,ExpAdminPerUnit*TotalUnits/12*JC$8,0)</f>
        <v/>
      </c>
      <c r="JD26" s="218">
        <f>IF(260&gt;=DeliverStart,ExpAdminPerUnit*TotalUnits/12*JD$8,0)</f>
        <v/>
      </c>
      <c r="JE26" s="218">
        <f>IF(261&gt;=DeliverStart,ExpAdminPerUnit*TotalUnits/12*JE$8,0)</f>
        <v/>
      </c>
      <c r="JF26" s="218">
        <f>IF(262&gt;=DeliverStart,ExpAdminPerUnit*TotalUnits/12*JF$8,0)</f>
        <v/>
      </c>
      <c r="JG26" s="218">
        <f>IF(263&gt;=DeliverStart,ExpAdminPerUnit*TotalUnits/12*JG$8,0)</f>
        <v/>
      </c>
      <c r="JH26" s="218">
        <f>IF(264&gt;=DeliverStart,ExpAdminPerUnit*TotalUnits/12*JH$8,0)</f>
        <v/>
      </c>
      <c r="JI26" s="218">
        <f>IF(265&gt;=DeliverStart,ExpAdminPerUnit*TotalUnits/12*JI$8,0)</f>
        <v/>
      </c>
      <c r="JJ26" s="218">
        <f>IF(266&gt;=DeliverStart,ExpAdminPerUnit*TotalUnits/12*JJ$8,0)</f>
        <v/>
      </c>
      <c r="JK26" s="218">
        <f>IF(267&gt;=DeliverStart,ExpAdminPerUnit*TotalUnits/12*JK$8,0)</f>
        <v/>
      </c>
      <c r="JL26" s="218">
        <f>IF(268&gt;=DeliverStart,ExpAdminPerUnit*TotalUnits/12*JL$8,0)</f>
        <v/>
      </c>
      <c r="JM26" s="218">
        <f>IF(269&gt;=DeliverStart,ExpAdminPerUnit*TotalUnits/12*JM$8,0)</f>
        <v/>
      </c>
      <c r="JN26" s="218">
        <f>IF(270&gt;=DeliverStart,ExpAdminPerUnit*TotalUnits/12*JN$8,0)</f>
        <v/>
      </c>
      <c r="JO26" s="218">
        <f>IF(271&gt;=DeliverStart,ExpAdminPerUnit*TotalUnits/12*JO$8,0)</f>
        <v/>
      </c>
      <c r="JP26" s="218">
        <f>IF(272&gt;=DeliverStart,ExpAdminPerUnit*TotalUnits/12*JP$8,0)</f>
        <v/>
      </c>
      <c r="JQ26" s="218">
        <f>IF(273&gt;=DeliverStart,ExpAdminPerUnit*TotalUnits/12*JQ$8,0)</f>
        <v/>
      </c>
      <c r="JR26" s="218">
        <f>IF(274&gt;=DeliverStart,ExpAdminPerUnit*TotalUnits/12*JR$8,0)</f>
        <v/>
      </c>
      <c r="JS26" s="218">
        <f>IF(275&gt;=DeliverStart,ExpAdminPerUnit*TotalUnits/12*JS$8,0)</f>
        <v/>
      </c>
      <c r="JT26" s="218">
        <f>IF(276&gt;=DeliverStart,ExpAdminPerUnit*TotalUnits/12*JT$8,0)</f>
        <v/>
      </c>
      <c r="JU26" s="218">
        <f>IF(277&gt;=DeliverStart,ExpAdminPerUnit*TotalUnits/12*JU$8,0)</f>
        <v/>
      </c>
      <c r="JV26" s="218">
        <f>IF(278&gt;=DeliverStart,ExpAdminPerUnit*TotalUnits/12*JV$8,0)</f>
        <v/>
      </c>
      <c r="JW26" s="218">
        <f>IF(279&gt;=DeliverStart,ExpAdminPerUnit*TotalUnits/12*JW$8,0)</f>
        <v/>
      </c>
      <c r="JX26" s="218">
        <f>IF(280&gt;=DeliverStart,ExpAdminPerUnit*TotalUnits/12*JX$8,0)</f>
        <v/>
      </c>
      <c r="JY26" s="218">
        <f>IF(281&gt;=DeliverStart,ExpAdminPerUnit*TotalUnits/12*JY$8,0)</f>
        <v/>
      </c>
      <c r="JZ26" s="218">
        <f>IF(282&gt;=DeliverStart,ExpAdminPerUnit*TotalUnits/12*JZ$8,0)</f>
        <v/>
      </c>
      <c r="KA26" s="218">
        <f>IF(283&gt;=DeliverStart,ExpAdminPerUnit*TotalUnits/12*KA$8,0)</f>
        <v/>
      </c>
      <c r="KB26" s="218">
        <f>IF(284&gt;=DeliverStart,ExpAdminPerUnit*TotalUnits/12*KB$8,0)</f>
        <v/>
      </c>
      <c r="KC26" s="218">
        <f>IF(285&gt;=DeliverStart,ExpAdminPerUnit*TotalUnits/12*KC$8,0)</f>
        <v/>
      </c>
      <c r="KD26" s="218">
        <f>IF(286&gt;=DeliverStart,ExpAdminPerUnit*TotalUnits/12*KD$8,0)</f>
        <v/>
      </c>
      <c r="KE26" s="218">
        <f>IF(287&gt;=DeliverStart,ExpAdminPerUnit*TotalUnits/12*KE$8,0)</f>
        <v/>
      </c>
      <c r="KF26" s="218">
        <f>IF(288&gt;=DeliverStart,ExpAdminPerUnit*TotalUnits/12*KF$8,0)</f>
        <v/>
      </c>
      <c r="KG26" s="218">
        <f>IF(289&gt;=DeliverStart,ExpAdminPerUnit*TotalUnits/12*KG$8,0)</f>
        <v/>
      </c>
      <c r="KH26" s="218">
        <f>IF(290&gt;=DeliverStart,ExpAdminPerUnit*TotalUnits/12*KH$8,0)</f>
        <v/>
      </c>
      <c r="KI26" s="218">
        <f>IF(291&gt;=DeliverStart,ExpAdminPerUnit*TotalUnits/12*KI$8,0)</f>
        <v/>
      </c>
      <c r="KJ26" s="218">
        <f>IF(292&gt;=DeliverStart,ExpAdminPerUnit*TotalUnits/12*KJ$8,0)</f>
        <v/>
      </c>
      <c r="KK26" s="218">
        <f>IF(293&gt;=DeliverStart,ExpAdminPerUnit*TotalUnits/12*KK$8,0)</f>
        <v/>
      </c>
      <c r="KL26" s="218">
        <f>IF(294&gt;=DeliverStart,ExpAdminPerUnit*TotalUnits/12*KL$8,0)</f>
        <v/>
      </c>
      <c r="KM26" s="218">
        <f>IF(295&gt;=DeliverStart,ExpAdminPerUnit*TotalUnits/12*KM$8,0)</f>
        <v/>
      </c>
      <c r="KN26" s="218">
        <f>IF(296&gt;=DeliverStart,ExpAdminPerUnit*TotalUnits/12*KN$8,0)</f>
        <v/>
      </c>
      <c r="KO26" s="218">
        <f>IF(297&gt;=DeliverStart,ExpAdminPerUnit*TotalUnits/12*KO$8,0)</f>
        <v/>
      </c>
      <c r="KP26" s="218">
        <f>IF(298&gt;=DeliverStart,ExpAdminPerUnit*TotalUnits/12*KP$8,0)</f>
        <v/>
      </c>
      <c r="KQ26" s="218">
        <f>IF(299&gt;=DeliverStart,ExpAdminPerUnit*TotalUnits/12*KQ$8,0)</f>
        <v/>
      </c>
      <c r="KR26" s="218">
        <f>IF(300&gt;=DeliverStart,ExpAdminPerUnit*TotalUnits/12*KR$8,0)</f>
        <v/>
      </c>
      <c r="KS26" s="218">
        <f>IF(301&gt;=DeliverStart,ExpAdminPerUnit*TotalUnits/12*KS$8,0)</f>
        <v/>
      </c>
      <c r="KT26" s="218">
        <f>IF(302&gt;=DeliverStart,ExpAdminPerUnit*TotalUnits/12*KT$8,0)</f>
        <v/>
      </c>
      <c r="KU26" s="218">
        <f>IF(303&gt;=DeliverStart,ExpAdminPerUnit*TotalUnits/12*KU$8,0)</f>
        <v/>
      </c>
      <c r="KV26" s="218">
        <f>IF(304&gt;=DeliverStart,ExpAdminPerUnit*TotalUnits/12*KV$8,0)</f>
        <v/>
      </c>
      <c r="KW26" s="218">
        <f>IF(305&gt;=DeliverStart,ExpAdminPerUnit*TotalUnits/12*KW$8,0)</f>
        <v/>
      </c>
      <c r="KX26" s="218">
        <f>IF(306&gt;=DeliverStart,ExpAdminPerUnit*TotalUnits/12*KX$8,0)</f>
        <v/>
      </c>
      <c r="KY26" s="218">
        <f>IF(307&gt;=DeliverStart,ExpAdminPerUnit*TotalUnits/12*KY$8,0)</f>
        <v/>
      </c>
      <c r="KZ26" s="218">
        <f>IF(308&gt;=DeliverStart,ExpAdminPerUnit*TotalUnits/12*KZ$8,0)</f>
        <v/>
      </c>
      <c r="LA26" s="218">
        <f>IF(309&gt;=DeliverStart,ExpAdminPerUnit*TotalUnits/12*LA$8,0)</f>
        <v/>
      </c>
      <c r="LB26" s="218">
        <f>IF(310&gt;=DeliverStart,ExpAdminPerUnit*TotalUnits/12*LB$8,0)</f>
        <v/>
      </c>
      <c r="LC26" s="218">
        <f>IF(311&gt;=DeliverStart,ExpAdminPerUnit*TotalUnits/12*LC$8,0)</f>
        <v/>
      </c>
      <c r="LD26" s="218">
        <f>IF(312&gt;=DeliverStart,ExpAdminPerUnit*TotalUnits/12*LD$8,0)</f>
        <v/>
      </c>
      <c r="LE26" s="218">
        <f>IF(313&gt;=DeliverStart,ExpAdminPerUnit*TotalUnits/12*LE$8,0)</f>
        <v/>
      </c>
      <c r="LF26" s="218">
        <f>IF(314&gt;=DeliverStart,ExpAdminPerUnit*TotalUnits/12*LF$8,0)</f>
        <v/>
      </c>
      <c r="LG26" s="218">
        <f>IF(315&gt;=DeliverStart,ExpAdminPerUnit*TotalUnits/12*LG$8,0)</f>
        <v/>
      </c>
      <c r="LH26" s="218">
        <f>IF(316&gt;=DeliverStart,ExpAdminPerUnit*TotalUnits/12*LH$8,0)</f>
        <v/>
      </c>
      <c r="LI26" s="218">
        <f>IF(317&gt;=DeliverStart,ExpAdminPerUnit*TotalUnits/12*LI$8,0)</f>
        <v/>
      </c>
      <c r="LJ26" s="218">
        <f>IF(318&gt;=DeliverStart,ExpAdminPerUnit*TotalUnits/12*LJ$8,0)</f>
        <v/>
      </c>
      <c r="LK26" s="218">
        <f>IF(319&gt;=DeliverStart,ExpAdminPerUnit*TotalUnits/12*LK$8,0)</f>
        <v/>
      </c>
      <c r="LL26" s="218">
        <f>IF(320&gt;=DeliverStart,ExpAdminPerUnit*TotalUnits/12*LL$8,0)</f>
        <v/>
      </c>
      <c r="LM26" s="218">
        <f>IF(321&gt;=DeliverStart,ExpAdminPerUnit*TotalUnits/12*LM$8,0)</f>
        <v/>
      </c>
      <c r="LN26" s="218">
        <f>IF(322&gt;=DeliverStart,ExpAdminPerUnit*TotalUnits/12*LN$8,0)</f>
        <v/>
      </c>
      <c r="LO26" s="218">
        <f>IF(323&gt;=DeliverStart,ExpAdminPerUnit*TotalUnits/12*LO$8,0)</f>
        <v/>
      </c>
      <c r="LP26" s="218">
        <f>IF(324&gt;=DeliverStart,ExpAdminPerUnit*TotalUnits/12*LP$8,0)</f>
        <v/>
      </c>
      <c r="LQ26" s="218">
        <f>IF(325&gt;=DeliverStart,ExpAdminPerUnit*TotalUnits/12*LQ$8,0)</f>
        <v/>
      </c>
      <c r="LR26" s="218">
        <f>IF(326&gt;=DeliverStart,ExpAdminPerUnit*TotalUnits/12*LR$8,0)</f>
        <v/>
      </c>
      <c r="LS26" s="218">
        <f>IF(327&gt;=DeliverStart,ExpAdminPerUnit*TotalUnits/12*LS$8,0)</f>
        <v/>
      </c>
      <c r="LT26" s="218">
        <f>IF(328&gt;=DeliverStart,ExpAdminPerUnit*TotalUnits/12*LT$8,0)</f>
        <v/>
      </c>
      <c r="LU26" s="218">
        <f>IF(329&gt;=DeliverStart,ExpAdminPerUnit*TotalUnits/12*LU$8,0)</f>
        <v/>
      </c>
      <c r="LV26" s="218">
        <f>IF(330&gt;=DeliverStart,ExpAdminPerUnit*TotalUnits/12*LV$8,0)</f>
        <v/>
      </c>
      <c r="LW26" s="218">
        <f>IF(331&gt;=DeliverStart,ExpAdminPerUnit*TotalUnits/12*LW$8,0)</f>
        <v/>
      </c>
      <c r="LX26" s="218">
        <f>IF(332&gt;=DeliverStart,ExpAdminPerUnit*TotalUnits/12*LX$8,0)</f>
        <v/>
      </c>
      <c r="LY26" s="218">
        <f>IF(333&gt;=DeliverStart,ExpAdminPerUnit*TotalUnits/12*LY$8,0)</f>
        <v/>
      </c>
      <c r="LZ26" s="218">
        <f>IF(334&gt;=DeliverStart,ExpAdminPerUnit*TotalUnits/12*LZ$8,0)</f>
        <v/>
      </c>
      <c r="MA26" s="218">
        <f>IF(335&gt;=DeliverStart,ExpAdminPerUnit*TotalUnits/12*MA$8,0)</f>
        <v/>
      </c>
      <c r="MB26" s="218">
        <f>IF(336&gt;=DeliverStart,ExpAdminPerUnit*TotalUnits/12*MB$8,0)</f>
        <v/>
      </c>
      <c r="MC26" s="218">
        <f>IF(337&gt;=DeliverStart,ExpAdminPerUnit*TotalUnits/12*MC$8,0)</f>
        <v/>
      </c>
      <c r="MD26" s="218">
        <f>IF(338&gt;=DeliverStart,ExpAdminPerUnit*TotalUnits/12*MD$8,0)</f>
        <v/>
      </c>
      <c r="ME26" s="218">
        <f>IF(339&gt;=DeliverStart,ExpAdminPerUnit*TotalUnits/12*ME$8,0)</f>
        <v/>
      </c>
      <c r="MF26" s="218">
        <f>IF(340&gt;=DeliverStart,ExpAdminPerUnit*TotalUnits/12*MF$8,0)</f>
        <v/>
      </c>
      <c r="MG26" s="218">
        <f>IF(341&gt;=DeliverStart,ExpAdminPerUnit*TotalUnits/12*MG$8,0)</f>
        <v/>
      </c>
      <c r="MH26" s="218">
        <f>IF(342&gt;=DeliverStart,ExpAdminPerUnit*TotalUnits/12*MH$8,0)</f>
        <v/>
      </c>
      <c r="MI26" s="218">
        <f>IF(343&gt;=DeliverStart,ExpAdminPerUnit*TotalUnits/12*MI$8,0)</f>
        <v/>
      </c>
      <c r="MJ26" s="218">
        <f>IF(344&gt;=DeliverStart,ExpAdminPerUnit*TotalUnits/12*MJ$8,0)</f>
        <v/>
      </c>
      <c r="MK26" s="218">
        <f>IF(345&gt;=DeliverStart,ExpAdminPerUnit*TotalUnits/12*MK$8,0)</f>
        <v/>
      </c>
      <c r="ML26" s="218">
        <f>IF(346&gt;=DeliverStart,ExpAdminPerUnit*TotalUnits/12*ML$8,0)</f>
        <v/>
      </c>
      <c r="MM26" s="218">
        <f>IF(347&gt;=DeliverStart,ExpAdminPerUnit*TotalUnits/12*MM$8,0)</f>
        <v/>
      </c>
      <c r="MN26" s="218">
        <f>IF(348&gt;=DeliverStart,ExpAdminPerUnit*TotalUnits/12*MN$8,0)</f>
        <v/>
      </c>
      <c r="MO26" s="218">
        <f>IF(349&gt;=DeliverStart,ExpAdminPerUnit*TotalUnits/12*MO$8,0)</f>
        <v/>
      </c>
      <c r="MP26" s="218">
        <f>IF(350&gt;=DeliverStart,ExpAdminPerUnit*TotalUnits/12*MP$8,0)</f>
        <v/>
      </c>
      <c r="MQ26" s="218">
        <f>IF(351&gt;=DeliverStart,ExpAdminPerUnit*TotalUnits/12*MQ$8,0)</f>
        <v/>
      </c>
      <c r="MR26" s="218">
        <f>IF(352&gt;=DeliverStart,ExpAdminPerUnit*TotalUnits/12*MR$8,0)</f>
        <v/>
      </c>
      <c r="MS26" s="218">
        <f>IF(353&gt;=DeliverStart,ExpAdminPerUnit*TotalUnits/12*MS$8,0)</f>
        <v/>
      </c>
      <c r="MT26" s="218">
        <f>IF(354&gt;=DeliverStart,ExpAdminPerUnit*TotalUnits/12*MT$8,0)</f>
        <v/>
      </c>
      <c r="MU26" s="218">
        <f>IF(355&gt;=DeliverStart,ExpAdminPerUnit*TotalUnits/12*MU$8,0)</f>
        <v/>
      </c>
      <c r="MV26" s="218">
        <f>IF(356&gt;=DeliverStart,ExpAdminPerUnit*TotalUnits/12*MV$8,0)</f>
        <v/>
      </c>
      <c r="MW26" s="218">
        <f>IF(357&gt;=DeliverStart,ExpAdminPerUnit*TotalUnits/12*MW$8,0)</f>
        <v/>
      </c>
      <c r="MX26" s="218">
        <f>IF(358&gt;=DeliverStart,ExpAdminPerUnit*TotalUnits/12*MX$8,0)</f>
        <v/>
      </c>
      <c r="MY26" s="218">
        <f>IF(359&gt;=DeliverStart,ExpAdminPerUnit*TotalUnits/12*MY$8,0)</f>
        <v/>
      </c>
      <c r="MZ26" s="218">
        <f>IF(360&gt;=DeliverStart,ExpAdminPerUnit*TotalUnits/12*MZ$8,0)</f>
        <v/>
      </c>
      <c r="NA26" s="218">
        <f>IF(361&gt;=DeliverStart,ExpAdminPerUnit*TotalUnits/12*NA$8,0)</f>
        <v/>
      </c>
      <c r="NB26" s="218">
        <f>IF(362&gt;=DeliverStart,ExpAdminPerUnit*TotalUnits/12*NB$8,0)</f>
        <v/>
      </c>
      <c r="NC26" s="218">
        <f>IF(363&gt;=DeliverStart,ExpAdminPerUnit*TotalUnits/12*NC$8,0)</f>
        <v/>
      </c>
      <c r="ND26" s="218">
        <f>IF(364&gt;=DeliverStart,ExpAdminPerUnit*TotalUnits/12*ND$8,0)</f>
        <v/>
      </c>
      <c r="NE26" s="218">
        <f>IF(365&gt;=DeliverStart,ExpAdminPerUnit*TotalUnits/12*NE$8,0)</f>
        <v/>
      </c>
      <c r="NF26" s="218">
        <f>IF(366&gt;=DeliverStart,ExpAdminPerUnit*TotalUnits/12*NF$8,0)</f>
        <v/>
      </c>
      <c r="NG26" s="218">
        <f>IF(367&gt;=DeliverStart,ExpAdminPerUnit*TotalUnits/12*NG$8,0)</f>
        <v/>
      </c>
      <c r="NH26" s="218">
        <f>IF(368&gt;=DeliverStart,ExpAdminPerUnit*TotalUnits/12*NH$8,0)</f>
        <v/>
      </c>
      <c r="NI26" s="218">
        <f>IF(369&gt;=DeliverStart,ExpAdminPerUnit*TotalUnits/12*NI$8,0)</f>
        <v/>
      </c>
      <c r="NJ26" s="218">
        <f>IF(370&gt;=DeliverStart,ExpAdminPerUnit*TotalUnits/12*NJ$8,0)</f>
        <v/>
      </c>
      <c r="NK26" s="218">
        <f>IF(371&gt;=DeliverStart,ExpAdminPerUnit*TotalUnits/12*NK$8,0)</f>
        <v/>
      </c>
      <c r="NL26" s="225">
        <f>IF(372&gt;=DeliverStart,ExpAdminPerUnit*TotalUnits/12*NL$8,0)</f>
        <v/>
      </c>
    </row>
    <row r="27">
      <c r="B27" s="36" t="inlineStr">
        <is>
          <t>Utilities (variable)</t>
        </is>
      </c>
      <c r="D27" s="266">
        <f>SUM(E27:NL27)</f>
        <v/>
      </c>
      <c r="E27" s="218">
        <f>IF(1&gt;=DeliverStart,ExpUtilitiesPerUnit*TotalUnits/12*E$9*E$11,0)</f>
        <v/>
      </c>
      <c r="F27" s="218">
        <f>IF(2&gt;=DeliverStart,ExpUtilitiesPerUnit*TotalUnits/12*F$9*F$11,0)</f>
        <v/>
      </c>
      <c r="G27" s="218">
        <f>IF(3&gt;=DeliverStart,ExpUtilitiesPerUnit*TotalUnits/12*G$9*G$11,0)</f>
        <v/>
      </c>
      <c r="H27" s="218">
        <f>IF(4&gt;=DeliverStart,ExpUtilitiesPerUnit*TotalUnits/12*H$9*H$11,0)</f>
        <v/>
      </c>
      <c r="I27" s="218">
        <f>IF(5&gt;=DeliverStart,ExpUtilitiesPerUnit*TotalUnits/12*I$9*I$11,0)</f>
        <v/>
      </c>
      <c r="J27" s="218">
        <f>IF(6&gt;=DeliverStart,ExpUtilitiesPerUnit*TotalUnits/12*J$9*J$11,0)</f>
        <v/>
      </c>
      <c r="K27" s="218">
        <f>IF(7&gt;=DeliverStart,ExpUtilitiesPerUnit*TotalUnits/12*K$9*K$11,0)</f>
        <v/>
      </c>
      <c r="L27" s="218">
        <f>IF(8&gt;=DeliverStart,ExpUtilitiesPerUnit*TotalUnits/12*L$9*L$11,0)</f>
        <v/>
      </c>
      <c r="M27" s="218">
        <f>IF(9&gt;=DeliverStart,ExpUtilitiesPerUnit*TotalUnits/12*M$9*M$11,0)</f>
        <v/>
      </c>
      <c r="N27" s="218">
        <f>IF(10&gt;=DeliverStart,ExpUtilitiesPerUnit*TotalUnits/12*N$9*N$11,0)</f>
        <v/>
      </c>
      <c r="O27" s="218">
        <f>IF(11&gt;=DeliverStart,ExpUtilitiesPerUnit*TotalUnits/12*O$9*O$11,0)</f>
        <v/>
      </c>
      <c r="P27" s="218">
        <f>IF(12&gt;=DeliverStart,ExpUtilitiesPerUnit*TotalUnits/12*P$9*P$11,0)</f>
        <v/>
      </c>
      <c r="Q27" s="218">
        <f>IF(13&gt;=DeliverStart,ExpUtilitiesPerUnit*TotalUnits/12*Q$9*Q$11,0)</f>
        <v/>
      </c>
      <c r="R27" s="218">
        <f>IF(14&gt;=DeliverStart,ExpUtilitiesPerUnit*TotalUnits/12*R$9*R$11,0)</f>
        <v/>
      </c>
      <c r="S27" s="218">
        <f>IF(15&gt;=DeliverStart,ExpUtilitiesPerUnit*TotalUnits/12*S$9*S$11,0)</f>
        <v/>
      </c>
      <c r="T27" s="218">
        <f>IF(16&gt;=DeliverStart,ExpUtilitiesPerUnit*TotalUnits/12*T$9*T$11,0)</f>
        <v/>
      </c>
      <c r="U27" s="218">
        <f>IF(17&gt;=DeliverStart,ExpUtilitiesPerUnit*TotalUnits/12*U$9*U$11,0)</f>
        <v/>
      </c>
      <c r="V27" s="218">
        <f>IF(18&gt;=DeliverStart,ExpUtilitiesPerUnit*TotalUnits/12*V$9*V$11,0)</f>
        <v/>
      </c>
      <c r="W27" s="218">
        <f>IF(19&gt;=DeliverStart,ExpUtilitiesPerUnit*TotalUnits/12*W$9*W$11,0)</f>
        <v/>
      </c>
      <c r="X27" s="218">
        <f>IF(20&gt;=DeliverStart,ExpUtilitiesPerUnit*TotalUnits/12*X$9*X$11,0)</f>
        <v/>
      </c>
      <c r="Y27" s="218">
        <f>IF(21&gt;=DeliverStart,ExpUtilitiesPerUnit*TotalUnits/12*Y$9*Y$11,0)</f>
        <v/>
      </c>
      <c r="Z27" s="218">
        <f>IF(22&gt;=DeliverStart,ExpUtilitiesPerUnit*TotalUnits/12*Z$9*Z$11,0)</f>
        <v/>
      </c>
      <c r="AA27" s="218">
        <f>IF(23&gt;=DeliverStart,ExpUtilitiesPerUnit*TotalUnits/12*AA$9*AA$11,0)</f>
        <v/>
      </c>
      <c r="AB27" s="218">
        <f>IF(24&gt;=DeliverStart,ExpUtilitiesPerUnit*TotalUnits/12*AB$9*AB$11,0)</f>
        <v/>
      </c>
      <c r="AC27" s="218">
        <f>IF(25&gt;=DeliverStart,ExpUtilitiesPerUnit*TotalUnits/12*AC$9*AC$11,0)</f>
        <v/>
      </c>
      <c r="AD27" s="218">
        <f>IF(26&gt;=DeliverStart,ExpUtilitiesPerUnit*TotalUnits/12*AD$9*AD$11,0)</f>
        <v/>
      </c>
      <c r="AE27" s="218">
        <f>IF(27&gt;=DeliverStart,ExpUtilitiesPerUnit*TotalUnits/12*AE$9*AE$11,0)</f>
        <v/>
      </c>
      <c r="AF27" s="218">
        <f>IF(28&gt;=DeliverStart,ExpUtilitiesPerUnit*TotalUnits/12*AF$9*AF$11,0)</f>
        <v/>
      </c>
      <c r="AG27" s="218">
        <f>IF(29&gt;=DeliverStart,ExpUtilitiesPerUnit*TotalUnits/12*AG$9*AG$11,0)</f>
        <v/>
      </c>
      <c r="AH27" s="218">
        <f>IF(30&gt;=DeliverStart,ExpUtilitiesPerUnit*TotalUnits/12*AH$9*AH$11,0)</f>
        <v/>
      </c>
      <c r="AI27" s="218">
        <f>IF(31&gt;=DeliverStart,ExpUtilitiesPerUnit*TotalUnits/12*AI$9*AI$11,0)</f>
        <v/>
      </c>
      <c r="AJ27" s="218">
        <f>IF(32&gt;=DeliverStart,ExpUtilitiesPerUnit*TotalUnits/12*AJ$9*AJ$11,0)</f>
        <v/>
      </c>
      <c r="AK27" s="218">
        <f>IF(33&gt;=DeliverStart,ExpUtilitiesPerUnit*TotalUnits/12*AK$9*AK$11,0)</f>
        <v/>
      </c>
      <c r="AL27" s="218">
        <f>IF(34&gt;=DeliverStart,ExpUtilitiesPerUnit*TotalUnits/12*AL$9*AL$11,0)</f>
        <v/>
      </c>
      <c r="AM27" s="218">
        <f>IF(35&gt;=DeliverStart,ExpUtilitiesPerUnit*TotalUnits/12*AM$9*AM$11,0)</f>
        <v/>
      </c>
      <c r="AN27" s="218">
        <f>IF(36&gt;=DeliverStart,ExpUtilitiesPerUnit*TotalUnits/12*AN$9*AN$11,0)</f>
        <v/>
      </c>
      <c r="AO27" s="218">
        <f>IF(37&gt;=DeliverStart,ExpUtilitiesPerUnit*TotalUnits/12*AO$9*AO$11,0)</f>
        <v/>
      </c>
      <c r="AP27" s="218">
        <f>IF(38&gt;=DeliverStart,ExpUtilitiesPerUnit*TotalUnits/12*AP$9*AP$11,0)</f>
        <v/>
      </c>
      <c r="AQ27" s="218">
        <f>IF(39&gt;=DeliverStart,ExpUtilitiesPerUnit*TotalUnits/12*AQ$9*AQ$11,0)</f>
        <v/>
      </c>
      <c r="AR27" s="218">
        <f>IF(40&gt;=DeliverStart,ExpUtilitiesPerUnit*TotalUnits/12*AR$9*AR$11,0)</f>
        <v/>
      </c>
      <c r="AS27" s="218">
        <f>IF(41&gt;=DeliverStart,ExpUtilitiesPerUnit*TotalUnits/12*AS$9*AS$11,0)</f>
        <v/>
      </c>
      <c r="AT27" s="218">
        <f>IF(42&gt;=DeliverStart,ExpUtilitiesPerUnit*TotalUnits/12*AT$9*AT$11,0)</f>
        <v/>
      </c>
      <c r="AU27" s="218">
        <f>IF(43&gt;=DeliverStart,ExpUtilitiesPerUnit*TotalUnits/12*AU$9*AU$11,0)</f>
        <v/>
      </c>
      <c r="AV27" s="218">
        <f>IF(44&gt;=DeliverStart,ExpUtilitiesPerUnit*TotalUnits/12*AV$9*AV$11,0)</f>
        <v/>
      </c>
      <c r="AW27" s="218">
        <f>IF(45&gt;=DeliverStart,ExpUtilitiesPerUnit*TotalUnits/12*AW$9*AW$11,0)</f>
        <v/>
      </c>
      <c r="AX27" s="218">
        <f>IF(46&gt;=DeliverStart,ExpUtilitiesPerUnit*TotalUnits/12*AX$9*AX$11,0)</f>
        <v/>
      </c>
      <c r="AY27" s="218">
        <f>IF(47&gt;=DeliverStart,ExpUtilitiesPerUnit*TotalUnits/12*AY$9*AY$11,0)</f>
        <v/>
      </c>
      <c r="AZ27" s="218">
        <f>IF(48&gt;=DeliverStart,ExpUtilitiesPerUnit*TotalUnits/12*AZ$9*AZ$11,0)</f>
        <v/>
      </c>
      <c r="BA27" s="218">
        <f>IF(49&gt;=DeliverStart,ExpUtilitiesPerUnit*TotalUnits/12*BA$9*BA$11,0)</f>
        <v/>
      </c>
      <c r="BB27" s="218">
        <f>IF(50&gt;=DeliverStart,ExpUtilitiesPerUnit*TotalUnits/12*BB$9*BB$11,0)</f>
        <v/>
      </c>
      <c r="BC27" s="218">
        <f>IF(51&gt;=DeliverStart,ExpUtilitiesPerUnit*TotalUnits/12*BC$9*BC$11,0)</f>
        <v/>
      </c>
      <c r="BD27" s="218">
        <f>IF(52&gt;=DeliverStart,ExpUtilitiesPerUnit*TotalUnits/12*BD$9*BD$11,0)</f>
        <v/>
      </c>
      <c r="BE27" s="218">
        <f>IF(53&gt;=DeliverStart,ExpUtilitiesPerUnit*TotalUnits/12*BE$9*BE$11,0)</f>
        <v/>
      </c>
      <c r="BF27" s="218">
        <f>IF(54&gt;=DeliverStart,ExpUtilitiesPerUnit*TotalUnits/12*BF$9*BF$11,0)</f>
        <v/>
      </c>
      <c r="BG27" s="218">
        <f>IF(55&gt;=DeliverStart,ExpUtilitiesPerUnit*TotalUnits/12*BG$9*BG$11,0)</f>
        <v/>
      </c>
      <c r="BH27" s="218">
        <f>IF(56&gt;=DeliverStart,ExpUtilitiesPerUnit*TotalUnits/12*BH$9*BH$11,0)</f>
        <v/>
      </c>
      <c r="BI27" s="218">
        <f>IF(57&gt;=DeliverStart,ExpUtilitiesPerUnit*TotalUnits/12*BI$9*BI$11,0)</f>
        <v/>
      </c>
      <c r="BJ27" s="218">
        <f>IF(58&gt;=DeliverStart,ExpUtilitiesPerUnit*TotalUnits/12*BJ$9*BJ$11,0)</f>
        <v/>
      </c>
      <c r="BK27" s="218">
        <f>IF(59&gt;=DeliverStart,ExpUtilitiesPerUnit*TotalUnits/12*BK$9*BK$11,0)</f>
        <v/>
      </c>
      <c r="BL27" s="218">
        <f>IF(60&gt;=DeliverStart,ExpUtilitiesPerUnit*TotalUnits/12*BL$9*BL$11,0)</f>
        <v/>
      </c>
      <c r="BM27" s="218">
        <f>IF(61&gt;=DeliverStart,ExpUtilitiesPerUnit*TotalUnits/12*BM$9*BM$11,0)</f>
        <v/>
      </c>
      <c r="BN27" s="218">
        <f>IF(62&gt;=DeliverStart,ExpUtilitiesPerUnit*TotalUnits/12*BN$9*BN$11,0)</f>
        <v/>
      </c>
      <c r="BO27" s="218">
        <f>IF(63&gt;=DeliverStart,ExpUtilitiesPerUnit*TotalUnits/12*BO$9*BO$11,0)</f>
        <v/>
      </c>
      <c r="BP27" s="218">
        <f>IF(64&gt;=DeliverStart,ExpUtilitiesPerUnit*TotalUnits/12*BP$9*BP$11,0)</f>
        <v/>
      </c>
      <c r="BQ27" s="218">
        <f>IF(65&gt;=DeliverStart,ExpUtilitiesPerUnit*TotalUnits/12*BQ$9*BQ$11,0)</f>
        <v/>
      </c>
      <c r="BR27" s="218">
        <f>IF(66&gt;=DeliverStart,ExpUtilitiesPerUnit*TotalUnits/12*BR$9*BR$11,0)</f>
        <v/>
      </c>
      <c r="BS27" s="218">
        <f>IF(67&gt;=DeliverStart,ExpUtilitiesPerUnit*TotalUnits/12*BS$9*BS$11,0)</f>
        <v/>
      </c>
      <c r="BT27" s="218">
        <f>IF(68&gt;=DeliverStart,ExpUtilitiesPerUnit*TotalUnits/12*BT$9*BT$11,0)</f>
        <v/>
      </c>
      <c r="BU27" s="218">
        <f>IF(69&gt;=DeliverStart,ExpUtilitiesPerUnit*TotalUnits/12*BU$9*BU$11,0)</f>
        <v/>
      </c>
      <c r="BV27" s="218">
        <f>IF(70&gt;=DeliverStart,ExpUtilitiesPerUnit*TotalUnits/12*BV$9*BV$11,0)</f>
        <v/>
      </c>
      <c r="BW27" s="218">
        <f>IF(71&gt;=DeliverStart,ExpUtilitiesPerUnit*TotalUnits/12*BW$9*BW$11,0)</f>
        <v/>
      </c>
      <c r="BX27" s="218">
        <f>IF(72&gt;=DeliverStart,ExpUtilitiesPerUnit*TotalUnits/12*BX$9*BX$11,0)</f>
        <v/>
      </c>
      <c r="BY27" s="218">
        <f>IF(73&gt;=DeliverStart,ExpUtilitiesPerUnit*TotalUnits/12*BY$9*BY$11,0)</f>
        <v/>
      </c>
      <c r="BZ27" s="218">
        <f>IF(74&gt;=DeliverStart,ExpUtilitiesPerUnit*TotalUnits/12*BZ$9*BZ$11,0)</f>
        <v/>
      </c>
      <c r="CA27" s="218">
        <f>IF(75&gt;=DeliverStart,ExpUtilitiesPerUnit*TotalUnits/12*CA$9*CA$11,0)</f>
        <v/>
      </c>
      <c r="CB27" s="218">
        <f>IF(76&gt;=DeliverStart,ExpUtilitiesPerUnit*TotalUnits/12*CB$9*CB$11,0)</f>
        <v/>
      </c>
      <c r="CC27" s="218">
        <f>IF(77&gt;=DeliverStart,ExpUtilitiesPerUnit*TotalUnits/12*CC$9*CC$11,0)</f>
        <v/>
      </c>
      <c r="CD27" s="218">
        <f>IF(78&gt;=DeliverStart,ExpUtilitiesPerUnit*TotalUnits/12*CD$9*CD$11,0)</f>
        <v/>
      </c>
      <c r="CE27" s="218">
        <f>IF(79&gt;=DeliverStart,ExpUtilitiesPerUnit*TotalUnits/12*CE$9*CE$11,0)</f>
        <v/>
      </c>
      <c r="CF27" s="218">
        <f>IF(80&gt;=DeliverStart,ExpUtilitiesPerUnit*TotalUnits/12*CF$9*CF$11,0)</f>
        <v/>
      </c>
      <c r="CG27" s="218">
        <f>IF(81&gt;=DeliverStart,ExpUtilitiesPerUnit*TotalUnits/12*CG$9*CG$11,0)</f>
        <v/>
      </c>
      <c r="CH27" s="218">
        <f>IF(82&gt;=DeliverStart,ExpUtilitiesPerUnit*TotalUnits/12*CH$9*CH$11,0)</f>
        <v/>
      </c>
      <c r="CI27" s="218">
        <f>IF(83&gt;=DeliverStart,ExpUtilitiesPerUnit*TotalUnits/12*CI$9*CI$11,0)</f>
        <v/>
      </c>
      <c r="CJ27" s="218">
        <f>IF(84&gt;=DeliverStart,ExpUtilitiesPerUnit*TotalUnits/12*CJ$9*CJ$11,0)</f>
        <v/>
      </c>
      <c r="CK27" s="218">
        <f>IF(85&gt;=DeliverStart,ExpUtilitiesPerUnit*TotalUnits/12*CK$9*CK$11,0)</f>
        <v/>
      </c>
      <c r="CL27" s="218">
        <f>IF(86&gt;=DeliverStart,ExpUtilitiesPerUnit*TotalUnits/12*CL$9*CL$11,0)</f>
        <v/>
      </c>
      <c r="CM27" s="218">
        <f>IF(87&gt;=DeliverStart,ExpUtilitiesPerUnit*TotalUnits/12*CM$9*CM$11,0)</f>
        <v/>
      </c>
      <c r="CN27" s="218">
        <f>IF(88&gt;=DeliverStart,ExpUtilitiesPerUnit*TotalUnits/12*CN$9*CN$11,0)</f>
        <v/>
      </c>
      <c r="CO27" s="218">
        <f>IF(89&gt;=DeliverStart,ExpUtilitiesPerUnit*TotalUnits/12*CO$9*CO$11,0)</f>
        <v/>
      </c>
      <c r="CP27" s="218">
        <f>IF(90&gt;=DeliverStart,ExpUtilitiesPerUnit*TotalUnits/12*CP$9*CP$11,0)</f>
        <v/>
      </c>
      <c r="CQ27" s="218">
        <f>IF(91&gt;=DeliverStart,ExpUtilitiesPerUnit*TotalUnits/12*CQ$9*CQ$11,0)</f>
        <v/>
      </c>
      <c r="CR27" s="218">
        <f>IF(92&gt;=DeliverStart,ExpUtilitiesPerUnit*TotalUnits/12*CR$9*CR$11,0)</f>
        <v/>
      </c>
      <c r="CS27" s="218">
        <f>IF(93&gt;=DeliverStart,ExpUtilitiesPerUnit*TotalUnits/12*CS$9*CS$11,0)</f>
        <v/>
      </c>
      <c r="CT27" s="218">
        <f>IF(94&gt;=DeliverStart,ExpUtilitiesPerUnit*TotalUnits/12*CT$9*CT$11,0)</f>
        <v/>
      </c>
      <c r="CU27" s="218">
        <f>IF(95&gt;=DeliverStart,ExpUtilitiesPerUnit*TotalUnits/12*CU$9*CU$11,0)</f>
        <v/>
      </c>
      <c r="CV27" s="218">
        <f>IF(96&gt;=DeliverStart,ExpUtilitiesPerUnit*TotalUnits/12*CV$9*CV$11,0)</f>
        <v/>
      </c>
      <c r="CW27" s="218">
        <f>IF(97&gt;=DeliverStart,ExpUtilitiesPerUnit*TotalUnits/12*CW$9*CW$11,0)</f>
        <v/>
      </c>
      <c r="CX27" s="218">
        <f>IF(98&gt;=DeliverStart,ExpUtilitiesPerUnit*TotalUnits/12*CX$9*CX$11,0)</f>
        <v/>
      </c>
      <c r="CY27" s="218">
        <f>IF(99&gt;=DeliverStart,ExpUtilitiesPerUnit*TotalUnits/12*CY$9*CY$11,0)</f>
        <v/>
      </c>
      <c r="CZ27" s="218">
        <f>IF(100&gt;=DeliverStart,ExpUtilitiesPerUnit*TotalUnits/12*CZ$9*CZ$11,0)</f>
        <v/>
      </c>
      <c r="DA27" s="218">
        <f>IF(101&gt;=DeliverStart,ExpUtilitiesPerUnit*TotalUnits/12*DA$9*DA$11,0)</f>
        <v/>
      </c>
      <c r="DB27" s="218">
        <f>IF(102&gt;=DeliverStart,ExpUtilitiesPerUnit*TotalUnits/12*DB$9*DB$11,0)</f>
        <v/>
      </c>
      <c r="DC27" s="218">
        <f>IF(103&gt;=DeliverStart,ExpUtilitiesPerUnit*TotalUnits/12*DC$9*DC$11,0)</f>
        <v/>
      </c>
      <c r="DD27" s="218">
        <f>IF(104&gt;=DeliverStart,ExpUtilitiesPerUnit*TotalUnits/12*DD$9*DD$11,0)</f>
        <v/>
      </c>
      <c r="DE27" s="218">
        <f>IF(105&gt;=DeliverStart,ExpUtilitiesPerUnit*TotalUnits/12*DE$9*DE$11,0)</f>
        <v/>
      </c>
      <c r="DF27" s="218">
        <f>IF(106&gt;=DeliverStart,ExpUtilitiesPerUnit*TotalUnits/12*DF$9*DF$11,0)</f>
        <v/>
      </c>
      <c r="DG27" s="218">
        <f>IF(107&gt;=DeliverStart,ExpUtilitiesPerUnit*TotalUnits/12*DG$9*DG$11,0)</f>
        <v/>
      </c>
      <c r="DH27" s="218">
        <f>IF(108&gt;=DeliverStart,ExpUtilitiesPerUnit*TotalUnits/12*DH$9*DH$11,0)</f>
        <v/>
      </c>
      <c r="DI27" s="218">
        <f>IF(109&gt;=DeliverStart,ExpUtilitiesPerUnit*TotalUnits/12*DI$9*DI$11,0)</f>
        <v/>
      </c>
      <c r="DJ27" s="218">
        <f>IF(110&gt;=DeliverStart,ExpUtilitiesPerUnit*TotalUnits/12*DJ$9*DJ$11,0)</f>
        <v/>
      </c>
      <c r="DK27" s="218">
        <f>IF(111&gt;=DeliverStart,ExpUtilitiesPerUnit*TotalUnits/12*DK$9*DK$11,0)</f>
        <v/>
      </c>
      <c r="DL27" s="218">
        <f>IF(112&gt;=DeliverStart,ExpUtilitiesPerUnit*TotalUnits/12*DL$9*DL$11,0)</f>
        <v/>
      </c>
      <c r="DM27" s="218">
        <f>IF(113&gt;=DeliverStart,ExpUtilitiesPerUnit*TotalUnits/12*DM$9*DM$11,0)</f>
        <v/>
      </c>
      <c r="DN27" s="218">
        <f>IF(114&gt;=DeliverStart,ExpUtilitiesPerUnit*TotalUnits/12*DN$9*DN$11,0)</f>
        <v/>
      </c>
      <c r="DO27" s="218">
        <f>IF(115&gt;=DeliverStart,ExpUtilitiesPerUnit*TotalUnits/12*DO$9*DO$11,0)</f>
        <v/>
      </c>
      <c r="DP27" s="218">
        <f>IF(116&gt;=DeliverStart,ExpUtilitiesPerUnit*TotalUnits/12*DP$9*DP$11,0)</f>
        <v/>
      </c>
      <c r="DQ27" s="218">
        <f>IF(117&gt;=DeliverStart,ExpUtilitiesPerUnit*TotalUnits/12*DQ$9*DQ$11,0)</f>
        <v/>
      </c>
      <c r="DR27" s="218">
        <f>IF(118&gt;=DeliverStart,ExpUtilitiesPerUnit*TotalUnits/12*DR$9*DR$11,0)</f>
        <v/>
      </c>
      <c r="DS27" s="218">
        <f>IF(119&gt;=DeliverStart,ExpUtilitiesPerUnit*TotalUnits/12*DS$9*DS$11,0)</f>
        <v/>
      </c>
      <c r="DT27" s="218">
        <f>IF(120&gt;=DeliverStart,ExpUtilitiesPerUnit*TotalUnits/12*DT$9*DT$11,0)</f>
        <v/>
      </c>
      <c r="DU27" s="218">
        <f>IF(121&gt;=DeliverStart,ExpUtilitiesPerUnit*TotalUnits/12*DU$9*DU$11,0)</f>
        <v/>
      </c>
      <c r="DV27" s="218">
        <f>IF(122&gt;=DeliverStart,ExpUtilitiesPerUnit*TotalUnits/12*DV$9*DV$11,0)</f>
        <v/>
      </c>
      <c r="DW27" s="218">
        <f>IF(123&gt;=DeliverStart,ExpUtilitiesPerUnit*TotalUnits/12*DW$9*DW$11,0)</f>
        <v/>
      </c>
      <c r="DX27" s="218">
        <f>IF(124&gt;=DeliverStart,ExpUtilitiesPerUnit*TotalUnits/12*DX$9*DX$11,0)</f>
        <v/>
      </c>
      <c r="DY27" s="218">
        <f>IF(125&gt;=DeliverStart,ExpUtilitiesPerUnit*TotalUnits/12*DY$9*DY$11,0)</f>
        <v/>
      </c>
      <c r="DZ27" s="218">
        <f>IF(126&gt;=DeliverStart,ExpUtilitiesPerUnit*TotalUnits/12*DZ$9*DZ$11,0)</f>
        <v/>
      </c>
      <c r="EA27" s="218">
        <f>IF(127&gt;=DeliverStart,ExpUtilitiesPerUnit*TotalUnits/12*EA$9*EA$11,0)</f>
        <v/>
      </c>
      <c r="EB27" s="218">
        <f>IF(128&gt;=DeliverStart,ExpUtilitiesPerUnit*TotalUnits/12*EB$9*EB$11,0)</f>
        <v/>
      </c>
      <c r="EC27" s="218">
        <f>IF(129&gt;=DeliverStart,ExpUtilitiesPerUnit*TotalUnits/12*EC$9*EC$11,0)</f>
        <v/>
      </c>
      <c r="ED27" s="218">
        <f>IF(130&gt;=DeliverStart,ExpUtilitiesPerUnit*TotalUnits/12*ED$9*ED$11,0)</f>
        <v/>
      </c>
      <c r="EE27" s="218">
        <f>IF(131&gt;=DeliverStart,ExpUtilitiesPerUnit*TotalUnits/12*EE$9*EE$11,0)</f>
        <v/>
      </c>
      <c r="EF27" s="218">
        <f>IF(132&gt;=DeliverStart,ExpUtilitiesPerUnit*TotalUnits/12*EF$9*EF$11,0)</f>
        <v/>
      </c>
      <c r="EG27" s="218">
        <f>IF(133&gt;=DeliverStart,ExpUtilitiesPerUnit*TotalUnits/12*EG$9*EG$11,0)</f>
        <v/>
      </c>
      <c r="EH27" s="218">
        <f>IF(134&gt;=DeliverStart,ExpUtilitiesPerUnit*TotalUnits/12*EH$9*EH$11,0)</f>
        <v/>
      </c>
      <c r="EI27" s="218">
        <f>IF(135&gt;=DeliverStart,ExpUtilitiesPerUnit*TotalUnits/12*EI$9*EI$11,0)</f>
        <v/>
      </c>
      <c r="EJ27" s="218">
        <f>IF(136&gt;=DeliverStart,ExpUtilitiesPerUnit*TotalUnits/12*EJ$9*EJ$11,0)</f>
        <v/>
      </c>
      <c r="EK27" s="218">
        <f>IF(137&gt;=DeliverStart,ExpUtilitiesPerUnit*TotalUnits/12*EK$9*EK$11,0)</f>
        <v/>
      </c>
      <c r="EL27" s="218">
        <f>IF(138&gt;=DeliverStart,ExpUtilitiesPerUnit*TotalUnits/12*EL$9*EL$11,0)</f>
        <v/>
      </c>
      <c r="EM27" s="218">
        <f>IF(139&gt;=DeliverStart,ExpUtilitiesPerUnit*TotalUnits/12*EM$9*EM$11,0)</f>
        <v/>
      </c>
      <c r="EN27" s="218">
        <f>IF(140&gt;=DeliverStart,ExpUtilitiesPerUnit*TotalUnits/12*EN$9*EN$11,0)</f>
        <v/>
      </c>
      <c r="EO27" s="218">
        <f>IF(141&gt;=DeliverStart,ExpUtilitiesPerUnit*TotalUnits/12*EO$9*EO$11,0)</f>
        <v/>
      </c>
      <c r="EP27" s="218">
        <f>IF(142&gt;=DeliverStart,ExpUtilitiesPerUnit*TotalUnits/12*EP$9*EP$11,0)</f>
        <v/>
      </c>
      <c r="EQ27" s="218">
        <f>IF(143&gt;=DeliverStart,ExpUtilitiesPerUnit*TotalUnits/12*EQ$9*EQ$11,0)</f>
        <v/>
      </c>
      <c r="ER27" s="218">
        <f>IF(144&gt;=DeliverStart,ExpUtilitiesPerUnit*TotalUnits/12*ER$9*ER$11,0)</f>
        <v/>
      </c>
      <c r="ES27" s="218">
        <f>IF(145&gt;=DeliverStart,ExpUtilitiesPerUnit*TotalUnits/12*ES$9*ES$11,0)</f>
        <v/>
      </c>
      <c r="ET27" s="218">
        <f>IF(146&gt;=DeliverStart,ExpUtilitiesPerUnit*TotalUnits/12*ET$9*ET$11,0)</f>
        <v/>
      </c>
      <c r="EU27" s="218">
        <f>IF(147&gt;=DeliverStart,ExpUtilitiesPerUnit*TotalUnits/12*EU$9*EU$11,0)</f>
        <v/>
      </c>
      <c r="EV27" s="218">
        <f>IF(148&gt;=DeliverStart,ExpUtilitiesPerUnit*TotalUnits/12*EV$9*EV$11,0)</f>
        <v/>
      </c>
      <c r="EW27" s="218">
        <f>IF(149&gt;=DeliverStart,ExpUtilitiesPerUnit*TotalUnits/12*EW$9*EW$11,0)</f>
        <v/>
      </c>
      <c r="EX27" s="218">
        <f>IF(150&gt;=DeliverStart,ExpUtilitiesPerUnit*TotalUnits/12*EX$9*EX$11,0)</f>
        <v/>
      </c>
      <c r="EY27" s="218">
        <f>IF(151&gt;=DeliverStart,ExpUtilitiesPerUnit*TotalUnits/12*EY$9*EY$11,0)</f>
        <v/>
      </c>
      <c r="EZ27" s="218">
        <f>IF(152&gt;=DeliverStart,ExpUtilitiesPerUnit*TotalUnits/12*EZ$9*EZ$11,0)</f>
        <v/>
      </c>
      <c r="FA27" s="218">
        <f>IF(153&gt;=DeliverStart,ExpUtilitiesPerUnit*TotalUnits/12*FA$9*FA$11,0)</f>
        <v/>
      </c>
      <c r="FB27" s="218">
        <f>IF(154&gt;=DeliverStart,ExpUtilitiesPerUnit*TotalUnits/12*FB$9*FB$11,0)</f>
        <v/>
      </c>
      <c r="FC27" s="218">
        <f>IF(155&gt;=DeliverStart,ExpUtilitiesPerUnit*TotalUnits/12*FC$9*FC$11,0)</f>
        <v/>
      </c>
      <c r="FD27" s="218">
        <f>IF(156&gt;=DeliverStart,ExpUtilitiesPerUnit*TotalUnits/12*FD$9*FD$11,0)</f>
        <v/>
      </c>
      <c r="FE27" s="218">
        <f>IF(157&gt;=DeliverStart,ExpUtilitiesPerUnit*TotalUnits/12*FE$9*FE$11,0)</f>
        <v/>
      </c>
      <c r="FF27" s="218">
        <f>IF(158&gt;=DeliverStart,ExpUtilitiesPerUnit*TotalUnits/12*FF$9*FF$11,0)</f>
        <v/>
      </c>
      <c r="FG27" s="218">
        <f>IF(159&gt;=DeliverStart,ExpUtilitiesPerUnit*TotalUnits/12*FG$9*FG$11,0)</f>
        <v/>
      </c>
      <c r="FH27" s="218">
        <f>IF(160&gt;=DeliverStart,ExpUtilitiesPerUnit*TotalUnits/12*FH$9*FH$11,0)</f>
        <v/>
      </c>
      <c r="FI27" s="218">
        <f>IF(161&gt;=DeliverStart,ExpUtilitiesPerUnit*TotalUnits/12*FI$9*FI$11,0)</f>
        <v/>
      </c>
      <c r="FJ27" s="218">
        <f>IF(162&gt;=DeliverStart,ExpUtilitiesPerUnit*TotalUnits/12*FJ$9*FJ$11,0)</f>
        <v/>
      </c>
      <c r="FK27" s="218">
        <f>IF(163&gt;=DeliverStart,ExpUtilitiesPerUnit*TotalUnits/12*FK$9*FK$11,0)</f>
        <v/>
      </c>
      <c r="FL27" s="218">
        <f>IF(164&gt;=DeliverStart,ExpUtilitiesPerUnit*TotalUnits/12*FL$9*FL$11,0)</f>
        <v/>
      </c>
      <c r="FM27" s="218">
        <f>IF(165&gt;=DeliverStart,ExpUtilitiesPerUnit*TotalUnits/12*FM$9*FM$11,0)</f>
        <v/>
      </c>
      <c r="FN27" s="218">
        <f>IF(166&gt;=DeliverStart,ExpUtilitiesPerUnit*TotalUnits/12*FN$9*FN$11,0)</f>
        <v/>
      </c>
      <c r="FO27" s="218">
        <f>IF(167&gt;=DeliverStart,ExpUtilitiesPerUnit*TotalUnits/12*FO$9*FO$11,0)</f>
        <v/>
      </c>
      <c r="FP27" s="218">
        <f>IF(168&gt;=DeliverStart,ExpUtilitiesPerUnit*TotalUnits/12*FP$9*FP$11,0)</f>
        <v/>
      </c>
      <c r="FQ27" s="218">
        <f>IF(169&gt;=DeliverStart,ExpUtilitiesPerUnit*TotalUnits/12*FQ$9*FQ$11,0)</f>
        <v/>
      </c>
      <c r="FR27" s="218">
        <f>IF(170&gt;=DeliverStart,ExpUtilitiesPerUnit*TotalUnits/12*FR$9*FR$11,0)</f>
        <v/>
      </c>
      <c r="FS27" s="218">
        <f>IF(171&gt;=DeliverStart,ExpUtilitiesPerUnit*TotalUnits/12*FS$9*FS$11,0)</f>
        <v/>
      </c>
      <c r="FT27" s="218">
        <f>IF(172&gt;=DeliverStart,ExpUtilitiesPerUnit*TotalUnits/12*FT$9*FT$11,0)</f>
        <v/>
      </c>
      <c r="FU27" s="218">
        <f>IF(173&gt;=DeliverStart,ExpUtilitiesPerUnit*TotalUnits/12*FU$9*FU$11,0)</f>
        <v/>
      </c>
      <c r="FV27" s="218">
        <f>IF(174&gt;=DeliverStart,ExpUtilitiesPerUnit*TotalUnits/12*FV$9*FV$11,0)</f>
        <v/>
      </c>
      <c r="FW27" s="218">
        <f>IF(175&gt;=DeliverStart,ExpUtilitiesPerUnit*TotalUnits/12*FW$9*FW$11,0)</f>
        <v/>
      </c>
      <c r="FX27" s="218">
        <f>IF(176&gt;=DeliverStart,ExpUtilitiesPerUnit*TotalUnits/12*FX$9*FX$11,0)</f>
        <v/>
      </c>
      <c r="FY27" s="218">
        <f>IF(177&gt;=DeliverStart,ExpUtilitiesPerUnit*TotalUnits/12*FY$9*FY$11,0)</f>
        <v/>
      </c>
      <c r="FZ27" s="218">
        <f>IF(178&gt;=DeliverStart,ExpUtilitiesPerUnit*TotalUnits/12*FZ$9*FZ$11,0)</f>
        <v/>
      </c>
      <c r="GA27" s="218">
        <f>IF(179&gt;=DeliverStart,ExpUtilitiesPerUnit*TotalUnits/12*GA$9*GA$11,0)</f>
        <v/>
      </c>
      <c r="GB27" s="218">
        <f>IF(180&gt;=DeliverStart,ExpUtilitiesPerUnit*TotalUnits/12*GB$9*GB$11,0)</f>
        <v/>
      </c>
      <c r="GC27" s="218">
        <f>IF(181&gt;=DeliverStart,ExpUtilitiesPerUnit*TotalUnits/12*GC$9*GC$11,0)</f>
        <v/>
      </c>
      <c r="GD27" s="218">
        <f>IF(182&gt;=DeliverStart,ExpUtilitiesPerUnit*TotalUnits/12*GD$9*GD$11,0)</f>
        <v/>
      </c>
      <c r="GE27" s="218">
        <f>IF(183&gt;=DeliverStart,ExpUtilitiesPerUnit*TotalUnits/12*GE$9*GE$11,0)</f>
        <v/>
      </c>
      <c r="GF27" s="218">
        <f>IF(184&gt;=DeliverStart,ExpUtilitiesPerUnit*TotalUnits/12*GF$9*GF$11,0)</f>
        <v/>
      </c>
      <c r="GG27" s="218">
        <f>IF(185&gt;=DeliverStart,ExpUtilitiesPerUnit*TotalUnits/12*GG$9*GG$11,0)</f>
        <v/>
      </c>
      <c r="GH27" s="218">
        <f>IF(186&gt;=DeliverStart,ExpUtilitiesPerUnit*TotalUnits/12*GH$9*GH$11,0)</f>
        <v/>
      </c>
      <c r="GI27" s="218">
        <f>IF(187&gt;=DeliverStart,ExpUtilitiesPerUnit*TotalUnits/12*GI$9*GI$11,0)</f>
        <v/>
      </c>
      <c r="GJ27" s="218">
        <f>IF(188&gt;=DeliverStart,ExpUtilitiesPerUnit*TotalUnits/12*GJ$9*GJ$11,0)</f>
        <v/>
      </c>
      <c r="GK27" s="218">
        <f>IF(189&gt;=DeliverStart,ExpUtilitiesPerUnit*TotalUnits/12*GK$9*GK$11,0)</f>
        <v/>
      </c>
      <c r="GL27" s="218">
        <f>IF(190&gt;=DeliverStart,ExpUtilitiesPerUnit*TotalUnits/12*GL$9*GL$11,0)</f>
        <v/>
      </c>
      <c r="GM27" s="218">
        <f>IF(191&gt;=DeliverStart,ExpUtilitiesPerUnit*TotalUnits/12*GM$9*GM$11,0)</f>
        <v/>
      </c>
      <c r="GN27" s="218">
        <f>IF(192&gt;=DeliverStart,ExpUtilitiesPerUnit*TotalUnits/12*GN$9*GN$11,0)</f>
        <v/>
      </c>
      <c r="GO27" s="218">
        <f>IF(193&gt;=DeliverStart,ExpUtilitiesPerUnit*TotalUnits/12*GO$9*GO$11,0)</f>
        <v/>
      </c>
      <c r="GP27" s="218">
        <f>IF(194&gt;=DeliverStart,ExpUtilitiesPerUnit*TotalUnits/12*GP$9*GP$11,0)</f>
        <v/>
      </c>
      <c r="GQ27" s="218">
        <f>IF(195&gt;=DeliverStart,ExpUtilitiesPerUnit*TotalUnits/12*GQ$9*GQ$11,0)</f>
        <v/>
      </c>
      <c r="GR27" s="218">
        <f>IF(196&gt;=DeliverStart,ExpUtilitiesPerUnit*TotalUnits/12*GR$9*GR$11,0)</f>
        <v/>
      </c>
      <c r="GS27" s="218">
        <f>IF(197&gt;=DeliverStart,ExpUtilitiesPerUnit*TotalUnits/12*GS$9*GS$11,0)</f>
        <v/>
      </c>
      <c r="GT27" s="218">
        <f>IF(198&gt;=DeliverStart,ExpUtilitiesPerUnit*TotalUnits/12*GT$9*GT$11,0)</f>
        <v/>
      </c>
      <c r="GU27" s="218">
        <f>IF(199&gt;=DeliverStart,ExpUtilitiesPerUnit*TotalUnits/12*GU$9*GU$11,0)</f>
        <v/>
      </c>
      <c r="GV27" s="218">
        <f>IF(200&gt;=DeliverStart,ExpUtilitiesPerUnit*TotalUnits/12*GV$9*GV$11,0)</f>
        <v/>
      </c>
      <c r="GW27" s="218">
        <f>IF(201&gt;=DeliverStart,ExpUtilitiesPerUnit*TotalUnits/12*GW$9*GW$11,0)</f>
        <v/>
      </c>
      <c r="GX27" s="218">
        <f>IF(202&gt;=DeliverStart,ExpUtilitiesPerUnit*TotalUnits/12*GX$9*GX$11,0)</f>
        <v/>
      </c>
      <c r="GY27" s="218">
        <f>IF(203&gt;=DeliverStart,ExpUtilitiesPerUnit*TotalUnits/12*GY$9*GY$11,0)</f>
        <v/>
      </c>
      <c r="GZ27" s="218">
        <f>IF(204&gt;=DeliverStart,ExpUtilitiesPerUnit*TotalUnits/12*GZ$9*GZ$11,0)</f>
        <v/>
      </c>
      <c r="HA27" s="218">
        <f>IF(205&gt;=DeliverStart,ExpUtilitiesPerUnit*TotalUnits/12*HA$9*HA$11,0)</f>
        <v/>
      </c>
      <c r="HB27" s="218">
        <f>IF(206&gt;=DeliverStart,ExpUtilitiesPerUnit*TotalUnits/12*HB$9*HB$11,0)</f>
        <v/>
      </c>
      <c r="HC27" s="218">
        <f>IF(207&gt;=DeliverStart,ExpUtilitiesPerUnit*TotalUnits/12*HC$9*HC$11,0)</f>
        <v/>
      </c>
      <c r="HD27" s="218">
        <f>IF(208&gt;=DeliverStart,ExpUtilitiesPerUnit*TotalUnits/12*HD$9*HD$11,0)</f>
        <v/>
      </c>
      <c r="HE27" s="218">
        <f>IF(209&gt;=DeliverStart,ExpUtilitiesPerUnit*TotalUnits/12*HE$9*HE$11,0)</f>
        <v/>
      </c>
      <c r="HF27" s="218">
        <f>IF(210&gt;=DeliverStart,ExpUtilitiesPerUnit*TotalUnits/12*HF$9*HF$11,0)</f>
        <v/>
      </c>
      <c r="HG27" s="218">
        <f>IF(211&gt;=DeliverStart,ExpUtilitiesPerUnit*TotalUnits/12*HG$9*HG$11,0)</f>
        <v/>
      </c>
      <c r="HH27" s="218">
        <f>IF(212&gt;=DeliverStart,ExpUtilitiesPerUnit*TotalUnits/12*HH$9*HH$11,0)</f>
        <v/>
      </c>
      <c r="HI27" s="218">
        <f>IF(213&gt;=DeliverStart,ExpUtilitiesPerUnit*TotalUnits/12*HI$9*HI$11,0)</f>
        <v/>
      </c>
      <c r="HJ27" s="218">
        <f>IF(214&gt;=DeliverStart,ExpUtilitiesPerUnit*TotalUnits/12*HJ$9*HJ$11,0)</f>
        <v/>
      </c>
      <c r="HK27" s="218">
        <f>IF(215&gt;=DeliverStart,ExpUtilitiesPerUnit*TotalUnits/12*HK$9*HK$11,0)</f>
        <v/>
      </c>
      <c r="HL27" s="218">
        <f>IF(216&gt;=DeliverStart,ExpUtilitiesPerUnit*TotalUnits/12*HL$9*HL$11,0)</f>
        <v/>
      </c>
      <c r="HM27" s="218">
        <f>IF(217&gt;=DeliverStart,ExpUtilitiesPerUnit*TotalUnits/12*HM$9*HM$11,0)</f>
        <v/>
      </c>
      <c r="HN27" s="218">
        <f>IF(218&gt;=DeliverStart,ExpUtilitiesPerUnit*TotalUnits/12*HN$9*HN$11,0)</f>
        <v/>
      </c>
      <c r="HO27" s="218">
        <f>IF(219&gt;=DeliverStart,ExpUtilitiesPerUnit*TotalUnits/12*HO$9*HO$11,0)</f>
        <v/>
      </c>
      <c r="HP27" s="218">
        <f>IF(220&gt;=DeliverStart,ExpUtilitiesPerUnit*TotalUnits/12*HP$9*HP$11,0)</f>
        <v/>
      </c>
      <c r="HQ27" s="218">
        <f>IF(221&gt;=DeliverStart,ExpUtilitiesPerUnit*TotalUnits/12*HQ$9*HQ$11,0)</f>
        <v/>
      </c>
      <c r="HR27" s="218">
        <f>IF(222&gt;=DeliverStart,ExpUtilitiesPerUnit*TotalUnits/12*HR$9*HR$11,0)</f>
        <v/>
      </c>
      <c r="HS27" s="218">
        <f>IF(223&gt;=DeliverStart,ExpUtilitiesPerUnit*TotalUnits/12*HS$9*HS$11,0)</f>
        <v/>
      </c>
      <c r="HT27" s="218">
        <f>IF(224&gt;=DeliverStart,ExpUtilitiesPerUnit*TotalUnits/12*HT$9*HT$11,0)</f>
        <v/>
      </c>
      <c r="HU27" s="218">
        <f>IF(225&gt;=DeliverStart,ExpUtilitiesPerUnit*TotalUnits/12*HU$9*HU$11,0)</f>
        <v/>
      </c>
      <c r="HV27" s="218">
        <f>IF(226&gt;=DeliverStart,ExpUtilitiesPerUnit*TotalUnits/12*HV$9*HV$11,0)</f>
        <v/>
      </c>
      <c r="HW27" s="218">
        <f>IF(227&gt;=DeliverStart,ExpUtilitiesPerUnit*TotalUnits/12*HW$9*HW$11,0)</f>
        <v/>
      </c>
      <c r="HX27" s="218">
        <f>IF(228&gt;=DeliverStart,ExpUtilitiesPerUnit*TotalUnits/12*HX$9*HX$11,0)</f>
        <v/>
      </c>
      <c r="HY27" s="218">
        <f>IF(229&gt;=DeliverStart,ExpUtilitiesPerUnit*TotalUnits/12*HY$9*HY$11,0)</f>
        <v/>
      </c>
      <c r="HZ27" s="218">
        <f>IF(230&gt;=DeliverStart,ExpUtilitiesPerUnit*TotalUnits/12*HZ$9*HZ$11,0)</f>
        <v/>
      </c>
      <c r="IA27" s="218">
        <f>IF(231&gt;=DeliverStart,ExpUtilitiesPerUnit*TotalUnits/12*IA$9*IA$11,0)</f>
        <v/>
      </c>
      <c r="IB27" s="218">
        <f>IF(232&gt;=DeliverStart,ExpUtilitiesPerUnit*TotalUnits/12*IB$9*IB$11,0)</f>
        <v/>
      </c>
      <c r="IC27" s="218">
        <f>IF(233&gt;=DeliverStart,ExpUtilitiesPerUnit*TotalUnits/12*IC$9*IC$11,0)</f>
        <v/>
      </c>
      <c r="ID27" s="218">
        <f>IF(234&gt;=DeliverStart,ExpUtilitiesPerUnit*TotalUnits/12*ID$9*ID$11,0)</f>
        <v/>
      </c>
      <c r="IE27" s="218">
        <f>IF(235&gt;=DeliverStart,ExpUtilitiesPerUnit*TotalUnits/12*IE$9*IE$11,0)</f>
        <v/>
      </c>
      <c r="IF27" s="218">
        <f>IF(236&gt;=DeliverStart,ExpUtilitiesPerUnit*TotalUnits/12*IF$9*IF$11,0)</f>
        <v/>
      </c>
      <c r="IG27" s="218">
        <f>IF(237&gt;=DeliverStart,ExpUtilitiesPerUnit*TotalUnits/12*IG$9*IG$11,0)</f>
        <v/>
      </c>
      <c r="IH27" s="218">
        <f>IF(238&gt;=DeliverStart,ExpUtilitiesPerUnit*TotalUnits/12*IH$9*IH$11,0)</f>
        <v/>
      </c>
      <c r="II27" s="218">
        <f>IF(239&gt;=DeliverStart,ExpUtilitiesPerUnit*TotalUnits/12*II$9*II$11,0)</f>
        <v/>
      </c>
      <c r="IJ27" s="218">
        <f>IF(240&gt;=DeliverStart,ExpUtilitiesPerUnit*TotalUnits/12*IJ$9*IJ$11,0)</f>
        <v/>
      </c>
      <c r="IK27" s="218">
        <f>IF(241&gt;=DeliverStart,ExpUtilitiesPerUnit*TotalUnits/12*IK$9*IK$11,0)</f>
        <v/>
      </c>
      <c r="IL27" s="218">
        <f>IF(242&gt;=DeliverStart,ExpUtilitiesPerUnit*TotalUnits/12*IL$9*IL$11,0)</f>
        <v/>
      </c>
      <c r="IM27" s="218">
        <f>IF(243&gt;=DeliverStart,ExpUtilitiesPerUnit*TotalUnits/12*IM$9*IM$11,0)</f>
        <v/>
      </c>
      <c r="IN27" s="218">
        <f>IF(244&gt;=DeliverStart,ExpUtilitiesPerUnit*TotalUnits/12*IN$9*IN$11,0)</f>
        <v/>
      </c>
      <c r="IO27" s="218">
        <f>IF(245&gt;=DeliverStart,ExpUtilitiesPerUnit*TotalUnits/12*IO$9*IO$11,0)</f>
        <v/>
      </c>
      <c r="IP27" s="218">
        <f>IF(246&gt;=DeliverStart,ExpUtilitiesPerUnit*TotalUnits/12*IP$9*IP$11,0)</f>
        <v/>
      </c>
      <c r="IQ27" s="218">
        <f>IF(247&gt;=DeliverStart,ExpUtilitiesPerUnit*TotalUnits/12*IQ$9*IQ$11,0)</f>
        <v/>
      </c>
      <c r="IR27" s="218">
        <f>IF(248&gt;=DeliverStart,ExpUtilitiesPerUnit*TotalUnits/12*IR$9*IR$11,0)</f>
        <v/>
      </c>
      <c r="IS27" s="218">
        <f>IF(249&gt;=DeliverStart,ExpUtilitiesPerUnit*TotalUnits/12*IS$9*IS$11,0)</f>
        <v/>
      </c>
      <c r="IT27" s="218">
        <f>IF(250&gt;=DeliverStart,ExpUtilitiesPerUnit*TotalUnits/12*IT$9*IT$11,0)</f>
        <v/>
      </c>
      <c r="IU27" s="218">
        <f>IF(251&gt;=DeliverStart,ExpUtilitiesPerUnit*TotalUnits/12*IU$9*IU$11,0)</f>
        <v/>
      </c>
      <c r="IV27" s="218">
        <f>IF(252&gt;=DeliverStart,ExpUtilitiesPerUnit*TotalUnits/12*IV$9*IV$11,0)</f>
        <v/>
      </c>
      <c r="IW27" s="218">
        <f>IF(253&gt;=DeliverStart,ExpUtilitiesPerUnit*TotalUnits/12*IW$9*IW$11,0)</f>
        <v/>
      </c>
      <c r="IX27" s="218">
        <f>IF(254&gt;=DeliverStart,ExpUtilitiesPerUnit*TotalUnits/12*IX$9*IX$11,0)</f>
        <v/>
      </c>
      <c r="IY27" s="218">
        <f>IF(255&gt;=DeliverStart,ExpUtilitiesPerUnit*TotalUnits/12*IY$9*IY$11,0)</f>
        <v/>
      </c>
      <c r="IZ27" s="218">
        <f>IF(256&gt;=DeliverStart,ExpUtilitiesPerUnit*TotalUnits/12*IZ$9*IZ$11,0)</f>
        <v/>
      </c>
      <c r="JA27" s="218">
        <f>IF(257&gt;=DeliverStart,ExpUtilitiesPerUnit*TotalUnits/12*JA$9*JA$11,0)</f>
        <v/>
      </c>
      <c r="JB27" s="218">
        <f>IF(258&gt;=DeliverStart,ExpUtilitiesPerUnit*TotalUnits/12*JB$9*JB$11,0)</f>
        <v/>
      </c>
      <c r="JC27" s="218">
        <f>IF(259&gt;=DeliverStart,ExpUtilitiesPerUnit*TotalUnits/12*JC$9*JC$11,0)</f>
        <v/>
      </c>
      <c r="JD27" s="218">
        <f>IF(260&gt;=DeliverStart,ExpUtilitiesPerUnit*TotalUnits/12*JD$9*JD$11,0)</f>
        <v/>
      </c>
      <c r="JE27" s="218">
        <f>IF(261&gt;=DeliverStart,ExpUtilitiesPerUnit*TotalUnits/12*JE$9*JE$11,0)</f>
        <v/>
      </c>
      <c r="JF27" s="218">
        <f>IF(262&gt;=DeliverStart,ExpUtilitiesPerUnit*TotalUnits/12*JF$9*JF$11,0)</f>
        <v/>
      </c>
      <c r="JG27" s="218">
        <f>IF(263&gt;=DeliverStart,ExpUtilitiesPerUnit*TotalUnits/12*JG$9*JG$11,0)</f>
        <v/>
      </c>
      <c r="JH27" s="218">
        <f>IF(264&gt;=DeliverStart,ExpUtilitiesPerUnit*TotalUnits/12*JH$9*JH$11,0)</f>
        <v/>
      </c>
      <c r="JI27" s="218">
        <f>IF(265&gt;=DeliverStart,ExpUtilitiesPerUnit*TotalUnits/12*JI$9*JI$11,0)</f>
        <v/>
      </c>
      <c r="JJ27" s="218">
        <f>IF(266&gt;=DeliverStart,ExpUtilitiesPerUnit*TotalUnits/12*JJ$9*JJ$11,0)</f>
        <v/>
      </c>
      <c r="JK27" s="218">
        <f>IF(267&gt;=DeliverStart,ExpUtilitiesPerUnit*TotalUnits/12*JK$9*JK$11,0)</f>
        <v/>
      </c>
      <c r="JL27" s="218">
        <f>IF(268&gt;=DeliverStart,ExpUtilitiesPerUnit*TotalUnits/12*JL$9*JL$11,0)</f>
        <v/>
      </c>
      <c r="JM27" s="218">
        <f>IF(269&gt;=DeliverStart,ExpUtilitiesPerUnit*TotalUnits/12*JM$9*JM$11,0)</f>
        <v/>
      </c>
      <c r="JN27" s="218">
        <f>IF(270&gt;=DeliverStart,ExpUtilitiesPerUnit*TotalUnits/12*JN$9*JN$11,0)</f>
        <v/>
      </c>
      <c r="JO27" s="218">
        <f>IF(271&gt;=DeliverStart,ExpUtilitiesPerUnit*TotalUnits/12*JO$9*JO$11,0)</f>
        <v/>
      </c>
      <c r="JP27" s="218">
        <f>IF(272&gt;=DeliverStart,ExpUtilitiesPerUnit*TotalUnits/12*JP$9*JP$11,0)</f>
        <v/>
      </c>
      <c r="JQ27" s="218">
        <f>IF(273&gt;=DeliverStart,ExpUtilitiesPerUnit*TotalUnits/12*JQ$9*JQ$11,0)</f>
        <v/>
      </c>
      <c r="JR27" s="218">
        <f>IF(274&gt;=DeliverStart,ExpUtilitiesPerUnit*TotalUnits/12*JR$9*JR$11,0)</f>
        <v/>
      </c>
      <c r="JS27" s="218">
        <f>IF(275&gt;=DeliverStart,ExpUtilitiesPerUnit*TotalUnits/12*JS$9*JS$11,0)</f>
        <v/>
      </c>
      <c r="JT27" s="218">
        <f>IF(276&gt;=DeliverStart,ExpUtilitiesPerUnit*TotalUnits/12*JT$9*JT$11,0)</f>
        <v/>
      </c>
      <c r="JU27" s="218">
        <f>IF(277&gt;=DeliverStart,ExpUtilitiesPerUnit*TotalUnits/12*JU$9*JU$11,0)</f>
        <v/>
      </c>
      <c r="JV27" s="218">
        <f>IF(278&gt;=DeliverStart,ExpUtilitiesPerUnit*TotalUnits/12*JV$9*JV$11,0)</f>
        <v/>
      </c>
      <c r="JW27" s="218">
        <f>IF(279&gt;=DeliverStart,ExpUtilitiesPerUnit*TotalUnits/12*JW$9*JW$11,0)</f>
        <v/>
      </c>
      <c r="JX27" s="218">
        <f>IF(280&gt;=DeliverStart,ExpUtilitiesPerUnit*TotalUnits/12*JX$9*JX$11,0)</f>
        <v/>
      </c>
      <c r="JY27" s="218">
        <f>IF(281&gt;=DeliverStart,ExpUtilitiesPerUnit*TotalUnits/12*JY$9*JY$11,0)</f>
        <v/>
      </c>
      <c r="JZ27" s="218">
        <f>IF(282&gt;=DeliverStart,ExpUtilitiesPerUnit*TotalUnits/12*JZ$9*JZ$11,0)</f>
        <v/>
      </c>
      <c r="KA27" s="218">
        <f>IF(283&gt;=DeliverStart,ExpUtilitiesPerUnit*TotalUnits/12*KA$9*KA$11,0)</f>
        <v/>
      </c>
      <c r="KB27" s="218">
        <f>IF(284&gt;=DeliverStart,ExpUtilitiesPerUnit*TotalUnits/12*KB$9*KB$11,0)</f>
        <v/>
      </c>
      <c r="KC27" s="218">
        <f>IF(285&gt;=DeliverStart,ExpUtilitiesPerUnit*TotalUnits/12*KC$9*KC$11,0)</f>
        <v/>
      </c>
      <c r="KD27" s="218">
        <f>IF(286&gt;=DeliverStart,ExpUtilitiesPerUnit*TotalUnits/12*KD$9*KD$11,0)</f>
        <v/>
      </c>
      <c r="KE27" s="218">
        <f>IF(287&gt;=DeliverStart,ExpUtilitiesPerUnit*TotalUnits/12*KE$9*KE$11,0)</f>
        <v/>
      </c>
      <c r="KF27" s="218">
        <f>IF(288&gt;=DeliverStart,ExpUtilitiesPerUnit*TotalUnits/12*KF$9*KF$11,0)</f>
        <v/>
      </c>
      <c r="KG27" s="218">
        <f>IF(289&gt;=DeliverStart,ExpUtilitiesPerUnit*TotalUnits/12*KG$9*KG$11,0)</f>
        <v/>
      </c>
      <c r="KH27" s="218">
        <f>IF(290&gt;=DeliverStart,ExpUtilitiesPerUnit*TotalUnits/12*KH$9*KH$11,0)</f>
        <v/>
      </c>
      <c r="KI27" s="218">
        <f>IF(291&gt;=DeliverStart,ExpUtilitiesPerUnit*TotalUnits/12*KI$9*KI$11,0)</f>
        <v/>
      </c>
      <c r="KJ27" s="218">
        <f>IF(292&gt;=DeliverStart,ExpUtilitiesPerUnit*TotalUnits/12*KJ$9*KJ$11,0)</f>
        <v/>
      </c>
      <c r="KK27" s="218">
        <f>IF(293&gt;=DeliverStart,ExpUtilitiesPerUnit*TotalUnits/12*KK$9*KK$11,0)</f>
        <v/>
      </c>
      <c r="KL27" s="218">
        <f>IF(294&gt;=DeliverStart,ExpUtilitiesPerUnit*TotalUnits/12*KL$9*KL$11,0)</f>
        <v/>
      </c>
      <c r="KM27" s="218">
        <f>IF(295&gt;=DeliverStart,ExpUtilitiesPerUnit*TotalUnits/12*KM$9*KM$11,0)</f>
        <v/>
      </c>
      <c r="KN27" s="218">
        <f>IF(296&gt;=DeliverStart,ExpUtilitiesPerUnit*TotalUnits/12*KN$9*KN$11,0)</f>
        <v/>
      </c>
      <c r="KO27" s="218">
        <f>IF(297&gt;=DeliverStart,ExpUtilitiesPerUnit*TotalUnits/12*KO$9*KO$11,0)</f>
        <v/>
      </c>
      <c r="KP27" s="218">
        <f>IF(298&gt;=DeliverStart,ExpUtilitiesPerUnit*TotalUnits/12*KP$9*KP$11,0)</f>
        <v/>
      </c>
      <c r="KQ27" s="218">
        <f>IF(299&gt;=DeliverStart,ExpUtilitiesPerUnit*TotalUnits/12*KQ$9*KQ$11,0)</f>
        <v/>
      </c>
      <c r="KR27" s="218">
        <f>IF(300&gt;=DeliverStart,ExpUtilitiesPerUnit*TotalUnits/12*KR$9*KR$11,0)</f>
        <v/>
      </c>
      <c r="KS27" s="218">
        <f>IF(301&gt;=DeliverStart,ExpUtilitiesPerUnit*TotalUnits/12*KS$9*KS$11,0)</f>
        <v/>
      </c>
      <c r="KT27" s="218">
        <f>IF(302&gt;=DeliverStart,ExpUtilitiesPerUnit*TotalUnits/12*KT$9*KT$11,0)</f>
        <v/>
      </c>
      <c r="KU27" s="218">
        <f>IF(303&gt;=DeliverStart,ExpUtilitiesPerUnit*TotalUnits/12*KU$9*KU$11,0)</f>
        <v/>
      </c>
      <c r="KV27" s="218">
        <f>IF(304&gt;=DeliverStart,ExpUtilitiesPerUnit*TotalUnits/12*KV$9*KV$11,0)</f>
        <v/>
      </c>
      <c r="KW27" s="218">
        <f>IF(305&gt;=DeliverStart,ExpUtilitiesPerUnit*TotalUnits/12*KW$9*KW$11,0)</f>
        <v/>
      </c>
      <c r="KX27" s="218">
        <f>IF(306&gt;=DeliverStart,ExpUtilitiesPerUnit*TotalUnits/12*KX$9*KX$11,0)</f>
        <v/>
      </c>
      <c r="KY27" s="218">
        <f>IF(307&gt;=DeliverStart,ExpUtilitiesPerUnit*TotalUnits/12*KY$9*KY$11,0)</f>
        <v/>
      </c>
      <c r="KZ27" s="218">
        <f>IF(308&gt;=DeliverStart,ExpUtilitiesPerUnit*TotalUnits/12*KZ$9*KZ$11,0)</f>
        <v/>
      </c>
      <c r="LA27" s="218">
        <f>IF(309&gt;=DeliverStart,ExpUtilitiesPerUnit*TotalUnits/12*LA$9*LA$11,0)</f>
        <v/>
      </c>
      <c r="LB27" s="218">
        <f>IF(310&gt;=DeliverStart,ExpUtilitiesPerUnit*TotalUnits/12*LB$9*LB$11,0)</f>
        <v/>
      </c>
      <c r="LC27" s="218">
        <f>IF(311&gt;=DeliverStart,ExpUtilitiesPerUnit*TotalUnits/12*LC$9*LC$11,0)</f>
        <v/>
      </c>
      <c r="LD27" s="218">
        <f>IF(312&gt;=DeliverStart,ExpUtilitiesPerUnit*TotalUnits/12*LD$9*LD$11,0)</f>
        <v/>
      </c>
      <c r="LE27" s="218">
        <f>IF(313&gt;=DeliverStart,ExpUtilitiesPerUnit*TotalUnits/12*LE$9*LE$11,0)</f>
        <v/>
      </c>
      <c r="LF27" s="218">
        <f>IF(314&gt;=DeliverStart,ExpUtilitiesPerUnit*TotalUnits/12*LF$9*LF$11,0)</f>
        <v/>
      </c>
      <c r="LG27" s="218">
        <f>IF(315&gt;=DeliverStart,ExpUtilitiesPerUnit*TotalUnits/12*LG$9*LG$11,0)</f>
        <v/>
      </c>
      <c r="LH27" s="218">
        <f>IF(316&gt;=DeliverStart,ExpUtilitiesPerUnit*TotalUnits/12*LH$9*LH$11,0)</f>
        <v/>
      </c>
      <c r="LI27" s="218">
        <f>IF(317&gt;=DeliverStart,ExpUtilitiesPerUnit*TotalUnits/12*LI$9*LI$11,0)</f>
        <v/>
      </c>
      <c r="LJ27" s="218">
        <f>IF(318&gt;=DeliverStart,ExpUtilitiesPerUnit*TotalUnits/12*LJ$9*LJ$11,0)</f>
        <v/>
      </c>
      <c r="LK27" s="218">
        <f>IF(319&gt;=DeliverStart,ExpUtilitiesPerUnit*TotalUnits/12*LK$9*LK$11,0)</f>
        <v/>
      </c>
      <c r="LL27" s="218">
        <f>IF(320&gt;=DeliverStart,ExpUtilitiesPerUnit*TotalUnits/12*LL$9*LL$11,0)</f>
        <v/>
      </c>
      <c r="LM27" s="218">
        <f>IF(321&gt;=DeliverStart,ExpUtilitiesPerUnit*TotalUnits/12*LM$9*LM$11,0)</f>
        <v/>
      </c>
      <c r="LN27" s="218">
        <f>IF(322&gt;=DeliverStart,ExpUtilitiesPerUnit*TotalUnits/12*LN$9*LN$11,0)</f>
        <v/>
      </c>
      <c r="LO27" s="218">
        <f>IF(323&gt;=DeliverStart,ExpUtilitiesPerUnit*TotalUnits/12*LO$9*LO$11,0)</f>
        <v/>
      </c>
      <c r="LP27" s="218">
        <f>IF(324&gt;=DeliverStart,ExpUtilitiesPerUnit*TotalUnits/12*LP$9*LP$11,0)</f>
        <v/>
      </c>
      <c r="LQ27" s="218">
        <f>IF(325&gt;=DeliverStart,ExpUtilitiesPerUnit*TotalUnits/12*LQ$9*LQ$11,0)</f>
        <v/>
      </c>
      <c r="LR27" s="218">
        <f>IF(326&gt;=DeliverStart,ExpUtilitiesPerUnit*TotalUnits/12*LR$9*LR$11,0)</f>
        <v/>
      </c>
      <c r="LS27" s="218">
        <f>IF(327&gt;=DeliverStart,ExpUtilitiesPerUnit*TotalUnits/12*LS$9*LS$11,0)</f>
        <v/>
      </c>
      <c r="LT27" s="218">
        <f>IF(328&gt;=DeliverStart,ExpUtilitiesPerUnit*TotalUnits/12*LT$9*LT$11,0)</f>
        <v/>
      </c>
      <c r="LU27" s="218">
        <f>IF(329&gt;=DeliverStart,ExpUtilitiesPerUnit*TotalUnits/12*LU$9*LU$11,0)</f>
        <v/>
      </c>
      <c r="LV27" s="218">
        <f>IF(330&gt;=DeliverStart,ExpUtilitiesPerUnit*TotalUnits/12*LV$9*LV$11,0)</f>
        <v/>
      </c>
      <c r="LW27" s="218">
        <f>IF(331&gt;=DeliverStart,ExpUtilitiesPerUnit*TotalUnits/12*LW$9*LW$11,0)</f>
        <v/>
      </c>
      <c r="LX27" s="218">
        <f>IF(332&gt;=DeliverStart,ExpUtilitiesPerUnit*TotalUnits/12*LX$9*LX$11,0)</f>
        <v/>
      </c>
      <c r="LY27" s="218">
        <f>IF(333&gt;=DeliverStart,ExpUtilitiesPerUnit*TotalUnits/12*LY$9*LY$11,0)</f>
        <v/>
      </c>
      <c r="LZ27" s="218">
        <f>IF(334&gt;=DeliverStart,ExpUtilitiesPerUnit*TotalUnits/12*LZ$9*LZ$11,0)</f>
        <v/>
      </c>
      <c r="MA27" s="218">
        <f>IF(335&gt;=DeliverStart,ExpUtilitiesPerUnit*TotalUnits/12*MA$9*MA$11,0)</f>
        <v/>
      </c>
      <c r="MB27" s="218">
        <f>IF(336&gt;=DeliverStart,ExpUtilitiesPerUnit*TotalUnits/12*MB$9*MB$11,0)</f>
        <v/>
      </c>
      <c r="MC27" s="218">
        <f>IF(337&gt;=DeliverStart,ExpUtilitiesPerUnit*TotalUnits/12*MC$9*MC$11,0)</f>
        <v/>
      </c>
      <c r="MD27" s="218">
        <f>IF(338&gt;=DeliverStart,ExpUtilitiesPerUnit*TotalUnits/12*MD$9*MD$11,0)</f>
        <v/>
      </c>
      <c r="ME27" s="218">
        <f>IF(339&gt;=DeliverStart,ExpUtilitiesPerUnit*TotalUnits/12*ME$9*ME$11,0)</f>
        <v/>
      </c>
      <c r="MF27" s="218">
        <f>IF(340&gt;=DeliverStart,ExpUtilitiesPerUnit*TotalUnits/12*MF$9*MF$11,0)</f>
        <v/>
      </c>
      <c r="MG27" s="218">
        <f>IF(341&gt;=DeliverStart,ExpUtilitiesPerUnit*TotalUnits/12*MG$9*MG$11,0)</f>
        <v/>
      </c>
      <c r="MH27" s="218">
        <f>IF(342&gt;=DeliverStart,ExpUtilitiesPerUnit*TotalUnits/12*MH$9*MH$11,0)</f>
        <v/>
      </c>
      <c r="MI27" s="218">
        <f>IF(343&gt;=DeliverStart,ExpUtilitiesPerUnit*TotalUnits/12*MI$9*MI$11,0)</f>
        <v/>
      </c>
      <c r="MJ27" s="218">
        <f>IF(344&gt;=DeliverStart,ExpUtilitiesPerUnit*TotalUnits/12*MJ$9*MJ$11,0)</f>
        <v/>
      </c>
      <c r="MK27" s="218">
        <f>IF(345&gt;=DeliverStart,ExpUtilitiesPerUnit*TotalUnits/12*MK$9*MK$11,0)</f>
        <v/>
      </c>
      <c r="ML27" s="218">
        <f>IF(346&gt;=DeliverStart,ExpUtilitiesPerUnit*TotalUnits/12*ML$9*ML$11,0)</f>
        <v/>
      </c>
      <c r="MM27" s="218">
        <f>IF(347&gt;=DeliverStart,ExpUtilitiesPerUnit*TotalUnits/12*MM$9*MM$11,0)</f>
        <v/>
      </c>
      <c r="MN27" s="218">
        <f>IF(348&gt;=DeliverStart,ExpUtilitiesPerUnit*TotalUnits/12*MN$9*MN$11,0)</f>
        <v/>
      </c>
      <c r="MO27" s="218">
        <f>IF(349&gt;=DeliverStart,ExpUtilitiesPerUnit*TotalUnits/12*MO$9*MO$11,0)</f>
        <v/>
      </c>
      <c r="MP27" s="218">
        <f>IF(350&gt;=DeliverStart,ExpUtilitiesPerUnit*TotalUnits/12*MP$9*MP$11,0)</f>
        <v/>
      </c>
      <c r="MQ27" s="218">
        <f>IF(351&gt;=DeliverStart,ExpUtilitiesPerUnit*TotalUnits/12*MQ$9*MQ$11,0)</f>
        <v/>
      </c>
      <c r="MR27" s="218">
        <f>IF(352&gt;=DeliverStart,ExpUtilitiesPerUnit*TotalUnits/12*MR$9*MR$11,0)</f>
        <v/>
      </c>
      <c r="MS27" s="218">
        <f>IF(353&gt;=DeliverStart,ExpUtilitiesPerUnit*TotalUnits/12*MS$9*MS$11,0)</f>
        <v/>
      </c>
      <c r="MT27" s="218">
        <f>IF(354&gt;=DeliverStart,ExpUtilitiesPerUnit*TotalUnits/12*MT$9*MT$11,0)</f>
        <v/>
      </c>
      <c r="MU27" s="218">
        <f>IF(355&gt;=DeliverStart,ExpUtilitiesPerUnit*TotalUnits/12*MU$9*MU$11,0)</f>
        <v/>
      </c>
      <c r="MV27" s="218">
        <f>IF(356&gt;=DeliverStart,ExpUtilitiesPerUnit*TotalUnits/12*MV$9*MV$11,0)</f>
        <v/>
      </c>
      <c r="MW27" s="218">
        <f>IF(357&gt;=DeliverStart,ExpUtilitiesPerUnit*TotalUnits/12*MW$9*MW$11,0)</f>
        <v/>
      </c>
      <c r="MX27" s="218">
        <f>IF(358&gt;=DeliverStart,ExpUtilitiesPerUnit*TotalUnits/12*MX$9*MX$11,0)</f>
        <v/>
      </c>
      <c r="MY27" s="218">
        <f>IF(359&gt;=DeliverStart,ExpUtilitiesPerUnit*TotalUnits/12*MY$9*MY$11,0)</f>
        <v/>
      </c>
      <c r="MZ27" s="218">
        <f>IF(360&gt;=DeliverStart,ExpUtilitiesPerUnit*TotalUnits/12*MZ$9*MZ$11,0)</f>
        <v/>
      </c>
      <c r="NA27" s="218">
        <f>IF(361&gt;=DeliverStart,ExpUtilitiesPerUnit*TotalUnits/12*NA$9*NA$11,0)</f>
        <v/>
      </c>
      <c r="NB27" s="218">
        <f>IF(362&gt;=DeliverStart,ExpUtilitiesPerUnit*TotalUnits/12*NB$9*NB$11,0)</f>
        <v/>
      </c>
      <c r="NC27" s="218">
        <f>IF(363&gt;=DeliverStart,ExpUtilitiesPerUnit*TotalUnits/12*NC$9*NC$11,0)</f>
        <v/>
      </c>
      <c r="ND27" s="218">
        <f>IF(364&gt;=DeliverStart,ExpUtilitiesPerUnit*TotalUnits/12*ND$9*ND$11,0)</f>
        <v/>
      </c>
      <c r="NE27" s="218">
        <f>IF(365&gt;=DeliverStart,ExpUtilitiesPerUnit*TotalUnits/12*NE$9*NE$11,0)</f>
        <v/>
      </c>
      <c r="NF27" s="218">
        <f>IF(366&gt;=DeliverStart,ExpUtilitiesPerUnit*TotalUnits/12*NF$9*NF$11,0)</f>
        <v/>
      </c>
      <c r="NG27" s="218">
        <f>IF(367&gt;=DeliverStart,ExpUtilitiesPerUnit*TotalUnits/12*NG$9*NG$11,0)</f>
        <v/>
      </c>
      <c r="NH27" s="218">
        <f>IF(368&gt;=DeliverStart,ExpUtilitiesPerUnit*TotalUnits/12*NH$9*NH$11,0)</f>
        <v/>
      </c>
      <c r="NI27" s="218">
        <f>IF(369&gt;=DeliverStart,ExpUtilitiesPerUnit*TotalUnits/12*NI$9*NI$11,0)</f>
        <v/>
      </c>
      <c r="NJ27" s="218">
        <f>IF(370&gt;=DeliverStart,ExpUtilitiesPerUnit*TotalUnits/12*NJ$9*NJ$11,0)</f>
        <v/>
      </c>
      <c r="NK27" s="218">
        <f>IF(371&gt;=DeliverStart,ExpUtilitiesPerUnit*TotalUnits/12*NK$9*NK$11,0)</f>
        <v/>
      </c>
      <c r="NL27" s="225">
        <f>IF(372&gt;=DeliverStart,ExpUtilitiesPerUnit*TotalUnits/12*NL$9*NL$11,0)</f>
        <v/>
      </c>
    </row>
    <row r="28">
      <c r="B28" s="36" t="inlineStr">
        <is>
          <t>Repairs &amp; Maintenance (variable)</t>
        </is>
      </c>
      <c r="D28" s="266">
        <f>SUM(E28:NL28)</f>
        <v/>
      </c>
      <c r="E28" s="218">
        <f>IF(1&gt;=DeliverStart,ExpRMPerUnit*TotalUnits/12*E$8*E$11,0)</f>
        <v/>
      </c>
      <c r="F28" s="218">
        <f>IF(2&gt;=DeliverStart,ExpRMPerUnit*TotalUnits/12*F$8*F$11,0)</f>
        <v/>
      </c>
      <c r="G28" s="218">
        <f>IF(3&gt;=DeliverStart,ExpRMPerUnit*TotalUnits/12*G$8*G$11,0)</f>
        <v/>
      </c>
      <c r="H28" s="218">
        <f>IF(4&gt;=DeliverStart,ExpRMPerUnit*TotalUnits/12*H$8*H$11,0)</f>
        <v/>
      </c>
      <c r="I28" s="218">
        <f>IF(5&gt;=DeliverStart,ExpRMPerUnit*TotalUnits/12*I$8*I$11,0)</f>
        <v/>
      </c>
      <c r="J28" s="218">
        <f>IF(6&gt;=DeliverStart,ExpRMPerUnit*TotalUnits/12*J$8*J$11,0)</f>
        <v/>
      </c>
      <c r="K28" s="218">
        <f>IF(7&gt;=DeliverStart,ExpRMPerUnit*TotalUnits/12*K$8*K$11,0)</f>
        <v/>
      </c>
      <c r="L28" s="218">
        <f>IF(8&gt;=DeliverStart,ExpRMPerUnit*TotalUnits/12*L$8*L$11,0)</f>
        <v/>
      </c>
      <c r="M28" s="218">
        <f>IF(9&gt;=DeliverStart,ExpRMPerUnit*TotalUnits/12*M$8*M$11,0)</f>
        <v/>
      </c>
      <c r="N28" s="218">
        <f>IF(10&gt;=DeliverStart,ExpRMPerUnit*TotalUnits/12*N$8*N$11,0)</f>
        <v/>
      </c>
      <c r="O28" s="218">
        <f>IF(11&gt;=DeliverStart,ExpRMPerUnit*TotalUnits/12*O$8*O$11,0)</f>
        <v/>
      </c>
      <c r="P28" s="218">
        <f>IF(12&gt;=DeliverStart,ExpRMPerUnit*TotalUnits/12*P$8*P$11,0)</f>
        <v/>
      </c>
      <c r="Q28" s="218">
        <f>IF(13&gt;=DeliverStart,ExpRMPerUnit*TotalUnits/12*Q$8*Q$11,0)</f>
        <v/>
      </c>
      <c r="R28" s="218">
        <f>IF(14&gt;=DeliverStart,ExpRMPerUnit*TotalUnits/12*R$8*R$11,0)</f>
        <v/>
      </c>
      <c r="S28" s="218">
        <f>IF(15&gt;=DeliverStart,ExpRMPerUnit*TotalUnits/12*S$8*S$11,0)</f>
        <v/>
      </c>
      <c r="T28" s="218">
        <f>IF(16&gt;=DeliverStart,ExpRMPerUnit*TotalUnits/12*T$8*T$11,0)</f>
        <v/>
      </c>
      <c r="U28" s="218">
        <f>IF(17&gt;=DeliverStart,ExpRMPerUnit*TotalUnits/12*U$8*U$11,0)</f>
        <v/>
      </c>
      <c r="V28" s="218">
        <f>IF(18&gt;=DeliverStart,ExpRMPerUnit*TotalUnits/12*V$8*V$11,0)</f>
        <v/>
      </c>
      <c r="W28" s="218">
        <f>IF(19&gt;=DeliverStart,ExpRMPerUnit*TotalUnits/12*W$8*W$11,0)</f>
        <v/>
      </c>
      <c r="X28" s="218">
        <f>IF(20&gt;=DeliverStart,ExpRMPerUnit*TotalUnits/12*X$8*X$11,0)</f>
        <v/>
      </c>
      <c r="Y28" s="218">
        <f>IF(21&gt;=DeliverStart,ExpRMPerUnit*TotalUnits/12*Y$8*Y$11,0)</f>
        <v/>
      </c>
      <c r="Z28" s="218">
        <f>IF(22&gt;=DeliverStart,ExpRMPerUnit*TotalUnits/12*Z$8*Z$11,0)</f>
        <v/>
      </c>
      <c r="AA28" s="218">
        <f>IF(23&gt;=DeliverStart,ExpRMPerUnit*TotalUnits/12*AA$8*AA$11,0)</f>
        <v/>
      </c>
      <c r="AB28" s="218">
        <f>IF(24&gt;=DeliverStart,ExpRMPerUnit*TotalUnits/12*AB$8*AB$11,0)</f>
        <v/>
      </c>
      <c r="AC28" s="218">
        <f>IF(25&gt;=DeliverStart,ExpRMPerUnit*TotalUnits/12*AC$8*AC$11,0)</f>
        <v/>
      </c>
      <c r="AD28" s="218">
        <f>IF(26&gt;=DeliverStart,ExpRMPerUnit*TotalUnits/12*AD$8*AD$11,0)</f>
        <v/>
      </c>
      <c r="AE28" s="218">
        <f>IF(27&gt;=DeliverStart,ExpRMPerUnit*TotalUnits/12*AE$8*AE$11,0)</f>
        <v/>
      </c>
      <c r="AF28" s="218">
        <f>IF(28&gt;=DeliverStart,ExpRMPerUnit*TotalUnits/12*AF$8*AF$11,0)</f>
        <v/>
      </c>
      <c r="AG28" s="218">
        <f>IF(29&gt;=DeliverStart,ExpRMPerUnit*TotalUnits/12*AG$8*AG$11,0)</f>
        <v/>
      </c>
      <c r="AH28" s="218">
        <f>IF(30&gt;=DeliverStart,ExpRMPerUnit*TotalUnits/12*AH$8*AH$11,0)</f>
        <v/>
      </c>
      <c r="AI28" s="218">
        <f>IF(31&gt;=DeliverStart,ExpRMPerUnit*TotalUnits/12*AI$8*AI$11,0)</f>
        <v/>
      </c>
      <c r="AJ28" s="218">
        <f>IF(32&gt;=DeliverStart,ExpRMPerUnit*TotalUnits/12*AJ$8*AJ$11,0)</f>
        <v/>
      </c>
      <c r="AK28" s="218">
        <f>IF(33&gt;=DeliverStart,ExpRMPerUnit*TotalUnits/12*AK$8*AK$11,0)</f>
        <v/>
      </c>
      <c r="AL28" s="218">
        <f>IF(34&gt;=DeliverStart,ExpRMPerUnit*TotalUnits/12*AL$8*AL$11,0)</f>
        <v/>
      </c>
      <c r="AM28" s="218">
        <f>IF(35&gt;=DeliverStart,ExpRMPerUnit*TotalUnits/12*AM$8*AM$11,0)</f>
        <v/>
      </c>
      <c r="AN28" s="218">
        <f>IF(36&gt;=DeliverStart,ExpRMPerUnit*TotalUnits/12*AN$8*AN$11,0)</f>
        <v/>
      </c>
      <c r="AO28" s="218">
        <f>IF(37&gt;=DeliverStart,ExpRMPerUnit*TotalUnits/12*AO$8*AO$11,0)</f>
        <v/>
      </c>
      <c r="AP28" s="218">
        <f>IF(38&gt;=DeliverStart,ExpRMPerUnit*TotalUnits/12*AP$8*AP$11,0)</f>
        <v/>
      </c>
      <c r="AQ28" s="218">
        <f>IF(39&gt;=DeliverStart,ExpRMPerUnit*TotalUnits/12*AQ$8*AQ$11,0)</f>
        <v/>
      </c>
      <c r="AR28" s="218">
        <f>IF(40&gt;=DeliverStart,ExpRMPerUnit*TotalUnits/12*AR$8*AR$11,0)</f>
        <v/>
      </c>
      <c r="AS28" s="218">
        <f>IF(41&gt;=DeliverStart,ExpRMPerUnit*TotalUnits/12*AS$8*AS$11,0)</f>
        <v/>
      </c>
      <c r="AT28" s="218">
        <f>IF(42&gt;=DeliverStart,ExpRMPerUnit*TotalUnits/12*AT$8*AT$11,0)</f>
        <v/>
      </c>
      <c r="AU28" s="218">
        <f>IF(43&gt;=DeliverStart,ExpRMPerUnit*TotalUnits/12*AU$8*AU$11,0)</f>
        <v/>
      </c>
      <c r="AV28" s="218">
        <f>IF(44&gt;=DeliverStart,ExpRMPerUnit*TotalUnits/12*AV$8*AV$11,0)</f>
        <v/>
      </c>
      <c r="AW28" s="218">
        <f>IF(45&gt;=DeliverStart,ExpRMPerUnit*TotalUnits/12*AW$8*AW$11,0)</f>
        <v/>
      </c>
      <c r="AX28" s="218">
        <f>IF(46&gt;=DeliverStart,ExpRMPerUnit*TotalUnits/12*AX$8*AX$11,0)</f>
        <v/>
      </c>
      <c r="AY28" s="218">
        <f>IF(47&gt;=DeliverStart,ExpRMPerUnit*TotalUnits/12*AY$8*AY$11,0)</f>
        <v/>
      </c>
      <c r="AZ28" s="218">
        <f>IF(48&gt;=DeliverStart,ExpRMPerUnit*TotalUnits/12*AZ$8*AZ$11,0)</f>
        <v/>
      </c>
      <c r="BA28" s="218">
        <f>IF(49&gt;=DeliverStart,ExpRMPerUnit*TotalUnits/12*BA$8*BA$11,0)</f>
        <v/>
      </c>
      <c r="BB28" s="218">
        <f>IF(50&gt;=DeliverStart,ExpRMPerUnit*TotalUnits/12*BB$8*BB$11,0)</f>
        <v/>
      </c>
      <c r="BC28" s="218">
        <f>IF(51&gt;=DeliverStart,ExpRMPerUnit*TotalUnits/12*BC$8*BC$11,0)</f>
        <v/>
      </c>
      <c r="BD28" s="218">
        <f>IF(52&gt;=DeliverStart,ExpRMPerUnit*TotalUnits/12*BD$8*BD$11,0)</f>
        <v/>
      </c>
      <c r="BE28" s="218">
        <f>IF(53&gt;=DeliverStart,ExpRMPerUnit*TotalUnits/12*BE$8*BE$11,0)</f>
        <v/>
      </c>
      <c r="BF28" s="218">
        <f>IF(54&gt;=DeliverStart,ExpRMPerUnit*TotalUnits/12*BF$8*BF$11,0)</f>
        <v/>
      </c>
      <c r="BG28" s="218">
        <f>IF(55&gt;=DeliverStart,ExpRMPerUnit*TotalUnits/12*BG$8*BG$11,0)</f>
        <v/>
      </c>
      <c r="BH28" s="218">
        <f>IF(56&gt;=DeliverStart,ExpRMPerUnit*TotalUnits/12*BH$8*BH$11,0)</f>
        <v/>
      </c>
      <c r="BI28" s="218">
        <f>IF(57&gt;=DeliverStart,ExpRMPerUnit*TotalUnits/12*BI$8*BI$11,0)</f>
        <v/>
      </c>
      <c r="BJ28" s="218">
        <f>IF(58&gt;=DeliverStart,ExpRMPerUnit*TotalUnits/12*BJ$8*BJ$11,0)</f>
        <v/>
      </c>
      <c r="BK28" s="218">
        <f>IF(59&gt;=DeliverStart,ExpRMPerUnit*TotalUnits/12*BK$8*BK$11,0)</f>
        <v/>
      </c>
      <c r="BL28" s="218">
        <f>IF(60&gt;=DeliverStart,ExpRMPerUnit*TotalUnits/12*BL$8*BL$11,0)</f>
        <v/>
      </c>
      <c r="BM28" s="218">
        <f>IF(61&gt;=DeliverStart,ExpRMPerUnit*TotalUnits/12*BM$8*BM$11,0)</f>
        <v/>
      </c>
      <c r="BN28" s="218">
        <f>IF(62&gt;=DeliverStart,ExpRMPerUnit*TotalUnits/12*BN$8*BN$11,0)</f>
        <v/>
      </c>
      <c r="BO28" s="218">
        <f>IF(63&gt;=DeliverStart,ExpRMPerUnit*TotalUnits/12*BO$8*BO$11,0)</f>
        <v/>
      </c>
      <c r="BP28" s="218">
        <f>IF(64&gt;=DeliverStart,ExpRMPerUnit*TotalUnits/12*BP$8*BP$11,0)</f>
        <v/>
      </c>
      <c r="BQ28" s="218">
        <f>IF(65&gt;=DeliverStart,ExpRMPerUnit*TotalUnits/12*BQ$8*BQ$11,0)</f>
        <v/>
      </c>
      <c r="BR28" s="218">
        <f>IF(66&gt;=DeliverStart,ExpRMPerUnit*TotalUnits/12*BR$8*BR$11,0)</f>
        <v/>
      </c>
      <c r="BS28" s="218">
        <f>IF(67&gt;=DeliverStart,ExpRMPerUnit*TotalUnits/12*BS$8*BS$11,0)</f>
        <v/>
      </c>
      <c r="BT28" s="218">
        <f>IF(68&gt;=DeliverStart,ExpRMPerUnit*TotalUnits/12*BT$8*BT$11,0)</f>
        <v/>
      </c>
      <c r="BU28" s="218">
        <f>IF(69&gt;=DeliverStart,ExpRMPerUnit*TotalUnits/12*BU$8*BU$11,0)</f>
        <v/>
      </c>
      <c r="BV28" s="218">
        <f>IF(70&gt;=DeliverStart,ExpRMPerUnit*TotalUnits/12*BV$8*BV$11,0)</f>
        <v/>
      </c>
      <c r="BW28" s="218">
        <f>IF(71&gt;=DeliverStart,ExpRMPerUnit*TotalUnits/12*BW$8*BW$11,0)</f>
        <v/>
      </c>
      <c r="BX28" s="218">
        <f>IF(72&gt;=DeliverStart,ExpRMPerUnit*TotalUnits/12*BX$8*BX$11,0)</f>
        <v/>
      </c>
      <c r="BY28" s="218">
        <f>IF(73&gt;=DeliverStart,ExpRMPerUnit*TotalUnits/12*BY$8*BY$11,0)</f>
        <v/>
      </c>
      <c r="BZ28" s="218">
        <f>IF(74&gt;=DeliverStart,ExpRMPerUnit*TotalUnits/12*BZ$8*BZ$11,0)</f>
        <v/>
      </c>
      <c r="CA28" s="218">
        <f>IF(75&gt;=DeliverStart,ExpRMPerUnit*TotalUnits/12*CA$8*CA$11,0)</f>
        <v/>
      </c>
      <c r="CB28" s="218">
        <f>IF(76&gt;=DeliverStart,ExpRMPerUnit*TotalUnits/12*CB$8*CB$11,0)</f>
        <v/>
      </c>
      <c r="CC28" s="218">
        <f>IF(77&gt;=DeliverStart,ExpRMPerUnit*TotalUnits/12*CC$8*CC$11,0)</f>
        <v/>
      </c>
      <c r="CD28" s="218">
        <f>IF(78&gt;=DeliverStart,ExpRMPerUnit*TotalUnits/12*CD$8*CD$11,0)</f>
        <v/>
      </c>
      <c r="CE28" s="218">
        <f>IF(79&gt;=DeliverStart,ExpRMPerUnit*TotalUnits/12*CE$8*CE$11,0)</f>
        <v/>
      </c>
      <c r="CF28" s="218">
        <f>IF(80&gt;=DeliverStart,ExpRMPerUnit*TotalUnits/12*CF$8*CF$11,0)</f>
        <v/>
      </c>
      <c r="CG28" s="218">
        <f>IF(81&gt;=DeliverStart,ExpRMPerUnit*TotalUnits/12*CG$8*CG$11,0)</f>
        <v/>
      </c>
      <c r="CH28" s="218">
        <f>IF(82&gt;=DeliverStart,ExpRMPerUnit*TotalUnits/12*CH$8*CH$11,0)</f>
        <v/>
      </c>
      <c r="CI28" s="218">
        <f>IF(83&gt;=DeliverStart,ExpRMPerUnit*TotalUnits/12*CI$8*CI$11,0)</f>
        <v/>
      </c>
      <c r="CJ28" s="218">
        <f>IF(84&gt;=DeliverStart,ExpRMPerUnit*TotalUnits/12*CJ$8*CJ$11,0)</f>
        <v/>
      </c>
      <c r="CK28" s="218">
        <f>IF(85&gt;=DeliverStart,ExpRMPerUnit*TotalUnits/12*CK$8*CK$11,0)</f>
        <v/>
      </c>
      <c r="CL28" s="218">
        <f>IF(86&gt;=DeliverStart,ExpRMPerUnit*TotalUnits/12*CL$8*CL$11,0)</f>
        <v/>
      </c>
      <c r="CM28" s="218">
        <f>IF(87&gt;=DeliverStart,ExpRMPerUnit*TotalUnits/12*CM$8*CM$11,0)</f>
        <v/>
      </c>
      <c r="CN28" s="218">
        <f>IF(88&gt;=DeliverStart,ExpRMPerUnit*TotalUnits/12*CN$8*CN$11,0)</f>
        <v/>
      </c>
      <c r="CO28" s="218">
        <f>IF(89&gt;=DeliverStart,ExpRMPerUnit*TotalUnits/12*CO$8*CO$11,0)</f>
        <v/>
      </c>
      <c r="CP28" s="218">
        <f>IF(90&gt;=DeliverStart,ExpRMPerUnit*TotalUnits/12*CP$8*CP$11,0)</f>
        <v/>
      </c>
      <c r="CQ28" s="218">
        <f>IF(91&gt;=DeliverStart,ExpRMPerUnit*TotalUnits/12*CQ$8*CQ$11,0)</f>
        <v/>
      </c>
      <c r="CR28" s="218">
        <f>IF(92&gt;=DeliverStart,ExpRMPerUnit*TotalUnits/12*CR$8*CR$11,0)</f>
        <v/>
      </c>
      <c r="CS28" s="218">
        <f>IF(93&gt;=DeliverStart,ExpRMPerUnit*TotalUnits/12*CS$8*CS$11,0)</f>
        <v/>
      </c>
      <c r="CT28" s="218">
        <f>IF(94&gt;=DeliverStart,ExpRMPerUnit*TotalUnits/12*CT$8*CT$11,0)</f>
        <v/>
      </c>
      <c r="CU28" s="218">
        <f>IF(95&gt;=DeliverStart,ExpRMPerUnit*TotalUnits/12*CU$8*CU$11,0)</f>
        <v/>
      </c>
      <c r="CV28" s="218">
        <f>IF(96&gt;=DeliverStart,ExpRMPerUnit*TotalUnits/12*CV$8*CV$11,0)</f>
        <v/>
      </c>
      <c r="CW28" s="218">
        <f>IF(97&gt;=DeliverStart,ExpRMPerUnit*TotalUnits/12*CW$8*CW$11,0)</f>
        <v/>
      </c>
      <c r="CX28" s="218">
        <f>IF(98&gt;=DeliverStart,ExpRMPerUnit*TotalUnits/12*CX$8*CX$11,0)</f>
        <v/>
      </c>
      <c r="CY28" s="218">
        <f>IF(99&gt;=DeliverStart,ExpRMPerUnit*TotalUnits/12*CY$8*CY$11,0)</f>
        <v/>
      </c>
      <c r="CZ28" s="218">
        <f>IF(100&gt;=DeliverStart,ExpRMPerUnit*TotalUnits/12*CZ$8*CZ$11,0)</f>
        <v/>
      </c>
      <c r="DA28" s="218">
        <f>IF(101&gt;=DeliverStart,ExpRMPerUnit*TotalUnits/12*DA$8*DA$11,0)</f>
        <v/>
      </c>
      <c r="DB28" s="218">
        <f>IF(102&gt;=DeliverStart,ExpRMPerUnit*TotalUnits/12*DB$8*DB$11,0)</f>
        <v/>
      </c>
      <c r="DC28" s="218">
        <f>IF(103&gt;=DeliverStart,ExpRMPerUnit*TotalUnits/12*DC$8*DC$11,0)</f>
        <v/>
      </c>
      <c r="DD28" s="218">
        <f>IF(104&gt;=DeliverStart,ExpRMPerUnit*TotalUnits/12*DD$8*DD$11,0)</f>
        <v/>
      </c>
      <c r="DE28" s="218">
        <f>IF(105&gt;=DeliverStart,ExpRMPerUnit*TotalUnits/12*DE$8*DE$11,0)</f>
        <v/>
      </c>
      <c r="DF28" s="218">
        <f>IF(106&gt;=DeliverStart,ExpRMPerUnit*TotalUnits/12*DF$8*DF$11,0)</f>
        <v/>
      </c>
      <c r="DG28" s="218">
        <f>IF(107&gt;=DeliverStart,ExpRMPerUnit*TotalUnits/12*DG$8*DG$11,0)</f>
        <v/>
      </c>
      <c r="DH28" s="218">
        <f>IF(108&gt;=DeliverStart,ExpRMPerUnit*TotalUnits/12*DH$8*DH$11,0)</f>
        <v/>
      </c>
      <c r="DI28" s="218">
        <f>IF(109&gt;=DeliverStart,ExpRMPerUnit*TotalUnits/12*DI$8*DI$11,0)</f>
        <v/>
      </c>
      <c r="DJ28" s="218">
        <f>IF(110&gt;=DeliverStart,ExpRMPerUnit*TotalUnits/12*DJ$8*DJ$11,0)</f>
        <v/>
      </c>
      <c r="DK28" s="218">
        <f>IF(111&gt;=DeliverStart,ExpRMPerUnit*TotalUnits/12*DK$8*DK$11,0)</f>
        <v/>
      </c>
      <c r="DL28" s="218">
        <f>IF(112&gt;=DeliverStart,ExpRMPerUnit*TotalUnits/12*DL$8*DL$11,0)</f>
        <v/>
      </c>
      <c r="DM28" s="218">
        <f>IF(113&gt;=DeliverStart,ExpRMPerUnit*TotalUnits/12*DM$8*DM$11,0)</f>
        <v/>
      </c>
      <c r="DN28" s="218">
        <f>IF(114&gt;=DeliverStart,ExpRMPerUnit*TotalUnits/12*DN$8*DN$11,0)</f>
        <v/>
      </c>
      <c r="DO28" s="218">
        <f>IF(115&gt;=DeliverStart,ExpRMPerUnit*TotalUnits/12*DO$8*DO$11,0)</f>
        <v/>
      </c>
      <c r="DP28" s="218">
        <f>IF(116&gt;=DeliverStart,ExpRMPerUnit*TotalUnits/12*DP$8*DP$11,0)</f>
        <v/>
      </c>
      <c r="DQ28" s="218">
        <f>IF(117&gt;=DeliverStart,ExpRMPerUnit*TotalUnits/12*DQ$8*DQ$11,0)</f>
        <v/>
      </c>
      <c r="DR28" s="218">
        <f>IF(118&gt;=DeliverStart,ExpRMPerUnit*TotalUnits/12*DR$8*DR$11,0)</f>
        <v/>
      </c>
      <c r="DS28" s="218">
        <f>IF(119&gt;=DeliverStart,ExpRMPerUnit*TotalUnits/12*DS$8*DS$11,0)</f>
        <v/>
      </c>
      <c r="DT28" s="218">
        <f>IF(120&gt;=DeliverStart,ExpRMPerUnit*TotalUnits/12*DT$8*DT$11,0)</f>
        <v/>
      </c>
      <c r="DU28" s="218">
        <f>IF(121&gt;=DeliverStart,ExpRMPerUnit*TotalUnits/12*DU$8*DU$11,0)</f>
        <v/>
      </c>
      <c r="DV28" s="218">
        <f>IF(122&gt;=DeliverStart,ExpRMPerUnit*TotalUnits/12*DV$8*DV$11,0)</f>
        <v/>
      </c>
      <c r="DW28" s="218">
        <f>IF(123&gt;=DeliverStart,ExpRMPerUnit*TotalUnits/12*DW$8*DW$11,0)</f>
        <v/>
      </c>
      <c r="DX28" s="218">
        <f>IF(124&gt;=DeliverStart,ExpRMPerUnit*TotalUnits/12*DX$8*DX$11,0)</f>
        <v/>
      </c>
      <c r="DY28" s="218">
        <f>IF(125&gt;=DeliverStart,ExpRMPerUnit*TotalUnits/12*DY$8*DY$11,0)</f>
        <v/>
      </c>
      <c r="DZ28" s="218">
        <f>IF(126&gt;=DeliverStart,ExpRMPerUnit*TotalUnits/12*DZ$8*DZ$11,0)</f>
        <v/>
      </c>
      <c r="EA28" s="218">
        <f>IF(127&gt;=DeliverStart,ExpRMPerUnit*TotalUnits/12*EA$8*EA$11,0)</f>
        <v/>
      </c>
      <c r="EB28" s="218">
        <f>IF(128&gt;=DeliverStart,ExpRMPerUnit*TotalUnits/12*EB$8*EB$11,0)</f>
        <v/>
      </c>
      <c r="EC28" s="218">
        <f>IF(129&gt;=DeliverStart,ExpRMPerUnit*TotalUnits/12*EC$8*EC$11,0)</f>
        <v/>
      </c>
      <c r="ED28" s="218">
        <f>IF(130&gt;=DeliverStart,ExpRMPerUnit*TotalUnits/12*ED$8*ED$11,0)</f>
        <v/>
      </c>
      <c r="EE28" s="218">
        <f>IF(131&gt;=DeliverStart,ExpRMPerUnit*TotalUnits/12*EE$8*EE$11,0)</f>
        <v/>
      </c>
      <c r="EF28" s="218">
        <f>IF(132&gt;=DeliverStart,ExpRMPerUnit*TotalUnits/12*EF$8*EF$11,0)</f>
        <v/>
      </c>
      <c r="EG28" s="218">
        <f>IF(133&gt;=DeliverStart,ExpRMPerUnit*TotalUnits/12*EG$8*EG$11,0)</f>
        <v/>
      </c>
      <c r="EH28" s="218">
        <f>IF(134&gt;=DeliverStart,ExpRMPerUnit*TotalUnits/12*EH$8*EH$11,0)</f>
        <v/>
      </c>
      <c r="EI28" s="218">
        <f>IF(135&gt;=DeliverStart,ExpRMPerUnit*TotalUnits/12*EI$8*EI$11,0)</f>
        <v/>
      </c>
      <c r="EJ28" s="218">
        <f>IF(136&gt;=DeliverStart,ExpRMPerUnit*TotalUnits/12*EJ$8*EJ$11,0)</f>
        <v/>
      </c>
      <c r="EK28" s="218">
        <f>IF(137&gt;=DeliverStart,ExpRMPerUnit*TotalUnits/12*EK$8*EK$11,0)</f>
        <v/>
      </c>
      <c r="EL28" s="218">
        <f>IF(138&gt;=DeliverStart,ExpRMPerUnit*TotalUnits/12*EL$8*EL$11,0)</f>
        <v/>
      </c>
      <c r="EM28" s="218">
        <f>IF(139&gt;=DeliverStart,ExpRMPerUnit*TotalUnits/12*EM$8*EM$11,0)</f>
        <v/>
      </c>
      <c r="EN28" s="218">
        <f>IF(140&gt;=DeliverStart,ExpRMPerUnit*TotalUnits/12*EN$8*EN$11,0)</f>
        <v/>
      </c>
      <c r="EO28" s="218">
        <f>IF(141&gt;=DeliverStart,ExpRMPerUnit*TotalUnits/12*EO$8*EO$11,0)</f>
        <v/>
      </c>
      <c r="EP28" s="218">
        <f>IF(142&gt;=DeliverStart,ExpRMPerUnit*TotalUnits/12*EP$8*EP$11,0)</f>
        <v/>
      </c>
      <c r="EQ28" s="218">
        <f>IF(143&gt;=DeliverStart,ExpRMPerUnit*TotalUnits/12*EQ$8*EQ$11,0)</f>
        <v/>
      </c>
      <c r="ER28" s="218">
        <f>IF(144&gt;=DeliverStart,ExpRMPerUnit*TotalUnits/12*ER$8*ER$11,0)</f>
        <v/>
      </c>
      <c r="ES28" s="218">
        <f>IF(145&gt;=DeliverStart,ExpRMPerUnit*TotalUnits/12*ES$8*ES$11,0)</f>
        <v/>
      </c>
      <c r="ET28" s="218">
        <f>IF(146&gt;=DeliverStart,ExpRMPerUnit*TotalUnits/12*ET$8*ET$11,0)</f>
        <v/>
      </c>
      <c r="EU28" s="218">
        <f>IF(147&gt;=DeliverStart,ExpRMPerUnit*TotalUnits/12*EU$8*EU$11,0)</f>
        <v/>
      </c>
      <c r="EV28" s="218">
        <f>IF(148&gt;=DeliverStart,ExpRMPerUnit*TotalUnits/12*EV$8*EV$11,0)</f>
        <v/>
      </c>
      <c r="EW28" s="218">
        <f>IF(149&gt;=DeliverStart,ExpRMPerUnit*TotalUnits/12*EW$8*EW$11,0)</f>
        <v/>
      </c>
      <c r="EX28" s="218">
        <f>IF(150&gt;=DeliverStart,ExpRMPerUnit*TotalUnits/12*EX$8*EX$11,0)</f>
        <v/>
      </c>
      <c r="EY28" s="218">
        <f>IF(151&gt;=DeliverStart,ExpRMPerUnit*TotalUnits/12*EY$8*EY$11,0)</f>
        <v/>
      </c>
      <c r="EZ28" s="218">
        <f>IF(152&gt;=DeliverStart,ExpRMPerUnit*TotalUnits/12*EZ$8*EZ$11,0)</f>
        <v/>
      </c>
      <c r="FA28" s="218">
        <f>IF(153&gt;=DeliverStart,ExpRMPerUnit*TotalUnits/12*FA$8*FA$11,0)</f>
        <v/>
      </c>
      <c r="FB28" s="218">
        <f>IF(154&gt;=DeliverStart,ExpRMPerUnit*TotalUnits/12*FB$8*FB$11,0)</f>
        <v/>
      </c>
      <c r="FC28" s="218">
        <f>IF(155&gt;=DeliverStart,ExpRMPerUnit*TotalUnits/12*FC$8*FC$11,0)</f>
        <v/>
      </c>
      <c r="FD28" s="218">
        <f>IF(156&gt;=DeliverStart,ExpRMPerUnit*TotalUnits/12*FD$8*FD$11,0)</f>
        <v/>
      </c>
      <c r="FE28" s="218">
        <f>IF(157&gt;=DeliverStart,ExpRMPerUnit*TotalUnits/12*FE$8*FE$11,0)</f>
        <v/>
      </c>
      <c r="FF28" s="218">
        <f>IF(158&gt;=DeliverStart,ExpRMPerUnit*TotalUnits/12*FF$8*FF$11,0)</f>
        <v/>
      </c>
      <c r="FG28" s="218">
        <f>IF(159&gt;=DeliverStart,ExpRMPerUnit*TotalUnits/12*FG$8*FG$11,0)</f>
        <v/>
      </c>
      <c r="FH28" s="218">
        <f>IF(160&gt;=DeliverStart,ExpRMPerUnit*TotalUnits/12*FH$8*FH$11,0)</f>
        <v/>
      </c>
      <c r="FI28" s="218">
        <f>IF(161&gt;=DeliverStart,ExpRMPerUnit*TotalUnits/12*FI$8*FI$11,0)</f>
        <v/>
      </c>
      <c r="FJ28" s="218">
        <f>IF(162&gt;=DeliverStart,ExpRMPerUnit*TotalUnits/12*FJ$8*FJ$11,0)</f>
        <v/>
      </c>
      <c r="FK28" s="218">
        <f>IF(163&gt;=DeliverStart,ExpRMPerUnit*TotalUnits/12*FK$8*FK$11,0)</f>
        <v/>
      </c>
      <c r="FL28" s="218">
        <f>IF(164&gt;=DeliverStart,ExpRMPerUnit*TotalUnits/12*FL$8*FL$11,0)</f>
        <v/>
      </c>
      <c r="FM28" s="218">
        <f>IF(165&gt;=DeliverStart,ExpRMPerUnit*TotalUnits/12*FM$8*FM$11,0)</f>
        <v/>
      </c>
      <c r="FN28" s="218">
        <f>IF(166&gt;=DeliverStart,ExpRMPerUnit*TotalUnits/12*FN$8*FN$11,0)</f>
        <v/>
      </c>
      <c r="FO28" s="218">
        <f>IF(167&gt;=DeliverStart,ExpRMPerUnit*TotalUnits/12*FO$8*FO$11,0)</f>
        <v/>
      </c>
      <c r="FP28" s="218">
        <f>IF(168&gt;=DeliverStart,ExpRMPerUnit*TotalUnits/12*FP$8*FP$11,0)</f>
        <v/>
      </c>
      <c r="FQ28" s="218">
        <f>IF(169&gt;=DeliverStart,ExpRMPerUnit*TotalUnits/12*FQ$8*FQ$11,0)</f>
        <v/>
      </c>
      <c r="FR28" s="218">
        <f>IF(170&gt;=DeliverStart,ExpRMPerUnit*TotalUnits/12*FR$8*FR$11,0)</f>
        <v/>
      </c>
      <c r="FS28" s="218">
        <f>IF(171&gt;=DeliverStart,ExpRMPerUnit*TotalUnits/12*FS$8*FS$11,0)</f>
        <v/>
      </c>
      <c r="FT28" s="218">
        <f>IF(172&gt;=DeliverStart,ExpRMPerUnit*TotalUnits/12*FT$8*FT$11,0)</f>
        <v/>
      </c>
      <c r="FU28" s="218">
        <f>IF(173&gt;=DeliverStart,ExpRMPerUnit*TotalUnits/12*FU$8*FU$11,0)</f>
        <v/>
      </c>
      <c r="FV28" s="218">
        <f>IF(174&gt;=DeliverStart,ExpRMPerUnit*TotalUnits/12*FV$8*FV$11,0)</f>
        <v/>
      </c>
      <c r="FW28" s="218">
        <f>IF(175&gt;=DeliverStart,ExpRMPerUnit*TotalUnits/12*FW$8*FW$11,0)</f>
        <v/>
      </c>
      <c r="FX28" s="218">
        <f>IF(176&gt;=DeliverStart,ExpRMPerUnit*TotalUnits/12*FX$8*FX$11,0)</f>
        <v/>
      </c>
      <c r="FY28" s="218">
        <f>IF(177&gt;=DeliverStart,ExpRMPerUnit*TotalUnits/12*FY$8*FY$11,0)</f>
        <v/>
      </c>
      <c r="FZ28" s="218">
        <f>IF(178&gt;=DeliverStart,ExpRMPerUnit*TotalUnits/12*FZ$8*FZ$11,0)</f>
        <v/>
      </c>
      <c r="GA28" s="218">
        <f>IF(179&gt;=DeliverStart,ExpRMPerUnit*TotalUnits/12*GA$8*GA$11,0)</f>
        <v/>
      </c>
      <c r="GB28" s="218">
        <f>IF(180&gt;=DeliverStart,ExpRMPerUnit*TotalUnits/12*GB$8*GB$11,0)</f>
        <v/>
      </c>
      <c r="GC28" s="218">
        <f>IF(181&gt;=DeliverStart,ExpRMPerUnit*TotalUnits/12*GC$8*GC$11,0)</f>
        <v/>
      </c>
      <c r="GD28" s="218">
        <f>IF(182&gt;=DeliverStart,ExpRMPerUnit*TotalUnits/12*GD$8*GD$11,0)</f>
        <v/>
      </c>
      <c r="GE28" s="218">
        <f>IF(183&gt;=DeliverStart,ExpRMPerUnit*TotalUnits/12*GE$8*GE$11,0)</f>
        <v/>
      </c>
      <c r="GF28" s="218">
        <f>IF(184&gt;=DeliverStart,ExpRMPerUnit*TotalUnits/12*GF$8*GF$11,0)</f>
        <v/>
      </c>
      <c r="GG28" s="218">
        <f>IF(185&gt;=DeliverStart,ExpRMPerUnit*TotalUnits/12*GG$8*GG$11,0)</f>
        <v/>
      </c>
      <c r="GH28" s="218">
        <f>IF(186&gt;=DeliverStart,ExpRMPerUnit*TotalUnits/12*GH$8*GH$11,0)</f>
        <v/>
      </c>
      <c r="GI28" s="218">
        <f>IF(187&gt;=DeliverStart,ExpRMPerUnit*TotalUnits/12*GI$8*GI$11,0)</f>
        <v/>
      </c>
      <c r="GJ28" s="218">
        <f>IF(188&gt;=DeliverStart,ExpRMPerUnit*TotalUnits/12*GJ$8*GJ$11,0)</f>
        <v/>
      </c>
      <c r="GK28" s="218">
        <f>IF(189&gt;=DeliverStart,ExpRMPerUnit*TotalUnits/12*GK$8*GK$11,0)</f>
        <v/>
      </c>
      <c r="GL28" s="218">
        <f>IF(190&gt;=DeliverStart,ExpRMPerUnit*TotalUnits/12*GL$8*GL$11,0)</f>
        <v/>
      </c>
      <c r="GM28" s="218">
        <f>IF(191&gt;=DeliverStart,ExpRMPerUnit*TotalUnits/12*GM$8*GM$11,0)</f>
        <v/>
      </c>
      <c r="GN28" s="218">
        <f>IF(192&gt;=DeliverStart,ExpRMPerUnit*TotalUnits/12*GN$8*GN$11,0)</f>
        <v/>
      </c>
      <c r="GO28" s="218">
        <f>IF(193&gt;=DeliverStart,ExpRMPerUnit*TotalUnits/12*GO$8*GO$11,0)</f>
        <v/>
      </c>
      <c r="GP28" s="218">
        <f>IF(194&gt;=DeliverStart,ExpRMPerUnit*TotalUnits/12*GP$8*GP$11,0)</f>
        <v/>
      </c>
      <c r="GQ28" s="218">
        <f>IF(195&gt;=DeliverStart,ExpRMPerUnit*TotalUnits/12*GQ$8*GQ$11,0)</f>
        <v/>
      </c>
      <c r="GR28" s="218">
        <f>IF(196&gt;=DeliverStart,ExpRMPerUnit*TotalUnits/12*GR$8*GR$11,0)</f>
        <v/>
      </c>
      <c r="GS28" s="218">
        <f>IF(197&gt;=DeliverStart,ExpRMPerUnit*TotalUnits/12*GS$8*GS$11,0)</f>
        <v/>
      </c>
      <c r="GT28" s="218">
        <f>IF(198&gt;=DeliverStart,ExpRMPerUnit*TotalUnits/12*GT$8*GT$11,0)</f>
        <v/>
      </c>
      <c r="GU28" s="218">
        <f>IF(199&gt;=DeliverStart,ExpRMPerUnit*TotalUnits/12*GU$8*GU$11,0)</f>
        <v/>
      </c>
      <c r="GV28" s="218">
        <f>IF(200&gt;=DeliverStart,ExpRMPerUnit*TotalUnits/12*GV$8*GV$11,0)</f>
        <v/>
      </c>
      <c r="GW28" s="218">
        <f>IF(201&gt;=DeliverStart,ExpRMPerUnit*TotalUnits/12*GW$8*GW$11,0)</f>
        <v/>
      </c>
      <c r="GX28" s="218">
        <f>IF(202&gt;=DeliverStart,ExpRMPerUnit*TotalUnits/12*GX$8*GX$11,0)</f>
        <v/>
      </c>
      <c r="GY28" s="218">
        <f>IF(203&gt;=DeliverStart,ExpRMPerUnit*TotalUnits/12*GY$8*GY$11,0)</f>
        <v/>
      </c>
      <c r="GZ28" s="218">
        <f>IF(204&gt;=DeliverStart,ExpRMPerUnit*TotalUnits/12*GZ$8*GZ$11,0)</f>
        <v/>
      </c>
      <c r="HA28" s="218">
        <f>IF(205&gt;=DeliverStart,ExpRMPerUnit*TotalUnits/12*HA$8*HA$11,0)</f>
        <v/>
      </c>
      <c r="HB28" s="218">
        <f>IF(206&gt;=DeliverStart,ExpRMPerUnit*TotalUnits/12*HB$8*HB$11,0)</f>
        <v/>
      </c>
      <c r="HC28" s="218">
        <f>IF(207&gt;=DeliverStart,ExpRMPerUnit*TotalUnits/12*HC$8*HC$11,0)</f>
        <v/>
      </c>
      <c r="HD28" s="218">
        <f>IF(208&gt;=DeliverStart,ExpRMPerUnit*TotalUnits/12*HD$8*HD$11,0)</f>
        <v/>
      </c>
      <c r="HE28" s="218">
        <f>IF(209&gt;=DeliverStart,ExpRMPerUnit*TotalUnits/12*HE$8*HE$11,0)</f>
        <v/>
      </c>
      <c r="HF28" s="218">
        <f>IF(210&gt;=DeliverStart,ExpRMPerUnit*TotalUnits/12*HF$8*HF$11,0)</f>
        <v/>
      </c>
      <c r="HG28" s="218">
        <f>IF(211&gt;=DeliverStart,ExpRMPerUnit*TotalUnits/12*HG$8*HG$11,0)</f>
        <v/>
      </c>
      <c r="HH28" s="218">
        <f>IF(212&gt;=DeliverStart,ExpRMPerUnit*TotalUnits/12*HH$8*HH$11,0)</f>
        <v/>
      </c>
      <c r="HI28" s="218">
        <f>IF(213&gt;=DeliverStart,ExpRMPerUnit*TotalUnits/12*HI$8*HI$11,0)</f>
        <v/>
      </c>
      <c r="HJ28" s="218">
        <f>IF(214&gt;=DeliverStart,ExpRMPerUnit*TotalUnits/12*HJ$8*HJ$11,0)</f>
        <v/>
      </c>
      <c r="HK28" s="218">
        <f>IF(215&gt;=DeliverStart,ExpRMPerUnit*TotalUnits/12*HK$8*HK$11,0)</f>
        <v/>
      </c>
      <c r="HL28" s="218">
        <f>IF(216&gt;=DeliverStart,ExpRMPerUnit*TotalUnits/12*HL$8*HL$11,0)</f>
        <v/>
      </c>
      <c r="HM28" s="218">
        <f>IF(217&gt;=DeliverStart,ExpRMPerUnit*TotalUnits/12*HM$8*HM$11,0)</f>
        <v/>
      </c>
      <c r="HN28" s="218">
        <f>IF(218&gt;=DeliverStart,ExpRMPerUnit*TotalUnits/12*HN$8*HN$11,0)</f>
        <v/>
      </c>
      <c r="HO28" s="218">
        <f>IF(219&gt;=DeliverStart,ExpRMPerUnit*TotalUnits/12*HO$8*HO$11,0)</f>
        <v/>
      </c>
      <c r="HP28" s="218">
        <f>IF(220&gt;=DeliverStart,ExpRMPerUnit*TotalUnits/12*HP$8*HP$11,0)</f>
        <v/>
      </c>
      <c r="HQ28" s="218">
        <f>IF(221&gt;=DeliverStart,ExpRMPerUnit*TotalUnits/12*HQ$8*HQ$11,0)</f>
        <v/>
      </c>
      <c r="HR28" s="218">
        <f>IF(222&gt;=DeliverStart,ExpRMPerUnit*TotalUnits/12*HR$8*HR$11,0)</f>
        <v/>
      </c>
      <c r="HS28" s="218">
        <f>IF(223&gt;=DeliverStart,ExpRMPerUnit*TotalUnits/12*HS$8*HS$11,0)</f>
        <v/>
      </c>
      <c r="HT28" s="218">
        <f>IF(224&gt;=DeliverStart,ExpRMPerUnit*TotalUnits/12*HT$8*HT$11,0)</f>
        <v/>
      </c>
      <c r="HU28" s="218">
        <f>IF(225&gt;=DeliverStart,ExpRMPerUnit*TotalUnits/12*HU$8*HU$11,0)</f>
        <v/>
      </c>
      <c r="HV28" s="218">
        <f>IF(226&gt;=DeliverStart,ExpRMPerUnit*TotalUnits/12*HV$8*HV$11,0)</f>
        <v/>
      </c>
      <c r="HW28" s="218">
        <f>IF(227&gt;=DeliverStart,ExpRMPerUnit*TotalUnits/12*HW$8*HW$11,0)</f>
        <v/>
      </c>
      <c r="HX28" s="218">
        <f>IF(228&gt;=DeliverStart,ExpRMPerUnit*TotalUnits/12*HX$8*HX$11,0)</f>
        <v/>
      </c>
      <c r="HY28" s="218">
        <f>IF(229&gt;=DeliverStart,ExpRMPerUnit*TotalUnits/12*HY$8*HY$11,0)</f>
        <v/>
      </c>
      <c r="HZ28" s="218">
        <f>IF(230&gt;=DeliverStart,ExpRMPerUnit*TotalUnits/12*HZ$8*HZ$11,0)</f>
        <v/>
      </c>
      <c r="IA28" s="218">
        <f>IF(231&gt;=DeliverStart,ExpRMPerUnit*TotalUnits/12*IA$8*IA$11,0)</f>
        <v/>
      </c>
      <c r="IB28" s="218">
        <f>IF(232&gt;=DeliverStart,ExpRMPerUnit*TotalUnits/12*IB$8*IB$11,0)</f>
        <v/>
      </c>
      <c r="IC28" s="218">
        <f>IF(233&gt;=DeliverStart,ExpRMPerUnit*TotalUnits/12*IC$8*IC$11,0)</f>
        <v/>
      </c>
      <c r="ID28" s="218">
        <f>IF(234&gt;=DeliverStart,ExpRMPerUnit*TotalUnits/12*ID$8*ID$11,0)</f>
        <v/>
      </c>
      <c r="IE28" s="218">
        <f>IF(235&gt;=DeliverStart,ExpRMPerUnit*TotalUnits/12*IE$8*IE$11,0)</f>
        <v/>
      </c>
      <c r="IF28" s="218">
        <f>IF(236&gt;=DeliverStart,ExpRMPerUnit*TotalUnits/12*IF$8*IF$11,0)</f>
        <v/>
      </c>
      <c r="IG28" s="218">
        <f>IF(237&gt;=DeliverStart,ExpRMPerUnit*TotalUnits/12*IG$8*IG$11,0)</f>
        <v/>
      </c>
      <c r="IH28" s="218">
        <f>IF(238&gt;=DeliverStart,ExpRMPerUnit*TotalUnits/12*IH$8*IH$11,0)</f>
        <v/>
      </c>
      <c r="II28" s="218">
        <f>IF(239&gt;=DeliverStart,ExpRMPerUnit*TotalUnits/12*II$8*II$11,0)</f>
        <v/>
      </c>
      <c r="IJ28" s="218">
        <f>IF(240&gt;=DeliverStart,ExpRMPerUnit*TotalUnits/12*IJ$8*IJ$11,0)</f>
        <v/>
      </c>
      <c r="IK28" s="218">
        <f>IF(241&gt;=DeliverStart,ExpRMPerUnit*TotalUnits/12*IK$8*IK$11,0)</f>
        <v/>
      </c>
      <c r="IL28" s="218">
        <f>IF(242&gt;=DeliverStart,ExpRMPerUnit*TotalUnits/12*IL$8*IL$11,0)</f>
        <v/>
      </c>
      <c r="IM28" s="218">
        <f>IF(243&gt;=DeliverStart,ExpRMPerUnit*TotalUnits/12*IM$8*IM$11,0)</f>
        <v/>
      </c>
      <c r="IN28" s="218">
        <f>IF(244&gt;=DeliverStart,ExpRMPerUnit*TotalUnits/12*IN$8*IN$11,0)</f>
        <v/>
      </c>
      <c r="IO28" s="218">
        <f>IF(245&gt;=DeliverStart,ExpRMPerUnit*TotalUnits/12*IO$8*IO$11,0)</f>
        <v/>
      </c>
      <c r="IP28" s="218">
        <f>IF(246&gt;=DeliverStart,ExpRMPerUnit*TotalUnits/12*IP$8*IP$11,0)</f>
        <v/>
      </c>
      <c r="IQ28" s="218">
        <f>IF(247&gt;=DeliverStart,ExpRMPerUnit*TotalUnits/12*IQ$8*IQ$11,0)</f>
        <v/>
      </c>
      <c r="IR28" s="218">
        <f>IF(248&gt;=DeliverStart,ExpRMPerUnit*TotalUnits/12*IR$8*IR$11,0)</f>
        <v/>
      </c>
      <c r="IS28" s="218">
        <f>IF(249&gt;=DeliverStart,ExpRMPerUnit*TotalUnits/12*IS$8*IS$11,0)</f>
        <v/>
      </c>
      <c r="IT28" s="218">
        <f>IF(250&gt;=DeliverStart,ExpRMPerUnit*TotalUnits/12*IT$8*IT$11,0)</f>
        <v/>
      </c>
      <c r="IU28" s="218">
        <f>IF(251&gt;=DeliverStart,ExpRMPerUnit*TotalUnits/12*IU$8*IU$11,0)</f>
        <v/>
      </c>
      <c r="IV28" s="218">
        <f>IF(252&gt;=DeliverStart,ExpRMPerUnit*TotalUnits/12*IV$8*IV$11,0)</f>
        <v/>
      </c>
      <c r="IW28" s="218">
        <f>IF(253&gt;=DeliverStart,ExpRMPerUnit*TotalUnits/12*IW$8*IW$11,0)</f>
        <v/>
      </c>
      <c r="IX28" s="218">
        <f>IF(254&gt;=DeliverStart,ExpRMPerUnit*TotalUnits/12*IX$8*IX$11,0)</f>
        <v/>
      </c>
      <c r="IY28" s="218">
        <f>IF(255&gt;=DeliverStart,ExpRMPerUnit*TotalUnits/12*IY$8*IY$11,0)</f>
        <v/>
      </c>
      <c r="IZ28" s="218">
        <f>IF(256&gt;=DeliverStart,ExpRMPerUnit*TotalUnits/12*IZ$8*IZ$11,0)</f>
        <v/>
      </c>
      <c r="JA28" s="218">
        <f>IF(257&gt;=DeliverStart,ExpRMPerUnit*TotalUnits/12*JA$8*JA$11,0)</f>
        <v/>
      </c>
      <c r="JB28" s="218">
        <f>IF(258&gt;=DeliverStart,ExpRMPerUnit*TotalUnits/12*JB$8*JB$11,0)</f>
        <v/>
      </c>
      <c r="JC28" s="218">
        <f>IF(259&gt;=DeliverStart,ExpRMPerUnit*TotalUnits/12*JC$8*JC$11,0)</f>
        <v/>
      </c>
      <c r="JD28" s="218">
        <f>IF(260&gt;=DeliverStart,ExpRMPerUnit*TotalUnits/12*JD$8*JD$11,0)</f>
        <v/>
      </c>
      <c r="JE28" s="218">
        <f>IF(261&gt;=DeliverStart,ExpRMPerUnit*TotalUnits/12*JE$8*JE$11,0)</f>
        <v/>
      </c>
      <c r="JF28" s="218">
        <f>IF(262&gt;=DeliverStart,ExpRMPerUnit*TotalUnits/12*JF$8*JF$11,0)</f>
        <v/>
      </c>
      <c r="JG28" s="218">
        <f>IF(263&gt;=DeliverStart,ExpRMPerUnit*TotalUnits/12*JG$8*JG$11,0)</f>
        <v/>
      </c>
      <c r="JH28" s="218">
        <f>IF(264&gt;=DeliverStart,ExpRMPerUnit*TotalUnits/12*JH$8*JH$11,0)</f>
        <v/>
      </c>
      <c r="JI28" s="218">
        <f>IF(265&gt;=DeliverStart,ExpRMPerUnit*TotalUnits/12*JI$8*JI$11,0)</f>
        <v/>
      </c>
      <c r="JJ28" s="218">
        <f>IF(266&gt;=DeliverStart,ExpRMPerUnit*TotalUnits/12*JJ$8*JJ$11,0)</f>
        <v/>
      </c>
      <c r="JK28" s="218">
        <f>IF(267&gt;=DeliverStart,ExpRMPerUnit*TotalUnits/12*JK$8*JK$11,0)</f>
        <v/>
      </c>
      <c r="JL28" s="218">
        <f>IF(268&gt;=DeliverStart,ExpRMPerUnit*TotalUnits/12*JL$8*JL$11,0)</f>
        <v/>
      </c>
      <c r="JM28" s="218">
        <f>IF(269&gt;=DeliverStart,ExpRMPerUnit*TotalUnits/12*JM$8*JM$11,0)</f>
        <v/>
      </c>
      <c r="JN28" s="218">
        <f>IF(270&gt;=DeliverStart,ExpRMPerUnit*TotalUnits/12*JN$8*JN$11,0)</f>
        <v/>
      </c>
      <c r="JO28" s="218">
        <f>IF(271&gt;=DeliverStart,ExpRMPerUnit*TotalUnits/12*JO$8*JO$11,0)</f>
        <v/>
      </c>
      <c r="JP28" s="218">
        <f>IF(272&gt;=DeliverStart,ExpRMPerUnit*TotalUnits/12*JP$8*JP$11,0)</f>
        <v/>
      </c>
      <c r="JQ28" s="218">
        <f>IF(273&gt;=DeliverStart,ExpRMPerUnit*TotalUnits/12*JQ$8*JQ$11,0)</f>
        <v/>
      </c>
      <c r="JR28" s="218">
        <f>IF(274&gt;=DeliverStart,ExpRMPerUnit*TotalUnits/12*JR$8*JR$11,0)</f>
        <v/>
      </c>
      <c r="JS28" s="218">
        <f>IF(275&gt;=DeliverStart,ExpRMPerUnit*TotalUnits/12*JS$8*JS$11,0)</f>
        <v/>
      </c>
      <c r="JT28" s="218">
        <f>IF(276&gt;=DeliverStart,ExpRMPerUnit*TotalUnits/12*JT$8*JT$11,0)</f>
        <v/>
      </c>
      <c r="JU28" s="218">
        <f>IF(277&gt;=DeliverStart,ExpRMPerUnit*TotalUnits/12*JU$8*JU$11,0)</f>
        <v/>
      </c>
      <c r="JV28" s="218">
        <f>IF(278&gt;=DeliverStart,ExpRMPerUnit*TotalUnits/12*JV$8*JV$11,0)</f>
        <v/>
      </c>
      <c r="JW28" s="218">
        <f>IF(279&gt;=DeliverStart,ExpRMPerUnit*TotalUnits/12*JW$8*JW$11,0)</f>
        <v/>
      </c>
      <c r="JX28" s="218">
        <f>IF(280&gt;=DeliverStart,ExpRMPerUnit*TotalUnits/12*JX$8*JX$11,0)</f>
        <v/>
      </c>
      <c r="JY28" s="218">
        <f>IF(281&gt;=DeliverStart,ExpRMPerUnit*TotalUnits/12*JY$8*JY$11,0)</f>
        <v/>
      </c>
      <c r="JZ28" s="218">
        <f>IF(282&gt;=DeliverStart,ExpRMPerUnit*TotalUnits/12*JZ$8*JZ$11,0)</f>
        <v/>
      </c>
      <c r="KA28" s="218">
        <f>IF(283&gt;=DeliverStart,ExpRMPerUnit*TotalUnits/12*KA$8*KA$11,0)</f>
        <v/>
      </c>
      <c r="KB28" s="218">
        <f>IF(284&gt;=DeliverStart,ExpRMPerUnit*TotalUnits/12*KB$8*KB$11,0)</f>
        <v/>
      </c>
      <c r="KC28" s="218">
        <f>IF(285&gt;=DeliverStart,ExpRMPerUnit*TotalUnits/12*KC$8*KC$11,0)</f>
        <v/>
      </c>
      <c r="KD28" s="218">
        <f>IF(286&gt;=DeliverStart,ExpRMPerUnit*TotalUnits/12*KD$8*KD$11,0)</f>
        <v/>
      </c>
      <c r="KE28" s="218">
        <f>IF(287&gt;=DeliverStart,ExpRMPerUnit*TotalUnits/12*KE$8*KE$11,0)</f>
        <v/>
      </c>
      <c r="KF28" s="218">
        <f>IF(288&gt;=DeliverStart,ExpRMPerUnit*TotalUnits/12*KF$8*KF$11,0)</f>
        <v/>
      </c>
      <c r="KG28" s="218">
        <f>IF(289&gt;=DeliverStart,ExpRMPerUnit*TotalUnits/12*KG$8*KG$11,0)</f>
        <v/>
      </c>
      <c r="KH28" s="218">
        <f>IF(290&gt;=DeliverStart,ExpRMPerUnit*TotalUnits/12*KH$8*KH$11,0)</f>
        <v/>
      </c>
      <c r="KI28" s="218">
        <f>IF(291&gt;=DeliverStart,ExpRMPerUnit*TotalUnits/12*KI$8*KI$11,0)</f>
        <v/>
      </c>
      <c r="KJ28" s="218">
        <f>IF(292&gt;=DeliverStart,ExpRMPerUnit*TotalUnits/12*KJ$8*KJ$11,0)</f>
        <v/>
      </c>
      <c r="KK28" s="218">
        <f>IF(293&gt;=DeliverStart,ExpRMPerUnit*TotalUnits/12*KK$8*KK$11,0)</f>
        <v/>
      </c>
      <c r="KL28" s="218">
        <f>IF(294&gt;=DeliverStart,ExpRMPerUnit*TotalUnits/12*KL$8*KL$11,0)</f>
        <v/>
      </c>
      <c r="KM28" s="218">
        <f>IF(295&gt;=DeliverStart,ExpRMPerUnit*TotalUnits/12*KM$8*KM$11,0)</f>
        <v/>
      </c>
      <c r="KN28" s="218">
        <f>IF(296&gt;=DeliverStart,ExpRMPerUnit*TotalUnits/12*KN$8*KN$11,0)</f>
        <v/>
      </c>
      <c r="KO28" s="218">
        <f>IF(297&gt;=DeliverStart,ExpRMPerUnit*TotalUnits/12*KO$8*KO$11,0)</f>
        <v/>
      </c>
      <c r="KP28" s="218">
        <f>IF(298&gt;=DeliverStart,ExpRMPerUnit*TotalUnits/12*KP$8*KP$11,0)</f>
        <v/>
      </c>
      <c r="KQ28" s="218">
        <f>IF(299&gt;=DeliverStart,ExpRMPerUnit*TotalUnits/12*KQ$8*KQ$11,0)</f>
        <v/>
      </c>
      <c r="KR28" s="218">
        <f>IF(300&gt;=DeliverStart,ExpRMPerUnit*TotalUnits/12*KR$8*KR$11,0)</f>
        <v/>
      </c>
      <c r="KS28" s="218">
        <f>IF(301&gt;=DeliverStart,ExpRMPerUnit*TotalUnits/12*KS$8*KS$11,0)</f>
        <v/>
      </c>
      <c r="KT28" s="218">
        <f>IF(302&gt;=DeliverStart,ExpRMPerUnit*TotalUnits/12*KT$8*KT$11,0)</f>
        <v/>
      </c>
      <c r="KU28" s="218">
        <f>IF(303&gt;=DeliverStart,ExpRMPerUnit*TotalUnits/12*KU$8*KU$11,0)</f>
        <v/>
      </c>
      <c r="KV28" s="218">
        <f>IF(304&gt;=DeliverStart,ExpRMPerUnit*TotalUnits/12*KV$8*KV$11,0)</f>
        <v/>
      </c>
      <c r="KW28" s="218">
        <f>IF(305&gt;=DeliverStart,ExpRMPerUnit*TotalUnits/12*KW$8*KW$11,0)</f>
        <v/>
      </c>
      <c r="KX28" s="218">
        <f>IF(306&gt;=DeliverStart,ExpRMPerUnit*TotalUnits/12*KX$8*KX$11,0)</f>
        <v/>
      </c>
      <c r="KY28" s="218">
        <f>IF(307&gt;=DeliverStart,ExpRMPerUnit*TotalUnits/12*KY$8*KY$11,0)</f>
        <v/>
      </c>
      <c r="KZ28" s="218">
        <f>IF(308&gt;=DeliverStart,ExpRMPerUnit*TotalUnits/12*KZ$8*KZ$11,0)</f>
        <v/>
      </c>
      <c r="LA28" s="218">
        <f>IF(309&gt;=DeliverStart,ExpRMPerUnit*TotalUnits/12*LA$8*LA$11,0)</f>
        <v/>
      </c>
      <c r="LB28" s="218">
        <f>IF(310&gt;=DeliverStart,ExpRMPerUnit*TotalUnits/12*LB$8*LB$11,0)</f>
        <v/>
      </c>
      <c r="LC28" s="218">
        <f>IF(311&gt;=DeliverStart,ExpRMPerUnit*TotalUnits/12*LC$8*LC$11,0)</f>
        <v/>
      </c>
      <c r="LD28" s="218">
        <f>IF(312&gt;=DeliverStart,ExpRMPerUnit*TotalUnits/12*LD$8*LD$11,0)</f>
        <v/>
      </c>
      <c r="LE28" s="218">
        <f>IF(313&gt;=DeliverStart,ExpRMPerUnit*TotalUnits/12*LE$8*LE$11,0)</f>
        <v/>
      </c>
      <c r="LF28" s="218">
        <f>IF(314&gt;=DeliverStart,ExpRMPerUnit*TotalUnits/12*LF$8*LF$11,0)</f>
        <v/>
      </c>
      <c r="LG28" s="218">
        <f>IF(315&gt;=DeliverStart,ExpRMPerUnit*TotalUnits/12*LG$8*LG$11,0)</f>
        <v/>
      </c>
      <c r="LH28" s="218">
        <f>IF(316&gt;=DeliverStart,ExpRMPerUnit*TotalUnits/12*LH$8*LH$11,0)</f>
        <v/>
      </c>
      <c r="LI28" s="218">
        <f>IF(317&gt;=DeliverStart,ExpRMPerUnit*TotalUnits/12*LI$8*LI$11,0)</f>
        <v/>
      </c>
      <c r="LJ28" s="218">
        <f>IF(318&gt;=DeliverStart,ExpRMPerUnit*TotalUnits/12*LJ$8*LJ$11,0)</f>
        <v/>
      </c>
      <c r="LK28" s="218">
        <f>IF(319&gt;=DeliverStart,ExpRMPerUnit*TotalUnits/12*LK$8*LK$11,0)</f>
        <v/>
      </c>
      <c r="LL28" s="218">
        <f>IF(320&gt;=DeliverStart,ExpRMPerUnit*TotalUnits/12*LL$8*LL$11,0)</f>
        <v/>
      </c>
      <c r="LM28" s="218">
        <f>IF(321&gt;=DeliverStart,ExpRMPerUnit*TotalUnits/12*LM$8*LM$11,0)</f>
        <v/>
      </c>
      <c r="LN28" s="218">
        <f>IF(322&gt;=DeliverStart,ExpRMPerUnit*TotalUnits/12*LN$8*LN$11,0)</f>
        <v/>
      </c>
      <c r="LO28" s="218">
        <f>IF(323&gt;=DeliverStart,ExpRMPerUnit*TotalUnits/12*LO$8*LO$11,0)</f>
        <v/>
      </c>
      <c r="LP28" s="218">
        <f>IF(324&gt;=DeliverStart,ExpRMPerUnit*TotalUnits/12*LP$8*LP$11,0)</f>
        <v/>
      </c>
      <c r="LQ28" s="218">
        <f>IF(325&gt;=DeliverStart,ExpRMPerUnit*TotalUnits/12*LQ$8*LQ$11,0)</f>
        <v/>
      </c>
      <c r="LR28" s="218">
        <f>IF(326&gt;=DeliverStart,ExpRMPerUnit*TotalUnits/12*LR$8*LR$11,0)</f>
        <v/>
      </c>
      <c r="LS28" s="218">
        <f>IF(327&gt;=DeliverStart,ExpRMPerUnit*TotalUnits/12*LS$8*LS$11,0)</f>
        <v/>
      </c>
      <c r="LT28" s="218">
        <f>IF(328&gt;=DeliverStart,ExpRMPerUnit*TotalUnits/12*LT$8*LT$11,0)</f>
        <v/>
      </c>
      <c r="LU28" s="218">
        <f>IF(329&gt;=DeliverStart,ExpRMPerUnit*TotalUnits/12*LU$8*LU$11,0)</f>
        <v/>
      </c>
      <c r="LV28" s="218">
        <f>IF(330&gt;=DeliverStart,ExpRMPerUnit*TotalUnits/12*LV$8*LV$11,0)</f>
        <v/>
      </c>
      <c r="LW28" s="218">
        <f>IF(331&gt;=DeliverStart,ExpRMPerUnit*TotalUnits/12*LW$8*LW$11,0)</f>
        <v/>
      </c>
      <c r="LX28" s="218">
        <f>IF(332&gt;=DeliverStart,ExpRMPerUnit*TotalUnits/12*LX$8*LX$11,0)</f>
        <v/>
      </c>
      <c r="LY28" s="218">
        <f>IF(333&gt;=DeliverStart,ExpRMPerUnit*TotalUnits/12*LY$8*LY$11,0)</f>
        <v/>
      </c>
      <c r="LZ28" s="218">
        <f>IF(334&gt;=DeliverStart,ExpRMPerUnit*TotalUnits/12*LZ$8*LZ$11,0)</f>
        <v/>
      </c>
      <c r="MA28" s="218">
        <f>IF(335&gt;=DeliverStart,ExpRMPerUnit*TotalUnits/12*MA$8*MA$11,0)</f>
        <v/>
      </c>
      <c r="MB28" s="218">
        <f>IF(336&gt;=DeliverStart,ExpRMPerUnit*TotalUnits/12*MB$8*MB$11,0)</f>
        <v/>
      </c>
      <c r="MC28" s="218">
        <f>IF(337&gt;=DeliverStart,ExpRMPerUnit*TotalUnits/12*MC$8*MC$11,0)</f>
        <v/>
      </c>
      <c r="MD28" s="218">
        <f>IF(338&gt;=DeliverStart,ExpRMPerUnit*TotalUnits/12*MD$8*MD$11,0)</f>
        <v/>
      </c>
      <c r="ME28" s="218">
        <f>IF(339&gt;=DeliverStart,ExpRMPerUnit*TotalUnits/12*ME$8*ME$11,0)</f>
        <v/>
      </c>
      <c r="MF28" s="218">
        <f>IF(340&gt;=DeliverStart,ExpRMPerUnit*TotalUnits/12*MF$8*MF$11,0)</f>
        <v/>
      </c>
      <c r="MG28" s="218">
        <f>IF(341&gt;=DeliverStart,ExpRMPerUnit*TotalUnits/12*MG$8*MG$11,0)</f>
        <v/>
      </c>
      <c r="MH28" s="218">
        <f>IF(342&gt;=DeliverStart,ExpRMPerUnit*TotalUnits/12*MH$8*MH$11,0)</f>
        <v/>
      </c>
      <c r="MI28" s="218">
        <f>IF(343&gt;=DeliverStart,ExpRMPerUnit*TotalUnits/12*MI$8*MI$11,0)</f>
        <v/>
      </c>
      <c r="MJ28" s="218">
        <f>IF(344&gt;=DeliverStart,ExpRMPerUnit*TotalUnits/12*MJ$8*MJ$11,0)</f>
        <v/>
      </c>
      <c r="MK28" s="218">
        <f>IF(345&gt;=DeliverStart,ExpRMPerUnit*TotalUnits/12*MK$8*MK$11,0)</f>
        <v/>
      </c>
      <c r="ML28" s="218">
        <f>IF(346&gt;=DeliverStart,ExpRMPerUnit*TotalUnits/12*ML$8*ML$11,0)</f>
        <v/>
      </c>
      <c r="MM28" s="218">
        <f>IF(347&gt;=DeliverStart,ExpRMPerUnit*TotalUnits/12*MM$8*MM$11,0)</f>
        <v/>
      </c>
      <c r="MN28" s="218">
        <f>IF(348&gt;=DeliverStart,ExpRMPerUnit*TotalUnits/12*MN$8*MN$11,0)</f>
        <v/>
      </c>
      <c r="MO28" s="218">
        <f>IF(349&gt;=DeliverStart,ExpRMPerUnit*TotalUnits/12*MO$8*MO$11,0)</f>
        <v/>
      </c>
      <c r="MP28" s="218">
        <f>IF(350&gt;=DeliverStart,ExpRMPerUnit*TotalUnits/12*MP$8*MP$11,0)</f>
        <v/>
      </c>
      <c r="MQ28" s="218">
        <f>IF(351&gt;=DeliverStart,ExpRMPerUnit*TotalUnits/12*MQ$8*MQ$11,0)</f>
        <v/>
      </c>
      <c r="MR28" s="218">
        <f>IF(352&gt;=DeliverStart,ExpRMPerUnit*TotalUnits/12*MR$8*MR$11,0)</f>
        <v/>
      </c>
      <c r="MS28" s="218">
        <f>IF(353&gt;=DeliverStart,ExpRMPerUnit*TotalUnits/12*MS$8*MS$11,0)</f>
        <v/>
      </c>
      <c r="MT28" s="218">
        <f>IF(354&gt;=DeliverStart,ExpRMPerUnit*TotalUnits/12*MT$8*MT$11,0)</f>
        <v/>
      </c>
      <c r="MU28" s="218">
        <f>IF(355&gt;=DeliverStart,ExpRMPerUnit*TotalUnits/12*MU$8*MU$11,0)</f>
        <v/>
      </c>
      <c r="MV28" s="218">
        <f>IF(356&gt;=DeliverStart,ExpRMPerUnit*TotalUnits/12*MV$8*MV$11,0)</f>
        <v/>
      </c>
      <c r="MW28" s="218">
        <f>IF(357&gt;=DeliverStart,ExpRMPerUnit*TotalUnits/12*MW$8*MW$11,0)</f>
        <v/>
      </c>
      <c r="MX28" s="218">
        <f>IF(358&gt;=DeliverStart,ExpRMPerUnit*TotalUnits/12*MX$8*MX$11,0)</f>
        <v/>
      </c>
      <c r="MY28" s="218">
        <f>IF(359&gt;=DeliverStart,ExpRMPerUnit*TotalUnits/12*MY$8*MY$11,0)</f>
        <v/>
      </c>
      <c r="MZ28" s="218">
        <f>IF(360&gt;=DeliverStart,ExpRMPerUnit*TotalUnits/12*MZ$8*MZ$11,0)</f>
        <v/>
      </c>
      <c r="NA28" s="218">
        <f>IF(361&gt;=DeliverStart,ExpRMPerUnit*TotalUnits/12*NA$8*NA$11,0)</f>
        <v/>
      </c>
      <c r="NB28" s="218">
        <f>IF(362&gt;=DeliverStart,ExpRMPerUnit*TotalUnits/12*NB$8*NB$11,0)</f>
        <v/>
      </c>
      <c r="NC28" s="218">
        <f>IF(363&gt;=DeliverStart,ExpRMPerUnit*TotalUnits/12*NC$8*NC$11,0)</f>
        <v/>
      </c>
      <c r="ND28" s="218">
        <f>IF(364&gt;=DeliverStart,ExpRMPerUnit*TotalUnits/12*ND$8*ND$11,0)</f>
        <v/>
      </c>
      <c r="NE28" s="218">
        <f>IF(365&gt;=DeliverStart,ExpRMPerUnit*TotalUnits/12*NE$8*NE$11,0)</f>
        <v/>
      </c>
      <c r="NF28" s="218">
        <f>IF(366&gt;=DeliverStart,ExpRMPerUnit*TotalUnits/12*NF$8*NF$11,0)</f>
        <v/>
      </c>
      <c r="NG28" s="218">
        <f>IF(367&gt;=DeliverStart,ExpRMPerUnit*TotalUnits/12*NG$8*NG$11,0)</f>
        <v/>
      </c>
      <c r="NH28" s="218">
        <f>IF(368&gt;=DeliverStart,ExpRMPerUnit*TotalUnits/12*NH$8*NH$11,0)</f>
        <v/>
      </c>
      <c r="NI28" s="218">
        <f>IF(369&gt;=DeliverStart,ExpRMPerUnit*TotalUnits/12*NI$8*NI$11,0)</f>
        <v/>
      </c>
      <c r="NJ28" s="218">
        <f>IF(370&gt;=DeliverStart,ExpRMPerUnit*TotalUnits/12*NJ$8*NJ$11,0)</f>
        <v/>
      </c>
      <c r="NK28" s="218">
        <f>IF(371&gt;=DeliverStart,ExpRMPerUnit*TotalUnits/12*NK$8*NK$11,0)</f>
        <v/>
      </c>
      <c r="NL28" s="225">
        <f>IF(372&gt;=DeliverStart,ExpRMPerUnit*TotalUnits/12*NL$8*NL$11,0)</f>
        <v/>
      </c>
    </row>
    <row r="29">
      <c r="B29" s="36" t="inlineStr">
        <is>
          <t>Turnover (variable)</t>
        </is>
      </c>
      <c r="D29" s="266">
        <f>SUM(E29:NL29)</f>
        <v/>
      </c>
      <c r="E29" s="218">
        <f>IF(1&gt;=DeliverStart,ExpTurnoverPerUnit*TotalUnits/12*E$8*E$11,0)</f>
        <v/>
      </c>
      <c r="F29" s="218">
        <f>IF(2&gt;=DeliverStart,ExpTurnoverPerUnit*TotalUnits/12*F$8*F$11,0)</f>
        <v/>
      </c>
      <c r="G29" s="218">
        <f>IF(3&gt;=DeliverStart,ExpTurnoverPerUnit*TotalUnits/12*G$8*G$11,0)</f>
        <v/>
      </c>
      <c r="H29" s="218">
        <f>IF(4&gt;=DeliverStart,ExpTurnoverPerUnit*TotalUnits/12*H$8*H$11,0)</f>
        <v/>
      </c>
      <c r="I29" s="218">
        <f>IF(5&gt;=DeliverStart,ExpTurnoverPerUnit*TotalUnits/12*I$8*I$11,0)</f>
        <v/>
      </c>
      <c r="J29" s="218">
        <f>IF(6&gt;=DeliverStart,ExpTurnoverPerUnit*TotalUnits/12*J$8*J$11,0)</f>
        <v/>
      </c>
      <c r="K29" s="218">
        <f>IF(7&gt;=DeliverStart,ExpTurnoverPerUnit*TotalUnits/12*K$8*K$11,0)</f>
        <v/>
      </c>
      <c r="L29" s="218">
        <f>IF(8&gt;=DeliverStart,ExpTurnoverPerUnit*TotalUnits/12*L$8*L$11,0)</f>
        <v/>
      </c>
      <c r="M29" s="218">
        <f>IF(9&gt;=DeliverStart,ExpTurnoverPerUnit*TotalUnits/12*M$8*M$11,0)</f>
        <v/>
      </c>
      <c r="N29" s="218">
        <f>IF(10&gt;=DeliverStart,ExpTurnoverPerUnit*TotalUnits/12*N$8*N$11,0)</f>
        <v/>
      </c>
      <c r="O29" s="218">
        <f>IF(11&gt;=DeliverStart,ExpTurnoverPerUnit*TotalUnits/12*O$8*O$11,0)</f>
        <v/>
      </c>
      <c r="P29" s="218">
        <f>IF(12&gt;=DeliverStart,ExpTurnoverPerUnit*TotalUnits/12*P$8*P$11,0)</f>
        <v/>
      </c>
      <c r="Q29" s="218">
        <f>IF(13&gt;=DeliverStart,ExpTurnoverPerUnit*TotalUnits/12*Q$8*Q$11,0)</f>
        <v/>
      </c>
      <c r="R29" s="218">
        <f>IF(14&gt;=DeliverStart,ExpTurnoverPerUnit*TotalUnits/12*R$8*R$11,0)</f>
        <v/>
      </c>
      <c r="S29" s="218">
        <f>IF(15&gt;=DeliverStart,ExpTurnoverPerUnit*TotalUnits/12*S$8*S$11,0)</f>
        <v/>
      </c>
      <c r="T29" s="218">
        <f>IF(16&gt;=DeliverStart,ExpTurnoverPerUnit*TotalUnits/12*T$8*T$11,0)</f>
        <v/>
      </c>
      <c r="U29" s="218">
        <f>IF(17&gt;=DeliverStart,ExpTurnoverPerUnit*TotalUnits/12*U$8*U$11,0)</f>
        <v/>
      </c>
      <c r="V29" s="218">
        <f>IF(18&gt;=DeliverStart,ExpTurnoverPerUnit*TotalUnits/12*V$8*V$11,0)</f>
        <v/>
      </c>
      <c r="W29" s="218">
        <f>IF(19&gt;=DeliverStart,ExpTurnoverPerUnit*TotalUnits/12*W$8*W$11,0)</f>
        <v/>
      </c>
      <c r="X29" s="218">
        <f>IF(20&gt;=DeliverStart,ExpTurnoverPerUnit*TotalUnits/12*X$8*X$11,0)</f>
        <v/>
      </c>
      <c r="Y29" s="218">
        <f>IF(21&gt;=DeliverStart,ExpTurnoverPerUnit*TotalUnits/12*Y$8*Y$11,0)</f>
        <v/>
      </c>
      <c r="Z29" s="218">
        <f>IF(22&gt;=DeliverStart,ExpTurnoverPerUnit*TotalUnits/12*Z$8*Z$11,0)</f>
        <v/>
      </c>
      <c r="AA29" s="218">
        <f>IF(23&gt;=DeliverStart,ExpTurnoverPerUnit*TotalUnits/12*AA$8*AA$11,0)</f>
        <v/>
      </c>
      <c r="AB29" s="218">
        <f>IF(24&gt;=DeliverStart,ExpTurnoverPerUnit*TotalUnits/12*AB$8*AB$11,0)</f>
        <v/>
      </c>
      <c r="AC29" s="218">
        <f>IF(25&gt;=DeliverStart,ExpTurnoverPerUnit*TotalUnits/12*AC$8*AC$11,0)</f>
        <v/>
      </c>
      <c r="AD29" s="218">
        <f>IF(26&gt;=DeliverStart,ExpTurnoverPerUnit*TotalUnits/12*AD$8*AD$11,0)</f>
        <v/>
      </c>
      <c r="AE29" s="218">
        <f>IF(27&gt;=DeliverStart,ExpTurnoverPerUnit*TotalUnits/12*AE$8*AE$11,0)</f>
        <v/>
      </c>
      <c r="AF29" s="218">
        <f>IF(28&gt;=DeliverStart,ExpTurnoverPerUnit*TotalUnits/12*AF$8*AF$11,0)</f>
        <v/>
      </c>
      <c r="AG29" s="218">
        <f>IF(29&gt;=DeliverStart,ExpTurnoverPerUnit*TotalUnits/12*AG$8*AG$11,0)</f>
        <v/>
      </c>
      <c r="AH29" s="218">
        <f>IF(30&gt;=DeliverStart,ExpTurnoverPerUnit*TotalUnits/12*AH$8*AH$11,0)</f>
        <v/>
      </c>
      <c r="AI29" s="218">
        <f>IF(31&gt;=DeliverStart,ExpTurnoverPerUnit*TotalUnits/12*AI$8*AI$11,0)</f>
        <v/>
      </c>
      <c r="AJ29" s="218">
        <f>IF(32&gt;=DeliverStart,ExpTurnoverPerUnit*TotalUnits/12*AJ$8*AJ$11,0)</f>
        <v/>
      </c>
      <c r="AK29" s="218">
        <f>IF(33&gt;=DeliverStart,ExpTurnoverPerUnit*TotalUnits/12*AK$8*AK$11,0)</f>
        <v/>
      </c>
      <c r="AL29" s="218">
        <f>IF(34&gt;=DeliverStart,ExpTurnoverPerUnit*TotalUnits/12*AL$8*AL$11,0)</f>
        <v/>
      </c>
      <c r="AM29" s="218">
        <f>IF(35&gt;=DeliverStart,ExpTurnoverPerUnit*TotalUnits/12*AM$8*AM$11,0)</f>
        <v/>
      </c>
      <c r="AN29" s="218">
        <f>IF(36&gt;=DeliverStart,ExpTurnoverPerUnit*TotalUnits/12*AN$8*AN$11,0)</f>
        <v/>
      </c>
      <c r="AO29" s="218">
        <f>IF(37&gt;=DeliverStart,ExpTurnoverPerUnit*TotalUnits/12*AO$8*AO$11,0)</f>
        <v/>
      </c>
      <c r="AP29" s="218">
        <f>IF(38&gt;=DeliverStart,ExpTurnoverPerUnit*TotalUnits/12*AP$8*AP$11,0)</f>
        <v/>
      </c>
      <c r="AQ29" s="218">
        <f>IF(39&gt;=DeliverStart,ExpTurnoverPerUnit*TotalUnits/12*AQ$8*AQ$11,0)</f>
        <v/>
      </c>
      <c r="AR29" s="218">
        <f>IF(40&gt;=DeliverStart,ExpTurnoverPerUnit*TotalUnits/12*AR$8*AR$11,0)</f>
        <v/>
      </c>
      <c r="AS29" s="218">
        <f>IF(41&gt;=DeliverStart,ExpTurnoverPerUnit*TotalUnits/12*AS$8*AS$11,0)</f>
        <v/>
      </c>
      <c r="AT29" s="218">
        <f>IF(42&gt;=DeliverStart,ExpTurnoverPerUnit*TotalUnits/12*AT$8*AT$11,0)</f>
        <v/>
      </c>
      <c r="AU29" s="218">
        <f>IF(43&gt;=DeliverStart,ExpTurnoverPerUnit*TotalUnits/12*AU$8*AU$11,0)</f>
        <v/>
      </c>
      <c r="AV29" s="218">
        <f>IF(44&gt;=DeliverStart,ExpTurnoverPerUnit*TotalUnits/12*AV$8*AV$11,0)</f>
        <v/>
      </c>
      <c r="AW29" s="218">
        <f>IF(45&gt;=DeliverStart,ExpTurnoverPerUnit*TotalUnits/12*AW$8*AW$11,0)</f>
        <v/>
      </c>
      <c r="AX29" s="218">
        <f>IF(46&gt;=DeliverStart,ExpTurnoverPerUnit*TotalUnits/12*AX$8*AX$11,0)</f>
        <v/>
      </c>
      <c r="AY29" s="218">
        <f>IF(47&gt;=DeliverStart,ExpTurnoverPerUnit*TotalUnits/12*AY$8*AY$11,0)</f>
        <v/>
      </c>
      <c r="AZ29" s="218">
        <f>IF(48&gt;=DeliverStart,ExpTurnoverPerUnit*TotalUnits/12*AZ$8*AZ$11,0)</f>
        <v/>
      </c>
      <c r="BA29" s="218">
        <f>IF(49&gt;=DeliverStart,ExpTurnoverPerUnit*TotalUnits/12*BA$8*BA$11,0)</f>
        <v/>
      </c>
      <c r="BB29" s="218">
        <f>IF(50&gt;=DeliverStart,ExpTurnoverPerUnit*TotalUnits/12*BB$8*BB$11,0)</f>
        <v/>
      </c>
      <c r="BC29" s="218">
        <f>IF(51&gt;=DeliverStart,ExpTurnoverPerUnit*TotalUnits/12*BC$8*BC$11,0)</f>
        <v/>
      </c>
      <c r="BD29" s="218">
        <f>IF(52&gt;=DeliverStart,ExpTurnoverPerUnit*TotalUnits/12*BD$8*BD$11,0)</f>
        <v/>
      </c>
      <c r="BE29" s="218">
        <f>IF(53&gt;=DeliverStart,ExpTurnoverPerUnit*TotalUnits/12*BE$8*BE$11,0)</f>
        <v/>
      </c>
      <c r="BF29" s="218">
        <f>IF(54&gt;=DeliverStart,ExpTurnoverPerUnit*TotalUnits/12*BF$8*BF$11,0)</f>
        <v/>
      </c>
      <c r="BG29" s="218">
        <f>IF(55&gt;=DeliverStart,ExpTurnoverPerUnit*TotalUnits/12*BG$8*BG$11,0)</f>
        <v/>
      </c>
      <c r="BH29" s="218">
        <f>IF(56&gt;=DeliverStart,ExpTurnoverPerUnit*TotalUnits/12*BH$8*BH$11,0)</f>
        <v/>
      </c>
      <c r="BI29" s="218">
        <f>IF(57&gt;=DeliverStart,ExpTurnoverPerUnit*TotalUnits/12*BI$8*BI$11,0)</f>
        <v/>
      </c>
      <c r="BJ29" s="218">
        <f>IF(58&gt;=DeliverStart,ExpTurnoverPerUnit*TotalUnits/12*BJ$8*BJ$11,0)</f>
        <v/>
      </c>
      <c r="BK29" s="218">
        <f>IF(59&gt;=DeliverStart,ExpTurnoverPerUnit*TotalUnits/12*BK$8*BK$11,0)</f>
        <v/>
      </c>
      <c r="BL29" s="218">
        <f>IF(60&gt;=DeliverStart,ExpTurnoverPerUnit*TotalUnits/12*BL$8*BL$11,0)</f>
        <v/>
      </c>
      <c r="BM29" s="218">
        <f>IF(61&gt;=DeliverStart,ExpTurnoverPerUnit*TotalUnits/12*BM$8*BM$11,0)</f>
        <v/>
      </c>
      <c r="BN29" s="218">
        <f>IF(62&gt;=DeliverStart,ExpTurnoverPerUnit*TotalUnits/12*BN$8*BN$11,0)</f>
        <v/>
      </c>
      <c r="BO29" s="218">
        <f>IF(63&gt;=DeliverStart,ExpTurnoverPerUnit*TotalUnits/12*BO$8*BO$11,0)</f>
        <v/>
      </c>
      <c r="BP29" s="218">
        <f>IF(64&gt;=DeliverStart,ExpTurnoverPerUnit*TotalUnits/12*BP$8*BP$11,0)</f>
        <v/>
      </c>
      <c r="BQ29" s="218">
        <f>IF(65&gt;=DeliverStart,ExpTurnoverPerUnit*TotalUnits/12*BQ$8*BQ$11,0)</f>
        <v/>
      </c>
      <c r="BR29" s="218">
        <f>IF(66&gt;=DeliverStart,ExpTurnoverPerUnit*TotalUnits/12*BR$8*BR$11,0)</f>
        <v/>
      </c>
      <c r="BS29" s="218">
        <f>IF(67&gt;=DeliverStart,ExpTurnoverPerUnit*TotalUnits/12*BS$8*BS$11,0)</f>
        <v/>
      </c>
      <c r="BT29" s="218">
        <f>IF(68&gt;=DeliverStart,ExpTurnoverPerUnit*TotalUnits/12*BT$8*BT$11,0)</f>
        <v/>
      </c>
      <c r="BU29" s="218">
        <f>IF(69&gt;=DeliverStart,ExpTurnoverPerUnit*TotalUnits/12*BU$8*BU$11,0)</f>
        <v/>
      </c>
      <c r="BV29" s="218">
        <f>IF(70&gt;=DeliverStart,ExpTurnoverPerUnit*TotalUnits/12*BV$8*BV$11,0)</f>
        <v/>
      </c>
      <c r="BW29" s="218">
        <f>IF(71&gt;=DeliverStart,ExpTurnoverPerUnit*TotalUnits/12*BW$8*BW$11,0)</f>
        <v/>
      </c>
      <c r="BX29" s="218">
        <f>IF(72&gt;=DeliverStart,ExpTurnoverPerUnit*TotalUnits/12*BX$8*BX$11,0)</f>
        <v/>
      </c>
      <c r="BY29" s="218">
        <f>IF(73&gt;=DeliverStart,ExpTurnoverPerUnit*TotalUnits/12*BY$8*BY$11,0)</f>
        <v/>
      </c>
      <c r="BZ29" s="218">
        <f>IF(74&gt;=DeliverStart,ExpTurnoverPerUnit*TotalUnits/12*BZ$8*BZ$11,0)</f>
        <v/>
      </c>
      <c r="CA29" s="218">
        <f>IF(75&gt;=DeliverStart,ExpTurnoverPerUnit*TotalUnits/12*CA$8*CA$11,0)</f>
        <v/>
      </c>
      <c r="CB29" s="218">
        <f>IF(76&gt;=DeliverStart,ExpTurnoverPerUnit*TotalUnits/12*CB$8*CB$11,0)</f>
        <v/>
      </c>
      <c r="CC29" s="218">
        <f>IF(77&gt;=DeliverStart,ExpTurnoverPerUnit*TotalUnits/12*CC$8*CC$11,0)</f>
        <v/>
      </c>
      <c r="CD29" s="218">
        <f>IF(78&gt;=DeliverStart,ExpTurnoverPerUnit*TotalUnits/12*CD$8*CD$11,0)</f>
        <v/>
      </c>
      <c r="CE29" s="218">
        <f>IF(79&gt;=DeliverStart,ExpTurnoverPerUnit*TotalUnits/12*CE$8*CE$11,0)</f>
        <v/>
      </c>
      <c r="CF29" s="218">
        <f>IF(80&gt;=DeliverStart,ExpTurnoverPerUnit*TotalUnits/12*CF$8*CF$11,0)</f>
        <v/>
      </c>
      <c r="CG29" s="218">
        <f>IF(81&gt;=DeliverStart,ExpTurnoverPerUnit*TotalUnits/12*CG$8*CG$11,0)</f>
        <v/>
      </c>
      <c r="CH29" s="218">
        <f>IF(82&gt;=DeliverStart,ExpTurnoverPerUnit*TotalUnits/12*CH$8*CH$11,0)</f>
        <v/>
      </c>
      <c r="CI29" s="218">
        <f>IF(83&gt;=DeliverStart,ExpTurnoverPerUnit*TotalUnits/12*CI$8*CI$11,0)</f>
        <v/>
      </c>
      <c r="CJ29" s="218">
        <f>IF(84&gt;=DeliverStart,ExpTurnoverPerUnit*TotalUnits/12*CJ$8*CJ$11,0)</f>
        <v/>
      </c>
      <c r="CK29" s="218">
        <f>IF(85&gt;=DeliverStart,ExpTurnoverPerUnit*TotalUnits/12*CK$8*CK$11,0)</f>
        <v/>
      </c>
      <c r="CL29" s="218">
        <f>IF(86&gt;=DeliverStart,ExpTurnoverPerUnit*TotalUnits/12*CL$8*CL$11,0)</f>
        <v/>
      </c>
      <c r="CM29" s="218">
        <f>IF(87&gt;=DeliverStart,ExpTurnoverPerUnit*TotalUnits/12*CM$8*CM$11,0)</f>
        <v/>
      </c>
      <c r="CN29" s="218">
        <f>IF(88&gt;=DeliverStart,ExpTurnoverPerUnit*TotalUnits/12*CN$8*CN$11,0)</f>
        <v/>
      </c>
      <c r="CO29" s="218">
        <f>IF(89&gt;=DeliverStart,ExpTurnoverPerUnit*TotalUnits/12*CO$8*CO$11,0)</f>
        <v/>
      </c>
      <c r="CP29" s="218">
        <f>IF(90&gt;=DeliverStart,ExpTurnoverPerUnit*TotalUnits/12*CP$8*CP$11,0)</f>
        <v/>
      </c>
      <c r="CQ29" s="218">
        <f>IF(91&gt;=DeliverStart,ExpTurnoverPerUnit*TotalUnits/12*CQ$8*CQ$11,0)</f>
        <v/>
      </c>
      <c r="CR29" s="218">
        <f>IF(92&gt;=DeliverStart,ExpTurnoverPerUnit*TotalUnits/12*CR$8*CR$11,0)</f>
        <v/>
      </c>
      <c r="CS29" s="218">
        <f>IF(93&gt;=DeliverStart,ExpTurnoverPerUnit*TotalUnits/12*CS$8*CS$11,0)</f>
        <v/>
      </c>
      <c r="CT29" s="218">
        <f>IF(94&gt;=DeliverStart,ExpTurnoverPerUnit*TotalUnits/12*CT$8*CT$11,0)</f>
        <v/>
      </c>
      <c r="CU29" s="218">
        <f>IF(95&gt;=DeliverStart,ExpTurnoverPerUnit*TotalUnits/12*CU$8*CU$11,0)</f>
        <v/>
      </c>
      <c r="CV29" s="218">
        <f>IF(96&gt;=DeliverStart,ExpTurnoverPerUnit*TotalUnits/12*CV$8*CV$11,0)</f>
        <v/>
      </c>
      <c r="CW29" s="218">
        <f>IF(97&gt;=DeliverStart,ExpTurnoverPerUnit*TotalUnits/12*CW$8*CW$11,0)</f>
        <v/>
      </c>
      <c r="CX29" s="218">
        <f>IF(98&gt;=DeliverStart,ExpTurnoverPerUnit*TotalUnits/12*CX$8*CX$11,0)</f>
        <v/>
      </c>
      <c r="CY29" s="218">
        <f>IF(99&gt;=DeliverStart,ExpTurnoverPerUnit*TotalUnits/12*CY$8*CY$11,0)</f>
        <v/>
      </c>
      <c r="CZ29" s="218">
        <f>IF(100&gt;=DeliverStart,ExpTurnoverPerUnit*TotalUnits/12*CZ$8*CZ$11,0)</f>
        <v/>
      </c>
      <c r="DA29" s="218">
        <f>IF(101&gt;=DeliverStart,ExpTurnoverPerUnit*TotalUnits/12*DA$8*DA$11,0)</f>
        <v/>
      </c>
      <c r="DB29" s="218">
        <f>IF(102&gt;=DeliverStart,ExpTurnoverPerUnit*TotalUnits/12*DB$8*DB$11,0)</f>
        <v/>
      </c>
      <c r="DC29" s="218">
        <f>IF(103&gt;=DeliverStart,ExpTurnoverPerUnit*TotalUnits/12*DC$8*DC$11,0)</f>
        <v/>
      </c>
      <c r="DD29" s="218">
        <f>IF(104&gt;=DeliverStart,ExpTurnoverPerUnit*TotalUnits/12*DD$8*DD$11,0)</f>
        <v/>
      </c>
      <c r="DE29" s="218">
        <f>IF(105&gt;=DeliverStart,ExpTurnoverPerUnit*TotalUnits/12*DE$8*DE$11,0)</f>
        <v/>
      </c>
      <c r="DF29" s="218">
        <f>IF(106&gt;=DeliverStart,ExpTurnoverPerUnit*TotalUnits/12*DF$8*DF$11,0)</f>
        <v/>
      </c>
      <c r="DG29" s="218">
        <f>IF(107&gt;=DeliverStart,ExpTurnoverPerUnit*TotalUnits/12*DG$8*DG$11,0)</f>
        <v/>
      </c>
      <c r="DH29" s="218">
        <f>IF(108&gt;=DeliverStart,ExpTurnoverPerUnit*TotalUnits/12*DH$8*DH$11,0)</f>
        <v/>
      </c>
      <c r="DI29" s="218">
        <f>IF(109&gt;=DeliverStart,ExpTurnoverPerUnit*TotalUnits/12*DI$8*DI$11,0)</f>
        <v/>
      </c>
      <c r="DJ29" s="218">
        <f>IF(110&gt;=DeliverStart,ExpTurnoverPerUnit*TotalUnits/12*DJ$8*DJ$11,0)</f>
        <v/>
      </c>
      <c r="DK29" s="218">
        <f>IF(111&gt;=DeliverStart,ExpTurnoverPerUnit*TotalUnits/12*DK$8*DK$11,0)</f>
        <v/>
      </c>
      <c r="DL29" s="218">
        <f>IF(112&gt;=DeliverStart,ExpTurnoverPerUnit*TotalUnits/12*DL$8*DL$11,0)</f>
        <v/>
      </c>
      <c r="DM29" s="218">
        <f>IF(113&gt;=DeliverStart,ExpTurnoverPerUnit*TotalUnits/12*DM$8*DM$11,0)</f>
        <v/>
      </c>
      <c r="DN29" s="218">
        <f>IF(114&gt;=DeliverStart,ExpTurnoverPerUnit*TotalUnits/12*DN$8*DN$11,0)</f>
        <v/>
      </c>
      <c r="DO29" s="218">
        <f>IF(115&gt;=DeliverStart,ExpTurnoverPerUnit*TotalUnits/12*DO$8*DO$11,0)</f>
        <v/>
      </c>
      <c r="DP29" s="218">
        <f>IF(116&gt;=DeliverStart,ExpTurnoverPerUnit*TotalUnits/12*DP$8*DP$11,0)</f>
        <v/>
      </c>
      <c r="DQ29" s="218">
        <f>IF(117&gt;=DeliverStart,ExpTurnoverPerUnit*TotalUnits/12*DQ$8*DQ$11,0)</f>
        <v/>
      </c>
      <c r="DR29" s="218">
        <f>IF(118&gt;=DeliverStart,ExpTurnoverPerUnit*TotalUnits/12*DR$8*DR$11,0)</f>
        <v/>
      </c>
      <c r="DS29" s="218">
        <f>IF(119&gt;=DeliverStart,ExpTurnoverPerUnit*TotalUnits/12*DS$8*DS$11,0)</f>
        <v/>
      </c>
      <c r="DT29" s="218">
        <f>IF(120&gt;=DeliverStart,ExpTurnoverPerUnit*TotalUnits/12*DT$8*DT$11,0)</f>
        <v/>
      </c>
      <c r="DU29" s="218">
        <f>IF(121&gt;=DeliverStart,ExpTurnoverPerUnit*TotalUnits/12*DU$8*DU$11,0)</f>
        <v/>
      </c>
      <c r="DV29" s="218">
        <f>IF(122&gt;=DeliverStart,ExpTurnoverPerUnit*TotalUnits/12*DV$8*DV$11,0)</f>
        <v/>
      </c>
      <c r="DW29" s="218">
        <f>IF(123&gt;=DeliverStart,ExpTurnoverPerUnit*TotalUnits/12*DW$8*DW$11,0)</f>
        <v/>
      </c>
      <c r="DX29" s="218">
        <f>IF(124&gt;=DeliverStart,ExpTurnoverPerUnit*TotalUnits/12*DX$8*DX$11,0)</f>
        <v/>
      </c>
      <c r="DY29" s="218">
        <f>IF(125&gt;=DeliverStart,ExpTurnoverPerUnit*TotalUnits/12*DY$8*DY$11,0)</f>
        <v/>
      </c>
      <c r="DZ29" s="218">
        <f>IF(126&gt;=DeliverStart,ExpTurnoverPerUnit*TotalUnits/12*DZ$8*DZ$11,0)</f>
        <v/>
      </c>
      <c r="EA29" s="218">
        <f>IF(127&gt;=DeliverStart,ExpTurnoverPerUnit*TotalUnits/12*EA$8*EA$11,0)</f>
        <v/>
      </c>
      <c r="EB29" s="218">
        <f>IF(128&gt;=DeliverStart,ExpTurnoverPerUnit*TotalUnits/12*EB$8*EB$11,0)</f>
        <v/>
      </c>
      <c r="EC29" s="218">
        <f>IF(129&gt;=DeliverStart,ExpTurnoverPerUnit*TotalUnits/12*EC$8*EC$11,0)</f>
        <v/>
      </c>
      <c r="ED29" s="218">
        <f>IF(130&gt;=DeliverStart,ExpTurnoverPerUnit*TotalUnits/12*ED$8*ED$11,0)</f>
        <v/>
      </c>
      <c r="EE29" s="218">
        <f>IF(131&gt;=DeliverStart,ExpTurnoverPerUnit*TotalUnits/12*EE$8*EE$11,0)</f>
        <v/>
      </c>
      <c r="EF29" s="218">
        <f>IF(132&gt;=DeliverStart,ExpTurnoverPerUnit*TotalUnits/12*EF$8*EF$11,0)</f>
        <v/>
      </c>
      <c r="EG29" s="218">
        <f>IF(133&gt;=DeliverStart,ExpTurnoverPerUnit*TotalUnits/12*EG$8*EG$11,0)</f>
        <v/>
      </c>
      <c r="EH29" s="218">
        <f>IF(134&gt;=DeliverStart,ExpTurnoverPerUnit*TotalUnits/12*EH$8*EH$11,0)</f>
        <v/>
      </c>
      <c r="EI29" s="218">
        <f>IF(135&gt;=DeliverStart,ExpTurnoverPerUnit*TotalUnits/12*EI$8*EI$11,0)</f>
        <v/>
      </c>
      <c r="EJ29" s="218">
        <f>IF(136&gt;=DeliverStart,ExpTurnoverPerUnit*TotalUnits/12*EJ$8*EJ$11,0)</f>
        <v/>
      </c>
      <c r="EK29" s="218">
        <f>IF(137&gt;=DeliverStart,ExpTurnoverPerUnit*TotalUnits/12*EK$8*EK$11,0)</f>
        <v/>
      </c>
      <c r="EL29" s="218">
        <f>IF(138&gt;=DeliverStart,ExpTurnoverPerUnit*TotalUnits/12*EL$8*EL$11,0)</f>
        <v/>
      </c>
      <c r="EM29" s="218">
        <f>IF(139&gt;=DeliverStart,ExpTurnoverPerUnit*TotalUnits/12*EM$8*EM$11,0)</f>
        <v/>
      </c>
      <c r="EN29" s="218">
        <f>IF(140&gt;=DeliverStart,ExpTurnoverPerUnit*TotalUnits/12*EN$8*EN$11,0)</f>
        <v/>
      </c>
      <c r="EO29" s="218">
        <f>IF(141&gt;=DeliverStart,ExpTurnoverPerUnit*TotalUnits/12*EO$8*EO$11,0)</f>
        <v/>
      </c>
      <c r="EP29" s="218">
        <f>IF(142&gt;=DeliverStart,ExpTurnoverPerUnit*TotalUnits/12*EP$8*EP$11,0)</f>
        <v/>
      </c>
      <c r="EQ29" s="218">
        <f>IF(143&gt;=DeliverStart,ExpTurnoverPerUnit*TotalUnits/12*EQ$8*EQ$11,0)</f>
        <v/>
      </c>
      <c r="ER29" s="218">
        <f>IF(144&gt;=DeliverStart,ExpTurnoverPerUnit*TotalUnits/12*ER$8*ER$11,0)</f>
        <v/>
      </c>
      <c r="ES29" s="218">
        <f>IF(145&gt;=DeliverStart,ExpTurnoverPerUnit*TotalUnits/12*ES$8*ES$11,0)</f>
        <v/>
      </c>
      <c r="ET29" s="218">
        <f>IF(146&gt;=DeliverStart,ExpTurnoverPerUnit*TotalUnits/12*ET$8*ET$11,0)</f>
        <v/>
      </c>
      <c r="EU29" s="218">
        <f>IF(147&gt;=DeliverStart,ExpTurnoverPerUnit*TotalUnits/12*EU$8*EU$11,0)</f>
        <v/>
      </c>
      <c r="EV29" s="218">
        <f>IF(148&gt;=DeliverStart,ExpTurnoverPerUnit*TotalUnits/12*EV$8*EV$11,0)</f>
        <v/>
      </c>
      <c r="EW29" s="218">
        <f>IF(149&gt;=DeliverStart,ExpTurnoverPerUnit*TotalUnits/12*EW$8*EW$11,0)</f>
        <v/>
      </c>
      <c r="EX29" s="218">
        <f>IF(150&gt;=DeliverStart,ExpTurnoverPerUnit*TotalUnits/12*EX$8*EX$11,0)</f>
        <v/>
      </c>
      <c r="EY29" s="218">
        <f>IF(151&gt;=DeliverStart,ExpTurnoverPerUnit*TotalUnits/12*EY$8*EY$11,0)</f>
        <v/>
      </c>
      <c r="EZ29" s="218">
        <f>IF(152&gt;=DeliverStart,ExpTurnoverPerUnit*TotalUnits/12*EZ$8*EZ$11,0)</f>
        <v/>
      </c>
      <c r="FA29" s="218">
        <f>IF(153&gt;=DeliverStart,ExpTurnoverPerUnit*TotalUnits/12*FA$8*FA$11,0)</f>
        <v/>
      </c>
      <c r="FB29" s="218">
        <f>IF(154&gt;=DeliverStart,ExpTurnoverPerUnit*TotalUnits/12*FB$8*FB$11,0)</f>
        <v/>
      </c>
      <c r="FC29" s="218">
        <f>IF(155&gt;=DeliverStart,ExpTurnoverPerUnit*TotalUnits/12*FC$8*FC$11,0)</f>
        <v/>
      </c>
      <c r="FD29" s="218">
        <f>IF(156&gt;=DeliverStart,ExpTurnoverPerUnit*TotalUnits/12*FD$8*FD$11,0)</f>
        <v/>
      </c>
      <c r="FE29" s="218">
        <f>IF(157&gt;=DeliverStart,ExpTurnoverPerUnit*TotalUnits/12*FE$8*FE$11,0)</f>
        <v/>
      </c>
      <c r="FF29" s="218">
        <f>IF(158&gt;=DeliverStart,ExpTurnoverPerUnit*TotalUnits/12*FF$8*FF$11,0)</f>
        <v/>
      </c>
      <c r="FG29" s="218">
        <f>IF(159&gt;=DeliverStart,ExpTurnoverPerUnit*TotalUnits/12*FG$8*FG$11,0)</f>
        <v/>
      </c>
      <c r="FH29" s="218">
        <f>IF(160&gt;=DeliverStart,ExpTurnoverPerUnit*TotalUnits/12*FH$8*FH$11,0)</f>
        <v/>
      </c>
      <c r="FI29" s="218">
        <f>IF(161&gt;=DeliverStart,ExpTurnoverPerUnit*TotalUnits/12*FI$8*FI$11,0)</f>
        <v/>
      </c>
      <c r="FJ29" s="218">
        <f>IF(162&gt;=DeliverStart,ExpTurnoverPerUnit*TotalUnits/12*FJ$8*FJ$11,0)</f>
        <v/>
      </c>
      <c r="FK29" s="218">
        <f>IF(163&gt;=DeliverStart,ExpTurnoverPerUnit*TotalUnits/12*FK$8*FK$11,0)</f>
        <v/>
      </c>
      <c r="FL29" s="218">
        <f>IF(164&gt;=DeliverStart,ExpTurnoverPerUnit*TotalUnits/12*FL$8*FL$11,0)</f>
        <v/>
      </c>
      <c r="FM29" s="218">
        <f>IF(165&gt;=DeliverStart,ExpTurnoverPerUnit*TotalUnits/12*FM$8*FM$11,0)</f>
        <v/>
      </c>
      <c r="FN29" s="218">
        <f>IF(166&gt;=DeliverStart,ExpTurnoverPerUnit*TotalUnits/12*FN$8*FN$11,0)</f>
        <v/>
      </c>
      <c r="FO29" s="218">
        <f>IF(167&gt;=DeliverStart,ExpTurnoverPerUnit*TotalUnits/12*FO$8*FO$11,0)</f>
        <v/>
      </c>
      <c r="FP29" s="218">
        <f>IF(168&gt;=DeliverStart,ExpTurnoverPerUnit*TotalUnits/12*FP$8*FP$11,0)</f>
        <v/>
      </c>
      <c r="FQ29" s="218">
        <f>IF(169&gt;=DeliverStart,ExpTurnoverPerUnit*TotalUnits/12*FQ$8*FQ$11,0)</f>
        <v/>
      </c>
      <c r="FR29" s="218">
        <f>IF(170&gt;=DeliverStart,ExpTurnoverPerUnit*TotalUnits/12*FR$8*FR$11,0)</f>
        <v/>
      </c>
      <c r="FS29" s="218">
        <f>IF(171&gt;=DeliverStart,ExpTurnoverPerUnit*TotalUnits/12*FS$8*FS$11,0)</f>
        <v/>
      </c>
      <c r="FT29" s="218">
        <f>IF(172&gt;=DeliverStart,ExpTurnoverPerUnit*TotalUnits/12*FT$8*FT$11,0)</f>
        <v/>
      </c>
      <c r="FU29" s="218">
        <f>IF(173&gt;=DeliverStart,ExpTurnoverPerUnit*TotalUnits/12*FU$8*FU$11,0)</f>
        <v/>
      </c>
      <c r="FV29" s="218">
        <f>IF(174&gt;=DeliverStart,ExpTurnoverPerUnit*TotalUnits/12*FV$8*FV$11,0)</f>
        <v/>
      </c>
      <c r="FW29" s="218">
        <f>IF(175&gt;=DeliverStart,ExpTurnoverPerUnit*TotalUnits/12*FW$8*FW$11,0)</f>
        <v/>
      </c>
      <c r="FX29" s="218">
        <f>IF(176&gt;=DeliverStart,ExpTurnoverPerUnit*TotalUnits/12*FX$8*FX$11,0)</f>
        <v/>
      </c>
      <c r="FY29" s="218">
        <f>IF(177&gt;=DeliverStart,ExpTurnoverPerUnit*TotalUnits/12*FY$8*FY$11,0)</f>
        <v/>
      </c>
      <c r="FZ29" s="218">
        <f>IF(178&gt;=DeliverStart,ExpTurnoverPerUnit*TotalUnits/12*FZ$8*FZ$11,0)</f>
        <v/>
      </c>
      <c r="GA29" s="218">
        <f>IF(179&gt;=DeliverStart,ExpTurnoverPerUnit*TotalUnits/12*GA$8*GA$11,0)</f>
        <v/>
      </c>
      <c r="GB29" s="218">
        <f>IF(180&gt;=DeliverStart,ExpTurnoverPerUnit*TotalUnits/12*GB$8*GB$11,0)</f>
        <v/>
      </c>
      <c r="GC29" s="218">
        <f>IF(181&gt;=DeliverStart,ExpTurnoverPerUnit*TotalUnits/12*GC$8*GC$11,0)</f>
        <v/>
      </c>
      <c r="GD29" s="218">
        <f>IF(182&gt;=DeliverStart,ExpTurnoverPerUnit*TotalUnits/12*GD$8*GD$11,0)</f>
        <v/>
      </c>
      <c r="GE29" s="218">
        <f>IF(183&gt;=DeliverStart,ExpTurnoverPerUnit*TotalUnits/12*GE$8*GE$11,0)</f>
        <v/>
      </c>
      <c r="GF29" s="218">
        <f>IF(184&gt;=DeliverStart,ExpTurnoverPerUnit*TotalUnits/12*GF$8*GF$11,0)</f>
        <v/>
      </c>
      <c r="GG29" s="218">
        <f>IF(185&gt;=DeliverStart,ExpTurnoverPerUnit*TotalUnits/12*GG$8*GG$11,0)</f>
        <v/>
      </c>
      <c r="GH29" s="218">
        <f>IF(186&gt;=DeliverStart,ExpTurnoverPerUnit*TotalUnits/12*GH$8*GH$11,0)</f>
        <v/>
      </c>
      <c r="GI29" s="218">
        <f>IF(187&gt;=DeliverStart,ExpTurnoverPerUnit*TotalUnits/12*GI$8*GI$11,0)</f>
        <v/>
      </c>
      <c r="GJ29" s="218">
        <f>IF(188&gt;=DeliverStart,ExpTurnoverPerUnit*TotalUnits/12*GJ$8*GJ$11,0)</f>
        <v/>
      </c>
      <c r="GK29" s="218">
        <f>IF(189&gt;=DeliverStart,ExpTurnoverPerUnit*TotalUnits/12*GK$8*GK$11,0)</f>
        <v/>
      </c>
      <c r="GL29" s="218">
        <f>IF(190&gt;=DeliverStart,ExpTurnoverPerUnit*TotalUnits/12*GL$8*GL$11,0)</f>
        <v/>
      </c>
      <c r="GM29" s="218">
        <f>IF(191&gt;=DeliverStart,ExpTurnoverPerUnit*TotalUnits/12*GM$8*GM$11,0)</f>
        <v/>
      </c>
      <c r="GN29" s="218">
        <f>IF(192&gt;=DeliverStart,ExpTurnoverPerUnit*TotalUnits/12*GN$8*GN$11,0)</f>
        <v/>
      </c>
      <c r="GO29" s="218">
        <f>IF(193&gt;=DeliverStart,ExpTurnoverPerUnit*TotalUnits/12*GO$8*GO$11,0)</f>
        <v/>
      </c>
      <c r="GP29" s="218">
        <f>IF(194&gt;=DeliverStart,ExpTurnoverPerUnit*TotalUnits/12*GP$8*GP$11,0)</f>
        <v/>
      </c>
      <c r="GQ29" s="218">
        <f>IF(195&gt;=DeliverStart,ExpTurnoverPerUnit*TotalUnits/12*GQ$8*GQ$11,0)</f>
        <v/>
      </c>
      <c r="GR29" s="218">
        <f>IF(196&gt;=DeliverStart,ExpTurnoverPerUnit*TotalUnits/12*GR$8*GR$11,0)</f>
        <v/>
      </c>
      <c r="GS29" s="218">
        <f>IF(197&gt;=DeliverStart,ExpTurnoverPerUnit*TotalUnits/12*GS$8*GS$11,0)</f>
        <v/>
      </c>
      <c r="GT29" s="218">
        <f>IF(198&gt;=DeliverStart,ExpTurnoverPerUnit*TotalUnits/12*GT$8*GT$11,0)</f>
        <v/>
      </c>
      <c r="GU29" s="218">
        <f>IF(199&gt;=DeliverStart,ExpTurnoverPerUnit*TotalUnits/12*GU$8*GU$11,0)</f>
        <v/>
      </c>
      <c r="GV29" s="218">
        <f>IF(200&gt;=DeliverStart,ExpTurnoverPerUnit*TotalUnits/12*GV$8*GV$11,0)</f>
        <v/>
      </c>
      <c r="GW29" s="218">
        <f>IF(201&gt;=DeliverStart,ExpTurnoverPerUnit*TotalUnits/12*GW$8*GW$11,0)</f>
        <v/>
      </c>
      <c r="GX29" s="218">
        <f>IF(202&gt;=DeliverStart,ExpTurnoverPerUnit*TotalUnits/12*GX$8*GX$11,0)</f>
        <v/>
      </c>
      <c r="GY29" s="218">
        <f>IF(203&gt;=DeliverStart,ExpTurnoverPerUnit*TotalUnits/12*GY$8*GY$11,0)</f>
        <v/>
      </c>
      <c r="GZ29" s="218">
        <f>IF(204&gt;=DeliverStart,ExpTurnoverPerUnit*TotalUnits/12*GZ$8*GZ$11,0)</f>
        <v/>
      </c>
      <c r="HA29" s="218">
        <f>IF(205&gt;=DeliverStart,ExpTurnoverPerUnit*TotalUnits/12*HA$8*HA$11,0)</f>
        <v/>
      </c>
      <c r="HB29" s="218">
        <f>IF(206&gt;=DeliverStart,ExpTurnoverPerUnit*TotalUnits/12*HB$8*HB$11,0)</f>
        <v/>
      </c>
      <c r="HC29" s="218">
        <f>IF(207&gt;=DeliverStart,ExpTurnoverPerUnit*TotalUnits/12*HC$8*HC$11,0)</f>
        <v/>
      </c>
      <c r="HD29" s="218">
        <f>IF(208&gt;=DeliverStart,ExpTurnoverPerUnit*TotalUnits/12*HD$8*HD$11,0)</f>
        <v/>
      </c>
      <c r="HE29" s="218">
        <f>IF(209&gt;=DeliverStart,ExpTurnoverPerUnit*TotalUnits/12*HE$8*HE$11,0)</f>
        <v/>
      </c>
      <c r="HF29" s="218">
        <f>IF(210&gt;=DeliverStart,ExpTurnoverPerUnit*TotalUnits/12*HF$8*HF$11,0)</f>
        <v/>
      </c>
      <c r="HG29" s="218">
        <f>IF(211&gt;=DeliverStart,ExpTurnoverPerUnit*TotalUnits/12*HG$8*HG$11,0)</f>
        <v/>
      </c>
      <c r="HH29" s="218">
        <f>IF(212&gt;=DeliverStart,ExpTurnoverPerUnit*TotalUnits/12*HH$8*HH$11,0)</f>
        <v/>
      </c>
      <c r="HI29" s="218">
        <f>IF(213&gt;=DeliverStart,ExpTurnoverPerUnit*TotalUnits/12*HI$8*HI$11,0)</f>
        <v/>
      </c>
      <c r="HJ29" s="218">
        <f>IF(214&gt;=DeliverStart,ExpTurnoverPerUnit*TotalUnits/12*HJ$8*HJ$11,0)</f>
        <v/>
      </c>
      <c r="HK29" s="218">
        <f>IF(215&gt;=DeliverStart,ExpTurnoverPerUnit*TotalUnits/12*HK$8*HK$11,0)</f>
        <v/>
      </c>
      <c r="HL29" s="218">
        <f>IF(216&gt;=DeliverStart,ExpTurnoverPerUnit*TotalUnits/12*HL$8*HL$11,0)</f>
        <v/>
      </c>
      <c r="HM29" s="218">
        <f>IF(217&gt;=DeliverStart,ExpTurnoverPerUnit*TotalUnits/12*HM$8*HM$11,0)</f>
        <v/>
      </c>
      <c r="HN29" s="218">
        <f>IF(218&gt;=DeliverStart,ExpTurnoverPerUnit*TotalUnits/12*HN$8*HN$11,0)</f>
        <v/>
      </c>
      <c r="HO29" s="218">
        <f>IF(219&gt;=DeliverStart,ExpTurnoverPerUnit*TotalUnits/12*HO$8*HO$11,0)</f>
        <v/>
      </c>
      <c r="HP29" s="218">
        <f>IF(220&gt;=DeliverStart,ExpTurnoverPerUnit*TotalUnits/12*HP$8*HP$11,0)</f>
        <v/>
      </c>
      <c r="HQ29" s="218">
        <f>IF(221&gt;=DeliverStart,ExpTurnoverPerUnit*TotalUnits/12*HQ$8*HQ$11,0)</f>
        <v/>
      </c>
      <c r="HR29" s="218">
        <f>IF(222&gt;=DeliverStart,ExpTurnoverPerUnit*TotalUnits/12*HR$8*HR$11,0)</f>
        <v/>
      </c>
      <c r="HS29" s="218">
        <f>IF(223&gt;=DeliverStart,ExpTurnoverPerUnit*TotalUnits/12*HS$8*HS$11,0)</f>
        <v/>
      </c>
      <c r="HT29" s="218">
        <f>IF(224&gt;=DeliverStart,ExpTurnoverPerUnit*TotalUnits/12*HT$8*HT$11,0)</f>
        <v/>
      </c>
      <c r="HU29" s="218">
        <f>IF(225&gt;=DeliverStart,ExpTurnoverPerUnit*TotalUnits/12*HU$8*HU$11,0)</f>
        <v/>
      </c>
      <c r="HV29" s="218">
        <f>IF(226&gt;=DeliverStart,ExpTurnoverPerUnit*TotalUnits/12*HV$8*HV$11,0)</f>
        <v/>
      </c>
      <c r="HW29" s="218">
        <f>IF(227&gt;=DeliverStart,ExpTurnoverPerUnit*TotalUnits/12*HW$8*HW$11,0)</f>
        <v/>
      </c>
      <c r="HX29" s="218">
        <f>IF(228&gt;=DeliverStart,ExpTurnoverPerUnit*TotalUnits/12*HX$8*HX$11,0)</f>
        <v/>
      </c>
      <c r="HY29" s="218">
        <f>IF(229&gt;=DeliverStart,ExpTurnoverPerUnit*TotalUnits/12*HY$8*HY$11,0)</f>
        <v/>
      </c>
      <c r="HZ29" s="218">
        <f>IF(230&gt;=DeliverStart,ExpTurnoverPerUnit*TotalUnits/12*HZ$8*HZ$11,0)</f>
        <v/>
      </c>
      <c r="IA29" s="218">
        <f>IF(231&gt;=DeliverStart,ExpTurnoverPerUnit*TotalUnits/12*IA$8*IA$11,0)</f>
        <v/>
      </c>
      <c r="IB29" s="218">
        <f>IF(232&gt;=DeliverStart,ExpTurnoverPerUnit*TotalUnits/12*IB$8*IB$11,0)</f>
        <v/>
      </c>
      <c r="IC29" s="218">
        <f>IF(233&gt;=DeliverStart,ExpTurnoverPerUnit*TotalUnits/12*IC$8*IC$11,0)</f>
        <v/>
      </c>
      <c r="ID29" s="218">
        <f>IF(234&gt;=DeliverStart,ExpTurnoverPerUnit*TotalUnits/12*ID$8*ID$11,0)</f>
        <v/>
      </c>
      <c r="IE29" s="218">
        <f>IF(235&gt;=DeliverStart,ExpTurnoverPerUnit*TotalUnits/12*IE$8*IE$11,0)</f>
        <v/>
      </c>
      <c r="IF29" s="218">
        <f>IF(236&gt;=DeliverStart,ExpTurnoverPerUnit*TotalUnits/12*IF$8*IF$11,0)</f>
        <v/>
      </c>
      <c r="IG29" s="218">
        <f>IF(237&gt;=DeliverStart,ExpTurnoverPerUnit*TotalUnits/12*IG$8*IG$11,0)</f>
        <v/>
      </c>
      <c r="IH29" s="218">
        <f>IF(238&gt;=DeliverStart,ExpTurnoverPerUnit*TotalUnits/12*IH$8*IH$11,0)</f>
        <v/>
      </c>
      <c r="II29" s="218">
        <f>IF(239&gt;=DeliverStart,ExpTurnoverPerUnit*TotalUnits/12*II$8*II$11,0)</f>
        <v/>
      </c>
      <c r="IJ29" s="218">
        <f>IF(240&gt;=DeliverStart,ExpTurnoverPerUnit*TotalUnits/12*IJ$8*IJ$11,0)</f>
        <v/>
      </c>
      <c r="IK29" s="218">
        <f>IF(241&gt;=DeliverStart,ExpTurnoverPerUnit*TotalUnits/12*IK$8*IK$11,0)</f>
        <v/>
      </c>
      <c r="IL29" s="218">
        <f>IF(242&gt;=DeliverStart,ExpTurnoverPerUnit*TotalUnits/12*IL$8*IL$11,0)</f>
        <v/>
      </c>
      <c r="IM29" s="218">
        <f>IF(243&gt;=DeliverStart,ExpTurnoverPerUnit*TotalUnits/12*IM$8*IM$11,0)</f>
        <v/>
      </c>
      <c r="IN29" s="218">
        <f>IF(244&gt;=DeliverStart,ExpTurnoverPerUnit*TotalUnits/12*IN$8*IN$11,0)</f>
        <v/>
      </c>
      <c r="IO29" s="218">
        <f>IF(245&gt;=DeliverStart,ExpTurnoverPerUnit*TotalUnits/12*IO$8*IO$11,0)</f>
        <v/>
      </c>
      <c r="IP29" s="218">
        <f>IF(246&gt;=DeliverStart,ExpTurnoverPerUnit*TotalUnits/12*IP$8*IP$11,0)</f>
        <v/>
      </c>
      <c r="IQ29" s="218">
        <f>IF(247&gt;=DeliverStart,ExpTurnoverPerUnit*TotalUnits/12*IQ$8*IQ$11,0)</f>
        <v/>
      </c>
      <c r="IR29" s="218">
        <f>IF(248&gt;=DeliverStart,ExpTurnoverPerUnit*TotalUnits/12*IR$8*IR$11,0)</f>
        <v/>
      </c>
      <c r="IS29" s="218">
        <f>IF(249&gt;=DeliverStart,ExpTurnoverPerUnit*TotalUnits/12*IS$8*IS$11,0)</f>
        <v/>
      </c>
      <c r="IT29" s="218">
        <f>IF(250&gt;=DeliverStart,ExpTurnoverPerUnit*TotalUnits/12*IT$8*IT$11,0)</f>
        <v/>
      </c>
      <c r="IU29" s="218">
        <f>IF(251&gt;=DeliverStart,ExpTurnoverPerUnit*TotalUnits/12*IU$8*IU$11,0)</f>
        <v/>
      </c>
      <c r="IV29" s="218">
        <f>IF(252&gt;=DeliverStart,ExpTurnoverPerUnit*TotalUnits/12*IV$8*IV$11,0)</f>
        <v/>
      </c>
      <c r="IW29" s="218">
        <f>IF(253&gt;=DeliverStart,ExpTurnoverPerUnit*TotalUnits/12*IW$8*IW$11,0)</f>
        <v/>
      </c>
      <c r="IX29" s="218">
        <f>IF(254&gt;=DeliverStart,ExpTurnoverPerUnit*TotalUnits/12*IX$8*IX$11,0)</f>
        <v/>
      </c>
      <c r="IY29" s="218">
        <f>IF(255&gt;=DeliverStart,ExpTurnoverPerUnit*TotalUnits/12*IY$8*IY$11,0)</f>
        <v/>
      </c>
      <c r="IZ29" s="218">
        <f>IF(256&gt;=DeliverStart,ExpTurnoverPerUnit*TotalUnits/12*IZ$8*IZ$11,0)</f>
        <v/>
      </c>
      <c r="JA29" s="218">
        <f>IF(257&gt;=DeliverStart,ExpTurnoverPerUnit*TotalUnits/12*JA$8*JA$11,0)</f>
        <v/>
      </c>
      <c r="JB29" s="218">
        <f>IF(258&gt;=DeliverStart,ExpTurnoverPerUnit*TotalUnits/12*JB$8*JB$11,0)</f>
        <v/>
      </c>
      <c r="JC29" s="218">
        <f>IF(259&gt;=DeliverStart,ExpTurnoverPerUnit*TotalUnits/12*JC$8*JC$11,0)</f>
        <v/>
      </c>
      <c r="JD29" s="218">
        <f>IF(260&gt;=DeliverStart,ExpTurnoverPerUnit*TotalUnits/12*JD$8*JD$11,0)</f>
        <v/>
      </c>
      <c r="JE29" s="218">
        <f>IF(261&gt;=DeliverStart,ExpTurnoverPerUnit*TotalUnits/12*JE$8*JE$11,0)</f>
        <v/>
      </c>
      <c r="JF29" s="218">
        <f>IF(262&gt;=DeliverStart,ExpTurnoverPerUnit*TotalUnits/12*JF$8*JF$11,0)</f>
        <v/>
      </c>
      <c r="JG29" s="218">
        <f>IF(263&gt;=DeliverStart,ExpTurnoverPerUnit*TotalUnits/12*JG$8*JG$11,0)</f>
        <v/>
      </c>
      <c r="JH29" s="218">
        <f>IF(264&gt;=DeliverStart,ExpTurnoverPerUnit*TotalUnits/12*JH$8*JH$11,0)</f>
        <v/>
      </c>
      <c r="JI29" s="218">
        <f>IF(265&gt;=DeliverStart,ExpTurnoverPerUnit*TotalUnits/12*JI$8*JI$11,0)</f>
        <v/>
      </c>
      <c r="JJ29" s="218">
        <f>IF(266&gt;=DeliverStart,ExpTurnoverPerUnit*TotalUnits/12*JJ$8*JJ$11,0)</f>
        <v/>
      </c>
      <c r="JK29" s="218">
        <f>IF(267&gt;=DeliverStart,ExpTurnoverPerUnit*TotalUnits/12*JK$8*JK$11,0)</f>
        <v/>
      </c>
      <c r="JL29" s="218">
        <f>IF(268&gt;=DeliverStart,ExpTurnoverPerUnit*TotalUnits/12*JL$8*JL$11,0)</f>
        <v/>
      </c>
      <c r="JM29" s="218">
        <f>IF(269&gt;=DeliverStart,ExpTurnoverPerUnit*TotalUnits/12*JM$8*JM$11,0)</f>
        <v/>
      </c>
      <c r="JN29" s="218">
        <f>IF(270&gt;=DeliverStart,ExpTurnoverPerUnit*TotalUnits/12*JN$8*JN$11,0)</f>
        <v/>
      </c>
      <c r="JO29" s="218">
        <f>IF(271&gt;=DeliverStart,ExpTurnoverPerUnit*TotalUnits/12*JO$8*JO$11,0)</f>
        <v/>
      </c>
      <c r="JP29" s="218">
        <f>IF(272&gt;=DeliverStart,ExpTurnoverPerUnit*TotalUnits/12*JP$8*JP$11,0)</f>
        <v/>
      </c>
      <c r="JQ29" s="218">
        <f>IF(273&gt;=DeliverStart,ExpTurnoverPerUnit*TotalUnits/12*JQ$8*JQ$11,0)</f>
        <v/>
      </c>
      <c r="JR29" s="218">
        <f>IF(274&gt;=DeliverStart,ExpTurnoverPerUnit*TotalUnits/12*JR$8*JR$11,0)</f>
        <v/>
      </c>
      <c r="JS29" s="218">
        <f>IF(275&gt;=DeliverStart,ExpTurnoverPerUnit*TotalUnits/12*JS$8*JS$11,0)</f>
        <v/>
      </c>
      <c r="JT29" s="218">
        <f>IF(276&gt;=DeliverStart,ExpTurnoverPerUnit*TotalUnits/12*JT$8*JT$11,0)</f>
        <v/>
      </c>
      <c r="JU29" s="218">
        <f>IF(277&gt;=DeliverStart,ExpTurnoverPerUnit*TotalUnits/12*JU$8*JU$11,0)</f>
        <v/>
      </c>
      <c r="JV29" s="218">
        <f>IF(278&gt;=DeliverStart,ExpTurnoverPerUnit*TotalUnits/12*JV$8*JV$11,0)</f>
        <v/>
      </c>
      <c r="JW29" s="218">
        <f>IF(279&gt;=DeliverStart,ExpTurnoverPerUnit*TotalUnits/12*JW$8*JW$11,0)</f>
        <v/>
      </c>
      <c r="JX29" s="218">
        <f>IF(280&gt;=DeliverStart,ExpTurnoverPerUnit*TotalUnits/12*JX$8*JX$11,0)</f>
        <v/>
      </c>
      <c r="JY29" s="218">
        <f>IF(281&gt;=DeliverStart,ExpTurnoverPerUnit*TotalUnits/12*JY$8*JY$11,0)</f>
        <v/>
      </c>
      <c r="JZ29" s="218">
        <f>IF(282&gt;=DeliverStart,ExpTurnoverPerUnit*TotalUnits/12*JZ$8*JZ$11,0)</f>
        <v/>
      </c>
      <c r="KA29" s="218">
        <f>IF(283&gt;=DeliverStart,ExpTurnoverPerUnit*TotalUnits/12*KA$8*KA$11,0)</f>
        <v/>
      </c>
      <c r="KB29" s="218">
        <f>IF(284&gt;=DeliverStart,ExpTurnoverPerUnit*TotalUnits/12*KB$8*KB$11,0)</f>
        <v/>
      </c>
      <c r="KC29" s="218">
        <f>IF(285&gt;=DeliverStart,ExpTurnoverPerUnit*TotalUnits/12*KC$8*KC$11,0)</f>
        <v/>
      </c>
      <c r="KD29" s="218">
        <f>IF(286&gt;=DeliverStart,ExpTurnoverPerUnit*TotalUnits/12*KD$8*KD$11,0)</f>
        <v/>
      </c>
      <c r="KE29" s="218">
        <f>IF(287&gt;=DeliverStart,ExpTurnoverPerUnit*TotalUnits/12*KE$8*KE$11,0)</f>
        <v/>
      </c>
      <c r="KF29" s="218">
        <f>IF(288&gt;=DeliverStart,ExpTurnoverPerUnit*TotalUnits/12*KF$8*KF$11,0)</f>
        <v/>
      </c>
      <c r="KG29" s="218">
        <f>IF(289&gt;=DeliverStart,ExpTurnoverPerUnit*TotalUnits/12*KG$8*KG$11,0)</f>
        <v/>
      </c>
      <c r="KH29" s="218">
        <f>IF(290&gt;=DeliverStart,ExpTurnoverPerUnit*TotalUnits/12*KH$8*KH$11,0)</f>
        <v/>
      </c>
      <c r="KI29" s="218">
        <f>IF(291&gt;=DeliverStart,ExpTurnoverPerUnit*TotalUnits/12*KI$8*KI$11,0)</f>
        <v/>
      </c>
      <c r="KJ29" s="218">
        <f>IF(292&gt;=DeliverStart,ExpTurnoverPerUnit*TotalUnits/12*KJ$8*KJ$11,0)</f>
        <v/>
      </c>
      <c r="KK29" s="218">
        <f>IF(293&gt;=DeliverStart,ExpTurnoverPerUnit*TotalUnits/12*KK$8*KK$11,0)</f>
        <v/>
      </c>
      <c r="KL29" s="218">
        <f>IF(294&gt;=DeliverStart,ExpTurnoverPerUnit*TotalUnits/12*KL$8*KL$11,0)</f>
        <v/>
      </c>
      <c r="KM29" s="218">
        <f>IF(295&gt;=DeliverStart,ExpTurnoverPerUnit*TotalUnits/12*KM$8*KM$11,0)</f>
        <v/>
      </c>
      <c r="KN29" s="218">
        <f>IF(296&gt;=DeliverStart,ExpTurnoverPerUnit*TotalUnits/12*KN$8*KN$11,0)</f>
        <v/>
      </c>
      <c r="KO29" s="218">
        <f>IF(297&gt;=DeliverStart,ExpTurnoverPerUnit*TotalUnits/12*KO$8*KO$11,0)</f>
        <v/>
      </c>
      <c r="KP29" s="218">
        <f>IF(298&gt;=DeliverStart,ExpTurnoverPerUnit*TotalUnits/12*KP$8*KP$11,0)</f>
        <v/>
      </c>
      <c r="KQ29" s="218">
        <f>IF(299&gt;=DeliverStart,ExpTurnoverPerUnit*TotalUnits/12*KQ$8*KQ$11,0)</f>
        <v/>
      </c>
      <c r="KR29" s="218">
        <f>IF(300&gt;=DeliverStart,ExpTurnoverPerUnit*TotalUnits/12*KR$8*KR$11,0)</f>
        <v/>
      </c>
      <c r="KS29" s="218">
        <f>IF(301&gt;=DeliverStart,ExpTurnoverPerUnit*TotalUnits/12*KS$8*KS$11,0)</f>
        <v/>
      </c>
      <c r="KT29" s="218">
        <f>IF(302&gt;=DeliverStart,ExpTurnoverPerUnit*TotalUnits/12*KT$8*KT$11,0)</f>
        <v/>
      </c>
      <c r="KU29" s="218">
        <f>IF(303&gt;=DeliverStart,ExpTurnoverPerUnit*TotalUnits/12*KU$8*KU$11,0)</f>
        <v/>
      </c>
      <c r="KV29" s="218">
        <f>IF(304&gt;=DeliverStart,ExpTurnoverPerUnit*TotalUnits/12*KV$8*KV$11,0)</f>
        <v/>
      </c>
      <c r="KW29" s="218">
        <f>IF(305&gt;=DeliverStart,ExpTurnoverPerUnit*TotalUnits/12*KW$8*KW$11,0)</f>
        <v/>
      </c>
      <c r="KX29" s="218">
        <f>IF(306&gt;=DeliverStart,ExpTurnoverPerUnit*TotalUnits/12*KX$8*KX$11,0)</f>
        <v/>
      </c>
      <c r="KY29" s="218">
        <f>IF(307&gt;=DeliverStart,ExpTurnoverPerUnit*TotalUnits/12*KY$8*KY$11,0)</f>
        <v/>
      </c>
      <c r="KZ29" s="218">
        <f>IF(308&gt;=DeliverStart,ExpTurnoverPerUnit*TotalUnits/12*KZ$8*KZ$11,0)</f>
        <v/>
      </c>
      <c r="LA29" s="218">
        <f>IF(309&gt;=DeliverStart,ExpTurnoverPerUnit*TotalUnits/12*LA$8*LA$11,0)</f>
        <v/>
      </c>
      <c r="LB29" s="218">
        <f>IF(310&gt;=DeliverStart,ExpTurnoverPerUnit*TotalUnits/12*LB$8*LB$11,0)</f>
        <v/>
      </c>
      <c r="LC29" s="218">
        <f>IF(311&gt;=DeliverStart,ExpTurnoverPerUnit*TotalUnits/12*LC$8*LC$11,0)</f>
        <v/>
      </c>
      <c r="LD29" s="218">
        <f>IF(312&gt;=DeliverStart,ExpTurnoverPerUnit*TotalUnits/12*LD$8*LD$11,0)</f>
        <v/>
      </c>
      <c r="LE29" s="218">
        <f>IF(313&gt;=DeliverStart,ExpTurnoverPerUnit*TotalUnits/12*LE$8*LE$11,0)</f>
        <v/>
      </c>
      <c r="LF29" s="218">
        <f>IF(314&gt;=DeliverStart,ExpTurnoverPerUnit*TotalUnits/12*LF$8*LF$11,0)</f>
        <v/>
      </c>
      <c r="LG29" s="218">
        <f>IF(315&gt;=DeliverStart,ExpTurnoverPerUnit*TotalUnits/12*LG$8*LG$11,0)</f>
        <v/>
      </c>
      <c r="LH29" s="218">
        <f>IF(316&gt;=DeliverStart,ExpTurnoverPerUnit*TotalUnits/12*LH$8*LH$11,0)</f>
        <v/>
      </c>
      <c r="LI29" s="218">
        <f>IF(317&gt;=DeliverStart,ExpTurnoverPerUnit*TotalUnits/12*LI$8*LI$11,0)</f>
        <v/>
      </c>
      <c r="LJ29" s="218">
        <f>IF(318&gt;=DeliverStart,ExpTurnoverPerUnit*TotalUnits/12*LJ$8*LJ$11,0)</f>
        <v/>
      </c>
      <c r="LK29" s="218">
        <f>IF(319&gt;=DeliverStart,ExpTurnoverPerUnit*TotalUnits/12*LK$8*LK$11,0)</f>
        <v/>
      </c>
      <c r="LL29" s="218">
        <f>IF(320&gt;=DeliverStart,ExpTurnoverPerUnit*TotalUnits/12*LL$8*LL$11,0)</f>
        <v/>
      </c>
      <c r="LM29" s="218">
        <f>IF(321&gt;=DeliverStart,ExpTurnoverPerUnit*TotalUnits/12*LM$8*LM$11,0)</f>
        <v/>
      </c>
      <c r="LN29" s="218">
        <f>IF(322&gt;=DeliverStart,ExpTurnoverPerUnit*TotalUnits/12*LN$8*LN$11,0)</f>
        <v/>
      </c>
      <c r="LO29" s="218">
        <f>IF(323&gt;=DeliverStart,ExpTurnoverPerUnit*TotalUnits/12*LO$8*LO$11,0)</f>
        <v/>
      </c>
      <c r="LP29" s="218">
        <f>IF(324&gt;=DeliverStart,ExpTurnoverPerUnit*TotalUnits/12*LP$8*LP$11,0)</f>
        <v/>
      </c>
      <c r="LQ29" s="218">
        <f>IF(325&gt;=DeliverStart,ExpTurnoverPerUnit*TotalUnits/12*LQ$8*LQ$11,0)</f>
        <v/>
      </c>
      <c r="LR29" s="218">
        <f>IF(326&gt;=DeliverStart,ExpTurnoverPerUnit*TotalUnits/12*LR$8*LR$11,0)</f>
        <v/>
      </c>
      <c r="LS29" s="218">
        <f>IF(327&gt;=DeliverStart,ExpTurnoverPerUnit*TotalUnits/12*LS$8*LS$11,0)</f>
        <v/>
      </c>
      <c r="LT29" s="218">
        <f>IF(328&gt;=DeliverStart,ExpTurnoverPerUnit*TotalUnits/12*LT$8*LT$11,0)</f>
        <v/>
      </c>
      <c r="LU29" s="218">
        <f>IF(329&gt;=DeliverStart,ExpTurnoverPerUnit*TotalUnits/12*LU$8*LU$11,0)</f>
        <v/>
      </c>
      <c r="LV29" s="218">
        <f>IF(330&gt;=DeliverStart,ExpTurnoverPerUnit*TotalUnits/12*LV$8*LV$11,0)</f>
        <v/>
      </c>
      <c r="LW29" s="218">
        <f>IF(331&gt;=DeliverStart,ExpTurnoverPerUnit*TotalUnits/12*LW$8*LW$11,0)</f>
        <v/>
      </c>
      <c r="LX29" s="218">
        <f>IF(332&gt;=DeliverStart,ExpTurnoverPerUnit*TotalUnits/12*LX$8*LX$11,0)</f>
        <v/>
      </c>
      <c r="LY29" s="218">
        <f>IF(333&gt;=DeliverStart,ExpTurnoverPerUnit*TotalUnits/12*LY$8*LY$11,0)</f>
        <v/>
      </c>
      <c r="LZ29" s="218">
        <f>IF(334&gt;=DeliverStart,ExpTurnoverPerUnit*TotalUnits/12*LZ$8*LZ$11,0)</f>
        <v/>
      </c>
      <c r="MA29" s="218">
        <f>IF(335&gt;=DeliverStart,ExpTurnoverPerUnit*TotalUnits/12*MA$8*MA$11,0)</f>
        <v/>
      </c>
      <c r="MB29" s="218">
        <f>IF(336&gt;=DeliverStart,ExpTurnoverPerUnit*TotalUnits/12*MB$8*MB$11,0)</f>
        <v/>
      </c>
      <c r="MC29" s="218">
        <f>IF(337&gt;=DeliverStart,ExpTurnoverPerUnit*TotalUnits/12*MC$8*MC$11,0)</f>
        <v/>
      </c>
      <c r="MD29" s="218">
        <f>IF(338&gt;=DeliverStart,ExpTurnoverPerUnit*TotalUnits/12*MD$8*MD$11,0)</f>
        <v/>
      </c>
      <c r="ME29" s="218">
        <f>IF(339&gt;=DeliverStart,ExpTurnoverPerUnit*TotalUnits/12*ME$8*ME$11,0)</f>
        <v/>
      </c>
      <c r="MF29" s="218">
        <f>IF(340&gt;=DeliverStart,ExpTurnoverPerUnit*TotalUnits/12*MF$8*MF$11,0)</f>
        <v/>
      </c>
      <c r="MG29" s="218">
        <f>IF(341&gt;=DeliverStart,ExpTurnoverPerUnit*TotalUnits/12*MG$8*MG$11,0)</f>
        <v/>
      </c>
      <c r="MH29" s="218">
        <f>IF(342&gt;=DeliverStart,ExpTurnoverPerUnit*TotalUnits/12*MH$8*MH$11,0)</f>
        <v/>
      </c>
      <c r="MI29" s="218">
        <f>IF(343&gt;=DeliverStart,ExpTurnoverPerUnit*TotalUnits/12*MI$8*MI$11,0)</f>
        <v/>
      </c>
      <c r="MJ29" s="218">
        <f>IF(344&gt;=DeliverStart,ExpTurnoverPerUnit*TotalUnits/12*MJ$8*MJ$11,0)</f>
        <v/>
      </c>
      <c r="MK29" s="218">
        <f>IF(345&gt;=DeliverStart,ExpTurnoverPerUnit*TotalUnits/12*MK$8*MK$11,0)</f>
        <v/>
      </c>
      <c r="ML29" s="218">
        <f>IF(346&gt;=DeliverStart,ExpTurnoverPerUnit*TotalUnits/12*ML$8*ML$11,0)</f>
        <v/>
      </c>
      <c r="MM29" s="218">
        <f>IF(347&gt;=DeliverStart,ExpTurnoverPerUnit*TotalUnits/12*MM$8*MM$11,0)</f>
        <v/>
      </c>
      <c r="MN29" s="218">
        <f>IF(348&gt;=DeliverStart,ExpTurnoverPerUnit*TotalUnits/12*MN$8*MN$11,0)</f>
        <v/>
      </c>
      <c r="MO29" s="218">
        <f>IF(349&gt;=DeliverStart,ExpTurnoverPerUnit*TotalUnits/12*MO$8*MO$11,0)</f>
        <v/>
      </c>
      <c r="MP29" s="218">
        <f>IF(350&gt;=DeliverStart,ExpTurnoverPerUnit*TotalUnits/12*MP$8*MP$11,0)</f>
        <v/>
      </c>
      <c r="MQ29" s="218">
        <f>IF(351&gt;=DeliverStart,ExpTurnoverPerUnit*TotalUnits/12*MQ$8*MQ$11,0)</f>
        <v/>
      </c>
      <c r="MR29" s="218">
        <f>IF(352&gt;=DeliverStart,ExpTurnoverPerUnit*TotalUnits/12*MR$8*MR$11,0)</f>
        <v/>
      </c>
      <c r="MS29" s="218">
        <f>IF(353&gt;=DeliverStart,ExpTurnoverPerUnit*TotalUnits/12*MS$8*MS$11,0)</f>
        <v/>
      </c>
      <c r="MT29" s="218">
        <f>IF(354&gt;=DeliverStart,ExpTurnoverPerUnit*TotalUnits/12*MT$8*MT$11,0)</f>
        <v/>
      </c>
      <c r="MU29" s="218">
        <f>IF(355&gt;=DeliverStart,ExpTurnoverPerUnit*TotalUnits/12*MU$8*MU$11,0)</f>
        <v/>
      </c>
      <c r="MV29" s="218">
        <f>IF(356&gt;=DeliverStart,ExpTurnoverPerUnit*TotalUnits/12*MV$8*MV$11,0)</f>
        <v/>
      </c>
      <c r="MW29" s="218">
        <f>IF(357&gt;=DeliverStart,ExpTurnoverPerUnit*TotalUnits/12*MW$8*MW$11,0)</f>
        <v/>
      </c>
      <c r="MX29" s="218">
        <f>IF(358&gt;=DeliverStart,ExpTurnoverPerUnit*TotalUnits/12*MX$8*MX$11,0)</f>
        <v/>
      </c>
      <c r="MY29" s="218">
        <f>IF(359&gt;=DeliverStart,ExpTurnoverPerUnit*TotalUnits/12*MY$8*MY$11,0)</f>
        <v/>
      </c>
      <c r="MZ29" s="218">
        <f>IF(360&gt;=DeliverStart,ExpTurnoverPerUnit*TotalUnits/12*MZ$8*MZ$11,0)</f>
        <v/>
      </c>
      <c r="NA29" s="218">
        <f>IF(361&gt;=DeliverStart,ExpTurnoverPerUnit*TotalUnits/12*NA$8*NA$11,0)</f>
        <v/>
      </c>
      <c r="NB29" s="218">
        <f>IF(362&gt;=DeliverStart,ExpTurnoverPerUnit*TotalUnits/12*NB$8*NB$11,0)</f>
        <v/>
      </c>
      <c r="NC29" s="218">
        <f>IF(363&gt;=DeliverStart,ExpTurnoverPerUnit*TotalUnits/12*NC$8*NC$11,0)</f>
        <v/>
      </c>
      <c r="ND29" s="218">
        <f>IF(364&gt;=DeliverStart,ExpTurnoverPerUnit*TotalUnits/12*ND$8*ND$11,0)</f>
        <v/>
      </c>
      <c r="NE29" s="218">
        <f>IF(365&gt;=DeliverStart,ExpTurnoverPerUnit*TotalUnits/12*NE$8*NE$11,0)</f>
        <v/>
      </c>
      <c r="NF29" s="218">
        <f>IF(366&gt;=DeliverStart,ExpTurnoverPerUnit*TotalUnits/12*NF$8*NF$11,0)</f>
        <v/>
      </c>
      <c r="NG29" s="218">
        <f>IF(367&gt;=DeliverStart,ExpTurnoverPerUnit*TotalUnits/12*NG$8*NG$11,0)</f>
        <v/>
      </c>
      <c r="NH29" s="218">
        <f>IF(368&gt;=DeliverStart,ExpTurnoverPerUnit*TotalUnits/12*NH$8*NH$11,0)</f>
        <v/>
      </c>
      <c r="NI29" s="218">
        <f>IF(369&gt;=DeliverStart,ExpTurnoverPerUnit*TotalUnits/12*NI$8*NI$11,0)</f>
        <v/>
      </c>
      <c r="NJ29" s="218">
        <f>IF(370&gt;=DeliverStart,ExpTurnoverPerUnit*TotalUnits/12*NJ$8*NJ$11,0)</f>
        <v/>
      </c>
      <c r="NK29" s="218">
        <f>IF(371&gt;=DeliverStart,ExpTurnoverPerUnit*TotalUnits/12*NK$8*NK$11,0)</f>
        <v/>
      </c>
      <c r="NL29" s="225">
        <f>IF(372&gt;=DeliverStart,ExpTurnoverPerUnit*TotalUnits/12*NL$8*NL$11,0)</f>
        <v/>
      </c>
    </row>
    <row r="30">
      <c r="B30" s="36" t="inlineStr">
        <is>
          <t>Contract Services (variable)</t>
        </is>
      </c>
      <c r="D30" s="266">
        <f>SUM(E30:NL30)</f>
        <v/>
      </c>
      <c r="E30" s="218">
        <f>IF(1&gt;=DeliverStart,ExpContractPerUnit*TotalUnits/12*E$8*E$11,0)</f>
        <v/>
      </c>
      <c r="F30" s="218">
        <f>IF(2&gt;=DeliverStart,ExpContractPerUnit*TotalUnits/12*F$8*F$11,0)</f>
        <v/>
      </c>
      <c r="G30" s="218">
        <f>IF(3&gt;=DeliverStart,ExpContractPerUnit*TotalUnits/12*G$8*G$11,0)</f>
        <v/>
      </c>
      <c r="H30" s="218">
        <f>IF(4&gt;=DeliverStart,ExpContractPerUnit*TotalUnits/12*H$8*H$11,0)</f>
        <v/>
      </c>
      <c r="I30" s="218">
        <f>IF(5&gt;=DeliverStart,ExpContractPerUnit*TotalUnits/12*I$8*I$11,0)</f>
        <v/>
      </c>
      <c r="J30" s="218">
        <f>IF(6&gt;=DeliverStart,ExpContractPerUnit*TotalUnits/12*J$8*J$11,0)</f>
        <v/>
      </c>
      <c r="K30" s="218">
        <f>IF(7&gt;=DeliverStart,ExpContractPerUnit*TotalUnits/12*K$8*K$11,0)</f>
        <v/>
      </c>
      <c r="L30" s="218">
        <f>IF(8&gt;=DeliverStart,ExpContractPerUnit*TotalUnits/12*L$8*L$11,0)</f>
        <v/>
      </c>
      <c r="M30" s="218">
        <f>IF(9&gt;=DeliverStart,ExpContractPerUnit*TotalUnits/12*M$8*M$11,0)</f>
        <v/>
      </c>
      <c r="N30" s="218">
        <f>IF(10&gt;=DeliverStart,ExpContractPerUnit*TotalUnits/12*N$8*N$11,0)</f>
        <v/>
      </c>
      <c r="O30" s="218">
        <f>IF(11&gt;=DeliverStart,ExpContractPerUnit*TotalUnits/12*O$8*O$11,0)</f>
        <v/>
      </c>
      <c r="P30" s="218">
        <f>IF(12&gt;=DeliverStart,ExpContractPerUnit*TotalUnits/12*P$8*P$11,0)</f>
        <v/>
      </c>
      <c r="Q30" s="218">
        <f>IF(13&gt;=DeliverStart,ExpContractPerUnit*TotalUnits/12*Q$8*Q$11,0)</f>
        <v/>
      </c>
      <c r="R30" s="218">
        <f>IF(14&gt;=DeliverStart,ExpContractPerUnit*TotalUnits/12*R$8*R$11,0)</f>
        <v/>
      </c>
      <c r="S30" s="218">
        <f>IF(15&gt;=DeliverStart,ExpContractPerUnit*TotalUnits/12*S$8*S$11,0)</f>
        <v/>
      </c>
      <c r="T30" s="218">
        <f>IF(16&gt;=DeliverStart,ExpContractPerUnit*TotalUnits/12*T$8*T$11,0)</f>
        <v/>
      </c>
      <c r="U30" s="218">
        <f>IF(17&gt;=DeliverStart,ExpContractPerUnit*TotalUnits/12*U$8*U$11,0)</f>
        <v/>
      </c>
      <c r="V30" s="218">
        <f>IF(18&gt;=DeliverStart,ExpContractPerUnit*TotalUnits/12*V$8*V$11,0)</f>
        <v/>
      </c>
      <c r="W30" s="218">
        <f>IF(19&gt;=DeliverStart,ExpContractPerUnit*TotalUnits/12*W$8*W$11,0)</f>
        <v/>
      </c>
      <c r="X30" s="218">
        <f>IF(20&gt;=DeliverStart,ExpContractPerUnit*TotalUnits/12*X$8*X$11,0)</f>
        <v/>
      </c>
      <c r="Y30" s="218">
        <f>IF(21&gt;=DeliverStart,ExpContractPerUnit*TotalUnits/12*Y$8*Y$11,0)</f>
        <v/>
      </c>
      <c r="Z30" s="218">
        <f>IF(22&gt;=DeliverStart,ExpContractPerUnit*TotalUnits/12*Z$8*Z$11,0)</f>
        <v/>
      </c>
      <c r="AA30" s="218">
        <f>IF(23&gt;=DeliverStart,ExpContractPerUnit*TotalUnits/12*AA$8*AA$11,0)</f>
        <v/>
      </c>
      <c r="AB30" s="218">
        <f>IF(24&gt;=DeliverStart,ExpContractPerUnit*TotalUnits/12*AB$8*AB$11,0)</f>
        <v/>
      </c>
      <c r="AC30" s="218">
        <f>IF(25&gt;=DeliverStart,ExpContractPerUnit*TotalUnits/12*AC$8*AC$11,0)</f>
        <v/>
      </c>
      <c r="AD30" s="218">
        <f>IF(26&gt;=DeliverStart,ExpContractPerUnit*TotalUnits/12*AD$8*AD$11,0)</f>
        <v/>
      </c>
      <c r="AE30" s="218">
        <f>IF(27&gt;=DeliverStart,ExpContractPerUnit*TotalUnits/12*AE$8*AE$11,0)</f>
        <v/>
      </c>
      <c r="AF30" s="218">
        <f>IF(28&gt;=DeliverStart,ExpContractPerUnit*TotalUnits/12*AF$8*AF$11,0)</f>
        <v/>
      </c>
      <c r="AG30" s="218">
        <f>IF(29&gt;=DeliverStart,ExpContractPerUnit*TotalUnits/12*AG$8*AG$11,0)</f>
        <v/>
      </c>
      <c r="AH30" s="218">
        <f>IF(30&gt;=DeliverStart,ExpContractPerUnit*TotalUnits/12*AH$8*AH$11,0)</f>
        <v/>
      </c>
      <c r="AI30" s="218">
        <f>IF(31&gt;=DeliverStart,ExpContractPerUnit*TotalUnits/12*AI$8*AI$11,0)</f>
        <v/>
      </c>
      <c r="AJ30" s="218">
        <f>IF(32&gt;=DeliverStart,ExpContractPerUnit*TotalUnits/12*AJ$8*AJ$11,0)</f>
        <v/>
      </c>
      <c r="AK30" s="218">
        <f>IF(33&gt;=DeliverStart,ExpContractPerUnit*TotalUnits/12*AK$8*AK$11,0)</f>
        <v/>
      </c>
      <c r="AL30" s="218">
        <f>IF(34&gt;=DeliverStart,ExpContractPerUnit*TotalUnits/12*AL$8*AL$11,0)</f>
        <v/>
      </c>
      <c r="AM30" s="218">
        <f>IF(35&gt;=DeliverStart,ExpContractPerUnit*TotalUnits/12*AM$8*AM$11,0)</f>
        <v/>
      </c>
      <c r="AN30" s="218">
        <f>IF(36&gt;=DeliverStart,ExpContractPerUnit*TotalUnits/12*AN$8*AN$11,0)</f>
        <v/>
      </c>
      <c r="AO30" s="218">
        <f>IF(37&gt;=DeliverStart,ExpContractPerUnit*TotalUnits/12*AO$8*AO$11,0)</f>
        <v/>
      </c>
      <c r="AP30" s="218">
        <f>IF(38&gt;=DeliverStart,ExpContractPerUnit*TotalUnits/12*AP$8*AP$11,0)</f>
        <v/>
      </c>
      <c r="AQ30" s="218">
        <f>IF(39&gt;=DeliverStart,ExpContractPerUnit*TotalUnits/12*AQ$8*AQ$11,0)</f>
        <v/>
      </c>
      <c r="AR30" s="218">
        <f>IF(40&gt;=DeliverStart,ExpContractPerUnit*TotalUnits/12*AR$8*AR$11,0)</f>
        <v/>
      </c>
      <c r="AS30" s="218">
        <f>IF(41&gt;=DeliverStart,ExpContractPerUnit*TotalUnits/12*AS$8*AS$11,0)</f>
        <v/>
      </c>
      <c r="AT30" s="218">
        <f>IF(42&gt;=DeliverStart,ExpContractPerUnit*TotalUnits/12*AT$8*AT$11,0)</f>
        <v/>
      </c>
      <c r="AU30" s="218">
        <f>IF(43&gt;=DeliverStart,ExpContractPerUnit*TotalUnits/12*AU$8*AU$11,0)</f>
        <v/>
      </c>
      <c r="AV30" s="218">
        <f>IF(44&gt;=DeliverStart,ExpContractPerUnit*TotalUnits/12*AV$8*AV$11,0)</f>
        <v/>
      </c>
      <c r="AW30" s="218">
        <f>IF(45&gt;=DeliverStart,ExpContractPerUnit*TotalUnits/12*AW$8*AW$11,0)</f>
        <v/>
      </c>
      <c r="AX30" s="218">
        <f>IF(46&gt;=DeliverStart,ExpContractPerUnit*TotalUnits/12*AX$8*AX$11,0)</f>
        <v/>
      </c>
      <c r="AY30" s="218">
        <f>IF(47&gt;=DeliverStart,ExpContractPerUnit*TotalUnits/12*AY$8*AY$11,0)</f>
        <v/>
      </c>
      <c r="AZ30" s="218">
        <f>IF(48&gt;=DeliverStart,ExpContractPerUnit*TotalUnits/12*AZ$8*AZ$11,0)</f>
        <v/>
      </c>
      <c r="BA30" s="218">
        <f>IF(49&gt;=DeliverStart,ExpContractPerUnit*TotalUnits/12*BA$8*BA$11,0)</f>
        <v/>
      </c>
      <c r="BB30" s="218">
        <f>IF(50&gt;=DeliverStart,ExpContractPerUnit*TotalUnits/12*BB$8*BB$11,0)</f>
        <v/>
      </c>
      <c r="BC30" s="218">
        <f>IF(51&gt;=DeliverStart,ExpContractPerUnit*TotalUnits/12*BC$8*BC$11,0)</f>
        <v/>
      </c>
      <c r="BD30" s="218">
        <f>IF(52&gt;=DeliverStart,ExpContractPerUnit*TotalUnits/12*BD$8*BD$11,0)</f>
        <v/>
      </c>
      <c r="BE30" s="218">
        <f>IF(53&gt;=DeliverStart,ExpContractPerUnit*TotalUnits/12*BE$8*BE$11,0)</f>
        <v/>
      </c>
      <c r="BF30" s="218">
        <f>IF(54&gt;=DeliverStart,ExpContractPerUnit*TotalUnits/12*BF$8*BF$11,0)</f>
        <v/>
      </c>
      <c r="BG30" s="218">
        <f>IF(55&gt;=DeliverStart,ExpContractPerUnit*TotalUnits/12*BG$8*BG$11,0)</f>
        <v/>
      </c>
      <c r="BH30" s="218">
        <f>IF(56&gt;=DeliverStart,ExpContractPerUnit*TotalUnits/12*BH$8*BH$11,0)</f>
        <v/>
      </c>
      <c r="BI30" s="218">
        <f>IF(57&gt;=DeliverStart,ExpContractPerUnit*TotalUnits/12*BI$8*BI$11,0)</f>
        <v/>
      </c>
      <c r="BJ30" s="218">
        <f>IF(58&gt;=DeliverStart,ExpContractPerUnit*TotalUnits/12*BJ$8*BJ$11,0)</f>
        <v/>
      </c>
      <c r="BK30" s="218">
        <f>IF(59&gt;=DeliverStart,ExpContractPerUnit*TotalUnits/12*BK$8*BK$11,0)</f>
        <v/>
      </c>
      <c r="BL30" s="218">
        <f>IF(60&gt;=DeliverStart,ExpContractPerUnit*TotalUnits/12*BL$8*BL$11,0)</f>
        <v/>
      </c>
      <c r="BM30" s="218">
        <f>IF(61&gt;=DeliverStart,ExpContractPerUnit*TotalUnits/12*BM$8*BM$11,0)</f>
        <v/>
      </c>
      <c r="BN30" s="218">
        <f>IF(62&gt;=DeliverStart,ExpContractPerUnit*TotalUnits/12*BN$8*BN$11,0)</f>
        <v/>
      </c>
      <c r="BO30" s="218">
        <f>IF(63&gt;=DeliverStart,ExpContractPerUnit*TotalUnits/12*BO$8*BO$11,0)</f>
        <v/>
      </c>
      <c r="BP30" s="218">
        <f>IF(64&gt;=DeliverStart,ExpContractPerUnit*TotalUnits/12*BP$8*BP$11,0)</f>
        <v/>
      </c>
      <c r="BQ30" s="218">
        <f>IF(65&gt;=DeliverStart,ExpContractPerUnit*TotalUnits/12*BQ$8*BQ$11,0)</f>
        <v/>
      </c>
      <c r="BR30" s="218">
        <f>IF(66&gt;=DeliverStart,ExpContractPerUnit*TotalUnits/12*BR$8*BR$11,0)</f>
        <v/>
      </c>
      <c r="BS30" s="218">
        <f>IF(67&gt;=DeliverStart,ExpContractPerUnit*TotalUnits/12*BS$8*BS$11,0)</f>
        <v/>
      </c>
      <c r="BT30" s="218">
        <f>IF(68&gt;=DeliverStart,ExpContractPerUnit*TotalUnits/12*BT$8*BT$11,0)</f>
        <v/>
      </c>
      <c r="BU30" s="218">
        <f>IF(69&gt;=DeliverStart,ExpContractPerUnit*TotalUnits/12*BU$8*BU$11,0)</f>
        <v/>
      </c>
      <c r="BV30" s="218">
        <f>IF(70&gt;=DeliverStart,ExpContractPerUnit*TotalUnits/12*BV$8*BV$11,0)</f>
        <v/>
      </c>
      <c r="BW30" s="218">
        <f>IF(71&gt;=DeliverStart,ExpContractPerUnit*TotalUnits/12*BW$8*BW$11,0)</f>
        <v/>
      </c>
      <c r="BX30" s="218">
        <f>IF(72&gt;=DeliverStart,ExpContractPerUnit*TotalUnits/12*BX$8*BX$11,0)</f>
        <v/>
      </c>
      <c r="BY30" s="218">
        <f>IF(73&gt;=DeliverStart,ExpContractPerUnit*TotalUnits/12*BY$8*BY$11,0)</f>
        <v/>
      </c>
      <c r="BZ30" s="218">
        <f>IF(74&gt;=DeliverStart,ExpContractPerUnit*TotalUnits/12*BZ$8*BZ$11,0)</f>
        <v/>
      </c>
      <c r="CA30" s="218">
        <f>IF(75&gt;=DeliverStart,ExpContractPerUnit*TotalUnits/12*CA$8*CA$11,0)</f>
        <v/>
      </c>
      <c r="CB30" s="218">
        <f>IF(76&gt;=DeliverStart,ExpContractPerUnit*TotalUnits/12*CB$8*CB$11,0)</f>
        <v/>
      </c>
      <c r="CC30" s="218">
        <f>IF(77&gt;=DeliverStart,ExpContractPerUnit*TotalUnits/12*CC$8*CC$11,0)</f>
        <v/>
      </c>
      <c r="CD30" s="218">
        <f>IF(78&gt;=DeliverStart,ExpContractPerUnit*TotalUnits/12*CD$8*CD$11,0)</f>
        <v/>
      </c>
      <c r="CE30" s="218">
        <f>IF(79&gt;=DeliverStart,ExpContractPerUnit*TotalUnits/12*CE$8*CE$11,0)</f>
        <v/>
      </c>
      <c r="CF30" s="218">
        <f>IF(80&gt;=DeliverStart,ExpContractPerUnit*TotalUnits/12*CF$8*CF$11,0)</f>
        <v/>
      </c>
      <c r="CG30" s="218">
        <f>IF(81&gt;=DeliverStart,ExpContractPerUnit*TotalUnits/12*CG$8*CG$11,0)</f>
        <v/>
      </c>
      <c r="CH30" s="218">
        <f>IF(82&gt;=DeliverStart,ExpContractPerUnit*TotalUnits/12*CH$8*CH$11,0)</f>
        <v/>
      </c>
      <c r="CI30" s="218">
        <f>IF(83&gt;=DeliverStart,ExpContractPerUnit*TotalUnits/12*CI$8*CI$11,0)</f>
        <v/>
      </c>
      <c r="CJ30" s="218">
        <f>IF(84&gt;=DeliverStart,ExpContractPerUnit*TotalUnits/12*CJ$8*CJ$11,0)</f>
        <v/>
      </c>
      <c r="CK30" s="218">
        <f>IF(85&gt;=DeliverStart,ExpContractPerUnit*TotalUnits/12*CK$8*CK$11,0)</f>
        <v/>
      </c>
      <c r="CL30" s="218">
        <f>IF(86&gt;=DeliverStart,ExpContractPerUnit*TotalUnits/12*CL$8*CL$11,0)</f>
        <v/>
      </c>
      <c r="CM30" s="218">
        <f>IF(87&gt;=DeliverStart,ExpContractPerUnit*TotalUnits/12*CM$8*CM$11,0)</f>
        <v/>
      </c>
      <c r="CN30" s="218">
        <f>IF(88&gt;=DeliverStart,ExpContractPerUnit*TotalUnits/12*CN$8*CN$11,0)</f>
        <v/>
      </c>
      <c r="CO30" s="218">
        <f>IF(89&gt;=DeliverStart,ExpContractPerUnit*TotalUnits/12*CO$8*CO$11,0)</f>
        <v/>
      </c>
      <c r="CP30" s="218">
        <f>IF(90&gt;=DeliverStart,ExpContractPerUnit*TotalUnits/12*CP$8*CP$11,0)</f>
        <v/>
      </c>
      <c r="CQ30" s="218">
        <f>IF(91&gt;=DeliverStart,ExpContractPerUnit*TotalUnits/12*CQ$8*CQ$11,0)</f>
        <v/>
      </c>
      <c r="CR30" s="218">
        <f>IF(92&gt;=DeliverStart,ExpContractPerUnit*TotalUnits/12*CR$8*CR$11,0)</f>
        <v/>
      </c>
      <c r="CS30" s="218">
        <f>IF(93&gt;=DeliverStart,ExpContractPerUnit*TotalUnits/12*CS$8*CS$11,0)</f>
        <v/>
      </c>
      <c r="CT30" s="218">
        <f>IF(94&gt;=DeliverStart,ExpContractPerUnit*TotalUnits/12*CT$8*CT$11,0)</f>
        <v/>
      </c>
      <c r="CU30" s="218">
        <f>IF(95&gt;=DeliverStart,ExpContractPerUnit*TotalUnits/12*CU$8*CU$11,0)</f>
        <v/>
      </c>
      <c r="CV30" s="218">
        <f>IF(96&gt;=DeliverStart,ExpContractPerUnit*TotalUnits/12*CV$8*CV$11,0)</f>
        <v/>
      </c>
      <c r="CW30" s="218">
        <f>IF(97&gt;=DeliverStart,ExpContractPerUnit*TotalUnits/12*CW$8*CW$11,0)</f>
        <v/>
      </c>
      <c r="CX30" s="218">
        <f>IF(98&gt;=DeliverStart,ExpContractPerUnit*TotalUnits/12*CX$8*CX$11,0)</f>
        <v/>
      </c>
      <c r="CY30" s="218">
        <f>IF(99&gt;=DeliverStart,ExpContractPerUnit*TotalUnits/12*CY$8*CY$11,0)</f>
        <v/>
      </c>
      <c r="CZ30" s="218">
        <f>IF(100&gt;=DeliverStart,ExpContractPerUnit*TotalUnits/12*CZ$8*CZ$11,0)</f>
        <v/>
      </c>
      <c r="DA30" s="218">
        <f>IF(101&gt;=DeliverStart,ExpContractPerUnit*TotalUnits/12*DA$8*DA$11,0)</f>
        <v/>
      </c>
      <c r="DB30" s="218">
        <f>IF(102&gt;=DeliverStart,ExpContractPerUnit*TotalUnits/12*DB$8*DB$11,0)</f>
        <v/>
      </c>
      <c r="DC30" s="218">
        <f>IF(103&gt;=DeliverStart,ExpContractPerUnit*TotalUnits/12*DC$8*DC$11,0)</f>
        <v/>
      </c>
      <c r="DD30" s="218">
        <f>IF(104&gt;=DeliverStart,ExpContractPerUnit*TotalUnits/12*DD$8*DD$11,0)</f>
        <v/>
      </c>
      <c r="DE30" s="218">
        <f>IF(105&gt;=DeliverStart,ExpContractPerUnit*TotalUnits/12*DE$8*DE$11,0)</f>
        <v/>
      </c>
      <c r="DF30" s="218">
        <f>IF(106&gt;=DeliverStart,ExpContractPerUnit*TotalUnits/12*DF$8*DF$11,0)</f>
        <v/>
      </c>
      <c r="DG30" s="218">
        <f>IF(107&gt;=DeliverStart,ExpContractPerUnit*TotalUnits/12*DG$8*DG$11,0)</f>
        <v/>
      </c>
      <c r="DH30" s="218">
        <f>IF(108&gt;=DeliverStart,ExpContractPerUnit*TotalUnits/12*DH$8*DH$11,0)</f>
        <v/>
      </c>
      <c r="DI30" s="218">
        <f>IF(109&gt;=DeliverStart,ExpContractPerUnit*TotalUnits/12*DI$8*DI$11,0)</f>
        <v/>
      </c>
      <c r="DJ30" s="218">
        <f>IF(110&gt;=DeliverStart,ExpContractPerUnit*TotalUnits/12*DJ$8*DJ$11,0)</f>
        <v/>
      </c>
      <c r="DK30" s="218">
        <f>IF(111&gt;=DeliverStart,ExpContractPerUnit*TotalUnits/12*DK$8*DK$11,0)</f>
        <v/>
      </c>
      <c r="DL30" s="218">
        <f>IF(112&gt;=DeliverStart,ExpContractPerUnit*TotalUnits/12*DL$8*DL$11,0)</f>
        <v/>
      </c>
      <c r="DM30" s="218">
        <f>IF(113&gt;=DeliverStart,ExpContractPerUnit*TotalUnits/12*DM$8*DM$11,0)</f>
        <v/>
      </c>
      <c r="DN30" s="218">
        <f>IF(114&gt;=DeliverStart,ExpContractPerUnit*TotalUnits/12*DN$8*DN$11,0)</f>
        <v/>
      </c>
      <c r="DO30" s="218">
        <f>IF(115&gt;=DeliverStart,ExpContractPerUnit*TotalUnits/12*DO$8*DO$11,0)</f>
        <v/>
      </c>
      <c r="DP30" s="218">
        <f>IF(116&gt;=DeliverStart,ExpContractPerUnit*TotalUnits/12*DP$8*DP$11,0)</f>
        <v/>
      </c>
      <c r="DQ30" s="218">
        <f>IF(117&gt;=DeliverStart,ExpContractPerUnit*TotalUnits/12*DQ$8*DQ$11,0)</f>
        <v/>
      </c>
      <c r="DR30" s="218">
        <f>IF(118&gt;=DeliverStart,ExpContractPerUnit*TotalUnits/12*DR$8*DR$11,0)</f>
        <v/>
      </c>
      <c r="DS30" s="218">
        <f>IF(119&gt;=DeliverStart,ExpContractPerUnit*TotalUnits/12*DS$8*DS$11,0)</f>
        <v/>
      </c>
      <c r="DT30" s="218">
        <f>IF(120&gt;=DeliverStart,ExpContractPerUnit*TotalUnits/12*DT$8*DT$11,0)</f>
        <v/>
      </c>
      <c r="DU30" s="218">
        <f>IF(121&gt;=DeliverStart,ExpContractPerUnit*TotalUnits/12*DU$8*DU$11,0)</f>
        <v/>
      </c>
      <c r="DV30" s="218">
        <f>IF(122&gt;=DeliverStart,ExpContractPerUnit*TotalUnits/12*DV$8*DV$11,0)</f>
        <v/>
      </c>
      <c r="DW30" s="218">
        <f>IF(123&gt;=DeliverStart,ExpContractPerUnit*TotalUnits/12*DW$8*DW$11,0)</f>
        <v/>
      </c>
      <c r="DX30" s="218">
        <f>IF(124&gt;=DeliverStart,ExpContractPerUnit*TotalUnits/12*DX$8*DX$11,0)</f>
        <v/>
      </c>
      <c r="DY30" s="218">
        <f>IF(125&gt;=DeliverStart,ExpContractPerUnit*TotalUnits/12*DY$8*DY$11,0)</f>
        <v/>
      </c>
      <c r="DZ30" s="218">
        <f>IF(126&gt;=DeliverStart,ExpContractPerUnit*TotalUnits/12*DZ$8*DZ$11,0)</f>
        <v/>
      </c>
      <c r="EA30" s="218">
        <f>IF(127&gt;=DeliverStart,ExpContractPerUnit*TotalUnits/12*EA$8*EA$11,0)</f>
        <v/>
      </c>
      <c r="EB30" s="218">
        <f>IF(128&gt;=DeliverStart,ExpContractPerUnit*TotalUnits/12*EB$8*EB$11,0)</f>
        <v/>
      </c>
      <c r="EC30" s="218">
        <f>IF(129&gt;=DeliverStart,ExpContractPerUnit*TotalUnits/12*EC$8*EC$11,0)</f>
        <v/>
      </c>
      <c r="ED30" s="218">
        <f>IF(130&gt;=DeliverStart,ExpContractPerUnit*TotalUnits/12*ED$8*ED$11,0)</f>
        <v/>
      </c>
      <c r="EE30" s="218">
        <f>IF(131&gt;=DeliverStart,ExpContractPerUnit*TotalUnits/12*EE$8*EE$11,0)</f>
        <v/>
      </c>
      <c r="EF30" s="218">
        <f>IF(132&gt;=DeliverStart,ExpContractPerUnit*TotalUnits/12*EF$8*EF$11,0)</f>
        <v/>
      </c>
      <c r="EG30" s="218">
        <f>IF(133&gt;=DeliverStart,ExpContractPerUnit*TotalUnits/12*EG$8*EG$11,0)</f>
        <v/>
      </c>
      <c r="EH30" s="218">
        <f>IF(134&gt;=DeliverStart,ExpContractPerUnit*TotalUnits/12*EH$8*EH$11,0)</f>
        <v/>
      </c>
      <c r="EI30" s="218">
        <f>IF(135&gt;=DeliverStart,ExpContractPerUnit*TotalUnits/12*EI$8*EI$11,0)</f>
        <v/>
      </c>
      <c r="EJ30" s="218">
        <f>IF(136&gt;=DeliverStart,ExpContractPerUnit*TotalUnits/12*EJ$8*EJ$11,0)</f>
        <v/>
      </c>
      <c r="EK30" s="218">
        <f>IF(137&gt;=DeliverStart,ExpContractPerUnit*TotalUnits/12*EK$8*EK$11,0)</f>
        <v/>
      </c>
      <c r="EL30" s="218">
        <f>IF(138&gt;=DeliverStart,ExpContractPerUnit*TotalUnits/12*EL$8*EL$11,0)</f>
        <v/>
      </c>
      <c r="EM30" s="218">
        <f>IF(139&gt;=DeliverStart,ExpContractPerUnit*TotalUnits/12*EM$8*EM$11,0)</f>
        <v/>
      </c>
      <c r="EN30" s="218">
        <f>IF(140&gt;=DeliverStart,ExpContractPerUnit*TotalUnits/12*EN$8*EN$11,0)</f>
        <v/>
      </c>
      <c r="EO30" s="218">
        <f>IF(141&gt;=DeliverStart,ExpContractPerUnit*TotalUnits/12*EO$8*EO$11,0)</f>
        <v/>
      </c>
      <c r="EP30" s="218">
        <f>IF(142&gt;=DeliverStart,ExpContractPerUnit*TotalUnits/12*EP$8*EP$11,0)</f>
        <v/>
      </c>
      <c r="EQ30" s="218">
        <f>IF(143&gt;=DeliverStart,ExpContractPerUnit*TotalUnits/12*EQ$8*EQ$11,0)</f>
        <v/>
      </c>
      <c r="ER30" s="218">
        <f>IF(144&gt;=DeliverStart,ExpContractPerUnit*TotalUnits/12*ER$8*ER$11,0)</f>
        <v/>
      </c>
      <c r="ES30" s="218">
        <f>IF(145&gt;=DeliverStart,ExpContractPerUnit*TotalUnits/12*ES$8*ES$11,0)</f>
        <v/>
      </c>
      <c r="ET30" s="218">
        <f>IF(146&gt;=DeliverStart,ExpContractPerUnit*TotalUnits/12*ET$8*ET$11,0)</f>
        <v/>
      </c>
      <c r="EU30" s="218">
        <f>IF(147&gt;=DeliverStart,ExpContractPerUnit*TotalUnits/12*EU$8*EU$11,0)</f>
        <v/>
      </c>
      <c r="EV30" s="218">
        <f>IF(148&gt;=DeliverStart,ExpContractPerUnit*TotalUnits/12*EV$8*EV$11,0)</f>
        <v/>
      </c>
      <c r="EW30" s="218">
        <f>IF(149&gt;=DeliverStart,ExpContractPerUnit*TotalUnits/12*EW$8*EW$11,0)</f>
        <v/>
      </c>
      <c r="EX30" s="218">
        <f>IF(150&gt;=DeliverStart,ExpContractPerUnit*TotalUnits/12*EX$8*EX$11,0)</f>
        <v/>
      </c>
      <c r="EY30" s="218">
        <f>IF(151&gt;=DeliverStart,ExpContractPerUnit*TotalUnits/12*EY$8*EY$11,0)</f>
        <v/>
      </c>
      <c r="EZ30" s="218">
        <f>IF(152&gt;=DeliverStart,ExpContractPerUnit*TotalUnits/12*EZ$8*EZ$11,0)</f>
        <v/>
      </c>
      <c r="FA30" s="218">
        <f>IF(153&gt;=DeliverStart,ExpContractPerUnit*TotalUnits/12*FA$8*FA$11,0)</f>
        <v/>
      </c>
      <c r="FB30" s="218">
        <f>IF(154&gt;=DeliverStart,ExpContractPerUnit*TotalUnits/12*FB$8*FB$11,0)</f>
        <v/>
      </c>
      <c r="FC30" s="218">
        <f>IF(155&gt;=DeliverStart,ExpContractPerUnit*TotalUnits/12*FC$8*FC$11,0)</f>
        <v/>
      </c>
      <c r="FD30" s="218">
        <f>IF(156&gt;=DeliverStart,ExpContractPerUnit*TotalUnits/12*FD$8*FD$11,0)</f>
        <v/>
      </c>
      <c r="FE30" s="218">
        <f>IF(157&gt;=DeliverStart,ExpContractPerUnit*TotalUnits/12*FE$8*FE$11,0)</f>
        <v/>
      </c>
      <c r="FF30" s="218">
        <f>IF(158&gt;=DeliverStart,ExpContractPerUnit*TotalUnits/12*FF$8*FF$11,0)</f>
        <v/>
      </c>
      <c r="FG30" s="218">
        <f>IF(159&gt;=DeliverStart,ExpContractPerUnit*TotalUnits/12*FG$8*FG$11,0)</f>
        <v/>
      </c>
      <c r="FH30" s="218">
        <f>IF(160&gt;=DeliverStart,ExpContractPerUnit*TotalUnits/12*FH$8*FH$11,0)</f>
        <v/>
      </c>
      <c r="FI30" s="218">
        <f>IF(161&gt;=DeliverStart,ExpContractPerUnit*TotalUnits/12*FI$8*FI$11,0)</f>
        <v/>
      </c>
      <c r="FJ30" s="218">
        <f>IF(162&gt;=DeliverStart,ExpContractPerUnit*TotalUnits/12*FJ$8*FJ$11,0)</f>
        <v/>
      </c>
      <c r="FK30" s="218">
        <f>IF(163&gt;=DeliverStart,ExpContractPerUnit*TotalUnits/12*FK$8*FK$11,0)</f>
        <v/>
      </c>
      <c r="FL30" s="218">
        <f>IF(164&gt;=DeliverStart,ExpContractPerUnit*TotalUnits/12*FL$8*FL$11,0)</f>
        <v/>
      </c>
      <c r="FM30" s="218">
        <f>IF(165&gt;=DeliverStart,ExpContractPerUnit*TotalUnits/12*FM$8*FM$11,0)</f>
        <v/>
      </c>
      <c r="FN30" s="218">
        <f>IF(166&gt;=DeliverStart,ExpContractPerUnit*TotalUnits/12*FN$8*FN$11,0)</f>
        <v/>
      </c>
      <c r="FO30" s="218">
        <f>IF(167&gt;=DeliverStart,ExpContractPerUnit*TotalUnits/12*FO$8*FO$11,0)</f>
        <v/>
      </c>
      <c r="FP30" s="218">
        <f>IF(168&gt;=DeliverStart,ExpContractPerUnit*TotalUnits/12*FP$8*FP$11,0)</f>
        <v/>
      </c>
      <c r="FQ30" s="218">
        <f>IF(169&gt;=DeliverStart,ExpContractPerUnit*TotalUnits/12*FQ$8*FQ$11,0)</f>
        <v/>
      </c>
      <c r="FR30" s="218">
        <f>IF(170&gt;=DeliverStart,ExpContractPerUnit*TotalUnits/12*FR$8*FR$11,0)</f>
        <v/>
      </c>
      <c r="FS30" s="218">
        <f>IF(171&gt;=DeliverStart,ExpContractPerUnit*TotalUnits/12*FS$8*FS$11,0)</f>
        <v/>
      </c>
      <c r="FT30" s="218">
        <f>IF(172&gt;=DeliverStart,ExpContractPerUnit*TotalUnits/12*FT$8*FT$11,0)</f>
        <v/>
      </c>
      <c r="FU30" s="218">
        <f>IF(173&gt;=DeliverStart,ExpContractPerUnit*TotalUnits/12*FU$8*FU$11,0)</f>
        <v/>
      </c>
      <c r="FV30" s="218">
        <f>IF(174&gt;=DeliverStart,ExpContractPerUnit*TotalUnits/12*FV$8*FV$11,0)</f>
        <v/>
      </c>
      <c r="FW30" s="218">
        <f>IF(175&gt;=DeliverStart,ExpContractPerUnit*TotalUnits/12*FW$8*FW$11,0)</f>
        <v/>
      </c>
      <c r="FX30" s="218">
        <f>IF(176&gt;=DeliverStart,ExpContractPerUnit*TotalUnits/12*FX$8*FX$11,0)</f>
        <v/>
      </c>
      <c r="FY30" s="218">
        <f>IF(177&gt;=DeliverStart,ExpContractPerUnit*TotalUnits/12*FY$8*FY$11,0)</f>
        <v/>
      </c>
      <c r="FZ30" s="218">
        <f>IF(178&gt;=DeliverStart,ExpContractPerUnit*TotalUnits/12*FZ$8*FZ$11,0)</f>
        <v/>
      </c>
      <c r="GA30" s="218">
        <f>IF(179&gt;=DeliverStart,ExpContractPerUnit*TotalUnits/12*GA$8*GA$11,0)</f>
        <v/>
      </c>
      <c r="GB30" s="218">
        <f>IF(180&gt;=DeliverStart,ExpContractPerUnit*TotalUnits/12*GB$8*GB$11,0)</f>
        <v/>
      </c>
      <c r="GC30" s="218">
        <f>IF(181&gt;=DeliverStart,ExpContractPerUnit*TotalUnits/12*GC$8*GC$11,0)</f>
        <v/>
      </c>
      <c r="GD30" s="218">
        <f>IF(182&gt;=DeliverStart,ExpContractPerUnit*TotalUnits/12*GD$8*GD$11,0)</f>
        <v/>
      </c>
      <c r="GE30" s="218">
        <f>IF(183&gt;=DeliverStart,ExpContractPerUnit*TotalUnits/12*GE$8*GE$11,0)</f>
        <v/>
      </c>
      <c r="GF30" s="218">
        <f>IF(184&gt;=DeliverStart,ExpContractPerUnit*TotalUnits/12*GF$8*GF$11,0)</f>
        <v/>
      </c>
      <c r="GG30" s="218">
        <f>IF(185&gt;=DeliverStart,ExpContractPerUnit*TotalUnits/12*GG$8*GG$11,0)</f>
        <v/>
      </c>
      <c r="GH30" s="218">
        <f>IF(186&gt;=DeliverStart,ExpContractPerUnit*TotalUnits/12*GH$8*GH$11,0)</f>
        <v/>
      </c>
      <c r="GI30" s="218">
        <f>IF(187&gt;=DeliverStart,ExpContractPerUnit*TotalUnits/12*GI$8*GI$11,0)</f>
        <v/>
      </c>
      <c r="GJ30" s="218">
        <f>IF(188&gt;=DeliverStart,ExpContractPerUnit*TotalUnits/12*GJ$8*GJ$11,0)</f>
        <v/>
      </c>
      <c r="GK30" s="218">
        <f>IF(189&gt;=DeliverStart,ExpContractPerUnit*TotalUnits/12*GK$8*GK$11,0)</f>
        <v/>
      </c>
      <c r="GL30" s="218">
        <f>IF(190&gt;=DeliverStart,ExpContractPerUnit*TotalUnits/12*GL$8*GL$11,0)</f>
        <v/>
      </c>
      <c r="GM30" s="218">
        <f>IF(191&gt;=DeliverStart,ExpContractPerUnit*TotalUnits/12*GM$8*GM$11,0)</f>
        <v/>
      </c>
      <c r="GN30" s="218">
        <f>IF(192&gt;=DeliverStart,ExpContractPerUnit*TotalUnits/12*GN$8*GN$11,0)</f>
        <v/>
      </c>
      <c r="GO30" s="218">
        <f>IF(193&gt;=DeliverStart,ExpContractPerUnit*TotalUnits/12*GO$8*GO$11,0)</f>
        <v/>
      </c>
      <c r="GP30" s="218">
        <f>IF(194&gt;=DeliverStart,ExpContractPerUnit*TotalUnits/12*GP$8*GP$11,0)</f>
        <v/>
      </c>
      <c r="GQ30" s="218">
        <f>IF(195&gt;=DeliverStart,ExpContractPerUnit*TotalUnits/12*GQ$8*GQ$11,0)</f>
        <v/>
      </c>
      <c r="GR30" s="218">
        <f>IF(196&gt;=DeliverStart,ExpContractPerUnit*TotalUnits/12*GR$8*GR$11,0)</f>
        <v/>
      </c>
      <c r="GS30" s="218">
        <f>IF(197&gt;=DeliverStart,ExpContractPerUnit*TotalUnits/12*GS$8*GS$11,0)</f>
        <v/>
      </c>
      <c r="GT30" s="218">
        <f>IF(198&gt;=DeliverStart,ExpContractPerUnit*TotalUnits/12*GT$8*GT$11,0)</f>
        <v/>
      </c>
      <c r="GU30" s="218">
        <f>IF(199&gt;=DeliverStart,ExpContractPerUnit*TotalUnits/12*GU$8*GU$11,0)</f>
        <v/>
      </c>
      <c r="GV30" s="218">
        <f>IF(200&gt;=DeliverStart,ExpContractPerUnit*TotalUnits/12*GV$8*GV$11,0)</f>
        <v/>
      </c>
      <c r="GW30" s="218">
        <f>IF(201&gt;=DeliverStart,ExpContractPerUnit*TotalUnits/12*GW$8*GW$11,0)</f>
        <v/>
      </c>
      <c r="GX30" s="218">
        <f>IF(202&gt;=DeliverStart,ExpContractPerUnit*TotalUnits/12*GX$8*GX$11,0)</f>
        <v/>
      </c>
      <c r="GY30" s="218">
        <f>IF(203&gt;=DeliverStart,ExpContractPerUnit*TotalUnits/12*GY$8*GY$11,0)</f>
        <v/>
      </c>
      <c r="GZ30" s="218">
        <f>IF(204&gt;=DeliverStart,ExpContractPerUnit*TotalUnits/12*GZ$8*GZ$11,0)</f>
        <v/>
      </c>
      <c r="HA30" s="218">
        <f>IF(205&gt;=DeliverStart,ExpContractPerUnit*TotalUnits/12*HA$8*HA$11,0)</f>
        <v/>
      </c>
      <c r="HB30" s="218">
        <f>IF(206&gt;=DeliverStart,ExpContractPerUnit*TotalUnits/12*HB$8*HB$11,0)</f>
        <v/>
      </c>
      <c r="HC30" s="218">
        <f>IF(207&gt;=DeliverStart,ExpContractPerUnit*TotalUnits/12*HC$8*HC$11,0)</f>
        <v/>
      </c>
      <c r="HD30" s="218">
        <f>IF(208&gt;=DeliverStart,ExpContractPerUnit*TotalUnits/12*HD$8*HD$11,0)</f>
        <v/>
      </c>
      <c r="HE30" s="218">
        <f>IF(209&gt;=DeliverStart,ExpContractPerUnit*TotalUnits/12*HE$8*HE$11,0)</f>
        <v/>
      </c>
      <c r="HF30" s="218">
        <f>IF(210&gt;=DeliverStart,ExpContractPerUnit*TotalUnits/12*HF$8*HF$11,0)</f>
        <v/>
      </c>
      <c r="HG30" s="218">
        <f>IF(211&gt;=DeliverStart,ExpContractPerUnit*TotalUnits/12*HG$8*HG$11,0)</f>
        <v/>
      </c>
      <c r="HH30" s="218">
        <f>IF(212&gt;=DeliverStart,ExpContractPerUnit*TotalUnits/12*HH$8*HH$11,0)</f>
        <v/>
      </c>
      <c r="HI30" s="218">
        <f>IF(213&gt;=DeliverStart,ExpContractPerUnit*TotalUnits/12*HI$8*HI$11,0)</f>
        <v/>
      </c>
      <c r="HJ30" s="218">
        <f>IF(214&gt;=DeliverStart,ExpContractPerUnit*TotalUnits/12*HJ$8*HJ$11,0)</f>
        <v/>
      </c>
      <c r="HK30" s="218">
        <f>IF(215&gt;=DeliverStart,ExpContractPerUnit*TotalUnits/12*HK$8*HK$11,0)</f>
        <v/>
      </c>
      <c r="HL30" s="218">
        <f>IF(216&gt;=DeliverStart,ExpContractPerUnit*TotalUnits/12*HL$8*HL$11,0)</f>
        <v/>
      </c>
      <c r="HM30" s="218">
        <f>IF(217&gt;=DeliverStart,ExpContractPerUnit*TotalUnits/12*HM$8*HM$11,0)</f>
        <v/>
      </c>
      <c r="HN30" s="218">
        <f>IF(218&gt;=DeliverStart,ExpContractPerUnit*TotalUnits/12*HN$8*HN$11,0)</f>
        <v/>
      </c>
      <c r="HO30" s="218">
        <f>IF(219&gt;=DeliverStart,ExpContractPerUnit*TotalUnits/12*HO$8*HO$11,0)</f>
        <v/>
      </c>
      <c r="HP30" s="218">
        <f>IF(220&gt;=DeliverStart,ExpContractPerUnit*TotalUnits/12*HP$8*HP$11,0)</f>
        <v/>
      </c>
      <c r="HQ30" s="218">
        <f>IF(221&gt;=DeliverStart,ExpContractPerUnit*TotalUnits/12*HQ$8*HQ$11,0)</f>
        <v/>
      </c>
      <c r="HR30" s="218">
        <f>IF(222&gt;=DeliverStart,ExpContractPerUnit*TotalUnits/12*HR$8*HR$11,0)</f>
        <v/>
      </c>
      <c r="HS30" s="218">
        <f>IF(223&gt;=DeliverStart,ExpContractPerUnit*TotalUnits/12*HS$8*HS$11,0)</f>
        <v/>
      </c>
      <c r="HT30" s="218">
        <f>IF(224&gt;=DeliverStart,ExpContractPerUnit*TotalUnits/12*HT$8*HT$11,0)</f>
        <v/>
      </c>
      <c r="HU30" s="218">
        <f>IF(225&gt;=DeliverStart,ExpContractPerUnit*TotalUnits/12*HU$8*HU$11,0)</f>
        <v/>
      </c>
      <c r="HV30" s="218">
        <f>IF(226&gt;=DeliverStart,ExpContractPerUnit*TotalUnits/12*HV$8*HV$11,0)</f>
        <v/>
      </c>
      <c r="HW30" s="218">
        <f>IF(227&gt;=DeliverStart,ExpContractPerUnit*TotalUnits/12*HW$8*HW$11,0)</f>
        <v/>
      </c>
      <c r="HX30" s="218">
        <f>IF(228&gt;=DeliverStart,ExpContractPerUnit*TotalUnits/12*HX$8*HX$11,0)</f>
        <v/>
      </c>
      <c r="HY30" s="218">
        <f>IF(229&gt;=DeliverStart,ExpContractPerUnit*TotalUnits/12*HY$8*HY$11,0)</f>
        <v/>
      </c>
      <c r="HZ30" s="218">
        <f>IF(230&gt;=DeliverStart,ExpContractPerUnit*TotalUnits/12*HZ$8*HZ$11,0)</f>
        <v/>
      </c>
      <c r="IA30" s="218">
        <f>IF(231&gt;=DeliverStart,ExpContractPerUnit*TotalUnits/12*IA$8*IA$11,0)</f>
        <v/>
      </c>
      <c r="IB30" s="218">
        <f>IF(232&gt;=DeliverStart,ExpContractPerUnit*TotalUnits/12*IB$8*IB$11,0)</f>
        <v/>
      </c>
      <c r="IC30" s="218">
        <f>IF(233&gt;=DeliverStart,ExpContractPerUnit*TotalUnits/12*IC$8*IC$11,0)</f>
        <v/>
      </c>
      <c r="ID30" s="218">
        <f>IF(234&gt;=DeliverStart,ExpContractPerUnit*TotalUnits/12*ID$8*ID$11,0)</f>
        <v/>
      </c>
      <c r="IE30" s="218">
        <f>IF(235&gt;=DeliverStart,ExpContractPerUnit*TotalUnits/12*IE$8*IE$11,0)</f>
        <v/>
      </c>
      <c r="IF30" s="218">
        <f>IF(236&gt;=DeliverStart,ExpContractPerUnit*TotalUnits/12*IF$8*IF$11,0)</f>
        <v/>
      </c>
      <c r="IG30" s="218">
        <f>IF(237&gt;=DeliverStart,ExpContractPerUnit*TotalUnits/12*IG$8*IG$11,0)</f>
        <v/>
      </c>
      <c r="IH30" s="218">
        <f>IF(238&gt;=DeliverStart,ExpContractPerUnit*TotalUnits/12*IH$8*IH$11,0)</f>
        <v/>
      </c>
      <c r="II30" s="218">
        <f>IF(239&gt;=DeliverStart,ExpContractPerUnit*TotalUnits/12*II$8*II$11,0)</f>
        <v/>
      </c>
      <c r="IJ30" s="218">
        <f>IF(240&gt;=DeliverStart,ExpContractPerUnit*TotalUnits/12*IJ$8*IJ$11,0)</f>
        <v/>
      </c>
      <c r="IK30" s="218">
        <f>IF(241&gt;=DeliverStart,ExpContractPerUnit*TotalUnits/12*IK$8*IK$11,0)</f>
        <v/>
      </c>
      <c r="IL30" s="218">
        <f>IF(242&gt;=DeliverStart,ExpContractPerUnit*TotalUnits/12*IL$8*IL$11,0)</f>
        <v/>
      </c>
      <c r="IM30" s="218">
        <f>IF(243&gt;=DeliverStart,ExpContractPerUnit*TotalUnits/12*IM$8*IM$11,0)</f>
        <v/>
      </c>
      <c r="IN30" s="218">
        <f>IF(244&gt;=DeliverStart,ExpContractPerUnit*TotalUnits/12*IN$8*IN$11,0)</f>
        <v/>
      </c>
      <c r="IO30" s="218">
        <f>IF(245&gt;=DeliverStart,ExpContractPerUnit*TotalUnits/12*IO$8*IO$11,0)</f>
        <v/>
      </c>
      <c r="IP30" s="218">
        <f>IF(246&gt;=DeliverStart,ExpContractPerUnit*TotalUnits/12*IP$8*IP$11,0)</f>
        <v/>
      </c>
      <c r="IQ30" s="218">
        <f>IF(247&gt;=DeliverStart,ExpContractPerUnit*TotalUnits/12*IQ$8*IQ$11,0)</f>
        <v/>
      </c>
      <c r="IR30" s="218">
        <f>IF(248&gt;=DeliverStart,ExpContractPerUnit*TotalUnits/12*IR$8*IR$11,0)</f>
        <v/>
      </c>
      <c r="IS30" s="218">
        <f>IF(249&gt;=DeliverStart,ExpContractPerUnit*TotalUnits/12*IS$8*IS$11,0)</f>
        <v/>
      </c>
      <c r="IT30" s="218">
        <f>IF(250&gt;=DeliverStart,ExpContractPerUnit*TotalUnits/12*IT$8*IT$11,0)</f>
        <v/>
      </c>
      <c r="IU30" s="218">
        <f>IF(251&gt;=DeliverStart,ExpContractPerUnit*TotalUnits/12*IU$8*IU$11,0)</f>
        <v/>
      </c>
      <c r="IV30" s="218">
        <f>IF(252&gt;=DeliverStart,ExpContractPerUnit*TotalUnits/12*IV$8*IV$11,0)</f>
        <v/>
      </c>
      <c r="IW30" s="218">
        <f>IF(253&gt;=DeliverStart,ExpContractPerUnit*TotalUnits/12*IW$8*IW$11,0)</f>
        <v/>
      </c>
      <c r="IX30" s="218">
        <f>IF(254&gt;=DeliverStart,ExpContractPerUnit*TotalUnits/12*IX$8*IX$11,0)</f>
        <v/>
      </c>
      <c r="IY30" s="218">
        <f>IF(255&gt;=DeliverStart,ExpContractPerUnit*TotalUnits/12*IY$8*IY$11,0)</f>
        <v/>
      </c>
      <c r="IZ30" s="218">
        <f>IF(256&gt;=DeliverStart,ExpContractPerUnit*TotalUnits/12*IZ$8*IZ$11,0)</f>
        <v/>
      </c>
      <c r="JA30" s="218">
        <f>IF(257&gt;=DeliverStart,ExpContractPerUnit*TotalUnits/12*JA$8*JA$11,0)</f>
        <v/>
      </c>
      <c r="JB30" s="218">
        <f>IF(258&gt;=DeliverStart,ExpContractPerUnit*TotalUnits/12*JB$8*JB$11,0)</f>
        <v/>
      </c>
      <c r="JC30" s="218">
        <f>IF(259&gt;=DeliverStart,ExpContractPerUnit*TotalUnits/12*JC$8*JC$11,0)</f>
        <v/>
      </c>
      <c r="JD30" s="218">
        <f>IF(260&gt;=DeliverStart,ExpContractPerUnit*TotalUnits/12*JD$8*JD$11,0)</f>
        <v/>
      </c>
      <c r="JE30" s="218">
        <f>IF(261&gt;=DeliverStart,ExpContractPerUnit*TotalUnits/12*JE$8*JE$11,0)</f>
        <v/>
      </c>
      <c r="JF30" s="218">
        <f>IF(262&gt;=DeliverStart,ExpContractPerUnit*TotalUnits/12*JF$8*JF$11,0)</f>
        <v/>
      </c>
      <c r="JG30" s="218">
        <f>IF(263&gt;=DeliverStart,ExpContractPerUnit*TotalUnits/12*JG$8*JG$11,0)</f>
        <v/>
      </c>
      <c r="JH30" s="218">
        <f>IF(264&gt;=DeliverStart,ExpContractPerUnit*TotalUnits/12*JH$8*JH$11,0)</f>
        <v/>
      </c>
      <c r="JI30" s="218">
        <f>IF(265&gt;=DeliverStart,ExpContractPerUnit*TotalUnits/12*JI$8*JI$11,0)</f>
        <v/>
      </c>
      <c r="JJ30" s="218">
        <f>IF(266&gt;=DeliverStart,ExpContractPerUnit*TotalUnits/12*JJ$8*JJ$11,0)</f>
        <v/>
      </c>
      <c r="JK30" s="218">
        <f>IF(267&gt;=DeliverStart,ExpContractPerUnit*TotalUnits/12*JK$8*JK$11,0)</f>
        <v/>
      </c>
      <c r="JL30" s="218">
        <f>IF(268&gt;=DeliverStart,ExpContractPerUnit*TotalUnits/12*JL$8*JL$11,0)</f>
        <v/>
      </c>
      <c r="JM30" s="218">
        <f>IF(269&gt;=DeliverStart,ExpContractPerUnit*TotalUnits/12*JM$8*JM$11,0)</f>
        <v/>
      </c>
      <c r="JN30" s="218">
        <f>IF(270&gt;=DeliverStart,ExpContractPerUnit*TotalUnits/12*JN$8*JN$11,0)</f>
        <v/>
      </c>
      <c r="JO30" s="218">
        <f>IF(271&gt;=DeliverStart,ExpContractPerUnit*TotalUnits/12*JO$8*JO$11,0)</f>
        <v/>
      </c>
      <c r="JP30" s="218">
        <f>IF(272&gt;=DeliverStart,ExpContractPerUnit*TotalUnits/12*JP$8*JP$11,0)</f>
        <v/>
      </c>
      <c r="JQ30" s="218">
        <f>IF(273&gt;=DeliverStart,ExpContractPerUnit*TotalUnits/12*JQ$8*JQ$11,0)</f>
        <v/>
      </c>
      <c r="JR30" s="218">
        <f>IF(274&gt;=DeliverStart,ExpContractPerUnit*TotalUnits/12*JR$8*JR$11,0)</f>
        <v/>
      </c>
      <c r="JS30" s="218">
        <f>IF(275&gt;=DeliverStart,ExpContractPerUnit*TotalUnits/12*JS$8*JS$11,0)</f>
        <v/>
      </c>
      <c r="JT30" s="218">
        <f>IF(276&gt;=DeliverStart,ExpContractPerUnit*TotalUnits/12*JT$8*JT$11,0)</f>
        <v/>
      </c>
      <c r="JU30" s="218">
        <f>IF(277&gt;=DeliverStart,ExpContractPerUnit*TotalUnits/12*JU$8*JU$11,0)</f>
        <v/>
      </c>
      <c r="JV30" s="218">
        <f>IF(278&gt;=DeliverStart,ExpContractPerUnit*TotalUnits/12*JV$8*JV$11,0)</f>
        <v/>
      </c>
      <c r="JW30" s="218">
        <f>IF(279&gt;=DeliverStart,ExpContractPerUnit*TotalUnits/12*JW$8*JW$11,0)</f>
        <v/>
      </c>
      <c r="JX30" s="218">
        <f>IF(280&gt;=DeliverStart,ExpContractPerUnit*TotalUnits/12*JX$8*JX$11,0)</f>
        <v/>
      </c>
      <c r="JY30" s="218">
        <f>IF(281&gt;=DeliverStart,ExpContractPerUnit*TotalUnits/12*JY$8*JY$11,0)</f>
        <v/>
      </c>
      <c r="JZ30" s="218">
        <f>IF(282&gt;=DeliverStart,ExpContractPerUnit*TotalUnits/12*JZ$8*JZ$11,0)</f>
        <v/>
      </c>
      <c r="KA30" s="218">
        <f>IF(283&gt;=DeliverStart,ExpContractPerUnit*TotalUnits/12*KA$8*KA$11,0)</f>
        <v/>
      </c>
      <c r="KB30" s="218">
        <f>IF(284&gt;=DeliverStart,ExpContractPerUnit*TotalUnits/12*KB$8*KB$11,0)</f>
        <v/>
      </c>
      <c r="KC30" s="218">
        <f>IF(285&gt;=DeliverStart,ExpContractPerUnit*TotalUnits/12*KC$8*KC$11,0)</f>
        <v/>
      </c>
      <c r="KD30" s="218">
        <f>IF(286&gt;=DeliverStart,ExpContractPerUnit*TotalUnits/12*KD$8*KD$11,0)</f>
        <v/>
      </c>
      <c r="KE30" s="218">
        <f>IF(287&gt;=DeliverStart,ExpContractPerUnit*TotalUnits/12*KE$8*KE$11,0)</f>
        <v/>
      </c>
      <c r="KF30" s="218">
        <f>IF(288&gt;=DeliverStart,ExpContractPerUnit*TotalUnits/12*KF$8*KF$11,0)</f>
        <v/>
      </c>
      <c r="KG30" s="218">
        <f>IF(289&gt;=DeliverStart,ExpContractPerUnit*TotalUnits/12*KG$8*KG$11,0)</f>
        <v/>
      </c>
      <c r="KH30" s="218">
        <f>IF(290&gt;=DeliverStart,ExpContractPerUnit*TotalUnits/12*KH$8*KH$11,0)</f>
        <v/>
      </c>
      <c r="KI30" s="218">
        <f>IF(291&gt;=DeliverStart,ExpContractPerUnit*TotalUnits/12*KI$8*KI$11,0)</f>
        <v/>
      </c>
      <c r="KJ30" s="218">
        <f>IF(292&gt;=DeliverStart,ExpContractPerUnit*TotalUnits/12*KJ$8*KJ$11,0)</f>
        <v/>
      </c>
      <c r="KK30" s="218">
        <f>IF(293&gt;=DeliverStart,ExpContractPerUnit*TotalUnits/12*KK$8*KK$11,0)</f>
        <v/>
      </c>
      <c r="KL30" s="218">
        <f>IF(294&gt;=DeliverStart,ExpContractPerUnit*TotalUnits/12*KL$8*KL$11,0)</f>
        <v/>
      </c>
      <c r="KM30" s="218">
        <f>IF(295&gt;=DeliverStart,ExpContractPerUnit*TotalUnits/12*KM$8*KM$11,0)</f>
        <v/>
      </c>
      <c r="KN30" s="218">
        <f>IF(296&gt;=DeliverStart,ExpContractPerUnit*TotalUnits/12*KN$8*KN$11,0)</f>
        <v/>
      </c>
      <c r="KO30" s="218">
        <f>IF(297&gt;=DeliverStart,ExpContractPerUnit*TotalUnits/12*KO$8*KO$11,0)</f>
        <v/>
      </c>
      <c r="KP30" s="218">
        <f>IF(298&gt;=DeliverStart,ExpContractPerUnit*TotalUnits/12*KP$8*KP$11,0)</f>
        <v/>
      </c>
      <c r="KQ30" s="218">
        <f>IF(299&gt;=DeliverStart,ExpContractPerUnit*TotalUnits/12*KQ$8*KQ$11,0)</f>
        <v/>
      </c>
      <c r="KR30" s="218">
        <f>IF(300&gt;=DeliverStart,ExpContractPerUnit*TotalUnits/12*KR$8*KR$11,0)</f>
        <v/>
      </c>
      <c r="KS30" s="218">
        <f>IF(301&gt;=DeliverStart,ExpContractPerUnit*TotalUnits/12*KS$8*KS$11,0)</f>
        <v/>
      </c>
      <c r="KT30" s="218">
        <f>IF(302&gt;=DeliverStart,ExpContractPerUnit*TotalUnits/12*KT$8*KT$11,0)</f>
        <v/>
      </c>
      <c r="KU30" s="218">
        <f>IF(303&gt;=DeliverStart,ExpContractPerUnit*TotalUnits/12*KU$8*KU$11,0)</f>
        <v/>
      </c>
      <c r="KV30" s="218">
        <f>IF(304&gt;=DeliverStart,ExpContractPerUnit*TotalUnits/12*KV$8*KV$11,0)</f>
        <v/>
      </c>
      <c r="KW30" s="218">
        <f>IF(305&gt;=DeliverStart,ExpContractPerUnit*TotalUnits/12*KW$8*KW$11,0)</f>
        <v/>
      </c>
      <c r="KX30" s="218">
        <f>IF(306&gt;=DeliverStart,ExpContractPerUnit*TotalUnits/12*KX$8*KX$11,0)</f>
        <v/>
      </c>
      <c r="KY30" s="218">
        <f>IF(307&gt;=DeliverStart,ExpContractPerUnit*TotalUnits/12*KY$8*KY$11,0)</f>
        <v/>
      </c>
      <c r="KZ30" s="218">
        <f>IF(308&gt;=DeliverStart,ExpContractPerUnit*TotalUnits/12*KZ$8*KZ$11,0)</f>
        <v/>
      </c>
      <c r="LA30" s="218">
        <f>IF(309&gt;=DeliverStart,ExpContractPerUnit*TotalUnits/12*LA$8*LA$11,0)</f>
        <v/>
      </c>
      <c r="LB30" s="218">
        <f>IF(310&gt;=DeliverStart,ExpContractPerUnit*TotalUnits/12*LB$8*LB$11,0)</f>
        <v/>
      </c>
      <c r="LC30" s="218">
        <f>IF(311&gt;=DeliverStart,ExpContractPerUnit*TotalUnits/12*LC$8*LC$11,0)</f>
        <v/>
      </c>
      <c r="LD30" s="218">
        <f>IF(312&gt;=DeliverStart,ExpContractPerUnit*TotalUnits/12*LD$8*LD$11,0)</f>
        <v/>
      </c>
      <c r="LE30" s="218">
        <f>IF(313&gt;=DeliverStart,ExpContractPerUnit*TotalUnits/12*LE$8*LE$11,0)</f>
        <v/>
      </c>
      <c r="LF30" s="218">
        <f>IF(314&gt;=DeliverStart,ExpContractPerUnit*TotalUnits/12*LF$8*LF$11,0)</f>
        <v/>
      </c>
      <c r="LG30" s="218">
        <f>IF(315&gt;=DeliverStart,ExpContractPerUnit*TotalUnits/12*LG$8*LG$11,0)</f>
        <v/>
      </c>
      <c r="LH30" s="218">
        <f>IF(316&gt;=DeliverStart,ExpContractPerUnit*TotalUnits/12*LH$8*LH$11,0)</f>
        <v/>
      </c>
      <c r="LI30" s="218">
        <f>IF(317&gt;=DeliverStart,ExpContractPerUnit*TotalUnits/12*LI$8*LI$11,0)</f>
        <v/>
      </c>
      <c r="LJ30" s="218">
        <f>IF(318&gt;=DeliverStart,ExpContractPerUnit*TotalUnits/12*LJ$8*LJ$11,0)</f>
        <v/>
      </c>
      <c r="LK30" s="218">
        <f>IF(319&gt;=DeliverStart,ExpContractPerUnit*TotalUnits/12*LK$8*LK$11,0)</f>
        <v/>
      </c>
      <c r="LL30" s="218">
        <f>IF(320&gt;=DeliverStart,ExpContractPerUnit*TotalUnits/12*LL$8*LL$11,0)</f>
        <v/>
      </c>
      <c r="LM30" s="218">
        <f>IF(321&gt;=DeliverStart,ExpContractPerUnit*TotalUnits/12*LM$8*LM$11,0)</f>
        <v/>
      </c>
      <c r="LN30" s="218">
        <f>IF(322&gt;=DeliverStart,ExpContractPerUnit*TotalUnits/12*LN$8*LN$11,0)</f>
        <v/>
      </c>
      <c r="LO30" s="218">
        <f>IF(323&gt;=DeliverStart,ExpContractPerUnit*TotalUnits/12*LO$8*LO$11,0)</f>
        <v/>
      </c>
      <c r="LP30" s="218">
        <f>IF(324&gt;=DeliverStart,ExpContractPerUnit*TotalUnits/12*LP$8*LP$11,0)</f>
        <v/>
      </c>
      <c r="LQ30" s="218">
        <f>IF(325&gt;=DeliverStart,ExpContractPerUnit*TotalUnits/12*LQ$8*LQ$11,0)</f>
        <v/>
      </c>
      <c r="LR30" s="218">
        <f>IF(326&gt;=DeliverStart,ExpContractPerUnit*TotalUnits/12*LR$8*LR$11,0)</f>
        <v/>
      </c>
      <c r="LS30" s="218">
        <f>IF(327&gt;=DeliverStart,ExpContractPerUnit*TotalUnits/12*LS$8*LS$11,0)</f>
        <v/>
      </c>
      <c r="LT30" s="218">
        <f>IF(328&gt;=DeliverStart,ExpContractPerUnit*TotalUnits/12*LT$8*LT$11,0)</f>
        <v/>
      </c>
      <c r="LU30" s="218">
        <f>IF(329&gt;=DeliverStart,ExpContractPerUnit*TotalUnits/12*LU$8*LU$11,0)</f>
        <v/>
      </c>
      <c r="LV30" s="218">
        <f>IF(330&gt;=DeliverStart,ExpContractPerUnit*TotalUnits/12*LV$8*LV$11,0)</f>
        <v/>
      </c>
      <c r="LW30" s="218">
        <f>IF(331&gt;=DeliverStart,ExpContractPerUnit*TotalUnits/12*LW$8*LW$11,0)</f>
        <v/>
      </c>
      <c r="LX30" s="218">
        <f>IF(332&gt;=DeliverStart,ExpContractPerUnit*TotalUnits/12*LX$8*LX$11,0)</f>
        <v/>
      </c>
      <c r="LY30" s="218">
        <f>IF(333&gt;=DeliverStart,ExpContractPerUnit*TotalUnits/12*LY$8*LY$11,0)</f>
        <v/>
      </c>
      <c r="LZ30" s="218">
        <f>IF(334&gt;=DeliverStart,ExpContractPerUnit*TotalUnits/12*LZ$8*LZ$11,0)</f>
        <v/>
      </c>
      <c r="MA30" s="218">
        <f>IF(335&gt;=DeliverStart,ExpContractPerUnit*TotalUnits/12*MA$8*MA$11,0)</f>
        <v/>
      </c>
      <c r="MB30" s="218">
        <f>IF(336&gt;=DeliverStart,ExpContractPerUnit*TotalUnits/12*MB$8*MB$11,0)</f>
        <v/>
      </c>
      <c r="MC30" s="218">
        <f>IF(337&gt;=DeliverStart,ExpContractPerUnit*TotalUnits/12*MC$8*MC$11,0)</f>
        <v/>
      </c>
      <c r="MD30" s="218">
        <f>IF(338&gt;=DeliverStart,ExpContractPerUnit*TotalUnits/12*MD$8*MD$11,0)</f>
        <v/>
      </c>
      <c r="ME30" s="218">
        <f>IF(339&gt;=DeliverStart,ExpContractPerUnit*TotalUnits/12*ME$8*ME$11,0)</f>
        <v/>
      </c>
      <c r="MF30" s="218">
        <f>IF(340&gt;=DeliverStart,ExpContractPerUnit*TotalUnits/12*MF$8*MF$11,0)</f>
        <v/>
      </c>
      <c r="MG30" s="218">
        <f>IF(341&gt;=DeliverStart,ExpContractPerUnit*TotalUnits/12*MG$8*MG$11,0)</f>
        <v/>
      </c>
      <c r="MH30" s="218">
        <f>IF(342&gt;=DeliverStart,ExpContractPerUnit*TotalUnits/12*MH$8*MH$11,0)</f>
        <v/>
      </c>
      <c r="MI30" s="218">
        <f>IF(343&gt;=DeliverStart,ExpContractPerUnit*TotalUnits/12*MI$8*MI$11,0)</f>
        <v/>
      </c>
      <c r="MJ30" s="218">
        <f>IF(344&gt;=DeliverStart,ExpContractPerUnit*TotalUnits/12*MJ$8*MJ$11,0)</f>
        <v/>
      </c>
      <c r="MK30" s="218">
        <f>IF(345&gt;=DeliverStart,ExpContractPerUnit*TotalUnits/12*MK$8*MK$11,0)</f>
        <v/>
      </c>
      <c r="ML30" s="218">
        <f>IF(346&gt;=DeliverStart,ExpContractPerUnit*TotalUnits/12*ML$8*ML$11,0)</f>
        <v/>
      </c>
      <c r="MM30" s="218">
        <f>IF(347&gt;=DeliverStart,ExpContractPerUnit*TotalUnits/12*MM$8*MM$11,0)</f>
        <v/>
      </c>
      <c r="MN30" s="218">
        <f>IF(348&gt;=DeliverStart,ExpContractPerUnit*TotalUnits/12*MN$8*MN$11,0)</f>
        <v/>
      </c>
      <c r="MO30" s="218">
        <f>IF(349&gt;=DeliverStart,ExpContractPerUnit*TotalUnits/12*MO$8*MO$11,0)</f>
        <v/>
      </c>
      <c r="MP30" s="218">
        <f>IF(350&gt;=DeliverStart,ExpContractPerUnit*TotalUnits/12*MP$8*MP$11,0)</f>
        <v/>
      </c>
      <c r="MQ30" s="218">
        <f>IF(351&gt;=DeliverStart,ExpContractPerUnit*TotalUnits/12*MQ$8*MQ$11,0)</f>
        <v/>
      </c>
      <c r="MR30" s="218">
        <f>IF(352&gt;=DeliverStart,ExpContractPerUnit*TotalUnits/12*MR$8*MR$11,0)</f>
        <v/>
      </c>
      <c r="MS30" s="218">
        <f>IF(353&gt;=DeliverStart,ExpContractPerUnit*TotalUnits/12*MS$8*MS$11,0)</f>
        <v/>
      </c>
      <c r="MT30" s="218">
        <f>IF(354&gt;=DeliverStart,ExpContractPerUnit*TotalUnits/12*MT$8*MT$11,0)</f>
        <v/>
      </c>
      <c r="MU30" s="218">
        <f>IF(355&gt;=DeliverStart,ExpContractPerUnit*TotalUnits/12*MU$8*MU$11,0)</f>
        <v/>
      </c>
      <c r="MV30" s="218">
        <f>IF(356&gt;=DeliverStart,ExpContractPerUnit*TotalUnits/12*MV$8*MV$11,0)</f>
        <v/>
      </c>
      <c r="MW30" s="218">
        <f>IF(357&gt;=DeliverStart,ExpContractPerUnit*TotalUnits/12*MW$8*MW$11,0)</f>
        <v/>
      </c>
      <c r="MX30" s="218">
        <f>IF(358&gt;=DeliverStart,ExpContractPerUnit*TotalUnits/12*MX$8*MX$11,0)</f>
        <v/>
      </c>
      <c r="MY30" s="218">
        <f>IF(359&gt;=DeliverStart,ExpContractPerUnit*TotalUnits/12*MY$8*MY$11,0)</f>
        <v/>
      </c>
      <c r="MZ30" s="218">
        <f>IF(360&gt;=DeliverStart,ExpContractPerUnit*TotalUnits/12*MZ$8*MZ$11,0)</f>
        <v/>
      </c>
      <c r="NA30" s="218">
        <f>IF(361&gt;=DeliverStart,ExpContractPerUnit*TotalUnits/12*NA$8*NA$11,0)</f>
        <v/>
      </c>
      <c r="NB30" s="218">
        <f>IF(362&gt;=DeliverStart,ExpContractPerUnit*TotalUnits/12*NB$8*NB$11,0)</f>
        <v/>
      </c>
      <c r="NC30" s="218">
        <f>IF(363&gt;=DeliverStart,ExpContractPerUnit*TotalUnits/12*NC$8*NC$11,0)</f>
        <v/>
      </c>
      <c r="ND30" s="218">
        <f>IF(364&gt;=DeliverStart,ExpContractPerUnit*TotalUnits/12*ND$8*ND$11,0)</f>
        <v/>
      </c>
      <c r="NE30" s="218">
        <f>IF(365&gt;=DeliverStart,ExpContractPerUnit*TotalUnits/12*NE$8*NE$11,0)</f>
        <v/>
      </c>
      <c r="NF30" s="218">
        <f>IF(366&gt;=DeliverStart,ExpContractPerUnit*TotalUnits/12*NF$8*NF$11,0)</f>
        <v/>
      </c>
      <c r="NG30" s="218">
        <f>IF(367&gt;=DeliverStart,ExpContractPerUnit*TotalUnits/12*NG$8*NG$11,0)</f>
        <v/>
      </c>
      <c r="NH30" s="218">
        <f>IF(368&gt;=DeliverStart,ExpContractPerUnit*TotalUnits/12*NH$8*NH$11,0)</f>
        <v/>
      </c>
      <c r="NI30" s="218">
        <f>IF(369&gt;=DeliverStart,ExpContractPerUnit*TotalUnits/12*NI$8*NI$11,0)</f>
        <v/>
      </c>
      <c r="NJ30" s="218">
        <f>IF(370&gt;=DeliverStart,ExpContractPerUnit*TotalUnits/12*NJ$8*NJ$11,0)</f>
        <v/>
      </c>
      <c r="NK30" s="218">
        <f>IF(371&gt;=DeliverStart,ExpContractPerUnit*TotalUnits/12*NK$8*NK$11,0)</f>
        <v/>
      </c>
      <c r="NL30" s="225">
        <f>IF(372&gt;=DeliverStart,ExpContractPerUnit*TotalUnits/12*NL$8*NL$11,0)</f>
        <v/>
      </c>
    </row>
    <row r="31">
      <c r="B31" s="36" t="inlineStr">
        <is>
          <t>Payroll (elevated)</t>
        </is>
      </c>
      <c r="D31" s="266">
        <f>SUM(E31:NL31)</f>
        <v/>
      </c>
      <c r="E31" s="218">
        <f>IF(1&gt;=DeliverStart,ExpPayrollPerUnit*TotalUnits/12*E$8*E$12,0)</f>
        <v/>
      </c>
      <c r="F31" s="218">
        <f>IF(2&gt;=DeliverStart,ExpPayrollPerUnit*TotalUnits/12*F$8*F$12,0)</f>
        <v/>
      </c>
      <c r="G31" s="218">
        <f>IF(3&gt;=DeliverStart,ExpPayrollPerUnit*TotalUnits/12*G$8*G$12,0)</f>
        <v/>
      </c>
      <c r="H31" s="218">
        <f>IF(4&gt;=DeliverStart,ExpPayrollPerUnit*TotalUnits/12*H$8*H$12,0)</f>
        <v/>
      </c>
      <c r="I31" s="218">
        <f>IF(5&gt;=DeliverStart,ExpPayrollPerUnit*TotalUnits/12*I$8*I$12,0)</f>
        <v/>
      </c>
      <c r="J31" s="218">
        <f>IF(6&gt;=DeliverStart,ExpPayrollPerUnit*TotalUnits/12*J$8*J$12,0)</f>
        <v/>
      </c>
      <c r="K31" s="218">
        <f>IF(7&gt;=DeliverStart,ExpPayrollPerUnit*TotalUnits/12*K$8*K$12,0)</f>
        <v/>
      </c>
      <c r="L31" s="218">
        <f>IF(8&gt;=DeliverStart,ExpPayrollPerUnit*TotalUnits/12*L$8*L$12,0)</f>
        <v/>
      </c>
      <c r="M31" s="218">
        <f>IF(9&gt;=DeliverStart,ExpPayrollPerUnit*TotalUnits/12*M$8*M$12,0)</f>
        <v/>
      </c>
      <c r="N31" s="218">
        <f>IF(10&gt;=DeliverStart,ExpPayrollPerUnit*TotalUnits/12*N$8*N$12,0)</f>
        <v/>
      </c>
      <c r="O31" s="218">
        <f>IF(11&gt;=DeliverStart,ExpPayrollPerUnit*TotalUnits/12*O$8*O$12,0)</f>
        <v/>
      </c>
      <c r="P31" s="218">
        <f>IF(12&gt;=DeliverStart,ExpPayrollPerUnit*TotalUnits/12*P$8*P$12,0)</f>
        <v/>
      </c>
      <c r="Q31" s="218">
        <f>IF(13&gt;=DeliverStart,ExpPayrollPerUnit*TotalUnits/12*Q$8*Q$12,0)</f>
        <v/>
      </c>
      <c r="R31" s="218">
        <f>IF(14&gt;=DeliverStart,ExpPayrollPerUnit*TotalUnits/12*R$8*R$12,0)</f>
        <v/>
      </c>
      <c r="S31" s="218">
        <f>IF(15&gt;=DeliverStart,ExpPayrollPerUnit*TotalUnits/12*S$8*S$12,0)</f>
        <v/>
      </c>
      <c r="T31" s="218">
        <f>IF(16&gt;=DeliverStart,ExpPayrollPerUnit*TotalUnits/12*T$8*T$12,0)</f>
        <v/>
      </c>
      <c r="U31" s="218">
        <f>IF(17&gt;=DeliverStart,ExpPayrollPerUnit*TotalUnits/12*U$8*U$12,0)</f>
        <v/>
      </c>
      <c r="V31" s="218">
        <f>IF(18&gt;=DeliverStart,ExpPayrollPerUnit*TotalUnits/12*V$8*V$12,0)</f>
        <v/>
      </c>
      <c r="W31" s="218">
        <f>IF(19&gt;=DeliverStart,ExpPayrollPerUnit*TotalUnits/12*W$8*W$12,0)</f>
        <v/>
      </c>
      <c r="X31" s="218">
        <f>IF(20&gt;=DeliverStart,ExpPayrollPerUnit*TotalUnits/12*X$8*X$12,0)</f>
        <v/>
      </c>
      <c r="Y31" s="218">
        <f>IF(21&gt;=DeliverStart,ExpPayrollPerUnit*TotalUnits/12*Y$8*Y$12,0)</f>
        <v/>
      </c>
      <c r="Z31" s="218">
        <f>IF(22&gt;=DeliverStart,ExpPayrollPerUnit*TotalUnits/12*Z$8*Z$12,0)</f>
        <v/>
      </c>
      <c r="AA31" s="218">
        <f>IF(23&gt;=DeliverStart,ExpPayrollPerUnit*TotalUnits/12*AA$8*AA$12,0)</f>
        <v/>
      </c>
      <c r="AB31" s="218">
        <f>IF(24&gt;=DeliverStart,ExpPayrollPerUnit*TotalUnits/12*AB$8*AB$12,0)</f>
        <v/>
      </c>
      <c r="AC31" s="218">
        <f>IF(25&gt;=DeliverStart,ExpPayrollPerUnit*TotalUnits/12*AC$8*AC$12,0)</f>
        <v/>
      </c>
      <c r="AD31" s="218">
        <f>IF(26&gt;=DeliverStart,ExpPayrollPerUnit*TotalUnits/12*AD$8*AD$12,0)</f>
        <v/>
      </c>
      <c r="AE31" s="218">
        <f>IF(27&gt;=DeliverStart,ExpPayrollPerUnit*TotalUnits/12*AE$8*AE$12,0)</f>
        <v/>
      </c>
      <c r="AF31" s="218">
        <f>IF(28&gt;=DeliverStart,ExpPayrollPerUnit*TotalUnits/12*AF$8*AF$12,0)</f>
        <v/>
      </c>
      <c r="AG31" s="218">
        <f>IF(29&gt;=DeliverStart,ExpPayrollPerUnit*TotalUnits/12*AG$8*AG$12,0)</f>
        <v/>
      </c>
      <c r="AH31" s="218">
        <f>IF(30&gt;=DeliverStart,ExpPayrollPerUnit*TotalUnits/12*AH$8*AH$12,0)</f>
        <v/>
      </c>
      <c r="AI31" s="218">
        <f>IF(31&gt;=DeliverStart,ExpPayrollPerUnit*TotalUnits/12*AI$8*AI$12,0)</f>
        <v/>
      </c>
      <c r="AJ31" s="218">
        <f>IF(32&gt;=DeliverStart,ExpPayrollPerUnit*TotalUnits/12*AJ$8*AJ$12,0)</f>
        <v/>
      </c>
      <c r="AK31" s="218">
        <f>IF(33&gt;=DeliverStart,ExpPayrollPerUnit*TotalUnits/12*AK$8*AK$12,0)</f>
        <v/>
      </c>
      <c r="AL31" s="218">
        <f>IF(34&gt;=DeliverStart,ExpPayrollPerUnit*TotalUnits/12*AL$8*AL$12,0)</f>
        <v/>
      </c>
      <c r="AM31" s="218">
        <f>IF(35&gt;=DeliverStart,ExpPayrollPerUnit*TotalUnits/12*AM$8*AM$12,0)</f>
        <v/>
      </c>
      <c r="AN31" s="218">
        <f>IF(36&gt;=DeliverStart,ExpPayrollPerUnit*TotalUnits/12*AN$8*AN$12,0)</f>
        <v/>
      </c>
      <c r="AO31" s="218">
        <f>IF(37&gt;=DeliverStart,ExpPayrollPerUnit*TotalUnits/12*AO$8*AO$12,0)</f>
        <v/>
      </c>
      <c r="AP31" s="218">
        <f>IF(38&gt;=DeliverStart,ExpPayrollPerUnit*TotalUnits/12*AP$8*AP$12,0)</f>
        <v/>
      </c>
      <c r="AQ31" s="218">
        <f>IF(39&gt;=DeliverStart,ExpPayrollPerUnit*TotalUnits/12*AQ$8*AQ$12,0)</f>
        <v/>
      </c>
      <c r="AR31" s="218">
        <f>IF(40&gt;=DeliverStart,ExpPayrollPerUnit*TotalUnits/12*AR$8*AR$12,0)</f>
        <v/>
      </c>
      <c r="AS31" s="218">
        <f>IF(41&gt;=DeliverStart,ExpPayrollPerUnit*TotalUnits/12*AS$8*AS$12,0)</f>
        <v/>
      </c>
      <c r="AT31" s="218">
        <f>IF(42&gt;=DeliverStart,ExpPayrollPerUnit*TotalUnits/12*AT$8*AT$12,0)</f>
        <v/>
      </c>
      <c r="AU31" s="218">
        <f>IF(43&gt;=DeliverStart,ExpPayrollPerUnit*TotalUnits/12*AU$8*AU$12,0)</f>
        <v/>
      </c>
      <c r="AV31" s="218">
        <f>IF(44&gt;=DeliverStart,ExpPayrollPerUnit*TotalUnits/12*AV$8*AV$12,0)</f>
        <v/>
      </c>
      <c r="AW31" s="218">
        <f>IF(45&gt;=DeliverStart,ExpPayrollPerUnit*TotalUnits/12*AW$8*AW$12,0)</f>
        <v/>
      </c>
      <c r="AX31" s="218">
        <f>IF(46&gt;=DeliverStart,ExpPayrollPerUnit*TotalUnits/12*AX$8*AX$12,0)</f>
        <v/>
      </c>
      <c r="AY31" s="218">
        <f>IF(47&gt;=DeliverStart,ExpPayrollPerUnit*TotalUnits/12*AY$8*AY$12,0)</f>
        <v/>
      </c>
      <c r="AZ31" s="218">
        <f>IF(48&gt;=DeliverStart,ExpPayrollPerUnit*TotalUnits/12*AZ$8*AZ$12,0)</f>
        <v/>
      </c>
      <c r="BA31" s="218">
        <f>IF(49&gt;=DeliverStart,ExpPayrollPerUnit*TotalUnits/12*BA$8*BA$12,0)</f>
        <v/>
      </c>
      <c r="BB31" s="218">
        <f>IF(50&gt;=DeliverStart,ExpPayrollPerUnit*TotalUnits/12*BB$8*BB$12,0)</f>
        <v/>
      </c>
      <c r="BC31" s="218">
        <f>IF(51&gt;=DeliverStart,ExpPayrollPerUnit*TotalUnits/12*BC$8*BC$12,0)</f>
        <v/>
      </c>
      <c r="BD31" s="218">
        <f>IF(52&gt;=DeliverStart,ExpPayrollPerUnit*TotalUnits/12*BD$8*BD$12,0)</f>
        <v/>
      </c>
      <c r="BE31" s="218">
        <f>IF(53&gt;=DeliverStart,ExpPayrollPerUnit*TotalUnits/12*BE$8*BE$12,0)</f>
        <v/>
      </c>
      <c r="BF31" s="218">
        <f>IF(54&gt;=DeliverStart,ExpPayrollPerUnit*TotalUnits/12*BF$8*BF$12,0)</f>
        <v/>
      </c>
      <c r="BG31" s="218">
        <f>IF(55&gt;=DeliverStart,ExpPayrollPerUnit*TotalUnits/12*BG$8*BG$12,0)</f>
        <v/>
      </c>
      <c r="BH31" s="218">
        <f>IF(56&gt;=DeliverStart,ExpPayrollPerUnit*TotalUnits/12*BH$8*BH$12,0)</f>
        <v/>
      </c>
      <c r="BI31" s="218">
        <f>IF(57&gt;=DeliverStart,ExpPayrollPerUnit*TotalUnits/12*BI$8*BI$12,0)</f>
        <v/>
      </c>
      <c r="BJ31" s="218">
        <f>IF(58&gt;=DeliverStart,ExpPayrollPerUnit*TotalUnits/12*BJ$8*BJ$12,0)</f>
        <v/>
      </c>
      <c r="BK31" s="218">
        <f>IF(59&gt;=DeliverStart,ExpPayrollPerUnit*TotalUnits/12*BK$8*BK$12,0)</f>
        <v/>
      </c>
      <c r="BL31" s="218">
        <f>IF(60&gt;=DeliverStart,ExpPayrollPerUnit*TotalUnits/12*BL$8*BL$12,0)</f>
        <v/>
      </c>
      <c r="BM31" s="218">
        <f>IF(61&gt;=DeliverStart,ExpPayrollPerUnit*TotalUnits/12*BM$8*BM$12,0)</f>
        <v/>
      </c>
      <c r="BN31" s="218">
        <f>IF(62&gt;=DeliverStart,ExpPayrollPerUnit*TotalUnits/12*BN$8*BN$12,0)</f>
        <v/>
      </c>
      <c r="BO31" s="218">
        <f>IF(63&gt;=DeliverStart,ExpPayrollPerUnit*TotalUnits/12*BO$8*BO$12,0)</f>
        <v/>
      </c>
      <c r="BP31" s="218">
        <f>IF(64&gt;=DeliverStart,ExpPayrollPerUnit*TotalUnits/12*BP$8*BP$12,0)</f>
        <v/>
      </c>
      <c r="BQ31" s="218">
        <f>IF(65&gt;=DeliverStart,ExpPayrollPerUnit*TotalUnits/12*BQ$8*BQ$12,0)</f>
        <v/>
      </c>
      <c r="BR31" s="218">
        <f>IF(66&gt;=DeliverStart,ExpPayrollPerUnit*TotalUnits/12*BR$8*BR$12,0)</f>
        <v/>
      </c>
      <c r="BS31" s="218">
        <f>IF(67&gt;=DeliverStart,ExpPayrollPerUnit*TotalUnits/12*BS$8*BS$12,0)</f>
        <v/>
      </c>
      <c r="BT31" s="218">
        <f>IF(68&gt;=DeliverStart,ExpPayrollPerUnit*TotalUnits/12*BT$8*BT$12,0)</f>
        <v/>
      </c>
      <c r="BU31" s="218">
        <f>IF(69&gt;=DeliverStart,ExpPayrollPerUnit*TotalUnits/12*BU$8*BU$12,0)</f>
        <v/>
      </c>
      <c r="BV31" s="218">
        <f>IF(70&gt;=DeliverStart,ExpPayrollPerUnit*TotalUnits/12*BV$8*BV$12,0)</f>
        <v/>
      </c>
      <c r="BW31" s="218">
        <f>IF(71&gt;=DeliverStart,ExpPayrollPerUnit*TotalUnits/12*BW$8*BW$12,0)</f>
        <v/>
      </c>
      <c r="BX31" s="218">
        <f>IF(72&gt;=DeliverStart,ExpPayrollPerUnit*TotalUnits/12*BX$8*BX$12,0)</f>
        <v/>
      </c>
      <c r="BY31" s="218">
        <f>IF(73&gt;=DeliverStart,ExpPayrollPerUnit*TotalUnits/12*BY$8*BY$12,0)</f>
        <v/>
      </c>
      <c r="BZ31" s="218">
        <f>IF(74&gt;=DeliverStart,ExpPayrollPerUnit*TotalUnits/12*BZ$8*BZ$12,0)</f>
        <v/>
      </c>
      <c r="CA31" s="218">
        <f>IF(75&gt;=DeliverStart,ExpPayrollPerUnit*TotalUnits/12*CA$8*CA$12,0)</f>
        <v/>
      </c>
      <c r="CB31" s="218">
        <f>IF(76&gt;=DeliverStart,ExpPayrollPerUnit*TotalUnits/12*CB$8*CB$12,0)</f>
        <v/>
      </c>
      <c r="CC31" s="218">
        <f>IF(77&gt;=DeliverStart,ExpPayrollPerUnit*TotalUnits/12*CC$8*CC$12,0)</f>
        <v/>
      </c>
      <c r="CD31" s="218">
        <f>IF(78&gt;=DeliverStart,ExpPayrollPerUnit*TotalUnits/12*CD$8*CD$12,0)</f>
        <v/>
      </c>
      <c r="CE31" s="218">
        <f>IF(79&gt;=DeliverStart,ExpPayrollPerUnit*TotalUnits/12*CE$8*CE$12,0)</f>
        <v/>
      </c>
      <c r="CF31" s="218">
        <f>IF(80&gt;=DeliverStart,ExpPayrollPerUnit*TotalUnits/12*CF$8*CF$12,0)</f>
        <v/>
      </c>
      <c r="CG31" s="218">
        <f>IF(81&gt;=DeliverStart,ExpPayrollPerUnit*TotalUnits/12*CG$8*CG$12,0)</f>
        <v/>
      </c>
      <c r="CH31" s="218">
        <f>IF(82&gt;=DeliverStart,ExpPayrollPerUnit*TotalUnits/12*CH$8*CH$12,0)</f>
        <v/>
      </c>
      <c r="CI31" s="218">
        <f>IF(83&gt;=DeliverStart,ExpPayrollPerUnit*TotalUnits/12*CI$8*CI$12,0)</f>
        <v/>
      </c>
      <c r="CJ31" s="218">
        <f>IF(84&gt;=DeliverStart,ExpPayrollPerUnit*TotalUnits/12*CJ$8*CJ$12,0)</f>
        <v/>
      </c>
      <c r="CK31" s="218">
        <f>IF(85&gt;=DeliverStart,ExpPayrollPerUnit*TotalUnits/12*CK$8*CK$12,0)</f>
        <v/>
      </c>
      <c r="CL31" s="218">
        <f>IF(86&gt;=DeliverStart,ExpPayrollPerUnit*TotalUnits/12*CL$8*CL$12,0)</f>
        <v/>
      </c>
      <c r="CM31" s="218">
        <f>IF(87&gt;=DeliverStart,ExpPayrollPerUnit*TotalUnits/12*CM$8*CM$12,0)</f>
        <v/>
      </c>
      <c r="CN31" s="218">
        <f>IF(88&gt;=DeliverStart,ExpPayrollPerUnit*TotalUnits/12*CN$8*CN$12,0)</f>
        <v/>
      </c>
      <c r="CO31" s="218">
        <f>IF(89&gt;=DeliverStart,ExpPayrollPerUnit*TotalUnits/12*CO$8*CO$12,0)</f>
        <v/>
      </c>
      <c r="CP31" s="218">
        <f>IF(90&gt;=DeliverStart,ExpPayrollPerUnit*TotalUnits/12*CP$8*CP$12,0)</f>
        <v/>
      </c>
      <c r="CQ31" s="218">
        <f>IF(91&gt;=DeliverStart,ExpPayrollPerUnit*TotalUnits/12*CQ$8*CQ$12,0)</f>
        <v/>
      </c>
      <c r="CR31" s="218">
        <f>IF(92&gt;=DeliverStart,ExpPayrollPerUnit*TotalUnits/12*CR$8*CR$12,0)</f>
        <v/>
      </c>
      <c r="CS31" s="218">
        <f>IF(93&gt;=DeliverStart,ExpPayrollPerUnit*TotalUnits/12*CS$8*CS$12,0)</f>
        <v/>
      </c>
      <c r="CT31" s="218">
        <f>IF(94&gt;=DeliverStart,ExpPayrollPerUnit*TotalUnits/12*CT$8*CT$12,0)</f>
        <v/>
      </c>
      <c r="CU31" s="218">
        <f>IF(95&gt;=DeliverStart,ExpPayrollPerUnit*TotalUnits/12*CU$8*CU$12,0)</f>
        <v/>
      </c>
      <c r="CV31" s="218">
        <f>IF(96&gt;=DeliverStart,ExpPayrollPerUnit*TotalUnits/12*CV$8*CV$12,0)</f>
        <v/>
      </c>
      <c r="CW31" s="218">
        <f>IF(97&gt;=DeliverStart,ExpPayrollPerUnit*TotalUnits/12*CW$8*CW$12,0)</f>
        <v/>
      </c>
      <c r="CX31" s="218">
        <f>IF(98&gt;=DeliverStart,ExpPayrollPerUnit*TotalUnits/12*CX$8*CX$12,0)</f>
        <v/>
      </c>
      <c r="CY31" s="218">
        <f>IF(99&gt;=DeliverStart,ExpPayrollPerUnit*TotalUnits/12*CY$8*CY$12,0)</f>
        <v/>
      </c>
      <c r="CZ31" s="218">
        <f>IF(100&gt;=DeliverStart,ExpPayrollPerUnit*TotalUnits/12*CZ$8*CZ$12,0)</f>
        <v/>
      </c>
      <c r="DA31" s="218">
        <f>IF(101&gt;=DeliverStart,ExpPayrollPerUnit*TotalUnits/12*DA$8*DA$12,0)</f>
        <v/>
      </c>
      <c r="DB31" s="218">
        <f>IF(102&gt;=DeliverStart,ExpPayrollPerUnit*TotalUnits/12*DB$8*DB$12,0)</f>
        <v/>
      </c>
      <c r="DC31" s="218">
        <f>IF(103&gt;=DeliverStart,ExpPayrollPerUnit*TotalUnits/12*DC$8*DC$12,0)</f>
        <v/>
      </c>
      <c r="DD31" s="218">
        <f>IF(104&gt;=DeliverStart,ExpPayrollPerUnit*TotalUnits/12*DD$8*DD$12,0)</f>
        <v/>
      </c>
      <c r="DE31" s="218">
        <f>IF(105&gt;=DeliverStart,ExpPayrollPerUnit*TotalUnits/12*DE$8*DE$12,0)</f>
        <v/>
      </c>
      <c r="DF31" s="218">
        <f>IF(106&gt;=DeliverStart,ExpPayrollPerUnit*TotalUnits/12*DF$8*DF$12,0)</f>
        <v/>
      </c>
      <c r="DG31" s="218">
        <f>IF(107&gt;=DeliverStart,ExpPayrollPerUnit*TotalUnits/12*DG$8*DG$12,0)</f>
        <v/>
      </c>
      <c r="DH31" s="218">
        <f>IF(108&gt;=DeliverStart,ExpPayrollPerUnit*TotalUnits/12*DH$8*DH$12,0)</f>
        <v/>
      </c>
      <c r="DI31" s="218">
        <f>IF(109&gt;=DeliverStart,ExpPayrollPerUnit*TotalUnits/12*DI$8*DI$12,0)</f>
        <v/>
      </c>
      <c r="DJ31" s="218">
        <f>IF(110&gt;=DeliverStart,ExpPayrollPerUnit*TotalUnits/12*DJ$8*DJ$12,0)</f>
        <v/>
      </c>
      <c r="DK31" s="218">
        <f>IF(111&gt;=DeliverStart,ExpPayrollPerUnit*TotalUnits/12*DK$8*DK$12,0)</f>
        <v/>
      </c>
      <c r="DL31" s="218">
        <f>IF(112&gt;=DeliverStart,ExpPayrollPerUnit*TotalUnits/12*DL$8*DL$12,0)</f>
        <v/>
      </c>
      <c r="DM31" s="218">
        <f>IF(113&gt;=DeliverStart,ExpPayrollPerUnit*TotalUnits/12*DM$8*DM$12,0)</f>
        <v/>
      </c>
      <c r="DN31" s="218">
        <f>IF(114&gt;=DeliverStart,ExpPayrollPerUnit*TotalUnits/12*DN$8*DN$12,0)</f>
        <v/>
      </c>
      <c r="DO31" s="218">
        <f>IF(115&gt;=DeliverStart,ExpPayrollPerUnit*TotalUnits/12*DO$8*DO$12,0)</f>
        <v/>
      </c>
      <c r="DP31" s="218">
        <f>IF(116&gt;=DeliverStart,ExpPayrollPerUnit*TotalUnits/12*DP$8*DP$12,0)</f>
        <v/>
      </c>
      <c r="DQ31" s="218">
        <f>IF(117&gt;=DeliverStart,ExpPayrollPerUnit*TotalUnits/12*DQ$8*DQ$12,0)</f>
        <v/>
      </c>
      <c r="DR31" s="218">
        <f>IF(118&gt;=DeliverStart,ExpPayrollPerUnit*TotalUnits/12*DR$8*DR$12,0)</f>
        <v/>
      </c>
      <c r="DS31" s="218">
        <f>IF(119&gt;=DeliverStart,ExpPayrollPerUnit*TotalUnits/12*DS$8*DS$12,0)</f>
        <v/>
      </c>
      <c r="DT31" s="218">
        <f>IF(120&gt;=DeliverStart,ExpPayrollPerUnit*TotalUnits/12*DT$8*DT$12,0)</f>
        <v/>
      </c>
      <c r="DU31" s="218">
        <f>IF(121&gt;=DeliverStart,ExpPayrollPerUnit*TotalUnits/12*DU$8*DU$12,0)</f>
        <v/>
      </c>
      <c r="DV31" s="218">
        <f>IF(122&gt;=DeliverStart,ExpPayrollPerUnit*TotalUnits/12*DV$8*DV$12,0)</f>
        <v/>
      </c>
      <c r="DW31" s="218">
        <f>IF(123&gt;=DeliverStart,ExpPayrollPerUnit*TotalUnits/12*DW$8*DW$12,0)</f>
        <v/>
      </c>
      <c r="DX31" s="218">
        <f>IF(124&gt;=DeliverStart,ExpPayrollPerUnit*TotalUnits/12*DX$8*DX$12,0)</f>
        <v/>
      </c>
      <c r="DY31" s="218">
        <f>IF(125&gt;=DeliverStart,ExpPayrollPerUnit*TotalUnits/12*DY$8*DY$12,0)</f>
        <v/>
      </c>
      <c r="DZ31" s="218">
        <f>IF(126&gt;=DeliverStart,ExpPayrollPerUnit*TotalUnits/12*DZ$8*DZ$12,0)</f>
        <v/>
      </c>
      <c r="EA31" s="218">
        <f>IF(127&gt;=DeliverStart,ExpPayrollPerUnit*TotalUnits/12*EA$8*EA$12,0)</f>
        <v/>
      </c>
      <c r="EB31" s="218">
        <f>IF(128&gt;=DeliverStart,ExpPayrollPerUnit*TotalUnits/12*EB$8*EB$12,0)</f>
        <v/>
      </c>
      <c r="EC31" s="218">
        <f>IF(129&gt;=DeliverStart,ExpPayrollPerUnit*TotalUnits/12*EC$8*EC$12,0)</f>
        <v/>
      </c>
      <c r="ED31" s="218">
        <f>IF(130&gt;=DeliverStart,ExpPayrollPerUnit*TotalUnits/12*ED$8*ED$12,0)</f>
        <v/>
      </c>
      <c r="EE31" s="218">
        <f>IF(131&gt;=DeliverStart,ExpPayrollPerUnit*TotalUnits/12*EE$8*EE$12,0)</f>
        <v/>
      </c>
      <c r="EF31" s="218">
        <f>IF(132&gt;=DeliverStart,ExpPayrollPerUnit*TotalUnits/12*EF$8*EF$12,0)</f>
        <v/>
      </c>
      <c r="EG31" s="218">
        <f>IF(133&gt;=DeliverStart,ExpPayrollPerUnit*TotalUnits/12*EG$8*EG$12,0)</f>
        <v/>
      </c>
      <c r="EH31" s="218">
        <f>IF(134&gt;=DeliverStart,ExpPayrollPerUnit*TotalUnits/12*EH$8*EH$12,0)</f>
        <v/>
      </c>
      <c r="EI31" s="218">
        <f>IF(135&gt;=DeliverStart,ExpPayrollPerUnit*TotalUnits/12*EI$8*EI$12,0)</f>
        <v/>
      </c>
      <c r="EJ31" s="218">
        <f>IF(136&gt;=DeliverStart,ExpPayrollPerUnit*TotalUnits/12*EJ$8*EJ$12,0)</f>
        <v/>
      </c>
      <c r="EK31" s="218">
        <f>IF(137&gt;=DeliverStart,ExpPayrollPerUnit*TotalUnits/12*EK$8*EK$12,0)</f>
        <v/>
      </c>
      <c r="EL31" s="218">
        <f>IF(138&gt;=DeliverStart,ExpPayrollPerUnit*TotalUnits/12*EL$8*EL$12,0)</f>
        <v/>
      </c>
      <c r="EM31" s="218">
        <f>IF(139&gt;=DeliverStart,ExpPayrollPerUnit*TotalUnits/12*EM$8*EM$12,0)</f>
        <v/>
      </c>
      <c r="EN31" s="218">
        <f>IF(140&gt;=DeliverStart,ExpPayrollPerUnit*TotalUnits/12*EN$8*EN$12,0)</f>
        <v/>
      </c>
      <c r="EO31" s="218">
        <f>IF(141&gt;=DeliverStart,ExpPayrollPerUnit*TotalUnits/12*EO$8*EO$12,0)</f>
        <v/>
      </c>
      <c r="EP31" s="218">
        <f>IF(142&gt;=DeliverStart,ExpPayrollPerUnit*TotalUnits/12*EP$8*EP$12,0)</f>
        <v/>
      </c>
      <c r="EQ31" s="218">
        <f>IF(143&gt;=DeliverStart,ExpPayrollPerUnit*TotalUnits/12*EQ$8*EQ$12,0)</f>
        <v/>
      </c>
      <c r="ER31" s="218">
        <f>IF(144&gt;=DeliverStart,ExpPayrollPerUnit*TotalUnits/12*ER$8*ER$12,0)</f>
        <v/>
      </c>
      <c r="ES31" s="218">
        <f>IF(145&gt;=DeliverStart,ExpPayrollPerUnit*TotalUnits/12*ES$8*ES$12,0)</f>
        <v/>
      </c>
      <c r="ET31" s="218">
        <f>IF(146&gt;=DeliverStart,ExpPayrollPerUnit*TotalUnits/12*ET$8*ET$12,0)</f>
        <v/>
      </c>
      <c r="EU31" s="218">
        <f>IF(147&gt;=DeliverStart,ExpPayrollPerUnit*TotalUnits/12*EU$8*EU$12,0)</f>
        <v/>
      </c>
      <c r="EV31" s="218">
        <f>IF(148&gt;=DeliverStart,ExpPayrollPerUnit*TotalUnits/12*EV$8*EV$12,0)</f>
        <v/>
      </c>
      <c r="EW31" s="218">
        <f>IF(149&gt;=DeliverStart,ExpPayrollPerUnit*TotalUnits/12*EW$8*EW$12,0)</f>
        <v/>
      </c>
      <c r="EX31" s="218">
        <f>IF(150&gt;=DeliverStart,ExpPayrollPerUnit*TotalUnits/12*EX$8*EX$12,0)</f>
        <v/>
      </c>
      <c r="EY31" s="218">
        <f>IF(151&gt;=DeliverStart,ExpPayrollPerUnit*TotalUnits/12*EY$8*EY$12,0)</f>
        <v/>
      </c>
      <c r="EZ31" s="218">
        <f>IF(152&gt;=DeliverStart,ExpPayrollPerUnit*TotalUnits/12*EZ$8*EZ$12,0)</f>
        <v/>
      </c>
      <c r="FA31" s="218">
        <f>IF(153&gt;=DeliverStart,ExpPayrollPerUnit*TotalUnits/12*FA$8*FA$12,0)</f>
        <v/>
      </c>
      <c r="FB31" s="218">
        <f>IF(154&gt;=DeliverStart,ExpPayrollPerUnit*TotalUnits/12*FB$8*FB$12,0)</f>
        <v/>
      </c>
      <c r="FC31" s="218">
        <f>IF(155&gt;=DeliverStart,ExpPayrollPerUnit*TotalUnits/12*FC$8*FC$12,0)</f>
        <v/>
      </c>
      <c r="FD31" s="218">
        <f>IF(156&gt;=DeliverStart,ExpPayrollPerUnit*TotalUnits/12*FD$8*FD$12,0)</f>
        <v/>
      </c>
      <c r="FE31" s="218">
        <f>IF(157&gt;=DeliverStart,ExpPayrollPerUnit*TotalUnits/12*FE$8*FE$12,0)</f>
        <v/>
      </c>
      <c r="FF31" s="218">
        <f>IF(158&gt;=DeliverStart,ExpPayrollPerUnit*TotalUnits/12*FF$8*FF$12,0)</f>
        <v/>
      </c>
      <c r="FG31" s="218">
        <f>IF(159&gt;=DeliverStart,ExpPayrollPerUnit*TotalUnits/12*FG$8*FG$12,0)</f>
        <v/>
      </c>
      <c r="FH31" s="218">
        <f>IF(160&gt;=DeliverStart,ExpPayrollPerUnit*TotalUnits/12*FH$8*FH$12,0)</f>
        <v/>
      </c>
      <c r="FI31" s="218">
        <f>IF(161&gt;=DeliverStart,ExpPayrollPerUnit*TotalUnits/12*FI$8*FI$12,0)</f>
        <v/>
      </c>
      <c r="FJ31" s="218">
        <f>IF(162&gt;=DeliverStart,ExpPayrollPerUnit*TotalUnits/12*FJ$8*FJ$12,0)</f>
        <v/>
      </c>
      <c r="FK31" s="218">
        <f>IF(163&gt;=DeliverStart,ExpPayrollPerUnit*TotalUnits/12*FK$8*FK$12,0)</f>
        <v/>
      </c>
      <c r="FL31" s="218">
        <f>IF(164&gt;=DeliverStart,ExpPayrollPerUnit*TotalUnits/12*FL$8*FL$12,0)</f>
        <v/>
      </c>
      <c r="FM31" s="218">
        <f>IF(165&gt;=DeliverStart,ExpPayrollPerUnit*TotalUnits/12*FM$8*FM$12,0)</f>
        <v/>
      </c>
      <c r="FN31" s="218">
        <f>IF(166&gt;=DeliverStart,ExpPayrollPerUnit*TotalUnits/12*FN$8*FN$12,0)</f>
        <v/>
      </c>
      <c r="FO31" s="218">
        <f>IF(167&gt;=DeliverStart,ExpPayrollPerUnit*TotalUnits/12*FO$8*FO$12,0)</f>
        <v/>
      </c>
      <c r="FP31" s="218">
        <f>IF(168&gt;=DeliverStart,ExpPayrollPerUnit*TotalUnits/12*FP$8*FP$12,0)</f>
        <v/>
      </c>
      <c r="FQ31" s="218">
        <f>IF(169&gt;=DeliverStart,ExpPayrollPerUnit*TotalUnits/12*FQ$8*FQ$12,0)</f>
        <v/>
      </c>
      <c r="FR31" s="218">
        <f>IF(170&gt;=DeliverStart,ExpPayrollPerUnit*TotalUnits/12*FR$8*FR$12,0)</f>
        <v/>
      </c>
      <c r="FS31" s="218">
        <f>IF(171&gt;=DeliverStart,ExpPayrollPerUnit*TotalUnits/12*FS$8*FS$12,0)</f>
        <v/>
      </c>
      <c r="FT31" s="218">
        <f>IF(172&gt;=DeliverStart,ExpPayrollPerUnit*TotalUnits/12*FT$8*FT$12,0)</f>
        <v/>
      </c>
      <c r="FU31" s="218">
        <f>IF(173&gt;=DeliverStart,ExpPayrollPerUnit*TotalUnits/12*FU$8*FU$12,0)</f>
        <v/>
      </c>
      <c r="FV31" s="218">
        <f>IF(174&gt;=DeliverStart,ExpPayrollPerUnit*TotalUnits/12*FV$8*FV$12,0)</f>
        <v/>
      </c>
      <c r="FW31" s="218">
        <f>IF(175&gt;=DeliverStart,ExpPayrollPerUnit*TotalUnits/12*FW$8*FW$12,0)</f>
        <v/>
      </c>
      <c r="FX31" s="218">
        <f>IF(176&gt;=DeliverStart,ExpPayrollPerUnit*TotalUnits/12*FX$8*FX$12,0)</f>
        <v/>
      </c>
      <c r="FY31" s="218">
        <f>IF(177&gt;=DeliverStart,ExpPayrollPerUnit*TotalUnits/12*FY$8*FY$12,0)</f>
        <v/>
      </c>
      <c r="FZ31" s="218">
        <f>IF(178&gt;=DeliverStart,ExpPayrollPerUnit*TotalUnits/12*FZ$8*FZ$12,0)</f>
        <v/>
      </c>
      <c r="GA31" s="218">
        <f>IF(179&gt;=DeliverStart,ExpPayrollPerUnit*TotalUnits/12*GA$8*GA$12,0)</f>
        <v/>
      </c>
      <c r="GB31" s="218">
        <f>IF(180&gt;=DeliverStart,ExpPayrollPerUnit*TotalUnits/12*GB$8*GB$12,0)</f>
        <v/>
      </c>
      <c r="GC31" s="218">
        <f>IF(181&gt;=DeliverStart,ExpPayrollPerUnit*TotalUnits/12*GC$8*GC$12,0)</f>
        <v/>
      </c>
      <c r="GD31" s="218">
        <f>IF(182&gt;=DeliverStart,ExpPayrollPerUnit*TotalUnits/12*GD$8*GD$12,0)</f>
        <v/>
      </c>
      <c r="GE31" s="218">
        <f>IF(183&gt;=DeliverStart,ExpPayrollPerUnit*TotalUnits/12*GE$8*GE$12,0)</f>
        <v/>
      </c>
      <c r="GF31" s="218">
        <f>IF(184&gt;=DeliverStart,ExpPayrollPerUnit*TotalUnits/12*GF$8*GF$12,0)</f>
        <v/>
      </c>
      <c r="GG31" s="218">
        <f>IF(185&gt;=DeliverStart,ExpPayrollPerUnit*TotalUnits/12*GG$8*GG$12,0)</f>
        <v/>
      </c>
      <c r="GH31" s="218">
        <f>IF(186&gt;=DeliverStart,ExpPayrollPerUnit*TotalUnits/12*GH$8*GH$12,0)</f>
        <v/>
      </c>
      <c r="GI31" s="218">
        <f>IF(187&gt;=DeliverStart,ExpPayrollPerUnit*TotalUnits/12*GI$8*GI$12,0)</f>
        <v/>
      </c>
      <c r="GJ31" s="218">
        <f>IF(188&gt;=DeliverStart,ExpPayrollPerUnit*TotalUnits/12*GJ$8*GJ$12,0)</f>
        <v/>
      </c>
      <c r="GK31" s="218">
        <f>IF(189&gt;=DeliverStart,ExpPayrollPerUnit*TotalUnits/12*GK$8*GK$12,0)</f>
        <v/>
      </c>
      <c r="GL31" s="218">
        <f>IF(190&gt;=DeliverStart,ExpPayrollPerUnit*TotalUnits/12*GL$8*GL$12,0)</f>
        <v/>
      </c>
      <c r="GM31" s="218">
        <f>IF(191&gt;=DeliverStart,ExpPayrollPerUnit*TotalUnits/12*GM$8*GM$12,0)</f>
        <v/>
      </c>
      <c r="GN31" s="218">
        <f>IF(192&gt;=DeliverStart,ExpPayrollPerUnit*TotalUnits/12*GN$8*GN$12,0)</f>
        <v/>
      </c>
      <c r="GO31" s="218">
        <f>IF(193&gt;=DeliverStart,ExpPayrollPerUnit*TotalUnits/12*GO$8*GO$12,0)</f>
        <v/>
      </c>
      <c r="GP31" s="218">
        <f>IF(194&gt;=DeliverStart,ExpPayrollPerUnit*TotalUnits/12*GP$8*GP$12,0)</f>
        <v/>
      </c>
      <c r="GQ31" s="218">
        <f>IF(195&gt;=DeliverStart,ExpPayrollPerUnit*TotalUnits/12*GQ$8*GQ$12,0)</f>
        <v/>
      </c>
      <c r="GR31" s="218">
        <f>IF(196&gt;=DeliverStart,ExpPayrollPerUnit*TotalUnits/12*GR$8*GR$12,0)</f>
        <v/>
      </c>
      <c r="GS31" s="218">
        <f>IF(197&gt;=DeliverStart,ExpPayrollPerUnit*TotalUnits/12*GS$8*GS$12,0)</f>
        <v/>
      </c>
      <c r="GT31" s="218">
        <f>IF(198&gt;=DeliverStart,ExpPayrollPerUnit*TotalUnits/12*GT$8*GT$12,0)</f>
        <v/>
      </c>
      <c r="GU31" s="218">
        <f>IF(199&gt;=DeliverStart,ExpPayrollPerUnit*TotalUnits/12*GU$8*GU$12,0)</f>
        <v/>
      </c>
      <c r="GV31" s="218">
        <f>IF(200&gt;=DeliverStart,ExpPayrollPerUnit*TotalUnits/12*GV$8*GV$12,0)</f>
        <v/>
      </c>
      <c r="GW31" s="218">
        <f>IF(201&gt;=DeliverStart,ExpPayrollPerUnit*TotalUnits/12*GW$8*GW$12,0)</f>
        <v/>
      </c>
      <c r="GX31" s="218">
        <f>IF(202&gt;=DeliverStart,ExpPayrollPerUnit*TotalUnits/12*GX$8*GX$12,0)</f>
        <v/>
      </c>
      <c r="GY31" s="218">
        <f>IF(203&gt;=DeliverStart,ExpPayrollPerUnit*TotalUnits/12*GY$8*GY$12,0)</f>
        <v/>
      </c>
      <c r="GZ31" s="218">
        <f>IF(204&gt;=DeliverStart,ExpPayrollPerUnit*TotalUnits/12*GZ$8*GZ$12,0)</f>
        <v/>
      </c>
      <c r="HA31" s="218">
        <f>IF(205&gt;=DeliverStart,ExpPayrollPerUnit*TotalUnits/12*HA$8*HA$12,0)</f>
        <v/>
      </c>
      <c r="HB31" s="218">
        <f>IF(206&gt;=DeliverStart,ExpPayrollPerUnit*TotalUnits/12*HB$8*HB$12,0)</f>
        <v/>
      </c>
      <c r="HC31" s="218">
        <f>IF(207&gt;=DeliverStart,ExpPayrollPerUnit*TotalUnits/12*HC$8*HC$12,0)</f>
        <v/>
      </c>
      <c r="HD31" s="218">
        <f>IF(208&gt;=DeliverStart,ExpPayrollPerUnit*TotalUnits/12*HD$8*HD$12,0)</f>
        <v/>
      </c>
      <c r="HE31" s="218">
        <f>IF(209&gt;=DeliverStart,ExpPayrollPerUnit*TotalUnits/12*HE$8*HE$12,0)</f>
        <v/>
      </c>
      <c r="HF31" s="218">
        <f>IF(210&gt;=DeliverStart,ExpPayrollPerUnit*TotalUnits/12*HF$8*HF$12,0)</f>
        <v/>
      </c>
      <c r="HG31" s="218">
        <f>IF(211&gt;=DeliverStart,ExpPayrollPerUnit*TotalUnits/12*HG$8*HG$12,0)</f>
        <v/>
      </c>
      <c r="HH31" s="218">
        <f>IF(212&gt;=DeliverStart,ExpPayrollPerUnit*TotalUnits/12*HH$8*HH$12,0)</f>
        <v/>
      </c>
      <c r="HI31" s="218">
        <f>IF(213&gt;=DeliverStart,ExpPayrollPerUnit*TotalUnits/12*HI$8*HI$12,0)</f>
        <v/>
      </c>
      <c r="HJ31" s="218">
        <f>IF(214&gt;=DeliverStart,ExpPayrollPerUnit*TotalUnits/12*HJ$8*HJ$12,0)</f>
        <v/>
      </c>
      <c r="HK31" s="218">
        <f>IF(215&gt;=DeliverStart,ExpPayrollPerUnit*TotalUnits/12*HK$8*HK$12,0)</f>
        <v/>
      </c>
      <c r="HL31" s="218">
        <f>IF(216&gt;=DeliverStart,ExpPayrollPerUnit*TotalUnits/12*HL$8*HL$12,0)</f>
        <v/>
      </c>
      <c r="HM31" s="218">
        <f>IF(217&gt;=DeliverStart,ExpPayrollPerUnit*TotalUnits/12*HM$8*HM$12,0)</f>
        <v/>
      </c>
      <c r="HN31" s="218">
        <f>IF(218&gt;=DeliverStart,ExpPayrollPerUnit*TotalUnits/12*HN$8*HN$12,0)</f>
        <v/>
      </c>
      <c r="HO31" s="218">
        <f>IF(219&gt;=DeliverStart,ExpPayrollPerUnit*TotalUnits/12*HO$8*HO$12,0)</f>
        <v/>
      </c>
      <c r="HP31" s="218">
        <f>IF(220&gt;=DeliverStart,ExpPayrollPerUnit*TotalUnits/12*HP$8*HP$12,0)</f>
        <v/>
      </c>
      <c r="HQ31" s="218">
        <f>IF(221&gt;=DeliverStart,ExpPayrollPerUnit*TotalUnits/12*HQ$8*HQ$12,0)</f>
        <v/>
      </c>
      <c r="HR31" s="218">
        <f>IF(222&gt;=DeliverStart,ExpPayrollPerUnit*TotalUnits/12*HR$8*HR$12,0)</f>
        <v/>
      </c>
      <c r="HS31" s="218">
        <f>IF(223&gt;=DeliverStart,ExpPayrollPerUnit*TotalUnits/12*HS$8*HS$12,0)</f>
        <v/>
      </c>
      <c r="HT31" s="218">
        <f>IF(224&gt;=DeliverStart,ExpPayrollPerUnit*TotalUnits/12*HT$8*HT$12,0)</f>
        <v/>
      </c>
      <c r="HU31" s="218">
        <f>IF(225&gt;=DeliverStart,ExpPayrollPerUnit*TotalUnits/12*HU$8*HU$12,0)</f>
        <v/>
      </c>
      <c r="HV31" s="218">
        <f>IF(226&gt;=DeliverStart,ExpPayrollPerUnit*TotalUnits/12*HV$8*HV$12,0)</f>
        <v/>
      </c>
      <c r="HW31" s="218">
        <f>IF(227&gt;=DeliverStart,ExpPayrollPerUnit*TotalUnits/12*HW$8*HW$12,0)</f>
        <v/>
      </c>
      <c r="HX31" s="218">
        <f>IF(228&gt;=DeliverStart,ExpPayrollPerUnit*TotalUnits/12*HX$8*HX$12,0)</f>
        <v/>
      </c>
      <c r="HY31" s="218">
        <f>IF(229&gt;=DeliverStart,ExpPayrollPerUnit*TotalUnits/12*HY$8*HY$12,0)</f>
        <v/>
      </c>
      <c r="HZ31" s="218">
        <f>IF(230&gt;=DeliverStart,ExpPayrollPerUnit*TotalUnits/12*HZ$8*HZ$12,0)</f>
        <v/>
      </c>
      <c r="IA31" s="218">
        <f>IF(231&gt;=DeliverStart,ExpPayrollPerUnit*TotalUnits/12*IA$8*IA$12,0)</f>
        <v/>
      </c>
      <c r="IB31" s="218">
        <f>IF(232&gt;=DeliverStart,ExpPayrollPerUnit*TotalUnits/12*IB$8*IB$12,0)</f>
        <v/>
      </c>
      <c r="IC31" s="218">
        <f>IF(233&gt;=DeliverStart,ExpPayrollPerUnit*TotalUnits/12*IC$8*IC$12,0)</f>
        <v/>
      </c>
      <c r="ID31" s="218">
        <f>IF(234&gt;=DeliverStart,ExpPayrollPerUnit*TotalUnits/12*ID$8*ID$12,0)</f>
        <v/>
      </c>
      <c r="IE31" s="218">
        <f>IF(235&gt;=DeliverStart,ExpPayrollPerUnit*TotalUnits/12*IE$8*IE$12,0)</f>
        <v/>
      </c>
      <c r="IF31" s="218">
        <f>IF(236&gt;=DeliverStart,ExpPayrollPerUnit*TotalUnits/12*IF$8*IF$12,0)</f>
        <v/>
      </c>
      <c r="IG31" s="218">
        <f>IF(237&gt;=DeliverStart,ExpPayrollPerUnit*TotalUnits/12*IG$8*IG$12,0)</f>
        <v/>
      </c>
      <c r="IH31" s="218">
        <f>IF(238&gt;=DeliverStart,ExpPayrollPerUnit*TotalUnits/12*IH$8*IH$12,0)</f>
        <v/>
      </c>
      <c r="II31" s="218">
        <f>IF(239&gt;=DeliverStart,ExpPayrollPerUnit*TotalUnits/12*II$8*II$12,0)</f>
        <v/>
      </c>
      <c r="IJ31" s="218">
        <f>IF(240&gt;=DeliverStart,ExpPayrollPerUnit*TotalUnits/12*IJ$8*IJ$12,0)</f>
        <v/>
      </c>
      <c r="IK31" s="218">
        <f>IF(241&gt;=DeliverStart,ExpPayrollPerUnit*TotalUnits/12*IK$8*IK$12,0)</f>
        <v/>
      </c>
      <c r="IL31" s="218">
        <f>IF(242&gt;=DeliverStart,ExpPayrollPerUnit*TotalUnits/12*IL$8*IL$12,0)</f>
        <v/>
      </c>
      <c r="IM31" s="218">
        <f>IF(243&gt;=DeliverStart,ExpPayrollPerUnit*TotalUnits/12*IM$8*IM$12,0)</f>
        <v/>
      </c>
      <c r="IN31" s="218">
        <f>IF(244&gt;=DeliverStart,ExpPayrollPerUnit*TotalUnits/12*IN$8*IN$12,0)</f>
        <v/>
      </c>
      <c r="IO31" s="218">
        <f>IF(245&gt;=DeliverStart,ExpPayrollPerUnit*TotalUnits/12*IO$8*IO$12,0)</f>
        <v/>
      </c>
      <c r="IP31" s="218">
        <f>IF(246&gt;=DeliverStart,ExpPayrollPerUnit*TotalUnits/12*IP$8*IP$12,0)</f>
        <v/>
      </c>
      <c r="IQ31" s="218">
        <f>IF(247&gt;=DeliverStart,ExpPayrollPerUnit*TotalUnits/12*IQ$8*IQ$12,0)</f>
        <v/>
      </c>
      <c r="IR31" s="218">
        <f>IF(248&gt;=DeliverStart,ExpPayrollPerUnit*TotalUnits/12*IR$8*IR$12,0)</f>
        <v/>
      </c>
      <c r="IS31" s="218">
        <f>IF(249&gt;=DeliverStart,ExpPayrollPerUnit*TotalUnits/12*IS$8*IS$12,0)</f>
        <v/>
      </c>
      <c r="IT31" s="218">
        <f>IF(250&gt;=DeliverStart,ExpPayrollPerUnit*TotalUnits/12*IT$8*IT$12,0)</f>
        <v/>
      </c>
      <c r="IU31" s="218">
        <f>IF(251&gt;=DeliverStart,ExpPayrollPerUnit*TotalUnits/12*IU$8*IU$12,0)</f>
        <v/>
      </c>
      <c r="IV31" s="218">
        <f>IF(252&gt;=DeliverStart,ExpPayrollPerUnit*TotalUnits/12*IV$8*IV$12,0)</f>
        <v/>
      </c>
      <c r="IW31" s="218">
        <f>IF(253&gt;=DeliverStart,ExpPayrollPerUnit*TotalUnits/12*IW$8*IW$12,0)</f>
        <v/>
      </c>
      <c r="IX31" s="218">
        <f>IF(254&gt;=DeliverStart,ExpPayrollPerUnit*TotalUnits/12*IX$8*IX$12,0)</f>
        <v/>
      </c>
      <c r="IY31" s="218">
        <f>IF(255&gt;=DeliverStart,ExpPayrollPerUnit*TotalUnits/12*IY$8*IY$12,0)</f>
        <v/>
      </c>
      <c r="IZ31" s="218">
        <f>IF(256&gt;=DeliverStart,ExpPayrollPerUnit*TotalUnits/12*IZ$8*IZ$12,0)</f>
        <v/>
      </c>
      <c r="JA31" s="218">
        <f>IF(257&gt;=DeliverStart,ExpPayrollPerUnit*TotalUnits/12*JA$8*JA$12,0)</f>
        <v/>
      </c>
      <c r="JB31" s="218">
        <f>IF(258&gt;=DeliverStart,ExpPayrollPerUnit*TotalUnits/12*JB$8*JB$12,0)</f>
        <v/>
      </c>
      <c r="JC31" s="218">
        <f>IF(259&gt;=DeliverStart,ExpPayrollPerUnit*TotalUnits/12*JC$8*JC$12,0)</f>
        <v/>
      </c>
      <c r="JD31" s="218">
        <f>IF(260&gt;=DeliverStart,ExpPayrollPerUnit*TotalUnits/12*JD$8*JD$12,0)</f>
        <v/>
      </c>
      <c r="JE31" s="218">
        <f>IF(261&gt;=DeliverStart,ExpPayrollPerUnit*TotalUnits/12*JE$8*JE$12,0)</f>
        <v/>
      </c>
      <c r="JF31" s="218">
        <f>IF(262&gt;=DeliverStart,ExpPayrollPerUnit*TotalUnits/12*JF$8*JF$12,0)</f>
        <v/>
      </c>
      <c r="JG31" s="218">
        <f>IF(263&gt;=DeliverStart,ExpPayrollPerUnit*TotalUnits/12*JG$8*JG$12,0)</f>
        <v/>
      </c>
      <c r="JH31" s="218">
        <f>IF(264&gt;=DeliverStart,ExpPayrollPerUnit*TotalUnits/12*JH$8*JH$12,0)</f>
        <v/>
      </c>
      <c r="JI31" s="218">
        <f>IF(265&gt;=DeliverStart,ExpPayrollPerUnit*TotalUnits/12*JI$8*JI$12,0)</f>
        <v/>
      </c>
      <c r="JJ31" s="218">
        <f>IF(266&gt;=DeliverStart,ExpPayrollPerUnit*TotalUnits/12*JJ$8*JJ$12,0)</f>
        <v/>
      </c>
      <c r="JK31" s="218">
        <f>IF(267&gt;=DeliverStart,ExpPayrollPerUnit*TotalUnits/12*JK$8*JK$12,0)</f>
        <v/>
      </c>
      <c r="JL31" s="218">
        <f>IF(268&gt;=DeliverStart,ExpPayrollPerUnit*TotalUnits/12*JL$8*JL$12,0)</f>
        <v/>
      </c>
      <c r="JM31" s="218">
        <f>IF(269&gt;=DeliverStart,ExpPayrollPerUnit*TotalUnits/12*JM$8*JM$12,0)</f>
        <v/>
      </c>
      <c r="JN31" s="218">
        <f>IF(270&gt;=DeliverStart,ExpPayrollPerUnit*TotalUnits/12*JN$8*JN$12,0)</f>
        <v/>
      </c>
      <c r="JO31" s="218">
        <f>IF(271&gt;=DeliverStart,ExpPayrollPerUnit*TotalUnits/12*JO$8*JO$12,0)</f>
        <v/>
      </c>
      <c r="JP31" s="218">
        <f>IF(272&gt;=DeliverStart,ExpPayrollPerUnit*TotalUnits/12*JP$8*JP$12,0)</f>
        <v/>
      </c>
      <c r="JQ31" s="218">
        <f>IF(273&gt;=DeliverStart,ExpPayrollPerUnit*TotalUnits/12*JQ$8*JQ$12,0)</f>
        <v/>
      </c>
      <c r="JR31" s="218">
        <f>IF(274&gt;=DeliverStart,ExpPayrollPerUnit*TotalUnits/12*JR$8*JR$12,0)</f>
        <v/>
      </c>
      <c r="JS31" s="218">
        <f>IF(275&gt;=DeliverStart,ExpPayrollPerUnit*TotalUnits/12*JS$8*JS$12,0)</f>
        <v/>
      </c>
      <c r="JT31" s="218">
        <f>IF(276&gt;=DeliverStart,ExpPayrollPerUnit*TotalUnits/12*JT$8*JT$12,0)</f>
        <v/>
      </c>
      <c r="JU31" s="218">
        <f>IF(277&gt;=DeliverStart,ExpPayrollPerUnit*TotalUnits/12*JU$8*JU$12,0)</f>
        <v/>
      </c>
      <c r="JV31" s="218">
        <f>IF(278&gt;=DeliverStart,ExpPayrollPerUnit*TotalUnits/12*JV$8*JV$12,0)</f>
        <v/>
      </c>
      <c r="JW31" s="218">
        <f>IF(279&gt;=DeliverStart,ExpPayrollPerUnit*TotalUnits/12*JW$8*JW$12,0)</f>
        <v/>
      </c>
      <c r="JX31" s="218">
        <f>IF(280&gt;=DeliverStart,ExpPayrollPerUnit*TotalUnits/12*JX$8*JX$12,0)</f>
        <v/>
      </c>
      <c r="JY31" s="218">
        <f>IF(281&gt;=DeliverStart,ExpPayrollPerUnit*TotalUnits/12*JY$8*JY$12,0)</f>
        <v/>
      </c>
      <c r="JZ31" s="218">
        <f>IF(282&gt;=DeliverStart,ExpPayrollPerUnit*TotalUnits/12*JZ$8*JZ$12,0)</f>
        <v/>
      </c>
      <c r="KA31" s="218">
        <f>IF(283&gt;=DeliverStart,ExpPayrollPerUnit*TotalUnits/12*KA$8*KA$12,0)</f>
        <v/>
      </c>
      <c r="KB31" s="218">
        <f>IF(284&gt;=DeliverStart,ExpPayrollPerUnit*TotalUnits/12*KB$8*KB$12,0)</f>
        <v/>
      </c>
      <c r="KC31" s="218">
        <f>IF(285&gt;=DeliverStart,ExpPayrollPerUnit*TotalUnits/12*KC$8*KC$12,0)</f>
        <v/>
      </c>
      <c r="KD31" s="218">
        <f>IF(286&gt;=DeliverStart,ExpPayrollPerUnit*TotalUnits/12*KD$8*KD$12,0)</f>
        <v/>
      </c>
      <c r="KE31" s="218">
        <f>IF(287&gt;=DeliverStart,ExpPayrollPerUnit*TotalUnits/12*KE$8*KE$12,0)</f>
        <v/>
      </c>
      <c r="KF31" s="218">
        <f>IF(288&gt;=DeliverStart,ExpPayrollPerUnit*TotalUnits/12*KF$8*KF$12,0)</f>
        <v/>
      </c>
      <c r="KG31" s="218">
        <f>IF(289&gt;=DeliverStart,ExpPayrollPerUnit*TotalUnits/12*KG$8*KG$12,0)</f>
        <v/>
      </c>
      <c r="KH31" s="218">
        <f>IF(290&gt;=DeliverStart,ExpPayrollPerUnit*TotalUnits/12*KH$8*KH$12,0)</f>
        <v/>
      </c>
      <c r="KI31" s="218">
        <f>IF(291&gt;=DeliverStart,ExpPayrollPerUnit*TotalUnits/12*KI$8*KI$12,0)</f>
        <v/>
      </c>
      <c r="KJ31" s="218">
        <f>IF(292&gt;=DeliverStart,ExpPayrollPerUnit*TotalUnits/12*KJ$8*KJ$12,0)</f>
        <v/>
      </c>
      <c r="KK31" s="218">
        <f>IF(293&gt;=DeliverStart,ExpPayrollPerUnit*TotalUnits/12*KK$8*KK$12,0)</f>
        <v/>
      </c>
      <c r="KL31" s="218">
        <f>IF(294&gt;=DeliverStart,ExpPayrollPerUnit*TotalUnits/12*KL$8*KL$12,0)</f>
        <v/>
      </c>
      <c r="KM31" s="218">
        <f>IF(295&gt;=DeliverStart,ExpPayrollPerUnit*TotalUnits/12*KM$8*KM$12,0)</f>
        <v/>
      </c>
      <c r="KN31" s="218">
        <f>IF(296&gt;=DeliverStart,ExpPayrollPerUnit*TotalUnits/12*KN$8*KN$12,0)</f>
        <v/>
      </c>
      <c r="KO31" s="218">
        <f>IF(297&gt;=DeliverStart,ExpPayrollPerUnit*TotalUnits/12*KO$8*KO$12,0)</f>
        <v/>
      </c>
      <c r="KP31" s="218">
        <f>IF(298&gt;=DeliverStart,ExpPayrollPerUnit*TotalUnits/12*KP$8*KP$12,0)</f>
        <v/>
      </c>
      <c r="KQ31" s="218">
        <f>IF(299&gt;=DeliverStart,ExpPayrollPerUnit*TotalUnits/12*KQ$8*KQ$12,0)</f>
        <v/>
      </c>
      <c r="KR31" s="218">
        <f>IF(300&gt;=DeliverStart,ExpPayrollPerUnit*TotalUnits/12*KR$8*KR$12,0)</f>
        <v/>
      </c>
      <c r="KS31" s="218">
        <f>IF(301&gt;=DeliverStart,ExpPayrollPerUnit*TotalUnits/12*KS$8*KS$12,0)</f>
        <v/>
      </c>
      <c r="KT31" s="218">
        <f>IF(302&gt;=DeliverStart,ExpPayrollPerUnit*TotalUnits/12*KT$8*KT$12,0)</f>
        <v/>
      </c>
      <c r="KU31" s="218">
        <f>IF(303&gt;=DeliverStart,ExpPayrollPerUnit*TotalUnits/12*KU$8*KU$12,0)</f>
        <v/>
      </c>
      <c r="KV31" s="218">
        <f>IF(304&gt;=DeliverStart,ExpPayrollPerUnit*TotalUnits/12*KV$8*KV$12,0)</f>
        <v/>
      </c>
      <c r="KW31" s="218">
        <f>IF(305&gt;=DeliverStart,ExpPayrollPerUnit*TotalUnits/12*KW$8*KW$12,0)</f>
        <v/>
      </c>
      <c r="KX31" s="218">
        <f>IF(306&gt;=DeliverStart,ExpPayrollPerUnit*TotalUnits/12*KX$8*KX$12,0)</f>
        <v/>
      </c>
      <c r="KY31" s="218">
        <f>IF(307&gt;=DeliverStart,ExpPayrollPerUnit*TotalUnits/12*KY$8*KY$12,0)</f>
        <v/>
      </c>
      <c r="KZ31" s="218">
        <f>IF(308&gt;=DeliverStart,ExpPayrollPerUnit*TotalUnits/12*KZ$8*KZ$12,0)</f>
        <v/>
      </c>
      <c r="LA31" s="218">
        <f>IF(309&gt;=DeliverStart,ExpPayrollPerUnit*TotalUnits/12*LA$8*LA$12,0)</f>
        <v/>
      </c>
      <c r="LB31" s="218">
        <f>IF(310&gt;=DeliverStart,ExpPayrollPerUnit*TotalUnits/12*LB$8*LB$12,0)</f>
        <v/>
      </c>
      <c r="LC31" s="218">
        <f>IF(311&gt;=DeliverStart,ExpPayrollPerUnit*TotalUnits/12*LC$8*LC$12,0)</f>
        <v/>
      </c>
      <c r="LD31" s="218">
        <f>IF(312&gt;=DeliverStart,ExpPayrollPerUnit*TotalUnits/12*LD$8*LD$12,0)</f>
        <v/>
      </c>
      <c r="LE31" s="218">
        <f>IF(313&gt;=DeliverStart,ExpPayrollPerUnit*TotalUnits/12*LE$8*LE$12,0)</f>
        <v/>
      </c>
      <c r="LF31" s="218">
        <f>IF(314&gt;=DeliverStart,ExpPayrollPerUnit*TotalUnits/12*LF$8*LF$12,0)</f>
        <v/>
      </c>
      <c r="LG31" s="218">
        <f>IF(315&gt;=DeliverStart,ExpPayrollPerUnit*TotalUnits/12*LG$8*LG$12,0)</f>
        <v/>
      </c>
      <c r="LH31" s="218">
        <f>IF(316&gt;=DeliverStart,ExpPayrollPerUnit*TotalUnits/12*LH$8*LH$12,0)</f>
        <v/>
      </c>
      <c r="LI31" s="218">
        <f>IF(317&gt;=DeliverStart,ExpPayrollPerUnit*TotalUnits/12*LI$8*LI$12,0)</f>
        <v/>
      </c>
      <c r="LJ31" s="218">
        <f>IF(318&gt;=DeliverStart,ExpPayrollPerUnit*TotalUnits/12*LJ$8*LJ$12,0)</f>
        <v/>
      </c>
      <c r="LK31" s="218">
        <f>IF(319&gt;=DeliverStart,ExpPayrollPerUnit*TotalUnits/12*LK$8*LK$12,0)</f>
        <v/>
      </c>
      <c r="LL31" s="218">
        <f>IF(320&gt;=DeliverStart,ExpPayrollPerUnit*TotalUnits/12*LL$8*LL$12,0)</f>
        <v/>
      </c>
      <c r="LM31" s="218">
        <f>IF(321&gt;=DeliverStart,ExpPayrollPerUnit*TotalUnits/12*LM$8*LM$12,0)</f>
        <v/>
      </c>
      <c r="LN31" s="218">
        <f>IF(322&gt;=DeliverStart,ExpPayrollPerUnit*TotalUnits/12*LN$8*LN$12,0)</f>
        <v/>
      </c>
      <c r="LO31" s="218">
        <f>IF(323&gt;=DeliverStart,ExpPayrollPerUnit*TotalUnits/12*LO$8*LO$12,0)</f>
        <v/>
      </c>
      <c r="LP31" s="218">
        <f>IF(324&gt;=DeliverStart,ExpPayrollPerUnit*TotalUnits/12*LP$8*LP$12,0)</f>
        <v/>
      </c>
      <c r="LQ31" s="218">
        <f>IF(325&gt;=DeliverStart,ExpPayrollPerUnit*TotalUnits/12*LQ$8*LQ$12,0)</f>
        <v/>
      </c>
      <c r="LR31" s="218">
        <f>IF(326&gt;=DeliverStart,ExpPayrollPerUnit*TotalUnits/12*LR$8*LR$12,0)</f>
        <v/>
      </c>
      <c r="LS31" s="218">
        <f>IF(327&gt;=DeliverStart,ExpPayrollPerUnit*TotalUnits/12*LS$8*LS$12,0)</f>
        <v/>
      </c>
      <c r="LT31" s="218">
        <f>IF(328&gt;=DeliverStart,ExpPayrollPerUnit*TotalUnits/12*LT$8*LT$12,0)</f>
        <v/>
      </c>
      <c r="LU31" s="218">
        <f>IF(329&gt;=DeliverStart,ExpPayrollPerUnit*TotalUnits/12*LU$8*LU$12,0)</f>
        <v/>
      </c>
      <c r="LV31" s="218">
        <f>IF(330&gt;=DeliverStart,ExpPayrollPerUnit*TotalUnits/12*LV$8*LV$12,0)</f>
        <v/>
      </c>
      <c r="LW31" s="218">
        <f>IF(331&gt;=DeliverStart,ExpPayrollPerUnit*TotalUnits/12*LW$8*LW$12,0)</f>
        <v/>
      </c>
      <c r="LX31" s="218">
        <f>IF(332&gt;=DeliverStart,ExpPayrollPerUnit*TotalUnits/12*LX$8*LX$12,0)</f>
        <v/>
      </c>
      <c r="LY31" s="218">
        <f>IF(333&gt;=DeliverStart,ExpPayrollPerUnit*TotalUnits/12*LY$8*LY$12,0)</f>
        <v/>
      </c>
      <c r="LZ31" s="218">
        <f>IF(334&gt;=DeliverStart,ExpPayrollPerUnit*TotalUnits/12*LZ$8*LZ$12,0)</f>
        <v/>
      </c>
      <c r="MA31" s="218">
        <f>IF(335&gt;=DeliverStart,ExpPayrollPerUnit*TotalUnits/12*MA$8*MA$12,0)</f>
        <v/>
      </c>
      <c r="MB31" s="218">
        <f>IF(336&gt;=DeliverStart,ExpPayrollPerUnit*TotalUnits/12*MB$8*MB$12,0)</f>
        <v/>
      </c>
      <c r="MC31" s="218">
        <f>IF(337&gt;=DeliverStart,ExpPayrollPerUnit*TotalUnits/12*MC$8*MC$12,0)</f>
        <v/>
      </c>
      <c r="MD31" s="218">
        <f>IF(338&gt;=DeliverStart,ExpPayrollPerUnit*TotalUnits/12*MD$8*MD$12,0)</f>
        <v/>
      </c>
      <c r="ME31" s="218">
        <f>IF(339&gt;=DeliverStart,ExpPayrollPerUnit*TotalUnits/12*ME$8*ME$12,0)</f>
        <v/>
      </c>
      <c r="MF31" s="218">
        <f>IF(340&gt;=DeliverStart,ExpPayrollPerUnit*TotalUnits/12*MF$8*MF$12,0)</f>
        <v/>
      </c>
      <c r="MG31" s="218">
        <f>IF(341&gt;=DeliverStart,ExpPayrollPerUnit*TotalUnits/12*MG$8*MG$12,0)</f>
        <v/>
      </c>
      <c r="MH31" s="218">
        <f>IF(342&gt;=DeliverStart,ExpPayrollPerUnit*TotalUnits/12*MH$8*MH$12,0)</f>
        <v/>
      </c>
      <c r="MI31" s="218">
        <f>IF(343&gt;=DeliverStart,ExpPayrollPerUnit*TotalUnits/12*MI$8*MI$12,0)</f>
        <v/>
      </c>
      <c r="MJ31" s="218">
        <f>IF(344&gt;=DeliverStart,ExpPayrollPerUnit*TotalUnits/12*MJ$8*MJ$12,0)</f>
        <v/>
      </c>
      <c r="MK31" s="218">
        <f>IF(345&gt;=DeliverStart,ExpPayrollPerUnit*TotalUnits/12*MK$8*MK$12,0)</f>
        <v/>
      </c>
      <c r="ML31" s="218">
        <f>IF(346&gt;=DeliverStart,ExpPayrollPerUnit*TotalUnits/12*ML$8*ML$12,0)</f>
        <v/>
      </c>
      <c r="MM31" s="218">
        <f>IF(347&gt;=DeliverStart,ExpPayrollPerUnit*TotalUnits/12*MM$8*MM$12,0)</f>
        <v/>
      </c>
      <c r="MN31" s="218">
        <f>IF(348&gt;=DeliverStart,ExpPayrollPerUnit*TotalUnits/12*MN$8*MN$12,0)</f>
        <v/>
      </c>
      <c r="MO31" s="218">
        <f>IF(349&gt;=DeliverStart,ExpPayrollPerUnit*TotalUnits/12*MO$8*MO$12,0)</f>
        <v/>
      </c>
      <c r="MP31" s="218">
        <f>IF(350&gt;=DeliverStart,ExpPayrollPerUnit*TotalUnits/12*MP$8*MP$12,0)</f>
        <v/>
      </c>
      <c r="MQ31" s="218">
        <f>IF(351&gt;=DeliverStart,ExpPayrollPerUnit*TotalUnits/12*MQ$8*MQ$12,0)</f>
        <v/>
      </c>
      <c r="MR31" s="218">
        <f>IF(352&gt;=DeliverStart,ExpPayrollPerUnit*TotalUnits/12*MR$8*MR$12,0)</f>
        <v/>
      </c>
      <c r="MS31" s="218">
        <f>IF(353&gt;=DeliverStart,ExpPayrollPerUnit*TotalUnits/12*MS$8*MS$12,0)</f>
        <v/>
      </c>
      <c r="MT31" s="218">
        <f>IF(354&gt;=DeliverStart,ExpPayrollPerUnit*TotalUnits/12*MT$8*MT$12,0)</f>
        <v/>
      </c>
      <c r="MU31" s="218">
        <f>IF(355&gt;=DeliverStart,ExpPayrollPerUnit*TotalUnits/12*MU$8*MU$12,0)</f>
        <v/>
      </c>
      <c r="MV31" s="218">
        <f>IF(356&gt;=DeliverStart,ExpPayrollPerUnit*TotalUnits/12*MV$8*MV$12,0)</f>
        <v/>
      </c>
      <c r="MW31" s="218">
        <f>IF(357&gt;=DeliverStart,ExpPayrollPerUnit*TotalUnits/12*MW$8*MW$12,0)</f>
        <v/>
      </c>
      <c r="MX31" s="218">
        <f>IF(358&gt;=DeliverStart,ExpPayrollPerUnit*TotalUnits/12*MX$8*MX$12,0)</f>
        <v/>
      </c>
      <c r="MY31" s="218">
        <f>IF(359&gt;=DeliverStart,ExpPayrollPerUnit*TotalUnits/12*MY$8*MY$12,0)</f>
        <v/>
      </c>
      <c r="MZ31" s="218">
        <f>IF(360&gt;=DeliverStart,ExpPayrollPerUnit*TotalUnits/12*MZ$8*MZ$12,0)</f>
        <v/>
      </c>
      <c r="NA31" s="218">
        <f>IF(361&gt;=DeliverStart,ExpPayrollPerUnit*TotalUnits/12*NA$8*NA$12,0)</f>
        <v/>
      </c>
      <c r="NB31" s="218">
        <f>IF(362&gt;=DeliverStart,ExpPayrollPerUnit*TotalUnits/12*NB$8*NB$12,0)</f>
        <v/>
      </c>
      <c r="NC31" s="218">
        <f>IF(363&gt;=DeliverStart,ExpPayrollPerUnit*TotalUnits/12*NC$8*NC$12,0)</f>
        <v/>
      </c>
      <c r="ND31" s="218">
        <f>IF(364&gt;=DeliverStart,ExpPayrollPerUnit*TotalUnits/12*ND$8*ND$12,0)</f>
        <v/>
      </c>
      <c r="NE31" s="218">
        <f>IF(365&gt;=DeliverStart,ExpPayrollPerUnit*TotalUnits/12*NE$8*NE$12,0)</f>
        <v/>
      </c>
      <c r="NF31" s="218">
        <f>IF(366&gt;=DeliverStart,ExpPayrollPerUnit*TotalUnits/12*NF$8*NF$12,0)</f>
        <v/>
      </c>
      <c r="NG31" s="218">
        <f>IF(367&gt;=DeliverStart,ExpPayrollPerUnit*TotalUnits/12*NG$8*NG$12,0)</f>
        <v/>
      </c>
      <c r="NH31" s="218">
        <f>IF(368&gt;=DeliverStart,ExpPayrollPerUnit*TotalUnits/12*NH$8*NH$12,0)</f>
        <v/>
      </c>
      <c r="NI31" s="218">
        <f>IF(369&gt;=DeliverStart,ExpPayrollPerUnit*TotalUnits/12*NI$8*NI$12,0)</f>
        <v/>
      </c>
      <c r="NJ31" s="218">
        <f>IF(370&gt;=DeliverStart,ExpPayrollPerUnit*TotalUnits/12*NJ$8*NJ$12,0)</f>
        <v/>
      </c>
      <c r="NK31" s="218">
        <f>IF(371&gt;=DeliverStart,ExpPayrollPerUnit*TotalUnits/12*NK$8*NK$12,0)</f>
        <v/>
      </c>
      <c r="NL31" s="225">
        <f>IF(372&gt;=DeliverStart,ExpPayrollPerUnit*TotalUnits/12*NL$8*NL$12,0)</f>
        <v/>
      </c>
    </row>
    <row r="32">
      <c r="B32" s="36" t="inlineStr">
        <is>
          <t>Advertising (elevated)</t>
        </is>
      </c>
      <c r="D32" s="266">
        <f>SUM(E32:NL32)</f>
        <v/>
      </c>
      <c r="E32" s="218">
        <f>IF(1&gt;=DeliverStart,ExpAdvertisingPerUnit*TotalUnits/12*E$8*E$12,0)</f>
        <v/>
      </c>
      <c r="F32" s="218">
        <f>IF(2&gt;=DeliverStart,ExpAdvertisingPerUnit*TotalUnits/12*F$8*F$12,0)</f>
        <v/>
      </c>
      <c r="G32" s="218">
        <f>IF(3&gt;=DeliverStart,ExpAdvertisingPerUnit*TotalUnits/12*G$8*G$12,0)</f>
        <v/>
      </c>
      <c r="H32" s="218">
        <f>IF(4&gt;=DeliverStart,ExpAdvertisingPerUnit*TotalUnits/12*H$8*H$12,0)</f>
        <v/>
      </c>
      <c r="I32" s="218">
        <f>IF(5&gt;=DeliverStart,ExpAdvertisingPerUnit*TotalUnits/12*I$8*I$12,0)</f>
        <v/>
      </c>
      <c r="J32" s="218">
        <f>IF(6&gt;=DeliverStart,ExpAdvertisingPerUnit*TotalUnits/12*J$8*J$12,0)</f>
        <v/>
      </c>
      <c r="K32" s="218">
        <f>IF(7&gt;=DeliverStart,ExpAdvertisingPerUnit*TotalUnits/12*K$8*K$12,0)</f>
        <v/>
      </c>
      <c r="L32" s="218">
        <f>IF(8&gt;=DeliverStart,ExpAdvertisingPerUnit*TotalUnits/12*L$8*L$12,0)</f>
        <v/>
      </c>
      <c r="M32" s="218">
        <f>IF(9&gt;=DeliverStart,ExpAdvertisingPerUnit*TotalUnits/12*M$8*M$12,0)</f>
        <v/>
      </c>
      <c r="N32" s="218">
        <f>IF(10&gt;=DeliverStart,ExpAdvertisingPerUnit*TotalUnits/12*N$8*N$12,0)</f>
        <v/>
      </c>
      <c r="O32" s="218">
        <f>IF(11&gt;=DeliverStart,ExpAdvertisingPerUnit*TotalUnits/12*O$8*O$12,0)</f>
        <v/>
      </c>
      <c r="P32" s="218">
        <f>IF(12&gt;=DeliverStart,ExpAdvertisingPerUnit*TotalUnits/12*P$8*P$12,0)</f>
        <v/>
      </c>
      <c r="Q32" s="218">
        <f>IF(13&gt;=DeliverStart,ExpAdvertisingPerUnit*TotalUnits/12*Q$8*Q$12,0)</f>
        <v/>
      </c>
      <c r="R32" s="218">
        <f>IF(14&gt;=DeliverStart,ExpAdvertisingPerUnit*TotalUnits/12*R$8*R$12,0)</f>
        <v/>
      </c>
      <c r="S32" s="218">
        <f>IF(15&gt;=DeliverStart,ExpAdvertisingPerUnit*TotalUnits/12*S$8*S$12,0)</f>
        <v/>
      </c>
      <c r="T32" s="218">
        <f>IF(16&gt;=DeliverStart,ExpAdvertisingPerUnit*TotalUnits/12*T$8*T$12,0)</f>
        <v/>
      </c>
      <c r="U32" s="218">
        <f>IF(17&gt;=DeliverStart,ExpAdvertisingPerUnit*TotalUnits/12*U$8*U$12,0)</f>
        <v/>
      </c>
      <c r="V32" s="218">
        <f>IF(18&gt;=DeliverStart,ExpAdvertisingPerUnit*TotalUnits/12*V$8*V$12,0)</f>
        <v/>
      </c>
      <c r="W32" s="218">
        <f>IF(19&gt;=DeliverStart,ExpAdvertisingPerUnit*TotalUnits/12*W$8*W$12,0)</f>
        <v/>
      </c>
      <c r="X32" s="218">
        <f>IF(20&gt;=DeliverStart,ExpAdvertisingPerUnit*TotalUnits/12*X$8*X$12,0)</f>
        <v/>
      </c>
      <c r="Y32" s="218">
        <f>IF(21&gt;=DeliverStart,ExpAdvertisingPerUnit*TotalUnits/12*Y$8*Y$12,0)</f>
        <v/>
      </c>
      <c r="Z32" s="218">
        <f>IF(22&gt;=DeliverStart,ExpAdvertisingPerUnit*TotalUnits/12*Z$8*Z$12,0)</f>
        <v/>
      </c>
      <c r="AA32" s="218">
        <f>IF(23&gt;=DeliverStart,ExpAdvertisingPerUnit*TotalUnits/12*AA$8*AA$12,0)</f>
        <v/>
      </c>
      <c r="AB32" s="218">
        <f>IF(24&gt;=DeliverStart,ExpAdvertisingPerUnit*TotalUnits/12*AB$8*AB$12,0)</f>
        <v/>
      </c>
      <c r="AC32" s="218">
        <f>IF(25&gt;=DeliverStart,ExpAdvertisingPerUnit*TotalUnits/12*AC$8*AC$12,0)</f>
        <v/>
      </c>
      <c r="AD32" s="218">
        <f>IF(26&gt;=DeliverStart,ExpAdvertisingPerUnit*TotalUnits/12*AD$8*AD$12,0)</f>
        <v/>
      </c>
      <c r="AE32" s="218">
        <f>IF(27&gt;=DeliverStart,ExpAdvertisingPerUnit*TotalUnits/12*AE$8*AE$12,0)</f>
        <v/>
      </c>
      <c r="AF32" s="218">
        <f>IF(28&gt;=DeliverStart,ExpAdvertisingPerUnit*TotalUnits/12*AF$8*AF$12,0)</f>
        <v/>
      </c>
      <c r="AG32" s="218">
        <f>IF(29&gt;=DeliverStart,ExpAdvertisingPerUnit*TotalUnits/12*AG$8*AG$12,0)</f>
        <v/>
      </c>
      <c r="AH32" s="218">
        <f>IF(30&gt;=DeliverStart,ExpAdvertisingPerUnit*TotalUnits/12*AH$8*AH$12,0)</f>
        <v/>
      </c>
      <c r="AI32" s="218">
        <f>IF(31&gt;=DeliverStart,ExpAdvertisingPerUnit*TotalUnits/12*AI$8*AI$12,0)</f>
        <v/>
      </c>
      <c r="AJ32" s="218">
        <f>IF(32&gt;=DeliverStart,ExpAdvertisingPerUnit*TotalUnits/12*AJ$8*AJ$12,0)</f>
        <v/>
      </c>
      <c r="AK32" s="218">
        <f>IF(33&gt;=DeliverStart,ExpAdvertisingPerUnit*TotalUnits/12*AK$8*AK$12,0)</f>
        <v/>
      </c>
      <c r="AL32" s="218">
        <f>IF(34&gt;=DeliverStart,ExpAdvertisingPerUnit*TotalUnits/12*AL$8*AL$12,0)</f>
        <v/>
      </c>
      <c r="AM32" s="218">
        <f>IF(35&gt;=DeliverStart,ExpAdvertisingPerUnit*TotalUnits/12*AM$8*AM$12,0)</f>
        <v/>
      </c>
      <c r="AN32" s="218">
        <f>IF(36&gt;=DeliverStart,ExpAdvertisingPerUnit*TotalUnits/12*AN$8*AN$12,0)</f>
        <v/>
      </c>
      <c r="AO32" s="218">
        <f>IF(37&gt;=DeliverStart,ExpAdvertisingPerUnit*TotalUnits/12*AO$8*AO$12,0)</f>
        <v/>
      </c>
      <c r="AP32" s="218">
        <f>IF(38&gt;=DeliverStart,ExpAdvertisingPerUnit*TotalUnits/12*AP$8*AP$12,0)</f>
        <v/>
      </c>
      <c r="AQ32" s="218">
        <f>IF(39&gt;=DeliverStart,ExpAdvertisingPerUnit*TotalUnits/12*AQ$8*AQ$12,0)</f>
        <v/>
      </c>
      <c r="AR32" s="218">
        <f>IF(40&gt;=DeliverStart,ExpAdvertisingPerUnit*TotalUnits/12*AR$8*AR$12,0)</f>
        <v/>
      </c>
      <c r="AS32" s="218">
        <f>IF(41&gt;=DeliverStart,ExpAdvertisingPerUnit*TotalUnits/12*AS$8*AS$12,0)</f>
        <v/>
      </c>
      <c r="AT32" s="218">
        <f>IF(42&gt;=DeliverStart,ExpAdvertisingPerUnit*TotalUnits/12*AT$8*AT$12,0)</f>
        <v/>
      </c>
      <c r="AU32" s="218">
        <f>IF(43&gt;=DeliverStart,ExpAdvertisingPerUnit*TotalUnits/12*AU$8*AU$12,0)</f>
        <v/>
      </c>
      <c r="AV32" s="218">
        <f>IF(44&gt;=DeliverStart,ExpAdvertisingPerUnit*TotalUnits/12*AV$8*AV$12,0)</f>
        <v/>
      </c>
      <c r="AW32" s="218">
        <f>IF(45&gt;=DeliverStart,ExpAdvertisingPerUnit*TotalUnits/12*AW$8*AW$12,0)</f>
        <v/>
      </c>
      <c r="AX32" s="218">
        <f>IF(46&gt;=DeliverStart,ExpAdvertisingPerUnit*TotalUnits/12*AX$8*AX$12,0)</f>
        <v/>
      </c>
      <c r="AY32" s="218">
        <f>IF(47&gt;=DeliverStart,ExpAdvertisingPerUnit*TotalUnits/12*AY$8*AY$12,0)</f>
        <v/>
      </c>
      <c r="AZ32" s="218">
        <f>IF(48&gt;=DeliverStart,ExpAdvertisingPerUnit*TotalUnits/12*AZ$8*AZ$12,0)</f>
        <v/>
      </c>
      <c r="BA32" s="218">
        <f>IF(49&gt;=DeliverStart,ExpAdvertisingPerUnit*TotalUnits/12*BA$8*BA$12,0)</f>
        <v/>
      </c>
      <c r="BB32" s="218">
        <f>IF(50&gt;=DeliverStart,ExpAdvertisingPerUnit*TotalUnits/12*BB$8*BB$12,0)</f>
        <v/>
      </c>
      <c r="BC32" s="218">
        <f>IF(51&gt;=DeliverStart,ExpAdvertisingPerUnit*TotalUnits/12*BC$8*BC$12,0)</f>
        <v/>
      </c>
      <c r="BD32" s="218">
        <f>IF(52&gt;=DeliverStart,ExpAdvertisingPerUnit*TotalUnits/12*BD$8*BD$12,0)</f>
        <v/>
      </c>
      <c r="BE32" s="218">
        <f>IF(53&gt;=DeliverStart,ExpAdvertisingPerUnit*TotalUnits/12*BE$8*BE$12,0)</f>
        <v/>
      </c>
      <c r="BF32" s="218">
        <f>IF(54&gt;=DeliverStart,ExpAdvertisingPerUnit*TotalUnits/12*BF$8*BF$12,0)</f>
        <v/>
      </c>
      <c r="BG32" s="218">
        <f>IF(55&gt;=DeliverStart,ExpAdvertisingPerUnit*TotalUnits/12*BG$8*BG$12,0)</f>
        <v/>
      </c>
      <c r="BH32" s="218">
        <f>IF(56&gt;=DeliverStart,ExpAdvertisingPerUnit*TotalUnits/12*BH$8*BH$12,0)</f>
        <v/>
      </c>
      <c r="BI32" s="218">
        <f>IF(57&gt;=DeliverStart,ExpAdvertisingPerUnit*TotalUnits/12*BI$8*BI$12,0)</f>
        <v/>
      </c>
      <c r="BJ32" s="218">
        <f>IF(58&gt;=DeliverStart,ExpAdvertisingPerUnit*TotalUnits/12*BJ$8*BJ$12,0)</f>
        <v/>
      </c>
      <c r="BK32" s="218">
        <f>IF(59&gt;=DeliverStart,ExpAdvertisingPerUnit*TotalUnits/12*BK$8*BK$12,0)</f>
        <v/>
      </c>
      <c r="BL32" s="218">
        <f>IF(60&gt;=DeliverStart,ExpAdvertisingPerUnit*TotalUnits/12*BL$8*BL$12,0)</f>
        <v/>
      </c>
      <c r="BM32" s="218">
        <f>IF(61&gt;=DeliverStart,ExpAdvertisingPerUnit*TotalUnits/12*BM$8*BM$12,0)</f>
        <v/>
      </c>
      <c r="BN32" s="218">
        <f>IF(62&gt;=DeliverStart,ExpAdvertisingPerUnit*TotalUnits/12*BN$8*BN$12,0)</f>
        <v/>
      </c>
      <c r="BO32" s="218">
        <f>IF(63&gt;=DeliverStart,ExpAdvertisingPerUnit*TotalUnits/12*BO$8*BO$12,0)</f>
        <v/>
      </c>
      <c r="BP32" s="218">
        <f>IF(64&gt;=DeliverStart,ExpAdvertisingPerUnit*TotalUnits/12*BP$8*BP$12,0)</f>
        <v/>
      </c>
      <c r="BQ32" s="218">
        <f>IF(65&gt;=DeliverStart,ExpAdvertisingPerUnit*TotalUnits/12*BQ$8*BQ$12,0)</f>
        <v/>
      </c>
      <c r="BR32" s="218">
        <f>IF(66&gt;=DeliverStart,ExpAdvertisingPerUnit*TotalUnits/12*BR$8*BR$12,0)</f>
        <v/>
      </c>
      <c r="BS32" s="218">
        <f>IF(67&gt;=DeliverStart,ExpAdvertisingPerUnit*TotalUnits/12*BS$8*BS$12,0)</f>
        <v/>
      </c>
      <c r="BT32" s="218">
        <f>IF(68&gt;=DeliverStart,ExpAdvertisingPerUnit*TotalUnits/12*BT$8*BT$12,0)</f>
        <v/>
      </c>
      <c r="BU32" s="218">
        <f>IF(69&gt;=DeliverStart,ExpAdvertisingPerUnit*TotalUnits/12*BU$8*BU$12,0)</f>
        <v/>
      </c>
      <c r="BV32" s="218">
        <f>IF(70&gt;=DeliverStart,ExpAdvertisingPerUnit*TotalUnits/12*BV$8*BV$12,0)</f>
        <v/>
      </c>
      <c r="BW32" s="218">
        <f>IF(71&gt;=DeliverStart,ExpAdvertisingPerUnit*TotalUnits/12*BW$8*BW$12,0)</f>
        <v/>
      </c>
      <c r="BX32" s="218">
        <f>IF(72&gt;=DeliverStart,ExpAdvertisingPerUnit*TotalUnits/12*BX$8*BX$12,0)</f>
        <v/>
      </c>
      <c r="BY32" s="218">
        <f>IF(73&gt;=DeliverStart,ExpAdvertisingPerUnit*TotalUnits/12*BY$8*BY$12,0)</f>
        <v/>
      </c>
      <c r="BZ32" s="218">
        <f>IF(74&gt;=DeliverStart,ExpAdvertisingPerUnit*TotalUnits/12*BZ$8*BZ$12,0)</f>
        <v/>
      </c>
      <c r="CA32" s="218">
        <f>IF(75&gt;=DeliverStart,ExpAdvertisingPerUnit*TotalUnits/12*CA$8*CA$12,0)</f>
        <v/>
      </c>
      <c r="CB32" s="218">
        <f>IF(76&gt;=DeliverStart,ExpAdvertisingPerUnit*TotalUnits/12*CB$8*CB$12,0)</f>
        <v/>
      </c>
      <c r="CC32" s="218">
        <f>IF(77&gt;=DeliverStart,ExpAdvertisingPerUnit*TotalUnits/12*CC$8*CC$12,0)</f>
        <v/>
      </c>
      <c r="CD32" s="218">
        <f>IF(78&gt;=DeliverStart,ExpAdvertisingPerUnit*TotalUnits/12*CD$8*CD$12,0)</f>
        <v/>
      </c>
      <c r="CE32" s="218">
        <f>IF(79&gt;=DeliverStart,ExpAdvertisingPerUnit*TotalUnits/12*CE$8*CE$12,0)</f>
        <v/>
      </c>
      <c r="CF32" s="218">
        <f>IF(80&gt;=DeliverStart,ExpAdvertisingPerUnit*TotalUnits/12*CF$8*CF$12,0)</f>
        <v/>
      </c>
      <c r="CG32" s="218">
        <f>IF(81&gt;=DeliverStart,ExpAdvertisingPerUnit*TotalUnits/12*CG$8*CG$12,0)</f>
        <v/>
      </c>
      <c r="CH32" s="218">
        <f>IF(82&gt;=DeliverStart,ExpAdvertisingPerUnit*TotalUnits/12*CH$8*CH$12,0)</f>
        <v/>
      </c>
      <c r="CI32" s="218">
        <f>IF(83&gt;=DeliverStart,ExpAdvertisingPerUnit*TotalUnits/12*CI$8*CI$12,0)</f>
        <v/>
      </c>
      <c r="CJ32" s="218">
        <f>IF(84&gt;=DeliverStart,ExpAdvertisingPerUnit*TotalUnits/12*CJ$8*CJ$12,0)</f>
        <v/>
      </c>
      <c r="CK32" s="218">
        <f>IF(85&gt;=DeliverStart,ExpAdvertisingPerUnit*TotalUnits/12*CK$8*CK$12,0)</f>
        <v/>
      </c>
      <c r="CL32" s="218">
        <f>IF(86&gt;=DeliverStart,ExpAdvertisingPerUnit*TotalUnits/12*CL$8*CL$12,0)</f>
        <v/>
      </c>
      <c r="CM32" s="218">
        <f>IF(87&gt;=DeliverStart,ExpAdvertisingPerUnit*TotalUnits/12*CM$8*CM$12,0)</f>
        <v/>
      </c>
      <c r="CN32" s="218">
        <f>IF(88&gt;=DeliverStart,ExpAdvertisingPerUnit*TotalUnits/12*CN$8*CN$12,0)</f>
        <v/>
      </c>
      <c r="CO32" s="218">
        <f>IF(89&gt;=DeliverStart,ExpAdvertisingPerUnit*TotalUnits/12*CO$8*CO$12,0)</f>
        <v/>
      </c>
      <c r="CP32" s="218">
        <f>IF(90&gt;=DeliverStart,ExpAdvertisingPerUnit*TotalUnits/12*CP$8*CP$12,0)</f>
        <v/>
      </c>
      <c r="CQ32" s="218">
        <f>IF(91&gt;=DeliverStart,ExpAdvertisingPerUnit*TotalUnits/12*CQ$8*CQ$12,0)</f>
        <v/>
      </c>
      <c r="CR32" s="218">
        <f>IF(92&gt;=DeliverStart,ExpAdvertisingPerUnit*TotalUnits/12*CR$8*CR$12,0)</f>
        <v/>
      </c>
      <c r="CS32" s="218">
        <f>IF(93&gt;=DeliverStart,ExpAdvertisingPerUnit*TotalUnits/12*CS$8*CS$12,0)</f>
        <v/>
      </c>
      <c r="CT32" s="218">
        <f>IF(94&gt;=DeliverStart,ExpAdvertisingPerUnit*TotalUnits/12*CT$8*CT$12,0)</f>
        <v/>
      </c>
      <c r="CU32" s="218">
        <f>IF(95&gt;=DeliverStart,ExpAdvertisingPerUnit*TotalUnits/12*CU$8*CU$12,0)</f>
        <v/>
      </c>
      <c r="CV32" s="218">
        <f>IF(96&gt;=DeliverStart,ExpAdvertisingPerUnit*TotalUnits/12*CV$8*CV$12,0)</f>
        <v/>
      </c>
      <c r="CW32" s="218">
        <f>IF(97&gt;=DeliverStart,ExpAdvertisingPerUnit*TotalUnits/12*CW$8*CW$12,0)</f>
        <v/>
      </c>
      <c r="CX32" s="218">
        <f>IF(98&gt;=DeliverStart,ExpAdvertisingPerUnit*TotalUnits/12*CX$8*CX$12,0)</f>
        <v/>
      </c>
      <c r="CY32" s="218">
        <f>IF(99&gt;=DeliverStart,ExpAdvertisingPerUnit*TotalUnits/12*CY$8*CY$12,0)</f>
        <v/>
      </c>
      <c r="CZ32" s="218">
        <f>IF(100&gt;=DeliverStart,ExpAdvertisingPerUnit*TotalUnits/12*CZ$8*CZ$12,0)</f>
        <v/>
      </c>
      <c r="DA32" s="218">
        <f>IF(101&gt;=DeliverStart,ExpAdvertisingPerUnit*TotalUnits/12*DA$8*DA$12,0)</f>
        <v/>
      </c>
      <c r="DB32" s="218">
        <f>IF(102&gt;=DeliverStart,ExpAdvertisingPerUnit*TotalUnits/12*DB$8*DB$12,0)</f>
        <v/>
      </c>
      <c r="DC32" s="218">
        <f>IF(103&gt;=DeliverStart,ExpAdvertisingPerUnit*TotalUnits/12*DC$8*DC$12,0)</f>
        <v/>
      </c>
      <c r="DD32" s="218">
        <f>IF(104&gt;=DeliverStart,ExpAdvertisingPerUnit*TotalUnits/12*DD$8*DD$12,0)</f>
        <v/>
      </c>
      <c r="DE32" s="218">
        <f>IF(105&gt;=DeliverStart,ExpAdvertisingPerUnit*TotalUnits/12*DE$8*DE$12,0)</f>
        <v/>
      </c>
      <c r="DF32" s="218">
        <f>IF(106&gt;=DeliverStart,ExpAdvertisingPerUnit*TotalUnits/12*DF$8*DF$12,0)</f>
        <v/>
      </c>
      <c r="DG32" s="218">
        <f>IF(107&gt;=DeliverStart,ExpAdvertisingPerUnit*TotalUnits/12*DG$8*DG$12,0)</f>
        <v/>
      </c>
      <c r="DH32" s="218">
        <f>IF(108&gt;=DeliverStart,ExpAdvertisingPerUnit*TotalUnits/12*DH$8*DH$12,0)</f>
        <v/>
      </c>
      <c r="DI32" s="218">
        <f>IF(109&gt;=DeliverStart,ExpAdvertisingPerUnit*TotalUnits/12*DI$8*DI$12,0)</f>
        <v/>
      </c>
      <c r="DJ32" s="218">
        <f>IF(110&gt;=DeliverStart,ExpAdvertisingPerUnit*TotalUnits/12*DJ$8*DJ$12,0)</f>
        <v/>
      </c>
      <c r="DK32" s="218">
        <f>IF(111&gt;=DeliverStart,ExpAdvertisingPerUnit*TotalUnits/12*DK$8*DK$12,0)</f>
        <v/>
      </c>
      <c r="DL32" s="218">
        <f>IF(112&gt;=DeliverStart,ExpAdvertisingPerUnit*TotalUnits/12*DL$8*DL$12,0)</f>
        <v/>
      </c>
      <c r="DM32" s="218">
        <f>IF(113&gt;=DeliverStart,ExpAdvertisingPerUnit*TotalUnits/12*DM$8*DM$12,0)</f>
        <v/>
      </c>
      <c r="DN32" s="218">
        <f>IF(114&gt;=DeliverStart,ExpAdvertisingPerUnit*TotalUnits/12*DN$8*DN$12,0)</f>
        <v/>
      </c>
      <c r="DO32" s="218">
        <f>IF(115&gt;=DeliverStart,ExpAdvertisingPerUnit*TotalUnits/12*DO$8*DO$12,0)</f>
        <v/>
      </c>
      <c r="DP32" s="218">
        <f>IF(116&gt;=DeliverStart,ExpAdvertisingPerUnit*TotalUnits/12*DP$8*DP$12,0)</f>
        <v/>
      </c>
      <c r="DQ32" s="218">
        <f>IF(117&gt;=DeliverStart,ExpAdvertisingPerUnit*TotalUnits/12*DQ$8*DQ$12,0)</f>
        <v/>
      </c>
      <c r="DR32" s="218">
        <f>IF(118&gt;=DeliverStart,ExpAdvertisingPerUnit*TotalUnits/12*DR$8*DR$12,0)</f>
        <v/>
      </c>
      <c r="DS32" s="218">
        <f>IF(119&gt;=DeliverStart,ExpAdvertisingPerUnit*TotalUnits/12*DS$8*DS$12,0)</f>
        <v/>
      </c>
      <c r="DT32" s="218">
        <f>IF(120&gt;=DeliverStart,ExpAdvertisingPerUnit*TotalUnits/12*DT$8*DT$12,0)</f>
        <v/>
      </c>
      <c r="DU32" s="218">
        <f>IF(121&gt;=DeliverStart,ExpAdvertisingPerUnit*TotalUnits/12*DU$8*DU$12,0)</f>
        <v/>
      </c>
      <c r="DV32" s="218">
        <f>IF(122&gt;=DeliverStart,ExpAdvertisingPerUnit*TotalUnits/12*DV$8*DV$12,0)</f>
        <v/>
      </c>
      <c r="DW32" s="218">
        <f>IF(123&gt;=DeliverStart,ExpAdvertisingPerUnit*TotalUnits/12*DW$8*DW$12,0)</f>
        <v/>
      </c>
      <c r="DX32" s="218">
        <f>IF(124&gt;=DeliverStart,ExpAdvertisingPerUnit*TotalUnits/12*DX$8*DX$12,0)</f>
        <v/>
      </c>
      <c r="DY32" s="218">
        <f>IF(125&gt;=DeliverStart,ExpAdvertisingPerUnit*TotalUnits/12*DY$8*DY$12,0)</f>
        <v/>
      </c>
      <c r="DZ32" s="218">
        <f>IF(126&gt;=DeliverStart,ExpAdvertisingPerUnit*TotalUnits/12*DZ$8*DZ$12,0)</f>
        <v/>
      </c>
      <c r="EA32" s="218">
        <f>IF(127&gt;=DeliverStart,ExpAdvertisingPerUnit*TotalUnits/12*EA$8*EA$12,0)</f>
        <v/>
      </c>
      <c r="EB32" s="218">
        <f>IF(128&gt;=DeliverStart,ExpAdvertisingPerUnit*TotalUnits/12*EB$8*EB$12,0)</f>
        <v/>
      </c>
      <c r="EC32" s="218">
        <f>IF(129&gt;=DeliverStart,ExpAdvertisingPerUnit*TotalUnits/12*EC$8*EC$12,0)</f>
        <v/>
      </c>
      <c r="ED32" s="218">
        <f>IF(130&gt;=DeliverStart,ExpAdvertisingPerUnit*TotalUnits/12*ED$8*ED$12,0)</f>
        <v/>
      </c>
      <c r="EE32" s="218">
        <f>IF(131&gt;=DeliverStart,ExpAdvertisingPerUnit*TotalUnits/12*EE$8*EE$12,0)</f>
        <v/>
      </c>
      <c r="EF32" s="218">
        <f>IF(132&gt;=DeliverStart,ExpAdvertisingPerUnit*TotalUnits/12*EF$8*EF$12,0)</f>
        <v/>
      </c>
      <c r="EG32" s="218">
        <f>IF(133&gt;=DeliverStart,ExpAdvertisingPerUnit*TotalUnits/12*EG$8*EG$12,0)</f>
        <v/>
      </c>
      <c r="EH32" s="218">
        <f>IF(134&gt;=DeliverStart,ExpAdvertisingPerUnit*TotalUnits/12*EH$8*EH$12,0)</f>
        <v/>
      </c>
      <c r="EI32" s="218">
        <f>IF(135&gt;=DeliverStart,ExpAdvertisingPerUnit*TotalUnits/12*EI$8*EI$12,0)</f>
        <v/>
      </c>
      <c r="EJ32" s="218">
        <f>IF(136&gt;=DeliverStart,ExpAdvertisingPerUnit*TotalUnits/12*EJ$8*EJ$12,0)</f>
        <v/>
      </c>
      <c r="EK32" s="218">
        <f>IF(137&gt;=DeliverStart,ExpAdvertisingPerUnit*TotalUnits/12*EK$8*EK$12,0)</f>
        <v/>
      </c>
      <c r="EL32" s="218">
        <f>IF(138&gt;=DeliverStart,ExpAdvertisingPerUnit*TotalUnits/12*EL$8*EL$12,0)</f>
        <v/>
      </c>
      <c r="EM32" s="218">
        <f>IF(139&gt;=DeliverStart,ExpAdvertisingPerUnit*TotalUnits/12*EM$8*EM$12,0)</f>
        <v/>
      </c>
      <c r="EN32" s="218">
        <f>IF(140&gt;=DeliverStart,ExpAdvertisingPerUnit*TotalUnits/12*EN$8*EN$12,0)</f>
        <v/>
      </c>
      <c r="EO32" s="218">
        <f>IF(141&gt;=DeliverStart,ExpAdvertisingPerUnit*TotalUnits/12*EO$8*EO$12,0)</f>
        <v/>
      </c>
      <c r="EP32" s="218">
        <f>IF(142&gt;=DeliverStart,ExpAdvertisingPerUnit*TotalUnits/12*EP$8*EP$12,0)</f>
        <v/>
      </c>
      <c r="EQ32" s="218">
        <f>IF(143&gt;=DeliverStart,ExpAdvertisingPerUnit*TotalUnits/12*EQ$8*EQ$12,0)</f>
        <v/>
      </c>
      <c r="ER32" s="218">
        <f>IF(144&gt;=DeliverStart,ExpAdvertisingPerUnit*TotalUnits/12*ER$8*ER$12,0)</f>
        <v/>
      </c>
      <c r="ES32" s="218">
        <f>IF(145&gt;=DeliverStart,ExpAdvertisingPerUnit*TotalUnits/12*ES$8*ES$12,0)</f>
        <v/>
      </c>
      <c r="ET32" s="218">
        <f>IF(146&gt;=DeliverStart,ExpAdvertisingPerUnit*TotalUnits/12*ET$8*ET$12,0)</f>
        <v/>
      </c>
      <c r="EU32" s="218">
        <f>IF(147&gt;=DeliverStart,ExpAdvertisingPerUnit*TotalUnits/12*EU$8*EU$12,0)</f>
        <v/>
      </c>
      <c r="EV32" s="218">
        <f>IF(148&gt;=DeliverStart,ExpAdvertisingPerUnit*TotalUnits/12*EV$8*EV$12,0)</f>
        <v/>
      </c>
      <c r="EW32" s="218">
        <f>IF(149&gt;=DeliverStart,ExpAdvertisingPerUnit*TotalUnits/12*EW$8*EW$12,0)</f>
        <v/>
      </c>
      <c r="EX32" s="218">
        <f>IF(150&gt;=DeliverStart,ExpAdvertisingPerUnit*TotalUnits/12*EX$8*EX$12,0)</f>
        <v/>
      </c>
      <c r="EY32" s="218">
        <f>IF(151&gt;=DeliverStart,ExpAdvertisingPerUnit*TotalUnits/12*EY$8*EY$12,0)</f>
        <v/>
      </c>
      <c r="EZ32" s="218">
        <f>IF(152&gt;=DeliverStart,ExpAdvertisingPerUnit*TotalUnits/12*EZ$8*EZ$12,0)</f>
        <v/>
      </c>
      <c r="FA32" s="218">
        <f>IF(153&gt;=DeliverStart,ExpAdvertisingPerUnit*TotalUnits/12*FA$8*FA$12,0)</f>
        <v/>
      </c>
      <c r="FB32" s="218">
        <f>IF(154&gt;=DeliverStart,ExpAdvertisingPerUnit*TotalUnits/12*FB$8*FB$12,0)</f>
        <v/>
      </c>
      <c r="FC32" s="218">
        <f>IF(155&gt;=DeliverStart,ExpAdvertisingPerUnit*TotalUnits/12*FC$8*FC$12,0)</f>
        <v/>
      </c>
      <c r="FD32" s="218">
        <f>IF(156&gt;=DeliverStart,ExpAdvertisingPerUnit*TotalUnits/12*FD$8*FD$12,0)</f>
        <v/>
      </c>
      <c r="FE32" s="218">
        <f>IF(157&gt;=DeliverStart,ExpAdvertisingPerUnit*TotalUnits/12*FE$8*FE$12,0)</f>
        <v/>
      </c>
      <c r="FF32" s="218">
        <f>IF(158&gt;=DeliverStart,ExpAdvertisingPerUnit*TotalUnits/12*FF$8*FF$12,0)</f>
        <v/>
      </c>
      <c r="FG32" s="218">
        <f>IF(159&gt;=DeliverStart,ExpAdvertisingPerUnit*TotalUnits/12*FG$8*FG$12,0)</f>
        <v/>
      </c>
      <c r="FH32" s="218">
        <f>IF(160&gt;=DeliverStart,ExpAdvertisingPerUnit*TotalUnits/12*FH$8*FH$12,0)</f>
        <v/>
      </c>
      <c r="FI32" s="218">
        <f>IF(161&gt;=DeliverStart,ExpAdvertisingPerUnit*TotalUnits/12*FI$8*FI$12,0)</f>
        <v/>
      </c>
      <c r="FJ32" s="218">
        <f>IF(162&gt;=DeliverStart,ExpAdvertisingPerUnit*TotalUnits/12*FJ$8*FJ$12,0)</f>
        <v/>
      </c>
      <c r="FK32" s="218">
        <f>IF(163&gt;=DeliverStart,ExpAdvertisingPerUnit*TotalUnits/12*FK$8*FK$12,0)</f>
        <v/>
      </c>
      <c r="FL32" s="218">
        <f>IF(164&gt;=DeliverStart,ExpAdvertisingPerUnit*TotalUnits/12*FL$8*FL$12,0)</f>
        <v/>
      </c>
      <c r="FM32" s="218">
        <f>IF(165&gt;=DeliverStart,ExpAdvertisingPerUnit*TotalUnits/12*FM$8*FM$12,0)</f>
        <v/>
      </c>
      <c r="FN32" s="218">
        <f>IF(166&gt;=DeliverStart,ExpAdvertisingPerUnit*TotalUnits/12*FN$8*FN$12,0)</f>
        <v/>
      </c>
      <c r="FO32" s="218">
        <f>IF(167&gt;=DeliverStart,ExpAdvertisingPerUnit*TotalUnits/12*FO$8*FO$12,0)</f>
        <v/>
      </c>
      <c r="FP32" s="218">
        <f>IF(168&gt;=DeliverStart,ExpAdvertisingPerUnit*TotalUnits/12*FP$8*FP$12,0)</f>
        <v/>
      </c>
      <c r="FQ32" s="218">
        <f>IF(169&gt;=DeliverStart,ExpAdvertisingPerUnit*TotalUnits/12*FQ$8*FQ$12,0)</f>
        <v/>
      </c>
      <c r="FR32" s="218">
        <f>IF(170&gt;=DeliverStart,ExpAdvertisingPerUnit*TotalUnits/12*FR$8*FR$12,0)</f>
        <v/>
      </c>
      <c r="FS32" s="218">
        <f>IF(171&gt;=DeliverStart,ExpAdvertisingPerUnit*TotalUnits/12*FS$8*FS$12,0)</f>
        <v/>
      </c>
      <c r="FT32" s="218">
        <f>IF(172&gt;=DeliverStart,ExpAdvertisingPerUnit*TotalUnits/12*FT$8*FT$12,0)</f>
        <v/>
      </c>
      <c r="FU32" s="218">
        <f>IF(173&gt;=DeliverStart,ExpAdvertisingPerUnit*TotalUnits/12*FU$8*FU$12,0)</f>
        <v/>
      </c>
      <c r="FV32" s="218">
        <f>IF(174&gt;=DeliverStart,ExpAdvertisingPerUnit*TotalUnits/12*FV$8*FV$12,0)</f>
        <v/>
      </c>
      <c r="FW32" s="218">
        <f>IF(175&gt;=DeliverStart,ExpAdvertisingPerUnit*TotalUnits/12*FW$8*FW$12,0)</f>
        <v/>
      </c>
      <c r="FX32" s="218">
        <f>IF(176&gt;=DeliverStart,ExpAdvertisingPerUnit*TotalUnits/12*FX$8*FX$12,0)</f>
        <v/>
      </c>
      <c r="FY32" s="218">
        <f>IF(177&gt;=DeliverStart,ExpAdvertisingPerUnit*TotalUnits/12*FY$8*FY$12,0)</f>
        <v/>
      </c>
      <c r="FZ32" s="218">
        <f>IF(178&gt;=DeliverStart,ExpAdvertisingPerUnit*TotalUnits/12*FZ$8*FZ$12,0)</f>
        <v/>
      </c>
      <c r="GA32" s="218">
        <f>IF(179&gt;=DeliverStart,ExpAdvertisingPerUnit*TotalUnits/12*GA$8*GA$12,0)</f>
        <v/>
      </c>
      <c r="GB32" s="218">
        <f>IF(180&gt;=DeliverStart,ExpAdvertisingPerUnit*TotalUnits/12*GB$8*GB$12,0)</f>
        <v/>
      </c>
      <c r="GC32" s="218">
        <f>IF(181&gt;=DeliverStart,ExpAdvertisingPerUnit*TotalUnits/12*GC$8*GC$12,0)</f>
        <v/>
      </c>
      <c r="GD32" s="218">
        <f>IF(182&gt;=DeliverStart,ExpAdvertisingPerUnit*TotalUnits/12*GD$8*GD$12,0)</f>
        <v/>
      </c>
      <c r="GE32" s="218">
        <f>IF(183&gt;=DeliverStart,ExpAdvertisingPerUnit*TotalUnits/12*GE$8*GE$12,0)</f>
        <v/>
      </c>
      <c r="GF32" s="218">
        <f>IF(184&gt;=DeliverStart,ExpAdvertisingPerUnit*TotalUnits/12*GF$8*GF$12,0)</f>
        <v/>
      </c>
      <c r="GG32" s="218">
        <f>IF(185&gt;=DeliverStart,ExpAdvertisingPerUnit*TotalUnits/12*GG$8*GG$12,0)</f>
        <v/>
      </c>
      <c r="GH32" s="218">
        <f>IF(186&gt;=DeliverStart,ExpAdvertisingPerUnit*TotalUnits/12*GH$8*GH$12,0)</f>
        <v/>
      </c>
      <c r="GI32" s="218">
        <f>IF(187&gt;=DeliverStart,ExpAdvertisingPerUnit*TotalUnits/12*GI$8*GI$12,0)</f>
        <v/>
      </c>
      <c r="GJ32" s="218">
        <f>IF(188&gt;=DeliverStart,ExpAdvertisingPerUnit*TotalUnits/12*GJ$8*GJ$12,0)</f>
        <v/>
      </c>
      <c r="GK32" s="218">
        <f>IF(189&gt;=DeliverStart,ExpAdvertisingPerUnit*TotalUnits/12*GK$8*GK$12,0)</f>
        <v/>
      </c>
      <c r="GL32" s="218">
        <f>IF(190&gt;=DeliverStart,ExpAdvertisingPerUnit*TotalUnits/12*GL$8*GL$12,0)</f>
        <v/>
      </c>
      <c r="GM32" s="218">
        <f>IF(191&gt;=DeliverStart,ExpAdvertisingPerUnit*TotalUnits/12*GM$8*GM$12,0)</f>
        <v/>
      </c>
      <c r="GN32" s="218">
        <f>IF(192&gt;=DeliverStart,ExpAdvertisingPerUnit*TotalUnits/12*GN$8*GN$12,0)</f>
        <v/>
      </c>
      <c r="GO32" s="218">
        <f>IF(193&gt;=DeliverStart,ExpAdvertisingPerUnit*TotalUnits/12*GO$8*GO$12,0)</f>
        <v/>
      </c>
      <c r="GP32" s="218">
        <f>IF(194&gt;=DeliverStart,ExpAdvertisingPerUnit*TotalUnits/12*GP$8*GP$12,0)</f>
        <v/>
      </c>
      <c r="GQ32" s="218">
        <f>IF(195&gt;=DeliverStart,ExpAdvertisingPerUnit*TotalUnits/12*GQ$8*GQ$12,0)</f>
        <v/>
      </c>
      <c r="GR32" s="218">
        <f>IF(196&gt;=DeliverStart,ExpAdvertisingPerUnit*TotalUnits/12*GR$8*GR$12,0)</f>
        <v/>
      </c>
      <c r="GS32" s="218">
        <f>IF(197&gt;=DeliverStart,ExpAdvertisingPerUnit*TotalUnits/12*GS$8*GS$12,0)</f>
        <v/>
      </c>
      <c r="GT32" s="218">
        <f>IF(198&gt;=DeliverStart,ExpAdvertisingPerUnit*TotalUnits/12*GT$8*GT$12,0)</f>
        <v/>
      </c>
      <c r="GU32" s="218">
        <f>IF(199&gt;=DeliverStart,ExpAdvertisingPerUnit*TotalUnits/12*GU$8*GU$12,0)</f>
        <v/>
      </c>
      <c r="GV32" s="218">
        <f>IF(200&gt;=DeliverStart,ExpAdvertisingPerUnit*TotalUnits/12*GV$8*GV$12,0)</f>
        <v/>
      </c>
      <c r="GW32" s="218">
        <f>IF(201&gt;=DeliverStart,ExpAdvertisingPerUnit*TotalUnits/12*GW$8*GW$12,0)</f>
        <v/>
      </c>
      <c r="GX32" s="218">
        <f>IF(202&gt;=DeliverStart,ExpAdvertisingPerUnit*TotalUnits/12*GX$8*GX$12,0)</f>
        <v/>
      </c>
      <c r="GY32" s="218">
        <f>IF(203&gt;=DeliverStart,ExpAdvertisingPerUnit*TotalUnits/12*GY$8*GY$12,0)</f>
        <v/>
      </c>
      <c r="GZ32" s="218">
        <f>IF(204&gt;=DeliverStart,ExpAdvertisingPerUnit*TotalUnits/12*GZ$8*GZ$12,0)</f>
        <v/>
      </c>
      <c r="HA32" s="218">
        <f>IF(205&gt;=DeliverStart,ExpAdvertisingPerUnit*TotalUnits/12*HA$8*HA$12,0)</f>
        <v/>
      </c>
      <c r="HB32" s="218">
        <f>IF(206&gt;=DeliverStart,ExpAdvertisingPerUnit*TotalUnits/12*HB$8*HB$12,0)</f>
        <v/>
      </c>
      <c r="HC32" s="218">
        <f>IF(207&gt;=DeliverStart,ExpAdvertisingPerUnit*TotalUnits/12*HC$8*HC$12,0)</f>
        <v/>
      </c>
      <c r="HD32" s="218">
        <f>IF(208&gt;=DeliverStart,ExpAdvertisingPerUnit*TotalUnits/12*HD$8*HD$12,0)</f>
        <v/>
      </c>
      <c r="HE32" s="218">
        <f>IF(209&gt;=DeliverStart,ExpAdvertisingPerUnit*TotalUnits/12*HE$8*HE$12,0)</f>
        <v/>
      </c>
      <c r="HF32" s="218">
        <f>IF(210&gt;=DeliverStart,ExpAdvertisingPerUnit*TotalUnits/12*HF$8*HF$12,0)</f>
        <v/>
      </c>
      <c r="HG32" s="218">
        <f>IF(211&gt;=DeliverStart,ExpAdvertisingPerUnit*TotalUnits/12*HG$8*HG$12,0)</f>
        <v/>
      </c>
      <c r="HH32" s="218">
        <f>IF(212&gt;=DeliverStart,ExpAdvertisingPerUnit*TotalUnits/12*HH$8*HH$12,0)</f>
        <v/>
      </c>
      <c r="HI32" s="218">
        <f>IF(213&gt;=DeliverStart,ExpAdvertisingPerUnit*TotalUnits/12*HI$8*HI$12,0)</f>
        <v/>
      </c>
      <c r="HJ32" s="218">
        <f>IF(214&gt;=DeliverStart,ExpAdvertisingPerUnit*TotalUnits/12*HJ$8*HJ$12,0)</f>
        <v/>
      </c>
      <c r="HK32" s="218">
        <f>IF(215&gt;=DeliverStart,ExpAdvertisingPerUnit*TotalUnits/12*HK$8*HK$12,0)</f>
        <v/>
      </c>
      <c r="HL32" s="218">
        <f>IF(216&gt;=DeliverStart,ExpAdvertisingPerUnit*TotalUnits/12*HL$8*HL$12,0)</f>
        <v/>
      </c>
      <c r="HM32" s="218">
        <f>IF(217&gt;=DeliverStart,ExpAdvertisingPerUnit*TotalUnits/12*HM$8*HM$12,0)</f>
        <v/>
      </c>
      <c r="HN32" s="218">
        <f>IF(218&gt;=DeliverStart,ExpAdvertisingPerUnit*TotalUnits/12*HN$8*HN$12,0)</f>
        <v/>
      </c>
      <c r="HO32" s="218">
        <f>IF(219&gt;=DeliverStart,ExpAdvertisingPerUnit*TotalUnits/12*HO$8*HO$12,0)</f>
        <v/>
      </c>
      <c r="HP32" s="218">
        <f>IF(220&gt;=DeliverStart,ExpAdvertisingPerUnit*TotalUnits/12*HP$8*HP$12,0)</f>
        <v/>
      </c>
      <c r="HQ32" s="218">
        <f>IF(221&gt;=DeliverStart,ExpAdvertisingPerUnit*TotalUnits/12*HQ$8*HQ$12,0)</f>
        <v/>
      </c>
      <c r="HR32" s="218">
        <f>IF(222&gt;=DeliverStart,ExpAdvertisingPerUnit*TotalUnits/12*HR$8*HR$12,0)</f>
        <v/>
      </c>
      <c r="HS32" s="218">
        <f>IF(223&gt;=DeliverStart,ExpAdvertisingPerUnit*TotalUnits/12*HS$8*HS$12,0)</f>
        <v/>
      </c>
      <c r="HT32" s="218">
        <f>IF(224&gt;=DeliverStart,ExpAdvertisingPerUnit*TotalUnits/12*HT$8*HT$12,0)</f>
        <v/>
      </c>
      <c r="HU32" s="218">
        <f>IF(225&gt;=DeliverStart,ExpAdvertisingPerUnit*TotalUnits/12*HU$8*HU$12,0)</f>
        <v/>
      </c>
      <c r="HV32" s="218">
        <f>IF(226&gt;=DeliverStart,ExpAdvertisingPerUnit*TotalUnits/12*HV$8*HV$12,0)</f>
        <v/>
      </c>
      <c r="HW32" s="218">
        <f>IF(227&gt;=DeliverStart,ExpAdvertisingPerUnit*TotalUnits/12*HW$8*HW$12,0)</f>
        <v/>
      </c>
      <c r="HX32" s="218">
        <f>IF(228&gt;=DeliverStart,ExpAdvertisingPerUnit*TotalUnits/12*HX$8*HX$12,0)</f>
        <v/>
      </c>
      <c r="HY32" s="218">
        <f>IF(229&gt;=DeliverStart,ExpAdvertisingPerUnit*TotalUnits/12*HY$8*HY$12,0)</f>
        <v/>
      </c>
      <c r="HZ32" s="218">
        <f>IF(230&gt;=DeliverStart,ExpAdvertisingPerUnit*TotalUnits/12*HZ$8*HZ$12,0)</f>
        <v/>
      </c>
      <c r="IA32" s="218">
        <f>IF(231&gt;=DeliverStart,ExpAdvertisingPerUnit*TotalUnits/12*IA$8*IA$12,0)</f>
        <v/>
      </c>
      <c r="IB32" s="218">
        <f>IF(232&gt;=DeliverStart,ExpAdvertisingPerUnit*TotalUnits/12*IB$8*IB$12,0)</f>
        <v/>
      </c>
      <c r="IC32" s="218">
        <f>IF(233&gt;=DeliverStart,ExpAdvertisingPerUnit*TotalUnits/12*IC$8*IC$12,0)</f>
        <v/>
      </c>
      <c r="ID32" s="218">
        <f>IF(234&gt;=DeliverStart,ExpAdvertisingPerUnit*TotalUnits/12*ID$8*ID$12,0)</f>
        <v/>
      </c>
      <c r="IE32" s="218">
        <f>IF(235&gt;=DeliverStart,ExpAdvertisingPerUnit*TotalUnits/12*IE$8*IE$12,0)</f>
        <v/>
      </c>
      <c r="IF32" s="218">
        <f>IF(236&gt;=DeliverStart,ExpAdvertisingPerUnit*TotalUnits/12*IF$8*IF$12,0)</f>
        <v/>
      </c>
      <c r="IG32" s="218">
        <f>IF(237&gt;=DeliverStart,ExpAdvertisingPerUnit*TotalUnits/12*IG$8*IG$12,0)</f>
        <v/>
      </c>
      <c r="IH32" s="218">
        <f>IF(238&gt;=DeliverStart,ExpAdvertisingPerUnit*TotalUnits/12*IH$8*IH$12,0)</f>
        <v/>
      </c>
      <c r="II32" s="218">
        <f>IF(239&gt;=DeliverStart,ExpAdvertisingPerUnit*TotalUnits/12*II$8*II$12,0)</f>
        <v/>
      </c>
      <c r="IJ32" s="218">
        <f>IF(240&gt;=DeliverStart,ExpAdvertisingPerUnit*TotalUnits/12*IJ$8*IJ$12,0)</f>
        <v/>
      </c>
      <c r="IK32" s="218">
        <f>IF(241&gt;=DeliverStart,ExpAdvertisingPerUnit*TotalUnits/12*IK$8*IK$12,0)</f>
        <v/>
      </c>
      <c r="IL32" s="218">
        <f>IF(242&gt;=DeliverStart,ExpAdvertisingPerUnit*TotalUnits/12*IL$8*IL$12,0)</f>
        <v/>
      </c>
      <c r="IM32" s="218">
        <f>IF(243&gt;=DeliverStart,ExpAdvertisingPerUnit*TotalUnits/12*IM$8*IM$12,0)</f>
        <v/>
      </c>
      <c r="IN32" s="218">
        <f>IF(244&gt;=DeliverStart,ExpAdvertisingPerUnit*TotalUnits/12*IN$8*IN$12,0)</f>
        <v/>
      </c>
      <c r="IO32" s="218">
        <f>IF(245&gt;=DeliverStart,ExpAdvertisingPerUnit*TotalUnits/12*IO$8*IO$12,0)</f>
        <v/>
      </c>
      <c r="IP32" s="218">
        <f>IF(246&gt;=DeliverStart,ExpAdvertisingPerUnit*TotalUnits/12*IP$8*IP$12,0)</f>
        <v/>
      </c>
      <c r="IQ32" s="218">
        <f>IF(247&gt;=DeliverStart,ExpAdvertisingPerUnit*TotalUnits/12*IQ$8*IQ$12,0)</f>
        <v/>
      </c>
      <c r="IR32" s="218">
        <f>IF(248&gt;=DeliverStart,ExpAdvertisingPerUnit*TotalUnits/12*IR$8*IR$12,0)</f>
        <v/>
      </c>
      <c r="IS32" s="218">
        <f>IF(249&gt;=DeliverStart,ExpAdvertisingPerUnit*TotalUnits/12*IS$8*IS$12,0)</f>
        <v/>
      </c>
      <c r="IT32" s="218">
        <f>IF(250&gt;=DeliverStart,ExpAdvertisingPerUnit*TotalUnits/12*IT$8*IT$12,0)</f>
        <v/>
      </c>
      <c r="IU32" s="218">
        <f>IF(251&gt;=DeliverStart,ExpAdvertisingPerUnit*TotalUnits/12*IU$8*IU$12,0)</f>
        <v/>
      </c>
      <c r="IV32" s="218">
        <f>IF(252&gt;=DeliverStart,ExpAdvertisingPerUnit*TotalUnits/12*IV$8*IV$12,0)</f>
        <v/>
      </c>
      <c r="IW32" s="218">
        <f>IF(253&gt;=DeliverStart,ExpAdvertisingPerUnit*TotalUnits/12*IW$8*IW$12,0)</f>
        <v/>
      </c>
      <c r="IX32" s="218">
        <f>IF(254&gt;=DeliverStart,ExpAdvertisingPerUnit*TotalUnits/12*IX$8*IX$12,0)</f>
        <v/>
      </c>
      <c r="IY32" s="218">
        <f>IF(255&gt;=DeliverStart,ExpAdvertisingPerUnit*TotalUnits/12*IY$8*IY$12,0)</f>
        <v/>
      </c>
      <c r="IZ32" s="218">
        <f>IF(256&gt;=DeliverStart,ExpAdvertisingPerUnit*TotalUnits/12*IZ$8*IZ$12,0)</f>
        <v/>
      </c>
      <c r="JA32" s="218">
        <f>IF(257&gt;=DeliverStart,ExpAdvertisingPerUnit*TotalUnits/12*JA$8*JA$12,0)</f>
        <v/>
      </c>
      <c r="JB32" s="218">
        <f>IF(258&gt;=DeliverStart,ExpAdvertisingPerUnit*TotalUnits/12*JB$8*JB$12,0)</f>
        <v/>
      </c>
      <c r="JC32" s="218">
        <f>IF(259&gt;=DeliverStart,ExpAdvertisingPerUnit*TotalUnits/12*JC$8*JC$12,0)</f>
        <v/>
      </c>
      <c r="JD32" s="218">
        <f>IF(260&gt;=DeliverStart,ExpAdvertisingPerUnit*TotalUnits/12*JD$8*JD$12,0)</f>
        <v/>
      </c>
      <c r="JE32" s="218">
        <f>IF(261&gt;=DeliverStart,ExpAdvertisingPerUnit*TotalUnits/12*JE$8*JE$12,0)</f>
        <v/>
      </c>
      <c r="JF32" s="218">
        <f>IF(262&gt;=DeliverStart,ExpAdvertisingPerUnit*TotalUnits/12*JF$8*JF$12,0)</f>
        <v/>
      </c>
      <c r="JG32" s="218">
        <f>IF(263&gt;=DeliverStart,ExpAdvertisingPerUnit*TotalUnits/12*JG$8*JG$12,0)</f>
        <v/>
      </c>
      <c r="JH32" s="218">
        <f>IF(264&gt;=DeliverStart,ExpAdvertisingPerUnit*TotalUnits/12*JH$8*JH$12,0)</f>
        <v/>
      </c>
      <c r="JI32" s="218">
        <f>IF(265&gt;=DeliverStart,ExpAdvertisingPerUnit*TotalUnits/12*JI$8*JI$12,0)</f>
        <v/>
      </c>
      <c r="JJ32" s="218">
        <f>IF(266&gt;=DeliverStart,ExpAdvertisingPerUnit*TotalUnits/12*JJ$8*JJ$12,0)</f>
        <v/>
      </c>
      <c r="JK32" s="218">
        <f>IF(267&gt;=DeliverStart,ExpAdvertisingPerUnit*TotalUnits/12*JK$8*JK$12,0)</f>
        <v/>
      </c>
      <c r="JL32" s="218">
        <f>IF(268&gt;=DeliverStart,ExpAdvertisingPerUnit*TotalUnits/12*JL$8*JL$12,0)</f>
        <v/>
      </c>
      <c r="JM32" s="218">
        <f>IF(269&gt;=DeliverStart,ExpAdvertisingPerUnit*TotalUnits/12*JM$8*JM$12,0)</f>
        <v/>
      </c>
      <c r="JN32" s="218">
        <f>IF(270&gt;=DeliverStart,ExpAdvertisingPerUnit*TotalUnits/12*JN$8*JN$12,0)</f>
        <v/>
      </c>
      <c r="JO32" s="218">
        <f>IF(271&gt;=DeliverStart,ExpAdvertisingPerUnit*TotalUnits/12*JO$8*JO$12,0)</f>
        <v/>
      </c>
      <c r="JP32" s="218">
        <f>IF(272&gt;=DeliverStart,ExpAdvertisingPerUnit*TotalUnits/12*JP$8*JP$12,0)</f>
        <v/>
      </c>
      <c r="JQ32" s="218">
        <f>IF(273&gt;=DeliverStart,ExpAdvertisingPerUnit*TotalUnits/12*JQ$8*JQ$12,0)</f>
        <v/>
      </c>
      <c r="JR32" s="218">
        <f>IF(274&gt;=DeliverStart,ExpAdvertisingPerUnit*TotalUnits/12*JR$8*JR$12,0)</f>
        <v/>
      </c>
      <c r="JS32" s="218">
        <f>IF(275&gt;=DeliverStart,ExpAdvertisingPerUnit*TotalUnits/12*JS$8*JS$12,0)</f>
        <v/>
      </c>
      <c r="JT32" s="218">
        <f>IF(276&gt;=DeliverStart,ExpAdvertisingPerUnit*TotalUnits/12*JT$8*JT$12,0)</f>
        <v/>
      </c>
      <c r="JU32" s="218">
        <f>IF(277&gt;=DeliverStart,ExpAdvertisingPerUnit*TotalUnits/12*JU$8*JU$12,0)</f>
        <v/>
      </c>
      <c r="JV32" s="218">
        <f>IF(278&gt;=DeliverStart,ExpAdvertisingPerUnit*TotalUnits/12*JV$8*JV$12,0)</f>
        <v/>
      </c>
      <c r="JW32" s="218">
        <f>IF(279&gt;=DeliverStart,ExpAdvertisingPerUnit*TotalUnits/12*JW$8*JW$12,0)</f>
        <v/>
      </c>
      <c r="JX32" s="218">
        <f>IF(280&gt;=DeliverStart,ExpAdvertisingPerUnit*TotalUnits/12*JX$8*JX$12,0)</f>
        <v/>
      </c>
      <c r="JY32" s="218">
        <f>IF(281&gt;=DeliverStart,ExpAdvertisingPerUnit*TotalUnits/12*JY$8*JY$12,0)</f>
        <v/>
      </c>
      <c r="JZ32" s="218">
        <f>IF(282&gt;=DeliverStart,ExpAdvertisingPerUnit*TotalUnits/12*JZ$8*JZ$12,0)</f>
        <v/>
      </c>
      <c r="KA32" s="218">
        <f>IF(283&gt;=DeliverStart,ExpAdvertisingPerUnit*TotalUnits/12*KA$8*KA$12,0)</f>
        <v/>
      </c>
      <c r="KB32" s="218">
        <f>IF(284&gt;=DeliverStart,ExpAdvertisingPerUnit*TotalUnits/12*KB$8*KB$12,0)</f>
        <v/>
      </c>
      <c r="KC32" s="218">
        <f>IF(285&gt;=DeliverStart,ExpAdvertisingPerUnit*TotalUnits/12*KC$8*KC$12,0)</f>
        <v/>
      </c>
      <c r="KD32" s="218">
        <f>IF(286&gt;=DeliverStart,ExpAdvertisingPerUnit*TotalUnits/12*KD$8*KD$12,0)</f>
        <v/>
      </c>
      <c r="KE32" s="218">
        <f>IF(287&gt;=DeliverStart,ExpAdvertisingPerUnit*TotalUnits/12*KE$8*KE$12,0)</f>
        <v/>
      </c>
      <c r="KF32" s="218">
        <f>IF(288&gt;=DeliverStart,ExpAdvertisingPerUnit*TotalUnits/12*KF$8*KF$12,0)</f>
        <v/>
      </c>
      <c r="KG32" s="218">
        <f>IF(289&gt;=DeliverStart,ExpAdvertisingPerUnit*TotalUnits/12*KG$8*KG$12,0)</f>
        <v/>
      </c>
      <c r="KH32" s="218">
        <f>IF(290&gt;=DeliverStart,ExpAdvertisingPerUnit*TotalUnits/12*KH$8*KH$12,0)</f>
        <v/>
      </c>
      <c r="KI32" s="218">
        <f>IF(291&gt;=DeliverStart,ExpAdvertisingPerUnit*TotalUnits/12*KI$8*KI$12,0)</f>
        <v/>
      </c>
      <c r="KJ32" s="218">
        <f>IF(292&gt;=DeliverStart,ExpAdvertisingPerUnit*TotalUnits/12*KJ$8*KJ$12,0)</f>
        <v/>
      </c>
      <c r="KK32" s="218">
        <f>IF(293&gt;=DeliverStart,ExpAdvertisingPerUnit*TotalUnits/12*KK$8*KK$12,0)</f>
        <v/>
      </c>
      <c r="KL32" s="218">
        <f>IF(294&gt;=DeliverStart,ExpAdvertisingPerUnit*TotalUnits/12*KL$8*KL$12,0)</f>
        <v/>
      </c>
      <c r="KM32" s="218">
        <f>IF(295&gt;=DeliverStart,ExpAdvertisingPerUnit*TotalUnits/12*KM$8*KM$12,0)</f>
        <v/>
      </c>
      <c r="KN32" s="218">
        <f>IF(296&gt;=DeliverStart,ExpAdvertisingPerUnit*TotalUnits/12*KN$8*KN$12,0)</f>
        <v/>
      </c>
      <c r="KO32" s="218">
        <f>IF(297&gt;=DeliverStart,ExpAdvertisingPerUnit*TotalUnits/12*KO$8*KO$12,0)</f>
        <v/>
      </c>
      <c r="KP32" s="218">
        <f>IF(298&gt;=DeliverStart,ExpAdvertisingPerUnit*TotalUnits/12*KP$8*KP$12,0)</f>
        <v/>
      </c>
      <c r="KQ32" s="218">
        <f>IF(299&gt;=DeliverStart,ExpAdvertisingPerUnit*TotalUnits/12*KQ$8*KQ$12,0)</f>
        <v/>
      </c>
      <c r="KR32" s="218">
        <f>IF(300&gt;=DeliverStart,ExpAdvertisingPerUnit*TotalUnits/12*KR$8*KR$12,0)</f>
        <v/>
      </c>
      <c r="KS32" s="218">
        <f>IF(301&gt;=DeliverStart,ExpAdvertisingPerUnit*TotalUnits/12*KS$8*KS$12,0)</f>
        <v/>
      </c>
      <c r="KT32" s="218">
        <f>IF(302&gt;=DeliverStart,ExpAdvertisingPerUnit*TotalUnits/12*KT$8*KT$12,0)</f>
        <v/>
      </c>
      <c r="KU32" s="218">
        <f>IF(303&gt;=DeliverStart,ExpAdvertisingPerUnit*TotalUnits/12*KU$8*KU$12,0)</f>
        <v/>
      </c>
      <c r="KV32" s="218">
        <f>IF(304&gt;=DeliverStart,ExpAdvertisingPerUnit*TotalUnits/12*KV$8*KV$12,0)</f>
        <v/>
      </c>
      <c r="KW32" s="218">
        <f>IF(305&gt;=DeliverStart,ExpAdvertisingPerUnit*TotalUnits/12*KW$8*KW$12,0)</f>
        <v/>
      </c>
      <c r="KX32" s="218">
        <f>IF(306&gt;=DeliverStart,ExpAdvertisingPerUnit*TotalUnits/12*KX$8*KX$12,0)</f>
        <v/>
      </c>
      <c r="KY32" s="218">
        <f>IF(307&gt;=DeliverStart,ExpAdvertisingPerUnit*TotalUnits/12*KY$8*KY$12,0)</f>
        <v/>
      </c>
      <c r="KZ32" s="218">
        <f>IF(308&gt;=DeliverStart,ExpAdvertisingPerUnit*TotalUnits/12*KZ$8*KZ$12,0)</f>
        <v/>
      </c>
      <c r="LA32" s="218">
        <f>IF(309&gt;=DeliverStart,ExpAdvertisingPerUnit*TotalUnits/12*LA$8*LA$12,0)</f>
        <v/>
      </c>
      <c r="LB32" s="218">
        <f>IF(310&gt;=DeliverStart,ExpAdvertisingPerUnit*TotalUnits/12*LB$8*LB$12,0)</f>
        <v/>
      </c>
      <c r="LC32" s="218">
        <f>IF(311&gt;=DeliverStart,ExpAdvertisingPerUnit*TotalUnits/12*LC$8*LC$12,0)</f>
        <v/>
      </c>
      <c r="LD32" s="218">
        <f>IF(312&gt;=DeliverStart,ExpAdvertisingPerUnit*TotalUnits/12*LD$8*LD$12,0)</f>
        <v/>
      </c>
      <c r="LE32" s="218">
        <f>IF(313&gt;=DeliverStart,ExpAdvertisingPerUnit*TotalUnits/12*LE$8*LE$12,0)</f>
        <v/>
      </c>
      <c r="LF32" s="218">
        <f>IF(314&gt;=DeliverStart,ExpAdvertisingPerUnit*TotalUnits/12*LF$8*LF$12,0)</f>
        <v/>
      </c>
      <c r="LG32" s="218">
        <f>IF(315&gt;=DeliverStart,ExpAdvertisingPerUnit*TotalUnits/12*LG$8*LG$12,0)</f>
        <v/>
      </c>
      <c r="LH32" s="218">
        <f>IF(316&gt;=DeliverStart,ExpAdvertisingPerUnit*TotalUnits/12*LH$8*LH$12,0)</f>
        <v/>
      </c>
      <c r="LI32" s="218">
        <f>IF(317&gt;=DeliverStart,ExpAdvertisingPerUnit*TotalUnits/12*LI$8*LI$12,0)</f>
        <v/>
      </c>
      <c r="LJ32" s="218">
        <f>IF(318&gt;=DeliverStart,ExpAdvertisingPerUnit*TotalUnits/12*LJ$8*LJ$12,0)</f>
        <v/>
      </c>
      <c r="LK32" s="218">
        <f>IF(319&gt;=DeliverStart,ExpAdvertisingPerUnit*TotalUnits/12*LK$8*LK$12,0)</f>
        <v/>
      </c>
      <c r="LL32" s="218">
        <f>IF(320&gt;=DeliverStart,ExpAdvertisingPerUnit*TotalUnits/12*LL$8*LL$12,0)</f>
        <v/>
      </c>
      <c r="LM32" s="218">
        <f>IF(321&gt;=DeliverStart,ExpAdvertisingPerUnit*TotalUnits/12*LM$8*LM$12,0)</f>
        <v/>
      </c>
      <c r="LN32" s="218">
        <f>IF(322&gt;=DeliverStart,ExpAdvertisingPerUnit*TotalUnits/12*LN$8*LN$12,0)</f>
        <v/>
      </c>
      <c r="LO32" s="218">
        <f>IF(323&gt;=DeliverStart,ExpAdvertisingPerUnit*TotalUnits/12*LO$8*LO$12,0)</f>
        <v/>
      </c>
      <c r="LP32" s="218">
        <f>IF(324&gt;=DeliverStart,ExpAdvertisingPerUnit*TotalUnits/12*LP$8*LP$12,0)</f>
        <v/>
      </c>
      <c r="LQ32" s="218">
        <f>IF(325&gt;=DeliverStart,ExpAdvertisingPerUnit*TotalUnits/12*LQ$8*LQ$12,0)</f>
        <v/>
      </c>
      <c r="LR32" s="218">
        <f>IF(326&gt;=DeliverStart,ExpAdvertisingPerUnit*TotalUnits/12*LR$8*LR$12,0)</f>
        <v/>
      </c>
      <c r="LS32" s="218">
        <f>IF(327&gt;=DeliverStart,ExpAdvertisingPerUnit*TotalUnits/12*LS$8*LS$12,0)</f>
        <v/>
      </c>
      <c r="LT32" s="218">
        <f>IF(328&gt;=DeliverStart,ExpAdvertisingPerUnit*TotalUnits/12*LT$8*LT$12,0)</f>
        <v/>
      </c>
      <c r="LU32" s="218">
        <f>IF(329&gt;=DeliverStart,ExpAdvertisingPerUnit*TotalUnits/12*LU$8*LU$12,0)</f>
        <v/>
      </c>
      <c r="LV32" s="218">
        <f>IF(330&gt;=DeliverStart,ExpAdvertisingPerUnit*TotalUnits/12*LV$8*LV$12,0)</f>
        <v/>
      </c>
      <c r="LW32" s="218">
        <f>IF(331&gt;=DeliverStart,ExpAdvertisingPerUnit*TotalUnits/12*LW$8*LW$12,0)</f>
        <v/>
      </c>
      <c r="LX32" s="218">
        <f>IF(332&gt;=DeliverStart,ExpAdvertisingPerUnit*TotalUnits/12*LX$8*LX$12,0)</f>
        <v/>
      </c>
      <c r="LY32" s="218">
        <f>IF(333&gt;=DeliverStart,ExpAdvertisingPerUnit*TotalUnits/12*LY$8*LY$12,0)</f>
        <v/>
      </c>
      <c r="LZ32" s="218">
        <f>IF(334&gt;=DeliverStart,ExpAdvertisingPerUnit*TotalUnits/12*LZ$8*LZ$12,0)</f>
        <v/>
      </c>
      <c r="MA32" s="218">
        <f>IF(335&gt;=DeliverStart,ExpAdvertisingPerUnit*TotalUnits/12*MA$8*MA$12,0)</f>
        <v/>
      </c>
      <c r="MB32" s="218">
        <f>IF(336&gt;=DeliverStart,ExpAdvertisingPerUnit*TotalUnits/12*MB$8*MB$12,0)</f>
        <v/>
      </c>
      <c r="MC32" s="218">
        <f>IF(337&gt;=DeliverStart,ExpAdvertisingPerUnit*TotalUnits/12*MC$8*MC$12,0)</f>
        <v/>
      </c>
      <c r="MD32" s="218">
        <f>IF(338&gt;=DeliverStart,ExpAdvertisingPerUnit*TotalUnits/12*MD$8*MD$12,0)</f>
        <v/>
      </c>
      <c r="ME32" s="218">
        <f>IF(339&gt;=DeliverStart,ExpAdvertisingPerUnit*TotalUnits/12*ME$8*ME$12,0)</f>
        <v/>
      </c>
      <c r="MF32" s="218">
        <f>IF(340&gt;=DeliverStart,ExpAdvertisingPerUnit*TotalUnits/12*MF$8*MF$12,0)</f>
        <v/>
      </c>
      <c r="MG32" s="218">
        <f>IF(341&gt;=DeliverStart,ExpAdvertisingPerUnit*TotalUnits/12*MG$8*MG$12,0)</f>
        <v/>
      </c>
      <c r="MH32" s="218">
        <f>IF(342&gt;=DeliverStart,ExpAdvertisingPerUnit*TotalUnits/12*MH$8*MH$12,0)</f>
        <v/>
      </c>
      <c r="MI32" s="218">
        <f>IF(343&gt;=DeliverStart,ExpAdvertisingPerUnit*TotalUnits/12*MI$8*MI$12,0)</f>
        <v/>
      </c>
      <c r="MJ32" s="218">
        <f>IF(344&gt;=DeliverStart,ExpAdvertisingPerUnit*TotalUnits/12*MJ$8*MJ$12,0)</f>
        <v/>
      </c>
      <c r="MK32" s="218">
        <f>IF(345&gt;=DeliverStart,ExpAdvertisingPerUnit*TotalUnits/12*MK$8*MK$12,0)</f>
        <v/>
      </c>
      <c r="ML32" s="218">
        <f>IF(346&gt;=DeliverStart,ExpAdvertisingPerUnit*TotalUnits/12*ML$8*ML$12,0)</f>
        <v/>
      </c>
      <c r="MM32" s="218">
        <f>IF(347&gt;=DeliverStart,ExpAdvertisingPerUnit*TotalUnits/12*MM$8*MM$12,0)</f>
        <v/>
      </c>
      <c r="MN32" s="218">
        <f>IF(348&gt;=DeliverStart,ExpAdvertisingPerUnit*TotalUnits/12*MN$8*MN$12,0)</f>
        <v/>
      </c>
      <c r="MO32" s="218">
        <f>IF(349&gt;=DeliverStart,ExpAdvertisingPerUnit*TotalUnits/12*MO$8*MO$12,0)</f>
        <v/>
      </c>
      <c r="MP32" s="218">
        <f>IF(350&gt;=DeliverStart,ExpAdvertisingPerUnit*TotalUnits/12*MP$8*MP$12,0)</f>
        <v/>
      </c>
      <c r="MQ32" s="218">
        <f>IF(351&gt;=DeliverStart,ExpAdvertisingPerUnit*TotalUnits/12*MQ$8*MQ$12,0)</f>
        <v/>
      </c>
      <c r="MR32" s="218">
        <f>IF(352&gt;=DeliverStart,ExpAdvertisingPerUnit*TotalUnits/12*MR$8*MR$12,0)</f>
        <v/>
      </c>
      <c r="MS32" s="218">
        <f>IF(353&gt;=DeliverStart,ExpAdvertisingPerUnit*TotalUnits/12*MS$8*MS$12,0)</f>
        <v/>
      </c>
      <c r="MT32" s="218">
        <f>IF(354&gt;=DeliverStart,ExpAdvertisingPerUnit*TotalUnits/12*MT$8*MT$12,0)</f>
        <v/>
      </c>
      <c r="MU32" s="218">
        <f>IF(355&gt;=DeliverStart,ExpAdvertisingPerUnit*TotalUnits/12*MU$8*MU$12,0)</f>
        <v/>
      </c>
      <c r="MV32" s="218">
        <f>IF(356&gt;=DeliverStart,ExpAdvertisingPerUnit*TotalUnits/12*MV$8*MV$12,0)</f>
        <v/>
      </c>
      <c r="MW32" s="218">
        <f>IF(357&gt;=DeliverStart,ExpAdvertisingPerUnit*TotalUnits/12*MW$8*MW$12,0)</f>
        <v/>
      </c>
      <c r="MX32" s="218">
        <f>IF(358&gt;=DeliverStart,ExpAdvertisingPerUnit*TotalUnits/12*MX$8*MX$12,0)</f>
        <v/>
      </c>
      <c r="MY32" s="218">
        <f>IF(359&gt;=DeliverStart,ExpAdvertisingPerUnit*TotalUnits/12*MY$8*MY$12,0)</f>
        <v/>
      </c>
      <c r="MZ32" s="218">
        <f>IF(360&gt;=DeliverStart,ExpAdvertisingPerUnit*TotalUnits/12*MZ$8*MZ$12,0)</f>
        <v/>
      </c>
      <c r="NA32" s="218">
        <f>IF(361&gt;=DeliverStart,ExpAdvertisingPerUnit*TotalUnits/12*NA$8*NA$12,0)</f>
        <v/>
      </c>
      <c r="NB32" s="218">
        <f>IF(362&gt;=DeliverStart,ExpAdvertisingPerUnit*TotalUnits/12*NB$8*NB$12,0)</f>
        <v/>
      </c>
      <c r="NC32" s="218">
        <f>IF(363&gt;=DeliverStart,ExpAdvertisingPerUnit*TotalUnits/12*NC$8*NC$12,0)</f>
        <v/>
      </c>
      <c r="ND32" s="218">
        <f>IF(364&gt;=DeliverStart,ExpAdvertisingPerUnit*TotalUnits/12*ND$8*ND$12,0)</f>
        <v/>
      </c>
      <c r="NE32" s="218">
        <f>IF(365&gt;=DeliverStart,ExpAdvertisingPerUnit*TotalUnits/12*NE$8*NE$12,0)</f>
        <v/>
      </c>
      <c r="NF32" s="218">
        <f>IF(366&gt;=DeliverStart,ExpAdvertisingPerUnit*TotalUnits/12*NF$8*NF$12,0)</f>
        <v/>
      </c>
      <c r="NG32" s="218">
        <f>IF(367&gt;=DeliverStart,ExpAdvertisingPerUnit*TotalUnits/12*NG$8*NG$12,0)</f>
        <v/>
      </c>
      <c r="NH32" s="218">
        <f>IF(368&gt;=DeliverStart,ExpAdvertisingPerUnit*TotalUnits/12*NH$8*NH$12,0)</f>
        <v/>
      </c>
      <c r="NI32" s="218">
        <f>IF(369&gt;=DeliverStart,ExpAdvertisingPerUnit*TotalUnits/12*NI$8*NI$12,0)</f>
        <v/>
      </c>
      <c r="NJ32" s="218">
        <f>IF(370&gt;=DeliverStart,ExpAdvertisingPerUnit*TotalUnits/12*NJ$8*NJ$12,0)</f>
        <v/>
      </c>
      <c r="NK32" s="218">
        <f>IF(371&gt;=DeliverStart,ExpAdvertisingPerUnit*TotalUnits/12*NK$8*NK$12,0)</f>
        <v/>
      </c>
      <c r="NL32" s="225">
        <f>IF(372&gt;=DeliverStart,ExpAdvertisingPerUnit*TotalUnits/12*NL$8*NL$12,0)</f>
        <v/>
      </c>
    </row>
    <row r="33">
      <c r="B33" s="36" t="inlineStr">
        <is>
          <t>Management Fee</t>
        </is>
      </c>
      <c r="D33" s="266">
        <f>SUM(E33:NL33)</f>
        <v/>
      </c>
      <c r="E33" s="218">
        <f>IF(1&gt;=DeliverStart,MgmtFeePct*E$23,0)</f>
        <v/>
      </c>
      <c r="F33" s="218">
        <f>IF(2&gt;=DeliverStart,MgmtFeePct*F$23,0)</f>
        <v/>
      </c>
      <c r="G33" s="218">
        <f>IF(3&gt;=DeliverStart,MgmtFeePct*G$23,0)</f>
        <v/>
      </c>
      <c r="H33" s="218">
        <f>IF(4&gt;=DeliverStart,MgmtFeePct*H$23,0)</f>
        <v/>
      </c>
      <c r="I33" s="218">
        <f>IF(5&gt;=DeliverStart,MgmtFeePct*I$23,0)</f>
        <v/>
      </c>
      <c r="J33" s="218">
        <f>IF(6&gt;=DeliverStart,MgmtFeePct*J$23,0)</f>
        <v/>
      </c>
      <c r="K33" s="218">
        <f>IF(7&gt;=DeliverStart,MgmtFeePct*K$23,0)</f>
        <v/>
      </c>
      <c r="L33" s="218">
        <f>IF(8&gt;=DeliverStart,MgmtFeePct*L$23,0)</f>
        <v/>
      </c>
      <c r="M33" s="218">
        <f>IF(9&gt;=DeliverStart,MgmtFeePct*M$23,0)</f>
        <v/>
      </c>
      <c r="N33" s="218">
        <f>IF(10&gt;=DeliverStart,MgmtFeePct*N$23,0)</f>
        <v/>
      </c>
      <c r="O33" s="218">
        <f>IF(11&gt;=DeliverStart,MgmtFeePct*O$23,0)</f>
        <v/>
      </c>
      <c r="P33" s="218">
        <f>IF(12&gt;=DeliverStart,MgmtFeePct*P$23,0)</f>
        <v/>
      </c>
      <c r="Q33" s="218">
        <f>IF(13&gt;=DeliverStart,MgmtFeePct*Q$23,0)</f>
        <v/>
      </c>
      <c r="R33" s="218">
        <f>IF(14&gt;=DeliverStart,MgmtFeePct*R$23,0)</f>
        <v/>
      </c>
      <c r="S33" s="218">
        <f>IF(15&gt;=DeliverStart,MgmtFeePct*S$23,0)</f>
        <v/>
      </c>
      <c r="T33" s="218">
        <f>IF(16&gt;=DeliverStart,MgmtFeePct*T$23,0)</f>
        <v/>
      </c>
      <c r="U33" s="218">
        <f>IF(17&gt;=DeliverStart,MgmtFeePct*U$23,0)</f>
        <v/>
      </c>
      <c r="V33" s="218">
        <f>IF(18&gt;=DeliverStart,MgmtFeePct*V$23,0)</f>
        <v/>
      </c>
      <c r="W33" s="218">
        <f>IF(19&gt;=DeliverStart,MgmtFeePct*W$23,0)</f>
        <v/>
      </c>
      <c r="X33" s="218">
        <f>IF(20&gt;=DeliverStart,MgmtFeePct*X$23,0)</f>
        <v/>
      </c>
      <c r="Y33" s="218">
        <f>IF(21&gt;=DeliverStart,MgmtFeePct*Y$23,0)</f>
        <v/>
      </c>
      <c r="Z33" s="218">
        <f>IF(22&gt;=DeliverStart,MgmtFeePct*Z$23,0)</f>
        <v/>
      </c>
      <c r="AA33" s="218">
        <f>IF(23&gt;=DeliverStart,MgmtFeePct*AA$23,0)</f>
        <v/>
      </c>
      <c r="AB33" s="218">
        <f>IF(24&gt;=DeliverStart,MgmtFeePct*AB$23,0)</f>
        <v/>
      </c>
      <c r="AC33" s="218">
        <f>IF(25&gt;=DeliverStart,MgmtFeePct*AC$23,0)</f>
        <v/>
      </c>
      <c r="AD33" s="218">
        <f>IF(26&gt;=DeliverStart,MgmtFeePct*AD$23,0)</f>
        <v/>
      </c>
      <c r="AE33" s="218">
        <f>IF(27&gt;=DeliverStart,MgmtFeePct*AE$23,0)</f>
        <v/>
      </c>
      <c r="AF33" s="218">
        <f>IF(28&gt;=DeliverStart,MgmtFeePct*AF$23,0)</f>
        <v/>
      </c>
      <c r="AG33" s="218">
        <f>IF(29&gt;=DeliverStart,MgmtFeePct*AG$23,0)</f>
        <v/>
      </c>
      <c r="AH33" s="218">
        <f>IF(30&gt;=DeliverStart,MgmtFeePct*AH$23,0)</f>
        <v/>
      </c>
      <c r="AI33" s="218">
        <f>IF(31&gt;=DeliverStart,MgmtFeePct*AI$23,0)</f>
        <v/>
      </c>
      <c r="AJ33" s="218">
        <f>IF(32&gt;=DeliverStart,MgmtFeePct*AJ$23,0)</f>
        <v/>
      </c>
      <c r="AK33" s="218">
        <f>IF(33&gt;=DeliverStart,MgmtFeePct*AK$23,0)</f>
        <v/>
      </c>
      <c r="AL33" s="218">
        <f>IF(34&gt;=DeliverStart,MgmtFeePct*AL$23,0)</f>
        <v/>
      </c>
      <c r="AM33" s="218">
        <f>IF(35&gt;=DeliverStart,MgmtFeePct*AM$23,0)</f>
        <v/>
      </c>
      <c r="AN33" s="218">
        <f>IF(36&gt;=DeliverStart,MgmtFeePct*AN$23,0)</f>
        <v/>
      </c>
      <c r="AO33" s="218">
        <f>IF(37&gt;=DeliverStart,MgmtFeePct*AO$23,0)</f>
        <v/>
      </c>
      <c r="AP33" s="218">
        <f>IF(38&gt;=DeliverStart,MgmtFeePct*AP$23,0)</f>
        <v/>
      </c>
      <c r="AQ33" s="218">
        <f>IF(39&gt;=DeliverStart,MgmtFeePct*AQ$23,0)</f>
        <v/>
      </c>
      <c r="AR33" s="218">
        <f>IF(40&gt;=DeliverStart,MgmtFeePct*AR$23,0)</f>
        <v/>
      </c>
      <c r="AS33" s="218">
        <f>IF(41&gt;=DeliverStart,MgmtFeePct*AS$23,0)</f>
        <v/>
      </c>
      <c r="AT33" s="218">
        <f>IF(42&gt;=DeliverStart,MgmtFeePct*AT$23,0)</f>
        <v/>
      </c>
      <c r="AU33" s="218">
        <f>IF(43&gt;=DeliverStart,MgmtFeePct*AU$23,0)</f>
        <v/>
      </c>
      <c r="AV33" s="218">
        <f>IF(44&gt;=DeliverStart,MgmtFeePct*AV$23,0)</f>
        <v/>
      </c>
      <c r="AW33" s="218">
        <f>IF(45&gt;=DeliverStart,MgmtFeePct*AW$23,0)</f>
        <v/>
      </c>
      <c r="AX33" s="218">
        <f>IF(46&gt;=DeliverStart,MgmtFeePct*AX$23,0)</f>
        <v/>
      </c>
      <c r="AY33" s="218">
        <f>IF(47&gt;=DeliverStart,MgmtFeePct*AY$23,0)</f>
        <v/>
      </c>
      <c r="AZ33" s="218">
        <f>IF(48&gt;=DeliverStart,MgmtFeePct*AZ$23,0)</f>
        <v/>
      </c>
      <c r="BA33" s="218">
        <f>IF(49&gt;=DeliverStart,MgmtFeePct*BA$23,0)</f>
        <v/>
      </c>
      <c r="BB33" s="218">
        <f>IF(50&gt;=DeliverStart,MgmtFeePct*BB$23,0)</f>
        <v/>
      </c>
      <c r="BC33" s="218">
        <f>IF(51&gt;=DeliverStart,MgmtFeePct*BC$23,0)</f>
        <v/>
      </c>
      <c r="BD33" s="218">
        <f>IF(52&gt;=DeliverStart,MgmtFeePct*BD$23,0)</f>
        <v/>
      </c>
      <c r="BE33" s="218">
        <f>IF(53&gt;=DeliverStart,MgmtFeePct*BE$23,0)</f>
        <v/>
      </c>
      <c r="BF33" s="218">
        <f>IF(54&gt;=DeliverStart,MgmtFeePct*BF$23,0)</f>
        <v/>
      </c>
      <c r="BG33" s="218">
        <f>IF(55&gt;=DeliverStart,MgmtFeePct*BG$23,0)</f>
        <v/>
      </c>
      <c r="BH33" s="218">
        <f>IF(56&gt;=DeliverStart,MgmtFeePct*BH$23,0)</f>
        <v/>
      </c>
      <c r="BI33" s="218">
        <f>IF(57&gt;=DeliverStart,MgmtFeePct*BI$23,0)</f>
        <v/>
      </c>
      <c r="BJ33" s="218">
        <f>IF(58&gt;=DeliverStart,MgmtFeePct*BJ$23,0)</f>
        <v/>
      </c>
      <c r="BK33" s="218">
        <f>IF(59&gt;=DeliverStart,MgmtFeePct*BK$23,0)</f>
        <v/>
      </c>
      <c r="BL33" s="218">
        <f>IF(60&gt;=DeliverStart,MgmtFeePct*BL$23,0)</f>
        <v/>
      </c>
      <c r="BM33" s="218">
        <f>IF(61&gt;=DeliverStart,MgmtFeePct*BM$23,0)</f>
        <v/>
      </c>
      <c r="BN33" s="218">
        <f>IF(62&gt;=DeliverStart,MgmtFeePct*BN$23,0)</f>
        <v/>
      </c>
      <c r="BO33" s="218">
        <f>IF(63&gt;=DeliverStart,MgmtFeePct*BO$23,0)</f>
        <v/>
      </c>
      <c r="BP33" s="218">
        <f>IF(64&gt;=DeliverStart,MgmtFeePct*BP$23,0)</f>
        <v/>
      </c>
      <c r="BQ33" s="218">
        <f>IF(65&gt;=DeliverStart,MgmtFeePct*BQ$23,0)</f>
        <v/>
      </c>
      <c r="BR33" s="218">
        <f>IF(66&gt;=DeliverStart,MgmtFeePct*BR$23,0)</f>
        <v/>
      </c>
      <c r="BS33" s="218">
        <f>IF(67&gt;=DeliverStart,MgmtFeePct*BS$23,0)</f>
        <v/>
      </c>
      <c r="BT33" s="218">
        <f>IF(68&gt;=DeliverStart,MgmtFeePct*BT$23,0)</f>
        <v/>
      </c>
      <c r="BU33" s="218">
        <f>IF(69&gt;=DeliverStart,MgmtFeePct*BU$23,0)</f>
        <v/>
      </c>
      <c r="BV33" s="218">
        <f>IF(70&gt;=DeliverStart,MgmtFeePct*BV$23,0)</f>
        <v/>
      </c>
      <c r="BW33" s="218">
        <f>IF(71&gt;=DeliverStart,MgmtFeePct*BW$23,0)</f>
        <v/>
      </c>
      <c r="BX33" s="218">
        <f>IF(72&gt;=DeliverStart,MgmtFeePct*BX$23,0)</f>
        <v/>
      </c>
      <c r="BY33" s="218">
        <f>IF(73&gt;=DeliverStart,MgmtFeePct*BY$23,0)</f>
        <v/>
      </c>
      <c r="BZ33" s="218">
        <f>IF(74&gt;=DeliverStart,MgmtFeePct*BZ$23,0)</f>
        <v/>
      </c>
      <c r="CA33" s="218">
        <f>IF(75&gt;=DeliverStart,MgmtFeePct*CA$23,0)</f>
        <v/>
      </c>
      <c r="CB33" s="218">
        <f>IF(76&gt;=DeliverStart,MgmtFeePct*CB$23,0)</f>
        <v/>
      </c>
      <c r="CC33" s="218">
        <f>IF(77&gt;=DeliverStart,MgmtFeePct*CC$23,0)</f>
        <v/>
      </c>
      <c r="CD33" s="218">
        <f>IF(78&gt;=DeliverStart,MgmtFeePct*CD$23,0)</f>
        <v/>
      </c>
      <c r="CE33" s="218">
        <f>IF(79&gt;=DeliverStart,MgmtFeePct*CE$23,0)</f>
        <v/>
      </c>
      <c r="CF33" s="218">
        <f>IF(80&gt;=DeliverStart,MgmtFeePct*CF$23,0)</f>
        <v/>
      </c>
      <c r="CG33" s="218">
        <f>IF(81&gt;=DeliverStart,MgmtFeePct*CG$23,0)</f>
        <v/>
      </c>
      <c r="CH33" s="218">
        <f>IF(82&gt;=DeliverStart,MgmtFeePct*CH$23,0)</f>
        <v/>
      </c>
      <c r="CI33" s="218">
        <f>IF(83&gt;=DeliverStart,MgmtFeePct*CI$23,0)</f>
        <v/>
      </c>
      <c r="CJ33" s="218">
        <f>IF(84&gt;=DeliverStart,MgmtFeePct*CJ$23,0)</f>
        <v/>
      </c>
      <c r="CK33" s="218">
        <f>IF(85&gt;=DeliverStart,MgmtFeePct*CK$23,0)</f>
        <v/>
      </c>
      <c r="CL33" s="218">
        <f>IF(86&gt;=DeliverStart,MgmtFeePct*CL$23,0)</f>
        <v/>
      </c>
      <c r="CM33" s="218">
        <f>IF(87&gt;=DeliverStart,MgmtFeePct*CM$23,0)</f>
        <v/>
      </c>
      <c r="CN33" s="218">
        <f>IF(88&gt;=DeliverStart,MgmtFeePct*CN$23,0)</f>
        <v/>
      </c>
      <c r="CO33" s="218">
        <f>IF(89&gt;=DeliverStart,MgmtFeePct*CO$23,0)</f>
        <v/>
      </c>
      <c r="CP33" s="218">
        <f>IF(90&gt;=DeliverStart,MgmtFeePct*CP$23,0)</f>
        <v/>
      </c>
      <c r="CQ33" s="218">
        <f>IF(91&gt;=DeliverStart,MgmtFeePct*CQ$23,0)</f>
        <v/>
      </c>
      <c r="CR33" s="218">
        <f>IF(92&gt;=DeliverStart,MgmtFeePct*CR$23,0)</f>
        <v/>
      </c>
      <c r="CS33" s="218">
        <f>IF(93&gt;=DeliverStart,MgmtFeePct*CS$23,0)</f>
        <v/>
      </c>
      <c r="CT33" s="218">
        <f>IF(94&gt;=DeliverStart,MgmtFeePct*CT$23,0)</f>
        <v/>
      </c>
      <c r="CU33" s="218">
        <f>IF(95&gt;=DeliverStart,MgmtFeePct*CU$23,0)</f>
        <v/>
      </c>
      <c r="CV33" s="218">
        <f>IF(96&gt;=DeliverStart,MgmtFeePct*CV$23,0)</f>
        <v/>
      </c>
      <c r="CW33" s="218">
        <f>IF(97&gt;=DeliverStart,MgmtFeePct*CW$23,0)</f>
        <v/>
      </c>
      <c r="CX33" s="218">
        <f>IF(98&gt;=DeliverStart,MgmtFeePct*CX$23,0)</f>
        <v/>
      </c>
      <c r="CY33" s="218">
        <f>IF(99&gt;=DeliverStart,MgmtFeePct*CY$23,0)</f>
        <v/>
      </c>
      <c r="CZ33" s="218">
        <f>IF(100&gt;=DeliverStart,MgmtFeePct*CZ$23,0)</f>
        <v/>
      </c>
      <c r="DA33" s="218">
        <f>IF(101&gt;=DeliverStart,MgmtFeePct*DA$23,0)</f>
        <v/>
      </c>
      <c r="DB33" s="218">
        <f>IF(102&gt;=DeliverStart,MgmtFeePct*DB$23,0)</f>
        <v/>
      </c>
      <c r="DC33" s="218">
        <f>IF(103&gt;=DeliverStart,MgmtFeePct*DC$23,0)</f>
        <v/>
      </c>
      <c r="DD33" s="218">
        <f>IF(104&gt;=DeliverStart,MgmtFeePct*DD$23,0)</f>
        <v/>
      </c>
      <c r="DE33" s="218">
        <f>IF(105&gt;=DeliverStart,MgmtFeePct*DE$23,0)</f>
        <v/>
      </c>
      <c r="DF33" s="218">
        <f>IF(106&gt;=DeliverStart,MgmtFeePct*DF$23,0)</f>
        <v/>
      </c>
      <c r="DG33" s="218">
        <f>IF(107&gt;=DeliverStart,MgmtFeePct*DG$23,0)</f>
        <v/>
      </c>
      <c r="DH33" s="218">
        <f>IF(108&gt;=DeliverStart,MgmtFeePct*DH$23,0)</f>
        <v/>
      </c>
      <c r="DI33" s="218">
        <f>IF(109&gt;=DeliverStart,MgmtFeePct*DI$23,0)</f>
        <v/>
      </c>
      <c r="DJ33" s="218">
        <f>IF(110&gt;=DeliverStart,MgmtFeePct*DJ$23,0)</f>
        <v/>
      </c>
      <c r="DK33" s="218">
        <f>IF(111&gt;=DeliverStart,MgmtFeePct*DK$23,0)</f>
        <v/>
      </c>
      <c r="DL33" s="218">
        <f>IF(112&gt;=DeliverStart,MgmtFeePct*DL$23,0)</f>
        <v/>
      </c>
      <c r="DM33" s="218">
        <f>IF(113&gt;=DeliverStart,MgmtFeePct*DM$23,0)</f>
        <v/>
      </c>
      <c r="DN33" s="218">
        <f>IF(114&gt;=DeliverStart,MgmtFeePct*DN$23,0)</f>
        <v/>
      </c>
      <c r="DO33" s="218">
        <f>IF(115&gt;=DeliverStart,MgmtFeePct*DO$23,0)</f>
        <v/>
      </c>
      <c r="DP33" s="218">
        <f>IF(116&gt;=DeliverStart,MgmtFeePct*DP$23,0)</f>
        <v/>
      </c>
      <c r="DQ33" s="218">
        <f>IF(117&gt;=DeliverStart,MgmtFeePct*DQ$23,0)</f>
        <v/>
      </c>
      <c r="DR33" s="218">
        <f>IF(118&gt;=DeliverStart,MgmtFeePct*DR$23,0)</f>
        <v/>
      </c>
      <c r="DS33" s="218">
        <f>IF(119&gt;=DeliverStart,MgmtFeePct*DS$23,0)</f>
        <v/>
      </c>
      <c r="DT33" s="218">
        <f>IF(120&gt;=DeliverStart,MgmtFeePct*DT$23,0)</f>
        <v/>
      </c>
      <c r="DU33" s="218">
        <f>IF(121&gt;=DeliverStart,MgmtFeePct*DU$23,0)</f>
        <v/>
      </c>
      <c r="DV33" s="218">
        <f>IF(122&gt;=DeliverStart,MgmtFeePct*DV$23,0)</f>
        <v/>
      </c>
      <c r="DW33" s="218">
        <f>IF(123&gt;=DeliverStart,MgmtFeePct*DW$23,0)</f>
        <v/>
      </c>
      <c r="DX33" s="218">
        <f>IF(124&gt;=DeliverStart,MgmtFeePct*DX$23,0)</f>
        <v/>
      </c>
      <c r="DY33" s="218">
        <f>IF(125&gt;=DeliverStart,MgmtFeePct*DY$23,0)</f>
        <v/>
      </c>
      <c r="DZ33" s="218">
        <f>IF(126&gt;=DeliverStart,MgmtFeePct*DZ$23,0)</f>
        <v/>
      </c>
      <c r="EA33" s="218">
        <f>IF(127&gt;=DeliverStart,MgmtFeePct*EA$23,0)</f>
        <v/>
      </c>
      <c r="EB33" s="218">
        <f>IF(128&gt;=DeliverStart,MgmtFeePct*EB$23,0)</f>
        <v/>
      </c>
      <c r="EC33" s="218">
        <f>IF(129&gt;=DeliverStart,MgmtFeePct*EC$23,0)</f>
        <v/>
      </c>
      <c r="ED33" s="218">
        <f>IF(130&gt;=DeliverStart,MgmtFeePct*ED$23,0)</f>
        <v/>
      </c>
      <c r="EE33" s="218">
        <f>IF(131&gt;=DeliverStart,MgmtFeePct*EE$23,0)</f>
        <v/>
      </c>
      <c r="EF33" s="218">
        <f>IF(132&gt;=DeliverStart,MgmtFeePct*EF$23,0)</f>
        <v/>
      </c>
      <c r="EG33" s="218">
        <f>IF(133&gt;=DeliverStart,MgmtFeePct*EG$23,0)</f>
        <v/>
      </c>
      <c r="EH33" s="218">
        <f>IF(134&gt;=DeliverStart,MgmtFeePct*EH$23,0)</f>
        <v/>
      </c>
      <c r="EI33" s="218">
        <f>IF(135&gt;=DeliverStart,MgmtFeePct*EI$23,0)</f>
        <v/>
      </c>
      <c r="EJ33" s="218">
        <f>IF(136&gt;=DeliverStart,MgmtFeePct*EJ$23,0)</f>
        <v/>
      </c>
      <c r="EK33" s="218">
        <f>IF(137&gt;=DeliverStart,MgmtFeePct*EK$23,0)</f>
        <v/>
      </c>
      <c r="EL33" s="218">
        <f>IF(138&gt;=DeliverStart,MgmtFeePct*EL$23,0)</f>
        <v/>
      </c>
      <c r="EM33" s="218">
        <f>IF(139&gt;=DeliverStart,MgmtFeePct*EM$23,0)</f>
        <v/>
      </c>
      <c r="EN33" s="218">
        <f>IF(140&gt;=DeliverStart,MgmtFeePct*EN$23,0)</f>
        <v/>
      </c>
      <c r="EO33" s="218">
        <f>IF(141&gt;=DeliverStart,MgmtFeePct*EO$23,0)</f>
        <v/>
      </c>
      <c r="EP33" s="218">
        <f>IF(142&gt;=DeliverStart,MgmtFeePct*EP$23,0)</f>
        <v/>
      </c>
      <c r="EQ33" s="218">
        <f>IF(143&gt;=DeliverStart,MgmtFeePct*EQ$23,0)</f>
        <v/>
      </c>
      <c r="ER33" s="218">
        <f>IF(144&gt;=DeliverStart,MgmtFeePct*ER$23,0)</f>
        <v/>
      </c>
      <c r="ES33" s="218">
        <f>IF(145&gt;=DeliverStart,MgmtFeePct*ES$23,0)</f>
        <v/>
      </c>
      <c r="ET33" s="218">
        <f>IF(146&gt;=DeliverStart,MgmtFeePct*ET$23,0)</f>
        <v/>
      </c>
      <c r="EU33" s="218">
        <f>IF(147&gt;=DeliverStart,MgmtFeePct*EU$23,0)</f>
        <v/>
      </c>
      <c r="EV33" s="218">
        <f>IF(148&gt;=DeliverStart,MgmtFeePct*EV$23,0)</f>
        <v/>
      </c>
      <c r="EW33" s="218">
        <f>IF(149&gt;=DeliverStart,MgmtFeePct*EW$23,0)</f>
        <v/>
      </c>
      <c r="EX33" s="218">
        <f>IF(150&gt;=DeliverStart,MgmtFeePct*EX$23,0)</f>
        <v/>
      </c>
      <c r="EY33" s="218">
        <f>IF(151&gt;=DeliverStart,MgmtFeePct*EY$23,0)</f>
        <v/>
      </c>
      <c r="EZ33" s="218">
        <f>IF(152&gt;=DeliverStart,MgmtFeePct*EZ$23,0)</f>
        <v/>
      </c>
      <c r="FA33" s="218">
        <f>IF(153&gt;=DeliverStart,MgmtFeePct*FA$23,0)</f>
        <v/>
      </c>
      <c r="FB33" s="218">
        <f>IF(154&gt;=DeliverStart,MgmtFeePct*FB$23,0)</f>
        <v/>
      </c>
      <c r="FC33" s="218">
        <f>IF(155&gt;=DeliverStart,MgmtFeePct*FC$23,0)</f>
        <v/>
      </c>
      <c r="FD33" s="218">
        <f>IF(156&gt;=DeliverStart,MgmtFeePct*FD$23,0)</f>
        <v/>
      </c>
      <c r="FE33" s="218">
        <f>IF(157&gt;=DeliverStart,MgmtFeePct*FE$23,0)</f>
        <v/>
      </c>
      <c r="FF33" s="218">
        <f>IF(158&gt;=DeliverStart,MgmtFeePct*FF$23,0)</f>
        <v/>
      </c>
      <c r="FG33" s="218">
        <f>IF(159&gt;=DeliverStart,MgmtFeePct*FG$23,0)</f>
        <v/>
      </c>
      <c r="FH33" s="218">
        <f>IF(160&gt;=DeliverStart,MgmtFeePct*FH$23,0)</f>
        <v/>
      </c>
      <c r="FI33" s="218">
        <f>IF(161&gt;=DeliverStart,MgmtFeePct*FI$23,0)</f>
        <v/>
      </c>
      <c r="FJ33" s="218">
        <f>IF(162&gt;=DeliverStart,MgmtFeePct*FJ$23,0)</f>
        <v/>
      </c>
      <c r="FK33" s="218">
        <f>IF(163&gt;=DeliverStart,MgmtFeePct*FK$23,0)</f>
        <v/>
      </c>
      <c r="FL33" s="218">
        <f>IF(164&gt;=DeliverStart,MgmtFeePct*FL$23,0)</f>
        <v/>
      </c>
      <c r="FM33" s="218">
        <f>IF(165&gt;=DeliverStart,MgmtFeePct*FM$23,0)</f>
        <v/>
      </c>
      <c r="FN33" s="218">
        <f>IF(166&gt;=DeliverStart,MgmtFeePct*FN$23,0)</f>
        <v/>
      </c>
      <c r="FO33" s="218">
        <f>IF(167&gt;=DeliverStart,MgmtFeePct*FO$23,0)</f>
        <v/>
      </c>
      <c r="FP33" s="218">
        <f>IF(168&gt;=DeliverStart,MgmtFeePct*FP$23,0)</f>
        <v/>
      </c>
      <c r="FQ33" s="218">
        <f>IF(169&gt;=DeliverStart,MgmtFeePct*FQ$23,0)</f>
        <v/>
      </c>
      <c r="FR33" s="218">
        <f>IF(170&gt;=DeliverStart,MgmtFeePct*FR$23,0)</f>
        <v/>
      </c>
      <c r="FS33" s="218">
        <f>IF(171&gt;=DeliverStart,MgmtFeePct*FS$23,0)</f>
        <v/>
      </c>
      <c r="FT33" s="218">
        <f>IF(172&gt;=DeliverStart,MgmtFeePct*FT$23,0)</f>
        <v/>
      </c>
      <c r="FU33" s="218">
        <f>IF(173&gt;=DeliverStart,MgmtFeePct*FU$23,0)</f>
        <v/>
      </c>
      <c r="FV33" s="218">
        <f>IF(174&gt;=DeliverStart,MgmtFeePct*FV$23,0)</f>
        <v/>
      </c>
      <c r="FW33" s="218">
        <f>IF(175&gt;=DeliverStart,MgmtFeePct*FW$23,0)</f>
        <v/>
      </c>
      <c r="FX33" s="218">
        <f>IF(176&gt;=DeliverStart,MgmtFeePct*FX$23,0)</f>
        <v/>
      </c>
      <c r="FY33" s="218">
        <f>IF(177&gt;=DeliverStart,MgmtFeePct*FY$23,0)</f>
        <v/>
      </c>
      <c r="FZ33" s="218">
        <f>IF(178&gt;=DeliverStart,MgmtFeePct*FZ$23,0)</f>
        <v/>
      </c>
      <c r="GA33" s="218">
        <f>IF(179&gt;=DeliverStart,MgmtFeePct*GA$23,0)</f>
        <v/>
      </c>
      <c r="GB33" s="218">
        <f>IF(180&gt;=DeliverStart,MgmtFeePct*GB$23,0)</f>
        <v/>
      </c>
      <c r="GC33" s="218">
        <f>IF(181&gt;=DeliverStart,MgmtFeePct*GC$23,0)</f>
        <v/>
      </c>
      <c r="GD33" s="218">
        <f>IF(182&gt;=DeliverStart,MgmtFeePct*GD$23,0)</f>
        <v/>
      </c>
      <c r="GE33" s="218">
        <f>IF(183&gt;=DeliverStart,MgmtFeePct*GE$23,0)</f>
        <v/>
      </c>
      <c r="GF33" s="218">
        <f>IF(184&gt;=DeliverStart,MgmtFeePct*GF$23,0)</f>
        <v/>
      </c>
      <c r="GG33" s="218">
        <f>IF(185&gt;=DeliverStart,MgmtFeePct*GG$23,0)</f>
        <v/>
      </c>
      <c r="GH33" s="218">
        <f>IF(186&gt;=DeliverStart,MgmtFeePct*GH$23,0)</f>
        <v/>
      </c>
      <c r="GI33" s="218">
        <f>IF(187&gt;=DeliverStart,MgmtFeePct*GI$23,0)</f>
        <v/>
      </c>
      <c r="GJ33" s="218">
        <f>IF(188&gt;=DeliverStart,MgmtFeePct*GJ$23,0)</f>
        <v/>
      </c>
      <c r="GK33" s="218">
        <f>IF(189&gt;=DeliverStart,MgmtFeePct*GK$23,0)</f>
        <v/>
      </c>
      <c r="GL33" s="218">
        <f>IF(190&gt;=DeliverStart,MgmtFeePct*GL$23,0)</f>
        <v/>
      </c>
      <c r="GM33" s="218">
        <f>IF(191&gt;=DeliverStart,MgmtFeePct*GM$23,0)</f>
        <v/>
      </c>
      <c r="GN33" s="218">
        <f>IF(192&gt;=DeliverStart,MgmtFeePct*GN$23,0)</f>
        <v/>
      </c>
      <c r="GO33" s="218">
        <f>IF(193&gt;=DeliverStart,MgmtFeePct*GO$23,0)</f>
        <v/>
      </c>
      <c r="GP33" s="218">
        <f>IF(194&gt;=DeliverStart,MgmtFeePct*GP$23,0)</f>
        <v/>
      </c>
      <c r="GQ33" s="218">
        <f>IF(195&gt;=DeliverStart,MgmtFeePct*GQ$23,0)</f>
        <v/>
      </c>
      <c r="GR33" s="218">
        <f>IF(196&gt;=DeliverStart,MgmtFeePct*GR$23,0)</f>
        <v/>
      </c>
      <c r="GS33" s="218">
        <f>IF(197&gt;=DeliverStart,MgmtFeePct*GS$23,0)</f>
        <v/>
      </c>
      <c r="GT33" s="218">
        <f>IF(198&gt;=DeliverStart,MgmtFeePct*GT$23,0)</f>
        <v/>
      </c>
      <c r="GU33" s="218">
        <f>IF(199&gt;=DeliverStart,MgmtFeePct*GU$23,0)</f>
        <v/>
      </c>
      <c r="GV33" s="218">
        <f>IF(200&gt;=DeliverStart,MgmtFeePct*GV$23,0)</f>
        <v/>
      </c>
      <c r="GW33" s="218">
        <f>IF(201&gt;=DeliverStart,MgmtFeePct*GW$23,0)</f>
        <v/>
      </c>
      <c r="GX33" s="218">
        <f>IF(202&gt;=DeliverStart,MgmtFeePct*GX$23,0)</f>
        <v/>
      </c>
      <c r="GY33" s="218">
        <f>IF(203&gt;=DeliverStart,MgmtFeePct*GY$23,0)</f>
        <v/>
      </c>
      <c r="GZ33" s="218">
        <f>IF(204&gt;=DeliverStart,MgmtFeePct*GZ$23,0)</f>
        <v/>
      </c>
      <c r="HA33" s="218">
        <f>IF(205&gt;=DeliverStart,MgmtFeePct*HA$23,0)</f>
        <v/>
      </c>
      <c r="HB33" s="218">
        <f>IF(206&gt;=DeliverStart,MgmtFeePct*HB$23,0)</f>
        <v/>
      </c>
      <c r="HC33" s="218">
        <f>IF(207&gt;=DeliverStart,MgmtFeePct*HC$23,0)</f>
        <v/>
      </c>
      <c r="HD33" s="218">
        <f>IF(208&gt;=DeliverStart,MgmtFeePct*HD$23,0)</f>
        <v/>
      </c>
      <c r="HE33" s="218">
        <f>IF(209&gt;=DeliverStart,MgmtFeePct*HE$23,0)</f>
        <v/>
      </c>
      <c r="HF33" s="218">
        <f>IF(210&gt;=DeliverStart,MgmtFeePct*HF$23,0)</f>
        <v/>
      </c>
      <c r="HG33" s="218">
        <f>IF(211&gt;=DeliverStart,MgmtFeePct*HG$23,0)</f>
        <v/>
      </c>
      <c r="HH33" s="218">
        <f>IF(212&gt;=DeliverStart,MgmtFeePct*HH$23,0)</f>
        <v/>
      </c>
      <c r="HI33" s="218">
        <f>IF(213&gt;=DeliverStart,MgmtFeePct*HI$23,0)</f>
        <v/>
      </c>
      <c r="HJ33" s="218">
        <f>IF(214&gt;=DeliverStart,MgmtFeePct*HJ$23,0)</f>
        <v/>
      </c>
      <c r="HK33" s="218">
        <f>IF(215&gt;=DeliverStart,MgmtFeePct*HK$23,0)</f>
        <v/>
      </c>
      <c r="HL33" s="218">
        <f>IF(216&gt;=DeliverStart,MgmtFeePct*HL$23,0)</f>
        <v/>
      </c>
      <c r="HM33" s="218">
        <f>IF(217&gt;=DeliverStart,MgmtFeePct*HM$23,0)</f>
        <v/>
      </c>
      <c r="HN33" s="218">
        <f>IF(218&gt;=DeliverStart,MgmtFeePct*HN$23,0)</f>
        <v/>
      </c>
      <c r="HO33" s="218">
        <f>IF(219&gt;=DeliverStart,MgmtFeePct*HO$23,0)</f>
        <v/>
      </c>
      <c r="HP33" s="218">
        <f>IF(220&gt;=DeliverStart,MgmtFeePct*HP$23,0)</f>
        <v/>
      </c>
      <c r="HQ33" s="218">
        <f>IF(221&gt;=DeliverStart,MgmtFeePct*HQ$23,0)</f>
        <v/>
      </c>
      <c r="HR33" s="218">
        <f>IF(222&gt;=DeliverStart,MgmtFeePct*HR$23,0)</f>
        <v/>
      </c>
      <c r="HS33" s="218">
        <f>IF(223&gt;=DeliverStart,MgmtFeePct*HS$23,0)</f>
        <v/>
      </c>
      <c r="HT33" s="218">
        <f>IF(224&gt;=DeliverStart,MgmtFeePct*HT$23,0)</f>
        <v/>
      </c>
      <c r="HU33" s="218">
        <f>IF(225&gt;=DeliverStart,MgmtFeePct*HU$23,0)</f>
        <v/>
      </c>
      <c r="HV33" s="218">
        <f>IF(226&gt;=DeliverStart,MgmtFeePct*HV$23,0)</f>
        <v/>
      </c>
      <c r="HW33" s="218">
        <f>IF(227&gt;=DeliverStart,MgmtFeePct*HW$23,0)</f>
        <v/>
      </c>
      <c r="HX33" s="218">
        <f>IF(228&gt;=DeliverStart,MgmtFeePct*HX$23,0)</f>
        <v/>
      </c>
      <c r="HY33" s="218">
        <f>IF(229&gt;=DeliverStart,MgmtFeePct*HY$23,0)</f>
        <v/>
      </c>
      <c r="HZ33" s="218">
        <f>IF(230&gt;=DeliverStart,MgmtFeePct*HZ$23,0)</f>
        <v/>
      </c>
      <c r="IA33" s="218">
        <f>IF(231&gt;=DeliverStart,MgmtFeePct*IA$23,0)</f>
        <v/>
      </c>
      <c r="IB33" s="218">
        <f>IF(232&gt;=DeliverStart,MgmtFeePct*IB$23,0)</f>
        <v/>
      </c>
      <c r="IC33" s="218">
        <f>IF(233&gt;=DeliverStart,MgmtFeePct*IC$23,0)</f>
        <v/>
      </c>
      <c r="ID33" s="218">
        <f>IF(234&gt;=DeliverStart,MgmtFeePct*ID$23,0)</f>
        <v/>
      </c>
      <c r="IE33" s="218">
        <f>IF(235&gt;=DeliverStart,MgmtFeePct*IE$23,0)</f>
        <v/>
      </c>
      <c r="IF33" s="218">
        <f>IF(236&gt;=DeliverStart,MgmtFeePct*IF$23,0)</f>
        <v/>
      </c>
      <c r="IG33" s="218">
        <f>IF(237&gt;=DeliverStart,MgmtFeePct*IG$23,0)</f>
        <v/>
      </c>
      <c r="IH33" s="218">
        <f>IF(238&gt;=DeliverStart,MgmtFeePct*IH$23,0)</f>
        <v/>
      </c>
      <c r="II33" s="218">
        <f>IF(239&gt;=DeliverStart,MgmtFeePct*II$23,0)</f>
        <v/>
      </c>
      <c r="IJ33" s="218">
        <f>IF(240&gt;=DeliverStart,MgmtFeePct*IJ$23,0)</f>
        <v/>
      </c>
      <c r="IK33" s="218">
        <f>IF(241&gt;=DeliverStart,MgmtFeePct*IK$23,0)</f>
        <v/>
      </c>
      <c r="IL33" s="218">
        <f>IF(242&gt;=DeliverStart,MgmtFeePct*IL$23,0)</f>
        <v/>
      </c>
      <c r="IM33" s="218">
        <f>IF(243&gt;=DeliverStart,MgmtFeePct*IM$23,0)</f>
        <v/>
      </c>
      <c r="IN33" s="218">
        <f>IF(244&gt;=DeliverStart,MgmtFeePct*IN$23,0)</f>
        <v/>
      </c>
      <c r="IO33" s="218">
        <f>IF(245&gt;=DeliverStart,MgmtFeePct*IO$23,0)</f>
        <v/>
      </c>
      <c r="IP33" s="218">
        <f>IF(246&gt;=DeliverStart,MgmtFeePct*IP$23,0)</f>
        <v/>
      </c>
      <c r="IQ33" s="218">
        <f>IF(247&gt;=DeliverStart,MgmtFeePct*IQ$23,0)</f>
        <v/>
      </c>
      <c r="IR33" s="218">
        <f>IF(248&gt;=DeliverStart,MgmtFeePct*IR$23,0)</f>
        <v/>
      </c>
      <c r="IS33" s="218">
        <f>IF(249&gt;=DeliverStart,MgmtFeePct*IS$23,0)</f>
        <v/>
      </c>
      <c r="IT33" s="218">
        <f>IF(250&gt;=DeliverStart,MgmtFeePct*IT$23,0)</f>
        <v/>
      </c>
      <c r="IU33" s="218">
        <f>IF(251&gt;=DeliverStart,MgmtFeePct*IU$23,0)</f>
        <v/>
      </c>
      <c r="IV33" s="218">
        <f>IF(252&gt;=DeliverStart,MgmtFeePct*IV$23,0)</f>
        <v/>
      </c>
      <c r="IW33" s="218">
        <f>IF(253&gt;=DeliverStart,MgmtFeePct*IW$23,0)</f>
        <v/>
      </c>
      <c r="IX33" s="218">
        <f>IF(254&gt;=DeliverStart,MgmtFeePct*IX$23,0)</f>
        <v/>
      </c>
      <c r="IY33" s="218">
        <f>IF(255&gt;=DeliverStart,MgmtFeePct*IY$23,0)</f>
        <v/>
      </c>
      <c r="IZ33" s="218">
        <f>IF(256&gt;=DeliverStart,MgmtFeePct*IZ$23,0)</f>
        <v/>
      </c>
      <c r="JA33" s="218">
        <f>IF(257&gt;=DeliverStart,MgmtFeePct*JA$23,0)</f>
        <v/>
      </c>
      <c r="JB33" s="218">
        <f>IF(258&gt;=DeliverStart,MgmtFeePct*JB$23,0)</f>
        <v/>
      </c>
      <c r="JC33" s="218">
        <f>IF(259&gt;=DeliverStart,MgmtFeePct*JC$23,0)</f>
        <v/>
      </c>
      <c r="JD33" s="218">
        <f>IF(260&gt;=DeliverStart,MgmtFeePct*JD$23,0)</f>
        <v/>
      </c>
      <c r="JE33" s="218">
        <f>IF(261&gt;=DeliverStart,MgmtFeePct*JE$23,0)</f>
        <v/>
      </c>
      <c r="JF33" s="218">
        <f>IF(262&gt;=DeliverStart,MgmtFeePct*JF$23,0)</f>
        <v/>
      </c>
      <c r="JG33" s="218">
        <f>IF(263&gt;=DeliverStart,MgmtFeePct*JG$23,0)</f>
        <v/>
      </c>
      <c r="JH33" s="218">
        <f>IF(264&gt;=DeliverStart,MgmtFeePct*JH$23,0)</f>
        <v/>
      </c>
      <c r="JI33" s="218">
        <f>IF(265&gt;=DeliverStart,MgmtFeePct*JI$23,0)</f>
        <v/>
      </c>
      <c r="JJ33" s="218">
        <f>IF(266&gt;=DeliverStart,MgmtFeePct*JJ$23,0)</f>
        <v/>
      </c>
      <c r="JK33" s="218">
        <f>IF(267&gt;=DeliverStart,MgmtFeePct*JK$23,0)</f>
        <v/>
      </c>
      <c r="JL33" s="218">
        <f>IF(268&gt;=DeliverStart,MgmtFeePct*JL$23,0)</f>
        <v/>
      </c>
      <c r="JM33" s="218">
        <f>IF(269&gt;=DeliverStart,MgmtFeePct*JM$23,0)</f>
        <v/>
      </c>
      <c r="JN33" s="218">
        <f>IF(270&gt;=DeliverStart,MgmtFeePct*JN$23,0)</f>
        <v/>
      </c>
      <c r="JO33" s="218">
        <f>IF(271&gt;=DeliverStart,MgmtFeePct*JO$23,0)</f>
        <v/>
      </c>
      <c r="JP33" s="218">
        <f>IF(272&gt;=DeliverStart,MgmtFeePct*JP$23,0)</f>
        <v/>
      </c>
      <c r="JQ33" s="218">
        <f>IF(273&gt;=DeliverStart,MgmtFeePct*JQ$23,0)</f>
        <v/>
      </c>
      <c r="JR33" s="218">
        <f>IF(274&gt;=DeliverStart,MgmtFeePct*JR$23,0)</f>
        <v/>
      </c>
      <c r="JS33" s="218">
        <f>IF(275&gt;=DeliverStart,MgmtFeePct*JS$23,0)</f>
        <v/>
      </c>
      <c r="JT33" s="218">
        <f>IF(276&gt;=DeliverStart,MgmtFeePct*JT$23,0)</f>
        <v/>
      </c>
      <c r="JU33" s="218">
        <f>IF(277&gt;=DeliverStart,MgmtFeePct*JU$23,0)</f>
        <v/>
      </c>
      <c r="JV33" s="218">
        <f>IF(278&gt;=DeliverStart,MgmtFeePct*JV$23,0)</f>
        <v/>
      </c>
      <c r="JW33" s="218">
        <f>IF(279&gt;=DeliverStart,MgmtFeePct*JW$23,0)</f>
        <v/>
      </c>
      <c r="JX33" s="218">
        <f>IF(280&gt;=DeliverStart,MgmtFeePct*JX$23,0)</f>
        <v/>
      </c>
      <c r="JY33" s="218">
        <f>IF(281&gt;=DeliverStart,MgmtFeePct*JY$23,0)</f>
        <v/>
      </c>
      <c r="JZ33" s="218">
        <f>IF(282&gt;=DeliverStart,MgmtFeePct*JZ$23,0)</f>
        <v/>
      </c>
      <c r="KA33" s="218">
        <f>IF(283&gt;=DeliverStart,MgmtFeePct*KA$23,0)</f>
        <v/>
      </c>
      <c r="KB33" s="218">
        <f>IF(284&gt;=DeliverStart,MgmtFeePct*KB$23,0)</f>
        <v/>
      </c>
      <c r="KC33" s="218">
        <f>IF(285&gt;=DeliverStart,MgmtFeePct*KC$23,0)</f>
        <v/>
      </c>
      <c r="KD33" s="218">
        <f>IF(286&gt;=DeliverStart,MgmtFeePct*KD$23,0)</f>
        <v/>
      </c>
      <c r="KE33" s="218">
        <f>IF(287&gt;=DeliverStart,MgmtFeePct*KE$23,0)</f>
        <v/>
      </c>
      <c r="KF33" s="218">
        <f>IF(288&gt;=DeliverStart,MgmtFeePct*KF$23,0)</f>
        <v/>
      </c>
      <c r="KG33" s="218">
        <f>IF(289&gt;=DeliverStart,MgmtFeePct*KG$23,0)</f>
        <v/>
      </c>
      <c r="KH33" s="218">
        <f>IF(290&gt;=DeliverStart,MgmtFeePct*KH$23,0)</f>
        <v/>
      </c>
      <c r="KI33" s="218">
        <f>IF(291&gt;=DeliverStart,MgmtFeePct*KI$23,0)</f>
        <v/>
      </c>
      <c r="KJ33" s="218">
        <f>IF(292&gt;=DeliverStart,MgmtFeePct*KJ$23,0)</f>
        <v/>
      </c>
      <c r="KK33" s="218">
        <f>IF(293&gt;=DeliverStart,MgmtFeePct*KK$23,0)</f>
        <v/>
      </c>
      <c r="KL33" s="218">
        <f>IF(294&gt;=DeliverStart,MgmtFeePct*KL$23,0)</f>
        <v/>
      </c>
      <c r="KM33" s="218">
        <f>IF(295&gt;=DeliverStart,MgmtFeePct*KM$23,0)</f>
        <v/>
      </c>
      <c r="KN33" s="218">
        <f>IF(296&gt;=DeliverStart,MgmtFeePct*KN$23,0)</f>
        <v/>
      </c>
      <c r="KO33" s="218">
        <f>IF(297&gt;=DeliverStart,MgmtFeePct*KO$23,0)</f>
        <v/>
      </c>
      <c r="KP33" s="218">
        <f>IF(298&gt;=DeliverStart,MgmtFeePct*KP$23,0)</f>
        <v/>
      </c>
      <c r="KQ33" s="218">
        <f>IF(299&gt;=DeliverStart,MgmtFeePct*KQ$23,0)</f>
        <v/>
      </c>
      <c r="KR33" s="218">
        <f>IF(300&gt;=DeliverStart,MgmtFeePct*KR$23,0)</f>
        <v/>
      </c>
      <c r="KS33" s="218">
        <f>IF(301&gt;=DeliverStart,MgmtFeePct*KS$23,0)</f>
        <v/>
      </c>
      <c r="KT33" s="218">
        <f>IF(302&gt;=DeliverStart,MgmtFeePct*KT$23,0)</f>
        <v/>
      </c>
      <c r="KU33" s="218">
        <f>IF(303&gt;=DeliverStart,MgmtFeePct*KU$23,0)</f>
        <v/>
      </c>
      <c r="KV33" s="218">
        <f>IF(304&gt;=DeliverStart,MgmtFeePct*KV$23,0)</f>
        <v/>
      </c>
      <c r="KW33" s="218">
        <f>IF(305&gt;=DeliverStart,MgmtFeePct*KW$23,0)</f>
        <v/>
      </c>
      <c r="KX33" s="218">
        <f>IF(306&gt;=DeliverStart,MgmtFeePct*KX$23,0)</f>
        <v/>
      </c>
      <c r="KY33" s="218">
        <f>IF(307&gt;=DeliverStart,MgmtFeePct*KY$23,0)</f>
        <v/>
      </c>
      <c r="KZ33" s="218">
        <f>IF(308&gt;=DeliverStart,MgmtFeePct*KZ$23,0)</f>
        <v/>
      </c>
      <c r="LA33" s="218">
        <f>IF(309&gt;=DeliverStart,MgmtFeePct*LA$23,0)</f>
        <v/>
      </c>
      <c r="LB33" s="218">
        <f>IF(310&gt;=DeliverStart,MgmtFeePct*LB$23,0)</f>
        <v/>
      </c>
      <c r="LC33" s="218">
        <f>IF(311&gt;=DeliverStart,MgmtFeePct*LC$23,0)</f>
        <v/>
      </c>
      <c r="LD33" s="218">
        <f>IF(312&gt;=DeliverStart,MgmtFeePct*LD$23,0)</f>
        <v/>
      </c>
      <c r="LE33" s="218">
        <f>IF(313&gt;=DeliverStart,MgmtFeePct*LE$23,0)</f>
        <v/>
      </c>
      <c r="LF33" s="218">
        <f>IF(314&gt;=DeliverStart,MgmtFeePct*LF$23,0)</f>
        <v/>
      </c>
      <c r="LG33" s="218">
        <f>IF(315&gt;=DeliverStart,MgmtFeePct*LG$23,0)</f>
        <v/>
      </c>
      <c r="LH33" s="218">
        <f>IF(316&gt;=DeliverStart,MgmtFeePct*LH$23,0)</f>
        <v/>
      </c>
      <c r="LI33" s="218">
        <f>IF(317&gt;=DeliverStart,MgmtFeePct*LI$23,0)</f>
        <v/>
      </c>
      <c r="LJ33" s="218">
        <f>IF(318&gt;=DeliverStart,MgmtFeePct*LJ$23,0)</f>
        <v/>
      </c>
      <c r="LK33" s="218">
        <f>IF(319&gt;=DeliverStart,MgmtFeePct*LK$23,0)</f>
        <v/>
      </c>
      <c r="LL33" s="218">
        <f>IF(320&gt;=DeliverStart,MgmtFeePct*LL$23,0)</f>
        <v/>
      </c>
      <c r="LM33" s="218">
        <f>IF(321&gt;=DeliverStart,MgmtFeePct*LM$23,0)</f>
        <v/>
      </c>
      <c r="LN33" s="218">
        <f>IF(322&gt;=DeliverStart,MgmtFeePct*LN$23,0)</f>
        <v/>
      </c>
      <c r="LO33" s="218">
        <f>IF(323&gt;=DeliverStart,MgmtFeePct*LO$23,0)</f>
        <v/>
      </c>
      <c r="LP33" s="218">
        <f>IF(324&gt;=DeliverStart,MgmtFeePct*LP$23,0)</f>
        <v/>
      </c>
      <c r="LQ33" s="218">
        <f>IF(325&gt;=DeliverStart,MgmtFeePct*LQ$23,0)</f>
        <v/>
      </c>
      <c r="LR33" s="218">
        <f>IF(326&gt;=DeliverStart,MgmtFeePct*LR$23,0)</f>
        <v/>
      </c>
      <c r="LS33" s="218">
        <f>IF(327&gt;=DeliverStart,MgmtFeePct*LS$23,0)</f>
        <v/>
      </c>
      <c r="LT33" s="218">
        <f>IF(328&gt;=DeliverStart,MgmtFeePct*LT$23,0)</f>
        <v/>
      </c>
      <c r="LU33" s="218">
        <f>IF(329&gt;=DeliverStart,MgmtFeePct*LU$23,0)</f>
        <v/>
      </c>
      <c r="LV33" s="218">
        <f>IF(330&gt;=DeliverStart,MgmtFeePct*LV$23,0)</f>
        <v/>
      </c>
      <c r="LW33" s="218">
        <f>IF(331&gt;=DeliverStart,MgmtFeePct*LW$23,0)</f>
        <v/>
      </c>
      <c r="LX33" s="218">
        <f>IF(332&gt;=DeliverStart,MgmtFeePct*LX$23,0)</f>
        <v/>
      </c>
      <c r="LY33" s="218">
        <f>IF(333&gt;=DeliverStart,MgmtFeePct*LY$23,0)</f>
        <v/>
      </c>
      <c r="LZ33" s="218">
        <f>IF(334&gt;=DeliverStart,MgmtFeePct*LZ$23,0)</f>
        <v/>
      </c>
      <c r="MA33" s="218">
        <f>IF(335&gt;=DeliverStart,MgmtFeePct*MA$23,0)</f>
        <v/>
      </c>
      <c r="MB33" s="218">
        <f>IF(336&gt;=DeliverStart,MgmtFeePct*MB$23,0)</f>
        <v/>
      </c>
      <c r="MC33" s="218">
        <f>IF(337&gt;=DeliverStart,MgmtFeePct*MC$23,0)</f>
        <v/>
      </c>
      <c r="MD33" s="218">
        <f>IF(338&gt;=DeliverStart,MgmtFeePct*MD$23,0)</f>
        <v/>
      </c>
      <c r="ME33" s="218">
        <f>IF(339&gt;=DeliverStart,MgmtFeePct*ME$23,0)</f>
        <v/>
      </c>
      <c r="MF33" s="218">
        <f>IF(340&gt;=DeliverStart,MgmtFeePct*MF$23,0)</f>
        <v/>
      </c>
      <c r="MG33" s="218">
        <f>IF(341&gt;=DeliverStart,MgmtFeePct*MG$23,0)</f>
        <v/>
      </c>
      <c r="MH33" s="218">
        <f>IF(342&gt;=DeliverStart,MgmtFeePct*MH$23,0)</f>
        <v/>
      </c>
      <c r="MI33" s="218">
        <f>IF(343&gt;=DeliverStart,MgmtFeePct*MI$23,0)</f>
        <v/>
      </c>
      <c r="MJ33" s="218">
        <f>IF(344&gt;=DeliverStart,MgmtFeePct*MJ$23,0)</f>
        <v/>
      </c>
      <c r="MK33" s="218">
        <f>IF(345&gt;=DeliverStart,MgmtFeePct*MK$23,0)</f>
        <v/>
      </c>
      <c r="ML33" s="218">
        <f>IF(346&gt;=DeliverStart,MgmtFeePct*ML$23,0)</f>
        <v/>
      </c>
      <c r="MM33" s="218">
        <f>IF(347&gt;=DeliverStart,MgmtFeePct*MM$23,0)</f>
        <v/>
      </c>
      <c r="MN33" s="218">
        <f>IF(348&gt;=DeliverStart,MgmtFeePct*MN$23,0)</f>
        <v/>
      </c>
      <c r="MO33" s="218">
        <f>IF(349&gt;=DeliverStart,MgmtFeePct*MO$23,0)</f>
        <v/>
      </c>
      <c r="MP33" s="218">
        <f>IF(350&gt;=DeliverStart,MgmtFeePct*MP$23,0)</f>
        <v/>
      </c>
      <c r="MQ33" s="218">
        <f>IF(351&gt;=DeliverStart,MgmtFeePct*MQ$23,0)</f>
        <v/>
      </c>
      <c r="MR33" s="218">
        <f>IF(352&gt;=DeliverStart,MgmtFeePct*MR$23,0)</f>
        <v/>
      </c>
      <c r="MS33" s="218">
        <f>IF(353&gt;=DeliverStart,MgmtFeePct*MS$23,0)</f>
        <v/>
      </c>
      <c r="MT33" s="218">
        <f>IF(354&gt;=DeliverStart,MgmtFeePct*MT$23,0)</f>
        <v/>
      </c>
      <c r="MU33" s="218">
        <f>IF(355&gt;=DeliverStart,MgmtFeePct*MU$23,0)</f>
        <v/>
      </c>
      <c r="MV33" s="218">
        <f>IF(356&gt;=DeliverStart,MgmtFeePct*MV$23,0)</f>
        <v/>
      </c>
      <c r="MW33" s="218">
        <f>IF(357&gt;=DeliverStart,MgmtFeePct*MW$23,0)</f>
        <v/>
      </c>
      <c r="MX33" s="218">
        <f>IF(358&gt;=DeliverStart,MgmtFeePct*MX$23,0)</f>
        <v/>
      </c>
      <c r="MY33" s="218">
        <f>IF(359&gt;=DeliverStart,MgmtFeePct*MY$23,0)</f>
        <v/>
      </c>
      <c r="MZ33" s="218">
        <f>IF(360&gt;=DeliverStart,MgmtFeePct*MZ$23,0)</f>
        <v/>
      </c>
      <c r="NA33" s="218">
        <f>IF(361&gt;=DeliverStart,MgmtFeePct*NA$23,0)</f>
        <v/>
      </c>
      <c r="NB33" s="218">
        <f>IF(362&gt;=DeliverStart,MgmtFeePct*NB$23,0)</f>
        <v/>
      </c>
      <c r="NC33" s="218">
        <f>IF(363&gt;=DeliverStart,MgmtFeePct*NC$23,0)</f>
        <v/>
      </c>
      <c r="ND33" s="218">
        <f>IF(364&gt;=DeliverStart,MgmtFeePct*ND$23,0)</f>
        <v/>
      </c>
      <c r="NE33" s="218">
        <f>IF(365&gt;=DeliverStart,MgmtFeePct*NE$23,0)</f>
        <v/>
      </c>
      <c r="NF33" s="218">
        <f>IF(366&gt;=DeliverStart,MgmtFeePct*NF$23,0)</f>
        <v/>
      </c>
      <c r="NG33" s="218">
        <f>IF(367&gt;=DeliverStart,MgmtFeePct*NG$23,0)</f>
        <v/>
      </c>
      <c r="NH33" s="218">
        <f>IF(368&gt;=DeliverStart,MgmtFeePct*NH$23,0)</f>
        <v/>
      </c>
      <c r="NI33" s="218">
        <f>IF(369&gt;=DeliverStart,MgmtFeePct*NI$23,0)</f>
        <v/>
      </c>
      <c r="NJ33" s="218">
        <f>IF(370&gt;=DeliverStart,MgmtFeePct*NJ$23,0)</f>
        <v/>
      </c>
      <c r="NK33" s="218">
        <f>IF(371&gt;=DeliverStart,MgmtFeePct*NK$23,0)</f>
        <v/>
      </c>
      <c r="NL33" s="225">
        <f>IF(372&gt;=DeliverStart,MgmtFeePct*NL$23,0)</f>
        <v/>
      </c>
    </row>
    <row r="34">
      <c r="B34" s="50" t="inlineStr">
        <is>
          <t>OpEx before Property Tax</t>
        </is>
      </c>
      <c r="D34" s="266">
        <f>SUM(E34:NL34)</f>
        <v/>
      </c>
      <c r="E34" s="267">
        <f>E$25+E$26+E$27+E$28+E$29+E$30+E$31+E$32+E$33</f>
        <v/>
      </c>
      <c r="F34" s="267">
        <f>F$25+F$26+F$27+F$28+F$29+F$30+F$31+F$32+F$33</f>
        <v/>
      </c>
      <c r="G34" s="267">
        <f>G$25+G$26+G$27+G$28+G$29+G$30+G$31+G$32+G$33</f>
        <v/>
      </c>
      <c r="H34" s="267">
        <f>H$25+H$26+H$27+H$28+H$29+H$30+H$31+H$32+H$33</f>
        <v/>
      </c>
      <c r="I34" s="267">
        <f>I$25+I$26+I$27+I$28+I$29+I$30+I$31+I$32+I$33</f>
        <v/>
      </c>
      <c r="J34" s="267">
        <f>J$25+J$26+J$27+J$28+J$29+J$30+J$31+J$32+J$33</f>
        <v/>
      </c>
      <c r="K34" s="267">
        <f>K$25+K$26+K$27+K$28+K$29+K$30+K$31+K$32+K$33</f>
        <v/>
      </c>
      <c r="L34" s="267">
        <f>L$25+L$26+L$27+L$28+L$29+L$30+L$31+L$32+L$33</f>
        <v/>
      </c>
      <c r="M34" s="267">
        <f>M$25+M$26+M$27+M$28+M$29+M$30+M$31+M$32+M$33</f>
        <v/>
      </c>
      <c r="N34" s="267">
        <f>N$25+N$26+N$27+N$28+N$29+N$30+N$31+N$32+N$33</f>
        <v/>
      </c>
      <c r="O34" s="267">
        <f>O$25+O$26+O$27+O$28+O$29+O$30+O$31+O$32+O$33</f>
        <v/>
      </c>
      <c r="P34" s="267">
        <f>P$25+P$26+P$27+P$28+P$29+P$30+P$31+P$32+P$33</f>
        <v/>
      </c>
      <c r="Q34" s="267">
        <f>Q$25+Q$26+Q$27+Q$28+Q$29+Q$30+Q$31+Q$32+Q$33</f>
        <v/>
      </c>
      <c r="R34" s="267">
        <f>R$25+R$26+R$27+R$28+R$29+R$30+R$31+R$32+R$33</f>
        <v/>
      </c>
      <c r="S34" s="267">
        <f>S$25+S$26+S$27+S$28+S$29+S$30+S$31+S$32+S$33</f>
        <v/>
      </c>
      <c r="T34" s="267">
        <f>T$25+T$26+T$27+T$28+T$29+T$30+T$31+T$32+T$33</f>
        <v/>
      </c>
      <c r="U34" s="267">
        <f>U$25+U$26+U$27+U$28+U$29+U$30+U$31+U$32+U$33</f>
        <v/>
      </c>
      <c r="V34" s="267">
        <f>V$25+V$26+V$27+V$28+V$29+V$30+V$31+V$32+V$33</f>
        <v/>
      </c>
      <c r="W34" s="267">
        <f>W$25+W$26+W$27+W$28+W$29+W$30+W$31+W$32+W$33</f>
        <v/>
      </c>
      <c r="X34" s="267">
        <f>X$25+X$26+X$27+X$28+X$29+X$30+X$31+X$32+X$33</f>
        <v/>
      </c>
      <c r="Y34" s="267">
        <f>Y$25+Y$26+Y$27+Y$28+Y$29+Y$30+Y$31+Y$32+Y$33</f>
        <v/>
      </c>
      <c r="Z34" s="267">
        <f>Z$25+Z$26+Z$27+Z$28+Z$29+Z$30+Z$31+Z$32+Z$33</f>
        <v/>
      </c>
      <c r="AA34" s="267">
        <f>AA$25+AA$26+AA$27+AA$28+AA$29+AA$30+AA$31+AA$32+AA$33</f>
        <v/>
      </c>
      <c r="AB34" s="267">
        <f>AB$25+AB$26+AB$27+AB$28+AB$29+AB$30+AB$31+AB$32+AB$33</f>
        <v/>
      </c>
      <c r="AC34" s="267">
        <f>AC$25+AC$26+AC$27+AC$28+AC$29+AC$30+AC$31+AC$32+AC$33</f>
        <v/>
      </c>
      <c r="AD34" s="267">
        <f>AD$25+AD$26+AD$27+AD$28+AD$29+AD$30+AD$31+AD$32+AD$33</f>
        <v/>
      </c>
      <c r="AE34" s="267">
        <f>AE$25+AE$26+AE$27+AE$28+AE$29+AE$30+AE$31+AE$32+AE$33</f>
        <v/>
      </c>
      <c r="AF34" s="267">
        <f>AF$25+AF$26+AF$27+AF$28+AF$29+AF$30+AF$31+AF$32+AF$33</f>
        <v/>
      </c>
      <c r="AG34" s="267">
        <f>AG$25+AG$26+AG$27+AG$28+AG$29+AG$30+AG$31+AG$32+AG$33</f>
        <v/>
      </c>
      <c r="AH34" s="267">
        <f>AH$25+AH$26+AH$27+AH$28+AH$29+AH$30+AH$31+AH$32+AH$33</f>
        <v/>
      </c>
      <c r="AI34" s="267">
        <f>AI$25+AI$26+AI$27+AI$28+AI$29+AI$30+AI$31+AI$32+AI$33</f>
        <v/>
      </c>
      <c r="AJ34" s="267">
        <f>AJ$25+AJ$26+AJ$27+AJ$28+AJ$29+AJ$30+AJ$31+AJ$32+AJ$33</f>
        <v/>
      </c>
      <c r="AK34" s="267">
        <f>AK$25+AK$26+AK$27+AK$28+AK$29+AK$30+AK$31+AK$32+AK$33</f>
        <v/>
      </c>
      <c r="AL34" s="267">
        <f>AL$25+AL$26+AL$27+AL$28+AL$29+AL$30+AL$31+AL$32+AL$33</f>
        <v/>
      </c>
      <c r="AM34" s="267">
        <f>AM$25+AM$26+AM$27+AM$28+AM$29+AM$30+AM$31+AM$32+AM$33</f>
        <v/>
      </c>
      <c r="AN34" s="267">
        <f>AN$25+AN$26+AN$27+AN$28+AN$29+AN$30+AN$31+AN$32+AN$33</f>
        <v/>
      </c>
      <c r="AO34" s="267">
        <f>AO$25+AO$26+AO$27+AO$28+AO$29+AO$30+AO$31+AO$32+AO$33</f>
        <v/>
      </c>
      <c r="AP34" s="267">
        <f>AP$25+AP$26+AP$27+AP$28+AP$29+AP$30+AP$31+AP$32+AP$33</f>
        <v/>
      </c>
      <c r="AQ34" s="267">
        <f>AQ$25+AQ$26+AQ$27+AQ$28+AQ$29+AQ$30+AQ$31+AQ$32+AQ$33</f>
        <v/>
      </c>
      <c r="AR34" s="267">
        <f>AR$25+AR$26+AR$27+AR$28+AR$29+AR$30+AR$31+AR$32+AR$33</f>
        <v/>
      </c>
      <c r="AS34" s="267">
        <f>AS$25+AS$26+AS$27+AS$28+AS$29+AS$30+AS$31+AS$32+AS$33</f>
        <v/>
      </c>
      <c r="AT34" s="267">
        <f>AT$25+AT$26+AT$27+AT$28+AT$29+AT$30+AT$31+AT$32+AT$33</f>
        <v/>
      </c>
      <c r="AU34" s="267">
        <f>AU$25+AU$26+AU$27+AU$28+AU$29+AU$30+AU$31+AU$32+AU$33</f>
        <v/>
      </c>
      <c r="AV34" s="267">
        <f>AV$25+AV$26+AV$27+AV$28+AV$29+AV$30+AV$31+AV$32+AV$33</f>
        <v/>
      </c>
      <c r="AW34" s="267">
        <f>AW$25+AW$26+AW$27+AW$28+AW$29+AW$30+AW$31+AW$32+AW$33</f>
        <v/>
      </c>
      <c r="AX34" s="267">
        <f>AX$25+AX$26+AX$27+AX$28+AX$29+AX$30+AX$31+AX$32+AX$33</f>
        <v/>
      </c>
      <c r="AY34" s="267">
        <f>AY$25+AY$26+AY$27+AY$28+AY$29+AY$30+AY$31+AY$32+AY$33</f>
        <v/>
      </c>
      <c r="AZ34" s="267">
        <f>AZ$25+AZ$26+AZ$27+AZ$28+AZ$29+AZ$30+AZ$31+AZ$32+AZ$33</f>
        <v/>
      </c>
      <c r="BA34" s="267">
        <f>BA$25+BA$26+BA$27+BA$28+BA$29+BA$30+BA$31+BA$32+BA$33</f>
        <v/>
      </c>
      <c r="BB34" s="267">
        <f>BB$25+BB$26+BB$27+BB$28+BB$29+BB$30+BB$31+BB$32+BB$33</f>
        <v/>
      </c>
      <c r="BC34" s="267">
        <f>BC$25+BC$26+BC$27+BC$28+BC$29+BC$30+BC$31+BC$32+BC$33</f>
        <v/>
      </c>
      <c r="BD34" s="267">
        <f>BD$25+BD$26+BD$27+BD$28+BD$29+BD$30+BD$31+BD$32+BD$33</f>
        <v/>
      </c>
      <c r="BE34" s="267">
        <f>BE$25+BE$26+BE$27+BE$28+BE$29+BE$30+BE$31+BE$32+BE$33</f>
        <v/>
      </c>
      <c r="BF34" s="267">
        <f>BF$25+BF$26+BF$27+BF$28+BF$29+BF$30+BF$31+BF$32+BF$33</f>
        <v/>
      </c>
      <c r="BG34" s="267">
        <f>BG$25+BG$26+BG$27+BG$28+BG$29+BG$30+BG$31+BG$32+BG$33</f>
        <v/>
      </c>
      <c r="BH34" s="267">
        <f>BH$25+BH$26+BH$27+BH$28+BH$29+BH$30+BH$31+BH$32+BH$33</f>
        <v/>
      </c>
      <c r="BI34" s="267">
        <f>BI$25+BI$26+BI$27+BI$28+BI$29+BI$30+BI$31+BI$32+BI$33</f>
        <v/>
      </c>
      <c r="BJ34" s="267">
        <f>BJ$25+BJ$26+BJ$27+BJ$28+BJ$29+BJ$30+BJ$31+BJ$32+BJ$33</f>
        <v/>
      </c>
      <c r="BK34" s="267">
        <f>BK$25+BK$26+BK$27+BK$28+BK$29+BK$30+BK$31+BK$32+BK$33</f>
        <v/>
      </c>
      <c r="BL34" s="267">
        <f>BL$25+BL$26+BL$27+BL$28+BL$29+BL$30+BL$31+BL$32+BL$33</f>
        <v/>
      </c>
      <c r="BM34" s="267">
        <f>BM$25+BM$26+BM$27+BM$28+BM$29+BM$30+BM$31+BM$32+BM$33</f>
        <v/>
      </c>
      <c r="BN34" s="267">
        <f>BN$25+BN$26+BN$27+BN$28+BN$29+BN$30+BN$31+BN$32+BN$33</f>
        <v/>
      </c>
      <c r="BO34" s="267">
        <f>BO$25+BO$26+BO$27+BO$28+BO$29+BO$30+BO$31+BO$32+BO$33</f>
        <v/>
      </c>
      <c r="BP34" s="267">
        <f>BP$25+BP$26+BP$27+BP$28+BP$29+BP$30+BP$31+BP$32+BP$33</f>
        <v/>
      </c>
      <c r="BQ34" s="267">
        <f>BQ$25+BQ$26+BQ$27+BQ$28+BQ$29+BQ$30+BQ$31+BQ$32+BQ$33</f>
        <v/>
      </c>
      <c r="BR34" s="267">
        <f>BR$25+BR$26+BR$27+BR$28+BR$29+BR$30+BR$31+BR$32+BR$33</f>
        <v/>
      </c>
      <c r="BS34" s="267">
        <f>BS$25+BS$26+BS$27+BS$28+BS$29+BS$30+BS$31+BS$32+BS$33</f>
        <v/>
      </c>
      <c r="BT34" s="267">
        <f>BT$25+BT$26+BT$27+BT$28+BT$29+BT$30+BT$31+BT$32+BT$33</f>
        <v/>
      </c>
      <c r="BU34" s="267">
        <f>BU$25+BU$26+BU$27+BU$28+BU$29+BU$30+BU$31+BU$32+BU$33</f>
        <v/>
      </c>
      <c r="BV34" s="267">
        <f>BV$25+BV$26+BV$27+BV$28+BV$29+BV$30+BV$31+BV$32+BV$33</f>
        <v/>
      </c>
      <c r="BW34" s="267">
        <f>BW$25+BW$26+BW$27+BW$28+BW$29+BW$30+BW$31+BW$32+BW$33</f>
        <v/>
      </c>
      <c r="BX34" s="267">
        <f>BX$25+BX$26+BX$27+BX$28+BX$29+BX$30+BX$31+BX$32+BX$33</f>
        <v/>
      </c>
      <c r="BY34" s="267">
        <f>BY$25+BY$26+BY$27+BY$28+BY$29+BY$30+BY$31+BY$32+BY$33</f>
        <v/>
      </c>
      <c r="BZ34" s="267">
        <f>BZ$25+BZ$26+BZ$27+BZ$28+BZ$29+BZ$30+BZ$31+BZ$32+BZ$33</f>
        <v/>
      </c>
      <c r="CA34" s="267">
        <f>CA$25+CA$26+CA$27+CA$28+CA$29+CA$30+CA$31+CA$32+CA$33</f>
        <v/>
      </c>
      <c r="CB34" s="267">
        <f>CB$25+CB$26+CB$27+CB$28+CB$29+CB$30+CB$31+CB$32+CB$33</f>
        <v/>
      </c>
      <c r="CC34" s="267">
        <f>CC$25+CC$26+CC$27+CC$28+CC$29+CC$30+CC$31+CC$32+CC$33</f>
        <v/>
      </c>
      <c r="CD34" s="267">
        <f>CD$25+CD$26+CD$27+CD$28+CD$29+CD$30+CD$31+CD$32+CD$33</f>
        <v/>
      </c>
      <c r="CE34" s="267">
        <f>CE$25+CE$26+CE$27+CE$28+CE$29+CE$30+CE$31+CE$32+CE$33</f>
        <v/>
      </c>
      <c r="CF34" s="267">
        <f>CF$25+CF$26+CF$27+CF$28+CF$29+CF$30+CF$31+CF$32+CF$33</f>
        <v/>
      </c>
      <c r="CG34" s="267">
        <f>CG$25+CG$26+CG$27+CG$28+CG$29+CG$30+CG$31+CG$32+CG$33</f>
        <v/>
      </c>
      <c r="CH34" s="267">
        <f>CH$25+CH$26+CH$27+CH$28+CH$29+CH$30+CH$31+CH$32+CH$33</f>
        <v/>
      </c>
      <c r="CI34" s="267">
        <f>CI$25+CI$26+CI$27+CI$28+CI$29+CI$30+CI$31+CI$32+CI$33</f>
        <v/>
      </c>
      <c r="CJ34" s="267">
        <f>CJ$25+CJ$26+CJ$27+CJ$28+CJ$29+CJ$30+CJ$31+CJ$32+CJ$33</f>
        <v/>
      </c>
      <c r="CK34" s="267">
        <f>CK$25+CK$26+CK$27+CK$28+CK$29+CK$30+CK$31+CK$32+CK$33</f>
        <v/>
      </c>
      <c r="CL34" s="267">
        <f>CL$25+CL$26+CL$27+CL$28+CL$29+CL$30+CL$31+CL$32+CL$33</f>
        <v/>
      </c>
      <c r="CM34" s="267">
        <f>CM$25+CM$26+CM$27+CM$28+CM$29+CM$30+CM$31+CM$32+CM$33</f>
        <v/>
      </c>
      <c r="CN34" s="267">
        <f>CN$25+CN$26+CN$27+CN$28+CN$29+CN$30+CN$31+CN$32+CN$33</f>
        <v/>
      </c>
      <c r="CO34" s="267">
        <f>CO$25+CO$26+CO$27+CO$28+CO$29+CO$30+CO$31+CO$32+CO$33</f>
        <v/>
      </c>
      <c r="CP34" s="267">
        <f>CP$25+CP$26+CP$27+CP$28+CP$29+CP$30+CP$31+CP$32+CP$33</f>
        <v/>
      </c>
      <c r="CQ34" s="267">
        <f>CQ$25+CQ$26+CQ$27+CQ$28+CQ$29+CQ$30+CQ$31+CQ$32+CQ$33</f>
        <v/>
      </c>
      <c r="CR34" s="267">
        <f>CR$25+CR$26+CR$27+CR$28+CR$29+CR$30+CR$31+CR$32+CR$33</f>
        <v/>
      </c>
      <c r="CS34" s="267">
        <f>CS$25+CS$26+CS$27+CS$28+CS$29+CS$30+CS$31+CS$32+CS$33</f>
        <v/>
      </c>
      <c r="CT34" s="267">
        <f>CT$25+CT$26+CT$27+CT$28+CT$29+CT$30+CT$31+CT$32+CT$33</f>
        <v/>
      </c>
      <c r="CU34" s="267">
        <f>CU$25+CU$26+CU$27+CU$28+CU$29+CU$30+CU$31+CU$32+CU$33</f>
        <v/>
      </c>
      <c r="CV34" s="267">
        <f>CV$25+CV$26+CV$27+CV$28+CV$29+CV$30+CV$31+CV$32+CV$33</f>
        <v/>
      </c>
      <c r="CW34" s="267">
        <f>CW$25+CW$26+CW$27+CW$28+CW$29+CW$30+CW$31+CW$32+CW$33</f>
        <v/>
      </c>
      <c r="CX34" s="267">
        <f>CX$25+CX$26+CX$27+CX$28+CX$29+CX$30+CX$31+CX$32+CX$33</f>
        <v/>
      </c>
      <c r="CY34" s="267">
        <f>CY$25+CY$26+CY$27+CY$28+CY$29+CY$30+CY$31+CY$32+CY$33</f>
        <v/>
      </c>
      <c r="CZ34" s="267">
        <f>CZ$25+CZ$26+CZ$27+CZ$28+CZ$29+CZ$30+CZ$31+CZ$32+CZ$33</f>
        <v/>
      </c>
      <c r="DA34" s="267">
        <f>DA$25+DA$26+DA$27+DA$28+DA$29+DA$30+DA$31+DA$32+DA$33</f>
        <v/>
      </c>
      <c r="DB34" s="267">
        <f>DB$25+DB$26+DB$27+DB$28+DB$29+DB$30+DB$31+DB$32+DB$33</f>
        <v/>
      </c>
      <c r="DC34" s="267">
        <f>DC$25+DC$26+DC$27+DC$28+DC$29+DC$30+DC$31+DC$32+DC$33</f>
        <v/>
      </c>
      <c r="DD34" s="267">
        <f>DD$25+DD$26+DD$27+DD$28+DD$29+DD$30+DD$31+DD$32+DD$33</f>
        <v/>
      </c>
      <c r="DE34" s="267">
        <f>DE$25+DE$26+DE$27+DE$28+DE$29+DE$30+DE$31+DE$32+DE$33</f>
        <v/>
      </c>
      <c r="DF34" s="267">
        <f>DF$25+DF$26+DF$27+DF$28+DF$29+DF$30+DF$31+DF$32+DF$33</f>
        <v/>
      </c>
      <c r="DG34" s="267">
        <f>DG$25+DG$26+DG$27+DG$28+DG$29+DG$30+DG$31+DG$32+DG$33</f>
        <v/>
      </c>
      <c r="DH34" s="267">
        <f>DH$25+DH$26+DH$27+DH$28+DH$29+DH$30+DH$31+DH$32+DH$33</f>
        <v/>
      </c>
      <c r="DI34" s="267">
        <f>DI$25+DI$26+DI$27+DI$28+DI$29+DI$30+DI$31+DI$32+DI$33</f>
        <v/>
      </c>
      <c r="DJ34" s="267">
        <f>DJ$25+DJ$26+DJ$27+DJ$28+DJ$29+DJ$30+DJ$31+DJ$32+DJ$33</f>
        <v/>
      </c>
      <c r="DK34" s="267">
        <f>DK$25+DK$26+DK$27+DK$28+DK$29+DK$30+DK$31+DK$32+DK$33</f>
        <v/>
      </c>
      <c r="DL34" s="267">
        <f>DL$25+DL$26+DL$27+DL$28+DL$29+DL$30+DL$31+DL$32+DL$33</f>
        <v/>
      </c>
      <c r="DM34" s="267">
        <f>DM$25+DM$26+DM$27+DM$28+DM$29+DM$30+DM$31+DM$32+DM$33</f>
        <v/>
      </c>
      <c r="DN34" s="267">
        <f>DN$25+DN$26+DN$27+DN$28+DN$29+DN$30+DN$31+DN$32+DN$33</f>
        <v/>
      </c>
      <c r="DO34" s="267">
        <f>DO$25+DO$26+DO$27+DO$28+DO$29+DO$30+DO$31+DO$32+DO$33</f>
        <v/>
      </c>
      <c r="DP34" s="267">
        <f>DP$25+DP$26+DP$27+DP$28+DP$29+DP$30+DP$31+DP$32+DP$33</f>
        <v/>
      </c>
      <c r="DQ34" s="267">
        <f>DQ$25+DQ$26+DQ$27+DQ$28+DQ$29+DQ$30+DQ$31+DQ$32+DQ$33</f>
        <v/>
      </c>
      <c r="DR34" s="267">
        <f>DR$25+DR$26+DR$27+DR$28+DR$29+DR$30+DR$31+DR$32+DR$33</f>
        <v/>
      </c>
      <c r="DS34" s="267">
        <f>DS$25+DS$26+DS$27+DS$28+DS$29+DS$30+DS$31+DS$32+DS$33</f>
        <v/>
      </c>
      <c r="DT34" s="267">
        <f>DT$25+DT$26+DT$27+DT$28+DT$29+DT$30+DT$31+DT$32+DT$33</f>
        <v/>
      </c>
      <c r="DU34" s="267">
        <f>DU$25+DU$26+DU$27+DU$28+DU$29+DU$30+DU$31+DU$32+DU$33</f>
        <v/>
      </c>
      <c r="DV34" s="267">
        <f>DV$25+DV$26+DV$27+DV$28+DV$29+DV$30+DV$31+DV$32+DV$33</f>
        <v/>
      </c>
      <c r="DW34" s="267">
        <f>DW$25+DW$26+DW$27+DW$28+DW$29+DW$30+DW$31+DW$32+DW$33</f>
        <v/>
      </c>
      <c r="DX34" s="267">
        <f>DX$25+DX$26+DX$27+DX$28+DX$29+DX$30+DX$31+DX$32+DX$33</f>
        <v/>
      </c>
      <c r="DY34" s="267">
        <f>DY$25+DY$26+DY$27+DY$28+DY$29+DY$30+DY$31+DY$32+DY$33</f>
        <v/>
      </c>
      <c r="DZ34" s="267">
        <f>DZ$25+DZ$26+DZ$27+DZ$28+DZ$29+DZ$30+DZ$31+DZ$32+DZ$33</f>
        <v/>
      </c>
      <c r="EA34" s="267">
        <f>EA$25+EA$26+EA$27+EA$28+EA$29+EA$30+EA$31+EA$32+EA$33</f>
        <v/>
      </c>
      <c r="EB34" s="267">
        <f>EB$25+EB$26+EB$27+EB$28+EB$29+EB$30+EB$31+EB$32+EB$33</f>
        <v/>
      </c>
      <c r="EC34" s="267">
        <f>EC$25+EC$26+EC$27+EC$28+EC$29+EC$30+EC$31+EC$32+EC$33</f>
        <v/>
      </c>
      <c r="ED34" s="267">
        <f>ED$25+ED$26+ED$27+ED$28+ED$29+ED$30+ED$31+ED$32+ED$33</f>
        <v/>
      </c>
      <c r="EE34" s="267">
        <f>EE$25+EE$26+EE$27+EE$28+EE$29+EE$30+EE$31+EE$32+EE$33</f>
        <v/>
      </c>
      <c r="EF34" s="267">
        <f>EF$25+EF$26+EF$27+EF$28+EF$29+EF$30+EF$31+EF$32+EF$33</f>
        <v/>
      </c>
      <c r="EG34" s="267">
        <f>EG$25+EG$26+EG$27+EG$28+EG$29+EG$30+EG$31+EG$32+EG$33</f>
        <v/>
      </c>
      <c r="EH34" s="267">
        <f>EH$25+EH$26+EH$27+EH$28+EH$29+EH$30+EH$31+EH$32+EH$33</f>
        <v/>
      </c>
      <c r="EI34" s="267">
        <f>EI$25+EI$26+EI$27+EI$28+EI$29+EI$30+EI$31+EI$32+EI$33</f>
        <v/>
      </c>
      <c r="EJ34" s="267">
        <f>EJ$25+EJ$26+EJ$27+EJ$28+EJ$29+EJ$30+EJ$31+EJ$32+EJ$33</f>
        <v/>
      </c>
      <c r="EK34" s="267">
        <f>EK$25+EK$26+EK$27+EK$28+EK$29+EK$30+EK$31+EK$32+EK$33</f>
        <v/>
      </c>
      <c r="EL34" s="267">
        <f>EL$25+EL$26+EL$27+EL$28+EL$29+EL$30+EL$31+EL$32+EL$33</f>
        <v/>
      </c>
      <c r="EM34" s="267">
        <f>EM$25+EM$26+EM$27+EM$28+EM$29+EM$30+EM$31+EM$32+EM$33</f>
        <v/>
      </c>
      <c r="EN34" s="267">
        <f>EN$25+EN$26+EN$27+EN$28+EN$29+EN$30+EN$31+EN$32+EN$33</f>
        <v/>
      </c>
      <c r="EO34" s="267">
        <f>EO$25+EO$26+EO$27+EO$28+EO$29+EO$30+EO$31+EO$32+EO$33</f>
        <v/>
      </c>
      <c r="EP34" s="267">
        <f>EP$25+EP$26+EP$27+EP$28+EP$29+EP$30+EP$31+EP$32+EP$33</f>
        <v/>
      </c>
      <c r="EQ34" s="267">
        <f>EQ$25+EQ$26+EQ$27+EQ$28+EQ$29+EQ$30+EQ$31+EQ$32+EQ$33</f>
        <v/>
      </c>
      <c r="ER34" s="267">
        <f>ER$25+ER$26+ER$27+ER$28+ER$29+ER$30+ER$31+ER$32+ER$33</f>
        <v/>
      </c>
      <c r="ES34" s="267">
        <f>ES$25+ES$26+ES$27+ES$28+ES$29+ES$30+ES$31+ES$32+ES$33</f>
        <v/>
      </c>
      <c r="ET34" s="267">
        <f>ET$25+ET$26+ET$27+ET$28+ET$29+ET$30+ET$31+ET$32+ET$33</f>
        <v/>
      </c>
      <c r="EU34" s="267">
        <f>EU$25+EU$26+EU$27+EU$28+EU$29+EU$30+EU$31+EU$32+EU$33</f>
        <v/>
      </c>
      <c r="EV34" s="267">
        <f>EV$25+EV$26+EV$27+EV$28+EV$29+EV$30+EV$31+EV$32+EV$33</f>
        <v/>
      </c>
      <c r="EW34" s="267">
        <f>EW$25+EW$26+EW$27+EW$28+EW$29+EW$30+EW$31+EW$32+EW$33</f>
        <v/>
      </c>
      <c r="EX34" s="267">
        <f>EX$25+EX$26+EX$27+EX$28+EX$29+EX$30+EX$31+EX$32+EX$33</f>
        <v/>
      </c>
      <c r="EY34" s="267">
        <f>EY$25+EY$26+EY$27+EY$28+EY$29+EY$30+EY$31+EY$32+EY$33</f>
        <v/>
      </c>
      <c r="EZ34" s="267">
        <f>EZ$25+EZ$26+EZ$27+EZ$28+EZ$29+EZ$30+EZ$31+EZ$32+EZ$33</f>
        <v/>
      </c>
      <c r="FA34" s="267">
        <f>FA$25+FA$26+FA$27+FA$28+FA$29+FA$30+FA$31+FA$32+FA$33</f>
        <v/>
      </c>
      <c r="FB34" s="267">
        <f>FB$25+FB$26+FB$27+FB$28+FB$29+FB$30+FB$31+FB$32+FB$33</f>
        <v/>
      </c>
      <c r="FC34" s="267">
        <f>FC$25+FC$26+FC$27+FC$28+FC$29+FC$30+FC$31+FC$32+FC$33</f>
        <v/>
      </c>
      <c r="FD34" s="267">
        <f>FD$25+FD$26+FD$27+FD$28+FD$29+FD$30+FD$31+FD$32+FD$33</f>
        <v/>
      </c>
      <c r="FE34" s="267">
        <f>FE$25+FE$26+FE$27+FE$28+FE$29+FE$30+FE$31+FE$32+FE$33</f>
        <v/>
      </c>
      <c r="FF34" s="267">
        <f>FF$25+FF$26+FF$27+FF$28+FF$29+FF$30+FF$31+FF$32+FF$33</f>
        <v/>
      </c>
      <c r="FG34" s="267">
        <f>FG$25+FG$26+FG$27+FG$28+FG$29+FG$30+FG$31+FG$32+FG$33</f>
        <v/>
      </c>
      <c r="FH34" s="267">
        <f>FH$25+FH$26+FH$27+FH$28+FH$29+FH$30+FH$31+FH$32+FH$33</f>
        <v/>
      </c>
      <c r="FI34" s="267">
        <f>FI$25+FI$26+FI$27+FI$28+FI$29+FI$30+FI$31+FI$32+FI$33</f>
        <v/>
      </c>
      <c r="FJ34" s="267">
        <f>FJ$25+FJ$26+FJ$27+FJ$28+FJ$29+FJ$30+FJ$31+FJ$32+FJ$33</f>
        <v/>
      </c>
      <c r="FK34" s="267">
        <f>FK$25+FK$26+FK$27+FK$28+FK$29+FK$30+FK$31+FK$32+FK$33</f>
        <v/>
      </c>
      <c r="FL34" s="267">
        <f>FL$25+FL$26+FL$27+FL$28+FL$29+FL$30+FL$31+FL$32+FL$33</f>
        <v/>
      </c>
      <c r="FM34" s="267">
        <f>FM$25+FM$26+FM$27+FM$28+FM$29+FM$30+FM$31+FM$32+FM$33</f>
        <v/>
      </c>
      <c r="FN34" s="267">
        <f>FN$25+FN$26+FN$27+FN$28+FN$29+FN$30+FN$31+FN$32+FN$33</f>
        <v/>
      </c>
      <c r="FO34" s="267">
        <f>FO$25+FO$26+FO$27+FO$28+FO$29+FO$30+FO$31+FO$32+FO$33</f>
        <v/>
      </c>
      <c r="FP34" s="267">
        <f>FP$25+FP$26+FP$27+FP$28+FP$29+FP$30+FP$31+FP$32+FP$33</f>
        <v/>
      </c>
      <c r="FQ34" s="267">
        <f>FQ$25+FQ$26+FQ$27+FQ$28+FQ$29+FQ$30+FQ$31+FQ$32+FQ$33</f>
        <v/>
      </c>
      <c r="FR34" s="267">
        <f>FR$25+FR$26+FR$27+FR$28+FR$29+FR$30+FR$31+FR$32+FR$33</f>
        <v/>
      </c>
      <c r="FS34" s="267">
        <f>FS$25+FS$26+FS$27+FS$28+FS$29+FS$30+FS$31+FS$32+FS$33</f>
        <v/>
      </c>
      <c r="FT34" s="267">
        <f>FT$25+FT$26+FT$27+FT$28+FT$29+FT$30+FT$31+FT$32+FT$33</f>
        <v/>
      </c>
      <c r="FU34" s="267">
        <f>FU$25+FU$26+FU$27+FU$28+FU$29+FU$30+FU$31+FU$32+FU$33</f>
        <v/>
      </c>
      <c r="FV34" s="267">
        <f>FV$25+FV$26+FV$27+FV$28+FV$29+FV$30+FV$31+FV$32+FV$33</f>
        <v/>
      </c>
      <c r="FW34" s="267">
        <f>FW$25+FW$26+FW$27+FW$28+FW$29+FW$30+FW$31+FW$32+FW$33</f>
        <v/>
      </c>
      <c r="FX34" s="267">
        <f>FX$25+FX$26+FX$27+FX$28+FX$29+FX$30+FX$31+FX$32+FX$33</f>
        <v/>
      </c>
      <c r="FY34" s="267">
        <f>FY$25+FY$26+FY$27+FY$28+FY$29+FY$30+FY$31+FY$32+FY$33</f>
        <v/>
      </c>
      <c r="FZ34" s="267">
        <f>FZ$25+FZ$26+FZ$27+FZ$28+FZ$29+FZ$30+FZ$31+FZ$32+FZ$33</f>
        <v/>
      </c>
      <c r="GA34" s="267">
        <f>GA$25+GA$26+GA$27+GA$28+GA$29+GA$30+GA$31+GA$32+GA$33</f>
        <v/>
      </c>
      <c r="GB34" s="267">
        <f>GB$25+GB$26+GB$27+GB$28+GB$29+GB$30+GB$31+GB$32+GB$33</f>
        <v/>
      </c>
      <c r="GC34" s="267">
        <f>GC$25+GC$26+GC$27+GC$28+GC$29+GC$30+GC$31+GC$32+GC$33</f>
        <v/>
      </c>
      <c r="GD34" s="267">
        <f>GD$25+GD$26+GD$27+GD$28+GD$29+GD$30+GD$31+GD$32+GD$33</f>
        <v/>
      </c>
      <c r="GE34" s="267">
        <f>GE$25+GE$26+GE$27+GE$28+GE$29+GE$30+GE$31+GE$32+GE$33</f>
        <v/>
      </c>
      <c r="GF34" s="267">
        <f>GF$25+GF$26+GF$27+GF$28+GF$29+GF$30+GF$31+GF$32+GF$33</f>
        <v/>
      </c>
      <c r="GG34" s="267">
        <f>GG$25+GG$26+GG$27+GG$28+GG$29+GG$30+GG$31+GG$32+GG$33</f>
        <v/>
      </c>
      <c r="GH34" s="267">
        <f>GH$25+GH$26+GH$27+GH$28+GH$29+GH$30+GH$31+GH$32+GH$33</f>
        <v/>
      </c>
      <c r="GI34" s="267">
        <f>GI$25+GI$26+GI$27+GI$28+GI$29+GI$30+GI$31+GI$32+GI$33</f>
        <v/>
      </c>
      <c r="GJ34" s="267">
        <f>GJ$25+GJ$26+GJ$27+GJ$28+GJ$29+GJ$30+GJ$31+GJ$32+GJ$33</f>
        <v/>
      </c>
      <c r="GK34" s="267">
        <f>GK$25+GK$26+GK$27+GK$28+GK$29+GK$30+GK$31+GK$32+GK$33</f>
        <v/>
      </c>
      <c r="GL34" s="267">
        <f>GL$25+GL$26+GL$27+GL$28+GL$29+GL$30+GL$31+GL$32+GL$33</f>
        <v/>
      </c>
      <c r="GM34" s="267">
        <f>GM$25+GM$26+GM$27+GM$28+GM$29+GM$30+GM$31+GM$32+GM$33</f>
        <v/>
      </c>
      <c r="GN34" s="267">
        <f>GN$25+GN$26+GN$27+GN$28+GN$29+GN$30+GN$31+GN$32+GN$33</f>
        <v/>
      </c>
      <c r="GO34" s="267">
        <f>GO$25+GO$26+GO$27+GO$28+GO$29+GO$30+GO$31+GO$32+GO$33</f>
        <v/>
      </c>
      <c r="GP34" s="267">
        <f>GP$25+GP$26+GP$27+GP$28+GP$29+GP$30+GP$31+GP$32+GP$33</f>
        <v/>
      </c>
      <c r="GQ34" s="267">
        <f>GQ$25+GQ$26+GQ$27+GQ$28+GQ$29+GQ$30+GQ$31+GQ$32+GQ$33</f>
        <v/>
      </c>
      <c r="GR34" s="267">
        <f>GR$25+GR$26+GR$27+GR$28+GR$29+GR$30+GR$31+GR$32+GR$33</f>
        <v/>
      </c>
      <c r="GS34" s="267">
        <f>GS$25+GS$26+GS$27+GS$28+GS$29+GS$30+GS$31+GS$32+GS$33</f>
        <v/>
      </c>
      <c r="GT34" s="267">
        <f>GT$25+GT$26+GT$27+GT$28+GT$29+GT$30+GT$31+GT$32+GT$33</f>
        <v/>
      </c>
      <c r="GU34" s="267">
        <f>GU$25+GU$26+GU$27+GU$28+GU$29+GU$30+GU$31+GU$32+GU$33</f>
        <v/>
      </c>
      <c r="GV34" s="267">
        <f>GV$25+GV$26+GV$27+GV$28+GV$29+GV$30+GV$31+GV$32+GV$33</f>
        <v/>
      </c>
      <c r="GW34" s="267">
        <f>GW$25+GW$26+GW$27+GW$28+GW$29+GW$30+GW$31+GW$32+GW$33</f>
        <v/>
      </c>
      <c r="GX34" s="267">
        <f>GX$25+GX$26+GX$27+GX$28+GX$29+GX$30+GX$31+GX$32+GX$33</f>
        <v/>
      </c>
      <c r="GY34" s="267">
        <f>GY$25+GY$26+GY$27+GY$28+GY$29+GY$30+GY$31+GY$32+GY$33</f>
        <v/>
      </c>
      <c r="GZ34" s="267">
        <f>GZ$25+GZ$26+GZ$27+GZ$28+GZ$29+GZ$30+GZ$31+GZ$32+GZ$33</f>
        <v/>
      </c>
      <c r="HA34" s="267">
        <f>HA$25+HA$26+HA$27+HA$28+HA$29+HA$30+HA$31+HA$32+HA$33</f>
        <v/>
      </c>
      <c r="HB34" s="267">
        <f>HB$25+HB$26+HB$27+HB$28+HB$29+HB$30+HB$31+HB$32+HB$33</f>
        <v/>
      </c>
      <c r="HC34" s="267">
        <f>HC$25+HC$26+HC$27+HC$28+HC$29+HC$30+HC$31+HC$32+HC$33</f>
        <v/>
      </c>
      <c r="HD34" s="267">
        <f>HD$25+HD$26+HD$27+HD$28+HD$29+HD$30+HD$31+HD$32+HD$33</f>
        <v/>
      </c>
      <c r="HE34" s="267">
        <f>HE$25+HE$26+HE$27+HE$28+HE$29+HE$30+HE$31+HE$32+HE$33</f>
        <v/>
      </c>
      <c r="HF34" s="267">
        <f>HF$25+HF$26+HF$27+HF$28+HF$29+HF$30+HF$31+HF$32+HF$33</f>
        <v/>
      </c>
      <c r="HG34" s="267">
        <f>HG$25+HG$26+HG$27+HG$28+HG$29+HG$30+HG$31+HG$32+HG$33</f>
        <v/>
      </c>
      <c r="HH34" s="267">
        <f>HH$25+HH$26+HH$27+HH$28+HH$29+HH$30+HH$31+HH$32+HH$33</f>
        <v/>
      </c>
      <c r="HI34" s="267">
        <f>HI$25+HI$26+HI$27+HI$28+HI$29+HI$30+HI$31+HI$32+HI$33</f>
        <v/>
      </c>
      <c r="HJ34" s="267">
        <f>HJ$25+HJ$26+HJ$27+HJ$28+HJ$29+HJ$30+HJ$31+HJ$32+HJ$33</f>
        <v/>
      </c>
      <c r="HK34" s="267">
        <f>HK$25+HK$26+HK$27+HK$28+HK$29+HK$30+HK$31+HK$32+HK$33</f>
        <v/>
      </c>
      <c r="HL34" s="267">
        <f>HL$25+HL$26+HL$27+HL$28+HL$29+HL$30+HL$31+HL$32+HL$33</f>
        <v/>
      </c>
      <c r="HM34" s="267">
        <f>HM$25+HM$26+HM$27+HM$28+HM$29+HM$30+HM$31+HM$32+HM$33</f>
        <v/>
      </c>
      <c r="HN34" s="267">
        <f>HN$25+HN$26+HN$27+HN$28+HN$29+HN$30+HN$31+HN$32+HN$33</f>
        <v/>
      </c>
      <c r="HO34" s="267">
        <f>HO$25+HO$26+HO$27+HO$28+HO$29+HO$30+HO$31+HO$32+HO$33</f>
        <v/>
      </c>
      <c r="HP34" s="267">
        <f>HP$25+HP$26+HP$27+HP$28+HP$29+HP$30+HP$31+HP$32+HP$33</f>
        <v/>
      </c>
      <c r="HQ34" s="267">
        <f>HQ$25+HQ$26+HQ$27+HQ$28+HQ$29+HQ$30+HQ$31+HQ$32+HQ$33</f>
        <v/>
      </c>
      <c r="HR34" s="267">
        <f>HR$25+HR$26+HR$27+HR$28+HR$29+HR$30+HR$31+HR$32+HR$33</f>
        <v/>
      </c>
      <c r="HS34" s="267">
        <f>HS$25+HS$26+HS$27+HS$28+HS$29+HS$30+HS$31+HS$32+HS$33</f>
        <v/>
      </c>
      <c r="HT34" s="267">
        <f>HT$25+HT$26+HT$27+HT$28+HT$29+HT$30+HT$31+HT$32+HT$33</f>
        <v/>
      </c>
      <c r="HU34" s="267">
        <f>HU$25+HU$26+HU$27+HU$28+HU$29+HU$30+HU$31+HU$32+HU$33</f>
        <v/>
      </c>
      <c r="HV34" s="267">
        <f>HV$25+HV$26+HV$27+HV$28+HV$29+HV$30+HV$31+HV$32+HV$33</f>
        <v/>
      </c>
      <c r="HW34" s="267">
        <f>HW$25+HW$26+HW$27+HW$28+HW$29+HW$30+HW$31+HW$32+HW$33</f>
        <v/>
      </c>
      <c r="HX34" s="267">
        <f>HX$25+HX$26+HX$27+HX$28+HX$29+HX$30+HX$31+HX$32+HX$33</f>
        <v/>
      </c>
      <c r="HY34" s="267">
        <f>HY$25+HY$26+HY$27+HY$28+HY$29+HY$30+HY$31+HY$32+HY$33</f>
        <v/>
      </c>
      <c r="HZ34" s="267">
        <f>HZ$25+HZ$26+HZ$27+HZ$28+HZ$29+HZ$30+HZ$31+HZ$32+HZ$33</f>
        <v/>
      </c>
      <c r="IA34" s="267">
        <f>IA$25+IA$26+IA$27+IA$28+IA$29+IA$30+IA$31+IA$32+IA$33</f>
        <v/>
      </c>
      <c r="IB34" s="267">
        <f>IB$25+IB$26+IB$27+IB$28+IB$29+IB$30+IB$31+IB$32+IB$33</f>
        <v/>
      </c>
      <c r="IC34" s="267">
        <f>IC$25+IC$26+IC$27+IC$28+IC$29+IC$30+IC$31+IC$32+IC$33</f>
        <v/>
      </c>
      <c r="ID34" s="267">
        <f>ID$25+ID$26+ID$27+ID$28+ID$29+ID$30+ID$31+ID$32+ID$33</f>
        <v/>
      </c>
      <c r="IE34" s="267">
        <f>IE$25+IE$26+IE$27+IE$28+IE$29+IE$30+IE$31+IE$32+IE$33</f>
        <v/>
      </c>
      <c r="IF34" s="267">
        <f>IF$25+IF$26+IF$27+IF$28+IF$29+IF$30+IF$31+IF$32+IF$33</f>
        <v/>
      </c>
      <c r="IG34" s="267">
        <f>IG$25+IG$26+IG$27+IG$28+IG$29+IG$30+IG$31+IG$32+IG$33</f>
        <v/>
      </c>
      <c r="IH34" s="267">
        <f>IH$25+IH$26+IH$27+IH$28+IH$29+IH$30+IH$31+IH$32+IH$33</f>
        <v/>
      </c>
      <c r="II34" s="267">
        <f>II$25+II$26+II$27+II$28+II$29+II$30+II$31+II$32+II$33</f>
        <v/>
      </c>
      <c r="IJ34" s="267">
        <f>IJ$25+IJ$26+IJ$27+IJ$28+IJ$29+IJ$30+IJ$31+IJ$32+IJ$33</f>
        <v/>
      </c>
      <c r="IK34" s="267">
        <f>IK$25+IK$26+IK$27+IK$28+IK$29+IK$30+IK$31+IK$32+IK$33</f>
        <v/>
      </c>
      <c r="IL34" s="267">
        <f>IL$25+IL$26+IL$27+IL$28+IL$29+IL$30+IL$31+IL$32+IL$33</f>
        <v/>
      </c>
      <c r="IM34" s="267">
        <f>IM$25+IM$26+IM$27+IM$28+IM$29+IM$30+IM$31+IM$32+IM$33</f>
        <v/>
      </c>
      <c r="IN34" s="267">
        <f>IN$25+IN$26+IN$27+IN$28+IN$29+IN$30+IN$31+IN$32+IN$33</f>
        <v/>
      </c>
      <c r="IO34" s="267">
        <f>IO$25+IO$26+IO$27+IO$28+IO$29+IO$30+IO$31+IO$32+IO$33</f>
        <v/>
      </c>
      <c r="IP34" s="267">
        <f>IP$25+IP$26+IP$27+IP$28+IP$29+IP$30+IP$31+IP$32+IP$33</f>
        <v/>
      </c>
      <c r="IQ34" s="267">
        <f>IQ$25+IQ$26+IQ$27+IQ$28+IQ$29+IQ$30+IQ$31+IQ$32+IQ$33</f>
        <v/>
      </c>
      <c r="IR34" s="267">
        <f>IR$25+IR$26+IR$27+IR$28+IR$29+IR$30+IR$31+IR$32+IR$33</f>
        <v/>
      </c>
      <c r="IS34" s="267">
        <f>IS$25+IS$26+IS$27+IS$28+IS$29+IS$30+IS$31+IS$32+IS$33</f>
        <v/>
      </c>
      <c r="IT34" s="267">
        <f>IT$25+IT$26+IT$27+IT$28+IT$29+IT$30+IT$31+IT$32+IT$33</f>
        <v/>
      </c>
      <c r="IU34" s="267">
        <f>IU$25+IU$26+IU$27+IU$28+IU$29+IU$30+IU$31+IU$32+IU$33</f>
        <v/>
      </c>
      <c r="IV34" s="267">
        <f>IV$25+IV$26+IV$27+IV$28+IV$29+IV$30+IV$31+IV$32+IV$33</f>
        <v/>
      </c>
      <c r="IW34" s="267">
        <f>IW$25+IW$26+IW$27+IW$28+IW$29+IW$30+IW$31+IW$32+IW$33</f>
        <v/>
      </c>
      <c r="IX34" s="267">
        <f>IX$25+IX$26+IX$27+IX$28+IX$29+IX$30+IX$31+IX$32+IX$33</f>
        <v/>
      </c>
      <c r="IY34" s="267">
        <f>IY$25+IY$26+IY$27+IY$28+IY$29+IY$30+IY$31+IY$32+IY$33</f>
        <v/>
      </c>
      <c r="IZ34" s="267">
        <f>IZ$25+IZ$26+IZ$27+IZ$28+IZ$29+IZ$30+IZ$31+IZ$32+IZ$33</f>
        <v/>
      </c>
      <c r="JA34" s="267">
        <f>JA$25+JA$26+JA$27+JA$28+JA$29+JA$30+JA$31+JA$32+JA$33</f>
        <v/>
      </c>
      <c r="JB34" s="267">
        <f>JB$25+JB$26+JB$27+JB$28+JB$29+JB$30+JB$31+JB$32+JB$33</f>
        <v/>
      </c>
      <c r="JC34" s="267">
        <f>JC$25+JC$26+JC$27+JC$28+JC$29+JC$30+JC$31+JC$32+JC$33</f>
        <v/>
      </c>
      <c r="JD34" s="267">
        <f>JD$25+JD$26+JD$27+JD$28+JD$29+JD$30+JD$31+JD$32+JD$33</f>
        <v/>
      </c>
      <c r="JE34" s="267">
        <f>JE$25+JE$26+JE$27+JE$28+JE$29+JE$30+JE$31+JE$32+JE$33</f>
        <v/>
      </c>
      <c r="JF34" s="267">
        <f>JF$25+JF$26+JF$27+JF$28+JF$29+JF$30+JF$31+JF$32+JF$33</f>
        <v/>
      </c>
      <c r="JG34" s="267">
        <f>JG$25+JG$26+JG$27+JG$28+JG$29+JG$30+JG$31+JG$32+JG$33</f>
        <v/>
      </c>
      <c r="JH34" s="267">
        <f>JH$25+JH$26+JH$27+JH$28+JH$29+JH$30+JH$31+JH$32+JH$33</f>
        <v/>
      </c>
      <c r="JI34" s="267">
        <f>JI$25+JI$26+JI$27+JI$28+JI$29+JI$30+JI$31+JI$32+JI$33</f>
        <v/>
      </c>
      <c r="JJ34" s="267">
        <f>JJ$25+JJ$26+JJ$27+JJ$28+JJ$29+JJ$30+JJ$31+JJ$32+JJ$33</f>
        <v/>
      </c>
      <c r="JK34" s="267">
        <f>JK$25+JK$26+JK$27+JK$28+JK$29+JK$30+JK$31+JK$32+JK$33</f>
        <v/>
      </c>
      <c r="JL34" s="267">
        <f>JL$25+JL$26+JL$27+JL$28+JL$29+JL$30+JL$31+JL$32+JL$33</f>
        <v/>
      </c>
      <c r="JM34" s="267">
        <f>JM$25+JM$26+JM$27+JM$28+JM$29+JM$30+JM$31+JM$32+JM$33</f>
        <v/>
      </c>
      <c r="JN34" s="267">
        <f>JN$25+JN$26+JN$27+JN$28+JN$29+JN$30+JN$31+JN$32+JN$33</f>
        <v/>
      </c>
      <c r="JO34" s="267">
        <f>JO$25+JO$26+JO$27+JO$28+JO$29+JO$30+JO$31+JO$32+JO$33</f>
        <v/>
      </c>
      <c r="JP34" s="267">
        <f>JP$25+JP$26+JP$27+JP$28+JP$29+JP$30+JP$31+JP$32+JP$33</f>
        <v/>
      </c>
      <c r="JQ34" s="267">
        <f>JQ$25+JQ$26+JQ$27+JQ$28+JQ$29+JQ$30+JQ$31+JQ$32+JQ$33</f>
        <v/>
      </c>
      <c r="JR34" s="267">
        <f>JR$25+JR$26+JR$27+JR$28+JR$29+JR$30+JR$31+JR$32+JR$33</f>
        <v/>
      </c>
      <c r="JS34" s="267">
        <f>JS$25+JS$26+JS$27+JS$28+JS$29+JS$30+JS$31+JS$32+JS$33</f>
        <v/>
      </c>
      <c r="JT34" s="267">
        <f>JT$25+JT$26+JT$27+JT$28+JT$29+JT$30+JT$31+JT$32+JT$33</f>
        <v/>
      </c>
      <c r="JU34" s="267">
        <f>JU$25+JU$26+JU$27+JU$28+JU$29+JU$30+JU$31+JU$32+JU$33</f>
        <v/>
      </c>
      <c r="JV34" s="267">
        <f>JV$25+JV$26+JV$27+JV$28+JV$29+JV$30+JV$31+JV$32+JV$33</f>
        <v/>
      </c>
      <c r="JW34" s="267">
        <f>JW$25+JW$26+JW$27+JW$28+JW$29+JW$30+JW$31+JW$32+JW$33</f>
        <v/>
      </c>
      <c r="JX34" s="267">
        <f>JX$25+JX$26+JX$27+JX$28+JX$29+JX$30+JX$31+JX$32+JX$33</f>
        <v/>
      </c>
      <c r="JY34" s="267">
        <f>JY$25+JY$26+JY$27+JY$28+JY$29+JY$30+JY$31+JY$32+JY$33</f>
        <v/>
      </c>
      <c r="JZ34" s="267">
        <f>JZ$25+JZ$26+JZ$27+JZ$28+JZ$29+JZ$30+JZ$31+JZ$32+JZ$33</f>
        <v/>
      </c>
      <c r="KA34" s="267">
        <f>KA$25+KA$26+KA$27+KA$28+KA$29+KA$30+KA$31+KA$32+KA$33</f>
        <v/>
      </c>
      <c r="KB34" s="267">
        <f>KB$25+KB$26+KB$27+KB$28+KB$29+KB$30+KB$31+KB$32+KB$33</f>
        <v/>
      </c>
      <c r="KC34" s="267">
        <f>KC$25+KC$26+KC$27+KC$28+KC$29+KC$30+KC$31+KC$32+KC$33</f>
        <v/>
      </c>
      <c r="KD34" s="267">
        <f>KD$25+KD$26+KD$27+KD$28+KD$29+KD$30+KD$31+KD$32+KD$33</f>
        <v/>
      </c>
      <c r="KE34" s="267">
        <f>KE$25+KE$26+KE$27+KE$28+KE$29+KE$30+KE$31+KE$32+KE$33</f>
        <v/>
      </c>
      <c r="KF34" s="267">
        <f>KF$25+KF$26+KF$27+KF$28+KF$29+KF$30+KF$31+KF$32+KF$33</f>
        <v/>
      </c>
      <c r="KG34" s="267">
        <f>KG$25+KG$26+KG$27+KG$28+KG$29+KG$30+KG$31+KG$32+KG$33</f>
        <v/>
      </c>
      <c r="KH34" s="267">
        <f>KH$25+KH$26+KH$27+KH$28+KH$29+KH$30+KH$31+KH$32+KH$33</f>
        <v/>
      </c>
      <c r="KI34" s="267">
        <f>KI$25+KI$26+KI$27+KI$28+KI$29+KI$30+KI$31+KI$32+KI$33</f>
        <v/>
      </c>
      <c r="KJ34" s="267">
        <f>KJ$25+KJ$26+KJ$27+KJ$28+KJ$29+KJ$30+KJ$31+KJ$32+KJ$33</f>
        <v/>
      </c>
      <c r="KK34" s="267">
        <f>KK$25+KK$26+KK$27+KK$28+KK$29+KK$30+KK$31+KK$32+KK$33</f>
        <v/>
      </c>
      <c r="KL34" s="267">
        <f>KL$25+KL$26+KL$27+KL$28+KL$29+KL$30+KL$31+KL$32+KL$33</f>
        <v/>
      </c>
      <c r="KM34" s="267">
        <f>KM$25+KM$26+KM$27+KM$28+KM$29+KM$30+KM$31+KM$32+KM$33</f>
        <v/>
      </c>
      <c r="KN34" s="267">
        <f>KN$25+KN$26+KN$27+KN$28+KN$29+KN$30+KN$31+KN$32+KN$33</f>
        <v/>
      </c>
      <c r="KO34" s="267">
        <f>KO$25+KO$26+KO$27+KO$28+KO$29+KO$30+KO$31+KO$32+KO$33</f>
        <v/>
      </c>
      <c r="KP34" s="267">
        <f>KP$25+KP$26+KP$27+KP$28+KP$29+KP$30+KP$31+KP$32+KP$33</f>
        <v/>
      </c>
      <c r="KQ34" s="267">
        <f>KQ$25+KQ$26+KQ$27+KQ$28+KQ$29+KQ$30+KQ$31+KQ$32+KQ$33</f>
        <v/>
      </c>
      <c r="KR34" s="267">
        <f>KR$25+KR$26+KR$27+KR$28+KR$29+KR$30+KR$31+KR$32+KR$33</f>
        <v/>
      </c>
      <c r="KS34" s="267">
        <f>KS$25+KS$26+KS$27+KS$28+KS$29+KS$30+KS$31+KS$32+KS$33</f>
        <v/>
      </c>
      <c r="KT34" s="267">
        <f>KT$25+KT$26+KT$27+KT$28+KT$29+KT$30+KT$31+KT$32+KT$33</f>
        <v/>
      </c>
      <c r="KU34" s="267">
        <f>KU$25+KU$26+KU$27+KU$28+KU$29+KU$30+KU$31+KU$32+KU$33</f>
        <v/>
      </c>
      <c r="KV34" s="267">
        <f>KV$25+KV$26+KV$27+KV$28+KV$29+KV$30+KV$31+KV$32+KV$33</f>
        <v/>
      </c>
      <c r="KW34" s="267">
        <f>KW$25+KW$26+KW$27+KW$28+KW$29+KW$30+KW$31+KW$32+KW$33</f>
        <v/>
      </c>
      <c r="KX34" s="267">
        <f>KX$25+KX$26+KX$27+KX$28+KX$29+KX$30+KX$31+KX$32+KX$33</f>
        <v/>
      </c>
      <c r="KY34" s="267">
        <f>KY$25+KY$26+KY$27+KY$28+KY$29+KY$30+KY$31+KY$32+KY$33</f>
        <v/>
      </c>
      <c r="KZ34" s="267">
        <f>KZ$25+KZ$26+KZ$27+KZ$28+KZ$29+KZ$30+KZ$31+KZ$32+KZ$33</f>
        <v/>
      </c>
      <c r="LA34" s="267">
        <f>LA$25+LA$26+LA$27+LA$28+LA$29+LA$30+LA$31+LA$32+LA$33</f>
        <v/>
      </c>
      <c r="LB34" s="267">
        <f>LB$25+LB$26+LB$27+LB$28+LB$29+LB$30+LB$31+LB$32+LB$33</f>
        <v/>
      </c>
      <c r="LC34" s="267">
        <f>LC$25+LC$26+LC$27+LC$28+LC$29+LC$30+LC$31+LC$32+LC$33</f>
        <v/>
      </c>
      <c r="LD34" s="267">
        <f>LD$25+LD$26+LD$27+LD$28+LD$29+LD$30+LD$31+LD$32+LD$33</f>
        <v/>
      </c>
      <c r="LE34" s="267">
        <f>LE$25+LE$26+LE$27+LE$28+LE$29+LE$30+LE$31+LE$32+LE$33</f>
        <v/>
      </c>
      <c r="LF34" s="267">
        <f>LF$25+LF$26+LF$27+LF$28+LF$29+LF$30+LF$31+LF$32+LF$33</f>
        <v/>
      </c>
      <c r="LG34" s="267">
        <f>LG$25+LG$26+LG$27+LG$28+LG$29+LG$30+LG$31+LG$32+LG$33</f>
        <v/>
      </c>
      <c r="LH34" s="267">
        <f>LH$25+LH$26+LH$27+LH$28+LH$29+LH$30+LH$31+LH$32+LH$33</f>
        <v/>
      </c>
      <c r="LI34" s="267">
        <f>LI$25+LI$26+LI$27+LI$28+LI$29+LI$30+LI$31+LI$32+LI$33</f>
        <v/>
      </c>
      <c r="LJ34" s="267">
        <f>LJ$25+LJ$26+LJ$27+LJ$28+LJ$29+LJ$30+LJ$31+LJ$32+LJ$33</f>
        <v/>
      </c>
      <c r="LK34" s="267">
        <f>LK$25+LK$26+LK$27+LK$28+LK$29+LK$30+LK$31+LK$32+LK$33</f>
        <v/>
      </c>
      <c r="LL34" s="267">
        <f>LL$25+LL$26+LL$27+LL$28+LL$29+LL$30+LL$31+LL$32+LL$33</f>
        <v/>
      </c>
      <c r="LM34" s="267">
        <f>LM$25+LM$26+LM$27+LM$28+LM$29+LM$30+LM$31+LM$32+LM$33</f>
        <v/>
      </c>
      <c r="LN34" s="267">
        <f>LN$25+LN$26+LN$27+LN$28+LN$29+LN$30+LN$31+LN$32+LN$33</f>
        <v/>
      </c>
      <c r="LO34" s="267">
        <f>LO$25+LO$26+LO$27+LO$28+LO$29+LO$30+LO$31+LO$32+LO$33</f>
        <v/>
      </c>
      <c r="LP34" s="267">
        <f>LP$25+LP$26+LP$27+LP$28+LP$29+LP$30+LP$31+LP$32+LP$33</f>
        <v/>
      </c>
      <c r="LQ34" s="267">
        <f>LQ$25+LQ$26+LQ$27+LQ$28+LQ$29+LQ$30+LQ$31+LQ$32+LQ$33</f>
        <v/>
      </c>
      <c r="LR34" s="267">
        <f>LR$25+LR$26+LR$27+LR$28+LR$29+LR$30+LR$31+LR$32+LR$33</f>
        <v/>
      </c>
      <c r="LS34" s="267">
        <f>LS$25+LS$26+LS$27+LS$28+LS$29+LS$30+LS$31+LS$32+LS$33</f>
        <v/>
      </c>
      <c r="LT34" s="267">
        <f>LT$25+LT$26+LT$27+LT$28+LT$29+LT$30+LT$31+LT$32+LT$33</f>
        <v/>
      </c>
      <c r="LU34" s="267">
        <f>LU$25+LU$26+LU$27+LU$28+LU$29+LU$30+LU$31+LU$32+LU$33</f>
        <v/>
      </c>
      <c r="LV34" s="267">
        <f>LV$25+LV$26+LV$27+LV$28+LV$29+LV$30+LV$31+LV$32+LV$33</f>
        <v/>
      </c>
      <c r="LW34" s="267">
        <f>LW$25+LW$26+LW$27+LW$28+LW$29+LW$30+LW$31+LW$32+LW$33</f>
        <v/>
      </c>
      <c r="LX34" s="267">
        <f>LX$25+LX$26+LX$27+LX$28+LX$29+LX$30+LX$31+LX$32+LX$33</f>
        <v/>
      </c>
      <c r="LY34" s="267">
        <f>LY$25+LY$26+LY$27+LY$28+LY$29+LY$30+LY$31+LY$32+LY$33</f>
        <v/>
      </c>
      <c r="LZ34" s="267">
        <f>LZ$25+LZ$26+LZ$27+LZ$28+LZ$29+LZ$30+LZ$31+LZ$32+LZ$33</f>
        <v/>
      </c>
      <c r="MA34" s="267">
        <f>MA$25+MA$26+MA$27+MA$28+MA$29+MA$30+MA$31+MA$32+MA$33</f>
        <v/>
      </c>
      <c r="MB34" s="267">
        <f>MB$25+MB$26+MB$27+MB$28+MB$29+MB$30+MB$31+MB$32+MB$33</f>
        <v/>
      </c>
      <c r="MC34" s="267">
        <f>MC$25+MC$26+MC$27+MC$28+MC$29+MC$30+MC$31+MC$32+MC$33</f>
        <v/>
      </c>
      <c r="MD34" s="267">
        <f>MD$25+MD$26+MD$27+MD$28+MD$29+MD$30+MD$31+MD$32+MD$33</f>
        <v/>
      </c>
      <c r="ME34" s="267">
        <f>ME$25+ME$26+ME$27+ME$28+ME$29+ME$30+ME$31+ME$32+ME$33</f>
        <v/>
      </c>
      <c r="MF34" s="267">
        <f>MF$25+MF$26+MF$27+MF$28+MF$29+MF$30+MF$31+MF$32+MF$33</f>
        <v/>
      </c>
      <c r="MG34" s="267">
        <f>MG$25+MG$26+MG$27+MG$28+MG$29+MG$30+MG$31+MG$32+MG$33</f>
        <v/>
      </c>
      <c r="MH34" s="267">
        <f>MH$25+MH$26+MH$27+MH$28+MH$29+MH$30+MH$31+MH$32+MH$33</f>
        <v/>
      </c>
      <c r="MI34" s="267">
        <f>MI$25+MI$26+MI$27+MI$28+MI$29+MI$30+MI$31+MI$32+MI$33</f>
        <v/>
      </c>
      <c r="MJ34" s="267">
        <f>MJ$25+MJ$26+MJ$27+MJ$28+MJ$29+MJ$30+MJ$31+MJ$32+MJ$33</f>
        <v/>
      </c>
      <c r="MK34" s="267">
        <f>MK$25+MK$26+MK$27+MK$28+MK$29+MK$30+MK$31+MK$32+MK$33</f>
        <v/>
      </c>
      <c r="ML34" s="267">
        <f>ML$25+ML$26+ML$27+ML$28+ML$29+ML$30+ML$31+ML$32+ML$33</f>
        <v/>
      </c>
      <c r="MM34" s="267">
        <f>MM$25+MM$26+MM$27+MM$28+MM$29+MM$30+MM$31+MM$32+MM$33</f>
        <v/>
      </c>
      <c r="MN34" s="267">
        <f>MN$25+MN$26+MN$27+MN$28+MN$29+MN$30+MN$31+MN$32+MN$33</f>
        <v/>
      </c>
      <c r="MO34" s="267">
        <f>MO$25+MO$26+MO$27+MO$28+MO$29+MO$30+MO$31+MO$32+MO$33</f>
        <v/>
      </c>
      <c r="MP34" s="267">
        <f>MP$25+MP$26+MP$27+MP$28+MP$29+MP$30+MP$31+MP$32+MP$33</f>
        <v/>
      </c>
      <c r="MQ34" s="267">
        <f>MQ$25+MQ$26+MQ$27+MQ$28+MQ$29+MQ$30+MQ$31+MQ$32+MQ$33</f>
        <v/>
      </c>
      <c r="MR34" s="267">
        <f>MR$25+MR$26+MR$27+MR$28+MR$29+MR$30+MR$31+MR$32+MR$33</f>
        <v/>
      </c>
      <c r="MS34" s="267">
        <f>MS$25+MS$26+MS$27+MS$28+MS$29+MS$30+MS$31+MS$32+MS$33</f>
        <v/>
      </c>
      <c r="MT34" s="267">
        <f>MT$25+MT$26+MT$27+MT$28+MT$29+MT$30+MT$31+MT$32+MT$33</f>
        <v/>
      </c>
      <c r="MU34" s="267">
        <f>MU$25+MU$26+MU$27+MU$28+MU$29+MU$30+MU$31+MU$32+MU$33</f>
        <v/>
      </c>
      <c r="MV34" s="267">
        <f>MV$25+MV$26+MV$27+MV$28+MV$29+MV$30+MV$31+MV$32+MV$33</f>
        <v/>
      </c>
      <c r="MW34" s="267">
        <f>MW$25+MW$26+MW$27+MW$28+MW$29+MW$30+MW$31+MW$32+MW$33</f>
        <v/>
      </c>
      <c r="MX34" s="267">
        <f>MX$25+MX$26+MX$27+MX$28+MX$29+MX$30+MX$31+MX$32+MX$33</f>
        <v/>
      </c>
      <c r="MY34" s="267">
        <f>MY$25+MY$26+MY$27+MY$28+MY$29+MY$30+MY$31+MY$32+MY$33</f>
        <v/>
      </c>
      <c r="MZ34" s="267">
        <f>MZ$25+MZ$26+MZ$27+MZ$28+MZ$29+MZ$30+MZ$31+MZ$32+MZ$33</f>
        <v/>
      </c>
      <c r="NA34" s="267">
        <f>NA$25+NA$26+NA$27+NA$28+NA$29+NA$30+NA$31+NA$32+NA$33</f>
        <v/>
      </c>
      <c r="NB34" s="267">
        <f>NB$25+NB$26+NB$27+NB$28+NB$29+NB$30+NB$31+NB$32+NB$33</f>
        <v/>
      </c>
      <c r="NC34" s="267">
        <f>NC$25+NC$26+NC$27+NC$28+NC$29+NC$30+NC$31+NC$32+NC$33</f>
        <v/>
      </c>
      <c r="ND34" s="267">
        <f>ND$25+ND$26+ND$27+ND$28+ND$29+ND$30+ND$31+ND$32+ND$33</f>
        <v/>
      </c>
      <c r="NE34" s="267">
        <f>NE$25+NE$26+NE$27+NE$28+NE$29+NE$30+NE$31+NE$32+NE$33</f>
        <v/>
      </c>
      <c r="NF34" s="267">
        <f>NF$25+NF$26+NF$27+NF$28+NF$29+NF$30+NF$31+NF$32+NF$33</f>
        <v/>
      </c>
      <c r="NG34" s="267">
        <f>NG$25+NG$26+NG$27+NG$28+NG$29+NG$30+NG$31+NG$32+NG$33</f>
        <v/>
      </c>
      <c r="NH34" s="267">
        <f>NH$25+NH$26+NH$27+NH$28+NH$29+NH$30+NH$31+NH$32+NH$33</f>
        <v/>
      </c>
      <c r="NI34" s="267">
        <f>NI$25+NI$26+NI$27+NI$28+NI$29+NI$30+NI$31+NI$32+NI$33</f>
        <v/>
      </c>
      <c r="NJ34" s="267">
        <f>NJ$25+NJ$26+NJ$27+NJ$28+NJ$29+NJ$30+NJ$31+NJ$32+NJ$33</f>
        <v/>
      </c>
      <c r="NK34" s="267">
        <f>NK$25+NK$26+NK$27+NK$28+NK$29+NK$30+NK$31+NK$32+NK$33</f>
        <v/>
      </c>
      <c r="NL34" s="253">
        <f>NL$25+NL$26+NL$27+NL$28+NL$29+NL$30+NL$31+NL$32+NL$33</f>
        <v/>
      </c>
    </row>
    <row r="35">
      <c r="B35" s="50" t="inlineStr">
        <is>
          <t>NOI before Property Tax</t>
        </is>
      </c>
      <c r="D35" s="266">
        <f>SUM(E35:NL35)</f>
        <v/>
      </c>
      <c r="E35" s="267">
        <f>E$23-E$34</f>
        <v/>
      </c>
      <c r="F35" s="267">
        <f>F$23-F$34</f>
        <v/>
      </c>
      <c r="G35" s="267">
        <f>G$23-G$34</f>
        <v/>
      </c>
      <c r="H35" s="267">
        <f>H$23-H$34</f>
        <v/>
      </c>
      <c r="I35" s="267">
        <f>I$23-I$34</f>
        <v/>
      </c>
      <c r="J35" s="267">
        <f>J$23-J$34</f>
        <v/>
      </c>
      <c r="K35" s="267">
        <f>K$23-K$34</f>
        <v/>
      </c>
      <c r="L35" s="267">
        <f>L$23-L$34</f>
        <v/>
      </c>
      <c r="M35" s="267">
        <f>M$23-M$34</f>
        <v/>
      </c>
      <c r="N35" s="267">
        <f>N$23-N$34</f>
        <v/>
      </c>
      <c r="O35" s="267">
        <f>O$23-O$34</f>
        <v/>
      </c>
      <c r="P35" s="267">
        <f>P$23-P$34</f>
        <v/>
      </c>
      <c r="Q35" s="267">
        <f>Q$23-Q$34</f>
        <v/>
      </c>
      <c r="R35" s="267">
        <f>R$23-R$34</f>
        <v/>
      </c>
      <c r="S35" s="267">
        <f>S$23-S$34</f>
        <v/>
      </c>
      <c r="T35" s="267">
        <f>T$23-T$34</f>
        <v/>
      </c>
      <c r="U35" s="267">
        <f>U$23-U$34</f>
        <v/>
      </c>
      <c r="V35" s="267">
        <f>V$23-V$34</f>
        <v/>
      </c>
      <c r="W35" s="267">
        <f>W$23-W$34</f>
        <v/>
      </c>
      <c r="X35" s="267">
        <f>X$23-X$34</f>
        <v/>
      </c>
      <c r="Y35" s="267">
        <f>Y$23-Y$34</f>
        <v/>
      </c>
      <c r="Z35" s="267">
        <f>Z$23-Z$34</f>
        <v/>
      </c>
      <c r="AA35" s="267">
        <f>AA$23-AA$34</f>
        <v/>
      </c>
      <c r="AB35" s="267">
        <f>AB$23-AB$34</f>
        <v/>
      </c>
      <c r="AC35" s="267">
        <f>AC$23-AC$34</f>
        <v/>
      </c>
      <c r="AD35" s="267">
        <f>AD$23-AD$34</f>
        <v/>
      </c>
      <c r="AE35" s="267">
        <f>AE$23-AE$34</f>
        <v/>
      </c>
      <c r="AF35" s="267">
        <f>AF$23-AF$34</f>
        <v/>
      </c>
      <c r="AG35" s="267">
        <f>AG$23-AG$34</f>
        <v/>
      </c>
      <c r="AH35" s="267">
        <f>AH$23-AH$34</f>
        <v/>
      </c>
      <c r="AI35" s="267">
        <f>AI$23-AI$34</f>
        <v/>
      </c>
      <c r="AJ35" s="267">
        <f>AJ$23-AJ$34</f>
        <v/>
      </c>
      <c r="AK35" s="267">
        <f>AK$23-AK$34</f>
        <v/>
      </c>
      <c r="AL35" s="267">
        <f>AL$23-AL$34</f>
        <v/>
      </c>
      <c r="AM35" s="267">
        <f>AM$23-AM$34</f>
        <v/>
      </c>
      <c r="AN35" s="267">
        <f>AN$23-AN$34</f>
        <v/>
      </c>
      <c r="AO35" s="267">
        <f>AO$23-AO$34</f>
        <v/>
      </c>
      <c r="AP35" s="267">
        <f>AP$23-AP$34</f>
        <v/>
      </c>
      <c r="AQ35" s="267">
        <f>AQ$23-AQ$34</f>
        <v/>
      </c>
      <c r="AR35" s="267">
        <f>AR$23-AR$34</f>
        <v/>
      </c>
      <c r="AS35" s="267">
        <f>AS$23-AS$34</f>
        <v/>
      </c>
      <c r="AT35" s="267">
        <f>AT$23-AT$34</f>
        <v/>
      </c>
      <c r="AU35" s="267">
        <f>AU$23-AU$34</f>
        <v/>
      </c>
      <c r="AV35" s="267">
        <f>AV$23-AV$34</f>
        <v/>
      </c>
      <c r="AW35" s="267">
        <f>AW$23-AW$34</f>
        <v/>
      </c>
      <c r="AX35" s="267">
        <f>AX$23-AX$34</f>
        <v/>
      </c>
      <c r="AY35" s="267">
        <f>AY$23-AY$34</f>
        <v/>
      </c>
      <c r="AZ35" s="267">
        <f>AZ$23-AZ$34</f>
        <v/>
      </c>
      <c r="BA35" s="267">
        <f>BA$23-BA$34</f>
        <v/>
      </c>
      <c r="BB35" s="267">
        <f>BB$23-BB$34</f>
        <v/>
      </c>
      <c r="BC35" s="267">
        <f>BC$23-BC$34</f>
        <v/>
      </c>
      <c r="BD35" s="267">
        <f>BD$23-BD$34</f>
        <v/>
      </c>
      <c r="BE35" s="267">
        <f>BE$23-BE$34</f>
        <v/>
      </c>
      <c r="BF35" s="267">
        <f>BF$23-BF$34</f>
        <v/>
      </c>
      <c r="BG35" s="267">
        <f>BG$23-BG$34</f>
        <v/>
      </c>
      <c r="BH35" s="267">
        <f>BH$23-BH$34</f>
        <v/>
      </c>
      <c r="BI35" s="267">
        <f>BI$23-BI$34</f>
        <v/>
      </c>
      <c r="BJ35" s="267">
        <f>BJ$23-BJ$34</f>
        <v/>
      </c>
      <c r="BK35" s="267">
        <f>BK$23-BK$34</f>
        <v/>
      </c>
      <c r="BL35" s="267">
        <f>BL$23-BL$34</f>
        <v/>
      </c>
      <c r="BM35" s="267">
        <f>BM$23-BM$34</f>
        <v/>
      </c>
      <c r="BN35" s="267">
        <f>BN$23-BN$34</f>
        <v/>
      </c>
      <c r="BO35" s="267">
        <f>BO$23-BO$34</f>
        <v/>
      </c>
      <c r="BP35" s="267">
        <f>BP$23-BP$34</f>
        <v/>
      </c>
      <c r="BQ35" s="267">
        <f>BQ$23-BQ$34</f>
        <v/>
      </c>
      <c r="BR35" s="267">
        <f>BR$23-BR$34</f>
        <v/>
      </c>
      <c r="BS35" s="267">
        <f>BS$23-BS$34</f>
        <v/>
      </c>
      <c r="BT35" s="267">
        <f>BT$23-BT$34</f>
        <v/>
      </c>
      <c r="BU35" s="267">
        <f>BU$23-BU$34</f>
        <v/>
      </c>
      <c r="BV35" s="267">
        <f>BV$23-BV$34</f>
        <v/>
      </c>
      <c r="BW35" s="267">
        <f>BW$23-BW$34</f>
        <v/>
      </c>
      <c r="BX35" s="267">
        <f>BX$23-BX$34</f>
        <v/>
      </c>
      <c r="BY35" s="267">
        <f>BY$23-BY$34</f>
        <v/>
      </c>
      <c r="BZ35" s="267">
        <f>BZ$23-BZ$34</f>
        <v/>
      </c>
      <c r="CA35" s="267">
        <f>CA$23-CA$34</f>
        <v/>
      </c>
      <c r="CB35" s="267">
        <f>CB$23-CB$34</f>
        <v/>
      </c>
      <c r="CC35" s="267">
        <f>CC$23-CC$34</f>
        <v/>
      </c>
      <c r="CD35" s="267">
        <f>CD$23-CD$34</f>
        <v/>
      </c>
      <c r="CE35" s="267">
        <f>CE$23-CE$34</f>
        <v/>
      </c>
      <c r="CF35" s="267">
        <f>CF$23-CF$34</f>
        <v/>
      </c>
      <c r="CG35" s="267">
        <f>CG$23-CG$34</f>
        <v/>
      </c>
      <c r="CH35" s="267">
        <f>CH$23-CH$34</f>
        <v/>
      </c>
      <c r="CI35" s="267">
        <f>CI$23-CI$34</f>
        <v/>
      </c>
      <c r="CJ35" s="267">
        <f>CJ$23-CJ$34</f>
        <v/>
      </c>
      <c r="CK35" s="267">
        <f>CK$23-CK$34</f>
        <v/>
      </c>
      <c r="CL35" s="267">
        <f>CL$23-CL$34</f>
        <v/>
      </c>
      <c r="CM35" s="267">
        <f>CM$23-CM$34</f>
        <v/>
      </c>
      <c r="CN35" s="267">
        <f>CN$23-CN$34</f>
        <v/>
      </c>
      <c r="CO35" s="267">
        <f>CO$23-CO$34</f>
        <v/>
      </c>
      <c r="CP35" s="267">
        <f>CP$23-CP$34</f>
        <v/>
      </c>
      <c r="CQ35" s="267">
        <f>CQ$23-CQ$34</f>
        <v/>
      </c>
      <c r="CR35" s="267">
        <f>CR$23-CR$34</f>
        <v/>
      </c>
      <c r="CS35" s="267">
        <f>CS$23-CS$34</f>
        <v/>
      </c>
      <c r="CT35" s="267">
        <f>CT$23-CT$34</f>
        <v/>
      </c>
      <c r="CU35" s="267">
        <f>CU$23-CU$34</f>
        <v/>
      </c>
      <c r="CV35" s="267">
        <f>CV$23-CV$34</f>
        <v/>
      </c>
      <c r="CW35" s="267">
        <f>CW$23-CW$34</f>
        <v/>
      </c>
      <c r="CX35" s="267">
        <f>CX$23-CX$34</f>
        <v/>
      </c>
      <c r="CY35" s="267">
        <f>CY$23-CY$34</f>
        <v/>
      </c>
      <c r="CZ35" s="267">
        <f>CZ$23-CZ$34</f>
        <v/>
      </c>
      <c r="DA35" s="267">
        <f>DA$23-DA$34</f>
        <v/>
      </c>
      <c r="DB35" s="267">
        <f>DB$23-DB$34</f>
        <v/>
      </c>
      <c r="DC35" s="267">
        <f>DC$23-DC$34</f>
        <v/>
      </c>
      <c r="DD35" s="267">
        <f>DD$23-DD$34</f>
        <v/>
      </c>
      <c r="DE35" s="267">
        <f>DE$23-DE$34</f>
        <v/>
      </c>
      <c r="DF35" s="267">
        <f>DF$23-DF$34</f>
        <v/>
      </c>
      <c r="DG35" s="267">
        <f>DG$23-DG$34</f>
        <v/>
      </c>
      <c r="DH35" s="267">
        <f>DH$23-DH$34</f>
        <v/>
      </c>
      <c r="DI35" s="267">
        <f>DI$23-DI$34</f>
        <v/>
      </c>
      <c r="DJ35" s="267">
        <f>DJ$23-DJ$34</f>
        <v/>
      </c>
      <c r="DK35" s="267">
        <f>DK$23-DK$34</f>
        <v/>
      </c>
      <c r="DL35" s="267">
        <f>DL$23-DL$34</f>
        <v/>
      </c>
      <c r="DM35" s="267">
        <f>DM$23-DM$34</f>
        <v/>
      </c>
      <c r="DN35" s="267">
        <f>DN$23-DN$34</f>
        <v/>
      </c>
      <c r="DO35" s="267">
        <f>DO$23-DO$34</f>
        <v/>
      </c>
      <c r="DP35" s="267">
        <f>DP$23-DP$34</f>
        <v/>
      </c>
      <c r="DQ35" s="267">
        <f>DQ$23-DQ$34</f>
        <v/>
      </c>
      <c r="DR35" s="267">
        <f>DR$23-DR$34</f>
        <v/>
      </c>
      <c r="DS35" s="267">
        <f>DS$23-DS$34</f>
        <v/>
      </c>
      <c r="DT35" s="267">
        <f>DT$23-DT$34</f>
        <v/>
      </c>
      <c r="DU35" s="267">
        <f>DU$23-DU$34</f>
        <v/>
      </c>
      <c r="DV35" s="267">
        <f>DV$23-DV$34</f>
        <v/>
      </c>
      <c r="DW35" s="267">
        <f>DW$23-DW$34</f>
        <v/>
      </c>
      <c r="DX35" s="267">
        <f>DX$23-DX$34</f>
        <v/>
      </c>
      <c r="DY35" s="267">
        <f>DY$23-DY$34</f>
        <v/>
      </c>
      <c r="DZ35" s="267">
        <f>DZ$23-DZ$34</f>
        <v/>
      </c>
      <c r="EA35" s="267">
        <f>EA$23-EA$34</f>
        <v/>
      </c>
      <c r="EB35" s="267">
        <f>EB$23-EB$34</f>
        <v/>
      </c>
      <c r="EC35" s="267">
        <f>EC$23-EC$34</f>
        <v/>
      </c>
      <c r="ED35" s="267">
        <f>ED$23-ED$34</f>
        <v/>
      </c>
      <c r="EE35" s="267">
        <f>EE$23-EE$34</f>
        <v/>
      </c>
      <c r="EF35" s="267">
        <f>EF$23-EF$34</f>
        <v/>
      </c>
      <c r="EG35" s="267">
        <f>EG$23-EG$34</f>
        <v/>
      </c>
      <c r="EH35" s="267">
        <f>EH$23-EH$34</f>
        <v/>
      </c>
      <c r="EI35" s="267">
        <f>EI$23-EI$34</f>
        <v/>
      </c>
      <c r="EJ35" s="267">
        <f>EJ$23-EJ$34</f>
        <v/>
      </c>
      <c r="EK35" s="267">
        <f>EK$23-EK$34</f>
        <v/>
      </c>
      <c r="EL35" s="267">
        <f>EL$23-EL$34</f>
        <v/>
      </c>
      <c r="EM35" s="267">
        <f>EM$23-EM$34</f>
        <v/>
      </c>
      <c r="EN35" s="267">
        <f>EN$23-EN$34</f>
        <v/>
      </c>
      <c r="EO35" s="267">
        <f>EO$23-EO$34</f>
        <v/>
      </c>
      <c r="EP35" s="267">
        <f>EP$23-EP$34</f>
        <v/>
      </c>
      <c r="EQ35" s="267">
        <f>EQ$23-EQ$34</f>
        <v/>
      </c>
      <c r="ER35" s="267">
        <f>ER$23-ER$34</f>
        <v/>
      </c>
      <c r="ES35" s="267">
        <f>ES$23-ES$34</f>
        <v/>
      </c>
      <c r="ET35" s="267">
        <f>ET$23-ET$34</f>
        <v/>
      </c>
      <c r="EU35" s="267">
        <f>EU$23-EU$34</f>
        <v/>
      </c>
      <c r="EV35" s="267">
        <f>EV$23-EV$34</f>
        <v/>
      </c>
      <c r="EW35" s="267">
        <f>EW$23-EW$34</f>
        <v/>
      </c>
      <c r="EX35" s="267">
        <f>EX$23-EX$34</f>
        <v/>
      </c>
      <c r="EY35" s="267">
        <f>EY$23-EY$34</f>
        <v/>
      </c>
      <c r="EZ35" s="267">
        <f>EZ$23-EZ$34</f>
        <v/>
      </c>
      <c r="FA35" s="267">
        <f>FA$23-FA$34</f>
        <v/>
      </c>
      <c r="FB35" s="267">
        <f>FB$23-FB$34</f>
        <v/>
      </c>
      <c r="FC35" s="267">
        <f>FC$23-FC$34</f>
        <v/>
      </c>
      <c r="FD35" s="267">
        <f>FD$23-FD$34</f>
        <v/>
      </c>
      <c r="FE35" s="267">
        <f>FE$23-FE$34</f>
        <v/>
      </c>
      <c r="FF35" s="267">
        <f>FF$23-FF$34</f>
        <v/>
      </c>
      <c r="FG35" s="267">
        <f>FG$23-FG$34</f>
        <v/>
      </c>
      <c r="FH35" s="267">
        <f>FH$23-FH$34</f>
        <v/>
      </c>
      <c r="FI35" s="267">
        <f>FI$23-FI$34</f>
        <v/>
      </c>
      <c r="FJ35" s="267">
        <f>FJ$23-FJ$34</f>
        <v/>
      </c>
      <c r="FK35" s="267">
        <f>FK$23-FK$34</f>
        <v/>
      </c>
      <c r="FL35" s="267">
        <f>FL$23-FL$34</f>
        <v/>
      </c>
      <c r="FM35" s="267">
        <f>FM$23-FM$34</f>
        <v/>
      </c>
      <c r="FN35" s="267">
        <f>FN$23-FN$34</f>
        <v/>
      </c>
      <c r="FO35" s="267">
        <f>FO$23-FO$34</f>
        <v/>
      </c>
      <c r="FP35" s="267">
        <f>FP$23-FP$34</f>
        <v/>
      </c>
      <c r="FQ35" s="267">
        <f>FQ$23-FQ$34</f>
        <v/>
      </c>
      <c r="FR35" s="267">
        <f>FR$23-FR$34</f>
        <v/>
      </c>
      <c r="FS35" s="267">
        <f>FS$23-FS$34</f>
        <v/>
      </c>
      <c r="FT35" s="267">
        <f>FT$23-FT$34</f>
        <v/>
      </c>
      <c r="FU35" s="267">
        <f>FU$23-FU$34</f>
        <v/>
      </c>
      <c r="FV35" s="267">
        <f>FV$23-FV$34</f>
        <v/>
      </c>
      <c r="FW35" s="267">
        <f>FW$23-FW$34</f>
        <v/>
      </c>
      <c r="FX35" s="267">
        <f>FX$23-FX$34</f>
        <v/>
      </c>
      <c r="FY35" s="267">
        <f>FY$23-FY$34</f>
        <v/>
      </c>
      <c r="FZ35" s="267">
        <f>FZ$23-FZ$34</f>
        <v/>
      </c>
      <c r="GA35" s="267">
        <f>GA$23-GA$34</f>
        <v/>
      </c>
      <c r="GB35" s="267">
        <f>GB$23-GB$34</f>
        <v/>
      </c>
      <c r="GC35" s="267">
        <f>GC$23-GC$34</f>
        <v/>
      </c>
      <c r="GD35" s="267">
        <f>GD$23-GD$34</f>
        <v/>
      </c>
      <c r="GE35" s="267">
        <f>GE$23-GE$34</f>
        <v/>
      </c>
      <c r="GF35" s="267">
        <f>GF$23-GF$34</f>
        <v/>
      </c>
      <c r="GG35" s="267">
        <f>GG$23-GG$34</f>
        <v/>
      </c>
      <c r="GH35" s="267">
        <f>GH$23-GH$34</f>
        <v/>
      </c>
      <c r="GI35" s="267">
        <f>GI$23-GI$34</f>
        <v/>
      </c>
      <c r="GJ35" s="267">
        <f>GJ$23-GJ$34</f>
        <v/>
      </c>
      <c r="GK35" s="267">
        <f>GK$23-GK$34</f>
        <v/>
      </c>
      <c r="GL35" s="267">
        <f>GL$23-GL$34</f>
        <v/>
      </c>
      <c r="GM35" s="267">
        <f>GM$23-GM$34</f>
        <v/>
      </c>
      <c r="GN35" s="267">
        <f>GN$23-GN$34</f>
        <v/>
      </c>
      <c r="GO35" s="267">
        <f>GO$23-GO$34</f>
        <v/>
      </c>
      <c r="GP35" s="267">
        <f>GP$23-GP$34</f>
        <v/>
      </c>
      <c r="GQ35" s="267">
        <f>GQ$23-GQ$34</f>
        <v/>
      </c>
      <c r="GR35" s="267">
        <f>GR$23-GR$34</f>
        <v/>
      </c>
      <c r="GS35" s="267">
        <f>GS$23-GS$34</f>
        <v/>
      </c>
      <c r="GT35" s="267">
        <f>GT$23-GT$34</f>
        <v/>
      </c>
      <c r="GU35" s="267">
        <f>GU$23-GU$34</f>
        <v/>
      </c>
      <c r="GV35" s="267">
        <f>GV$23-GV$34</f>
        <v/>
      </c>
      <c r="GW35" s="267">
        <f>GW$23-GW$34</f>
        <v/>
      </c>
      <c r="GX35" s="267">
        <f>GX$23-GX$34</f>
        <v/>
      </c>
      <c r="GY35" s="267">
        <f>GY$23-GY$34</f>
        <v/>
      </c>
      <c r="GZ35" s="267">
        <f>GZ$23-GZ$34</f>
        <v/>
      </c>
      <c r="HA35" s="267">
        <f>HA$23-HA$34</f>
        <v/>
      </c>
      <c r="HB35" s="267">
        <f>HB$23-HB$34</f>
        <v/>
      </c>
      <c r="HC35" s="267">
        <f>HC$23-HC$34</f>
        <v/>
      </c>
      <c r="HD35" s="267">
        <f>HD$23-HD$34</f>
        <v/>
      </c>
      <c r="HE35" s="267">
        <f>HE$23-HE$34</f>
        <v/>
      </c>
      <c r="HF35" s="267">
        <f>HF$23-HF$34</f>
        <v/>
      </c>
      <c r="HG35" s="267">
        <f>HG$23-HG$34</f>
        <v/>
      </c>
      <c r="HH35" s="267">
        <f>HH$23-HH$34</f>
        <v/>
      </c>
      <c r="HI35" s="267">
        <f>HI$23-HI$34</f>
        <v/>
      </c>
      <c r="HJ35" s="267">
        <f>HJ$23-HJ$34</f>
        <v/>
      </c>
      <c r="HK35" s="267">
        <f>HK$23-HK$34</f>
        <v/>
      </c>
      <c r="HL35" s="267">
        <f>HL$23-HL$34</f>
        <v/>
      </c>
      <c r="HM35" s="267">
        <f>HM$23-HM$34</f>
        <v/>
      </c>
      <c r="HN35" s="267">
        <f>HN$23-HN$34</f>
        <v/>
      </c>
      <c r="HO35" s="267">
        <f>HO$23-HO$34</f>
        <v/>
      </c>
      <c r="HP35" s="267">
        <f>HP$23-HP$34</f>
        <v/>
      </c>
      <c r="HQ35" s="267">
        <f>HQ$23-HQ$34</f>
        <v/>
      </c>
      <c r="HR35" s="267">
        <f>HR$23-HR$34</f>
        <v/>
      </c>
      <c r="HS35" s="267">
        <f>HS$23-HS$34</f>
        <v/>
      </c>
      <c r="HT35" s="267">
        <f>HT$23-HT$34</f>
        <v/>
      </c>
      <c r="HU35" s="267">
        <f>HU$23-HU$34</f>
        <v/>
      </c>
      <c r="HV35" s="267">
        <f>HV$23-HV$34</f>
        <v/>
      </c>
      <c r="HW35" s="267">
        <f>HW$23-HW$34</f>
        <v/>
      </c>
      <c r="HX35" s="267">
        <f>HX$23-HX$34</f>
        <v/>
      </c>
      <c r="HY35" s="267">
        <f>HY$23-HY$34</f>
        <v/>
      </c>
      <c r="HZ35" s="267">
        <f>HZ$23-HZ$34</f>
        <v/>
      </c>
      <c r="IA35" s="267">
        <f>IA$23-IA$34</f>
        <v/>
      </c>
      <c r="IB35" s="267">
        <f>IB$23-IB$34</f>
        <v/>
      </c>
      <c r="IC35" s="267">
        <f>IC$23-IC$34</f>
        <v/>
      </c>
      <c r="ID35" s="267">
        <f>ID$23-ID$34</f>
        <v/>
      </c>
      <c r="IE35" s="267">
        <f>IE$23-IE$34</f>
        <v/>
      </c>
      <c r="IF35" s="267">
        <f>IF$23-IF$34</f>
        <v/>
      </c>
      <c r="IG35" s="267">
        <f>IG$23-IG$34</f>
        <v/>
      </c>
      <c r="IH35" s="267">
        <f>IH$23-IH$34</f>
        <v/>
      </c>
      <c r="II35" s="267">
        <f>II$23-II$34</f>
        <v/>
      </c>
      <c r="IJ35" s="267">
        <f>IJ$23-IJ$34</f>
        <v/>
      </c>
      <c r="IK35" s="267">
        <f>IK$23-IK$34</f>
        <v/>
      </c>
      <c r="IL35" s="267">
        <f>IL$23-IL$34</f>
        <v/>
      </c>
      <c r="IM35" s="267">
        <f>IM$23-IM$34</f>
        <v/>
      </c>
      <c r="IN35" s="267">
        <f>IN$23-IN$34</f>
        <v/>
      </c>
      <c r="IO35" s="267">
        <f>IO$23-IO$34</f>
        <v/>
      </c>
      <c r="IP35" s="267">
        <f>IP$23-IP$34</f>
        <v/>
      </c>
      <c r="IQ35" s="267">
        <f>IQ$23-IQ$34</f>
        <v/>
      </c>
      <c r="IR35" s="267">
        <f>IR$23-IR$34</f>
        <v/>
      </c>
      <c r="IS35" s="267">
        <f>IS$23-IS$34</f>
        <v/>
      </c>
      <c r="IT35" s="267">
        <f>IT$23-IT$34</f>
        <v/>
      </c>
      <c r="IU35" s="267">
        <f>IU$23-IU$34</f>
        <v/>
      </c>
      <c r="IV35" s="267">
        <f>IV$23-IV$34</f>
        <v/>
      </c>
      <c r="IW35" s="267">
        <f>IW$23-IW$34</f>
        <v/>
      </c>
      <c r="IX35" s="267">
        <f>IX$23-IX$34</f>
        <v/>
      </c>
      <c r="IY35" s="267">
        <f>IY$23-IY$34</f>
        <v/>
      </c>
      <c r="IZ35" s="267">
        <f>IZ$23-IZ$34</f>
        <v/>
      </c>
      <c r="JA35" s="267">
        <f>JA$23-JA$34</f>
        <v/>
      </c>
      <c r="JB35" s="267">
        <f>JB$23-JB$34</f>
        <v/>
      </c>
      <c r="JC35" s="267">
        <f>JC$23-JC$34</f>
        <v/>
      </c>
      <c r="JD35" s="267">
        <f>JD$23-JD$34</f>
        <v/>
      </c>
      <c r="JE35" s="267">
        <f>JE$23-JE$34</f>
        <v/>
      </c>
      <c r="JF35" s="267">
        <f>JF$23-JF$34</f>
        <v/>
      </c>
      <c r="JG35" s="267">
        <f>JG$23-JG$34</f>
        <v/>
      </c>
      <c r="JH35" s="267">
        <f>JH$23-JH$34</f>
        <v/>
      </c>
      <c r="JI35" s="267">
        <f>JI$23-JI$34</f>
        <v/>
      </c>
      <c r="JJ35" s="267">
        <f>JJ$23-JJ$34</f>
        <v/>
      </c>
      <c r="JK35" s="267">
        <f>JK$23-JK$34</f>
        <v/>
      </c>
      <c r="JL35" s="267">
        <f>JL$23-JL$34</f>
        <v/>
      </c>
      <c r="JM35" s="267">
        <f>JM$23-JM$34</f>
        <v/>
      </c>
      <c r="JN35" s="267">
        <f>JN$23-JN$34</f>
        <v/>
      </c>
      <c r="JO35" s="267">
        <f>JO$23-JO$34</f>
        <v/>
      </c>
      <c r="JP35" s="267">
        <f>JP$23-JP$34</f>
        <v/>
      </c>
      <c r="JQ35" s="267">
        <f>JQ$23-JQ$34</f>
        <v/>
      </c>
      <c r="JR35" s="267">
        <f>JR$23-JR$34</f>
        <v/>
      </c>
      <c r="JS35" s="267">
        <f>JS$23-JS$34</f>
        <v/>
      </c>
      <c r="JT35" s="267">
        <f>JT$23-JT$34</f>
        <v/>
      </c>
      <c r="JU35" s="267">
        <f>JU$23-JU$34</f>
        <v/>
      </c>
      <c r="JV35" s="267">
        <f>JV$23-JV$34</f>
        <v/>
      </c>
      <c r="JW35" s="267">
        <f>JW$23-JW$34</f>
        <v/>
      </c>
      <c r="JX35" s="267">
        <f>JX$23-JX$34</f>
        <v/>
      </c>
      <c r="JY35" s="267">
        <f>JY$23-JY$34</f>
        <v/>
      </c>
      <c r="JZ35" s="267">
        <f>JZ$23-JZ$34</f>
        <v/>
      </c>
      <c r="KA35" s="267">
        <f>KA$23-KA$34</f>
        <v/>
      </c>
      <c r="KB35" s="267">
        <f>KB$23-KB$34</f>
        <v/>
      </c>
      <c r="KC35" s="267">
        <f>KC$23-KC$34</f>
        <v/>
      </c>
      <c r="KD35" s="267">
        <f>KD$23-KD$34</f>
        <v/>
      </c>
      <c r="KE35" s="267">
        <f>KE$23-KE$34</f>
        <v/>
      </c>
      <c r="KF35" s="267">
        <f>KF$23-KF$34</f>
        <v/>
      </c>
      <c r="KG35" s="267">
        <f>KG$23-KG$34</f>
        <v/>
      </c>
      <c r="KH35" s="267">
        <f>KH$23-KH$34</f>
        <v/>
      </c>
      <c r="KI35" s="267">
        <f>KI$23-KI$34</f>
        <v/>
      </c>
      <c r="KJ35" s="267">
        <f>KJ$23-KJ$34</f>
        <v/>
      </c>
      <c r="KK35" s="267">
        <f>KK$23-KK$34</f>
        <v/>
      </c>
      <c r="KL35" s="267">
        <f>KL$23-KL$34</f>
        <v/>
      </c>
      <c r="KM35" s="267">
        <f>KM$23-KM$34</f>
        <v/>
      </c>
      <c r="KN35" s="267">
        <f>KN$23-KN$34</f>
        <v/>
      </c>
      <c r="KO35" s="267">
        <f>KO$23-KO$34</f>
        <v/>
      </c>
      <c r="KP35" s="267">
        <f>KP$23-KP$34</f>
        <v/>
      </c>
      <c r="KQ35" s="267">
        <f>KQ$23-KQ$34</f>
        <v/>
      </c>
      <c r="KR35" s="267">
        <f>KR$23-KR$34</f>
        <v/>
      </c>
      <c r="KS35" s="267">
        <f>KS$23-KS$34</f>
        <v/>
      </c>
      <c r="KT35" s="267">
        <f>KT$23-KT$34</f>
        <v/>
      </c>
      <c r="KU35" s="267">
        <f>KU$23-KU$34</f>
        <v/>
      </c>
      <c r="KV35" s="267">
        <f>KV$23-KV$34</f>
        <v/>
      </c>
      <c r="KW35" s="267">
        <f>KW$23-KW$34</f>
        <v/>
      </c>
      <c r="KX35" s="267">
        <f>KX$23-KX$34</f>
        <v/>
      </c>
      <c r="KY35" s="267">
        <f>KY$23-KY$34</f>
        <v/>
      </c>
      <c r="KZ35" s="267">
        <f>KZ$23-KZ$34</f>
        <v/>
      </c>
      <c r="LA35" s="267">
        <f>LA$23-LA$34</f>
        <v/>
      </c>
      <c r="LB35" s="267">
        <f>LB$23-LB$34</f>
        <v/>
      </c>
      <c r="LC35" s="267">
        <f>LC$23-LC$34</f>
        <v/>
      </c>
      <c r="LD35" s="267">
        <f>LD$23-LD$34</f>
        <v/>
      </c>
      <c r="LE35" s="267">
        <f>LE$23-LE$34</f>
        <v/>
      </c>
      <c r="LF35" s="267">
        <f>LF$23-LF$34</f>
        <v/>
      </c>
      <c r="LG35" s="267">
        <f>LG$23-LG$34</f>
        <v/>
      </c>
      <c r="LH35" s="267">
        <f>LH$23-LH$34</f>
        <v/>
      </c>
      <c r="LI35" s="267">
        <f>LI$23-LI$34</f>
        <v/>
      </c>
      <c r="LJ35" s="267">
        <f>LJ$23-LJ$34</f>
        <v/>
      </c>
      <c r="LK35" s="267">
        <f>LK$23-LK$34</f>
        <v/>
      </c>
      <c r="LL35" s="267">
        <f>LL$23-LL$34</f>
        <v/>
      </c>
      <c r="LM35" s="267">
        <f>LM$23-LM$34</f>
        <v/>
      </c>
      <c r="LN35" s="267">
        <f>LN$23-LN$34</f>
        <v/>
      </c>
      <c r="LO35" s="267">
        <f>LO$23-LO$34</f>
        <v/>
      </c>
      <c r="LP35" s="267">
        <f>LP$23-LP$34</f>
        <v/>
      </c>
      <c r="LQ35" s="267">
        <f>LQ$23-LQ$34</f>
        <v/>
      </c>
      <c r="LR35" s="267">
        <f>LR$23-LR$34</f>
        <v/>
      </c>
      <c r="LS35" s="267">
        <f>LS$23-LS$34</f>
        <v/>
      </c>
      <c r="LT35" s="267">
        <f>LT$23-LT$34</f>
        <v/>
      </c>
      <c r="LU35" s="267">
        <f>LU$23-LU$34</f>
        <v/>
      </c>
      <c r="LV35" s="267">
        <f>LV$23-LV$34</f>
        <v/>
      </c>
      <c r="LW35" s="267">
        <f>LW$23-LW$34</f>
        <v/>
      </c>
      <c r="LX35" s="267">
        <f>LX$23-LX$34</f>
        <v/>
      </c>
      <c r="LY35" s="267">
        <f>LY$23-LY$34</f>
        <v/>
      </c>
      <c r="LZ35" s="267">
        <f>LZ$23-LZ$34</f>
        <v/>
      </c>
      <c r="MA35" s="267">
        <f>MA$23-MA$34</f>
        <v/>
      </c>
      <c r="MB35" s="267">
        <f>MB$23-MB$34</f>
        <v/>
      </c>
      <c r="MC35" s="267">
        <f>MC$23-MC$34</f>
        <v/>
      </c>
      <c r="MD35" s="267">
        <f>MD$23-MD$34</f>
        <v/>
      </c>
      <c r="ME35" s="267">
        <f>ME$23-ME$34</f>
        <v/>
      </c>
      <c r="MF35" s="267">
        <f>MF$23-MF$34</f>
        <v/>
      </c>
      <c r="MG35" s="267">
        <f>MG$23-MG$34</f>
        <v/>
      </c>
      <c r="MH35" s="267">
        <f>MH$23-MH$34</f>
        <v/>
      </c>
      <c r="MI35" s="267">
        <f>MI$23-MI$34</f>
        <v/>
      </c>
      <c r="MJ35" s="267">
        <f>MJ$23-MJ$34</f>
        <v/>
      </c>
      <c r="MK35" s="267">
        <f>MK$23-MK$34</f>
        <v/>
      </c>
      <c r="ML35" s="267">
        <f>ML$23-ML$34</f>
        <v/>
      </c>
      <c r="MM35" s="267">
        <f>MM$23-MM$34</f>
        <v/>
      </c>
      <c r="MN35" s="267">
        <f>MN$23-MN$34</f>
        <v/>
      </c>
      <c r="MO35" s="267">
        <f>MO$23-MO$34</f>
        <v/>
      </c>
      <c r="MP35" s="267">
        <f>MP$23-MP$34</f>
        <v/>
      </c>
      <c r="MQ35" s="267">
        <f>MQ$23-MQ$34</f>
        <v/>
      </c>
      <c r="MR35" s="267">
        <f>MR$23-MR$34</f>
        <v/>
      </c>
      <c r="MS35" s="267">
        <f>MS$23-MS$34</f>
        <v/>
      </c>
      <c r="MT35" s="267">
        <f>MT$23-MT$34</f>
        <v/>
      </c>
      <c r="MU35" s="267">
        <f>MU$23-MU$34</f>
        <v/>
      </c>
      <c r="MV35" s="267">
        <f>MV$23-MV$34</f>
        <v/>
      </c>
      <c r="MW35" s="267">
        <f>MW$23-MW$34</f>
        <v/>
      </c>
      <c r="MX35" s="267">
        <f>MX$23-MX$34</f>
        <v/>
      </c>
      <c r="MY35" s="267">
        <f>MY$23-MY$34</f>
        <v/>
      </c>
      <c r="MZ35" s="267">
        <f>MZ$23-MZ$34</f>
        <v/>
      </c>
      <c r="NA35" s="267">
        <f>NA$23-NA$34</f>
        <v/>
      </c>
      <c r="NB35" s="267">
        <f>NB$23-NB$34</f>
        <v/>
      </c>
      <c r="NC35" s="267">
        <f>NC$23-NC$34</f>
        <v/>
      </c>
      <c r="ND35" s="267">
        <f>ND$23-ND$34</f>
        <v/>
      </c>
      <c r="NE35" s="267">
        <f>NE$23-NE$34</f>
        <v/>
      </c>
      <c r="NF35" s="267">
        <f>NF$23-NF$34</f>
        <v/>
      </c>
      <c r="NG35" s="267">
        <f>NG$23-NG$34</f>
        <v/>
      </c>
      <c r="NH35" s="267">
        <f>NH$23-NH$34</f>
        <v/>
      </c>
      <c r="NI35" s="267">
        <f>NI$23-NI$34</f>
        <v/>
      </c>
      <c r="NJ35" s="267">
        <f>NJ$23-NJ$34</f>
        <v/>
      </c>
      <c r="NK35" s="267">
        <f>NK$23-NK$34</f>
        <v/>
      </c>
      <c r="NL35" s="253">
        <f>NL$23-NL$34</f>
        <v/>
      </c>
    </row>
    <row r="36">
      <c r="B36" s="36" t="inlineStr">
        <is>
          <t>Property Tax</t>
        </is>
      </c>
      <c r="D36" s="266">
        <f>SUM(E36:NL36)</f>
        <v/>
      </c>
      <c r="E36" s="218">
        <f>IF(1&lt;TaxOpStartMonth,0,IF(1&lt;StabMonth,MAX(0,E$35*12)/EntryCapRate*EffTaxRateOnValue/12,IF(TaxMethodValue&gt;=1,TaxYear1*(1+GrowthTax)^(MAX(0,(1-StabMonth)/12))/12,MAX(0,E$35*12)/EntryCapRate*EffTaxRateOnValue/12)))</f>
        <v/>
      </c>
      <c r="F36" s="218">
        <f>IF(2&lt;TaxOpStartMonth,0,IF(2&lt;StabMonth,MAX(0,F$35*12)/EntryCapRate*EffTaxRateOnValue/12,IF(TaxMethodValue&gt;=1,TaxYear1*(1+GrowthTax)^(MAX(0,(2-StabMonth)/12))/12,MAX(0,F$35*12)/EntryCapRate*EffTaxRateOnValue/12)))</f>
        <v/>
      </c>
      <c r="G36" s="218">
        <f>IF(3&lt;TaxOpStartMonth,0,IF(3&lt;StabMonth,MAX(0,G$35*12)/EntryCapRate*EffTaxRateOnValue/12,IF(TaxMethodValue&gt;=1,TaxYear1*(1+GrowthTax)^(MAX(0,(3-StabMonth)/12))/12,MAX(0,G$35*12)/EntryCapRate*EffTaxRateOnValue/12)))</f>
        <v/>
      </c>
      <c r="H36" s="218">
        <f>IF(4&lt;TaxOpStartMonth,0,IF(4&lt;StabMonth,MAX(0,H$35*12)/EntryCapRate*EffTaxRateOnValue/12,IF(TaxMethodValue&gt;=1,TaxYear1*(1+GrowthTax)^(MAX(0,(4-StabMonth)/12))/12,MAX(0,H$35*12)/EntryCapRate*EffTaxRateOnValue/12)))</f>
        <v/>
      </c>
      <c r="I36" s="218">
        <f>IF(5&lt;TaxOpStartMonth,0,IF(5&lt;StabMonth,MAX(0,I$35*12)/EntryCapRate*EffTaxRateOnValue/12,IF(TaxMethodValue&gt;=1,TaxYear1*(1+GrowthTax)^(MAX(0,(5-StabMonth)/12))/12,MAX(0,I$35*12)/EntryCapRate*EffTaxRateOnValue/12)))</f>
        <v/>
      </c>
      <c r="J36" s="218">
        <f>IF(6&lt;TaxOpStartMonth,0,IF(6&lt;StabMonth,MAX(0,J$35*12)/EntryCapRate*EffTaxRateOnValue/12,IF(TaxMethodValue&gt;=1,TaxYear1*(1+GrowthTax)^(MAX(0,(6-StabMonth)/12))/12,MAX(0,J$35*12)/EntryCapRate*EffTaxRateOnValue/12)))</f>
        <v/>
      </c>
      <c r="K36" s="218">
        <f>IF(7&lt;TaxOpStartMonth,0,IF(7&lt;StabMonth,MAX(0,K$35*12)/EntryCapRate*EffTaxRateOnValue/12,IF(TaxMethodValue&gt;=1,TaxYear1*(1+GrowthTax)^(MAX(0,(7-StabMonth)/12))/12,MAX(0,K$35*12)/EntryCapRate*EffTaxRateOnValue/12)))</f>
        <v/>
      </c>
      <c r="L36" s="218">
        <f>IF(8&lt;TaxOpStartMonth,0,IF(8&lt;StabMonth,MAX(0,L$35*12)/EntryCapRate*EffTaxRateOnValue/12,IF(TaxMethodValue&gt;=1,TaxYear1*(1+GrowthTax)^(MAX(0,(8-StabMonth)/12))/12,MAX(0,L$35*12)/EntryCapRate*EffTaxRateOnValue/12)))</f>
        <v/>
      </c>
      <c r="M36" s="218">
        <f>IF(9&lt;TaxOpStartMonth,0,IF(9&lt;StabMonth,MAX(0,M$35*12)/EntryCapRate*EffTaxRateOnValue/12,IF(TaxMethodValue&gt;=1,TaxYear1*(1+GrowthTax)^(MAX(0,(9-StabMonth)/12))/12,MAX(0,M$35*12)/EntryCapRate*EffTaxRateOnValue/12)))</f>
        <v/>
      </c>
      <c r="N36" s="218">
        <f>IF(10&lt;TaxOpStartMonth,0,IF(10&lt;StabMonth,MAX(0,N$35*12)/EntryCapRate*EffTaxRateOnValue/12,IF(TaxMethodValue&gt;=1,TaxYear1*(1+GrowthTax)^(MAX(0,(10-StabMonth)/12))/12,MAX(0,N$35*12)/EntryCapRate*EffTaxRateOnValue/12)))</f>
        <v/>
      </c>
      <c r="O36" s="218">
        <f>IF(11&lt;TaxOpStartMonth,0,IF(11&lt;StabMonth,MAX(0,O$35*12)/EntryCapRate*EffTaxRateOnValue/12,IF(TaxMethodValue&gt;=1,TaxYear1*(1+GrowthTax)^(MAX(0,(11-StabMonth)/12))/12,MAX(0,O$35*12)/EntryCapRate*EffTaxRateOnValue/12)))</f>
        <v/>
      </c>
      <c r="P36" s="218">
        <f>IF(12&lt;TaxOpStartMonth,0,IF(12&lt;StabMonth,MAX(0,P$35*12)/EntryCapRate*EffTaxRateOnValue/12,IF(TaxMethodValue&gt;=1,TaxYear1*(1+GrowthTax)^(MAX(0,(12-StabMonth)/12))/12,MAX(0,P$35*12)/EntryCapRate*EffTaxRateOnValue/12)))</f>
        <v/>
      </c>
      <c r="Q36" s="218">
        <f>IF(13&lt;TaxOpStartMonth,0,IF(13&lt;StabMonth,MAX(0,Q$35*12)/EntryCapRate*EffTaxRateOnValue/12,IF(TaxMethodValue&gt;=1,TaxYear1*(1+GrowthTax)^(MAX(0,(13-StabMonth)/12))/12,MAX(0,Q$35*12)/EntryCapRate*EffTaxRateOnValue/12)))</f>
        <v/>
      </c>
      <c r="R36" s="218">
        <f>IF(14&lt;TaxOpStartMonth,0,IF(14&lt;StabMonth,MAX(0,R$35*12)/EntryCapRate*EffTaxRateOnValue/12,IF(TaxMethodValue&gt;=1,TaxYear1*(1+GrowthTax)^(MAX(0,(14-StabMonth)/12))/12,MAX(0,R$35*12)/EntryCapRate*EffTaxRateOnValue/12)))</f>
        <v/>
      </c>
      <c r="S36" s="218">
        <f>IF(15&lt;TaxOpStartMonth,0,IF(15&lt;StabMonth,MAX(0,S$35*12)/EntryCapRate*EffTaxRateOnValue/12,IF(TaxMethodValue&gt;=1,TaxYear1*(1+GrowthTax)^(MAX(0,(15-StabMonth)/12))/12,MAX(0,S$35*12)/EntryCapRate*EffTaxRateOnValue/12)))</f>
        <v/>
      </c>
      <c r="T36" s="218">
        <f>IF(16&lt;TaxOpStartMonth,0,IF(16&lt;StabMonth,MAX(0,T$35*12)/EntryCapRate*EffTaxRateOnValue/12,IF(TaxMethodValue&gt;=1,TaxYear1*(1+GrowthTax)^(MAX(0,(16-StabMonth)/12))/12,MAX(0,T$35*12)/EntryCapRate*EffTaxRateOnValue/12)))</f>
        <v/>
      </c>
      <c r="U36" s="218">
        <f>IF(17&lt;TaxOpStartMonth,0,IF(17&lt;StabMonth,MAX(0,U$35*12)/EntryCapRate*EffTaxRateOnValue/12,IF(TaxMethodValue&gt;=1,TaxYear1*(1+GrowthTax)^(MAX(0,(17-StabMonth)/12))/12,MAX(0,U$35*12)/EntryCapRate*EffTaxRateOnValue/12)))</f>
        <v/>
      </c>
      <c r="V36" s="218">
        <f>IF(18&lt;TaxOpStartMonth,0,IF(18&lt;StabMonth,MAX(0,V$35*12)/EntryCapRate*EffTaxRateOnValue/12,IF(TaxMethodValue&gt;=1,TaxYear1*(1+GrowthTax)^(MAX(0,(18-StabMonth)/12))/12,MAX(0,V$35*12)/EntryCapRate*EffTaxRateOnValue/12)))</f>
        <v/>
      </c>
      <c r="W36" s="218">
        <f>IF(19&lt;TaxOpStartMonth,0,IF(19&lt;StabMonth,MAX(0,W$35*12)/EntryCapRate*EffTaxRateOnValue/12,IF(TaxMethodValue&gt;=1,TaxYear1*(1+GrowthTax)^(MAX(0,(19-StabMonth)/12))/12,MAX(0,W$35*12)/EntryCapRate*EffTaxRateOnValue/12)))</f>
        <v/>
      </c>
      <c r="X36" s="218">
        <f>IF(20&lt;TaxOpStartMonth,0,IF(20&lt;StabMonth,MAX(0,X$35*12)/EntryCapRate*EffTaxRateOnValue/12,IF(TaxMethodValue&gt;=1,TaxYear1*(1+GrowthTax)^(MAX(0,(20-StabMonth)/12))/12,MAX(0,X$35*12)/EntryCapRate*EffTaxRateOnValue/12)))</f>
        <v/>
      </c>
      <c r="Y36" s="218">
        <f>IF(21&lt;TaxOpStartMonth,0,IF(21&lt;StabMonth,MAX(0,Y$35*12)/EntryCapRate*EffTaxRateOnValue/12,IF(TaxMethodValue&gt;=1,TaxYear1*(1+GrowthTax)^(MAX(0,(21-StabMonth)/12))/12,MAX(0,Y$35*12)/EntryCapRate*EffTaxRateOnValue/12)))</f>
        <v/>
      </c>
      <c r="Z36" s="218">
        <f>IF(22&lt;TaxOpStartMonth,0,IF(22&lt;StabMonth,MAX(0,Z$35*12)/EntryCapRate*EffTaxRateOnValue/12,IF(TaxMethodValue&gt;=1,TaxYear1*(1+GrowthTax)^(MAX(0,(22-StabMonth)/12))/12,MAX(0,Z$35*12)/EntryCapRate*EffTaxRateOnValue/12)))</f>
        <v/>
      </c>
      <c r="AA36" s="218">
        <f>IF(23&lt;TaxOpStartMonth,0,IF(23&lt;StabMonth,MAX(0,AA$35*12)/EntryCapRate*EffTaxRateOnValue/12,IF(TaxMethodValue&gt;=1,TaxYear1*(1+GrowthTax)^(MAX(0,(23-StabMonth)/12))/12,MAX(0,AA$35*12)/EntryCapRate*EffTaxRateOnValue/12)))</f>
        <v/>
      </c>
      <c r="AB36" s="218">
        <f>IF(24&lt;TaxOpStartMonth,0,IF(24&lt;StabMonth,MAX(0,AB$35*12)/EntryCapRate*EffTaxRateOnValue/12,IF(TaxMethodValue&gt;=1,TaxYear1*(1+GrowthTax)^(MAX(0,(24-StabMonth)/12))/12,MAX(0,AB$35*12)/EntryCapRate*EffTaxRateOnValue/12)))</f>
        <v/>
      </c>
      <c r="AC36" s="218">
        <f>IF(25&lt;TaxOpStartMonth,0,IF(25&lt;StabMonth,MAX(0,AC$35*12)/EntryCapRate*EffTaxRateOnValue/12,IF(TaxMethodValue&gt;=1,TaxYear1*(1+GrowthTax)^(MAX(0,(25-StabMonth)/12))/12,MAX(0,AC$35*12)/EntryCapRate*EffTaxRateOnValue/12)))</f>
        <v/>
      </c>
      <c r="AD36" s="218">
        <f>IF(26&lt;TaxOpStartMonth,0,IF(26&lt;StabMonth,MAX(0,AD$35*12)/EntryCapRate*EffTaxRateOnValue/12,IF(TaxMethodValue&gt;=1,TaxYear1*(1+GrowthTax)^(MAX(0,(26-StabMonth)/12))/12,MAX(0,AD$35*12)/EntryCapRate*EffTaxRateOnValue/12)))</f>
        <v/>
      </c>
      <c r="AE36" s="218">
        <f>IF(27&lt;TaxOpStartMonth,0,IF(27&lt;StabMonth,MAX(0,AE$35*12)/EntryCapRate*EffTaxRateOnValue/12,IF(TaxMethodValue&gt;=1,TaxYear1*(1+GrowthTax)^(MAX(0,(27-StabMonth)/12))/12,MAX(0,AE$35*12)/EntryCapRate*EffTaxRateOnValue/12)))</f>
        <v/>
      </c>
      <c r="AF36" s="218">
        <f>IF(28&lt;TaxOpStartMonth,0,IF(28&lt;StabMonth,MAX(0,AF$35*12)/EntryCapRate*EffTaxRateOnValue/12,IF(TaxMethodValue&gt;=1,TaxYear1*(1+GrowthTax)^(MAX(0,(28-StabMonth)/12))/12,MAX(0,AF$35*12)/EntryCapRate*EffTaxRateOnValue/12)))</f>
        <v/>
      </c>
      <c r="AG36" s="218">
        <f>IF(29&lt;TaxOpStartMonth,0,IF(29&lt;StabMonth,MAX(0,AG$35*12)/EntryCapRate*EffTaxRateOnValue/12,IF(TaxMethodValue&gt;=1,TaxYear1*(1+GrowthTax)^(MAX(0,(29-StabMonth)/12))/12,MAX(0,AG$35*12)/EntryCapRate*EffTaxRateOnValue/12)))</f>
        <v/>
      </c>
      <c r="AH36" s="218">
        <f>IF(30&lt;TaxOpStartMonth,0,IF(30&lt;StabMonth,MAX(0,AH$35*12)/EntryCapRate*EffTaxRateOnValue/12,IF(TaxMethodValue&gt;=1,TaxYear1*(1+GrowthTax)^(MAX(0,(30-StabMonth)/12))/12,MAX(0,AH$35*12)/EntryCapRate*EffTaxRateOnValue/12)))</f>
        <v/>
      </c>
      <c r="AI36" s="218">
        <f>IF(31&lt;TaxOpStartMonth,0,IF(31&lt;StabMonth,MAX(0,AI$35*12)/EntryCapRate*EffTaxRateOnValue/12,IF(TaxMethodValue&gt;=1,TaxYear1*(1+GrowthTax)^(MAX(0,(31-StabMonth)/12))/12,MAX(0,AI$35*12)/EntryCapRate*EffTaxRateOnValue/12)))</f>
        <v/>
      </c>
      <c r="AJ36" s="218">
        <f>IF(32&lt;TaxOpStartMonth,0,IF(32&lt;StabMonth,MAX(0,AJ$35*12)/EntryCapRate*EffTaxRateOnValue/12,IF(TaxMethodValue&gt;=1,TaxYear1*(1+GrowthTax)^(MAX(0,(32-StabMonth)/12))/12,MAX(0,AJ$35*12)/EntryCapRate*EffTaxRateOnValue/12)))</f>
        <v/>
      </c>
      <c r="AK36" s="218">
        <f>IF(33&lt;TaxOpStartMonth,0,IF(33&lt;StabMonth,MAX(0,AK$35*12)/EntryCapRate*EffTaxRateOnValue/12,IF(TaxMethodValue&gt;=1,TaxYear1*(1+GrowthTax)^(MAX(0,(33-StabMonth)/12))/12,MAX(0,AK$35*12)/EntryCapRate*EffTaxRateOnValue/12)))</f>
        <v/>
      </c>
      <c r="AL36" s="218">
        <f>IF(34&lt;TaxOpStartMonth,0,IF(34&lt;StabMonth,MAX(0,AL$35*12)/EntryCapRate*EffTaxRateOnValue/12,IF(TaxMethodValue&gt;=1,TaxYear1*(1+GrowthTax)^(MAX(0,(34-StabMonth)/12))/12,MAX(0,AL$35*12)/EntryCapRate*EffTaxRateOnValue/12)))</f>
        <v/>
      </c>
      <c r="AM36" s="218">
        <f>IF(35&lt;TaxOpStartMonth,0,IF(35&lt;StabMonth,MAX(0,AM$35*12)/EntryCapRate*EffTaxRateOnValue/12,IF(TaxMethodValue&gt;=1,TaxYear1*(1+GrowthTax)^(MAX(0,(35-StabMonth)/12))/12,MAX(0,AM$35*12)/EntryCapRate*EffTaxRateOnValue/12)))</f>
        <v/>
      </c>
      <c r="AN36" s="218">
        <f>IF(36&lt;TaxOpStartMonth,0,IF(36&lt;StabMonth,MAX(0,AN$35*12)/EntryCapRate*EffTaxRateOnValue/12,IF(TaxMethodValue&gt;=1,TaxYear1*(1+GrowthTax)^(MAX(0,(36-StabMonth)/12))/12,MAX(0,AN$35*12)/EntryCapRate*EffTaxRateOnValue/12)))</f>
        <v/>
      </c>
      <c r="AO36" s="218">
        <f>IF(37&lt;TaxOpStartMonth,0,IF(37&lt;StabMonth,MAX(0,AO$35*12)/EntryCapRate*EffTaxRateOnValue/12,IF(TaxMethodValue&gt;=1,TaxYear1*(1+GrowthTax)^(MAX(0,(37-StabMonth)/12))/12,MAX(0,AO$35*12)/EntryCapRate*EffTaxRateOnValue/12)))</f>
        <v/>
      </c>
      <c r="AP36" s="218">
        <f>IF(38&lt;TaxOpStartMonth,0,IF(38&lt;StabMonth,MAX(0,AP$35*12)/EntryCapRate*EffTaxRateOnValue/12,IF(TaxMethodValue&gt;=1,TaxYear1*(1+GrowthTax)^(MAX(0,(38-StabMonth)/12))/12,MAX(0,AP$35*12)/EntryCapRate*EffTaxRateOnValue/12)))</f>
        <v/>
      </c>
      <c r="AQ36" s="218">
        <f>IF(39&lt;TaxOpStartMonth,0,IF(39&lt;StabMonth,MAX(0,AQ$35*12)/EntryCapRate*EffTaxRateOnValue/12,IF(TaxMethodValue&gt;=1,TaxYear1*(1+GrowthTax)^(MAX(0,(39-StabMonth)/12))/12,MAX(0,AQ$35*12)/EntryCapRate*EffTaxRateOnValue/12)))</f>
        <v/>
      </c>
      <c r="AR36" s="218">
        <f>IF(40&lt;TaxOpStartMonth,0,IF(40&lt;StabMonth,MAX(0,AR$35*12)/EntryCapRate*EffTaxRateOnValue/12,IF(TaxMethodValue&gt;=1,TaxYear1*(1+GrowthTax)^(MAX(0,(40-StabMonth)/12))/12,MAX(0,AR$35*12)/EntryCapRate*EffTaxRateOnValue/12)))</f>
        <v/>
      </c>
      <c r="AS36" s="218">
        <f>IF(41&lt;TaxOpStartMonth,0,IF(41&lt;StabMonth,MAX(0,AS$35*12)/EntryCapRate*EffTaxRateOnValue/12,IF(TaxMethodValue&gt;=1,TaxYear1*(1+GrowthTax)^(MAX(0,(41-StabMonth)/12))/12,MAX(0,AS$35*12)/EntryCapRate*EffTaxRateOnValue/12)))</f>
        <v/>
      </c>
      <c r="AT36" s="218">
        <f>IF(42&lt;TaxOpStartMonth,0,IF(42&lt;StabMonth,MAX(0,AT$35*12)/EntryCapRate*EffTaxRateOnValue/12,IF(TaxMethodValue&gt;=1,TaxYear1*(1+GrowthTax)^(MAX(0,(42-StabMonth)/12))/12,MAX(0,AT$35*12)/EntryCapRate*EffTaxRateOnValue/12)))</f>
        <v/>
      </c>
      <c r="AU36" s="218">
        <f>IF(43&lt;TaxOpStartMonth,0,IF(43&lt;StabMonth,MAX(0,AU$35*12)/EntryCapRate*EffTaxRateOnValue/12,IF(TaxMethodValue&gt;=1,TaxYear1*(1+GrowthTax)^(MAX(0,(43-StabMonth)/12))/12,MAX(0,AU$35*12)/EntryCapRate*EffTaxRateOnValue/12)))</f>
        <v/>
      </c>
      <c r="AV36" s="218">
        <f>IF(44&lt;TaxOpStartMonth,0,IF(44&lt;StabMonth,MAX(0,AV$35*12)/EntryCapRate*EffTaxRateOnValue/12,IF(TaxMethodValue&gt;=1,TaxYear1*(1+GrowthTax)^(MAX(0,(44-StabMonth)/12))/12,MAX(0,AV$35*12)/EntryCapRate*EffTaxRateOnValue/12)))</f>
        <v/>
      </c>
      <c r="AW36" s="218">
        <f>IF(45&lt;TaxOpStartMonth,0,IF(45&lt;StabMonth,MAX(0,AW$35*12)/EntryCapRate*EffTaxRateOnValue/12,IF(TaxMethodValue&gt;=1,TaxYear1*(1+GrowthTax)^(MAX(0,(45-StabMonth)/12))/12,MAX(0,AW$35*12)/EntryCapRate*EffTaxRateOnValue/12)))</f>
        <v/>
      </c>
      <c r="AX36" s="218">
        <f>IF(46&lt;TaxOpStartMonth,0,IF(46&lt;StabMonth,MAX(0,AX$35*12)/EntryCapRate*EffTaxRateOnValue/12,IF(TaxMethodValue&gt;=1,TaxYear1*(1+GrowthTax)^(MAX(0,(46-StabMonth)/12))/12,MAX(0,AX$35*12)/EntryCapRate*EffTaxRateOnValue/12)))</f>
        <v/>
      </c>
      <c r="AY36" s="218">
        <f>IF(47&lt;TaxOpStartMonth,0,IF(47&lt;StabMonth,MAX(0,AY$35*12)/EntryCapRate*EffTaxRateOnValue/12,IF(TaxMethodValue&gt;=1,TaxYear1*(1+GrowthTax)^(MAX(0,(47-StabMonth)/12))/12,MAX(0,AY$35*12)/EntryCapRate*EffTaxRateOnValue/12)))</f>
        <v/>
      </c>
      <c r="AZ36" s="218">
        <f>IF(48&lt;TaxOpStartMonth,0,IF(48&lt;StabMonth,MAX(0,AZ$35*12)/EntryCapRate*EffTaxRateOnValue/12,IF(TaxMethodValue&gt;=1,TaxYear1*(1+GrowthTax)^(MAX(0,(48-StabMonth)/12))/12,MAX(0,AZ$35*12)/EntryCapRate*EffTaxRateOnValue/12)))</f>
        <v/>
      </c>
      <c r="BA36" s="218">
        <f>IF(49&lt;TaxOpStartMonth,0,IF(49&lt;StabMonth,MAX(0,BA$35*12)/EntryCapRate*EffTaxRateOnValue/12,IF(TaxMethodValue&gt;=1,TaxYear1*(1+GrowthTax)^(MAX(0,(49-StabMonth)/12))/12,MAX(0,BA$35*12)/EntryCapRate*EffTaxRateOnValue/12)))</f>
        <v/>
      </c>
      <c r="BB36" s="218">
        <f>IF(50&lt;TaxOpStartMonth,0,IF(50&lt;StabMonth,MAX(0,BB$35*12)/EntryCapRate*EffTaxRateOnValue/12,IF(TaxMethodValue&gt;=1,TaxYear1*(1+GrowthTax)^(MAX(0,(50-StabMonth)/12))/12,MAX(0,BB$35*12)/EntryCapRate*EffTaxRateOnValue/12)))</f>
        <v/>
      </c>
      <c r="BC36" s="218">
        <f>IF(51&lt;TaxOpStartMonth,0,IF(51&lt;StabMonth,MAX(0,BC$35*12)/EntryCapRate*EffTaxRateOnValue/12,IF(TaxMethodValue&gt;=1,TaxYear1*(1+GrowthTax)^(MAX(0,(51-StabMonth)/12))/12,MAX(0,BC$35*12)/EntryCapRate*EffTaxRateOnValue/12)))</f>
        <v/>
      </c>
      <c r="BD36" s="218">
        <f>IF(52&lt;TaxOpStartMonth,0,IF(52&lt;StabMonth,MAX(0,BD$35*12)/EntryCapRate*EffTaxRateOnValue/12,IF(TaxMethodValue&gt;=1,TaxYear1*(1+GrowthTax)^(MAX(0,(52-StabMonth)/12))/12,MAX(0,BD$35*12)/EntryCapRate*EffTaxRateOnValue/12)))</f>
        <v/>
      </c>
      <c r="BE36" s="218">
        <f>IF(53&lt;TaxOpStartMonth,0,IF(53&lt;StabMonth,MAX(0,BE$35*12)/EntryCapRate*EffTaxRateOnValue/12,IF(TaxMethodValue&gt;=1,TaxYear1*(1+GrowthTax)^(MAX(0,(53-StabMonth)/12))/12,MAX(0,BE$35*12)/EntryCapRate*EffTaxRateOnValue/12)))</f>
        <v/>
      </c>
      <c r="BF36" s="218">
        <f>IF(54&lt;TaxOpStartMonth,0,IF(54&lt;StabMonth,MAX(0,BF$35*12)/EntryCapRate*EffTaxRateOnValue/12,IF(TaxMethodValue&gt;=1,TaxYear1*(1+GrowthTax)^(MAX(0,(54-StabMonth)/12))/12,MAX(0,BF$35*12)/EntryCapRate*EffTaxRateOnValue/12)))</f>
        <v/>
      </c>
      <c r="BG36" s="218">
        <f>IF(55&lt;TaxOpStartMonth,0,IF(55&lt;StabMonth,MAX(0,BG$35*12)/EntryCapRate*EffTaxRateOnValue/12,IF(TaxMethodValue&gt;=1,TaxYear1*(1+GrowthTax)^(MAX(0,(55-StabMonth)/12))/12,MAX(0,BG$35*12)/EntryCapRate*EffTaxRateOnValue/12)))</f>
        <v/>
      </c>
      <c r="BH36" s="218">
        <f>IF(56&lt;TaxOpStartMonth,0,IF(56&lt;StabMonth,MAX(0,BH$35*12)/EntryCapRate*EffTaxRateOnValue/12,IF(TaxMethodValue&gt;=1,TaxYear1*(1+GrowthTax)^(MAX(0,(56-StabMonth)/12))/12,MAX(0,BH$35*12)/EntryCapRate*EffTaxRateOnValue/12)))</f>
        <v/>
      </c>
      <c r="BI36" s="218">
        <f>IF(57&lt;TaxOpStartMonth,0,IF(57&lt;StabMonth,MAX(0,BI$35*12)/EntryCapRate*EffTaxRateOnValue/12,IF(TaxMethodValue&gt;=1,TaxYear1*(1+GrowthTax)^(MAX(0,(57-StabMonth)/12))/12,MAX(0,BI$35*12)/EntryCapRate*EffTaxRateOnValue/12)))</f>
        <v/>
      </c>
      <c r="BJ36" s="218">
        <f>IF(58&lt;TaxOpStartMonth,0,IF(58&lt;StabMonth,MAX(0,BJ$35*12)/EntryCapRate*EffTaxRateOnValue/12,IF(TaxMethodValue&gt;=1,TaxYear1*(1+GrowthTax)^(MAX(0,(58-StabMonth)/12))/12,MAX(0,BJ$35*12)/EntryCapRate*EffTaxRateOnValue/12)))</f>
        <v/>
      </c>
      <c r="BK36" s="218">
        <f>IF(59&lt;TaxOpStartMonth,0,IF(59&lt;StabMonth,MAX(0,BK$35*12)/EntryCapRate*EffTaxRateOnValue/12,IF(TaxMethodValue&gt;=1,TaxYear1*(1+GrowthTax)^(MAX(0,(59-StabMonth)/12))/12,MAX(0,BK$35*12)/EntryCapRate*EffTaxRateOnValue/12)))</f>
        <v/>
      </c>
      <c r="BL36" s="218">
        <f>IF(60&lt;TaxOpStartMonth,0,IF(60&lt;StabMonth,MAX(0,BL$35*12)/EntryCapRate*EffTaxRateOnValue/12,IF(TaxMethodValue&gt;=1,TaxYear1*(1+GrowthTax)^(MAX(0,(60-StabMonth)/12))/12,MAX(0,BL$35*12)/EntryCapRate*EffTaxRateOnValue/12)))</f>
        <v/>
      </c>
      <c r="BM36" s="218">
        <f>IF(61&lt;TaxOpStartMonth,0,IF(61&lt;StabMonth,MAX(0,BM$35*12)/EntryCapRate*EffTaxRateOnValue/12,IF(TaxMethodValue&gt;=1,TaxYear1*(1+GrowthTax)^(MAX(0,(61-StabMonth)/12))/12,MAX(0,BM$35*12)/EntryCapRate*EffTaxRateOnValue/12)))</f>
        <v/>
      </c>
      <c r="BN36" s="218">
        <f>IF(62&lt;TaxOpStartMonth,0,IF(62&lt;StabMonth,MAX(0,BN$35*12)/EntryCapRate*EffTaxRateOnValue/12,IF(TaxMethodValue&gt;=1,TaxYear1*(1+GrowthTax)^(MAX(0,(62-StabMonth)/12))/12,MAX(0,BN$35*12)/EntryCapRate*EffTaxRateOnValue/12)))</f>
        <v/>
      </c>
      <c r="BO36" s="218">
        <f>IF(63&lt;TaxOpStartMonth,0,IF(63&lt;StabMonth,MAX(0,BO$35*12)/EntryCapRate*EffTaxRateOnValue/12,IF(TaxMethodValue&gt;=1,TaxYear1*(1+GrowthTax)^(MAX(0,(63-StabMonth)/12))/12,MAX(0,BO$35*12)/EntryCapRate*EffTaxRateOnValue/12)))</f>
        <v/>
      </c>
      <c r="BP36" s="218">
        <f>IF(64&lt;TaxOpStartMonth,0,IF(64&lt;StabMonth,MAX(0,BP$35*12)/EntryCapRate*EffTaxRateOnValue/12,IF(TaxMethodValue&gt;=1,TaxYear1*(1+GrowthTax)^(MAX(0,(64-StabMonth)/12))/12,MAX(0,BP$35*12)/EntryCapRate*EffTaxRateOnValue/12)))</f>
        <v/>
      </c>
      <c r="BQ36" s="218">
        <f>IF(65&lt;TaxOpStartMonth,0,IF(65&lt;StabMonth,MAX(0,BQ$35*12)/EntryCapRate*EffTaxRateOnValue/12,IF(TaxMethodValue&gt;=1,TaxYear1*(1+GrowthTax)^(MAX(0,(65-StabMonth)/12))/12,MAX(0,BQ$35*12)/EntryCapRate*EffTaxRateOnValue/12)))</f>
        <v/>
      </c>
      <c r="BR36" s="218">
        <f>IF(66&lt;TaxOpStartMonth,0,IF(66&lt;StabMonth,MAX(0,BR$35*12)/EntryCapRate*EffTaxRateOnValue/12,IF(TaxMethodValue&gt;=1,TaxYear1*(1+GrowthTax)^(MAX(0,(66-StabMonth)/12))/12,MAX(0,BR$35*12)/EntryCapRate*EffTaxRateOnValue/12)))</f>
        <v/>
      </c>
      <c r="BS36" s="218">
        <f>IF(67&lt;TaxOpStartMonth,0,IF(67&lt;StabMonth,MAX(0,BS$35*12)/EntryCapRate*EffTaxRateOnValue/12,IF(TaxMethodValue&gt;=1,TaxYear1*(1+GrowthTax)^(MAX(0,(67-StabMonth)/12))/12,MAX(0,BS$35*12)/EntryCapRate*EffTaxRateOnValue/12)))</f>
        <v/>
      </c>
      <c r="BT36" s="218">
        <f>IF(68&lt;TaxOpStartMonth,0,IF(68&lt;StabMonth,MAX(0,BT$35*12)/EntryCapRate*EffTaxRateOnValue/12,IF(TaxMethodValue&gt;=1,TaxYear1*(1+GrowthTax)^(MAX(0,(68-StabMonth)/12))/12,MAX(0,BT$35*12)/EntryCapRate*EffTaxRateOnValue/12)))</f>
        <v/>
      </c>
      <c r="BU36" s="218">
        <f>IF(69&lt;TaxOpStartMonth,0,IF(69&lt;StabMonth,MAX(0,BU$35*12)/EntryCapRate*EffTaxRateOnValue/12,IF(TaxMethodValue&gt;=1,TaxYear1*(1+GrowthTax)^(MAX(0,(69-StabMonth)/12))/12,MAX(0,BU$35*12)/EntryCapRate*EffTaxRateOnValue/12)))</f>
        <v/>
      </c>
      <c r="BV36" s="218">
        <f>IF(70&lt;TaxOpStartMonth,0,IF(70&lt;StabMonth,MAX(0,BV$35*12)/EntryCapRate*EffTaxRateOnValue/12,IF(TaxMethodValue&gt;=1,TaxYear1*(1+GrowthTax)^(MAX(0,(70-StabMonth)/12))/12,MAX(0,BV$35*12)/EntryCapRate*EffTaxRateOnValue/12)))</f>
        <v/>
      </c>
      <c r="BW36" s="218">
        <f>IF(71&lt;TaxOpStartMonth,0,IF(71&lt;StabMonth,MAX(0,BW$35*12)/EntryCapRate*EffTaxRateOnValue/12,IF(TaxMethodValue&gt;=1,TaxYear1*(1+GrowthTax)^(MAX(0,(71-StabMonth)/12))/12,MAX(0,BW$35*12)/EntryCapRate*EffTaxRateOnValue/12)))</f>
        <v/>
      </c>
      <c r="BX36" s="218">
        <f>IF(72&lt;TaxOpStartMonth,0,IF(72&lt;StabMonth,MAX(0,BX$35*12)/EntryCapRate*EffTaxRateOnValue/12,IF(TaxMethodValue&gt;=1,TaxYear1*(1+GrowthTax)^(MAX(0,(72-StabMonth)/12))/12,MAX(0,BX$35*12)/EntryCapRate*EffTaxRateOnValue/12)))</f>
        <v/>
      </c>
      <c r="BY36" s="218">
        <f>IF(73&lt;TaxOpStartMonth,0,IF(73&lt;StabMonth,MAX(0,BY$35*12)/EntryCapRate*EffTaxRateOnValue/12,IF(TaxMethodValue&gt;=1,TaxYear1*(1+GrowthTax)^(MAX(0,(73-StabMonth)/12))/12,MAX(0,BY$35*12)/EntryCapRate*EffTaxRateOnValue/12)))</f>
        <v/>
      </c>
      <c r="BZ36" s="218">
        <f>IF(74&lt;TaxOpStartMonth,0,IF(74&lt;StabMonth,MAX(0,BZ$35*12)/EntryCapRate*EffTaxRateOnValue/12,IF(TaxMethodValue&gt;=1,TaxYear1*(1+GrowthTax)^(MAX(0,(74-StabMonth)/12))/12,MAX(0,BZ$35*12)/EntryCapRate*EffTaxRateOnValue/12)))</f>
        <v/>
      </c>
      <c r="CA36" s="218">
        <f>IF(75&lt;TaxOpStartMonth,0,IF(75&lt;StabMonth,MAX(0,CA$35*12)/EntryCapRate*EffTaxRateOnValue/12,IF(TaxMethodValue&gt;=1,TaxYear1*(1+GrowthTax)^(MAX(0,(75-StabMonth)/12))/12,MAX(0,CA$35*12)/EntryCapRate*EffTaxRateOnValue/12)))</f>
        <v/>
      </c>
      <c r="CB36" s="218">
        <f>IF(76&lt;TaxOpStartMonth,0,IF(76&lt;StabMonth,MAX(0,CB$35*12)/EntryCapRate*EffTaxRateOnValue/12,IF(TaxMethodValue&gt;=1,TaxYear1*(1+GrowthTax)^(MAX(0,(76-StabMonth)/12))/12,MAX(0,CB$35*12)/EntryCapRate*EffTaxRateOnValue/12)))</f>
        <v/>
      </c>
      <c r="CC36" s="218">
        <f>IF(77&lt;TaxOpStartMonth,0,IF(77&lt;StabMonth,MAX(0,CC$35*12)/EntryCapRate*EffTaxRateOnValue/12,IF(TaxMethodValue&gt;=1,TaxYear1*(1+GrowthTax)^(MAX(0,(77-StabMonth)/12))/12,MAX(0,CC$35*12)/EntryCapRate*EffTaxRateOnValue/12)))</f>
        <v/>
      </c>
      <c r="CD36" s="218">
        <f>IF(78&lt;TaxOpStartMonth,0,IF(78&lt;StabMonth,MAX(0,CD$35*12)/EntryCapRate*EffTaxRateOnValue/12,IF(TaxMethodValue&gt;=1,TaxYear1*(1+GrowthTax)^(MAX(0,(78-StabMonth)/12))/12,MAX(0,CD$35*12)/EntryCapRate*EffTaxRateOnValue/12)))</f>
        <v/>
      </c>
      <c r="CE36" s="218">
        <f>IF(79&lt;TaxOpStartMonth,0,IF(79&lt;StabMonth,MAX(0,CE$35*12)/EntryCapRate*EffTaxRateOnValue/12,IF(TaxMethodValue&gt;=1,TaxYear1*(1+GrowthTax)^(MAX(0,(79-StabMonth)/12))/12,MAX(0,CE$35*12)/EntryCapRate*EffTaxRateOnValue/12)))</f>
        <v/>
      </c>
      <c r="CF36" s="218">
        <f>IF(80&lt;TaxOpStartMonth,0,IF(80&lt;StabMonth,MAX(0,CF$35*12)/EntryCapRate*EffTaxRateOnValue/12,IF(TaxMethodValue&gt;=1,TaxYear1*(1+GrowthTax)^(MAX(0,(80-StabMonth)/12))/12,MAX(0,CF$35*12)/EntryCapRate*EffTaxRateOnValue/12)))</f>
        <v/>
      </c>
      <c r="CG36" s="218">
        <f>IF(81&lt;TaxOpStartMonth,0,IF(81&lt;StabMonth,MAX(0,CG$35*12)/EntryCapRate*EffTaxRateOnValue/12,IF(TaxMethodValue&gt;=1,TaxYear1*(1+GrowthTax)^(MAX(0,(81-StabMonth)/12))/12,MAX(0,CG$35*12)/EntryCapRate*EffTaxRateOnValue/12)))</f>
        <v/>
      </c>
      <c r="CH36" s="218">
        <f>IF(82&lt;TaxOpStartMonth,0,IF(82&lt;StabMonth,MAX(0,CH$35*12)/EntryCapRate*EffTaxRateOnValue/12,IF(TaxMethodValue&gt;=1,TaxYear1*(1+GrowthTax)^(MAX(0,(82-StabMonth)/12))/12,MAX(0,CH$35*12)/EntryCapRate*EffTaxRateOnValue/12)))</f>
        <v/>
      </c>
      <c r="CI36" s="218">
        <f>IF(83&lt;TaxOpStartMonth,0,IF(83&lt;StabMonth,MAX(0,CI$35*12)/EntryCapRate*EffTaxRateOnValue/12,IF(TaxMethodValue&gt;=1,TaxYear1*(1+GrowthTax)^(MAX(0,(83-StabMonth)/12))/12,MAX(0,CI$35*12)/EntryCapRate*EffTaxRateOnValue/12)))</f>
        <v/>
      </c>
      <c r="CJ36" s="218">
        <f>IF(84&lt;TaxOpStartMonth,0,IF(84&lt;StabMonth,MAX(0,CJ$35*12)/EntryCapRate*EffTaxRateOnValue/12,IF(TaxMethodValue&gt;=1,TaxYear1*(1+GrowthTax)^(MAX(0,(84-StabMonth)/12))/12,MAX(0,CJ$35*12)/EntryCapRate*EffTaxRateOnValue/12)))</f>
        <v/>
      </c>
      <c r="CK36" s="218">
        <f>IF(85&lt;TaxOpStartMonth,0,IF(85&lt;StabMonth,MAX(0,CK$35*12)/EntryCapRate*EffTaxRateOnValue/12,IF(TaxMethodValue&gt;=1,TaxYear1*(1+GrowthTax)^(MAX(0,(85-StabMonth)/12))/12,MAX(0,CK$35*12)/EntryCapRate*EffTaxRateOnValue/12)))</f>
        <v/>
      </c>
      <c r="CL36" s="218">
        <f>IF(86&lt;TaxOpStartMonth,0,IF(86&lt;StabMonth,MAX(0,CL$35*12)/EntryCapRate*EffTaxRateOnValue/12,IF(TaxMethodValue&gt;=1,TaxYear1*(1+GrowthTax)^(MAX(0,(86-StabMonth)/12))/12,MAX(0,CL$35*12)/EntryCapRate*EffTaxRateOnValue/12)))</f>
        <v/>
      </c>
      <c r="CM36" s="218">
        <f>IF(87&lt;TaxOpStartMonth,0,IF(87&lt;StabMonth,MAX(0,CM$35*12)/EntryCapRate*EffTaxRateOnValue/12,IF(TaxMethodValue&gt;=1,TaxYear1*(1+GrowthTax)^(MAX(0,(87-StabMonth)/12))/12,MAX(0,CM$35*12)/EntryCapRate*EffTaxRateOnValue/12)))</f>
        <v/>
      </c>
      <c r="CN36" s="218">
        <f>IF(88&lt;TaxOpStartMonth,0,IF(88&lt;StabMonth,MAX(0,CN$35*12)/EntryCapRate*EffTaxRateOnValue/12,IF(TaxMethodValue&gt;=1,TaxYear1*(1+GrowthTax)^(MAX(0,(88-StabMonth)/12))/12,MAX(0,CN$35*12)/EntryCapRate*EffTaxRateOnValue/12)))</f>
        <v/>
      </c>
      <c r="CO36" s="218">
        <f>IF(89&lt;TaxOpStartMonth,0,IF(89&lt;StabMonth,MAX(0,CO$35*12)/EntryCapRate*EffTaxRateOnValue/12,IF(TaxMethodValue&gt;=1,TaxYear1*(1+GrowthTax)^(MAX(0,(89-StabMonth)/12))/12,MAX(0,CO$35*12)/EntryCapRate*EffTaxRateOnValue/12)))</f>
        <v/>
      </c>
      <c r="CP36" s="218">
        <f>IF(90&lt;TaxOpStartMonth,0,IF(90&lt;StabMonth,MAX(0,CP$35*12)/EntryCapRate*EffTaxRateOnValue/12,IF(TaxMethodValue&gt;=1,TaxYear1*(1+GrowthTax)^(MAX(0,(90-StabMonth)/12))/12,MAX(0,CP$35*12)/EntryCapRate*EffTaxRateOnValue/12)))</f>
        <v/>
      </c>
      <c r="CQ36" s="218">
        <f>IF(91&lt;TaxOpStartMonth,0,IF(91&lt;StabMonth,MAX(0,CQ$35*12)/EntryCapRate*EffTaxRateOnValue/12,IF(TaxMethodValue&gt;=1,TaxYear1*(1+GrowthTax)^(MAX(0,(91-StabMonth)/12))/12,MAX(0,CQ$35*12)/EntryCapRate*EffTaxRateOnValue/12)))</f>
        <v/>
      </c>
      <c r="CR36" s="218">
        <f>IF(92&lt;TaxOpStartMonth,0,IF(92&lt;StabMonth,MAX(0,CR$35*12)/EntryCapRate*EffTaxRateOnValue/12,IF(TaxMethodValue&gt;=1,TaxYear1*(1+GrowthTax)^(MAX(0,(92-StabMonth)/12))/12,MAX(0,CR$35*12)/EntryCapRate*EffTaxRateOnValue/12)))</f>
        <v/>
      </c>
      <c r="CS36" s="218">
        <f>IF(93&lt;TaxOpStartMonth,0,IF(93&lt;StabMonth,MAX(0,CS$35*12)/EntryCapRate*EffTaxRateOnValue/12,IF(TaxMethodValue&gt;=1,TaxYear1*(1+GrowthTax)^(MAX(0,(93-StabMonth)/12))/12,MAX(0,CS$35*12)/EntryCapRate*EffTaxRateOnValue/12)))</f>
        <v/>
      </c>
      <c r="CT36" s="218">
        <f>IF(94&lt;TaxOpStartMonth,0,IF(94&lt;StabMonth,MAX(0,CT$35*12)/EntryCapRate*EffTaxRateOnValue/12,IF(TaxMethodValue&gt;=1,TaxYear1*(1+GrowthTax)^(MAX(0,(94-StabMonth)/12))/12,MAX(0,CT$35*12)/EntryCapRate*EffTaxRateOnValue/12)))</f>
        <v/>
      </c>
      <c r="CU36" s="218">
        <f>IF(95&lt;TaxOpStartMonth,0,IF(95&lt;StabMonth,MAX(0,CU$35*12)/EntryCapRate*EffTaxRateOnValue/12,IF(TaxMethodValue&gt;=1,TaxYear1*(1+GrowthTax)^(MAX(0,(95-StabMonth)/12))/12,MAX(0,CU$35*12)/EntryCapRate*EffTaxRateOnValue/12)))</f>
        <v/>
      </c>
      <c r="CV36" s="218">
        <f>IF(96&lt;TaxOpStartMonth,0,IF(96&lt;StabMonth,MAX(0,CV$35*12)/EntryCapRate*EffTaxRateOnValue/12,IF(TaxMethodValue&gt;=1,TaxYear1*(1+GrowthTax)^(MAX(0,(96-StabMonth)/12))/12,MAX(0,CV$35*12)/EntryCapRate*EffTaxRateOnValue/12)))</f>
        <v/>
      </c>
      <c r="CW36" s="218">
        <f>IF(97&lt;TaxOpStartMonth,0,IF(97&lt;StabMonth,MAX(0,CW$35*12)/EntryCapRate*EffTaxRateOnValue/12,IF(TaxMethodValue&gt;=1,TaxYear1*(1+GrowthTax)^(MAX(0,(97-StabMonth)/12))/12,MAX(0,CW$35*12)/EntryCapRate*EffTaxRateOnValue/12)))</f>
        <v/>
      </c>
      <c r="CX36" s="218">
        <f>IF(98&lt;TaxOpStartMonth,0,IF(98&lt;StabMonth,MAX(0,CX$35*12)/EntryCapRate*EffTaxRateOnValue/12,IF(TaxMethodValue&gt;=1,TaxYear1*(1+GrowthTax)^(MAX(0,(98-StabMonth)/12))/12,MAX(0,CX$35*12)/EntryCapRate*EffTaxRateOnValue/12)))</f>
        <v/>
      </c>
      <c r="CY36" s="218">
        <f>IF(99&lt;TaxOpStartMonth,0,IF(99&lt;StabMonth,MAX(0,CY$35*12)/EntryCapRate*EffTaxRateOnValue/12,IF(TaxMethodValue&gt;=1,TaxYear1*(1+GrowthTax)^(MAX(0,(99-StabMonth)/12))/12,MAX(0,CY$35*12)/EntryCapRate*EffTaxRateOnValue/12)))</f>
        <v/>
      </c>
      <c r="CZ36" s="218">
        <f>IF(100&lt;TaxOpStartMonth,0,IF(100&lt;StabMonth,MAX(0,CZ$35*12)/EntryCapRate*EffTaxRateOnValue/12,IF(TaxMethodValue&gt;=1,TaxYear1*(1+GrowthTax)^(MAX(0,(100-StabMonth)/12))/12,MAX(0,CZ$35*12)/EntryCapRate*EffTaxRateOnValue/12)))</f>
        <v/>
      </c>
      <c r="DA36" s="218">
        <f>IF(101&lt;TaxOpStartMonth,0,IF(101&lt;StabMonth,MAX(0,DA$35*12)/EntryCapRate*EffTaxRateOnValue/12,IF(TaxMethodValue&gt;=1,TaxYear1*(1+GrowthTax)^(MAX(0,(101-StabMonth)/12))/12,MAX(0,DA$35*12)/EntryCapRate*EffTaxRateOnValue/12)))</f>
        <v/>
      </c>
      <c r="DB36" s="218">
        <f>IF(102&lt;TaxOpStartMonth,0,IF(102&lt;StabMonth,MAX(0,DB$35*12)/EntryCapRate*EffTaxRateOnValue/12,IF(TaxMethodValue&gt;=1,TaxYear1*(1+GrowthTax)^(MAX(0,(102-StabMonth)/12))/12,MAX(0,DB$35*12)/EntryCapRate*EffTaxRateOnValue/12)))</f>
        <v/>
      </c>
      <c r="DC36" s="218">
        <f>IF(103&lt;TaxOpStartMonth,0,IF(103&lt;StabMonth,MAX(0,DC$35*12)/EntryCapRate*EffTaxRateOnValue/12,IF(TaxMethodValue&gt;=1,TaxYear1*(1+GrowthTax)^(MAX(0,(103-StabMonth)/12))/12,MAX(0,DC$35*12)/EntryCapRate*EffTaxRateOnValue/12)))</f>
        <v/>
      </c>
      <c r="DD36" s="218">
        <f>IF(104&lt;TaxOpStartMonth,0,IF(104&lt;StabMonth,MAX(0,DD$35*12)/EntryCapRate*EffTaxRateOnValue/12,IF(TaxMethodValue&gt;=1,TaxYear1*(1+GrowthTax)^(MAX(0,(104-StabMonth)/12))/12,MAX(0,DD$35*12)/EntryCapRate*EffTaxRateOnValue/12)))</f>
        <v/>
      </c>
      <c r="DE36" s="218">
        <f>IF(105&lt;TaxOpStartMonth,0,IF(105&lt;StabMonth,MAX(0,DE$35*12)/EntryCapRate*EffTaxRateOnValue/12,IF(TaxMethodValue&gt;=1,TaxYear1*(1+GrowthTax)^(MAX(0,(105-StabMonth)/12))/12,MAX(0,DE$35*12)/EntryCapRate*EffTaxRateOnValue/12)))</f>
        <v/>
      </c>
      <c r="DF36" s="218">
        <f>IF(106&lt;TaxOpStartMonth,0,IF(106&lt;StabMonth,MAX(0,DF$35*12)/EntryCapRate*EffTaxRateOnValue/12,IF(TaxMethodValue&gt;=1,TaxYear1*(1+GrowthTax)^(MAX(0,(106-StabMonth)/12))/12,MAX(0,DF$35*12)/EntryCapRate*EffTaxRateOnValue/12)))</f>
        <v/>
      </c>
      <c r="DG36" s="218">
        <f>IF(107&lt;TaxOpStartMonth,0,IF(107&lt;StabMonth,MAX(0,DG$35*12)/EntryCapRate*EffTaxRateOnValue/12,IF(TaxMethodValue&gt;=1,TaxYear1*(1+GrowthTax)^(MAX(0,(107-StabMonth)/12))/12,MAX(0,DG$35*12)/EntryCapRate*EffTaxRateOnValue/12)))</f>
        <v/>
      </c>
      <c r="DH36" s="218">
        <f>IF(108&lt;TaxOpStartMonth,0,IF(108&lt;StabMonth,MAX(0,DH$35*12)/EntryCapRate*EffTaxRateOnValue/12,IF(TaxMethodValue&gt;=1,TaxYear1*(1+GrowthTax)^(MAX(0,(108-StabMonth)/12))/12,MAX(0,DH$35*12)/EntryCapRate*EffTaxRateOnValue/12)))</f>
        <v/>
      </c>
      <c r="DI36" s="218">
        <f>IF(109&lt;TaxOpStartMonth,0,IF(109&lt;StabMonth,MAX(0,DI$35*12)/EntryCapRate*EffTaxRateOnValue/12,IF(TaxMethodValue&gt;=1,TaxYear1*(1+GrowthTax)^(MAX(0,(109-StabMonth)/12))/12,MAX(0,DI$35*12)/EntryCapRate*EffTaxRateOnValue/12)))</f>
        <v/>
      </c>
      <c r="DJ36" s="218">
        <f>IF(110&lt;TaxOpStartMonth,0,IF(110&lt;StabMonth,MAX(0,DJ$35*12)/EntryCapRate*EffTaxRateOnValue/12,IF(TaxMethodValue&gt;=1,TaxYear1*(1+GrowthTax)^(MAX(0,(110-StabMonth)/12))/12,MAX(0,DJ$35*12)/EntryCapRate*EffTaxRateOnValue/12)))</f>
        <v/>
      </c>
      <c r="DK36" s="218">
        <f>IF(111&lt;TaxOpStartMonth,0,IF(111&lt;StabMonth,MAX(0,DK$35*12)/EntryCapRate*EffTaxRateOnValue/12,IF(TaxMethodValue&gt;=1,TaxYear1*(1+GrowthTax)^(MAX(0,(111-StabMonth)/12))/12,MAX(0,DK$35*12)/EntryCapRate*EffTaxRateOnValue/12)))</f>
        <v/>
      </c>
      <c r="DL36" s="218">
        <f>IF(112&lt;TaxOpStartMonth,0,IF(112&lt;StabMonth,MAX(0,DL$35*12)/EntryCapRate*EffTaxRateOnValue/12,IF(TaxMethodValue&gt;=1,TaxYear1*(1+GrowthTax)^(MAX(0,(112-StabMonth)/12))/12,MAX(0,DL$35*12)/EntryCapRate*EffTaxRateOnValue/12)))</f>
        <v/>
      </c>
      <c r="DM36" s="218">
        <f>IF(113&lt;TaxOpStartMonth,0,IF(113&lt;StabMonth,MAX(0,DM$35*12)/EntryCapRate*EffTaxRateOnValue/12,IF(TaxMethodValue&gt;=1,TaxYear1*(1+GrowthTax)^(MAX(0,(113-StabMonth)/12))/12,MAX(0,DM$35*12)/EntryCapRate*EffTaxRateOnValue/12)))</f>
        <v/>
      </c>
      <c r="DN36" s="218">
        <f>IF(114&lt;TaxOpStartMonth,0,IF(114&lt;StabMonth,MAX(0,DN$35*12)/EntryCapRate*EffTaxRateOnValue/12,IF(TaxMethodValue&gt;=1,TaxYear1*(1+GrowthTax)^(MAX(0,(114-StabMonth)/12))/12,MAX(0,DN$35*12)/EntryCapRate*EffTaxRateOnValue/12)))</f>
        <v/>
      </c>
      <c r="DO36" s="218">
        <f>IF(115&lt;TaxOpStartMonth,0,IF(115&lt;StabMonth,MAX(0,DO$35*12)/EntryCapRate*EffTaxRateOnValue/12,IF(TaxMethodValue&gt;=1,TaxYear1*(1+GrowthTax)^(MAX(0,(115-StabMonth)/12))/12,MAX(0,DO$35*12)/EntryCapRate*EffTaxRateOnValue/12)))</f>
        <v/>
      </c>
      <c r="DP36" s="218">
        <f>IF(116&lt;TaxOpStartMonth,0,IF(116&lt;StabMonth,MAX(0,DP$35*12)/EntryCapRate*EffTaxRateOnValue/12,IF(TaxMethodValue&gt;=1,TaxYear1*(1+GrowthTax)^(MAX(0,(116-StabMonth)/12))/12,MAX(0,DP$35*12)/EntryCapRate*EffTaxRateOnValue/12)))</f>
        <v/>
      </c>
      <c r="DQ36" s="218">
        <f>IF(117&lt;TaxOpStartMonth,0,IF(117&lt;StabMonth,MAX(0,DQ$35*12)/EntryCapRate*EffTaxRateOnValue/12,IF(TaxMethodValue&gt;=1,TaxYear1*(1+GrowthTax)^(MAX(0,(117-StabMonth)/12))/12,MAX(0,DQ$35*12)/EntryCapRate*EffTaxRateOnValue/12)))</f>
        <v/>
      </c>
      <c r="DR36" s="218">
        <f>IF(118&lt;TaxOpStartMonth,0,IF(118&lt;StabMonth,MAX(0,DR$35*12)/EntryCapRate*EffTaxRateOnValue/12,IF(TaxMethodValue&gt;=1,TaxYear1*(1+GrowthTax)^(MAX(0,(118-StabMonth)/12))/12,MAX(0,DR$35*12)/EntryCapRate*EffTaxRateOnValue/12)))</f>
        <v/>
      </c>
      <c r="DS36" s="218">
        <f>IF(119&lt;TaxOpStartMonth,0,IF(119&lt;StabMonth,MAX(0,DS$35*12)/EntryCapRate*EffTaxRateOnValue/12,IF(TaxMethodValue&gt;=1,TaxYear1*(1+GrowthTax)^(MAX(0,(119-StabMonth)/12))/12,MAX(0,DS$35*12)/EntryCapRate*EffTaxRateOnValue/12)))</f>
        <v/>
      </c>
      <c r="DT36" s="218">
        <f>IF(120&lt;TaxOpStartMonth,0,IF(120&lt;StabMonth,MAX(0,DT$35*12)/EntryCapRate*EffTaxRateOnValue/12,IF(TaxMethodValue&gt;=1,TaxYear1*(1+GrowthTax)^(MAX(0,(120-StabMonth)/12))/12,MAX(0,DT$35*12)/EntryCapRate*EffTaxRateOnValue/12)))</f>
        <v/>
      </c>
      <c r="DU36" s="218">
        <f>IF(121&lt;TaxOpStartMonth,0,IF(121&lt;StabMonth,MAX(0,DU$35*12)/EntryCapRate*EffTaxRateOnValue/12,IF(TaxMethodValue&gt;=1,TaxYear1*(1+GrowthTax)^(MAX(0,(121-StabMonth)/12))/12,MAX(0,DU$35*12)/EntryCapRate*EffTaxRateOnValue/12)))</f>
        <v/>
      </c>
      <c r="DV36" s="218">
        <f>IF(122&lt;TaxOpStartMonth,0,IF(122&lt;StabMonth,MAX(0,DV$35*12)/EntryCapRate*EffTaxRateOnValue/12,IF(TaxMethodValue&gt;=1,TaxYear1*(1+GrowthTax)^(MAX(0,(122-StabMonth)/12))/12,MAX(0,DV$35*12)/EntryCapRate*EffTaxRateOnValue/12)))</f>
        <v/>
      </c>
      <c r="DW36" s="218">
        <f>IF(123&lt;TaxOpStartMonth,0,IF(123&lt;StabMonth,MAX(0,DW$35*12)/EntryCapRate*EffTaxRateOnValue/12,IF(TaxMethodValue&gt;=1,TaxYear1*(1+GrowthTax)^(MAX(0,(123-StabMonth)/12))/12,MAX(0,DW$35*12)/EntryCapRate*EffTaxRateOnValue/12)))</f>
        <v/>
      </c>
      <c r="DX36" s="218">
        <f>IF(124&lt;TaxOpStartMonth,0,IF(124&lt;StabMonth,MAX(0,DX$35*12)/EntryCapRate*EffTaxRateOnValue/12,IF(TaxMethodValue&gt;=1,TaxYear1*(1+GrowthTax)^(MAX(0,(124-StabMonth)/12))/12,MAX(0,DX$35*12)/EntryCapRate*EffTaxRateOnValue/12)))</f>
        <v/>
      </c>
      <c r="DY36" s="218">
        <f>IF(125&lt;TaxOpStartMonth,0,IF(125&lt;StabMonth,MAX(0,DY$35*12)/EntryCapRate*EffTaxRateOnValue/12,IF(TaxMethodValue&gt;=1,TaxYear1*(1+GrowthTax)^(MAX(0,(125-StabMonth)/12))/12,MAX(0,DY$35*12)/EntryCapRate*EffTaxRateOnValue/12)))</f>
        <v/>
      </c>
      <c r="DZ36" s="218">
        <f>IF(126&lt;TaxOpStartMonth,0,IF(126&lt;StabMonth,MAX(0,DZ$35*12)/EntryCapRate*EffTaxRateOnValue/12,IF(TaxMethodValue&gt;=1,TaxYear1*(1+GrowthTax)^(MAX(0,(126-StabMonth)/12))/12,MAX(0,DZ$35*12)/EntryCapRate*EffTaxRateOnValue/12)))</f>
        <v/>
      </c>
      <c r="EA36" s="218">
        <f>IF(127&lt;TaxOpStartMonth,0,IF(127&lt;StabMonth,MAX(0,EA$35*12)/EntryCapRate*EffTaxRateOnValue/12,IF(TaxMethodValue&gt;=1,TaxYear1*(1+GrowthTax)^(MAX(0,(127-StabMonth)/12))/12,MAX(0,EA$35*12)/EntryCapRate*EffTaxRateOnValue/12)))</f>
        <v/>
      </c>
      <c r="EB36" s="218">
        <f>IF(128&lt;TaxOpStartMonth,0,IF(128&lt;StabMonth,MAX(0,EB$35*12)/EntryCapRate*EffTaxRateOnValue/12,IF(TaxMethodValue&gt;=1,TaxYear1*(1+GrowthTax)^(MAX(0,(128-StabMonth)/12))/12,MAX(0,EB$35*12)/EntryCapRate*EffTaxRateOnValue/12)))</f>
        <v/>
      </c>
      <c r="EC36" s="218">
        <f>IF(129&lt;TaxOpStartMonth,0,IF(129&lt;StabMonth,MAX(0,EC$35*12)/EntryCapRate*EffTaxRateOnValue/12,IF(TaxMethodValue&gt;=1,TaxYear1*(1+GrowthTax)^(MAX(0,(129-StabMonth)/12))/12,MAX(0,EC$35*12)/EntryCapRate*EffTaxRateOnValue/12)))</f>
        <v/>
      </c>
      <c r="ED36" s="218">
        <f>IF(130&lt;TaxOpStartMonth,0,IF(130&lt;StabMonth,MAX(0,ED$35*12)/EntryCapRate*EffTaxRateOnValue/12,IF(TaxMethodValue&gt;=1,TaxYear1*(1+GrowthTax)^(MAX(0,(130-StabMonth)/12))/12,MAX(0,ED$35*12)/EntryCapRate*EffTaxRateOnValue/12)))</f>
        <v/>
      </c>
      <c r="EE36" s="218">
        <f>IF(131&lt;TaxOpStartMonth,0,IF(131&lt;StabMonth,MAX(0,EE$35*12)/EntryCapRate*EffTaxRateOnValue/12,IF(TaxMethodValue&gt;=1,TaxYear1*(1+GrowthTax)^(MAX(0,(131-StabMonth)/12))/12,MAX(0,EE$35*12)/EntryCapRate*EffTaxRateOnValue/12)))</f>
        <v/>
      </c>
      <c r="EF36" s="218">
        <f>IF(132&lt;TaxOpStartMonth,0,IF(132&lt;StabMonth,MAX(0,EF$35*12)/EntryCapRate*EffTaxRateOnValue/12,IF(TaxMethodValue&gt;=1,TaxYear1*(1+GrowthTax)^(MAX(0,(132-StabMonth)/12))/12,MAX(0,EF$35*12)/EntryCapRate*EffTaxRateOnValue/12)))</f>
        <v/>
      </c>
      <c r="EG36" s="218">
        <f>IF(133&lt;TaxOpStartMonth,0,IF(133&lt;StabMonth,MAX(0,EG$35*12)/EntryCapRate*EffTaxRateOnValue/12,IF(TaxMethodValue&gt;=1,TaxYear1*(1+GrowthTax)^(MAX(0,(133-StabMonth)/12))/12,MAX(0,EG$35*12)/EntryCapRate*EffTaxRateOnValue/12)))</f>
        <v/>
      </c>
      <c r="EH36" s="218">
        <f>IF(134&lt;TaxOpStartMonth,0,IF(134&lt;StabMonth,MAX(0,EH$35*12)/EntryCapRate*EffTaxRateOnValue/12,IF(TaxMethodValue&gt;=1,TaxYear1*(1+GrowthTax)^(MAX(0,(134-StabMonth)/12))/12,MAX(0,EH$35*12)/EntryCapRate*EffTaxRateOnValue/12)))</f>
        <v/>
      </c>
      <c r="EI36" s="218">
        <f>IF(135&lt;TaxOpStartMonth,0,IF(135&lt;StabMonth,MAX(0,EI$35*12)/EntryCapRate*EffTaxRateOnValue/12,IF(TaxMethodValue&gt;=1,TaxYear1*(1+GrowthTax)^(MAX(0,(135-StabMonth)/12))/12,MAX(0,EI$35*12)/EntryCapRate*EffTaxRateOnValue/12)))</f>
        <v/>
      </c>
      <c r="EJ36" s="218">
        <f>IF(136&lt;TaxOpStartMonth,0,IF(136&lt;StabMonth,MAX(0,EJ$35*12)/EntryCapRate*EffTaxRateOnValue/12,IF(TaxMethodValue&gt;=1,TaxYear1*(1+GrowthTax)^(MAX(0,(136-StabMonth)/12))/12,MAX(0,EJ$35*12)/EntryCapRate*EffTaxRateOnValue/12)))</f>
        <v/>
      </c>
      <c r="EK36" s="218">
        <f>IF(137&lt;TaxOpStartMonth,0,IF(137&lt;StabMonth,MAX(0,EK$35*12)/EntryCapRate*EffTaxRateOnValue/12,IF(TaxMethodValue&gt;=1,TaxYear1*(1+GrowthTax)^(MAX(0,(137-StabMonth)/12))/12,MAX(0,EK$35*12)/EntryCapRate*EffTaxRateOnValue/12)))</f>
        <v/>
      </c>
      <c r="EL36" s="218">
        <f>IF(138&lt;TaxOpStartMonth,0,IF(138&lt;StabMonth,MAX(0,EL$35*12)/EntryCapRate*EffTaxRateOnValue/12,IF(TaxMethodValue&gt;=1,TaxYear1*(1+GrowthTax)^(MAX(0,(138-StabMonth)/12))/12,MAX(0,EL$35*12)/EntryCapRate*EffTaxRateOnValue/12)))</f>
        <v/>
      </c>
      <c r="EM36" s="218">
        <f>IF(139&lt;TaxOpStartMonth,0,IF(139&lt;StabMonth,MAX(0,EM$35*12)/EntryCapRate*EffTaxRateOnValue/12,IF(TaxMethodValue&gt;=1,TaxYear1*(1+GrowthTax)^(MAX(0,(139-StabMonth)/12))/12,MAX(0,EM$35*12)/EntryCapRate*EffTaxRateOnValue/12)))</f>
        <v/>
      </c>
      <c r="EN36" s="218">
        <f>IF(140&lt;TaxOpStartMonth,0,IF(140&lt;StabMonth,MAX(0,EN$35*12)/EntryCapRate*EffTaxRateOnValue/12,IF(TaxMethodValue&gt;=1,TaxYear1*(1+GrowthTax)^(MAX(0,(140-StabMonth)/12))/12,MAX(0,EN$35*12)/EntryCapRate*EffTaxRateOnValue/12)))</f>
        <v/>
      </c>
      <c r="EO36" s="218">
        <f>IF(141&lt;TaxOpStartMonth,0,IF(141&lt;StabMonth,MAX(0,EO$35*12)/EntryCapRate*EffTaxRateOnValue/12,IF(TaxMethodValue&gt;=1,TaxYear1*(1+GrowthTax)^(MAX(0,(141-StabMonth)/12))/12,MAX(0,EO$35*12)/EntryCapRate*EffTaxRateOnValue/12)))</f>
        <v/>
      </c>
      <c r="EP36" s="218">
        <f>IF(142&lt;TaxOpStartMonth,0,IF(142&lt;StabMonth,MAX(0,EP$35*12)/EntryCapRate*EffTaxRateOnValue/12,IF(TaxMethodValue&gt;=1,TaxYear1*(1+GrowthTax)^(MAX(0,(142-StabMonth)/12))/12,MAX(0,EP$35*12)/EntryCapRate*EffTaxRateOnValue/12)))</f>
        <v/>
      </c>
      <c r="EQ36" s="218">
        <f>IF(143&lt;TaxOpStartMonth,0,IF(143&lt;StabMonth,MAX(0,EQ$35*12)/EntryCapRate*EffTaxRateOnValue/12,IF(TaxMethodValue&gt;=1,TaxYear1*(1+GrowthTax)^(MAX(0,(143-StabMonth)/12))/12,MAX(0,EQ$35*12)/EntryCapRate*EffTaxRateOnValue/12)))</f>
        <v/>
      </c>
      <c r="ER36" s="218">
        <f>IF(144&lt;TaxOpStartMonth,0,IF(144&lt;StabMonth,MAX(0,ER$35*12)/EntryCapRate*EffTaxRateOnValue/12,IF(TaxMethodValue&gt;=1,TaxYear1*(1+GrowthTax)^(MAX(0,(144-StabMonth)/12))/12,MAX(0,ER$35*12)/EntryCapRate*EffTaxRateOnValue/12)))</f>
        <v/>
      </c>
      <c r="ES36" s="218">
        <f>IF(145&lt;TaxOpStartMonth,0,IF(145&lt;StabMonth,MAX(0,ES$35*12)/EntryCapRate*EffTaxRateOnValue/12,IF(TaxMethodValue&gt;=1,TaxYear1*(1+GrowthTax)^(MAX(0,(145-StabMonth)/12))/12,MAX(0,ES$35*12)/EntryCapRate*EffTaxRateOnValue/12)))</f>
        <v/>
      </c>
      <c r="ET36" s="218">
        <f>IF(146&lt;TaxOpStartMonth,0,IF(146&lt;StabMonth,MAX(0,ET$35*12)/EntryCapRate*EffTaxRateOnValue/12,IF(TaxMethodValue&gt;=1,TaxYear1*(1+GrowthTax)^(MAX(0,(146-StabMonth)/12))/12,MAX(0,ET$35*12)/EntryCapRate*EffTaxRateOnValue/12)))</f>
        <v/>
      </c>
      <c r="EU36" s="218">
        <f>IF(147&lt;TaxOpStartMonth,0,IF(147&lt;StabMonth,MAX(0,EU$35*12)/EntryCapRate*EffTaxRateOnValue/12,IF(TaxMethodValue&gt;=1,TaxYear1*(1+GrowthTax)^(MAX(0,(147-StabMonth)/12))/12,MAX(0,EU$35*12)/EntryCapRate*EffTaxRateOnValue/12)))</f>
        <v/>
      </c>
      <c r="EV36" s="218">
        <f>IF(148&lt;TaxOpStartMonth,0,IF(148&lt;StabMonth,MAX(0,EV$35*12)/EntryCapRate*EffTaxRateOnValue/12,IF(TaxMethodValue&gt;=1,TaxYear1*(1+GrowthTax)^(MAX(0,(148-StabMonth)/12))/12,MAX(0,EV$35*12)/EntryCapRate*EffTaxRateOnValue/12)))</f>
        <v/>
      </c>
      <c r="EW36" s="218">
        <f>IF(149&lt;TaxOpStartMonth,0,IF(149&lt;StabMonth,MAX(0,EW$35*12)/EntryCapRate*EffTaxRateOnValue/12,IF(TaxMethodValue&gt;=1,TaxYear1*(1+GrowthTax)^(MAX(0,(149-StabMonth)/12))/12,MAX(0,EW$35*12)/EntryCapRate*EffTaxRateOnValue/12)))</f>
        <v/>
      </c>
      <c r="EX36" s="218">
        <f>IF(150&lt;TaxOpStartMonth,0,IF(150&lt;StabMonth,MAX(0,EX$35*12)/EntryCapRate*EffTaxRateOnValue/12,IF(TaxMethodValue&gt;=1,TaxYear1*(1+GrowthTax)^(MAX(0,(150-StabMonth)/12))/12,MAX(0,EX$35*12)/EntryCapRate*EffTaxRateOnValue/12)))</f>
        <v/>
      </c>
      <c r="EY36" s="218">
        <f>IF(151&lt;TaxOpStartMonth,0,IF(151&lt;StabMonth,MAX(0,EY$35*12)/EntryCapRate*EffTaxRateOnValue/12,IF(TaxMethodValue&gt;=1,TaxYear1*(1+GrowthTax)^(MAX(0,(151-StabMonth)/12))/12,MAX(0,EY$35*12)/EntryCapRate*EffTaxRateOnValue/12)))</f>
        <v/>
      </c>
      <c r="EZ36" s="218">
        <f>IF(152&lt;TaxOpStartMonth,0,IF(152&lt;StabMonth,MAX(0,EZ$35*12)/EntryCapRate*EffTaxRateOnValue/12,IF(TaxMethodValue&gt;=1,TaxYear1*(1+GrowthTax)^(MAX(0,(152-StabMonth)/12))/12,MAX(0,EZ$35*12)/EntryCapRate*EffTaxRateOnValue/12)))</f>
        <v/>
      </c>
      <c r="FA36" s="218">
        <f>IF(153&lt;TaxOpStartMonth,0,IF(153&lt;StabMonth,MAX(0,FA$35*12)/EntryCapRate*EffTaxRateOnValue/12,IF(TaxMethodValue&gt;=1,TaxYear1*(1+GrowthTax)^(MAX(0,(153-StabMonth)/12))/12,MAX(0,FA$35*12)/EntryCapRate*EffTaxRateOnValue/12)))</f>
        <v/>
      </c>
      <c r="FB36" s="218">
        <f>IF(154&lt;TaxOpStartMonth,0,IF(154&lt;StabMonth,MAX(0,FB$35*12)/EntryCapRate*EffTaxRateOnValue/12,IF(TaxMethodValue&gt;=1,TaxYear1*(1+GrowthTax)^(MAX(0,(154-StabMonth)/12))/12,MAX(0,FB$35*12)/EntryCapRate*EffTaxRateOnValue/12)))</f>
        <v/>
      </c>
      <c r="FC36" s="218">
        <f>IF(155&lt;TaxOpStartMonth,0,IF(155&lt;StabMonth,MAX(0,FC$35*12)/EntryCapRate*EffTaxRateOnValue/12,IF(TaxMethodValue&gt;=1,TaxYear1*(1+GrowthTax)^(MAX(0,(155-StabMonth)/12))/12,MAX(0,FC$35*12)/EntryCapRate*EffTaxRateOnValue/12)))</f>
        <v/>
      </c>
      <c r="FD36" s="218">
        <f>IF(156&lt;TaxOpStartMonth,0,IF(156&lt;StabMonth,MAX(0,FD$35*12)/EntryCapRate*EffTaxRateOnValue/12,IF(TaxMethodValue&gt;=1,TaxYear1*(1+GrowthTax)^(MAX(0,(156-StabMonth)/12))/12,MAX(0,FD$35*12)/EntryCapRate*EffTaxRateOnValue/12)))</f>
        <v/>
      </c>
      <c r="FE36" s="218">
        <f>IF(157&lt;TaxOpStartMonth,0,IF(157&lt;StabMonth,MAX(0,FE$35*12)/EntryCapRate*EffTaxRateOnValue/12,IF(TaxMethodValue&gt;=1,TaxYear1*(1+GrowthTax)^(MAX(0,(157-StabMonth)/12))/12,MAX(0,FE$35*12)/EntryCapRate*EffTaxRateOnValue/12)))</f>
        <v/>
      </c>
      <c r="FF36" s="218">
        <f>IF(158&lt;TaxOpStartMonth,0,IF(158&lt;StabMonth,MAX(0,FF$35*12)/EntryCapRate*EffTaxRateOnValue/12,IF(TaxMethodValue&gt;=1,TaxYear1*(1+GrowthTax)^(MAX(0,(158-StabMonth)/12))/12,MAX(0,FF$35*12)/EntryCapRate*EffTaxRateOnValue/12)))</f>
        <v/>
      </c>
      <c r="FG36" s="218">
        <f>IF(159&lt;TaxOpStartMonth,0,IF(159&lt;StabMonth,MAX(0,FG$35*12)/EntryCapRate*EffTaxRateOnValue/12,IF(TaxMethodValue&gt;=1,TaxYear1*(1+GrowthTax)^(MAX(0,(159-StabMonth)/12))/12,MAX(0,FG$35*12)/EntryCapRate*EffTaxRateOnValue/12)))</f>
        <v/>
      </c>
      <c r="FH36" s="218">
        <f>IF(160&lt;TaxOpStartMonth,0,IF(160&lt;StabMonth,MAX(0,FH$35*12)/EntryCapRate*EffTaxRateOnValue/12,IF(TaxMethodValue&gt;=1,TaxYear1*(1+GrowthTax)^(MAX(0,(160-StabMonth)/12))/12,MAX(0,FH$35*12)/EntryCapRate*EffTaxRateOnValue/12)))</f>
        <v/>
      </c>
      <c r="FI36" s="218">
        <f>IF(161&lt;TaxOpStartMonth,0,IF(161&lt;StabMonth,MAX(0,FI$35*12)/EntryCapRate*EffTaxRateOnValue/12,IF(TaxMethodValue&gt;=1,TaxYear1*(1+GrowthTax)^(MAX(0,(161-StabMonth)/12))/12,MAX(0,FI$35*12)/EntryCapRate*EffTaxRateOnValue/12)))</f>
        <v/>
      </c>
      <c r="FJ36" s="218">
        <f>IF(162&lt;TaxOpStartMonth,0,IF(162&lt;StabMonth,MAX(0,FJ$35*12)/EntryCapRate*EffTaxRateOnValue/12,IF(TaxMethodValue&gt;=1,TaxYear1*(1+GrowthTax)^(MAX(0,(162-StabMonth)/12))/12,MAX(0,FJ$35*12)/EntryCapRate*EffTaxRateOnValue/12)))</f>
        <v/>
      </c>
      <c r="FK36" s="218">
        <f>IF(163&lt;TaxOpStartMonth,0,IF(163&lt;StabMonth,MAX(0,FK$35*12)/EntryCapRate*EffTaxRateOnValue/12,IF(TaxMethodValue&gt;=1,TaxYear1*(1+GrowthTax)^(MAX(0,(163-StabMonth)/12))/12,MAX(0,FK$35*12)/EntryCapRate*EffTaxRateOnValue/12)))</f>
        <v/>
      </c>
      <c r="FL36" s="218">
        <f>IF(164&lt;TaxOpStartMonth,0,IF(164&lt;StabMonth,MAX(0,FL$35*12)/EntryCapRate*EffTaxRateOnValue/12,IF(TaxMethodValue&gt;=1,TaxYear1*(1+GrowthTax)^(MAX(0,(164-StabMonth)/12))/12,MAX(0,FL$35*12)/EntryCapRate*EffTaxRateOnValue/12)))</f>
        <v/>
      </c>
      <c r="FM36" s="218">
        <f>IF(165&lt;TaxOpStartMonth,0,IF(165&lt;StabMonth,MAX(0,FM$35*12)/EntryCapRate*EffTaxRateOnValue/12,IF(TaxMethodValue&gt;=1,TaxYear1*(1+GrowthTax)^(MAX(0,(165-StabMonth)/12))/12,MAX(0,FM$35*12)/EntryCapRate*EffTaxRateOnValue/12)))</f>
        <v/>
      </c>
      <c r="FN36" s="218">
        <f>IF(166&lt;TaxOpStartMonth,0,IF(166&lt;StabMonth,MAX(0,FN$35*12)/EntryCapRate*EffTaxRateOnValue/12,IF(TaxMethodValue&gt;=1,TaxYear1*(1+GrowthTax)^(MAX(0,(166-StabMonth)/12))/12,MAX(0,FN$35*12)/EntryCapRate*EffTaxRateOnValue/12)))</f>
        <v/>
      </c>
      <c r="FO36" s="218">
        <f>IF(167&lt;TaxOpStartMonth,0,IF(167&lt;StabMonth,MAX(0,FO$35*12)/EntryCapRate*EffTaxRateOnValue/12,IF(TaxMethodValue&gt;=1,TaxYear1*(1+GrowthTax)^(MAX(0,(167-StabMonth)/12))/12,MAX(0,FO$35*12)/EntryCapRate*EffTaxRateOnValue/12)))</f>
        <v/>
      </c>
      <c r="FP36" s="218">
        <f>IF(168&lt;TaxOpStartMonth,0,IF(168&lt;StabMonth,MAX(0,FP$35*12)/EntryCapRate*EffTaxRateOnValue/12,IF(TaxMethodValue&gt;=1,TaxYear1*(1+GrowthTax)^(MAX(0,(168-StabMonth)/12))/12,MAX(0,FP$35*12)/EntryCapRate*EffTaxRateOnValue/12)))</f>
        <v/>
      </c>
      <c r="FQ36" s="218">
        <f>IF(169&lt;TaxOpStartMonth,0,IF(169&lt;StabMonth,MAX(0,FQ$35*12)/EntryCapRate*EffTaxRateOnValue/12,IF(TaxMethodValue&gt;=1,TaxYear1*(1+GrowthTax)^(MAX(0,(169-StabMonth)/12))/12,MAX(0,FQ$35*12)/EntryCapRate*EffTaxRateOnValue/12)))</f>
        <v/>
      </c>
      <c r="FR36" s="218">
        <f>IF(170&lt;TaxOpStartMonth,0,IF(170&lt;StabMonth,MAX(0,FR$35*12)/EntryCapRate*EffTaxRateOnValue/12,IF(TaxMethodValue&gt;=1,TaxYear1*(1+GrowthTax)^(MAX(0,(170-StabMonth)/12))/12,MAX(0,FR$35*12)/EntryCapRate*EffTaxRateOnValue/12)))</f>
        <v/>
      </c>
      <c r="FS36" s="218">
        <f>IF(171&lt;TaxOpStartMonth,0,IF(171&lt;StabMonth,MAX(0,FS$35*12)/EntryCapRate*EffTaxRateOnValue/12,IF(TaxMethodValue&gt;=1,TaxYear1*(1+GrowthTax)^(MAX(0,(171-StabMonth)/12))/12,MAX(0,FS$35*12)/EntryCapRate*EffTaxRateOnValue/12)))</f>
        <v/>
      </c>
      <c r="FT36" s="218">
        <f>IF(172&lt;TaxOpStartMonth,0,IF(172&lt;StabMonth,MAX(0,FT$35*12)/EntryCapRate*EffTaxRateOnValue/12,IF(TaxMethodValue&gt;=1,TaxYear1*(1+GrowthTax)^(MAX(0,(172-StabMonth)/12))/12,MAX(0,FT$35*12)/EntryCapRate*EffTaxRateOnValue/12)))</f>
        <v/>
      </c>
      <c r="FU36" s="218">
        <f>IF(173&lt;TaxOpStartMonth,0,IF(173&lt;StabMonth,MAX(0,FU$35*12)/EntryCapRate*EffTaxRateOnValue/12,IF(TaxMethodValue&gt;=1,TaxYear1*(1+GrowthTax)^(MAX(0,(173-StabMonth)/12))/12,MAX(0,FU$35*12)/EntryCapRate*EffTaxRateOnValue/12)))</f>
        <v/>
      </c>
      <c r="FV36" s="218">
        <f>IF(174&lt;TaxOpStartMonth,0,IF(174&lt;StabMonth,MAX(0,FV$35*12)/EntryCapRate*EffTaxRateOnValue/12,IF(TaxMethodValue&gt;=1,TaxYear1*(1+GrowthTax)^(MAX(0,(174-StabMonth)/12))/12,MAX(0,FV$35*12)/EntryCapRate*EffTaxRateOnValue/12)))</f>
        <v/>
      </c>
      <c r="FW36" s="218">
        <f>IF(175&lt;TaxOpStartMonth,0,IF(175&lt;StabMonth,MAX(0,FW$35*12)/EntryCapRate*EffTaxRateOnValue/12,IF(TaxMethodValue&gt;=1,TaxYear1*(1+GrowthTax)^(MAX(0,(175-StabMonth)/12))/12,MAX(0,FW$35*12)/EntryCapRate*EffTaxRateOnValue/12)))</f>
        <v/>
      </c>
      <c r="FX36" s="218">
        <f>IF(176&lt;TaxOpStartMonth,0,IF(176&lt;StabMonth,MAX(0,FX$35*12)/EntryCapRate*EffTaxRateOnValue/12,IF(TaxMethodValue&gt;=1,TaxYear1*(1+GrowthTax)^(MAX(0,(176-StabMonth)/12))/12,MAX(0,FX$35*12)/EntryCapRate*EffTaxRateOnValue/12)))</f>
        <v/>
      </c>
      <c r="FY36" s="218">
        <f>IF(177&lt;TaxOpStartMonth,0,IF(177&lt;StabMonth,MAX(0,FY$35*12)/EntryCapRate*EffTaxRateOnValue/12,IF(TaxMethodValue&gt;=1,TaxYear1*(1+GrowthTax)^(MAX(0,(177-StabMonth)/12))/12,MAX(0,FY$35*12)/EntryCapRate*EffTaxRateOnValue/12)))</f>
        <v/>
      </c>
      <c r="FZ36" s="218">
        <f>IF(178&lt;TaxOpStartMonth,0,IF(178&lt;StabMonth,MAX(0,FZ$35*12)/EntryCapRate*EffTaxRateOnValue/12,IF(TaxMethodValue&gt;=1,TaxYear1*(1+GrowthTax)^(MAX(0,(178-StabMonth)/12))/12,MAX(0,FZ$35*12)/EntryCapRate*EffTaxRateOnValue/12)))</f>
        <v/>
      </c>
      <c r="GA36" s="218">
        <f>IF(179&lt;TaxOpStartMonth,0,IF(179&lt;StabMonth,MAX(0,GA$35*12)/EntryCapRate*EffTaxRateOnValue/12,IF(TaxMethodValue&gt;=1,TaxYear1*(1+GrowthTax)^(MAX(0,(179-StabMonth)/12))/12,MAX(0,GA$35*12)/EntryCapRate*EffTaxRateOnValue/12)))</f>
        <v/>
      </c>
      <c r="GB36" s="218">
        <f>IF(180&lt;TaxOpStartMonth,0,IF(180&lt;StabMonth,MAX(0,GB$35*12)/EntryCapRate*EffTaxRateOnValue/12,IF(TaxMethodValue&gt;=1,TaxYear1*(1+GrowthTax)^(MAX(0,(180-StabMonth)/12))/12,MAX(0,GB$35*12)/EntryCapRate*EffTaxRateOnValue/12)))</f>
        <v/>
      </c>
      <c r="GC36" s="218">
        <f>IF(181&lt;TaxOpStartMonth,0,IF(181&lt;StabMonth,MAX(0,GC$35*12)/EntryCapRate*EffTaxRateOnValue/12,IF(TaxMethodValue&gt;=1,TaxYear1*(1+GrowthTax)^(MAX(0,(181-StabMonth)/12))/12,MAX(0,GC$35*12)/EntryCapRate*EffTaxRateOnValue/12)))</f>
        <v/>
      </c>
      <c r="GD36" s="218">
        <f>IF(182&lt;TaxOpStartMonth,0,IF(182&lt;StabMonth,MAX(0,GD$35*12)/EntryCapRate*EffTaxRateOnValue/12,IF(TaxMethodValue&gt;=1,TaxYear1*(1+GrowthTax)^(MAX(0,(182-StabMonth)/12))/12,MAX(0,GD$35*12)/EntryCapRate*EffTaxRateOnValue/12)))</f>
        <v/>
      </c>
      <c r="GE36" s="218">
        <f>IF(183&lt;TaxOpStartMonth,0,IF(183&lt;StabMonth,MAX(0,GE$35*12)/EntryCapRate*EffTaxRateOnValue/12,IF(TaxMethodValue&gt;=1,TaxYear1*(1+GrowthTax)^(MAX(0,(183-StabMonth)/12))/12,MAX(0,GE$35*12)/EntryCapRate*EffTaxRateOnValue/12)))</f>
        <v/>
      </c>
      <c r="GF36" s="218">
        <f>IF(184&lt;TaxOpStartMonth,0,IF(184&lt;StabMonth,MAX(0,GF$35*12)/EntryCapRate*EffTaxRateOnValue/12,IF(TaxMethodValue&gt;=1,TaxYear1*(1+GrowthTax)^(MAX(0,(184-StabMonth)/12))/12,MAX(0,GF$35*12)/EntryCapRate*EffTaxRateOnValue/12)))</f>
        <v/>
      </c>
      <c r="GG36" s="218">
        <f>IF(185&lt;TaxOpStartMonth,0,IF(185&lt;StabMonth,MAX(0,GG$35*12)/EntryCapRate*EffTaxRateOnValue/12,IF(TaxMethodValue&gt;=1,TaxYear1*(1+GrowthTax)^(MAX(0,(185-StabMonth)/12))/12,MAX(0,GG$35*12)/EntryCapRate*EffTaxRateOnValue/12)))</f>
        <v/>
      </c>
      <c r="GH36" s="218">
        <f>IF(186&lt;TaxOpStartMonth,0,IF(186&lt;StabMonth,MAX(0,GH$35*12)/EntryCapRate*EffTaxRateOnValue/12,IF(TaxMethodValue&gt;=1,TaxYear1*(1+GrowthTax)^(MAX(0,(186-StabMonth)/12))/12,MAX(0,GH$35*12)/EntryCapRate*EffTaxRateOnValue/12)))</f>
        <v/>
      </c>
      <c r="GI36" s="218">
        <f>IF(187&lt;TaxOpStartMonth,0,IF(187&lt;StabMonth,MAX(0,GI$35*12)/EntryCapRate*EffTaxRateOnValue/12,IF(TaxMethodValue&gt;=1,TaxYear1*(1+GrowthTax)^(MAX(0,(187-StabMonth)/12))/12,MAX(0,GI$35*12)/EntryCapRate*EffTaxRateOnValue/12)))</f>
        <v/>
      </c>
      <c r="GJ36" s="218">
        <f>IF(188&lt;TaxOpStartMonth,0,IF(188&lt;StabMonth,MAX(0,GJ$35*12)/EntryCapRate*EffTaxRateOnValue/12,IF(TaxMethodValue&gt;=1,TaxYear1*(1+GrowthTax)^(MAX(0,(188-StabMonth)/12))/12,MAX(0,GJ$35*12)/EntryCapRate*EffTaxRateOnValue/12)))</f>
        <v/>
      </c>
      <c r="GK36" s="218">
        <f>IF(189&lt;TaxOpStartMonth,0,IF(189&lt;StabMonth,MAX(0,GK$35*12)/EntryCapRate*EffTaxRateOnValue/12,IF(TaxMethodValue&gt;=1,TaxYear1*(1+GrowthTax)^(MAX(0,(189-StabMonth)/12))/12,MAX(0,GK$35*12)/EntryCapRate*EffTaxRateOnValue/12)))</f>
        <v/>
      </c>
      <c r="GL36" s="218">
        <f>IF(190&lt;TaxOpStartMonth,0,IF(190&lt;StabMonth,MAX(0,GL$35*12)/EntryCapRate*EffTaxRateOnValue/12,IF(TaxMethodValue&gt;=1,TaxYear1*(1+GrowthTax)^(MAX(0,(190-StabMonth)/12))/12,MAX(0,GL$35*12)/EntryCapRate*EffTaxRateOnValue/12)))</f>
        <v/>
      </c>
      <c r="GM36" s="218">
        <f>IF(191&lt;TaxOpStartMonth,0,IF(191&lt;StabMonth,MAX(0,GM$35*12)/EntryCapRate*EffTaxRateOnValue/12,IF(TaxMethodValue&gt;=1,TaxYear1*(1+GrowthTax)^(MAX(0,(191-StabMonth)/12))/12,MAX(0,GM$35*12)/EntryCapRate*EffTaxRateOnValue/12)))</f>
        <v/>
      </c>
      <c r="GN36" s="218">
        <f>IF(192&lt;TaxOpStartMonth,0,IF(192&lt;StabMonth,MAX(0,GN$35*12)/EntryCapRate*EffTaxRateOnValue/12,IF(TaxMethodValue&gt;=1,TaxYear1*(1+GrowthTax)^(MAX(0,(192-StabMonth)/12))/12,MAX(0,GN$35*12)/EntryCapRate*EffTaxRateOnValue/12)))</f>
        <v/>
      </c>
      <c r="GO36" s="218">
        <f>IF(193&lt;TaxOpStartMonth,0,IF(193&lt;StabMonth,MAX(0,GO$35*12)/EntryCapRate*EffTaxRateOnValue/12,IF(TaxMethodValue&gt;=1,TaxYear1*(1+GrowthTax)^(MAX(0,(193-StabMonth)/12))/12,MAX(0,GO$35*12)/EntryCapRate*EffTaxRateOnValue/12)))</f>
        <v/>
      </c>
      <c r="GP36" s="218">
        <f>IF(194&lt;TaxOpStartMonth,0,IF(194&lt;StabMonth,MAX(0,GP$35*12)/EntryCapRate*EffTaxRateOnValue/12,IF(TaxMethodValue&gt;=1,TaxYear1*(1+GrowthTax)^(MAX(0,(194-StabMonth)/12))/12,MAX(0,GP$35*12)/EntryCapRate*EffTaxRateOnValue/12)))</f>
        <v/>
      </c>
      <c r="GQ36" s="218">
        <f>IF(195&lt;TaxOpStartMonth,0,IF(195&lt;StabMonth,MAX(0,GQ$35*12)/EntryCapRate*EffTaxRateOnValue/12,IF(TaxMethodValue&gt;=1,TaxYear1*(1+GrowthTax)^(MAX(0,(195-StabMonth)/12))/12,MAX(0,GQ$35*12)/EntryCapRate*EffTaxRateOnValue/12)))</f>
        <v/>
      </c>
      <c r="GR36" s="218">
        <f>IF(196&lt;TaxOpStartMonth,0,IF(196&lt;StabMonth,MAX(0,GR$35*12)/EntryCapRate*EffTaxRateOnValue/12,IF(TaxMethodValue&gt;=1,TaxYear1*(1+GrowthTax)^(MAX(0,(196-StabMonth)/12))/12,MAX(0,GR$35*12)/EntryCapRate*EffTaxRateOnValue/12)))</f>
        <v/>
      </c>
      <c r="GS36" s="218">
        <f>IF(197&lt;TaxOpStartMonth,0,IF(197&lt;StabMonth,MAX(0,GS$35*12)/EntryCapRate*EffTaxRateOnValue/12,IF(TaxMethodValue&gt;=1,TaxYear1*(1+GrowthTax)^(MAX(0,(197-StabMonth)/12))/12,MAX(0,GS$35*12)/EntryCapRate*EffTaxRateOnValue/12)))</f>
        <v/>
      </c>
      <c r="GT36" s="218">
        <f>IF(198&lt;TaxOpStartMonth,0,IF(198&lt;StabMonth,MAX(0,GT$35*12)/EntryCapRate*EffTaxRateOnValue/12,IF(TaxMethodValue&gt;=1,TaxYear1*(1+GrowthTax)^(MAX(0,(198-StabMonth)/12))/12,MAX(0,GT$35*12)/EntryCapRate*EffTaxRateOnValue/12)))</f>
        <v/>
      </c>
      <c r="GU36" s="218">
        <f>IF(199&lt;TaxOpStartMonth,0,IF(199&lt;StabMonth,MAX(0,GU$35*12)/EntryCapRate*EffTaxRateOnValue/12,IF(TaxMethodValue&gt;=1,TaxYear1*(1+GrowthTax)^(MAX(0,(199-StabMonth)/12))/12,MAX(0,GU$35*12)/EntryCapRate*EffTaxRateOnValue/12)))</f>
        <v/>
      </c>
      <c r="GV36" s="218">
        <f>IF(200&lt;TaxOpStartMonth,0,IF(200&lt;StabMonth,MAX(0,GV$35*12)/EntryCapRate*EffTaxRateOnValue/12,IF(TaxMethodValue&gt;=1,TaxYear1*(1+GrowthTax)^(MAX(0,(200-StabMonth)/12))/12,MAX(0,GV$35*12)/EntryCapRate*EffTaxRateOnValue/12)))</f>
        <v/>
      </c>
      <c r="GW36" s="218">
        <f>IF(201&lt;TaxOpStartMonth,0,IF(201&lt;StabMonth,MAX(0,GW$35*12)/EntryCapRate*EffTaxRateOnValue/12,IF(TaxMethodValue&gt;=1,TaxYear1*(1+GrowthTax)^(MAX(0,(201-StabMonth)/12))/12,MAX(0,GW$35*12)/EntryCapRate*EffTaxRateOnValue/12)))</f>
        <v/>
      </c>
      <c r="GX36" s="218">
        <f>IF(202&lt;TaxOpStartMonth,0,IF(202&lt;StabMonth,MAX(0,GX$35*12)/EntryCapRate*EffTaxRateOnValue/12,IF(TaxMethodValue&gt;=1,TaxYear1*(1+GrowthTax)^(MAX(0,(202-StabMonth)/12))/12,MAX(0,GX$35*12)/EntryCapRate*EffTaxRateOnValue/12)))</f>
        <v/>
      </c>
      <c r="GY36" s="218">
        <f>IF(203&lt;TaxOpStartMonth,0,IF(203&lt;StabMonth,MAX(0,GY$35*12)/EntryCapRate*EffTaxRateOnValue/12,IF(TaxMethodValue&gt;=1,TaxYear1*(1+GrowthTax)^(MAX(0,(203-StabMonth)/12))/12,MAX(0,GY$35*12)/EntryCapRate*EffTaxRateOnValue/12)))</f>
        <v/>
      </c>
      <c r="GZ36" s="218">
        <f>IF(204&lt;TaxOpStartMonth,0,IF(204&lt;StabMonth,MAX(0,GZ$35*12)/EntryCapRate*EffTaxRateOnValue/12,IF(TaxMethodValue&gt;=1,TaxYear1*(1+GrowthTax)^(MAX(0,(204-StabMonth)/12))/12,MAX(0,GZ$35*12)/EntryCapRate*EffTaxRateOnValue/12)))</f>
        <v/>
      </c>
      <c r="HA36" s="218">
        <f>IF(205&lt;TaxOpStartMonth,0,IF(205&lt;StabMonth,MAX(0,HA$35*12)/EntryCapRate*EffTaxRateOnValue/12,IF(TaxMethodValue&gt;=1,TaxYear1*(1+GrowthTax)^(MAX(0,(205-StabMonth)/12))/12,MAX(0,HA$35*12)/EntryCapRate*EffTaxRateOnValue/12)))</f>
        <v/>
      </c>
      <c r="HB36" s="218">
        <f>IF(206&lt;TaxOpStartMonth,0,IF(206&lt;StabMonth,MAX(0,HB$35*12)/EntryCapRate*EffTaxRateOnValue/12,IF(TaxMethodValue&gt;=1,TaxYear1*(1+GrowthTax)^(MAX(0,(206-StabMonth)/12))/12,MAX(0,HB$35*12)/EntryCapRate*EffTaxRateOnValue/12)))</f>
        <v/>
      </c>
      <c r="HC36" s="218">
        <f>IF(207&lt;TaxOpStartMonth,0,IF(207&lt;StabMonth,MAX(0,HC$35*12)/EntryCapRate*EffTaxRateOnValue/12,IF(TaxMethodValue&gt;=1,TaxYear1*(1+GrowthTax)^(MAX(0,(207-StabMonth)/12))/12,MAX(0,HC$35*12)/EntryCapRate*EffTaxRateOnValue/12)))</f>
        <v/>
      </c>
      <c r="HD36" s="218">
        <f>IF(208&lt;TaxOpStartMonth,0,IF(208&lt;StabMonth,MAX(0,HD$35*12)/EntryCapRate*EffTaxRateOnValue/12,IF(TaxMethodValue&gt;=1,TaxYear1*(1+GrowthTax)^(MAX(0,(208-StabMonth)/12))/12,MAX(0,HD$35*12)/EntryCapRate*EffTaxRateOnValue/12)))</f>
        <v/>
      </c>
      <c r="HE36" s="218">
        <f>IF(209&lt;TaxOpStartMonth,0,IF(209&lt;StabMonth,MAX(0,HE$35*12)/EntryCapRate*EffTaxRateOnValue/12,IF(TaxMethodValue&gt;=1,TaxYear1*(1+GrowthTax)^(MAX(0,(209-StabMonth)/12))/12,MAX(0,HE$35*12)/EntryCapRate*EffTaxRateOnValue/12)))</f>
        <v/>
      </c>
      <c r="HF36" s="218">
        <f>IF(210&lt;TaxOpStartMonth,0,IF(210&lt;StabMonth,MAX(0,HF$35*12)/EntryCapRate*EffTaxRateOnValue/12,IF(TaxMethodValue&gt;=1,TaxYear1*(1+GrowthTax)^(MAX(0,(210-StabMonth)/12))/12,MAX(0,HF$35*12)/EntryCapRate*EffTaxRateOnValue/12)))</f>
        <v/>
      </c>
      <c r="HG36" s="218">
        <f>IF(211&lt;TaxOpStartMonth,0,IF(211&lt;StabMonth,MAX(0,HG$35*12)/EntryCapRate*EffTaxRateOnValue/12,IF(TaxMethodValue&gt;=1,TaxYear1*(1+GrowthTax)^(MAX(0,(211-StabMonth)/12))/12,MAX(0,HG$35*12)/EntryCapRate*EffTaxRateOnValue/12)))</f>
        <v/>
      </c>
      <c r="HH36" s="218">
        <f>IF(212&lt;TaxOpStartMonth,0,IF(212&lt;StabMonth,MAX(0,HH$35*12)/EntryCapRate*EffTaxRateOnValue/12,IF(TaxMethodValue&gt;=1,TaxYear1*(1+GrowthTax)^(MAX(0,(212-StabMonth)/12))/12,MAX(0,HH$35*12)/EntryCapRate*EffTaxRateOnValue/12)))</f>
        <v/>
      </c>
      <c r="HI36" s="218">
        <f>IF(213&lt;TaxOpStartMonth,0,IF(213&lt;StabMonth,MAX(0,HI$35*12)/EntryCapRate*EffTaxRateOnValue/12,IF(TaxMethodValue&gt;=1,TaxYear1*(1+GrowthTax)^(MAX(0,(213-StabMonth)/12))/12,MAX(0,HI$35*12)/EntryCapRate*EffTaxRateOnValue/12)))</f>
        <v/>
      </c>
      <c r="HJ36" s="218">
        <f>IF(214&lt;TaxOpStartMonth,0,IF(214&lt;StabMonth,MAX(0,HJ$35*12)/EntryCapRate*EffTaxRateOnValue/12,IF(TaxMethodValue&gt;=1,TaxYear1*(1+GrowthTax)^(MAX(0,(214-StabMonth)/12))/12,MAX(0,HJ$35*12)/EntryCapRate*EffTaxRateOnValue/12)))</f>
        <v/>
      </c>
      <c r="HK36" s="218">
        <f>IF(215&lt;TaxOpStartMonth,0,IF(215&lt;StabMonth,MAX(0,HK$35*12)/EntryCapRate*EffTaxRateOnValue/12,IF(TaxMethodValue&gt;=1,TaxYear1*(1+GrowthTax)^(MAX(0,(215-StabMonth)/12))/12,MAX(0,HK$35*12)/EntryCapRate*EffTaxRateOnValue/12)))</f>
        <v/>
      </c>
      <c r="HL36" s="218">
        <f>IF(216&lt;TaxOpStartMonth,0,IF(216&lt;StabMonth,MAX(0,HL$35*12)/EntryCapRate*EffTaxRateOnValue/12,IF(TaxMethodValue&gt;=1,TaxYear1*(1+GrowthTax)^(MAX(0,(216-StabMonth)/12))/12,MAX(0,HL$35*12)/EntryCapRate*EffTaxRateOnValue/12)))</f>
        <v/>
      </c>
      <c r="HM36" s="218">
        <f>IF(217&lt;TaxOpStartMonth,0,IF(217&lt;StabMonth,MAX(0,HM$35*12)/EntryCapRate*EffTaxRateOnValue/12,IF(TaxMethodValue&gt;=1,TaxYear1*(1+GrowthTax)^(MAX(0,(217-StabMonth)/12))/12,MAX(0,HM$35*12)/EntryCapRate*EffTaxRateOnValue/12)))</f>
        <v/>
      </c>
      <c r="HN36" s="218">
        <f>IF(218&lt;TaxOpStartMonth,0,IF(218&lt;StabMonth,MAX(0,HN$35*12)/EntryCapRate*EffTaxRateOnValue/12,IF(TaxMethodValue&gt;=1,TaxYear1*(1+GrowthTax)^(MAX(0,(218-StabMonth)/12))/12,MAX(0,HN$35*12)/EntryCapRate*EffTaxRateOnValue/12)))</f>
        <v/>
      </c>
      <c r="HO36" s="218">
        <f>IF(219&lt;TaxOpStartMonth,0,IF(219&lt;StabMonth,MAX(0,HO$35*12)/EntryCapRate*EffTaxRateOnValue/12,IF(TaxMethodValue&gt;=1,TaxYear1*(1+GrowthTax)^(MAX(0,(219-StabMonth)/12))/12,MAX(0,HO$35*12)/EntryCapRate*EffTaxRateOnValue/12)))</f>
        <v/>
      </c>
      <c r="HP36" s="218">
        <f>IF(220&lt;TaxOpStartMonth,0,IF(220&lt;StabMonth,MAX(0,HP$35*12)/EntryCapRate*EffTaxRateOnValue/12,IF(TaxMethodValue&gt;=1,TaxYear1*(1+GrowthTax)^(MAX(0,(220-StabMonth)/12))/12,MAX(0,HP$35*12)/EntryCapRate*EffTaxRateOnValue/12)))</f>
        <v/>
      </c>
      <c r="HQ36" s="218">
        <f>IF(221&lt;TaxOpStartMonth,0,IF(221&lt;StabMonth,MAX(0,HQ$35*12)/EntryCapRate*EffTaxRateOnValue/12,IF(TaxMethodValue&gt;=1,TaxYear1*(1+GrowthTax)^(MAX(0,(221-StabMonth)/12))/12,MAX(0,HQ$35*12)/EntryCapRate*EffTaxRateOnValue/12)))</f>
        <v/>
      </c>
      <c r="HR36" s="218">
        <f>IF(222&lt;TaxOpStartMonth,0,IF(222&lt;StabMonth,MAX(0,HR$35*12)/EntryCapRate*EffTaxRateOnValue/12,IF(TaxMethodValue&gt;=1,TaxYear1*(1+GrowthTax)^(MAX(0,(222-StabMonth)/12))/12,MAX(0,HR$35*12)/EntryCapRate*EffTaxRateOnValue/12)))</f>
        <v/>
      </c>
      <c r="HS36" s="218">
        <f>IF(223&lt;TaxOpStartMonth,0,IF(223&lt;StabMonth,MAX(0,HS$35*12)/EntryCapRate*EffTaxRateOnValue/12,IF(TaxMethodValue&gt;=1,TaxYear1*(1+GrowthTax)^(MAX(0,(223-StabMonth)/12))/12,MAX(0,HS$35*12)/EntryCapRate*EffTaxRateOnValue/12)))</f>
        <v/>
      </c>
      <c r="HT36" s="218">
        <f>IF(224&lt;TaxOpStartMonth,0,IF(224&lt;StabMonth,MAX(0,HT$35*12)/EntryCapRate*EffTaxRateOnValue/12,IF(TaxMethodValue&gt;=1,TaxYear1*(1+GrowthTax)^(MAX(0,(224-StabMonth)/12))/12,MAX(0,HT$35*12)/EntryCapRate*EffTaxRateOnValue/12)))</f>
        <v/>
      </c>
      <c r="HU36" s="218">
        <f>IF(225&lt;TaxOpStartMonth,0,IF(225&lt;StabMonth,MAX(0,HU$35*12)/EntryCapRate*EffTaxRateOnValue/12,IF(TaxMethodValue&gt;=1,TaxYear1*(1+GrowthTax)^(MAX(0,(225-StabMonth)/12))/12,MAX(0,HU$35*12)/EntryCapRate*EffTaxRateOnValue/12)))</f>
        <v/>
      </c>
      <c r="HV36" s="218">
        <f>IF(226&lt;TaxOpStartMonth,0,IF(226&lt;StabMonth,MAX(0,HV$35*12)/EntryCapRate*EffTaxRateOnValue/12,IF(TaxMethodValue&gt;=1,TaxYear1*(1+GrowthTax)^(MAX(0,(226-StabMonth)/12))/12,MAX(0,HV$35*12)/EntryCapRate*EffTaxRateOnValue/12)))</f>
        <v/>
      </c>
      <c r="HW36" s="218">
        <f>IF(227&lt;TaxOpStartMonth,0,IF(227&lt;StabMonth,MAX(0,HW$35*12)/EntryCapRate*EffTaxRateOnValue/12,IF(TaxMethodValue&gt;=1,TaxYear1*(1+GrowthTax)^(MAX(0,(227-StabMonth)/12))/12,MAX(0,HW$35*12)/EntryCapRate*EffTaxRateOnValue/12)))</f>
        <v/>
      </c>
      <c r="HX36" s="218">
        <f>IF(228&lt;TaxOpStartMonth,0,IF(228&lt;StabMonth,MAX(0,HX$35*12)/EntryCapRate*EffTaxRateOnValue/12,IF(TaxMethodValue&gt;=1,TaxYear1*(1+GrowthTax)^(MAX(0,(228-StabMonth)/12))/12,MAX(0,HX$35*12)/EntryCapRate*EffTaxRateOnValue/12)))</f>
        <v/>
      </c>
      <c r="HY36" s="218">
        <f>IF(229&lt;TaxOpStartMonth,0,IF(229&lt;StabMonth,MAX(0,HY$35*12)/EntryCapRate*EffTaxRateOnValue/12,IF(TaxMethodValue&gt;=1,TaxYear1*(1+GrowthTax)^(MAX(0,(229-StabMonth)/12))/12,MAX(0,HY$35*12)/EntryCapRate*EffTaxRateOnValue/12)))</f>
        <v/>
      </c>
      <c r="HZ36" s="218">
        <f>IF(230&lt;TaxOpStartMonth,0,IF(230&lt;StabMonth,MAX(0,HZ$35*12)/EntryCapRate*EffTaxRateOnValue/12,IF(TaxMethodValue&gt;=1,TaxYear1*(1+GrowthTax)^(MAX(0,(230-StabMonth)/12))/12,MAX(0,HZ$35*12)/EntryCapRate*EffTaxRateOnValue/12)))</f>
        <v/>
      </c>
      <c r="IA36" s="218">
        <f>IF(231&lt;TaxOpStartMonth,0,IF(231&lt;StabMonth,MAX(0,IA$35*12)/EntryCapRate*EffTaxRateOnValue/12,IF(TaxMethodValue&gt;=1,TaxYear1*(1+GrowthTax)^(MAX(0,(231-StabMonth)/12))/12,MAX(0,IA$35*12)/EntryCapRate*EffTaxRateOnValue/12)))</f>
        <v/>
      </c>
      <c r="IB36" s="218">
        <f>IF(232&lt;TaxOpStartMonth,0,IF(232&lt;StabMonth,MAX(0,IB$35*12)/EntryCapRate*EffTaxRateOnValue/12,IF(TaxMethodValue&gt;=1,TaxYear1*(1+GrowthTax)^(MAX(0,(232-StabMonth)/12))/12,MAX(0,IB$35*12)/EntryCapRate*EffTaxRateOnValue/12)))</f>
        <v/>
      </c>
      <c r="IC36" s="218">
        <f>IF(233&lt;TaxOpStartMonth,0,IF(233&lt;StabMonth,MAX(0,IC$35*12)/EntryCapRate*EffTaxRateOnValue/12,IF(TaxMethodValue&gt;=1,TaxYear1*(1+GrowthTax)^(MAX(0,(233-StabMonth)/12))/12,MAX(0,IC$35*12)/EntryCapRate*EffTaxRateOnValue/12)))</f>
        <v/>
      </c>
      <c r="ID36" s="218">
        <f>IF(234&lt;TaxOpStartMonth,0,IF(234&lt;StabMonth,MAX(0,ID$35*12)/EntryCapRate*EffTaxRateOnValue/12,IF(TaxMethodValue&gt;=1,TaxYear1*(1+GrowthTax)^(MAX(0,(234-StabMonth)/12))/12,MAX(0,ID$35*12)/EntryCapRate*EffTaxRateOnValue/12)))</f>
        <v/>
      </c>
      <c r="IE36" s="218">
        <f>IF(235&lt;TaxOpStartMonth,0,IF(235&lt;StabMonth,MAX(0,IE$35*12)/EntryCapRate*EffTaxRateOnValue/12,IF(TaxMethodValue&gt;=1,TaxYear1*(1+GrowthTax)^(MAX(0,(235-StabMonth)/12))/12,MAX(0,IE$35*12)/EntryCapRate*EffTaxRateOnValue/12)))</f>
        <v/>
      </c>
      <c r="IF36" s="218">
        <f>IF(236&lt;TaxOpStartMonth,0,IF(236&lt;StabMonth,MAX(0,IF$35*12)/EntryCapRate*EffTaxRateOnValue/12,IF(TaxMethodValue&gt;=1,TaxYear1*(1+GrowthTax)^(MAX(0,(236-StabMonth)/12))/12,MAX(0,IF$35*12)/EntryCapRate*EffTaxRateOnValue/12)))</f>
        <v/>
      </c>
      <c r="IG36" s="218">
        <f>IF(237&lt;TaxOpStartMonth,0,IF(237&lt;StabMonth,MAX(0,IG$35*12)/EntryCapRate*EffTaxRateOnValue/12,IF(TaxMethodValue&gt;=1,TaxYear1*(1+GrowthTax)^(MAX(0,(237-StabMonth)/12))/12,MAX(0,IG$35*12)/EntryCapRate*EffTaxRateOnValue/12)))</f>
        <v/>
      </c>
      <c r="IH36" s="218">
        <f>IF(238&lt;TaxOpStartMonth,0,IF(238&lt;StabMonth,MAX(0,IH$35*12)/EntryCapRate*EffTaxRateOnValue/12,IF(TaxMethodValue&gt;=1,TaxYear1*(1+GrowthTax)^(MAX(0,(238-StabMonth)/12))/12,MAX(0,IH$35*12)/EntryCapRate*EffTaxRateOnValue/12)))</f>
        <v/>
      </c>
      <c r="II36" s="218">
        <f>IF(239&lt;TaxOpStartMonth,0,IF(239&lt;StabMonth,MAX(0,II$35*12)/EntryCapRate*EffTaxRateOnValue/12,IF(TaxMethodValue&gt;=1,TaxYear1*(1+GrowthTax)^(MAX(0,(239-StabMonth)/12))/12,MAX(0,II$35*12)/EntryCapRate*EffTaxRateOnValue/12)))</f>
        <v/>
      </c>
      <c r="IJ36" s="218">
        <f>IF(240&lt;TaxOpStartMonth,0,IF(240&lt;StabMonth,MAX(0,IJ$35*12)/EntryCapRate*EffTaxRateOnValue/12,IF(TaxMethodValue&gt;=1,TaxYear1*(1+GrowthTax)^(MAX(0,(240-StabMonth)/12))/12,MAX(0,IJ$35*12)/EntryCapRate*EffTaxRateOnValue/12)))</f>
        <v/>
      </c>
      <c r="IK36" s="218">
        <f>IF(241&lt;TaxOpStartMonth,0,IF(241&lt;StabMonth,MAX(0,IK$35*12)/EntryCapRate*EffTaxRateOnValue/12,IF(TaxMethodValue&gt;=1,TaxYear1*(1+GrowthTax)^(MAX(0,(241-StabMonth)/12))/12,MAX(0,IK$35*12)/EntryCapRate*EffTaxRateOnValue/12)))</f>
        <v/>
      </c>
      <c r="IL36" s="218">
        <f>IF(242&lt;TaxOpStartMonth,0,IF(242&lt;StabMonth,MAX(0,IL$35*12)/EntryCapRate*EffTaxRateOnValue/12,IF(TaxMethodValue&gt;=1,TaxYear1*(1+GrowthTax)^(MAX(0,(242-StabMonth)/12))/12,MAX(0,IL$35*12)/EntryCapRate*EffTaxRateOnValue/12)))</f>
        <v/>
      </c>
      <c r="IM36" s="218">
        <f>IF(243&lt;TaxOpStartMonth,0,IF(243&lt;StabMonth,MAX(0,IM$35*12)/EntryCapRate*EffTaxRateOnValue/12,IF(TaxMethodValue&gt;=1,TaxYear1*(1+GrowthTax)^(MAX(0,(243-StabMonth)/12))/12,MAX(0,IM$35*12)/EntryCapRate*EffTaxRateOnValue/12)))</f>
        <v/>
      </c>
      <c r="IN36" s="218">
        <f>IF(244&lt;TaxOpStartMonth,0,IF(244&lt;StabMonth,MAX(0,IN$35*12)/EntryCapRate*EffTaxRateOnValue/12,IF(TaxMethodValue&gt;=1,TaxYear1*(1+GrowthTax)^(MAX(0,(244-StabMonth)/12))/12,MAX(0,IN$35*12)/EntryCapRate*EffTaxRateOnValue/12)))</f>
        <v/>
      </c>
      <c r="IO36" s="218">
        <f>IF(245&lt;TaxOpStartMonth,0,IF(245&lt;StabMonth,MAX(0,IO$35*12)/EntryCapRate*EffTaxRateOnValue/12,IF(TaxMethodValue&gt;=1,TaxYear1*(1+GrowthTax)^(MAX(0,(245-StabMonth)/12))/12,MAX(0,IO$35*12)/EntryCapRate*EffTaxRateOnValue/12)))</f>
        <v/>
      </c>
      <c r="IP36" s="218">
        <f>IF(246&lt;TaxOpStartMonth,0,IF(246&lt;StabMonth,MAX(0,IP$35*12)/EntryCapRate*EffTaxRateOnValue/12,IF(TaxMethodValue&gt;=1,TaxYear1*(1+GrowthTax)^(MAX(0,(246-StabMonth)/12))/12,MAX(0,IP$35*12)/EntryCapRate*EffTaxRateOnValue/12)))</f>
        <v/>
      </c>
      <c r="IQ36" s="218">
        <f>IF(247&lt;TaxOpStartMonth,0,IF(247&lt;StabMonth,MAX(0,IQ$35*12)/EntryCapRate*EffTaxRateOnValue/12,IF(TaxMethodValue&gt;=1,TaxYear1*(1+GrowthTax)^(MAX(0,(247-StabMonth)/12))/12,MAX(0,IQ$35*12)/EntryCapRate*EffTaxRateOnValue/12)))</f>
        <v/>
      </c>
      <c r="IR36" s="218">
        <f>IF(248&lt;TaxOpStartMonth,0,IF(248&lt;StabMonth,MAX(0,IR$35*12)/EntryCapRate*EffTaxRateOnValue/12,IF(TaxMethodValue&gt;=1,TaxYear1*(1+GrowthTax)^(MAX(0,(248-StabMonth)/12))/12,MAX(0,IR$35*12)/EntryCapRate*EffTaxRateOnValue/12)))</f>
        <v/>
      </c>
      <c r="IS36" s="218">
        <f>IF(249&lt;TaxOpStartMonth,0,IF(249&lt;StabMonth,MAX(0,IS$35*12)/EntryCapRate*EffTaxRateOnValue/12,IF(TaxMethodValue&gt;=1,TaxYear1*(1+GrowthTax)^(MAX(0,(249-StabMonth)/12))/12,MAX(0,IS$35*12)/EntryCapRate*EffTaxRateOnValue/12)))</f>
        <v/>
      </c>
      <c r="IT36" s="218">
        <f>IF(250&lt;TaxOpStartMonth,0,IF(250&lt;StabMonth,MAX(0,IT$35*12)/EntryCapRate*EffTaxRateOnValue/12,IF(TaxMethodValue&gt;=1,TaxYear1*(1+GrowthTax)^(MAX(0,(250-StabMonth)/12))/12,MAX(0,IT$35*12)/EntryCapRate*EffTaxRateOnValue/12)))</f>
        <v/>
      </c>
      <c r="IU36" s="218">
        <f>IF(251&lt;TaxOpStartMonth,0,IF(251&lt;StabMonth,MAX(0,IU$35*12)/EntryCapRate*EffTaxRateOnValue/12,IF(TaxMethodValue&gt;=1,TaxYear1*(1+GrowthTax)^(MAX(0,(251-StabMonth)/12))/12,MAX(0,IU$35*12)/EntryCapRate*EffTaxRateOnValue/12)))</f>
        <v/>
      </c>
      <c r="IV36" s="218">
        <f>IF(252&lt;TaxOpStartMonth,0,IF(252&lt;StabMonth,MAX(0,IV$35*12)/EntryCapRate*EffTaxRateOnValue/12,IF(TaxMethodValue&gt;=1,TaxYear1*(1+GrowthTax)^(MAX(0,(252-StabMonth)/12))/12,MAX(0,IV$35*12)/EntryCapRate*EffTaxRateOnValue/12)))</f>
        <v/>
      </c>
      <c r="IW36" s="218">
        <f>IF(253&lt;TaxOpStartMonth,0,IF(253&lt;StabMonth,MAX(0,IW$35*12)/EntryCapRate*EffTaxRateOnValue/12,IF(TaxMethodValue&gt;=1,TaxYear1*(1+GrowthTax)^(MAX(0,(253-StabMonth)/12))/12,MAX(0,IW$35*12)/EntryCapRate*EffTaxRateOnValue/12)))</f>
        <v/>
      </c>
      <c r="IX36" s="218">
        <f>IF(254&lt;TaxOpStartMonth,0,IF(254&lt;StabMonth,MAX(0,IX$35*12)/EntryCapRate*EffTaxRateOnValue/12,IF(TaxMethodValue&gt;=1,TaxYear1*(1+GrowthTax)^(MAX(0,(254-StabMonth)/12))/12,MAX(0,IX$35*12)/EntryCapRate*EffTaxRateOnValue/12)))</f>
        <v/>
      </c>
      <c r="IY36" s="218">
        <f>IF(255&lt;TaxOpStartMonth,0,IF(255&lt;StabMonth,MAX(0,IY$35*12)/EntryCapRate*EffTaxRateOnValue/12,IF(TaxMethodValue&gt;=1,TaxYear1*(1+GrowthTax)^(MAX(0,(255-StabMonth)/12))/12,MAX(0,IY$35*12)/EntryCapRate*EffTaxRateOnValue/12)))</f>
        <v/>
      </c>
      <c r="IZ36" s="218">
        <f>IF(256&lt;TaxOpStartMonth,0,IF(256&lt;StabMonth,MAX(0,IZ$35*12)/EntryCapRate*EffTaxRateOnValue/12,IF(TaxMethodValue&gt;=1,TaxYear1*(1+GrowthTax)^(MAX(0,(256-StabMonth)/12))/12,MAX(0,IZ$35*12)/EntryCapRate*EffTaxRateOnValue/12)))</f>
        <v/>
      </c>
      <c r="JA36" s="218">
        <f>IF(257&lt;TaxOpStartMonth,0,IF(257&lt;StabMonth,MAX(0,JA$35*12)/EntryCapRate*EffTaxRateOnValue/12,IF(TaxMethodValue&gt;=1,TaxYear1*(1+GrowthTax)^(MAX(0,(257-StabMonth)/12))/12,MAX(0,JA$35*12)/EntryCapRate*EffTaxRateOnValue/12)))</f>
        <v/>
      </c>
      <c r="JB36" s="218">
        <f>IF(258&lt;TaxOpStartMonth,0,IF(258&lt;StabMonth,MAX(0,JB$35*12)/EntryCapRate*EffTaxRateOnValue/12,IF(TaxMethodValue&gt;=1,TaxYear1*(1+GrowthTax)^(MAX(0,(258-StabMonth)/12))/12,MAX(0,JB$35*12)/EntryCapRate*EffTaxRateOnValue/12)))</f>
        <v/>
      </c>
      <c r="JC36" s="218">
        <f>IF(259&lt;TaxOpStartMonth,0,IF(259&lt;StabMonth,MAX(0,JC$35*12)/EntryCapRate*EffTaxRateOnValue/12,IF(TaxMethodValue&gt;=1,TaxYear1*(1+GrowthTax)^(MAX(0,(259-StabMonth)/12))/12,MAX(0,JC$35*12)/EntryCapRate*EffTaxRateOnValue/12)))</f>
        <v/>
      </c>
      <c r="JD36" s="218">
        <f>IF(260&lt;TaxOpStartMonth,0,IF(260&lt;StabMonth,MAX(0,JD$35*12)/EntryCapRate*EffTaxRateOnValue/12,IF(TaxMethodValue&gt;=1,TaxYear1*(1+GrowthTax)^(MAX(0,(260-StabMonth)/12))/12,MAX(0,JD$35*12)/EntryCapRate*EffTaxRateOnValue/12)))</f>
        <v/>
      </c>
      <c r="JE36" s="218">
        <f>IF(261&lt;TaxOpStartMonth,0,IF(261&lt;StabMonth,MAX(0,JE$35*12)/EntryCapRate*EffTaxRateOnValue/12,IF(TaxMethodValue&gt;=1,TaxYear1*(1+GrowthTax)^(MAX(0,(261-StabMonth)/12))/12,MAX(0,JE$35*12)/EntryCapRate*EffTaxRateOnValue/12)))</f>
        <v/>
      </c>
      <c r="JF36" s="218">
        <f>IF(262&lt;TaxOpStartMonth,0,IF(262&lt;StabMonth,MAX(0,JF$35*12)/EntryCapRate*EffTaxRateOnValue/12,IF(TaxMethodValue&gt;=1,TaxYear1*(1+GrowthTax)^(MAX(0,(262-StabMonth)/12))/12,MAX(0,JF$35*12)/EntryCapRate*EffTaxRateOnValue/12)))</f>
        <v/>
      </c>
      <c r="JG36" s="218">
        <f>IF(263&lt;TaxOpStartMonth,0,IF(263&lt;StabMonth,MAX(0,JG$35*12)/EntryCapRate*EffTaxRateOnValue/12,IF(TaxMethodValue&gt;=1,TaxYear1*(1+GrowthTax)^(MAX(0,(263-StabMonth)/12))/12,MAX(0,JG$35*12)/EntryCapRate*EffTaxRateOnValue/12)))</f>
        <v/>
      </c>
      <c r="JH36" s="218">
        <f>IF(264&lt;TaxOpStartMonth,0,IF(264&lt;StabMonth,MAX(0,JH$35*12)/EntryCapRate*EffTaxRateOnValue/12,IF(TaxMethodValue&gt;=1,TaxYear1*(1+GrowthTax)^(MAX(0,(264-StabMonth)/12))/12,MAX(0,JH$35*12)/EntryCapRate*EffTaxRateOnValue/12)))</f>
        <v/>
      </c>
      <c r="JI36" s="218">
        <f>IF(265&lt;TaxOpStartMonth,0,IF(265&lt;StabMonth,MAX(0,JI$35*12)/EntryCapRate*EffTaxRateOnValue/12,IF(TaxMethodValue&gt;=1,TaxYear1*(1+GrowthTax)^(MAX(0,(265-StabMonth)/12))/12,MAX(0,JI$35*12)/EntryCapRate*EffTaxRateOnValue/12)))</f>
        <v/>
      </c>
      <c r="JJ36" s="218">
        <f>IF(266&lt;TaxOpStartMonth,0,IF(266&lt;StabMonth,MAX(0,JJ$35*12)/EntryCapRate*EffTaxRateOnValue/12,IF(TaxMethodValue&gt;=1,TaxYear1*(1+GrowthTax)^(MAX(0,(266-StabMonth)/12))/12,MAX(0,JJ$35*12)/EntryCapRate*EffTaxRateOnValue/12)))</f>
        <v/>
      </c>
      <c r="JK36" s="218">
        <f>IF(267&lt;TaxOpStartMonth,0,IF(267&lt;StabMonth,MAX(0,JK$35*12)/EntryCapRate*EffTaxRateOnValue/12,IF(TaxMethodValue&gt;=1,TaxYear1*(1+GrowthTax)^(MAX(0,(267-StabMonth)/12))/12,MAX(0,JK$35*12)/EntryCapRate*EffTaxRateOnValue/12)))</f>
        <v/>
      </c>
      <c r="JL36" s="218">
        <f>IF(268&lt;TaxOpStartMonth,0,IF(268&lt;StabMonth,MAX(0,JL$35*12)/EntryCapRate*EffTaxRateOnValue/12,IF(TaxMethodValue&gt;=1,TaxYear1*(1+GrowthTax)^(MAX(0,(268-StabMonth)/12))/12,MAX(0,JL$35*12)/EntryCapRate*EffTaxRateOnValue/12)))</f>
        <v/>
      </c>
      <c r="JM36" s="218">
        <f>IF(269&lt;TaxOpStartMonth,0,IF(269&lt;StabMonth,MAX(0,JM$35*12)/EntryCapRate*EffTaxRateOnValue/12,IF(TaxMethodValue&gt;=1,TaxYear1*(1+GrowthTax)^(MAX(0,(269-StabMonth)/12))/12,MAX(0,JM$35*12)/EntryCapRate*EffTaxRateOnValue/12)))</f>
        <v/>
      </c>
      <c r="JN36" s="218">
        <f>IF(270&lt;TaxOpStartMonth,0,IF(270&lt;StabMonth,MAX(0,JN$35*12)/EntryCapRate*EffTaxRateOnValue/12,IF(TaxMethodValue&gt;=1,TaxYear1*(1+GrowthTax)^(MAX(0,(270-StabMonth)/12))/12,MAX(0,JN$35*12)/EntryCapRate*EffTaxRateOnValue/12)))</f>
        <v/>
      </c>
      <c r="JO36" s="218">
        <f>IF(271&lt;TaxOpStartMonth,0,IF(271&lt;StabMonth,MAX(0,JO$35*12)/EntryCapRate*EffTaxRateOnValue/12,IF(TaxMethodValue&gt;=1,TaxYear1*(1+GrowthTax)^(MAX(0,(271-StabMonth)/12))/12,MAX(0,JO$35*12)/EntryCapRate*EffTaxRateOnValue/12)))</f>
        <v/>
      </c>
      <c r="JP36" s="218">
        <f>IF(272&lt;TaxOpStartMonth,0,IF(272&lt;StabMonth,MAX(0,JP$35*12)/EntryCapRate*EffTaxRateOnValue/12,IF(TaxMethodValue&gt;=1,TaxYear1*(1+GrowthTax)^(MAX(0,(272-StabMonth)/12))/12,MAX(0,JP$35*12)/EntryCapRate*EffTaxRateOnValue/12)))</f>
        <v/>
      </c>
      <c r="JQ36" s="218">
        <f>IF(273&lt;TaxOpStartMonth,0,IF(273&lt;StabMonth,MAX(0,JQ$35*12)/EntryCapRate*EffTaxRateOnValue/12,IF(TaxMethodValue&gt;=1,TaxYear1*(1+GrowthTax)^(MAX(0,(273-StabMonth)/12))/12,MAX(0,JQ$35*12)/EntryCapRate*EffTaxRateOnValue/12)))</f>
        <v/>
      </c>
      <c r="JR36" s="218">
        <f>IF(274&lt;TaxOpStartMonth,0,IF(274&lt;StabMonth,MAX(0,JR$35*12)/EntryCapRate*EffTaxRateOnValue/12,IF(TaxMethodValue&gt;=1,TaxYear1*(1+GrowthTax)^(MAX(0,(274-StabMonth)/12))/12,MAX(0,JR$35*12)/EntryCapRate*EffTaxRateOnValue/12)))</f>
        <v/>
      </c>
      <c r="JS36" s="218">
        <f>IF(275&lt;TaxOpStartMonth,0,IF(275&lt;StabMonth,MAX(0,JS$35*12)/EntryCapRate*EffTaxRateOnValue/12,IF(TaxMethodValue&gt;=1,TaxYear1*(1+GrowthTax)^(MAX(0,(275-StabMonth)/12))/12,MAX(0,JS$35*12)/EntryCapRate*EffTaxRateOnValue/12)))</f>
        <v/>
      </c>
      <c r="JT36" s="218">
        <f>IF(276&lt;TaxOpStartMonth,0,IF(276&lt;StabMonth,MAX(0,JT$35*12)/EntryCapRate*EffTaxRateOnValue/12,IF(TaxMethodValue&gt;=1,TaxYear1*(1+GrowthTax)^(MAX(0,(276-StabMonth)/12))/12,MAX(0,JT$35*12)/EntryCapRate*EffTaxRateOnValue/12)))</f>
        <v/>
      </c>
      <c r="JU36" s="218">
        <f>IF(277&lt;TaxOpStartMonth,0,IF(277&lt;StabMonth,MAX(0,JU$35*12)/EntryCapRate*EffTaxRateOnValue/12,IF(TaxMethodValue&gt;=1,TaxYear1*(1+GrowthTax)^(MAX(0,(277-StabMonth)/12))/12,MAX(0,JU$35*12)/EntryCapRate*EffTaxRateOnValue/12)))</f>
        <v/>
      </c>
      <c r="JV36" s="218">
        <f>IF(278&lt;TaxOpStartMonth,0,IF(278&lt;StabMonth,MAX(0,JV$35*12)/EntryCapRate*EffTaxRateOnValue/12,IF(TaxMethodValue&gt;=1,TaxYear1*(1+GrowthTax)^(MAX(0,(278-StabMonth)/12))/12,MAX(0,JV$35*12)/EntryCapRate*EffTaxRateOnValue/12)))</f>
        <v/>
      </c>
      <c r="JW36" s="218">
        <f>IF(279&lt;TaxOpStartMonth,0,IF(279&lt;StabMonth,MAX(0,JW$35*12)/EntryCapRate*EffTaxRateOnValue/12,IF(TaxMethodValue&gt;=1,TaxYear1*(1+GrowthTax)^(MAX(0,(279-StabMonth)/12))/12,MAX(0,JW$35*12)/EntryCapRate*EffTaxRateOnValue/12)))</f>
        <v/>
      </c>
      <c r="JX36" s="218">
        <f>IF(280&lt;TaxOpStartMonth,0,IF(280&lt;StabMonth,MAX(0,JX$35*12)/EntryCapRate*EffTaxRateOnValue/12,IF(TaxMethodValue&gt;=1,TaxYear1*(1+GrowthTax)^(MAX(0,(280-StabMonth)/12))/12,MAX(0,JX$35*12)/EntryCapRate*EffTaxRateOnValue/12)))</f>
        <v/>
      </c>
      <c r="JY36" s="218">
        <f>IF(281&lt;TaxOpStartMonth,0,IF(281&lt;StabMonth,MAX(0,JY$35*12)/EntryCapRate*EffTaxRateOnValue/12,IF(TaxMethodValue&gt;=1,TaxYear1*(1+GrowthTax)^(MAX(0,(281-StabMonth)/12))/12,MAX(0,JY$35*12)/EntryCapRate*EffTaxRateOnValue/12)))</f>
        <v/>
      </c>
      <c r="JZ36" s="218">
        <f>IF(282&lt;TaxOpStartMonth,0,IF(282&lt;StabMonth,MAX(0,JZ$35*12)/EntryCapRate*EffTaxRateOnValue/12,IF(TaxMethodValue&gt;=1,TaxYear1*(1+GrowthTax)^(MAX(0,(282-StabMonth)/12))/12,MAX(0,JZ$35*12)/EntryCapRate*EffTaxRateOnValue/12)))</f>
        <v/>
      </c>
      <c r="KA36" s="218">
        <f>IF(283&lt;TaxOpStartMonth,0,IF(283&lt;StabMonth,MAX(0,KA$35*12)/EntryCapRate*EffTaxRateOnValue/12,IF(TaxMethodValue&gt;=1,TaxYear1*(1+GrowthTax)^(MAX(0,(283-StabMonth)/12))/12,MAX(0,KA$35*12)/EntryCapRate*EffTaxRateOnValue/12)))</f>
        <v/>
      </c>
      <c r="KB36" s="218">
        <f>IF(284&lt;TaxOpStartMonth,0,IF(284&lt;StabMonth,MAX(0,KB$35*12)/EntryCapRate*EffTaxRateOnValue/12,IF(TaxMethodValue&gt;=1,TaxYear1*(1+GrowthTax)^(MAX(0,(284-StabMonth)/12))/12,MAX(0,KB$35*12)/EntryCapRate*EffTaxRateOnValue/12)))</f>
        <v/>
      </c>
      <c r="KC36" s="218">
        <f>IF(285&lt;TaxOpStartMonth,0,IF(285&lt;StabMonth,MAX(0,KC$35*12)/EntryCapRate*EffTaxRateOnValue/12,IF(TaxMethodValue&gt;=1,TaxYear1*(1+GrowthTax)^(MAX(0,(285-StabMonth)/12))/12,MAX(0,KC$35*12)/EntryCapRate*EffTaxRateOnValue/12)))</f>
        <v/>
      </c>
      <c r="KD36" s="218">
        <f>IF(286&lt;TaxOpStartMonth,0,IF(286&lt;StabMonth,MAX(0,KD$35*12)/EntryCapRate*EffTaxRateOnValue/12,IF(TaxMethodValue&gt;=1,TaxYear1*(1+GrowthTax)^(MAX(0,(286-StabMonth)/12))/12,MAX(0,KD$35*12)/EntryCapRate*EffTaxRateOnValue/12)))</f>
        <v/>
      </c>
      <c r="KE36" s="218">
        <f>IF(287&lt;TaxOpStartMonth,0,IF(287&lt;StabMonth,MAX(0,KE$35*12)/EntryCapRate*EffTaxRateOnValue/12,IF(TaxMethodValue&gt;=1,TaxYear1*(1+GrowthTax)^(MAX(0,(287-StabMonth)/12))/12,MAX(0,KE$35*12)/EntryCapRate*EffTaxRateOnValue/12)))</f>
        <v/>
      </c>
      <c r="KF36" s="218">
        <f>IF(288&lt;TaxOpStartMonth,0,IF(288&lt;StabMonth,MAX(0,KF$35*12)/EntryCapRate*EffTaxRateOnValue/12,IF(TaxMethodValue&gt;=1,TaxYear1*(1+GrowthTax)^(MAX(0,(288-StabMonth)/12))/12,MAX(0,KF$35*12)/EntryCapRate*EffTaxRateOnValue/12)))</f>
        <v/>
      </c>
      <c r="KG36" s="218">
        <f>IF(289&lt;TaxOpStartMonth,0,IF(289&lt;StabMonth,MAX(0,KG$35*12)/EntryCapRate*EffTaxRateOnValue/12,IF(TaxMethodValue&gt;=1,TaxYear1*(1+GrowthTax)^(MAX(0,(289-StabMonth)/12))/12,MAX(0,KG$35*12)/EntryCapRate*EffTaxRateOnValue/12)))</f>
        <v/>
      </c>
      <c r="KH36" s="218">
        <f>IF(290&lt;TaxOpStartMonth,0,IF(290&lt;StabMonth,MAX(0,KH$35*12)/EntryCapRate*EffTaxRateOnValue/12,IF(TaxMethodValue&gt;=1,TaxYear1*(1+GrowthTax)^(MAX(0,(290-StabMonth)/12))/12,MAX(0,KH$35*12)/EntryCapRate*EffTaxRateOnValue/12)))</f>
        <v/>
      </c>
      <c r="KI36" s="218">
        <f>IF(291&lt;TaxOpStartMonth,0,IF(291&lt;StabMonth,MAX(0,KI$35*12)/EntryCapRate*EffTaxRateOnValue/12,IF(TaxMethodValue&gt;=1,TaxYear1*(1+GrowthTax)^(MAX(0,(291-StabMonth)/12))/12,MAX(0,KI$35*12)/EntryCapRate*EffTaxRateOnValue/12)))</f>
        <v/>
      </c>
      <c r="KJ36" s="218">
        <f>IF(292&lt;TaxOpStartMonth,0,IF(292&lt;StabMonth,MAX(0,KJ$35*12)/EntryCapRate*EffTaxRateOnValue/12,IF(TaxMethodValue&gt;=1,TaxYear1*(1+GrowthTax)^(MAX(0,(292-StabMonth)/12))/12,MAX(0,KJ$35*12)/EntryCapRate*EffTaxRateOnValue/12)))</f>
        <v/>
      </c>
      <c r="KK36" s="218">
        <f>IF(293&lt;TaxOpStartMonth,0,IF(293&lt;StabMonth,MAX(0,KK$35*12)/EntryCapRate*EffTaxRateOnValue/12,IF(TaxMethodValue&gt;=1,TaxYear1*(1+GrowthTax)^(MAX(0,(293-StabMonth)/12))/12,MAX(0,KK$35*12)/EntryCapRate*EffTaxRateOnValue/12)))</f>
        <v/>
      </c>
      <c r="KL36" s="218">
        <f>IF(294&lt;TaxOpStartMonth,0,IF(294&lt;StabMonth,MAX(0,KL$35*12)/EntryCapRate*EffTaxRateOnValue/12,IF(TaxMethodValue&gt;=1,TaxYear1*(1+GrowthTax)^(MAX(0,(294-StabMonth)/12))/12,MAX(0,KL$35*12)/EntryCapRate*EffTaxRateOnValue/12)))</f>
        <v/>
      </c>
      <c r="KM36" s="218">
        <f>IF(295&lt;TaxOpStartMonth,0,IF(295&lt;StabMonth,MAX(0,KM$35*12)/EntryCapRate*EffTaxRateOnValue/12,IF(TaxMethodValue&gt;=1,TaxYear1*(1+GrowthTax)^(MAX(0,(295-StabMonth)/12))/12,MAX(0,KM$35*12)/EntryCapRate*EffTaxRateOnValue/12)))</f>
        <v/>
      </c>
      <c r="KN36" s="218">
        <f>IF(296&lt;TaxOpStartMonth,0,IF(296&lt;StabMonth,MAX(0,KN$35*12)/EntryCapRate*EffTaxRateOnValue/12,IF(TaxMethodValue&gt;=1,TaxYear1*(1+GrowthTax)^(MAX(0,(296-StabMonth)/12))/12,MAX(0,KN$35*12)/EntryCapRate*EffTaxRateOnValue/12)))</f>
        <v/>
      </c>
      <c r="KO36" s="218">
        <f>IF(297&lt;TaxOpStartMonth,0,IF(297&lt;StabMonth,MAX(0,KO$35*12)/EntryCapRate*EffTaxRateOnValue/12,IF(TaxMethodValue&gt;=1,TaxYear1*(1+GrowthTax)^(MAX(0,(297-StabMonth)/12))/12,MAX(0,KO$35*12)/EntryCapRate*EffTaxRateOnValue/12)))</f>
        <v/>
      </c>
      <c r="KP36" s="218">
        <f>IF(298&lt;TaxOpStartMonth,0,IF(298&lt;StabMonth,MAX(0,KP$35*12)/EntryCapRate*EffTaxRateOnValue/12,IF(TaxMethodValue&gt;=1,TaxYear1*(1+GrowthTax)^(MAX(0,(298-StabMonth)/12))/12,MAX(0,KP$35*12)/EntryCapRate*EffTaxRateOnValue/12)))</f>
        <v/>
      </c>
      <c r="KQ36" s="218">
        <f>IF(299&lt;TaxOpStartMonth,0,IF(299&lt;StabMonth,MAX(0,KQ$35*12)/EntryCapRate*EffTaxRateOnValue/12,IF(TaxMethodValue&gt;=1,TaxYear1*(1+GrowthTax)^(MAX(0,(299-StabMonth)/12))/12,MAX(0,KQ$35*12)/EntryCapRate*EffTaxRateOnValue/12)))</f>
        <v/>
      </c>
      <c r="KR36" s="218">
        <f>IF(300&lt;TaxOpStartMonth,0,IF(300&lt;StabMonth,MAX(0,KR$35*12)/EntryCapRate*EffTaxRateOnValue/12,IF(TaxMethodValue&gt;=1,TaxYear1*(1+GrowthTax)^(MAX(0,(300-StabMonth)/12))/12,MAX(0,KR$35*12)/EntryCapRate*EffTaxRateOnValue/12)))</f>
        <v/>
      </c>
      <c r="KS36" s="218">
        <f>IF(301&lt;TaxOpStartMonth,0,IF(301&lt;StabMonth,MAX(0,KS$35*12)/EntryCapRate*EffTaxRateOnValue/12,IF(TaxMethodValue&gt;=1,TaxYear1*(1+GrowthTax)^(MAX(0,(301-StabMonth)/12))/12,MAX(0,KS$35*12)/EntryCapRate*EffTaxRateOnValue/12)))</f>
        <v/>
      </c>
      <c r="KT36" s="218">
        <f>IF(302&lt;TaxOpStartMonth,0,IF(302&lt;StabMonth,MAX(0,KT$35*12)/EntryCapRate*EffTaxRateOnValue/12,IF(TaxMethodValue&gt;=1,TaxYear1*(1+GrowthTax)^(MAX(0,(302-StabMonth)/12))/12,MAX(0,KT$35*12)/EntryCapRate*EffTaxRateOnValue/12)))</f>
        <v/>
      </c>
      <c r="KU36" s="218">
        <f>IF(303&lt;TaxOpStartMonth,0,IF(303&lt;StabMonth,MAX(0,KU$35*12)/EntryCapRate*EffTaxRateOnValue/12,IF(TaxMethodValue&gt;=1,TaxYear1*(1+GrowthTax)^(MAX(0,(303-StabMonth)/12))/12,MAX(0,KU$35*12)/EntryCapRate*EffTaxRateOnValue/12)))</f>
        <v/>
      </c>
      <c r="KV36" s="218">
        <f>IF(304&lt;TaxOpStartMonth,0,IF(304&lt;StabMonth,MAX(0,KV$35*12)/EntryCapRate*EffTaxRateOnValue/12,IF(TaxMethodValue&gt;=1,TaxYear1*(1+GrowthTax)^(MAX(0,(304-StabMonth)/12))/12,MAX(0,KV$35*12)/EntryCapRate*EffTaxRateOnValue/12)))</f>
        <v/>
      </c>
      <c r="KW36" s="218">
        <f>IF(305&lt;TaxOpStartMonth,0,IF(305&lt;StabMonth,MAX(0,KW$35*12)/EntryCapRate*EffTaxRateOnValue/12,IF(TaxMethodValue&gt;=1,TaxYear1*(1+GrowthTax)^(MAX(0,(305-StabMonth)/12))/12,MAX(0,KW$35*12)/EntryCapRate*EffTaxRateOnValue/12)))</f>
        <v/>
      </c>
      <c r="KX36" s="218">
        <f>IF(306&lt;TaxOpStartMonth,0,IF(306&lt;StabMonth,MAX(0,KX$35*12)/EntryCapRate*EffTaxRateOnValue/12,IF(TaxMethodValue&gt;=1,TaxYear1*(1+GrowthTax)^(MAX(0,(306-StabMonth)/12))/12,MAX(0,KX$35*12)/EntryCapRate*EffTaxRateOnValue/12)))</f>
        <v/>
      </c>
      <c r="KY36" s="218">
        <f>IF(307&lt;TaxOpStartMonth,0,IF(307&lt;StabMonth,MAX(0,KY$35*12)/EntryCapRate*EffTaxRateOnValue/12,IF(TaxMethodValue&gt;=1,TaxYear1*(1+GrowthTax)^(MAX(0,(307-StabMonth)/12))/12,MAX(0,KY$35*12)/EntryCapRate*EffTaxRateOnValue/12)))</f>
        <v/>
      </c>
      <c r="KZ36" s="218">
        <f>IF(308&lt;TaxOpStartMonth,0,IF(308&lt;StabMonth,MAX(0,KZ$35*12)/EntryCapRate*EffTaxRateOnValue/12,IF(TaxMethodValue&gt;=1,TaxYear1*(1+GrowthTax)^(MAX(0,(308-StabMonth)/12))/12,MAX(0,KZ$35*12)/EntryCapRate*EffTaxRateOnValue/12)))</f>
        <v/>
      </c>
      <c r="LA36" s="218">
        <f>IF(309&lt;TaxOpStartMonth,0,IF(309&lt;StabMonth,MAX(0,LA$35*12)/EntryCapRate*EffTaxRateOnValue/12,IF(TaxMethodValue&gt;=1,TaxYear1*(1+GrowthTax)^(MAX(0,(309-StabMonth)/12))/12,MAX(0,LA$35*12)/EntryCapRate*EffTaxRateOnValue/12)))</f>
        <v/>
      </c>
      <c r="LB36" s="218">
        <f>IF(310&lt;TaxOpStartMonth,0,IF(310&lt;StabMonth,MAX(0,LB$35*12)/EntryCapRate*EffTaxRateOnValue/12,IF(TaxMethodValue&gt;=1,TaxYear1*(1+GrowthTax)^(MAX(0,(310-StabMonth)/12))/12,MAX(0,LB$35*12)/EntryCapRate*EffTaxRateOnValue/12)))</f>
        <v/>
      </c>
      <c r="LC36" s="218">
        <f>IF(311&lt;TaxOpStartMonth,0,IF(311&lt;StabMonth,MAX(0,LC$35*12)/EntryCapRate*EffTaxRateOnValue/12,IF(TaxMethodValue&gt;=1,TaxYear1*(1+GrowthTax)^(MAX(0,(311-StabMonth)/12))/12,MAX(0,LC$35*12)/EntryCapRate*EffTaxRateOnValue/12)))</f>
        <v/>
      </c>
      <c r="LD36" s="218">
        <f>IF(312&lt;TaxOpStartMonth,0,IF(312&lt;StabMonth,MAX(0,LD$35*12)/EntryCapRate*EffTaxRateOnValue/12,IF(TaxMethodValue&gt;=1,TaxYear1*(1+GrowthTax)^(MAX(0,(312-StabMonth)/12))/12,MAX(0,LD$35*12)/EntryCapRate*EffTaxRateOnValue/12)))</f>
        <v/>
      </c>
      <c r="LE36" s="218">
        <f>IF(313&lt;TaxOpStartMonth,0,IF(313&lt;StabMonth,MAX(0,LE$35*12)/EntryCapRate*EffTaxRateOnValue/12,IF(TaxMethodValue&gt;=1,TaxYear1*(1+GrowthTax)^(MAX(0,(313-StabMonth)/12))/12,MAX(0,LE$35*12)/EntryCapRate*EffTaxRateOnValue/12)))</f>
        <v/>
      </c>
      <c r="LF36" s="218">
        <f>IF(314&lt;TaxOpStartMonth,0,IF(314&lt;StabMonth,MAX(0,LF$35*12)/EntryCapRate*EffTaxRateOnValue/12,IF(TaxMethodValue&gt;=1,TaxYear1*(1+GrowthTax)^(MAX(0,(314-StabMonth)/12))/12,MAX(0,LF$35*12)/EntryCapRate*EffTaxRateOnValue/12)))</f>
        <v/>
      </c>
      <c r="LG36" s="218">
        <f>IF(315&lt;TaxOpStartMonth,0,IF(315&lt;StabMonth,MAX(0,LG$35*12)/EntryCapRate*EffTaxRateOnValue/12,IF(TaxMethodValue&gt;=1,TaxYear1*(1+GrowthTax)^(MAX(0,(315-StabMonth)/12))/12,MAX(0,LG$35*12)/EntryCapRate*EffTaxRateOnValue/12)))</f>
        <v/>
      </c>
      <c r="LH36" s="218">
        <f>IF(316&lt;TaxOpStartMonth,0,IF(316&lt;StabMonth,MAX(0,LH$35*12)/EntryCapRate*EffTaxRateOnValue/12,IF(TaxMethodValue&gt;=1,TaxYear1*(1+GrowthTax)^(MAX(0,(316-StabMonth)/12))/12,MAX(0,LH$35*12)/EntryCapRate*EffTaxRateOnValue/12)))</f>
        <v/>
      </c>
      <c r="LI36" s="218">
        <f>IF(317&lt;TaxOpStartMonth,0,IF(317&lt;StabMonth,MAX(0,LI$35*12)/EntryCapRate*EffTaxRateOnValue/12,IF(TaxMethodValue&gt;=1,TaxYear1*(1+GrowthTax)^(MAX(0,(317-StabMonth)/12))/12,MAX(0,LI$35*12)/EntryCapRate*EffTaxRateOnValue/12)))</f>
        <v/>
      </c>
      <c r="LJ36" s="218">
        <f>IF(318&lt;TaxOpStartMonth,0,IF(318&lt;StabMonth,MAX(0,LJ$35*12)/EntryCapRate*EffTaxRateOnValue/12,IF(TaxMethodValue&gt;=1,TaxYear1*(1+GrowthTax)^(MAX(0,(318-StabMonth)/12))/12,MAX(0,LJ$35*12)/EntryCapRate*EffTaxRateOnValue/12)))</f>
        <v/>
      </c>
      <c r="LK36" s="218">
        <f>IF(319&lt;TaxOpStartMonth,0,IF(319&lt;StabMonth,MAX(0,LK$35*12)/EntryCapRate*EffTaxRateOnValue/12,IF(TaxMethodValue&gt;=1,TaxYear1*(1+GrowthTax)^(MAX(0,(319-StabMonth)/12))/12,MAX(0,LK$35*12)/EntryCapRate*EffTaxRateOnValue/12)))</f>
        <v/>
      </c>
      <c r="LL36" s="218">
        <f>IF(320&lt;TaxOpStartMonth,0,IF(320&lt;StabMonth,MAX(0,LL$35*12)/EntryCapRate*EffTaxRateOnValue/12,IF(TaxMethodValue&gt;=1,TaxYear1*(1+GrowthTax)^(MAX(0,(320-StabMonth)/12))/12,MAX(0,LL$35*12)/EntryCapRate*EffTaxRateOnValue/12)))</f>
        <v/>
      </c>
      <c r="LM36" s="218">
        <f>IF(321&lt;TaxOpStartMonth,0,IF(321&lt;StabMonth,MAX(0,LM$35*12)/EntryCapRate*EffTaxRateOnValue/12,IF(TaxMethodValue&gt;=1,TaxYear1*(1+GrowthTax)^(MAX(0,(321-StabMonth)/12))/12,MAX(0,LM$35*12)/EntryCapRate*EffTaxRateOnValue/12)))</f>
        <v/>
      </c>
      <c r="LN36" s="218">
        <f>IF(322&lt;TaxOpStartMonth,0,IF(322&lt;StabMonth,MAX(0,LN$35*12)/EntryCapRate*EffTaxRateOnValue/12,IF(TaxMethodValue&gt;=1,TaxYear1*(1+GrowthTax)^(MAX(0,(322-StabMonth)/12))/12,MAX(0,LN$35*12)/EntryCapRate*EffTaxRateOnValue/12)))</f>
        <v/>
      </c>
      <c r="LO36" s="218">
        <f>IF(323&lt;TaxOpStartMonth,0,IF(323&lt;StabMonth,MAX(0,LO$35*12)/EntryCapRate*EffTaxRateOnValue/12,IF(TaxMethodValue&gt;=1,TaxYear1*(1+GrowthTax)^(MAX(0,(323-StabMonth)/12))/12,MAX(0,LO$35*12)/EntryCapRate*EffTaxRateOnValue/12)))</f>
        <v/>
      </c>
      <c r="LP36" s="218">
        <f>IF(324&lt;TaxOpStartMonth,0,IF(324&lt;StabMonth,MAX(0,LP$35*12)/EntryCapRate*EffTaxRateOnValue/12,IF(TaxMethodValue&gt;=1,TaxYear1*(1+GrowthTax)^(MAX(0,(324-StabMonth)/12))/12,MAX(0,LP$35*12)/EntryCapRate*EffTaxRateOnValue/12)))</f>
        <v/>
      </c>
      <c r="LQ36" s="218">
        <f>IF(325&lt;TaxOpStartMonth,0,IF(325&lt;StabMonth,MAX(0,LQ$35*12)/EntryCapRate*EffTaxRateOnValue/12,IF(TaxMethodValue&gt;=1,TaxYear1*(1+GrowthTax)^(MAX(0,(325-StabMonth)/12))/12,MAX(0,LQ$35*12)/EntryCapRate*EffTaxRateOnValue/12)))</f>
        <v/>
      </c>
      <c r="LR36" s="218">
        <f>IF(326&lt;TaxOpStartMonth,0,IF(326&lt;StabMonth,MAX(0,LR$35*12)/EntryCapRate*EffTaxRateOnValue/12,IF(TaxMethodValue&gt;=1,TaxYear1*(1+GrowthTax)^(MAX(0,(326-StabMonth)/12))/12,MAX(0,LR$35*12)/EntryCapRate*EffTaxRateOnValue/12)))</f>
        <v/>
      </c>
      <c r="LS36" s="218">
        <f>IF(327&lt;TaxOpStartMonth,0,IF(327&lt;StabMonth,MAX(0,LS$35*12)/EntryCapRate*EffTaxRateOnValue/12,IF(TaxMethodValue&gt;=1,TaxYear1*(1+GrowthTax)^(MAX(0,(327-StabMonth)/12))/12,MAX(0,LS$35*12)/EntryCapRate*EffTaxRateOnValue/12)))</f>
        <v/>
      </c>
      <c r="LT36" s="218">
        <f>IF(328&lt;TaxOpStartMonth,0,IF(328&lt;StabMonth,MAX(0,LT$35*12)/EntryCapRate*EffTaxRateOnValue/12,IF(TaxMethodValue&gt;=1,TaxYear1*(1+GrowthTax)^(MAX(0,(328-StabMonth)/12))/12,MAX(0,LT$35*12)/EntryCapRate*EffTaxRateOnValue/12)))</f>
        <v/>
      </c>
      <c r="LU36" s="218">
        <f>IF(329&lt;TaxOpStartMonth,0,IF(329&lt;StabMonth,MAX(0,LU$35*12)/EntryCapRate*EffTaxRateOnValue/12,IF(TaxMethodValue&gt;=1,TaxYear1*(1+GrowthTax)^(MAX(0,(329-StabMonth)/12))/12,MAX(0,LU$35*12)/EntryCapRate*EffTaxRateOnValue/12)))</f>
        <v/>
      </c>
      <c r="LV36" s="218">
        <f>IF(330&lt;TaxOpStartMonth,0,IF(330&lt;StabMonth,MAX(0,LV$35*12)/EntryCapRate*EffTaxRateOnValue/12,IF(TaxMethodValue&gt;=1,TaxYear1*(1+GrowthTax)^(MAX(0,(330-StabMonth)/12))/12,MAX(0,LV$35*12)/EntryCapRate*EffTaxRateOnValue/12)))</f>
        <v/>
      </c>
      <c r="LW36" s="218">
        <f>IF(331&lt;TaxOpStartMonth,0,IF(331&lt;StabMonth,MAX(0,LW$35*12)/EntryCapRate*EffTaxRateOnValue/12,IF(TaxMethodValue&gt;=1,TaxYear1*(1+GrowthTax)^(MAX(0,(331-StabMonth)/12))/12,MAX(0,LW$35*12)/EntryCapRate*EffTaxRateOnValue/12)))</f>
        <v/>
      </c>
      <c r="LX36" s="218">
        <f>IF(332&lt;TaxOpStartMonth,0,IF(332&lt;StabMonth,MAX(0,LX$35*12)/EntryCapRate*EffTaxRateOnValue/12,IF(TaxMethodValue&gt;=1,TaxYear1*(1+GrowthTax)^(MAX(0,(332-StabMonth)/12))/12,MAX(0,LX$35*12)/EntryCapRate*EffTaxRateOnValue/12)))</f>
        <v/>
      </c>
      <c r="LY36" s="218">
        <f>IF(333&lt;TaxOpStartMonth,0,IF(333&lt;StabMonth,MAX(0,LY$35*12)/EntryCapRate*EffTaxRateOnValue/12,IF(TaxMethodValue&gt;=1,TaxYear1*(1+GrowthTax)^(MAX(0,(333-StabMonth)/12))/12,MAX(0,LY$35*12)/EntryCapRate*EffTaxRateOnValue/12)))</f>
        <v/>
      </c>
      <c r="LZ36" s="218">
        <f>IF(334&lt;TaxOpStartMonth,0,IF(334&lt;StabMonth,MAX(0,LZ$35*12)/EntryCapRate*EffTaxRateOnValue/12,IF(TaxMethodValue&gt;=1,TaxYear1*(1+GrowthTax)^(MAX(0,(334-StabMonth)/12))/12,MAX(0,LZ$35*12)/EntryCapRate*EffTaxRateOnValue/12)))</f>
        <v/>
      </c>
      <c r="MA36" s="218">
        <f>IF(335&lt;TaxOpStartMonth,0,IF(335&lt;StabMonth,MAX(0,MA$35*12)/EntryCapRate*EffTaxRateOnValue/12,IF(TaxMethodValue&gt;=1,TaxYear1*(1+GrowthTax)^(MAX(0,(335-StabMonth)/12))/12,MAX(0,MA$35*12)/EntryCapRate*EffTaxRateOnValue/12)))</f>
        <v/>
      </c>
      <c r="MB36" s="218">
        <f>IF(336&lt;TaxOpStartMonth,0,IF(336&lt;StabMonth,MAX(0,MB$35*12)/EntryCapRate*EffTaxRateOnValue/12,IF(TaxMethodValue&gt;=1,TaxYear1*(1+GrowthTax)^(MAX(0,(336-StabMonth)/12))/12,MAX(0,MB$35*12)/EntryCapRate*EffTaxRateOnValue/12)))</f>
        <v/>
      </c>
      <c r="MC36" s="218">
        <f>IF(337&lt;TaxOpStartMonth,0,IF(337&lt;StabMonth,MAX(0,MC$35*12)/EntryCapRate*EffTaxRateOnValue/12,IF(TaxMethodValue&gt;=1,TaxYear1*(1+GrowthTax)^(MAX(0,(337-StabMonth)/12))/12,MAX(0,MC$35*12)/EntryCapRate*EffTaxRateOnValue/12)))</f>
        <v/>
      </c>
      <c r="MD36" s="218">
        <f>IF(338&lt;TaxOpStartMonth,0,IF(338&lt;StabMonth,MAX(0,MD$35*12)/EntryCapRate*EffTaxRateOnValue/12,IF(TaxMethodValue&gt;=1,TaxYear1*(1+GrowthTax)^(MAX(0,(338-StabMonth)/12))/12,MAX(0,MD$35*12)/EntryCapRate*EffTaxRateOnValue/12)))</f>
        <v/>
      </c>
      <c r="ME36" s="218">
        <f>IF(339&lt;TaxOpStartMonth,0,IF(339&lt;StabMonth,MAX(0,ME$35*12)/EntryCapRate*EffTaxRateOnValue/12,IF(TaxMethodValue&gt;=1,TaxYear1*(1+GrowthTax)^(MAX(0,(339-StabMonth)/12))/12,MAX(0,ME$35*12)/EntryCapRate*EffTaxRateOnValue/12)))</f>
        <v/>
      </c>
      <c r="MF36" s="218">
        <f>IF(340&lt;TaxOpStartMonth,0,IF(340&lt;StabMonth,MAX(0,MF$35*12)/EntryCapRate*EffTaxRateOnValue/12,IF(TaxMethodValue&gt;=1,TaxYear1*(1+GrowthTax)^(MAX(0,(340-StabMonth)/12))/12,MAX(0,MF$35*12)/EntryCapRate*EffTaxRateOnValue/12)))</f>
        <v/>
      </c>
      <c r="MG36" s="218">
        <f>IF(341&lt;TaxOpStartMonth,0,IF(341&lt;StabMonth,MAX(0,MG$35*12)/EntryCapRate*EffTaxRateOnValue/12,IF(TaxMethodValue&gt;=1,TaxYear1*(1+GrowthTax)^(MAX(0,(341-StabMonth)/12))/12,MAX(0,MG$35*12)/EntryCapRate*EffTaxRateOnValue/12)))</f>
        <v/>
      </c>
      <c r="MH36" s="218">
        <f>IF(342&lt;TaxOpStartMonth,0,IF(342&lt;StabMonth,MAX(0,MH$35*12)/EntryCapRate*EffTaxRateOnValue/12,IF(TaxMethodValue&gt;=1,TaxYear1*(1+GrowthTax)^(MAX(0,(342-StabMonth)/12))/12,MAX(0,MH$35*12)/EntryCapRate*EffTaxRateOnValue/12)))</f>
        <v/>
      </c>
      <c r="MI36" s="218">
        <f>IF(343&lt;TaxOpStartMonth,0,IF(343&lt;StabMonth,MAX(0,MI$35*12)/EntryCapRate*EffTaxRateOnValue/12,IF(TaxMethodValue&gt;=1,TaxYear1*(1+GrowthTax)^(MAX(0,(343-StabMonth)/12))/12,MAX(0,MI$35*12)/EntryCapRate*EffTaxRateOnValue/12)))</f>
        <v/>
      </c>
      <c r="MJ36" s="218">
        <f>IF(344&lt;TaxOpStartMonth,0,IF(344&lt;StabMonth,MAX(0,MJ$35*12)/EntryCapRate*EffTaxRateOnValue/12,IF(TaxMethodValue&gt;=1,TaxYear1*(1+GrowthTax)^(MAX(0,(344-StabMonth)/12))/12,MAX(0,MJ$35*12)/EntryCapRate*EffTaxRateOnValue/12)))</f>
        <v/>
      </c>
      <c r="MK36" s="218">
        <f>IF(345&lt;TaxOpStartMonth,0,IF(345&lt;StabMonth,MAX(0,MK$35*12)/EntryCapRate*EffTaxRateOnValue/12,IF(TaxMethodValue&gt;=1,TaxYear1*(1+GrowthTax)^(MAX(0,(345-StabMonth)/12))/12,MAX(0,MK$35*12)/EntryCapRate*EffTaxRateOnValue/12)))</f>
        <v/>
      </c>
      <c r="ML36" s="218">
        <f>IF(346&lt;TaxOpStartMonth,0,IF(346&lt;StabMonth,MAX(0,ML$35*12)/EntryCapRate*EffTaxRateOnValue/12,IF(TaxMethodValue&gt;=1,TaxYear1*(1+GrowthTax)^(MAX(0,(346-StabMonth)/12))/12,MAX(0,ML$35*12)/EntryCapRate*EffTaxRateOnValue/12)))</f>
        <v/>
      </c>
      <c r="MM36" s="218">
        <f>IF(347&lt;TaxOpStartMonth,0,IF(347&lt;StabMonth,MAX(0,MM$35*12)/EntryCapRate*EffTaxRateOnValue/12,IF(TaxMethodValue&gt;=1,TaxYear1*(1+GrowthTax)^(MAX(0,(347-StabMonth)/12))/12,MAX(0,MM$35*12)/EntryCapRate*EffTaxRateOnValue/12)))</f>
        <v/>
      </c>
      <c r="MN36" s="218">
        <f>IF(348&lt;TaxOpStartMonth,0,IF(348&lt;StabMonth,MAX(0,MN$35*12)/EntryCapRate*EffTaxRateOnValue/12,IF(TaxMethodValue&gt;=1,TaxYear1*(1+GrowthTax)^(MAX(0,(348-StabMonth)/12))/12,MAX(0,MN$35*12)/EntryCapRate*EffTaxRateOnValue/12)))</f>
        <v/>
      </c>
      <c r="MO36" s="218">
        <f>IF(349&lt;TaxOpStartMonth,0,IF(349&lt;StabMonth,MAX(0,MO$35*12)/EntryCapRate*EffTaxRateOnValue/12,IF(TaxMethodValue&gt;=1,TaxYear1*(1+GrowthTax)^(MAX(0,(349-StabMonth)/12))/12,MAX(0,MO$35*12)/EntryCapRate*EffTaxRateOnValue/12)))</f>
        <v/>
      </c>
      <c r="MP36" s="218">
        <f>IF(350&lt;TaxOpStartMonth,0,IF(350&lt;StabMonth,MAX(0,MP$35*12)/EntryCapRate*EffTaxRateOnValue/12,IF(TaxMethodValue&gt;=1,TaxYear1*(1+GrowthTax)^(MAX(0,(350-StabMonth)/12))/12,MAX(0,MP$35*12)/EntryCapRate*EffTaxRateOnValue/12)))</f>
        <v/>
      </c>
      <c r="MQ36" s="218">
        <f>IF(351&lt;TaxOpStartMonth,0,IF(351&lt;StabMonth,MAX(0,MQ$35*12)/EntryCapRate*EffTaxRateOnValue/12,IF(TaxMethodValue&gt;=1,TaxYear1*(1+GrowthTax)^(MAX(0,(351-StabMonth)/12))/12,MAX(0,MQ$35*12)/EntryCapRate*EffTaxRateOnValue/12)))</f>
        <v/>
      </c>
      <c r="MR36" s="218">
        <f>IF(352&lt;TaxOpStartMonth,0,IF(352&lt;StabMonth,MAX(0,MR$35*12)/EntryCapRate*EffTaxRateOnValue/12,IF(TaxMethodValue&gt;=1,TaxYear1*(1+GrowthTax)^(MAX(0,(352-StabMonth)/12))/12,MAX(0,MR$35*12)/EntryCapRate*EffTaxRateOnValue/12)))</f>
        <v/>
      </c>
      <c r="MS36" s="218">
        <f>IF(353&lt;TaxOpStartMonth,0,IF(353&lt;StabMonth,MAX(0,MS$35*12)/EntryCapRate*EffTaxRateOnValue/12,IF(TaxMethodValue&gt;=1,TaxYear1*(1+GrowthTax)^(MAX(0,(353-StabMonth)/12))/12,MAX(0,MS$35*12)/EntryCapRate*EffTaxRateOnValue/12)))</f>
        <v/>
      </c>
      <c r="MT36" s="218">
        <f>IF(354&lt;TaxOpStartMonth,0,IF(354&lt;StabMonth,MAX(0,MT$35*12)/EntryCapRate*EffTaxRateOnValue/12,IF(TaxMethodValue&gt;=1,TaxYear1*(1+GrowthTax)^(MAX(0,(354-StabMonth)/12))/12,MAX(0,MT$35*12)/EntryCapRate*EffTaxRateOnValue/12)))</f>
        <v/>
      </c>
      <c r="MU36" s="218">
        <f>IF(355&lt;TaxOpStartMonth,0,IF(355&lt;StabMonth,MAX(0,MU$35*12)/EntryCapRate*EffTaxRateOnValue/12,IF(TaxMethodValue&gt;=1,TaxYear1*(1+GrowthTax)^(MAX(0,(355-StabMonth)/12))/12,MAX(0,MU$35*12)/EntryCapRate*EffTaxRateOnValue/12)))</f>
        <v/>
      </c>
      <c r="MV36" s="218">
        <f>IF(356&lt;TaxOpStartMonth,0,IF(356&lt;StabMonth,MAX(0,MV$35*12)/EntryCapRate*EffTaxRateOnValue/12,IF(TaxMethodValue&gt;=1,TaxYear1*(1+GrowthTax)^(MAX(0,(356-StabMonth)/12))/12,MAX(0,MV$35*12)/EntryCapRate*EffTaxRateOnValue/12)))</f>
        <v/>
      </c>
      <c r="MW36" s="218">
        <f>IF(357&lt;TaxOpStartMonth,0,IF(357&lt;StabMonth,MAX(0,MW$35*12)/EntryCapRate*EffTaxRateOnValue/12,IF(TaxMethodValue&gt;=1,TaxYear1*(1+GrowthTax)^(MAX(0,(357-StabMonth)/12))/12,MAX(0,MW$35*12)/EntryCapRate*EffTaxRateOnValue/12)))</f>
        <v/>
      </c>
      <c r="MX36" s="218">
        <f>IF(358&lt;TaxOpStartMonth,0,IF(358&lt;StabMonth,MAX(0,MX$35*12)/EntryCapRate*EffTaxRateOnValue/12,IF(TaxMethodValue&gt;=1,TaxYear1*(1+GrowthTax)^(MAX(0,(358-StabMonth)/12))/12,MAX(0,MX$35*12)/EntryCapRate*EffTaxRateOnValue/12)))</f>
        <v/>
      </c>
      <c r="MY36" s="218">
        <f>IF(359&lt;TaxOpStartMonth,0,IF(359&lt;StabMonth,MAX(0,MY$35*12)/EntryCapRate*EffTaxRateOnValue/12,IF(TaxMethodValue&gt;=1,TaxYear1*(1+GrowthTax)^(MAX(0,(359-StabMonth)/12))/12,MAX(0,MY$35*12)/EntryCapRate*EffTaxRateOnValue/12)))</f>
        <v/>
      </c>
      <c r="MZ36" s="218">
        <f>IF(360&lt;TaxOpStartMonth,0,IF(360&lt;StabMonth,MAX(0,MZ$35*12)/EntryCapRate*EffTaxRateOnValue/12,IF(TaxMethodValue&gt;=1,TaxYear1*(1+GrowthTax)^(MAX(0,(360-StabMonth)/12))/12,MAX(0,MZ$35*12)/EntryCapRate*EffTaxRateOnValue/12)))</f>
        <v/>
      </c>
      <c r="NA36" s="218">
        <f>IF(361&lt;TaxOpStartMonth,0,IF(361&lt;StabMonth,MAX(0,NA$35*12)/EntryCapRate*EffTaxRateOnValue/12,IF(TaxMethodValue&gt;=1,TaxYear1*(1+GrowthTax)^(MAX(0,(361-StabMonth)/12))/12,MAX(0,NA$35*12)/EntryCapRate*EffTaxRateOnValue/12)))</f>
        <v/>
      </c>
      <c r="NB36" s="218">
        <f>IF(362&lt;TaxOpStartMonth,0,IF(362&lt;StabMonth,MAX(0,NB$35*12)/EntryCapRate*EffTaxRateOnValue/12,IF(TaxMethodValue&gt;=1,TaxYear1*(1+GrowthTax)^(MAX(0,(362-StabMonth)/12))/12,MAX(0,NB$35*12)/EntryCapRate*EffTaxRateOnValue/12)))</f>
        <v/>
      </c>
      <c r="NC36" s="218">
        <f>IF(363&lt;TaxOpStartMonth,0,IF(363&lt;StabMonth,MAX(0,NC$35*12)/EntryCapRate*EffTaxRateOnValue/12,IF(TaxMethodValue&gt;=1,TaxYear1*(1+GrowthTax)^(MAX(0,(363-StabMonth)/12))/12,MAX(0,NC$35*12)/EntryCapRate*EffTaxRateOnValue/12)))</f>
        <v/>
      </c>
      <c r="ND36" s="218">
        <f>IF(364&lt;TaxOpStartMonth,0,IF(364&lt;StabMonth,MAX(0,ND$35*12)/EntryCapRate*EffTaxRateOnValue/12,IF(TaxMethodValue&gt;=1,TaxYear1*(1+GrowthTax)^(MAX(0,(364-StabMonth)/12))/12,MAX(0,ND$35*12)/EntryCapRate*EffTaxRateOnValue/12)))</f>
        <v/>
      </c>
      <c r="NE36" s="218">
        <f>IF(365&lt;TaxOpStartMonth,0,IF(365&lt;StabMonth,MAX(0,NE$35*12)/EntryCapRate*EffTaxRateOnValue/12,IF(TaxMethodValue&gt;=1,TaxYear1*(1+GrowthTax)^(MAX(0,(365-StabMonth)/12))/12,MAX(0,NE$35*12)/EntryCapRate*EffTaxRateOnValue/12)))</f>
        <v/>
      </c>
      <c r="NF36" s="218">
        <f>IF(366&lt;TaxOpStartMonth,0,IF(366&lt;StabMonth,MAX(0,NF$35*12)/EntryCapRate*EffTaxRateOnValue/12,IF(TaxMethodValue&gt;=1,TaxYear1*(1+GrowthTax)^(MAX(0,(366-StabMonth)/12))/12,MAX(0,NF$35*12)/EntryCapRate*EffTaxRateOnValue/12)))</f>
        <v/>
      </c>
      <c r="NG36" s="218">
        <f>IF(367&lt;TaxOpStartMonth,0,IF(367&lt;StabMonth,MAX(0,NG$35*12)/EntryCapRate*EffTaxRateOnValue/12,IF(TaxMethodValue&gt;=1,TaxYear1*(1+GrowthTax)^(MAX(0,(367-StabMonth)/12))/12,MAX(0,NG$35*12)/EntryCapRate*EffTaxRateOnValue/12)))</f>
        <v/>
      </c>
      <c r="NH36" s="218">
        <f>IF(368&lt;TaxOpStartMonth,0,IF(368&lt;StabMonth,MAX(0,NH$35*12)/EntryCapRate*EffTaxRateOnValue/12,IF(TaxMethodValue&gt;=1,TaxYear1*(1+GrowthTax)^(MAX(0,(368-StabMonth)/12))/12,MAX(0,NH$35*12)/EntryCapRate*EffTaxRateOnValue/12)))</f>
        <v/>
      </c>
      <c r="NI36" s="218">
        <f>IF(369&lt;TaxOpStartMonth,0,IF(369&lt;StabMonth,MAX(0,NI$35*12)/EntryCapRate*EffTaxRateOnValue/12,IF(TaxMethodValue&gt;=1,TaxYear1*(1+GrowthTax)^(MAX(0,(369-StabMonth)/12))/12,MAX(0,NI$35*12)/EntryCapRate*EffTaxRateOnValue/12)))</f>
        <v/>
      </c>
      <c r="NJ36" s="218">
        <f>IF(370&lt;TaxOpStartMonth,0,IF(370&lt;StabMonth,MAX(0,NJ$35*12)/EntryCapRate*EffTaxRateOnValue/12,IF(TaxMethodValue&gt;=1,TaxYear1*(1+GrowthTax)^(MAX(0,(370-StabMonth)/12))/12,MAX(0,NJ$35*12)/EntryCapRate*EffTaxRateOnValue/12)))</f>
        <v/>
      </c>
      <c r="NK36" s="218">
        <f>IF(371&lt;TaxOpStartMonth,0,IF(371&lt;StabMonth,MAX(0,NK$35*12)/EntryCapRate*EffTaxRateOnValue/12,IF(TaxMethodValue&gt;=1,TaxYear1*(1+GrowthTax)^(MAX(0,(371-StabMonth)/12))/12,MAX(0,NK$35*12)/EntryCapRate*EffTaxRateOnValue/12)))</f>
        <v/>
      </c>
      <c r="NL36" s="225">
        <f>IF(372&lt;TaxOpStartMonth,0,IF(372&lt;StabMonth,MAX(0,NL$35*12)/EntryCapRate*EffTaxRateOnValue/12,IF(TaxMethodValue&gt;=1,TaxYear1*(1+GrowthTax)^(MAX(0,(372-StabMonth)/12))/12,MAX(0,NL$35*12)/EntryCapRate*EffTaxRateOnValue/12)))</f>
        <v/>
      </c>
    </row>
    <row r="37">
      <c r="B37" s="50" t="inlineStr">
        <is>
          <t>Total Operating Expenses</t>
        </is>
      </c>
      <c r="D37" s="266">
        <f>SUM(E37:NL37)</f>
        <v/>
      </c>
      <c r="E37" s="267">
        <f>E$34+E$36</f>
        <v/>
      </c>
      <c r="F37" s="267">
        <f>F$34+F$36</f>
        <v/>
      </c>
      <c r="G37" s="267">
        <f>G$34+G$36</f>
        <v/>
      </c>
      <c r="H37" s="267">
        <f>H$34+H$36</f>
        <v/>
      </c>
      <c r="I37" s="267">
        <f>I$34+I$36</f>
        <v/>
      </c>
      <c r="J37" s="267">
        <f>J$34+J$36</f>
        <v/>
      </c>
      <c r="K37" s="267">
        <f>K$34+K$36</f>
        <v/>
      </c>
      <c r="L37" s="267">
        <f>L$34+L$36</f>
        <v/>
      </c>
      <c r="M37" s="267">
        <f>M$34+M$36</f>
        <v/>
      </c>
      <c r="N37" s="267">
        <f>N$34+N$36</f>
        <v/>
      </c>
      <c r="O37" s="267">
        <f>O$34+O$36</f>
        <v/>
      </c>
      <c r="P37" s="267">
        <f>P$34+P$36</f>
        <v/>
      </c>
      <c r="Q37" s="267">
        <f>Q$34+Q$36</f>
        <v/>
      </c>
      <c r="R37" s="267">
        <f>R$34+R$36</f>
        <v/>
      </c>
      <c r="S37" s="267">
        <f>S$34+S$36</f>
        <v/>
      </c>
      <c r="T37" s="267">
        <f>T$34+T$36</f>
        <v/>
      </c>
      <c r="U37" s="267">
        <f>U$34+U$36</f>
        <v/>
      </c>
      <c r="V37" s="267">
        <f>V$34+V$36</f>
        <v/>
      </c>
      <c r="W37" s="267">
        <f>W$34+W$36</f>
        <v/>
      </c>
      <c r="X37" s="267">
        <f>X$34+X$36</f>
        <v/>
      </c>
      <c r="Y37" s="267">
        <f>Y$34+Y$36</f>
        <v/>
      </c>
      <c r="Z37" s="267">
        <f>Z$34+Z$36</f>
        <v/>
      </c>
      <c r="AA37" s="267">
        <f>AA$34+AA$36</f>
        <v/>
      </c>
      <c r="AB37" s="267">
        <f>AB$34+AB$36</f>
        <v/>
      </c>
      <c r="AC37" s="267">
        <f>AC$34+AC$36</f>
        <v/>
      </c>
      <c r="AD37" s="267">
        <f>AD$34+AD$36</f>
        <v/>
      </c>
      <c r="AE37" s="267">
        <f>AE$34+AE$36</f>
        <v/>
      </c>
      <c r="AF37" s="267">
        <f>AF$34+AF$36</f>
        <v/>
      </c>
      <c r="AG37" s="267">
        <f>AG$34+AG$36</f>
        <v/>
      </c>
      <c r="AH37" s="267">
        <f>AH$34+AH$36</f>
        <v/>
      </c>
      <c r="AI37" s="267">
        <f>AI$34+AI$36</f>
        <v/>
      </c>
      <c r="AJ37" s="267">
        <f>AJ$34+AJ$36</f>
        <v/>
      </c>
      <c r="AK37" s="267">
        <f>AK$34+AK$36</f>
        <v/>
      </c>
      <c r="AL37" s="267">
        <f>AL$34+AL$36</f>
        <v/>
      </c>
      <c r="AM37" s="267">
        <f>AM$34+AM$36</f>
        <v/>
      </c>
      <c r="AN37" s="267">
        <f>AN$34+AN$36</f>
        <v/>
      </c>
      <c r="AO37" s="267">
        <f>AO$34+AO$36</f>
        <v/>
      </c>
      <c r="AP37" s="267">
        <f>AP$34+AP$36</f>
        <v/>
      </c>
      <c r="AQ37" s="267">
        <f>AQ$34+AQ$36</f>
        <v/>
      </c>
      <c r="AR37" s="267">
        <f>AR$34+AR$36</f>
        <v/>
      </c>
      <c r="AS37" s="267">
        <f>AS$34+AS$36</f>
        <v/>
      </c>
      <c r="AT37" s="267">
        <f>AT$34+AT$36</f>
        <v/>
      </c>
      <c r="AU37" s="267">
        <f>AU$34+AU$36</f>
        <v/>
      </c>
      <c r="AV37" s="267">
        <f>AV$34+AV$36</f>
        <v/>
      </c>
      <c r="AW37" s="267">
        <f>AW$34+AW$36</f>
        <v/>
      </c>
      <c r="AX37" s="267">
        <f>AX$34+AX$36</f>
        <v/>
      </c>
      <c r="AY37" s="267">
        <f>AY$34+AY$36</f>
        <v/>
      </c>
      <c r="AZ37" s="267">
        <f>AZ$34+AZ$36</f>
        <v/>
      </c>
      <c r="BA37" s="267">
        <f>BA$34+BA$36</f>
        <v/>
      </c>
      <c r="BB37" s="267">
        <f>BB$34+BB$36</f>
        <v/>
      </c>
      <c r="BC37" s="267">
        <f>BC$34+BC$36</f>
        <v/>
      </c>
      <c r="BD37" s="267">
        <f>BD$34+BD$36</f>
        <v/>
      </c>
      <c r="BE37" s="267">
        <f>BE$34+BE$36</f>
        <v/>
      </c>
      <c r="BF37" s="267">
        <f>BF$34+BF$36</f>
        <v/>
      </c>
      <c r="BG37" s="267">
        <f>BG$34+BG$36</f>
        <v/>
      </c>
      <c r="BH37" s="267">
        <f>BH$34+BH$36</f>
        <v/>
      </c>
      <c r="BI37" s="267">
        <f>BI$34+BI$36</f>
        <v/>
      </c>
      <c r="BJ37" s="267">
        <f>BJ$34+BJ$36</f>
        <v/>
      </c>
      <c r="BK37" s="267">
        <f>BK$34+BK$36</f>
        <v/>
      </c>
      <c r="BL37" s="267">
        <f>BL$34+BL$36</f>
        <v/>
      </c>
      <c r="BM37" s="267">
        <f>BM$34+BM$36</f>
        <v/>
      </c>
      <c r="BN37" s="267">
        <f>BN$34+BN$36</f>
        <v/>
      </c>
      <c r="BO37" s="267">
        <f>BO$34+BO$36</f>
        <v/>
      </c>
      <c r="BP37" s="267">
        <f>BP$34+BP$36</f>
        <v/>
      </c>
      <c r="BQ37" s="267">
        <f>BQ$34+BQ$36</f>
        <v/>
      </c>
      <c r="BR37" s="267">
        <f>BR$34+BR$36</f>
        <v/>
      </c>
      <c r="BS37" s="267">
        <f>BS$34+BS$36</f>
        <v/>
      </c>
      <c r="BT37" s="267">
        <f>BT$34+BT$36</f>
        <v/>
      </c>
      <c r="BU37" s="267">
        <f>BU$34+BU$36</f>
        <v/>
      </c>
      <c r="BV37" s="267">
        <f>BV$34+BV$36</f>
        <v/>
      </c>
      <c r="BW37" s="267">
        <f>BW$34+BW$36</f>
        <v/>
      </c>
      <c r="BX37" s="267">
        <f>BX$34+BX$36</f>
        <v/>
      </c>
      <c r="BY37" s="267">
        <f>BY$34+BY$36</f>
        <v/>
      </c>
      <c r="BZ37" s="267">
        <f>BZ$34+BZ$36</f>
        <v/>
      </c>
      <c r="CA37" s="267">
        <f>CA$34+CA$36</f>
        <v/>
      </c>
      <c r="CB37" s="267">
        <f>CB$34+CB$36</f>
        <v/>
      </c>
      <c r="CC37" s="267">
        <f>CC$34+CC$36</f>
        <v/>
      </c>
      <c r="CD37" s="267">
        <f>CD$34+CD$36</f>
        <v/>
      </c>
      <c r="CE37" s="267">
        <f>CE$34+CE$36</f>
        <v/>
      </c>
      <c r="CF37" s="267">
        <f>CF$34+CF$36</f>
        <v/>
      </c>
      <c r="CG37" s="267">
        <f>CG$34+CG$36</f>
        <v/>
      </c>
      <c r="CH37" s="267">
        <f>CH$34+CH$36</f>
        <v/>
      </c>
      <c r="CI37" s="267">
        <f>CI$34+CI$36</f>
        <v/>
      </c>
      <c r="CJ37" s="267">
        <f>CJ$34+CJ$36</f>
        <v/>
      </c>
      <c r="CK37" s="267">
        <f>CK$34+CK$36</f>
        <v/>
      </c>
      <c r="CL37" s="267">
        <f>CL$34+CL$36</f>
        <v/>
      </c>
      <c r="CM37" s="267">
        <f>CM$34+CM$36</f>
        <v/>
      </c>
      <c r="CN37" s="267">
        <f>CN$34+CN$36</f>
        <v/>
      </c>
      <c r="CO37" s="267">
        <f>CO$34+CO$36</f>
        <v/>
      </c>
      <c r="CP37" s="267">
        <f>CP$34+CP$36</f>
        <v/>
      </c>
      <c r="CQ37" s="267">
        <f>CQ$34+CQ$36</f>
        <v/>
      </c>
      <c r="CR37" s="267">
        <f>CR$34+CR$36</f>
        <v/>
      </c>
      <c r="CS37" s="267">
        <f>CS$34+CS$36</f>
        <v/>
      </c>
      <c r="CT37" s="267">
        <f>CT$34+CT$36</f>
        <v/>
      </c>
      <c r="CU37" s="267">
        <f>CU$34+CU$36</f>
        <v/>
      </c>
      <c r="CV37" s="267">
        <f>CV$34+CV$36</f>
        <v/>
      </c>
      <c r="CW37" s="267">
        <f>CW$34+CW$36</f>
        <v/>
      </c>
      <c r="CX37" s="267">
        <f>CX$34+CX$36</f>
        <v/>
      </c>
      <c r="CY37" s="267">
        <f>CY$34+CY$36</f>
        <v/>
      </c>
      <c r="CZ37" s="267">
        <f>CZ$34+CZ$36</f>
        <v/>
      </c>
      <c r="DA37" s="267">
        <f>DA$34+DA$36</f>
        <v/>
      </c>
      <c r="DB37" s="267">
        <f>DB$34+DB$36</f>
        <v/>
      </c>
      <c r="DC37" s="267">
        <f>DC$34+DC$36</f>
        <v/>
      </c>
      <c r="DD37" s="267">
        <f>DD$34+DD$36</f>
        <v/>
      </c>
      <c r="DE37" s="267">
        <f>DE$34+DE$36</f>
        <v/>
      </c>
      <c r="DF37" s="267">
        <f>DF$34+DF$36</f>
        <v/>
      </c>
      <c r="DG37" s="267">
        <f>DG$34+DG$36</f>
        <v/>
      </c>
      <c r="DH37" s="267">
        <f>DH$34+DH$36</f>
        <v/>
      </c>
      <c r="DI37" s="267">
        <f>DI$34+DI$36</f>
        <v/>
      </c>
      <c r="DJ37" s="267">
        <f>DJ$34+DJ$36</f>
        <v/>
      </c>
      <c r="DK37" s="267">
        <f>DK$34+DK$36</f>
        <v/>
      </c>
      <c r="DL37" s="267">
        <f>DL$34+DL$36</f>
        <v/>
      </c>
      <c r="DM37" s="267">
        <f>DM$34+DM$36</f>
        <v/>
      </c>
      <c r="DN37" s="267">
        <f>DN$34+DN$36</f>
        <v/>
      </c>
      <c r="DO37" s="267">
        <f>DO$34+DO$36</f>
        <v/>
      </c>
      <c r="DP37" s="267">
        <f>DP$34+DP$36</f>
        <v/>
      </c>
      <c r="DQ37" s="267">
        <f>DQ$34+DQ$36</f>
        <v/>
      </c>
      <c r="DR37" s="267">
        <f>DR$34+DR$36</f>
        <v/>
      </c>
      <c r="DS37" s="267">
        <f>DS$34+DS$36</f>
        <v/>
      </c>
      <c r="DT37" s="267">
        <f>DT$34+DT$36</f>
        <v/>
      </c>
      <c r="DU37" s="267">
        <f>DU$34+DU$36</f>
        <v/>
      </c>
      <c r="DV37" s="267">
        <f>DV$34+DV$36</f>
        <v/>
      </c>
      <c r="DW37" s="267">
        <f>DW$34+DW$36</f>
        <v/>
      </c>
      <c r="DX37" s="267">
        <f>DX$34+DX$36</f>
        <v/>
      </c>
      <c r="DY37" s="267">
        <f>DY$34+DY$36</f>
        <v/>
      </c>
      <c r="DZ37" s="267">
        <f>DZ$34+DZ$36</f>
        <v/>
      </c>
      <c r="EA37" s="267">
        <f>EA$34+EA$36</f>
        <v/>
      </c>
      <c r="EB37" s="267">
        <f>EB$34+EB$36</f>
        <v/>
      </c>
      <c r="EC37" s="267">
        <f>EC$34+EC$36</f>
        <v/>
      </c>
      <c r="ED37" s="267">
        <f>ED$34+ED$36</f>
        <v/>
      </c>
      <c r="EE37" s="267">
        <f>EE$34+EE$36</f>
        <v/>
      </c>
      <c r="EF37" s="267">
        <f>EF$34+EF$36</f>
        <v/>
      </c>
      <c r="EG37" s="267">
        <f>EG$34+EG$36</f>
        <v/>
      </c>
      <c r="EH37" s="267">
        <f>EH$34+EH$36</f>
        <v/>
      </c>
      <c r="EI37" s="267">
        <f>EI$34+EI$36</f>
        <v/>
      </c>
      <c r="EJ37" s="267">
        <f>EJ$34+EJ$36</f>
        <v/>
      </c>
      <c r="EK37" s="267">
        <f>EK$34+EK$36</f>
        <v/>
      </c>
      <c r="EL37" s="267">
        <f>EL$34+EL$36</f>
        <v/>
      </c>
      <c r="EM37" s="267">
        <f>EM$34+EM$36</f>
        <v/>
      </c>
      <c r="EN37" s="267">
        <f>EN$34+EN$36</f>
        <v/>
      </c>
      <c r="EO37" s="267">
        <f>EO$34+EO$36</f>
        <v/>
      </c>
      <c r="EP37" s="267">
        <f>EP$34+EP$36</f>
        <v/>
      </c>
      <c r="EQ37" s="267">
        <f>EQ$34+EQ$36</f>
        <v/>
      </c>
      <c r="ER37" s="267">
        <f>ER$34+ER$36</f>
        <v/>
      </c>
      <c r="ES37" s="267">
        <f>ES$34+ES$36</f>
        <v/>
      </c>
      <c r="ET37" s="267">
        <f>ET$34+ET$36</f>
        <v/>
      </c>
      <c r="EU37" s="267">
        <f>EU$34+EU$36</f>
        <v/>
      </c>
      <c r="EV37" s="267">
        <f>EV$34+EV$36</f>
        <v/>
      </c>
      <c r="EW37" s="267">
        <f>EW$34+EW$36</f>
        <v/>
      </c>
      <c r="EX37" s="267">
        <f>EX$34+EX$36</f>
        <v/>
      </c>
      <c r="EY37" s="267">
        <f>EY$34+EY$36</f>
        <v/>
      </c>
      <c r="EZ37" s="267">
        <f>EZ$34+EZ$36</f>
        <v/>
      </c>
      <c r="FA37" s="267">
        <f>FA$34+FA$36</f>
        <v/>
      </c>
      <c r="FB37" s="267">
        <f>FB$34+FB$36</f>
        <v/>
      </c>
      <c r="FC37" s="267">
        <f>FC$34+FC$36</f>
        <v/>
      </c>
      <c r="FD37" s="267">
        <f>FD$34+FD$36</f>
        <v/>
      </c>
      <c r="FE37" s="267">
        <f>FE$34+FE$36</f>
        <v/>
      </c>
      <c r="FF37" s="267">
        <f>FF$34+FF$36</f>
        <v/>
      </c>
      <c r="FG37" s="267">
        <f>FG$34+FG$36</f>
        <v/>
      </c>
      <c r="FH37" s="267">
        <f>FH$34+FH$36</f>
        <v/>
      </c>
      <c r="FI37" s="267">
        <f>FI$34+FI$36</f>
        <v/>
      </c>
      <c r="FJ37" s="267">
        <f>FJ$34+FJ$36</f>
        <v/>
      </c>
      <c r="FK37" s="267">
        <f>FK$34+FK$36</f>
        <v/>
      </c>
      <c r="FL37" s="267">
        <f>FL$34+FL$36</f>
        <v/>
      </c>
      <c r="FM37" s="267">
        <f>FM$34+FM$36</f>
        <v/>
      </c>
      <c r="FN37" s="267">
        <f>FN$34+FN$36</f>
        <v/>
      </c>
      <c r="FO37" s="267">
        <f>FO$34+FO$36</f>
        <v/>
      </c>
      <c r="FP37" s="267">
        <f>FP$34+FP$36</f>
        <v/>
      </c>
      <c r="FQ37" s="267">
        <f>FQ$34+FQ$36</f>
        <v/>
      </c>
      <c r="FR37" s="267">
        <f>FR$34+FR$36</f>
        <v/>
      </c>
      <c r="FS37" s="267">
        <f>FS$34+FS$36</f>
        <v/>
      </c>
      <c r="FT37" s="267">
        <f>FT$34+FT$36</f>
        <v/>
      </c>
      <c r="FU37" s="267">
        <f>FU$34+FU$36</f>
        <v/>
      </c>
      <c r="FV37" s="267">
        <f>FV$34+FV$36</f>
        <v/>
      </c>
      <c r="FW37" s="267">
        <f>FW$34+FW$36</f>
        <v/>
      </c>
      <c r="FX37" s="267">
        <f>FX$34+FX$36</f>
        <v/>
      </c>
      <c r="FY37" s="267">
        <f>FY$34+FY$36</f>
        <v/>
      </c>
      <c r="FZ37" s="267">
        <f>FZ$34+FZ$36</f>
        <v/>
      </c>
      <c r="GA37" s="267">
        <f>GA$34+GA$36</f>
        <v/>
      </c>
      <c r="GB37" s="267">
        <f>GB$34+GB$36</f>
        <v/>
      </c>
      <c r="GC37" s="267">
        <f>GC$34+GC$36</f>
        <v/>
      </c>
      <c r="GD37" s="267">
        <f>GD$34+GD$36</f>
        <v/>
      </c>
      <c r="GE37" s="267">
        <f>GE$34+GE$36</f>
        <v/>
      </c>
      <c r="GF37" s="267">
        <f>GF$34+GF$36</f>
        <v/>
      </c>
      <c r="GG37" s="267">
        <f>GG$34+GG$36</f>
        <v/>
      </c>
      <c r="GH37" s="267">
        <f>GH$34+GH$36</f>
        <v/>
      </c>
      <c r="GI37" s="267">
        <f>GI$34+GI$36</f>
        <v/>
      </c>
      <c r="GJ37" s="267">
        <f>GJ$34+GJ$36</f>
        <v/>
      </c>
      <c r="GK37" s="267">
        <f>GK$34+GK$36</f>
        <v/>
      </c>
      <c r="GL37" s="267">
        <f>GL$34+GL$36</f>
        <v/>
      </c>
      <c r="GM37" s="267">
        <f>GM$34+GM$36</f>
        <v/>
      </c>
      <c r="GN37" s="267">
        <f>GN$34+GN$36</f>
        <v/>
      </c>
      <c r="GO37" s="267">
        <f>GO$34+GO$36</f>
        <v/>
      </c>
      <c r="GP37" s="267">
        <f>GP$34+GP$36</f>
        <v/>
      </c>
      <c r="GQ37" s="267">
        <f>GQ$34+GQ$36</f>
        <v/>
      </c>
      <c r="GR37" s="267">
        <f>GR$34+GR$36</f>
        <v/>
      </c>
      <c r="GS37" s="267">
        <f>GS$34+GS$36</f>
        <v/>
      </c>
      <c r="GT37" s="267">
        <f>GT$34+GT$36</f>
        <v/>
      </c>
      <c r="GU37" s="267">
        <f>GU$34+GU$36</f>
        <v/>
      </c>
      <c r="GV37" s="267">
        <f>GV$34+GV$36</f>
        <v/>
      </c>
      <c r="GW37" s="267">
        <f>GW$34+GW$36</f>
        <v/>
      </c>
      <c r="GX37" s="267">
        <f>GX$34+GX$36</f>
        <v/>
      </c>
      <c r="GY37" s="267">
        <f>GY$34+GY$36</f>
        <v/>
      </c>
      <c r="GZ37" s="267">
        <f>GZ$34+GZ$36</f>
        <v/>
      </c>
      <c r="HA37" s="267">
        <f>HA$34+HA$36</f>
        <v/>
      </c>
      <c r="HB37" s="267">
        <f>HB$34+HB$36</f>
        <v/>
      </c>
      <c r="HC37" s="267">
        <f>HC$34+HC$36</f>
        <v/>
      </c>
      <c r="HD37" s="267">
        <f>HD$34+HD$36</f>
        <v/>
      </c>
      <c r="HE37" s="267">
        <f>HE$34+HE$36</f>
        <v/>
      </c>
      <c r="HF37" s="267">
        <f>HF$34+HF$36</f>
        <v/>
      </c>
      <c r="HG37" s="267">
        <f>HG$34+HG$36</f>
        <v/>
      </c>
      <c r="HH37" s="267">
        <f>HH$34+HH$36</f>
        <v/>
      </c>
      <c r="HI37" s="267">
        <f>HI$34+HI$36</f>
        <v/>
      </c>
      <c r="HJ37" s="267">
        <f>HJ$34+HJ$36</f>
        <v/>
      </c>
      <c r="HK37" s="267">
        <f>HK$34+HK$36</f>
        <v/>
      </c>
      <c r="HL37" s="267">
        <f>HL$34+HL$36</f>
        <v/>
      </c>
      <c r="HM37" s="267">
        <f>HM$34+HM$36</f>
        <v/>
      </c>
      <c r="HN37" s="267">
        <f>HN$34+HN$36</f>
        <v/>
      </c>
      <c r="HO37" s="267">
        <f>HO$34+HO$36</f>
        <v/>
      </c>
      <c r="HP37" s="267">
        <f>HP$34+HP$36</f>
        <v/>
      </c>
      <c r="HQ37" s="267">
        <f>HQ$34+HQ$36</f>
        <v/>
      </c>
      <c r="HR37" s="267">
        <f>HR$34+HR$36</f>
        <v/>
      </c>
      <c r="HS37" s="267">
        <f>HS$34+HS$36</f>
        <v/>
      </c>
      <c r="HT37" s="267">
        <f>HT$34+HT$36</f>
        <v/>
      </c>
      <c r="HU37" s="267">
        <f>HU$34+HU$36</f>
        <v/>
      </c>
      <c r="HV37" s="267">
        <f>HV$34+HV$36</f>
        <v/>
      </c>
      <c r="HW37" s="267">
        <f>HW$34+HW$36</f>
        <v/>
      </c>
      <c r="HX37" s="267">
        <f>HX$34+HX$36</f>
        <v/>
      </c>
      <c r="HY37" s="267">
        <f>HY$34+HY$36</f>
        <v/>
      </c>
      <c r="HZ37" s="267">
        <f>HZ$34+HZ$36</f>
        <v/>
      </c>
      <c r="IA37" s="267">
        <f>IA$34+IA$36</f>
        <v/>
      </c>
      <c r="IB37" s="267">
        <f>IB$34+IB$36</f>
        <v/>
      </c>
      <c r="IC37" s="267">
        <f>IC$34+IC$36</f>
        <v/>
      </c>
      <c r="ID37" s="267">
        <f>ID$34+ID$36</f>
        <v/>
      </c>
      <c r="IE37" s="267">
        <f>IE$34+IE$36</f>
        <v/>
      </c>
      <c r="IF37" s="267">
        <f>IF$34+IF$36</f>
        <v/>
      </c>
      <c r="IG37" s="267">
        <f>IG$34+IG$36</f>
        <v/>
      </c>
      <c r="IH37" s="267">
        <f>IH$34+IH$36</f>
        <v/>
      </c>
      <c r="II37" s="267">
        <f>II$34+II$36</f>
        <v/>
      </c>
      <c r="IJ37" s="267">
        <f>IJ$34+IJ$36</f>
        <v/>
      </c>
      <c r="IK37" s="267">
        <f>IK$34+IK$36</f>
        <v/>
      </c>
      <c r="IL37" s="267">
        <f>IL$34+IL$36</f>
        <v/>
      </c>
      <c r="IM37" s="267">
        <f>IM$34+IM$36</f>
        <v/>
      </c>
      <c r="IN37" s="267">
        <f>IN$34+IN$36</f>
        <v/>
      </c>
      <c r="IO37" s="267">
        <f>IO$34+IO$36</f>
        <v/>
      </c>
      <c r="IP37" s="267">
        <f>IP$34+IP$36</f>
        <v/>
      </c>
      <c r="IQ37" s="267">
        <f>IQ$34+IQ$36</f>
        <v/>
      </c>
      <c r="IR37" s="267">
        <f>IR$34+IR$36</f>
        <v/>
      </c>
      <c r="IS37" s="267">
        <f>IS$34+IS$36</f>
        <v/>
      </c>
      <c r="IT37" s="267">
        <f>IT$34+IT$36</f>
        <v/>
      </c>
      <c r="IU37" s="267">
        <f>IU$34+IU$36</f>
        <v/>
      </c>
      <c r="IV37" s="267">
        <f>IV$34+IV$36</f>
        <v/>
      </c>
      <c r="IW37" s="267">
        <f>IW$34+IW$36</f>
        <v/>
      </c>
      <c r="IX37" s="267">
        <f>IX$34+IX$36</f>
        <v/>
      </c>
      <c r="IY37" s="267">
        <f>IY$34+IY$36</f>
        <v/>
      </c>
      <c r="IZ37" s="267">
        <f>IZ$34+IZ$36</f>
        <v/>
      </c>
      <c r="JA37" s="267">
        <f>JA$34+JA$36</f>
        <v/>
      </c>
      <c r="JB37" s="267">
        <f>JB$34+JB$36</f>
        <v/>
      </c>
      <c r="JC37" s="267">
        <f>JC$34+JC$36</f>
        <v/>
      </c>
      <c r="JD37" s="267">
        <f>JD$34+JD$36</f>
        <v/>
      </c>
      <c r="JE37" s="267">
        <f>JE$34+JE$36</f>
        <v/>
      </c>
      <c r="JF37" s="267">
        <f>JF$34+JF$36</f>
        <v/>
      </c>
      <c r="JG37" s="267">
        <f>JG$34+JG$36</f>
        <v/>
      </c>
      <c r="JH37" s="267">
        <f>JH$34+JH$36</f>
        <v/>
      </c>
      <c r="JI37" s="267">
        <f>JI$34+JI$36</f>
        <v/>
      </c>
      <c r="JJ37" s="267">
        <f>JJ$34+JJ$36</f>
        <v/>
      </c>
      <c r="JK37" s="267">
        <f>JK$34+JK$36</f>
        <v/>
      </c>
      <c r="JL37" s="267">
        <f>JL$34+JL$36</f>
        <v/>
      </c>
      <c r="JM37" s="267">
        <f>JM$34+JM$36</f>
        <v/>
      </c>
      <c r="JN37" s="267">
        <f>JN$34+JN$36</f>
        <v/>
      </c>
      <c r="JO37" s="267">
        <f>JO$34+JO$36</f>
        <v/>
      </c>
      <c r="JP37" s="267">
        <f>JP$34+JP$36</f>
        <v/>
      </c>
      <c r="JQ37" s="267">
        <f>JQ$34+JQ$36</f>
        <v/>
      </c>
      <c r="JR37" s="267">
        <f>JR$34+JR$36</f>
        <v/>
      </c>
      <c r="JS37" s="267">
        <f>JS$34+JS$36</f>
        <v/>
      </c>
      <c r="JT37" s="267">
        <f>JT$34+JT$36</f>
        <v/>
      </c>
      <c r="JU37" s="267">
        <f>JU$34+JU$36</f>
        <v/>
      </c>
      <c r="JV37" s="267">
        <f>JV$34+JV$36</f>
        <v/>
      </c>
      <c r="JW37" s="267">
        <f>JW$34+JW$36</f>
        <v/>
      </c>
      <c r="JX37" s="267">
        <f>JX$34+JX$36</f>
        <v/>
      </c>
      <c r="JY37" s="267">
        <f>JY$34+JY$36</f>
        <v/>
      </c>
      <c r="JZ37" s="267">
        <f>JZ$34+JZ$36</f>
        <v/>
      </c>
      <c r="KA37" s="267">
        <f>KA$34+KA$36</f>
        <v/>
      </c>
      <c r="KB37" s="267">
        <f>KB$34+KB$36</f>
        <v/>
      </c>
      <c r="KC37" s="267">
        <f>KC$34+KC$36</f>
        <v/>
      </c>
      <c r="KD37" s="267">
        <f>KD$34+KD$36</f>
        <v/>
      </c>
      <c r="KE37" s="267">
        <f>KE$34+KE$36</f>
        <v/>
      </c>
      <c r="KF37" s="267">
        <f>KF$34+KF$36</f>
        <v/>
      </c>
      <c r="KG37" s="267">
        <f>KG$34+KG$36</f>
        <v/>
      </c>
      <c r="KH37" s="267">
        <f>KH$34+KH$36</f>
        <v/>
      </c>
      <c r="KI37" s="267">
        <f>KI$34+KI$36</f>
        <v/>
      </c>
      <c r="KJ37" s="267">
        <f>KJ$34+KJ$36</f>
        <v/>
      </c>
      <c r="KK37" s="267">
        <f>KK$34+KK$36</f>
        <v/>
      </c>
      <c r="KL37" s="267">
        <f>KL$34+KL$36</f>
        <v/>
      </c>
      <c r="KM37" s="267">
        <f>KM$34+KM$36</f>
        <v/>
      </c>
      <c r="KN37" s="267">
        <f>KN$34+KN$36</f>
        <v/>
      </c>
      <c r="KO37" s="267">
        <f>KO$34+KO$36</f>
        <v/>
      </c>
      <c r="KP37" s="267">
        <f>KP$34+KP$36</f>
        <v/>
      </c>
      <c r="KQ37" s="267">
        <f>KQ$34+KQ$36</f>
        <v/>
      </c>
      <c r="KR37" s="267">
        <f>KR$34+KR$36</f>
        <v/>
      </c>
      <c r="KS37" s="267">
        <f>KS$34+KS$36</f>
        <v/>
      </c>
      <c r="KT37" s="267">
        <f>KT$34+KT$36</f>
        <v/>
      </c>
      <c r="KU37" s="267">
        <f>KU$34+KU$36</f>
        <v/>
      </c>
      <c r="KV37" s="267">
        <f>KV$34+KV$36</f>
        <v/>
      </c>
      <c r="KW37" s="267">
        <f>KW$34+KW$36</f>
        <v/>
      </c>
      <c r="KX37" s="267">
        <f>KX$34+KX$36</f>
        <v/>
      </c>
      <c r="KY37" s="267">
        <f>KY$34+KY$36</f>
        <v/>
      </c>
      <c r="KZ37" s="267">
        <f>KZ$34+KZ$36</f>
        <v/>
      </c>
      <c r="LA37" s="267">
        <f>LA$34+LA$36</f>
        <v/>
      </c>
      <c r="LB37" s="267">
        <f>LB$34+LB$36</f>
        <v/>
      </c>
      <c r="LC37" s="267">
        <f>LC$34+LC$36</f>
        <v/>
      </c>
      <c r="LD37" s="267">
        <f>LD$34+LD$36</f>
        <v/>
      </c>
      <c r="LE37" s="267">
        <f>LE$34+LE$36</f>
        <v/>
      </c>
      <c r="LF37" s="267">
        <f>LF$34+LF$36</f>
        <v/>
      </c>
      <c r="LG37" s="267">
        <f>LG$34+LG$36</f>
        <v/>
      </c>
      <c r="LH37" s="267">
        <f>LH$34+LH$36</f>
        <v/>
      </c>
      <c r="LI37" s="267">
        <f>LI$34+LI$36</f>
        <v/>
      </c>
      <c r="LJ37" s="267">
        <f>LJ$34+LJ$36</f>
        <v/>
      </c>
      <c r="LK37" s="267">
        <f>LK$34+LK$36</f>
        <v/>
      </c>
      <c r="LL37" s="267">
        <f>LL$34+LL$36</f>
        <v/>
      </c>
      <c r="LM37" s="267">
        <f>LM$34+LM$36</f>
        <v/>
      </c>
      <c r="LN37" s="267">
        <f>LN$34+LN$36</f>
        <v/>
      </c>
      <c r="LO37" s="267">
        <f>LO$34+LO$36</f>
        <v/>
      </c>
      <c r="LP37" s="267">
        <f>LP$34+LP$36</f>
        <v/>
      </c>
      <c r="LQ37" s="267">
        <f>LQ$34+LQ$36</f>
        <v/>
      </c>
      <c r="LR37" s="267">
        <f>LR$34+LR$36</f>
        <v/>
      </c>
      <c r="LS37" s="267">
        <f>LS$34+LS$36</f>
        <v/>
      </c>
      <c r="LT37" s="267">
        <f>LT$34+LT$36</f>
        <v/>
      </c>
      <c r="LU37" s="267">
        <f>LU$34+LU$36</f>
        <v/>
      </c>
      <c r="LV37" s="267">
        <f>LV$34+LV$36</f>
        <v/>
      </c>
      <c r="LW37" s="267">
        <f>LW$34+LW$36</f>
        <v/>
      </c>
      <c r="LX37" s="267">
        <f>LX$34+LX$36</f>
        <v/>
      </c>
      <c r="LY37" s="267">
        <f>LY$34+LY$36</f>
        <v/>
      </c>
      <c r="LZ37" s="267">
        <f>LZ$34+LZ$36</f>
        <v/>
      </c>
      <c r="MA37" s="267">
        <f>MA$34+MA$36</f>
        <v/>
      </c>
      <c r="MB37" s="267">
        <f>MB$34+MB$36</f>
        <v/>
      </c>
      <c r="MC37" s="267">
        <f>MC$34+MC$36</f>
        <v/>
      </c>
      <c r="MD37" s="267">
        <f>MD$34+MD$36</f>
        <v/>
      </c>
      <c r="ME37" s="267">
        <f>ME$34+ME$36</f>
        <v/>
      </c>
      <c r="MF37" s="267">
        <f>MF$34+MF$36</f>
        <v/>
      </c>
      <c r="MG37" s="267">
        <f>MG$34+MG$36</f>
        <v/>
      </c>
      <c r="MH37" s="267">
        <f>MH$34+MH$36</f>
        <v/>
      </c>
      <c r="MI37" s="267">
        <f>MI$34+MI$36</f>
        <v/>
      </c>
      <c r="MJ37" s="267">
        <f>MJ$34+MJ$36</f>
        <v/>
      </c>
      <c r="MK37" s="267">
        <f>MK$34+MK$36</f>
        <v/>
      </c>
      <c r="ML37" s="267">
        <f>ML$34+ML$36</f>
        <v/>
      </c>
      <c r="MM37" s="267">
        <f>MM$34+MM$36</f>
        <v/>
      </c>
      <c r="MN37" s="267">
        <f>MN$34+MN$36</f>
        <v/>
      </c>
      <c r="MO37" s="267">
        <f>MO$34+MO$36</f>
        <v/>
      </c>
      <c r="MP37" s="267">
        <f>MP$34+MP$36</f>
        <v/>
      </c>
      <c r="MQ37" s="267">
        <f>MQ$34+MQ$36</f>
        <v/>
      </c>
      <c r="MR37" s="267">
        <f>MR$34+MR$36</f>
        <v/>
      </c>
      <c r="MS37" s="267">
        <f>MS$34+MS$36</f>
        <v/>
      </c>
      <c r="MT37" s="267">
        <f>MT$34+MT$36</f>
        <v/>
      </c>
      <c r="MU37" s="267">
        <f>MU$34+MU$36</f>
        <v/>
      </c>
      <c r="MV37" s="267">
        <f>MV$34+MV$36</f>
        <v/>
      </c>
      <c r="MW37" s="267">
        <f>MW$34+MW$36</f>
        <v/>
      </c>
      <c r="MX37" s="267">
        <f>MX$34+MX$36</f>
        <v/>
      </c>
      <c r="MY37" s="267">
        <f>MY$34+MY$36</f>
        <v/>
      </c>
      <c r="MZ37" s="267">
        <f>MZ$34+MZ$36</f>
        <v/>
      </c>
      <c r="NA37" s="267">
        <f>NA$34+NA$36</f>
        <v/>
      </c>
      <c r="NB37" s="267">
        <f>NB$34+NB$36</f>
        <v/>
      </c>
      <c r="NC37" s="267">
        <f>NC$34+NC$36</f>
        <v/>
      </c>
      <c r="ND37" s="267">
        <f>ND$34+ND$36</f>
        <v/>
      </c>
      <c r="NE37" s="267">
        <f>NE$34+NE$36</f>
        <v/>
      </c>
      <c r="NF37" s="267">
        <f>NF$34+NF$36</f>
        <v/>
      </c>
      <c r="NG37" s="267">
        <f>NG$34+NG$36</f>
        <v/>
      </c>
      <c r="NH37" s="267">
        <f>NH$34+NH$36</f>
        <v/>
      </c>
      <c r="NI37" s="267">
        <f>NI$34+NI$36</f>
        <v/>
      </c>
      <c r="NJ37" s="267">
        <f>NJ$34+NJ$36</f>
        <v/>
      </c>
      <c r="NK37" s="267">
        <f>NK$34+NK$36</f>
        <v/>
      </c>
      <c r="NL37" s="253">
        <f>NL$34+NL$36</f>
        <v/>
      </c>
    </row>
    <row r="38">
      <c r="B38" s="50" t="inlineStr">
        <is>
          <t>Net Operating Income</t>
        </is>
      </c>
      <c r="D38" s="266">
        <f>SUM(E38:NL38)</f>
        <v/>
      </c>
      <c r="E38" s="267">
        <f>E$35-E$36</f>
        <v/>
      </c>
      <c r="F38" s="267">
        <f>F$35-F$36</f>
        <v/>
      </c>
      <c r="G38" s="267">
        <f>G$35-G$36</f>
        <v/>
      </c>
      <c r="H38" s="267">
        <f>H$35-H$36</f>
        <v/>
      </c>
      <c r="I38" s="267">
        <f>I$35-I$36</f>
        <v/>
      </c>
      <c r="J38" s="267">
        <f>J$35-J$36</f>
        <v/>
      </c>
      <c r="K38" s="267">
        <f>K$35-K$36</f>
        <v/>
      </c>
      <c r="L38" s="267">
        <f>L$35-L$36</f>
        <v/>
      </c>
      <c r="M38" s="267">
        <f>M$35-M$36</f>
        <v/>
      </c>
      <c r="N38" s="267">
        <f>N$35-N$36</f>
        <v/>
      </c>
      <c r="O38" s="267">
        <f>O$35-O$36</f>
        <v/>
      </c>
      <c r="P38" s="267">
        <f>P$35-P$36</f>
        <v/>
      </c>
      <c r="Q38" s="267">
        <f>Q$35-Q$36</f>
        <v/>
      </c>
      <c r="R38" s="267">
        <f>R$35-R$36</f>
        <v/>
      </c>
      <c r="S38" s="267">
        <f>S$35-S$36</f>
        <v/>
      </c>
      <c r="T38" s="267">
        <f>T$35-T$36</f>
        <v/>
      </c>
      <c r="U38" s="267">
        <f>U$35-U$36</f>
        <v/>
      </c>
      <c r="V38" s="267">
        <f>V$35-V$36</f>
        <v/>
      </c>
      <c r="W38" s="267">
        <f>W$35-W$36</f>
        <v/>
      </c>
      <c r="X38" s="267">
        <f>X$35-X$36</f>
        <v/>
      </c>
      <c r="Y38" s="267">
        <f>Y$35-Y$36</f>
        <v/>
      </c>
      <c r="Z38" s="267">
        <f>Z$35-Z$36</f>
        <v/>
      </c>
      <c r="AA38" s="267">
        <f>AA$35-AA$36</f>
        <v/>
      </c>
      <c r="AB38" s="267">
        <f>AB$35-AB$36</f>
        <v/>
      </c>
      <c r="AC38" s="267">
        <f>AC$35-AC$36</f>
        <v/>
      </c>
      <c r="AD38" s="267">
        <f>AD$35-AD$36</f>
        <v/>
      </c>
      <c r="AE38" s="267">
        <f>AE$35-AE$36</f>
        <v/>
      </c>
      <c r="AF38" s="267">
        <f>AF$35-AF$36</f>
        <v/>
      </c>
      <c r="AG38" s="267">
        <f>AG$35-AG$36</f>
        <v/>
      </c>
      <c r="AH38" s="267">
        <f>AH$35-AH$36</f>
        <v/>
      </c>
      <c r="AI38" s="267">
        <f>AI$35-AI$36</f>
        <v/>
      </c>
      <c r="AJ38" s="267">
        <f>AJ$35-AJ$36</f>
        <v/>
      </c>
      <c r="AK38" s="267">
        <f>AK$35-AK$36</f>
        <v/>
      </c>
      <c r="AL38" s="267">
        <f>AL$35-AL$36</f>
        <v/>
      </c>
      <c r="AM38" s="267">
        <f>AM$35-AM$36</f>
        <v/>
      </c>
      <c r="AN38" s="267">
        <f>AN$35-AN$36</f>
        <v/>
      </c>
      <c r="AO38" s="267">
        <f>AO$35-AO$36</f>
        <v/>
      </c>
      <c r="AP38" s="267">
        <f>AP$35-AP$36</f>
        <v/>
      </c>
      <c r="AQ38" s="267">
        <f>AQ$35-AQ$36</f>
        <v/>
      </c>
      <c r="AR38" s="267">
        <f>AR$35-AR$36</f>
        <v/>
      </c>
      <c r="AS38" s="267">
        <f>AS$35-AS$36</f>
        <v/>
      </c>
      <c r="AT38" s="267">
        <f>AT$35-AT$36</f>
        <v/>
      </c>
      <c r="AU38" s="267">
        <f>AU$35-AU$36</f>
        <v/>
      </c>
      <c r="AV38" s="267">
        <f>AV$35-AV$36</f>
        <v/>
      </c>
      <c r="AW38" s="267">
        <f>AW$35-AW$36</f>
        <v/>
      </c>
      <c r="AX38" s="267">
        <f>AX$35-AX$36</f>
        <v/>
      </c>
      <c r="AY38" s="267">
        <f>AY$35-AY$36</f>
        <v/>
      </c>
      <c r="AZ38" s="267">
        <f>AZ$35-AZ$36</f>
        <v/>
      </c>
      <c r="BA38" s="267">
        <f>BA$35-BA$36</f>
        <v/>
      </c>
      <c r="BB38" s="267">
        <f>BB$35-BB$36</f>
        <v/>
      </c>
      <c r="BC38" s="267">
        <f>BC$35-BC$36</f>
        <v/>
      </c>
      <c r="BD38" s="267">
        <f>BD$35-BD$36</f>
        <v/>
      </c>
      <c r="BE38" s="267">
        <f>BE$35-BE$36</f>
        <v/>
      </c>
      <c r="BF38" s="267">
        <f>BF$35-BF$36</f>
        <v/>
      </c>
      <c r="BG38" s="267">
        <f>BG$35-BG$36</f>
        <v/>
      </c>
      <c r="BH38" s="267">
        <f>BH$35-BH$36</f>
        <v/>
      </c>
      <c r="BI38" s="267">
        <f>BI$35-BI$36</f>
        <v/>
      </c>
      <c r="BJ38" s="267">
        <f>BJ$35-BJ$36</f>
        <v/>
      </c>
      <c r="BK38" s="267">
        <f>BK$35-BK$36</f>
        <v/>
      </c>
      <c r="BL38" s="267">
        <f>BL$35-BL$36</f>
        <v/>
      </c>
      <c r="BM38" s="267">
        <f>BM$35-BM$36</f>
        <v/>
      </c>
      <c r="BN38" s="267">
        <f>BN$35-BN$36</f>
        <v/>
      </c>
      <c r="BO38" s="267">
        <f>BO$35-BO$36</f>
        <v/>
      </c>
      <c r="BP38" s="267">
        <f>BP$35-BP$36</f>
        <v/>
      </c>
      <c r="BQ38" s="267">
        <f>BQ$35-BQ$36</f>
        <v/>
      </c>
      <c r="BR38" s="267">
        <f>BR$35-BR$36</f>
        <v/>
      </c>
      <c r="BS38" s="267">
        <f>BS$35-BS$36</f>
        <v/>
      </c>
      <c r="BT38" s="267">
        <f>BT$35-BT$36</f>
        <v/>
      </c>
      <c r="BU38" s="267">
        <f>BU$35-BU$36</f>
        <v/>
      </c>
      <c r="BV38" s="267">
        <f>BV$35-BV$36</f>
        <v/>
      </c>
      <c r="BW38" s="267">
        <f>BW$35-BW$36</f>
        <v/>
      </c>
      <c r="BX38" s="267">
        <f>BX$35-BX$36</f>
        <v/>
      </c>
      <c r="BY38" s="267">
        <f>BY$35-BY$36</f>
        <v/>
      </c>
      <c r="BZ38" s="267">
        <f>BZ$35-BZ$36</f>
        <v/>
      </c>
      <c r="CA38" s="267">
        <f>CA$35-CA$36</f>
        <v/>
      </c>
      <c r="CB38" s="267">
        <f>CB$35-CB$36</f>
        <v/>
      </c>
      <c r="CC38" s="267">
        <f>CC$35-CC$36</f>
        <v/>
      </c>
      <c r="CD38" s="267">
        <f>CD$35-CD$36</f>
        <v/>
      </c>
      <c r="CE38" s="267">
        <f>CE$35-CE$36</f>
        <v/>
      </c>
      <c r="CF38" s="267">
        <f>CF$35-CF$36</f>
        <v/>
      </c>
      <c r="CG38" s="267">
        <f>CG$35-CG$36</f>
        <v/>
      </c>
      <c r="CH38" s="267">
        <f>CH$35-CH$36</f>
        <v/>
      </c>
      <c r="CI38" s="267">
        <f>CI$35-CI$36</f>
        <v/>
      </c>
      <c r="CJ38" s="267">
        <f>CJ$35-CJ$36</f>
        <v/>
      </c>
      <c r="CK38" s="267">
        <f>CK$35-CK$36</f>
        <v/>
      </c>
      <c r="CL38" s="267">
        <f>CL$35-CL$36</f>
        <v/>
      </c>
      <c r="CM38" s="267">
        <f>CM$35-CM$36</f>
        <v/>
      </c>
      <c r="CN38" s="267">
        <f>CN$35-CN$36</f>
        <v/>
      </c>
      <c r="CO38" s="267">
        <f>CO$35-CO$36</f>
        <v/>
      </c>
      <c r="CP38" s="267">
        <f>CP$35-CP$36</f>
        <v/>
      </c>
      <c r="CQ38" s="267">
        <f>CQ$35-CQ$36</f>
        <v/>
      </c>
      <c r="CR38" s="267">
        <f>CR$35-CR$36</f>
        <v/>
      </c>
      <c r="CS38" s="267">
        <f>CS$35-CS$36</f>
        <v/>
      </c>
      <c r="CT38" s="267">
        <f>CT$35-CT$36</f>
        <v/>
      </c>
      <c r="CU38" s="267">
        <f>CU$35-CU$36</f>
        <v/>
      </c>
      <c r="CV38" s="267">
        <f>CV$35-CV$36</f>
        <v/>
      </c>
      <c r="CW38" s="267">
        <f>CW$35-CW$36</f>
        <v/>
      </c>
      <c r="CX38" s="267">
        <f>CX$35-CX$36</f>
        <v/>
      </c>
      <c r="CY38" s="267">
        <f>CY$35-CY$36</f>
        <v/>
      </c>
      <c r="CZ38" s="267">
        <f>CZ$35-CZ$36</f>
        <v/>
      </c>
      <c r="DA38" s="267">
        <f>DA$35-DA$36</f>
        <v/>
      </c>
      <c r="DB38" s="267">
        <f>DB$35-DB$36</f>
        <v/>
      </c>
      <c r="DC38" s="267">
        <f>DC$35-DC$36</f>
        <v/>
      </c>
      <c r="DD38" s="267">
        <f>DD$35-DD$36</f>
        <v/>
      </c>
      <c r="DE38" s="267">
        <f>DE$35-DE$36</f>
        <v/>
      </c>
      <c r="DF38" s="267">
        <f>DF$35-DF$36</f>
        <v/>
      </c>
      <c r="DG38" s="267">
        <f>DG$35-DG$36</f>
        <v/>
      </c>
      <c r="DH38" s="267">
        <f>DH$35-DH$36</f>
        <v/>
      </c>
      <c r="DI38" s="267">
        <f>DI$35-DI$36</f>
        <v/>
      </c>
      <c r="DJ38" s="267">
        <f>DJ$35-DJ$36</f>
        <v/>
      </c>
      <c r="DK38" s="267">
        <f>DK$35-DK$36</f>
        <v/>
      </c>
      <c r="DL38" s="267">
        <f>DL$35-DL$36</f>
        <v/>
      </c>
      <c r="DM38" s="267">
        <f>DM$35-DM$36</f>
        <v/>
      </c>
      <c r="DN38" s="267">
        <f>DN$35-DN$36</f>
        <v/>
      </c>
      <c r="DO38" s="267">
        <f>DO$35-DO$36</f>
        <v/>
      </c>
      <c r="DP38" s="267">
        <f>DP$35-DP$36</f>
        <v/>
      </c>
      <c r="DQ38" s="267">
        <f>DQ$35-DQ$36</f>
        <v/>
      </c>
      <c r="DR38" s="267">
        <f>DR$35-DR$36</f>
        <v/>
      </c>
      <c r="DS38" s="267">
        <f>DS$35-DS$36</f>
        <v/>
      </c>
      <c r="DT38" s="267">
        <f>DT$35-DT$36</f>
        <v/>
      </c>
      <c r="DU38" s="267">
        <f>DU$35-DU$36</f>
        <v/>
      </c>
      <c r="DV38" s="267">
        <f>DV$35-DV$36</f>
        <v/>
      </c>
      <c r="DW38" s="267">
        <f>DW$35-DW$36</f>
        <v/>
      </c>
      <c r="DX38" s="267">
        <f>DX$35-DX$36</f>
        <v/>
      </c>
      <c r="DY38" s="267">
        <f>DY$35-DY$36</f>
        <v/>
      </c>
      <c r="DZ38" s="267">
        <f>DZ$35-DZ$36</f>
        <v/>
      </c>
      <c r="EA38" s="267">
        <f>EA$35-EA$36</f>
        <v/>
      </c>
      <c r="EB38" s="267">
        <f>EB$35-EB$36</f>
        <v/>
      </c>
      <c r="EC38" s="267">
        <f>EC$35-EC$36</f>
        <v/>
      </c>
      <c r="ED38" s="267">
        <f>ED$35-ED$36</f>
        <v/>
      </c>
      <c r="EE38" s="267">
        <f>EE$35-EE$36</f>
        <v/>
      </c>
      <c r="EF38" s="267">
        <f>EF$35-EF$36</f>
        <v/>
      </c>
      <c r="EG38" s="267">
        <f>EG$35-EG$36</f>
        <v/>
      </c>
      <c r="EH38" s="267">
        <f>EH$35-EH$36</f>
        <v/>
      </c>
      <c r="EI38" s="267">
        <f>EI$35-EI$36</f>
        <v/>
      </c>
      <c r="EJ38" s="267">
        <f>EJ$35-EJ$36</f>
        <v/>
      </c>
      <c r="EK38" s="267">
        <f>EK$35-EK$36</f>
        <v/>
      </c>
      <c r="EL38" s="267">
        <f>EL$35-EL$36</f>
        <v/>
      </c>
      <c r="EM38" s="267">
        <f>EM$35-EM$36</f>
        <v/>
      </c>
      <c r="EN38" s="267">
        <f>EN$35-EN$36</f>
        <v/>
      </c>
      <c r="EO38" s="267">
        <f>EO$35-EO$36</f>
        <v/>
      </c>
      <c r="EP38" s="267">
        <f>EP$35-EP$36</f>
        <v/>
      </c>
      <c r="EQ38" s="267">
        <f>EQ$35-EQ$36</f>
        <v/>
      </c>
      <c r="ER38" s="267">
        <f>ER$35-ER$36</f>
        <v/>
      </c>
      <c r="ES38" s="267">
        <f>ES$35-ES$36</f>
        <v/>
      </c>
      <c r="ET38" s="267">
        <f>ET$35-ET$36</f>
        <v/>
      </c>
      <c r="EU38" s="267">
        <f>EU$35-EU$36</f>
        <v/>
      </c>
      <c r="EV38" s="267">
        <f>EV$35-EV$36</f>
        <v/>
      </c>
      <c r="EW38" s="267">
        <f>EW$35-EW$36</f>
        <v/>
      </c>
      <c r="EX38" s="267">
        <f>EX$35-EX$36</f>
        <v/>
      </c>
      <c r="EY38" s="267">
        <f>EY$35-EY$36</f>
        <v/>
      </c>
      <c r="EZ38" s="267">
        <f>EZ$35-EZ$36</f>
        <v/>
      </c>
      <c r="FA38" s="267">
        <f>FA$35-FA$36</f>
        <v/>
      </c>
      <c r="FB38" s="267">
        <f>FB$35-FB$36</f>
        <v/>
      </c>
      <c r="FC38" s="267">
        <f>FC$35-FC$36</f>
        <v/>
      </c>
      <c r="FD38" s="267">
        <f>FD$35-FD$36</f>
        <v/>
      </c>
      <c r="FE38" s="267">
        <f>FE$35-FE$36</f>
        <v/>
      </c>
      <c r="FF38" s="267">
        <f>FF$35-FF$36</f>
        <v/>
      </c>
      <c r="FG38" s="267">
        <f>FG$35-FG$36</f>
        <v/>
      </c>
      <c r="FH38" s="267">
        <f>FH$35-FH$36</f>
        <v/>
      </c>
      <c r="FI38" s="267">
        <f>FI$35-FI$36</f>
        <v/>
      </c>
      <c r="FJ38" s="267">
        <f>FJ$35-FJ$36</f>
        <v/>
      </c>
      <c r="FK38" s="267">
        <f>FK$35-FK$36</f>
        <v/>
      </c>
      <c r="FL38" s="267">
        <f>FL$35-FL$36</f>
        <v/>
      </c>
      <c r="FM38" s="267">
        <f>FM$35-FM$36</f>
        <v/>
      </c>
      <c r="FN38" s="267">
        <f>FN$35-FN$36</f>
        <v/>
      </c>
      <c r="FO38" s="267">
        <f>FO$35-FO$36</f>
        <v/>
      </c>
      <c r="FP38" s="267">
        <f>FP$35-FP$36</f>
        <v/>
      </c>
      <c r="FQ38" s="267">
        <f>FQ$35-FQ$36</f>
        <v/>
      </c>
      <c r="FR38" s="267">
        <f>FR$35-FR$36</f>
        <v/>
      </c>
      <c r="FS38" s="267">
        <f>FS$35-FS$36</f>
        <v/>
      </c>
      <c r="FT38" s="267">
        <f>FT$35-FT$36</f>
        <v/>
      </c>
      <c r="FU38" s="267">
        <f>FU$35-FU$36</f>
        <v/>
      </c>
      <c r="FV38" s="267">
        <f>FV$35-FV$36</f>
        <v/>
      </c>
      <c r="FW38" s="267">
        <f>FW$35-FW$36</f>
        <v/>
      </c>
      <c r="FX38" s="267">
        <f>FX$35-FX$36</f>
        <v/>
      </c>
      <c r="FY38" s="267">
        <f>FY$35-FY$36</f>
        <v/>
      </c>
      <c r="FZ38" s="267">
        <f>FZ$35-FZ$36</f>
        <v/>
      </c>
      <c r="GA38" s="267">
        <f>GA$35-GA$36</f>
        <v/>
      </c>
      <c r="GB38" s="267">
        <f>GB$35-GB$36</f>
        <v/>
      </c>
      <c r="GC38" s="267">
        <f>GC$35-GC$36</f>
        <v/>
      </c>
      <c r="GD38" s="267">
        <f>GD$35-GD$36</f>
        <v/>
      </c>
      <c r="GE38" s="267">
        <f>GE$35-GE$36</f>
        <v/>
      </c>
      <c r="GF38" s="267">
        <f>GF$35-GF$36</f>
        <v/>
      </c>
      <c r="GG38" s="267">
        <f>GG$35-GG$36</f>
        <v/>
      </c>
      <c r="GH38" s="267">
        <f>GH$35-GH$36</f>
        <v/>
      </c>
      <c r="GI38" s="267">
        <f>GI$35-GI$36</f>
        <v/>
      </c>
      <c r="GJ38" s="267">
        <f>GJ$35-GJ$36</f>
        <v/>
      </c>
      <c r="GK38" s="267">
        <f>GK$35-GK$36</f>
        <v/>
      </c>
      <c r="GL38" s="267">
        <f>GL$35-GL$36</f>
        <v/>
      </c>
      <c r="GM38" s="267">
        <f>GM$35-GM$36</f>
        <v/>
      </c>
      <c r="GN38" s="267">
        <f>GN$35-GN$36</f>
        <v/>
      </c>
      <c r="GO38" s="267">
        <f>GO$35-GO$36</f>
        <v/>
      </c>
      <c r="GP38" s="267">
        <f>GP$35-GP$36</f>
        <v/>
      </c>
      <c r="GQ38" s="267">
        <f>GQ$35-GQ$36</f>
        <v/>
      </c>
      <c r="GR38" s="267">
        <f>GR$35-GR$36</f>
        <v/>
      </c>
      <c r="GS38" s="267">
        <f>GS$35-GS$36</f>
        <v/>
      </c>
      <c r="GT38" s="267">
        <f>GT$35-GT$36</f>
        <v/>
      </c>
      <c r="GU38" s="267">
        <f>GU$35-GU$36</f>
        <v/>
      </c>
      <c r="GV38" s="267">
        <f>GV$35-GV$36</f>
        <v/>
      </c>
      <c r="GW38" s="267">
        <f>GW$35-GW$36</f>
        <v/>
      </c>
      <c r="GX38" s="267">
        <f>GX$35-GX$36</f>
        <v/>
      </c>
      <c r="GY38" s="267">
        <f>GY$35-GY$36</f>
        <v/>
      </c>
      <c r="GZ38" s="267">
        <f>GZ$35-GZ$36</f>
        <v/>
      </c>
      <c r="HA38" s="267">
        <f>HA$35-HA$36</f>
        <v/>
      </c>
      <c r="HB38" s="267">
        <f>HB$35-HB$36</f>
        <v/>
      </c>
      <c r="HC38" s="267">
        <f>HC$35-HC$36</f>
        <v/>
      </c>
      <c r="HD38" s="267">
        <f>HD$35-HD$36</f>
        <v/>
      </c>
      <c r="HE38" s="267">
        <f>HE$35-HE$36</f>
        <v/>
      </c>
      <c r="HF38" s="267">
        <f>HF$35-HF$36</f>
        <v/>
      </c>
      <c r="HG38" s="267">
        <f>HG$35-HG$36</f>
        <v/>
      </c>
      <c r="HH38" s="267">
        <f>HH$35-HH$36</f>
        <v/>
      </c>
      <c r="HI38" s="267">
        <f>HI$35-HI$36</f>
        <v/>
      </c>
      <c r="HJ38" s="267">
        <f>HJ$35-HJ$36</f>
        <v/>
      </c>
      <c r="HK38" s="267">
        <f>HK$35-HK$36</f>
        <v/>
      </c>
      <c r="HL38" s="267">
        <f>HL$35-HL$36</f>
        <v/>
      </c>
      <c r="HM38" s="267">
        <f>HM$35-HM$36</f>
        <v/>
      </c>
      <c r="HN38" s="267">
        <f>HN$35-HN$36</f>
        <v/>
      </c>
      <c r="HO38" s="267">
        <f>HO$35-HO$36</f>
        <v/>
      </c>
      <c r="HP38" s="267">
        <f>HP$35-HP$36</f>
        <v/>
      </c>
      <c r="HQ38" s="267">
        <f>HQ$35-HQ$36</f>
        <v/>
      </c>
      <c r="HR38" s="267">
        <f>HR$35-HR$36</f>
        <v/>
      </c>
      <c r="HS38" s="267">
        <f>HS$35-HS$36</f>
        <v/>
      </c>
      <c r="HT38" s="267">
        <f>HT$35-HT$36</f>
        <v/>
      </c>
      <c r="HU38" s="267">
        <f>HU$35-HU$36</f>
        <v/>
      </c>
      <c r="HV38" s="267">
        <f>HV$35-HV$36</f>
        <v/>
      </c>
      <c r="HW38" s="267">
        <f>HW$35-HW$36</f>
        <v/>
      </c>
      <c r="HX38" s="267">
        <f>HX$35-HX$36</f>
        <v/>
      </c>
      <c r="HY38" s="267">
        <f>HY$35-HY$36</f>
        <v/>
      </c>
      <c r="HZ38" s="267">
        <f>HZ$35-HZ$36</f>
        <v/>
      </c>
      <c r="IA38" s="267">
        <f>IA$35-IA$36</f>
        <v/>
      </c>
      <c r="IB38" s="267">
        <f>IB$35-IB$36</f>
        <v/>
      </c>
      <c r="IC38" s="267">
        <f>IC$35-IC$36</f>
        <v/>
      </c>
      <c r="ID38" s="267">
        <f>ID$35-ID$36</f>
        <v/>
      </c>
      <c r="IE38" s="267">
        <f>IE$35-IE$36</f>
        <v/>
      </c>
      <c r="IF38" s="267">
        <f>IF$35-IF$36</f>
        <v/>
      </c>
      <c r="IG38" s="267">
        <f>IG$35-IG$36</f>
        <v/>
      </c>
      <c r="IH38" s="267">
        <f>IH$35-IH$36</f>
        <v/>
      </c>
      <c r="II38" s="267">
        <f>II$35-II$36</f>
        <v/>
      </c>
      <c r="IJ38" s="267">
        <f>IJ$35-IJ$36</f>
        <v/>
      </c>
      <c r="IK38" s="267">
        <f>IK$35-IK$36</f>
        <v/>
      </c>
      <c r="IL38" s="267">
        <f>IL$35-IL$36</f>
        <v/>
      </c>
      <c r="IM38" s="267">
        <f>IM$35-IM$36</f>
        <v/>
      </c>
      <c r="IN38" s="267">
        <f>IN$35-IN$36</f>
        <v/>
      </c>
      <c r="IO38" s="267">
        <f>IO$35-IO$36</f>
        <v/>
      </c>
      <c r="IP38" s="267">
        <f>IP$35-IP$36</f>
        <v/>
      </c>
      <c r="IQ38" s="267">
        <f>IQ$35-IQ$36</f>
        <v/>
      </c>
      <c r="IR38" s="267">
        <f>IR$35-IR$36</f>
        <v/>
      </c>
      <c r="IS38" s="267">
        <f>IS$35-IS$36</f>
        <v/>
      </c>
      <c r="IT38" s="267">
        <f>IT$35-IT$36</f>
        <v/>
      </c>
      <c r="IU38" s="267">
        <f>IU$35-IU$36</f>
        <v/>
      </c>
      <c r="IV38" s="267">
        <f>IV$35-IV$36</f>
        <v/>
      </c>
      <c r="IW38" s="267">
        <f>IW$35-IW$36</f>
        <v/>
      </c>
      <c r="IX38" s="267">
        <f>IX$35-IX$36</f>
        <v/>
      </c>
      <c r="IY38" s="267">
        <f>IY$35-IY$36</f>
        <v/>
      </c>
      <c r="IZ38" s="267">
        <f>IZ$35-IZ$36</f>
        <v/>
      </c>
      <c r="JA38" s="267">
        <f>JA$35-JA$36</f>
        <v/>
      </c>
      <c r="JB38" s="267">
        <f>JB$35-JB$36</f>
        <v/>
      </c>
      <c r="JC38" s="267">
        <f>JC$35-JC$36</f>
        <v/>
      </c>
      <c r="JD38" s="267">
        <f>JD$35-JD$36</f>
        <v/>
      </c>
      <c r="JE38" s="267">
        <f>JE$35-JE$36</f>
        <v/>
      </c>
      <c r="JF38" s="267">
        <f>JF$35-JF$36</f>
        <v/>
      </c>
      <c r="JG38" s="267">
        <f>JG$35-JG$36</f>
        <v/>
      </c>
      <c r="JH38" s="267">
        <f>JH$35-JH$36</f>
        <v/>
      </c>
      <c r="JI38" s="267">
        <f>JI$35-JI$36</f>
        <v/>
      </c>
      <c r="JJ38" s="267">
        <f>JJ$35-JJ$36</f>
        <v/>
      </c>
      <c r="JK38" s="267">
        <f>JK$35-JK$36</f>
        <v/>
      </c>
      <c r="JL38" s="267">
        <f>JL$35-JL$36</f>
        <v/>
      </c>
      <c r="JM38" s="267">
        <f>JM$35-JM$36</f>
        <v/>
      </c>
      <c r="JN38" s="267">
        <f>JN$35-JN$36</f>
        <v/>
      </c>
      <c r="JO38" s="267">
        <f>JO$35-JO$36</f>
        <v/>
      </c>
      <c r="JP38" s="267">
        <f>JP$35-JP$36</f>
        <v/>
      </c>
      <c r="JQ38" s="267">
        <f>JQ$35-JQ$36</f>
        <v/>
      </c>
      <c r="JR38" s="267">
        <f>JR$35-JR$36</f>
        <v/>
      </c>
      <c r="JS38" s="267">
        <f>JS$35-JS$36</f>
        <v/>
      </c>
      <c r="JT38" s="267">
        <f>JT$35-JT$36</f>
        <v/>
      </c>
      <c r="JU38" s="267">
        <f>JU$35-JU$36</f>
        <v/>
      </c>
      <c r="JV38" s="267">
        <f>JV$35-JV$36</f>
        <v/>
      </c>
      <c r="JW38" s="267">
        <f>JW$35-JW$36</f>
        <v/>
      </c>
      <c r="JX38" s="267">
        <f>JX$35-JX$36</f>
        <v/>
      </c>
      <c r="JY38" s="267">
        <f>JY$35-JY$36</f>
        <v/>
      </c>
      <c r="JZ38" s="267">
        <f>JZ$35-JZ$36</f>
        <v/>
      </c>
      <c r="KA38" s="267">
        <f>KA$35-KA$36</f>
        <v/>
      </c>
      <c r="KB38" s="267">
        <f>KB$35-KB$36</f>
        <v/>
      </c>
      <c r="KC38" s="267">
        <f>KC$35-KC$36</f>
        <v/>
      </c>
      <c r="KD38" s="267">
        <f>KD$35-KD$36</f>
        <v/>
      </c>
      <c r="KE38" s="267">
        <f>KE$35-KE$36</f>
        <v/>
      </c>
      <c r="KF38" s="267">
        <f>KF$35-KF$36</f>
        <v/>
      </c>
      <c r="KG38" s="267">
        <f>KG$35-KG$36</f>
        <v/>
      </c>
      <c r="KH38" s="267">
        <f>KH$35-KH$36</f>
        <v/>
      </c>
      <c r="KI38" s="267">
        <f>KI$35-KI$36</f>
        <v/>
      </c>
      <c r="KJ38" s="267">
        <f>KJ$35-KJ$36</f>
        <v/>
      </c>
      <c r="KK38" s="267">
        <f>KK$35-KK$36</f>
        <v/>
      </c>
      <c r="KL38" s="267">
        <f>KL$35-KL$36</f>
        <v/>
      </c>
      <c r="KM38" s="267">
        <f>KM$35-KM$36</f>
        <v/>
      </c>
      <c r="KN38" s="267">
        <f>KN$35-KN$36</f>
        <v/>
      </c>
      <c r="KO38" s="267">
        <f>KO$35-KO$36</f>
        <v/>
      </c>
      <c r="KP38" s="267">
        <f>KP$35-KP$36</f>
        <v/>
      </c>
      <c r="KQ38" s="267">
        <f>KQ$35-KQ$36</f>
        <v/>
      </c>
      <c r="KR38" s="267">
        <f>KR$35-KR$36</f>
        <v/>
      </c>
      <c r="KS38" s="267">
        <f>KS$35-KS$36</f>
        <v/>
      </c>
      <c r="KT38" s="267">
        <f>KT$35-KT$36</f>
        <v/>
      </c>
      <c r="KU38" s="267">
        <f>KU$35-KU$36</f>
        <v/>
      </c>
      <c r="KV38" s="267">
        <f>KV$35-KV$36</f>
        <v/>
      </c>
      <c r="KW38" s="267">
        <f>KW$35-KW$36</f>
        <v/>
      </c>
      <c r="KX38" s="267">
        <f>KX$35-KX$36</f>
        <v/>
      </c>
      <c r="KY38" s="267">
        <f>KY$35-KY$36</f>
        <v/>
      </c>
      <c r="KZ38" s="267">
        <f>KZ$35-KZ$36</f>
        <v/>
      </c>
      <c r="LA38" s="267">
        <f>LA$35-LA$36</f>
        <v/>
      </c>
      <c r="LB38" s="267">
        <f>LB$35-LB$36</f>
        <v/>
      </c>
      <c r="LC38" s="267">
        <f>LC$35-LC$36</f>
        <v/>
      </c>
      <c r="LD38" s="267">
        <f>LD$35-LD$36</f>
        <v/>
      </c>
      <c r="LE38" s="267">
        <f>LE$35-LE$36</f>
        <v/>
      </c>
      <c r="LF38" s="267">
        <f>LF$35-LF$36</f>
        <v/>
      </c>
      <c r="LG38" s="267">
        <f>LG$35-LG$36</f>
        <v/>
      </c>
      <c r="LH38" s="267">
        <f>LH$35-LH$36</f>
        <v/>
      </c>
      <c r="LI38" s="267">
        <f>LI$35-LI$36</f>
        <v/>
      </c>
      <c r="LJ38" s="267">
        <f>LJ$35-LJ$36</f>
        <v/>
      </c>
      <c r="LK38" s="267">
        <f>LK$35-LK$36</f>
        <v/>
      </c>
      <c r="LL38" s="267">
        <f>LL$35-LL$36</f>
        <v/>
      </c>
      <c r="LM38" s="267">
        <f>LM$35-LM$36</f>
        <v/>
      </c>
      <c r="LN38" s="267">
        <f>LN$35-LN$36</f>
        <v/>
      </c>
      <c r="LO38" s="267">
        <f>LO$35-LO$36</f>
        <v/>
      </c>
      <c r="LP38" s="267">
        <f>LP$35-LP$36</f>
        <v/>
      </c>
      <c r="LQ38" s="267">
        <f>LQ$35-LQ$36</f>
        <v/>
      </c>
      <c r="LR38" s="267">
        <f>LR$35-LR$36</f>
        <v/>
      </c>
      <c r="LS38" s="267">
        <f>LS$35-LS$36</f>
        <v/>
      </c>
      <c r="LT38" s="267">
        <f>LT$35-LT$36</f>
        <v/>
      </c>
      <c r="LU38" s="267">
        <f>LU$35-LU$36</f>
        <v/>
      </c>
      <c r="LV38" s="267">
        <f>LV$35-LV$36</f>
        <v/>
      </c>
      <c r="LW38" s="267">
        <f>LW$35-LW$36</f>
        <v/>
      </c>
      <c r="LX38" s="267">
        <f>LX$35-LX$36</f>
        <v/>
      </c>
      <c r="LY38" s="267">
        <f>LY$35-LY$36</f>
        <v/>
      </c>
      <c r="LZ38" s="267">
        <f>LZ$35-LZ$36</f>
        <v/>
      </c>
      <c r="MA38" s="267">
        <f>MA$35-MA$36</f>
        <v/>
      </c>
      <c r="MB38" s="267">
        <f>MB$35-MB$36</f>
        <v/>
      </c>
      <c r="MC38" s="267">
        <f>MC$35-MC$36</f>
        <v/>
      </c>
      <c r="MD38" s="267">
        <f>MD$35-MD$36</f>
        <v/>
      </c>
      <c r="ME38" s="267">
        <f>ME$35-ME$36</f>
        <v/>
      </c>
      <c r="MF38" s="267">
        <f>MF$35-MF$36</f>
        <v/>
      </c>
      <c r="MG38" s="267">
        <f>MG$35-MG$36</f>
        <v/>
      </c>
      <c r="MH38" s="267">
        <f>MH$35-MH$36</f>
        <v/>
      </c>
      <c r="MI38" s="267">
        <f>MI$35-MI$36</f>
        <v/>
      </c>
      <c r="MJ38" s="267">
        <f>MJ$35-MJ$36</f>
        <v/>
      </c>
      <c r="MK38" s="267">
        <f>MK$35-MK$36</f>
        <v/>
      </c>
      <c r="ML38" s="267">
        <f>ML$35-ML$36</f>
        <v/>
      </c>
      <c r="MM38" s="267">
        <f>MM$35-MM$36</f>
        <v/>
      </c>
      <c r="MN38" s="267">
        <f>MN$35-MN$36</f>
        <v/>
      </c>
      <c r="MO38" s="267">
        <f>MO$35-MO$36</f>
        <v/>
      </c>
      <c r="MP38" s="267">
        <f>MP$35-MP$36</f>
        <v/>
      </c>
      <c r="MQ38" s="267">
        <f>MQ$35-MQ$36</f>
        <v/>
      </c>
      <c r="MR38" s="267">
        <f>MR$35-MR$36</f>
        <v/>
      </c>
      <c r="MS38" s="267">
        <f>MS$35-MS$36</f>
        <v/>
      </c>
      <c r="MT38" s="267">
        <f>MT$35-MT$36</f>
        <v/>
      </c>
      <c r="MU38" s="267">
        <f>MU$35-MU$36</f>
        <v/>
      </c>
      <c r="MV38" s="267">
        <f>MV$35-MV$36</f>
        <v/>
      </c>
      <c r="MW38" s="267">
        <f>MW$35-MW$36</f>
        <v/>
      </c>
      <c r="MX38" s="267">
        <f>MX$35-MX$36</f>
        <v/>
      </c>
      <c r="MY38" s="267">
        <f>MY$35-MY$36</f>
        <v/>
      </c>
      <c r="MZ38" s="267">
        <f>MZ$35-MZ$36</f>
        <v/>
      </c>
      <c r="NA38" s="267">
        <f>NA$35-NA$36</f>
        <v/>
      </c>
      <c r="NB38" s="267">
        <f>NB$35-NB$36</f>
        <v/>
      </c>
      <c r="NC38" s="267">
        <f>NC$35-NC$36</f>
        <v/>
      </c>
      <c r="ND38" s="267">
        <f>ND$35-ND$36</f>
        <v/>
      </c>
      <c r="NE38" s="267">
        <f>NE$35-NE$36</f>
        <v/>
      </c>
      <c r="NF38" s="267">
        <f>NF$35-NF$36</f>
        <v/>
      </c>
      <c r="NG38" s="267">
        <f>NG$35-NG$36</f>
        <v/>
      </c>
      <c r="NH38" s="267">
        <f>NH$35-NH$36</f>
        <v/>
      </c>
      <c r="NI38" s="267">
        <f>NI$35-NI$36</f>
        <v/>
      </c>
      <c r="NJ38" s="267">
        <f>NJ$35-NJ$36</f>
        <v/>
      </c>
      <c r="NK38" s="267">
        <f>NK$35-NK$36</f>
        <v/>
      </c>
      <c r="NL38" s="253">
        <f>NL$35-NL$36</f>
        <v/>
      </c>
    </row>
    <row r="39">
      <c r="B39" s="154" t="inlineStr">
        <is>
          <t>Below-NOI Items</t>
        </is>
      </c>
      <c r="C39" s="155" t="n"/>
      <c r="D39" s="155" t="n"/>
      <c r="NL39" s="53" t="n"/>
    </row>
    <row r="40">
      <c r="B40" s="36" t="inlineStr">
        <is>
          <t>Capital Reserves + Tax Prep + Asset Mgmt Fee</t>
        </is>
      </c>
      <c r="D40" s="266">
        <f>SUM(E40:NL40)</f>
        <v/>
      </c>
      <c r="E40" s="218">
        <f>IF(1&gt;=DeliverStart,CapReservePerUnit*TotalUnits/12+TaxPrepPerUnit*TotalUnits/12+AssetMgmtFeePct*E$23,0)</f>
        <v/>
      </c>
      <c r="F40" s="218">
        <f>IF(2&gt;=DeliverStart,CapReservePerUnit*TotalUnits/12+TaxPrepPerUnit*TotalUnits/12+AssetMgmtFeePct*F$23,0)</f>
        <v/>
      </c>
      <c r="G40" s="218">
        <f>IF(3&gt;=DeliverStart,CapReservePerUnit*TotalUnits/12+TaxPrepPerUnit*TotalUnits/12+AssetMgmtFeePct*G$23,0)</f>
        <v/>
      </c>
      <c r="H40" s="218">
        <f>IF(4&gt;=DeliverStart,CapReservePerUnit*TotalUnits/12+TaxPrepPerUnit*TotalUnits/12+AssetMgmtFeePct*H$23,0)</f>
        <v/>
      </c>
      <c r="I40" s="218">
        <f>IF(5&gt;=DeliverStart,CapReservePerUnit*TotalUnits/12+TaxPrepPerUnit*TotalUnits/12+AssetMgmtFeePct*I$23,0)</f>
        <v/>
      </c>
      <c r="J40" s="218">
        <f>IF(6&gt;=DeliverStart,CapReservePerUnit*TotalUnits/12+TaxPrepPerUnit*TotalUnits/12+AssetMgmtFeePct*J$23,0)</f>
        <v/>
      </c>
      <c r="K40" s="218">
        <f>IF(7&gt;=DeliverStart,CapReservePerUnit*TotalUnits/12+TaxPrepPerUnit*TotalUnits/12+AssetMgmtFeePct*K$23,0)</f>
        <v/>
      </c>
      <c r="L40" s="218">
        <f>IF(8&gt;=DeliverStart,CapReservePerUnit*TotalUnits/12+TaxPrepPerUnit*TotalUnits/12+AssetMgmtFeePct*L$23,0)</f>
        <v/>
      </c>
      <c r="M40" s="218">
        <f>IF(9&gt;=DeliverStart,CapReservePerUnit*TotalUnits/12+TaxPrepPerUnit*TotalUnits/12+AssetMgmtFeePct*M$23,0)</f>
        <v/>
      </c>
      <c r="N40" s="218">
        <f>IF(10&gt;=DeliverStart,CapReservePerUnit*TotalUnits/12+TaxPrepPerUnit*TotalUnits/12+AssetMgmtFeePct*N$23,0)</f>
        <v/>
      </c>
      <c r="O40" s="218">
        <f>IF(11&gt;=DeliverStart,CapReservePerUnit*TotalUnits/12+TaxPrepPerUnit*TotalUnits/12+AssetMgmtFeePct*O$23,0)</f>
        <v/>
      </c>
      <c r="P40" s="218">
        <f>IF(12&gt;=DeliverStart,CapReservePerUnit*TotalUnits/12+TaxPrepPerUnit*TotalUnits/12+AssetMgmtFeePct*P$23,0)</f>
        <v/>
      </c>
      <c r="Q40" s="218">
        <f>IF(13&gt;=DeliverStart,CapReservePerUnit*TotalUnits/12+TaxPrepPerUnit*TotalUnits/12+AssetMgmtFeePct*Q$23,0)</f>
        <v/>
      </c>
      <c r="R40" s="218">
        <f>IF(14&gt;=DeliverStart,CapReservePerUnit*TotalUnits/12+TaxPrepPerUnit*TotalUnits/12+AssetMgmtFeePct*R$23,0)</f>
        <v/>
      </c>
      <c r="S40" s="218">
        <f>IF(15&gt;=DeliverStart,CapReservePerUnit*TotalUnits/12+TaxPrepPerUnit*TotalUnits/12+AssetMgmtFeePct*S$23,0)</f>
        <v/>
      </c>
      <c r="T40" s="218">
        <f>IF(16&gt;=DeliverStart,CapReservePerUnit*TotalUnits/12+TaxPrepPerUnit*TotalUnits/12+AssetMgmtFeePct*T$23,0)</f>
        <v/>
      </c>
      <c r="U40" s="218">
        <f>IF(17&gt;=DeliverStart,CapReservePerUnit*TotalUnits/12+TaxPrepPerUnit*TotalUnits/12+AssetMgmtFeePct*U$23,0)</f>
        <v/>
      </c>
      <c r="V40" s="218">
        <f>IF(18&gt;=DeliverStart,CapReservePerUnit*TotalUnits/12+TaxPrepPerUnit*TotalUnits/12+AssetMgmtFeePct*V$23,0)</f>
        <v/>
      </c>
      <c r="W40" s="218">
        <f>IF(19&gt;=DeliverStart,CapReservePerUnit*TotalUnits/12+TaxPrepPerUnit*TotalUnits/12+AssetMgmtFeePct*W$23,0)</f>
        <v/>
      </c>
      <c r="X40" s="218">
        <f>IF(20&gt;=DeliverStart,CapReservePerUnit*TotalUnits/12+TaxPrepPerUnit*TotalUnits/12+AssetMgmtFeePct*X$23,0)</f>
        <v/>
      </c>
      <c r="Y40" s="218">
        <f>IF(21&gt;=DeliverStart,CapReservePerUnit*TotalUnits/12+TaxPrepPerUnit*TotalUnits/12+AssetMgmtFeePct*Y$23,0)</f>
        <v/>
      </c>
      <c r="Z40" s="218">
        <f>IF(22&gt;=DeliverStart,CapReservePerUnit*TotalUnits/12+TaxPrepPerUnit*TotalUnits/12+AssetMgmtFeePct*Z$23,0)</f>
        <v/>
      </c>
      <c r="AA40" s="218">
        <f>IF(23&gt;=DeliverStart,CapReservePerUnit*TotalUnits/12+TaxPrepPerUnit*TotalUnits/12+AssetMgmtFeePct*AA$23,0)</f>
        <v/>
      </c>
      <c r="AB40" s="218">
        <f>IF(24&gt;=DeliverStart,CapReservePerUnit*TotalUnits/12+TaxPrepPerUnit*TotalUnits/12+AssetMgmtFeePct*AB$23,0)</f>
        <v/>
      </c>
      <c r="AC40" s="218">
        <f>IF(25&gt;=DeliverStart,CapReservePerUnit*TotalUnits/12+TaxPrepPerUnit*TotalUnits/12+AssetMgmtFeePct*AC$23,0)</f>
        <v/>
      </c>
      <c r="AD40" s="218">
        <f>IF(26&gt;=DeliverStart,CapReservePerUnit*TotalUnits/12+TaxPrepPerUnit*TotalUnits/12+AssetMgmtFeePct*AD$23,0)</f>
        <v/>
      </c>
      <c r="AE40" s="218">
        <f>IF(27&gt;=DeliverStart,CapReservePerUnit*TotalUnits/12+TaxPrepPerUnit*TotalUnits/12+AssetMgmtFeePct*AE$23,0)</f>
        <v/>
      </c>
      <c r="AF40" s="218">
        <f>IF(28&gt;=DeliverStart,CapReservePerUnit*TotalUnits/12+TaxPrepPerUnit*TotalUnits/12+AssetMgmtFeePct*AF$23,0)</f>
        <v/>
      </c>
      <c r="AG40" s="218">
        <f>IF(29&gt;=DeliverStart,CapReservePerUnit*TotalUnits/12+TaxPrepPerUnit*TotalUnits/12+AssetMgmtFeePct*AG$23,0)</f>
        <v/>
      </c>
      <c r="AH40" s="218">
        <f>IF(30&gt;=DeliverStart,CapReservePerUnit*TotalUnits/12+TaxPrepPerUnit*TotalUnits/12+AssetMgmtFeePct*AH$23,0)</f>
        <v/>
      </c>
      <c r="AI40" s="218">
        <f>IF(31&gt;=DeliverStart,CapReservePerUnit*TotalUnits/12+TaxPrepPerUnit*TotalUnits/12+AssetMgmtFeePct*AI$23,0)</f>
        <v/>
      </c>
      <c r="AJ40" s="218">
        <f>IF(32&gt;=DeliverStart,CapReservePerUnit*TotalUnits/12+TaxPrepPerUnit*TotalUnits/12+AssetMgmtFeePct*AJ$23,0)</f>
        <v/>
      </c>
      <c r="AK40" s="218">
        <f>IF(33&gt;=DeliverStart,CapReservePerUnit*TotalUnits/12+TaxPrepPerUnit*TotalUnits/12+AssetMgmtFeePct*AK$23,0)</f>
        <v/>
      </c>
      <c r="AL40" s="218">
        <f>IF(34&gt;=DeliverStart,CapReservePerUnit*TotalUnits/12+TaxPrepPerUnit*TotalUnits/12+AssetMgmtFeePct*AL$23,0)</f>
        <v/>
      </c>
      <c r="AM40" s="218">
        <f>IF(35&gt;=DeliverStart,CapReservePerUnit*TotalUnits/12+TaxPrepPerUnit*TotalUnits/12+AssetMgmtFeePct*AM$23,0)</f>
        <v/>
      </c>
      <c r="AN40" s="218">
        <f>IF(36&gt;=DeliverStart,CapReservePerUnit*TotalUnits/12+TaxPrepPerUnit*TotalUnits/12+AssetMgmtFeePct*AN$23,0)</f>
        <v/>
      </c>
      <c r="AO40" s="218">
        <f>IF(37&gt;=DeliverStart,CapReservePerUnit*TotalUnits/12+TaxPrepPerUnit*TotalUnits/12+AssetMgmtFeePct*AO$23,0)</f>
        <v/>
      </c>
      <c r="AP40" s="218">
        <f>IF(38&gt;=DeliverStart,CapReservePerUnit*TotalUnits/12+TaxPrepPerUnit*TotalUnits/12+AssetMgmtFeePct*AP$23,0)</f>
        <v/>
      </c>
      <c r="AQ40" s="218">
        <f>IF(39&gt;=DeliverStart,CapReservePerUnit*TotalUnits/12+TaxPrepPerUnit*TotalUnits/12+AssetMgmtFeePct*AQ$23,0)</f>
        <v/>
      </c>
      <c r="AR40" s="218">
        <f>IF(40&gt;=DeliverStart,CapReservePerUnit*TotalUnits/12+TaxPrepPerUnit*TotalUnits/12+AssetMgmtFeePct*AR$23,0)</f>
        <v/>
      </c>
      <c r="AS40" s="218">
        <f>IF(41&gt;=DeliverStart,CapReservePerUnit*TotalUnits/12+TaxPrepPerUnit*TotalUnits/12+AssetMgmtFeePct*AS$23,0)</f>
        <v/>
      </c>
      <c r="AT40" s="218">
        <f>IF(42&gt;=DeliverStart,CapReservePerUnit*TotalUnits/12+TaxPrepPerUnit*TotalUnits/12+AssetMgmtFeePct*AT$23,0)</f>
        <v/>
      </c>
      <c r="AU40" s="218">
        <f>IF(43&gt;=DeliverStart,CapReservePerUnit*TotalUnits/12+TaxPrepPerUnit*TotalUnits/12+AssetMgmtFeePct*AU$23,0)</f>
        <v/>
      </c>
      <c r="AV40" s="218">
        <f>IF(44&gt;=DeliverStart,CapReservePerUnit*TotalUnits/12+TaxPrepPerUnit*TotalUnits/12+AssetMgmtFeePct*AV$23,0)</f>
        <v/>
      </c>
      <c r="AW40" s="218">
        <f>IF(45&gt;=DeliverStart,CapReservePerUnit*TotalUnits/12+TaxPrepPerUnit*TotalUnits/12+AssetMgmtFeePct*AW$23,0)</f>
        <v/>
      </c>
      <c r="AX40" s="218">
        <f>IF(46&gt;=DeliverStart,CapReservePerUnit*TotalUnits/12+TaxPrepPerUnit*TotalUnits/12+AssetMgmtFeePct*AX$23,0)</f>
        <v/>
      </c>
      <c r="AY40" s="218">
        <f>IF(47&gt;=DeliverStart,CapReservePerUnit*TotalUnits/12+TaxPrepPerUnit*TotalUnits/12+AssetMgmtFeePct*AY$23,0)</f>
        <v/>
      </c>
      <c r="AZ40" s="218">
        <f>IF(48&gt;=DeliverStart,CapReservePerUnit*TotalUnits/12+TaxPrepPerUnit*TotalUnits/12+AssetMgmtFeePct*AZ$23,0)</f>
        <v/>
      </c>
      <c r="BA40" s="218">
        <f>IF(49&gt;=DeliverStart,CapReservePerUnit*TotalUnits/12+TaxPrepPerUnit*TotalUnits/12+AssetMgmtFeePct*BA$23,0)</f>
        <v/>
      </c>
      <c r="BB40" s="218">
        <f>IF(50&gt;=DeliverStart,CapReservePerUnit*TotalUnits/12+TaxPrepPerUnit*TotalUnits/12+AssetMgmtFeePct*BB$23,0)</f>
        <v/>
      </c>
      <c r="BC40" s="218">
        <f>IF(51&gt;=DeliverStart,CapReservePerUnit*TotalUnits/12+TaxPrepPerUnit*TotalUnits/12+AssetMgmtFeePct*BC$23,0)</f>
        <v/>
      </c>
      <c r="BD40" s="218">
        <f>IF(52&gt;=DeliverStart,CapReservePerUnit*TotalUnits/12+TaxPrepPerUnit*TotalUnits/12+AssetMgmtFeePct*BD$23,0)</f>
        <v/>
      </c>
      <c r="BE40" s="218">
        <f>IF(53&gt;=DeliverStart,CapReservePerUnit*TotalUnits/12+TaxPrepPerUnit*TotalUnits/12+AssetMgmtFeePct*BE$23,0)</f>
        <v/>
      </c>
      <c r="BF40" s="218">
        <f>IF(54&gt;=DeliverStart,CapReservePerUnit*TotalUnits/12+TaxPrepPerUnit*TotalUnits/12+AssetMgmtFeePct*BF$23,0)</f>
        <v/>
      </c>
      <c r="BG40" s="218">
        <f>IF(55&gt;=DeliverStart,CapReservePerUnit*TotalUnits/12+TaxPrepPerUnit*TotalUnits/12+AssetMgmtFeePct*BG$23,0)</f>
        <v/>
      </c>
      <c r="BH40" s="218">
        <f>IF(56&gt;=DeliverStart,CapReservePerUnit*TotalUnits/12+TaxPrepPerUnit*TotalUnits/12+AssetMgmtFeePct*BH$23,0)</f>
        <v/>
      </c>
      <c r="BI40" s="218">
        <f>IF(57&gt;=DeliverStart,CapReservePerUnit*TotalUnits/12+TaxPrepPerUnit*TotalUnits/12+AssetMgmtFeePct*BI$23,0)</f>
        <v/>
      </c>
      <c r="BJ40" s="218">
        <f>IF(58&gt;=DeliverStart,CapReservePerUnit*TotalUnits/12+TaxPrepPerUnit*TotalUnits/12+AssetMgmtFeePct*BJ$23,0)</f>
        <v/>
      </c>
      <c r="BK40" s="218">
        <f>IF(59&gt;=DeliverStart,CapReservePerUnit*TotalUnits/12+TaxPrepPerUnit*TotalUnits/12+AssetMgmtFeePct*BK$23,0)</f>
        <v/>
      </c>
      <c r="BL40" s="218">
        <f>IF(60&gt;=DeliverStart,CapReservePerUnit*TotalUnits/12+TaxPrepPerUnit*TotalUnits/12+AssetMgmtFeePct*BL$23,0)</f>
        <v/>
      </c>
      <c r="BM40" s="218">
        <f>IF(61&gt;=DeliverStart,CapReservePerUnit*TotalUnits/12+TaxPrepPerUnit*TotalUnits/12+AssetMgmtFeePct*BM$23,0)</f>
        <v/>
      </c>
      <c r="BN40" s="218">
        <f>IF(62&gt;=DeliverStart,CapReservePerUnit*TotalUnits/12+TaxPrepPerUnit*TotalUnits/12+AssetMgmtFeePct*BN$23,0)</f>
        <v/>
      </c>
      <c r="BO40" s="218">
        <f>IF(63&gt;=DeliverStart,CapReservePerUnit*TotalUnits/12+TaxPrepPerUnit*TotalUnits/12+AssetMgmtFeePct*BO$23,0)</f>
        <v/>
      </c>
      <c r="BP40" s="218">
        <f>IF(64&gt;=DeliverStart,CapReservePerUnit*TotalUnits/12+TaxPrepPerUnit*TotalUnits/12+AssetMgmtFeePct*BP$23,0)</f>
        <v/>
      </c>
      <c r="BQ40" s="218">
        <f>IF(65&gt;=DeliverStart,CapReservePerUnit*TotalUnits/12+TaxPrepPerUnit*TotalUnits/12+AssetMgmtFeePct*BQ$23,0)</f>
        <v/>
      </c>
      <c r="BR40" s="218">
        <f>IF(66&gt;=DeliverStart,CapReservePerUnit*TotalUnits/12+TaxPrepPerUnit*TotalUnits/12+AssetMgmtFeePct*BR$23,0)</f>
        <v/>
      </c>
      <c r="BS40" s="218">
        <f>IF(67&gt;=DeliverStart,CapReservePerUnit*TotalUnits/12+TaxPrepPerUnit*TotalUnits/12+AssetMgmtFeePct*BS$23,0)</f>
        <v/>
      </c>
      <c r="BT40" s="218">
        <f>IF(68&gt;=DeliverStart,CapReservePerUnit*TotalUnits/12+TaxPrepPerUnit*TotalUnits/12+AssetMgmtFeePct*BT$23,0)</f>
        <v/>
      </c>
      <c r="BU40" s="218">
        <f>IF(69&gt;=DeliverStart,CapReservePerUnit*TotalUnits/12+TaxPrepPerUnit*TotalUnits/12+AssetMgmtFeePct*BU$23,0)</f>
        <v/>
      </c>
      <c r="BV40" s="218">
        <f>IF(70&gt;=DeliverStart,CapReservePerUnit*TotalUnits/12+TaxPrepPerUnit*TotalUnits/12+AssetMgmtFeePct*BV$23,0)</f>
        <v/>
      </c>
      <c r="BW40" s="218">
        <f>IF(71&gt;=DeliverStart,CapReservePerUnit*TotalUnits/12+TaxPrepPerUnit*TotalUnits/12+AssetMgmtFeePct*BW$23,0)</f>
        <v/>
      </c>
      <c r="BX40" s="218">
        <f>IF(72&gt;=DeliverStart,CapReservePerUnit*TotalUnits/12+TaxPrepPerUnit*TotalUnits/12+AssetMgmtFeePct*BX$23,0)</f>
        <v/>
      </c>
      <c r="BY40" s="218">
        <f>IF(73&gt;=DeliverStart,CapReservePerUnit*TotalUnits/12+TaxPrepPerUnit*TotalUnits/12+AssetMgmtFeePct*BY$23,0)</f>
        <v/>
      </c>
      <c r="BZ40" s="218">
        <f>IF(74&gt;=DeliverStart,CapReservePerUnit*TotalUnits/12+TaxPrepPerUnit*TotalUnits/12+AssetMgmtFeePct*BZ$23,0)</f>
        <v/>
      </c>
      <c r="CA40" s="218">
        <f>IF(75&gt;=DeliverStart,CapReservePerUnit*TotalUnits/12+TaxPrepPerUnit*TotalUnits/12+AssetMgmtFeePct*CA$23,0)</f>
        <v/>
      </c>
      <c r="CB40" s="218">
        <f>IF(76&gt;=DeliverStart,CapReservePerUnit*TotalUnits/12+TaxPrepPerUnit*TotalUnits/12+AssetMgmtFeePct*CB$23,0)</f>
        <v/>
      </c>
      <c r="CC40" s="218">
        <f>IF(77&gt;=DeliverStart,CapReservePerUnit*TotalUnits/12+TaxPrepPerUnit*TotalUnits/12+AssetMgmtFeePct*CC$23,0)</f>
        <v/>
      </c>
      <c r="CD40" s="218">
        <f>IF(78&gt;=DeliverStart,CapReservePerUnit*TotalUnits/12+TaxPrepPerUnit*TotalUnits/12+AssetMgmtFeePct*CD$23,0)</f>
        <v/>
      </c>
      <c r="CE40" s="218">
        <f>IF(79&gt;=DeliverStart,CapReservePerUnit*TotalUnits/12+TaxPrepPerUnit*TotalUnits/12+AssetMgmtFeePct*CE$23,0)</f>
        <v/>
      </c>
      <c r="CF40" s="218">
        <f>IF(80&gt;=DeliverStart,CapReservePerUnit*TotalUnits/12+TaxPrepPerUnit*TotalUnits/12+AssetMgmtFeePct*CF$23,0)</f>
        <v/>
      </c>
      <c r="CG40" s="218">
        <f>IF(81&gt;=DeliverStart,CapReservePerUnit*TotalUnits/12+TaxPrepPerUnit*TotalUnits/12+AssetMgmtFeePct*CG$23,0)</f>
        <v/>
      </c>
      <c r="CH40" s="218">
        <f>IF(82&gt;=DeliverStart,CapReservePerUnit*TotalUnits/12+TaxPrepPerUnit*TotalUnits/12+AssetMgmtFeePct*CH$23,0)</f>
        <v/>
      </c>
      <c r="CI40" s="218">
        <f>IF(83&gt;=DeliverStart,CapReservePerUnit*TotalUnits/12+TaxPrepPerUnit*TotalUnits/12+AssetMgmtFeePct*CI$23,0)</f>
        <v/>
      </c>
      <c r="CJ40" s="218">
        <f>IF(84&gt;=DeliverStart,CapReservePerUnit*TotalUnits/12+TaxPrepPerUnit*TotalUnits/12+AssetMgmtFeePct*CJ$23,0)</f>
        <v/>
      </c>
      <c r="CK40" s="218">
        <f>IF(85&gt;=DeliverStart,CapReservePerUnit*TotalUnits/12+TaxPrepPerUnit*TotalUnits/12+AssetMgmtFeePct*CK$23,0)</f>
        <v/>
      </c>
      <c r="CL40" s="218">
        <f>IF(86&gt;=DeliverStart,CapReservePerUnit*TotalUnits/12+TaxPrepPerUnit*TotalUnits/12+AssetMgmtFeePct*CL$23,0)</f>
        <v/>
      </c>
      <c r="CM40" s="218">
        <f>IF(87&gt;=DeliverStart,CapReservePerUnit*TotalUnits/12+TaxPrepPerUnit*TotalUnits/12+AssetMgmtFeePct*CM$23,0)</f>
        <v/>
      </c>
      <c r="CN40" s="218">
        <f>IF(88&gt;=DeliverStart,CapReservePerUnit*TotalUnits/12+TaxPrepPerUnit*TotalUnits/12+AssetMgmtFeePct*CN$23,0)</f>
        <v/>
      </c>
      <c r="CO40" s="218">
        <f>IF(89&gt;=DeliverStart,CapReservePerUnit*TotalUnits/12+TaxPrepPerUnit*TotalUnits/12+AssetMgmtFeePct*CO$23,0)</f>
        <v/>
      </c>
      <c r="CP40" s="218">
        <f>IF(90&gt;=DeliverStart,CapReservePerUnit*TotalUnits/12+TaxPrepPerUnit*TotalUnits/12+AssetMgmtFeePct*CP$23,0)</f>
        <v/>
      </c>
      <c r="CQ40" s="218">
        <f>IF(91&gt;=DeliverStart,CapReservePerUnit*TotalUnits/12+TaxPrepPerUnit*TotalUnits/12+AssetMgmtFeePct*CQ$23,0)</f>
        <v/>
      </c>
      <c r="CR40" s="218">
        <f>IF(92&gt;=DeliverStart,CapReservePerUnit*TotalUnits/12+TaxPrepPerUnit*TotalUnits/12+AssetMgmtFeePct*CR$23,0)</f>
        <v/>
      </c>
      <c r="CS40" s="218">
        <f>IF(93&gt;=DeliverStart,CapReservePerUnit*TotalUnits/12+TaxPrepPerUnit*TotalUnits/12+AssetMgmtFeePct*CS$23,0)</f>
        <v/>
      </c>
      <c r="CT40" s="218">
        <f>IF(94&gt;=DeliverStart,CapReservePerUnit*TotalUnits/12+TaxPrepPerUnit*TotalUnits/12+AssetMgmtFeePct*CT$23,0)</f>
        <v/>
      </c>
      <c r="CU40" s="218">
        <f>IF(95&gt;=DeliverStart,CapReservePerUnit*TotalUnits/12+TaxPrepPerUnit*TotalUnits/12+AssetMgmtFeePct*CU$23,0)</f>
        <v/>
      </c>
      <c r="CV40" s="218">
        <f>IF(96&gt;=DeliverStart,CapReservePerUnit*TotalUnits/12+TaxPrepPerUnit*TotalUnits/12+AssetMgmtFeePct*CV$23,0)</f>
        <v/>
      </c>
      <c r="CW40" s="218">
        <f>IF(97&gt;=DeliverStart,CapReservePerUnit*TotalUnits/12+TaxPrepPerUnit*TotalUnits/12+AssetMgmtFeePct*CW$23,0)</f>
        <v/>
      </c>
      <c r="CX40" s="218">
        <f>IF(98&gt;=DeliverStart,CapReservePerUnit*TotalUnits/12+TaxPrepPerUnit*TotalUnits/12+AssetMgmtFeePct*CX$23,0)</f>
        <v/>
      </c>
      <c r="CY40" s="218">
        <f>IF(99&gt;=DeliverStart,CapReservePerUnit*TotalUnits/12+TaxPrepPerUnit*TotalUnits/12+AssetMgmtFeePct*CY$23,0)</f>
        <v/>
      </c>
      <c r="CZ40" s="218">
        <f>IF(100&gt;=DeliverStart,CapReservePerUnit*TotalUnits/12+TaxPrepPerUnit*TotalUnits/12+AssetMgmtFeePct*CZ$23,0)</f>
        <v/>
      </c>
      <c r="DA40" s="218">
        <f>IF(101&gt;=DeliverStart,CapReservePerUnit*TotalUnits/12+TaxPrepPerUnit*TotalUnits/12+AssetMgmtFeePct*DA$23,0)</f>
        <v/>
      </c>
      <c r="DB40" s="218">
        <f>IF(102&gt;=DeliverStart,CapReservePerUnit*TotalUnits/12+TaxPrepPerUnit*TotalUnits/12+AssetMgmtFeePct*DB$23,0)</f>
        <v/>
      </c>
      <c r="DC40" s="218">
        <f>IF(103&gt;=DeliverStart,CapReservePerUnit*TotalUnits/12+TaxPrepPerUnit*TotalUnits/12+AssetMgmtFeePct*DC$23,0)</f>
        <v/>
      </c>
      <c r="DD40" s="218">
        <f>IF(104&gt;=DeliverStart,CapReservePerUnit*TotalUnits/12+TaxPrepPerUnit*TotalUnits/12+AssetMgmtFeePct*DD$23,0)</f>
        <v/>
      </c>
      <c r="DE40" s="218">
        <f>IF(105&gt;=DeliverStart,CapReservePerUnit*TotalUnits/12+TaxPrepPerUnit*TotalUnits/12+AssetMgmtFeePct*DE$23,0)</f>
        <v/>
      </c>
      <c r="DF40" s="218">
        <f>IF(106&gt;=DeliverStart,CapReservePerUnit*TotalUnits/12+TaxPrepPerUnit*TotalUnits/12+AssetMgmtFeePct*DF$23,0)</f>
        <v/>
      </c>
      <c r="DG40" s="218">
        <f>IF(107&gt;=DeliverStart,CapReservePerUnit*TotalUnits/12+TaxPrepPerUnit*TotalUnits/12+AssetMgmtFeePct*DG$23,0)</f>
        <v/>
      </c>
      <c r="DH40" s="218">
        <f>IF(108&gt;=DeliverStart,CapReservePerUnit*TotalUnits/12+TaxPrepPerUnit*TotalUnits/12+AssetMgmtFeePct*DH$23,0)</f>
        <v/>
      </c>
      <c r="DI40" s="218">
        <f>IF(109&gt;=DeliverStart,CapReservePerUnit*TotalUnits/12+TaxPrepPerUnit*TotalUnits/12+AssetMgmtFeePct*DI$23,0)</f>
        <v/>
      </c>
      <c r="DJ40" s="218">
        <f>IF(110&gt;=DeliverStart,CapReservePerUnit*TotalUnits/12+TaxPrepPerUnit*TotalUnits/12+AssetMgmtFeePct*DJ$23,0)</f>
        <v/>
      </c>
      <c r="DK40" s="218">
        <f>IF(111&gt;=DeliverStart,CapReservePerUnit*TotalUnits/12+TaxPrepPerUnit*TotalUnits/12+AssetMgmtFeePct*DK$23,0)</f>
        <v/>
      </c>
      <c r="DL40" s="218">
        <f>IF(112&gt;=DeliverStart,CapReservePerUnit*TotalUnits/12+TaxPrepPerUnit*TotalUnits/12+AssetMgmtFeePct*DL$23,0)</f>
        <v/>
      </c>
      <c r="DM40" s="218">
        <f>IF(113&gt;=DeliverStart,CapReservePerUnit*TotalUnits/12+TaxPrepPerUnit*TotalUnits/12+AssetMgmtFeePct*DM$23,0)</f>
        <v/>
      </c>
      <c r="DN40" s="218">
        <f>IF(114&gt;=DeliverStart,CapReservePerUnit*TotalUnits/12+TaxPrepPerUnit*TotalUnits/12+AssetMgmtFeePct*DN$23,0)</f>
        <v/>
      </c>
      <c r="DO40" s="218">
        <f>IF(115&gt;=DeliverStart,CapReservePerUnit*TotalUnits/12+TaxPrepPerUnit*TotalUnits/12+AssetMgmtFeePct*DO$23,0)</f>
        <v/>
      </c>
      <c r="DP40" s="218">
        <f>IF(116&gt;=DeliverStart,CapReservePerUnit*TotalUnits/12+TaxPrepPerUnit*TotalUnits/12+AssetMgmtFeePct*DP$23,0)</f>
        <v/>
      </c>
      <c r="DQ40" s="218">
        <f>IF(117&gt;=DeliverStart,CapReservePerUnit*TotalUnits/12+TaxPrepPerUnit*TotalUnits/12+AssetMgmtFeePct*DQ$23,0)</f>
        <v/>
      </c>
      <c r="DR40" s="218">
        <f>IF(118&gt;=DeliverStart,CapReservePerUnit*TotalUnits/12+TaxPrepPerUnit*TotalUnits/12+AssetMgmtFeePct*DR$23,0)</f>
        <v/>
      </c>
      <c r="DS40" s="218">
        <f>IF(119&gt;=DeliverStart,CapReservePerUnit*TotalUnits/12+TaxPrepPerUnit*TotalUnits/12+AssetMgmtFeePct*DS$23,0)</f>
        <v/>
      </c>
      <c r="DT40" s="218">
        <f>IF(120&gt;=DeliverStart,CapReservePerUnit*TotalUnits/12+TaxPrepPerUnit*TotalUnits/12+AssetMgmtFeePct*DT$23,0)</f>
        <v/>
      </c>
      <c r="DU40" s="218">
        <f>IF(121&gt;=DeliverStart,CapReservePerUnit*TotalUnits/12+TaxPrepPerUnit*TotalUnits/12+AssetMgmtFeePct*DU$23,0)</f>
        <v/>
      </c>
      <c r="DV40" s="218">
        <f>IF(122&gt;=DeliverStart,CapReservePerUnit*TotalUnits/12+TaxPrepPerUnit*TotalUnits/12+AssetMgmtFeePct*DV$23,0)</f>
        <v/>
      </c>
      <c r="DW40" s="218">
        <f>IF(123&gt;=DeliverStart,CapReservePerUnit*TotalUnits/12+TaxPrepPerUnit*TotalUnits/12+AssetMgmtFeePct*DW$23,0)</f>
        <v/>
      </c>
      <c r="DX40" s="218">
        <f>IF(124&gt;=DeliverStart,CapReservePerUnit*TotalUnits/12+TaxPrepPerUnit*TotalUnits/12+AssetMgmtFeePct*DX$23,0)</f>
        <v/>
      </c>
      <c r="DY40" s="218">
        <f>IF(125&gt;=DeliverStart,CapReservePerUnit*TotalUnits/12+TaxPrepPerUnit*TotalUnits/12+AssetMgmtFeePct*DY$23,0)</f>
        <v/>
      </c>
      <c r="DZ40" s="218">
        <f>IF(126&gt;=DeliverStart,CapReservePerUnit*TotalUnits/12+TaxPrepPerUnit*TotalUnits/12+AssetMgmtFeePct*DZ$23,0)</f>
        <v/>
      </c>
      <c r="EA40" s="218">
        <f>IF(127&gt;=DeliverStart,CapReservePerUnit*TotalUnits/12+TaxPrepPerUnit*TotalUnits/12+AssetMgmtFeePct*EA$23,0)</f>
        <v/>
      </c>
      <c r="EB40" s="218">
        <f>IF(128&gt;=DeliverStart,CapReservePerUnit*TotalUnits/12+TaxPrepPerUnit*TotalUnits/12+AssetMgmtFeePct*EB$23,0)</f>
        <v/>
      </c>
      <c r="EC40" s="218">
        <f>IF(129&gt;=DeliverStart,CapReservePerUnit*TotalUnits/12+TaxPrepPerUnit*TotalUnits/12+AssetMgmtFeePct*EC$23,0)</f>
        <v/>
      </c>
      <c r="ED40" s="218">
        <f>IF(130&gt;=DeliverStart,CapReservePerUnit*TotalUnits/12+TaxPrepPerUnit*TotalUnits/12+AssetMgmtFeePct*ED$23,0)</f>
        <v/>
      </c>
      <c r="EE40" s="218">
        <f>IF(131&gt;=DeliverStart,CapReservePerUnit*TotalUnits/12+TaxPrepPerUnit*TotalUnits/12+AssetMgmtFeePct*EE$23,0)</f>
        <v/>
      </c>
      <c r="EF40" s="218">
        <f>IF(132&gt;=DeliverStart,CapReservePerUnit*TotalUnits/12+TaxPrepPerUnit*TotalUnits/12+AssetMgmtFeePct*EF$23,0)</f>
        <v/>
      </c>
      <c r="EG40" s="218">
        <f>IF(133&gt;=DeliverStart,CapReservePerUnit*TotalUnits/12+TaxPrepPerUnit*TotalUnits/12+AssetMgmtFeePct*EG$23,0)</f>
        <v/>
      </c>
      <c r="EH40" s="218">
        <f>IF(134&gt;=DeliverStart,CapReservePerUnit*TotalUnits/12+TaxPrepPerUnit*TotalUnits/12+AssetMgmtFeePct*EH$23,0)</f>
        <v/>
      </c>
      <c r="EI40" s="218">
        <f>IF(135&gt;=DeliverStart,CapReservePerUnit*TotalUnits/12+TaxPrepPerUnit*TotalUnits/12+AssetMgmtFeePct*EI$23,0)</f>
        <v/>
      </c>
      <c r="EJ40" s="218">
        <f>IF(136&gt;=DeliverStart,CapReservePerUnit*TotalUnits/12+TaxPrepPerUnit*TotalUnits/12+AssetMgmtFeePct*EJ$23,0)</f>
        <v/>
      </c>
      <c r="EK40" s="218">
        <f>IF(137&gt;=DeliverStart,CapReservePerUnit*TotalUnits/12+TaxPrepPerUnit*TotalUnits/12+AssetMgmtFeePct*EK$23,0)</f>
        <v/>
      </c>
      <c r="EL40" s="218">
        <f>IF(138&gt;=DeliverStart,CapReservePerUnit*TotalUnits/12+TaxPrepPerUnit*TotalUnits/12+AssetMgmtFeePct*EL$23,0)</f>
        <v/>
      </c>
      <c r="EM40" s="218">
        <f>IF(139&gt;=DeliverStart,CapReservePerUnit*TotalUnits/12+TaxPrepPerUnit*TotalUnits/12+AssetMgmtFeePct*EM$23,0)</f>
        <v/>
      </c>
      <c r="EN40" s="218">
        <f>IF(140&gt;=DeliverStart,CapReservePerUnit*TotalUnits/12+TaxPrepPerUnit*TotalUnits/12+AssetMgmtFeePct*EN$23,0)</f>
        <v/>
      </c>
      <c r="EO40" s="218">
        <f>IF(141&gt;=DeliverStart,CapReservePerUnit*TotalUnits/12+TaxPrepPerUnit*TotalUnits/12+AssetMgmtFeePct*EO$23,0)</f>
        <v/>
      </c>
      <c r="EP40" s="218">
        <f>IF(142&gt;=DeliverStart,CapReservePerUnit*TotalUnits/12+TaxPrepPerUnit*TotalUnits/12+AssetMgmtFeePct*EP$23,0)</f>
        <v/>
      </c>
      <c r="EQ40" s="218">
        <f>IF(143&gt;=DeliverStart,CapReservePerUnit*TotalUnits/12+TaxPrepPerUnit*TotalUnits/12+AssetMgmtFeePct*EQ$23,0)</f>
        <v/>
      </c>
      <c r="ER40" s="218">
        <f>IF(144&gt;=DeliverStart,CapReservePerUnit*TotalUnits/12+TaxPrepPerUnit*TotalUnits/12+AssetMgmtFeePct*ER$23,0)</f>
        <v/>
      </c>
      <c r="ES40" s="218">
        <f>IF(145&gt;=DeliverStart,CapReservePerUnit*TotalUnits/12+TaxPrepPerUnit*TotalUnits/12+AssetMgmtFeePct*ES$23,0)</f>
        <v/>
      </c>
      <c r="ET40" s="218">
        <f>IF(146&gt;=DeliverStart,CapReservePerUnit*TotalUnits/12+TaxPrepPerUnit*TotalUnits/12+AssetMgmtFeePct*ET$23,0)</f>
        <v/>
      </c>
      <c r="EU40" s="218">
        <f>IF(147&gt;=DeliverStart,CapReservePerUnit*TotalUnits/12+TaxPrepPerUnit*TotalUnits/12+AssetMgmtFeePct*EU$23,0)</f>
        <v/>
      </c>
      <c r="EV40" s="218">
        <f>IF(148&gt;=DeliverStart,CapReservePerUnit*TotalUnits/12+TaxPrepPerUnit*TotalUnits/12+AssetMgmtFeePct*EV$23,0)</f>
        <v/>
      </c>
      <c r="EW40" s="218">
        <f>IF(149&gt;=DeliverStart,CapReservePerUnit*TotalUnits/12+TaxPrepPerUnit*TotalUnits/12+AssetMgmtFeePct*EW$23,0)</f>
        <v/>
      </c>
      <c r="EX40" s="218">
        <f>IF(150&gt;=DeliverStart,CapReservePerUnit*TotalUnits/12+TaxPrepPerUnit*TotalUnits/12+AssetMgmtFeePct*EX$23,0)</f>
        <v/>
      </c>
      <c r="EY40" s="218">
        <f>IF(151&gt;=DeliverStart,CapReservePerUnit*TotalUnits/12+TaxPrepPerUnit*TotalUnits/12+AssetMgmtFeePct*EY$23,0)</f>
        <v/>
      </c>
      <c r="EZ40" s="218">
        <f>IF(152&gt;=DeliverStart,CapReservePerUnit*TotalUnits/12+TaxPrepPerUnit*TotalUnits/12+AssetMgmtFeePct*EZ$23,0)</f>
        <v/>
      </c>
      <c r="FA40" s="218">
        <f>IF(153&gt;=DeliverStart,CapReservePerUnit*TotalUnits/12+TaxPrepPerUnit*TotalUnits/12+AssetMgmtFeePct*FA$23,0)</f>
        <v/>
      </c>
      <c r="FB40" s="218">
        <f>IF(154&gt;=DeliverStart,CapReservePerUnit*TotalUnits/12+TaxPrepPerUnit*TotalUnits/12+AssetMgmtFeePct*FB$23,0)</f>
        <v/>
      </c>
      <c r="FC40" s="218">
        <f>IF(155&gt;=DeliverStart,CapReservePerUnit*TotalUnits/12+TaxPrepPerUnit*TotalUnits/12+AssetMgmtFeePct*FC$23,0)</f>
        <v/>
      </c>
      <c r="FD40" s="218">
        <f>IF(156&gt;=DeliverStart,CapReservePerUnit*TotalUnits/12+TaxPrepPerUnit*TotalUnits/12+AssetMgmtFeePct*FD$23,0)</f>
        <v/>
      </c>
      <c r="FE40" s="218">
        <f>IF(157&gt;=DeliverStart,CapReservePerUnit*TotalUnits/12+TaxPrepPerUnit*TotalUnits/12+AssetMgmtFeePct*FE$23,0)</f>
        <v/>
      </c>
      <c r="FF40" s="218">
        <f>IF(158&gt;=DeliverStart,CapReservePerUnit*TotalUnits/12+TaxPrepPerUnit*TotalUnits/12+AssetMgmtFeePct*FF$23,0)</f>
        <v/>
      </c>
      <c r="FG40" s="218">
        <f>IF(159&gt;=DeliverStart,CapReservePerUnit*TotalUnits/12+TaxPrepPerUnit*TotalUnits/12+AssetMgmtFeePct*FG$23,0)</f>
        <v/>
      </c>
      <c r="FH40" s="218">
        <f>IF(160&gt;=DeliverStart,CapReservePerUnit*TotalUnits/12+TaxPrepPerUnit*TotalUnits/12+AssetMgmtFeePct*FH$23,0)</f>
        <v/>
      </c>
      <c r="FI40" s="218">
        <f>IF(161&gt;=DeliverStart,CapReservePerUnit*TotalUnits/12+TaxPrepPerUnit*TotalUnits/12+AssetMgmtFeePct*FI$23,0)</f>
        <v/>
      </c>
      <c r="FJ40" s="218">
        <f>IF(162&gt;=DeliverStart,CapReservePerUnit*TotalUnits/12+TaxPrepPerUnit*TotalUnits/12+AssetMgmtFeePct*FJ$23,0)</f>
        <v/>
      </c>
      <c r="FK40" s="218">
        <f>IF(163&gt;=DeliverStart,CapReservePerUnit*TotalUnits/12+TaxPrepPerUnit*TotalUnits/12+AssetMgmtFeePct*FK$23,0)</f>
        <v/>
      </c>
      <c r="FL40" s="218">
        <f>IF(164&gt;=DeliverStart,CapReservePerUnit*TotalUnits/12+TaxPrepPerUnit*TotalUnits/12+AssetMgmtFeePct*FL$23,0)</f>
        <v/>
      </c>
      <c r="FM40" s="218">
        <f>IF(165&gt;=DeliverStart,CapReservePerUnit*TotalUnits/12+TaxPrepPerUnit*TotalUnits/12+AssetMgmtFeePct*FM$23,0)</f>
        <v/>
      </c>
      <c r="FN40" s="218">
        <f>IF(166&gt;=DeliverStart,CapReservePerUnit*TotalUnits/12+TaxPrepPerUnit*TotalUnits/12+AssetMgmtFeePct*FN$23,0)</f>
        <v/>
      </c>
      <c r="FO40" s="218">
        <f>IF(167&gt;=DeliverStart,CapReservePerUnit*TotalUnits/12+TaxPrepPerUnit*TotalUnits/12+AssetMgmtFeePct*FO$23,0)</f>
        <v/>
      </c>
      <c r="FP40" s="218">
        <f>IF(168&gt;=DeliverStart,CapReservePerUnit*TotalUnits/12+TaxPrepPerUnit*TotalUnits/12+AssetMgmtFeePct*FP$23,0)</f>
        <v/>
      </c>
      <c r="FQ40" s="218">
        <f>IF(169&gt;=DeliverStart,CapReservePerUnit*TotalUnits/12+TaxPrepPerUnit*TotalUnits/12+AssetMgmtFeePct*FQ$23,0)</f>
        <v/>
      </c>
      <c r="FR40" s="218">
        <f>IF(170&gt;=DeliverStart,CapReservePerUnit*TotalUnits/12+TaxPrepPerUnit*TotalUnits/12+AssetMgmtFeePct*FR$23,0)</f>
        <v/>
      </c>
      <c r="FS40" s="218">
        <f>IF(171&gt;=DeliverStart,CapReservePerUnit*TotalUnits/12+TaxPrepPerUnit*TotalUnits/12+AssetMgmtFeePct*FS$23,0)</f>
        <v/>
      </c>
      <c r="FT40" s="218">
        <f>IF(172&gt;=DeliverStart,CapReservePerUnit*TotalUnits/12+TaxPrepPerUnit*TotalUnits/12+AssetMgmtFeePct*FT$23,0)</f>
        <v/>
      </c>
      <c r="FU40" s="218">
        <f>IF(173&gt;=DeliverStart,CapReservePerUnit*TotalUnits/12+TaxPrepPerUnit*TotalUnits/12+AssetMgmtFeePct*FU$23,0)</f>
        <v/>
      </c>
      <c r="FV40" s="218">
        <f>IF(174&gt;=DeliverStart,CapReservePerUnit*TotalUnits/12+TaxPrepPerUnit*TotalUnits/12+AssetMgmtFeePct*FV$23,0)</f>
        <v/>
      </c>
      <c r="FW40" s="218">
        <f>IF(175&gt;=DeliverStart,CapReservePerUnit*TotalUnits/12+TaxPrepPerUnit*TotalUnits/12+AssetMgmtFeePct*FW$23,0)</f>
        <v/>
      </c>
      <c r="FX40" s="218">
        <f>IF(176&gt;=DeliverStart,CapReservePerUnit*TotalUnits/12+TaxPrepPerUnit*TotalUnits/12+AssetMgmtFeePct*FX$23,0)</f>
        <v/>
      </c>
      <c r="FY40" s="218">
        <f>IF(177&gt;=DeliverStart,CapReservePerUnit*TotalUnits/12+TaxPrepPerUnit*TotalUnits/12+AssetMgmtFeePct*FY$23,0)</f>
        <v/>
      </c>
      <c r="FZ40" s="218">
        <f>IF(178&gt;=DeliverStart,CapReservePerUnit*TotalUnits/12+TaxPrepPerUnit*TotalUnits/12+AssetMgmtFeePct*FZ$23,0)</f>
        <v/>
      </c>
      <c r="GA40" s="218">
        <f>IF(179&gt;=DeliverStart,CapReservePerUnit*TotalUnits/12+TaxPrepPerUnit*TotalUnits/12+AssetMgmtFeePct*GA$23,0)</f>
        <v/>
      </c>
      <c r="GB40" s="218">
        <f>IF(180&gt;=DeliverStart,CapReservePerUnit*TotalUnits/12+TaxPrepPerUnit*TotalUnits/12+AssetMgmtFeePct*GB$23,0)</f>
        <v/>
      </c>
      <c r="GC40" s="218">
        <f>IF(181&gt;=DeliverStart,CapReservePerUnit*TotalUnits/12+TaxPrepPerUnit*TotalUnits/12+AssetMgmtFeePct*GC$23,0)</f>
        <v/>
      </c>
      <c r="GD40" s="218">
        <f>IF(182&gt;=DeliverStart,CapReservePerUnit*TotalUnits/12+TaxPrepPerUnit*TotalUnits/12+AssetMgmtFeePct*GD$23,0)</f>
        <v/>
      </c>
      <c r="GE40" s="218">
        <f>IF(183&gt;=DeliverStart,CapReservePerUnit*TotalUnits/12+TaxPrepPerUnit*TotalUnits/12+AssetMgmtFeePct*GE$23,0)</f>
        <v/>
      </c>
      <c r="GF40" s="218">
        <f>IF(184&gt;=DeliverStart,CapReservePerUnit*TotalUnits/12+TaxPrepPerUnit*TotalUnits/12+AssetMgmtFeePct*GF$23,0)</f>
        <v/>
      </c>
      <c r="GG40" s="218">
        <f>IF(185&gt;=DeliverStart,CapReservePerUnit*TotalUnits/12+TaxPrepPerUnit*TotalUnits/12+AssetMgmtFeePct*GG$23,0)</f>
        <v/>
      </c>
      <c r="GH40" s="218">
        <f>IF(186&gt;=DeliverStart,CapReservePerUnit*TotalUnits/12+TaxPrepPerUnit*TotalUnits/12+AssetMgmtFeePct*GH$23,0)</f>
        <v/>
      </c>
      <c r="GI40" s="218">
        <f>IF(187&gt;=DeliverStart,CapReservePerUnit*TotalUnits/12+TaxPrepPerUnit*TotalUnits/12+AssetMgmtFeePct*GI$23,0)</f>
        <v/>
      </c>
      <c r="GJ40" s="218">
        <f>IF(188&gt;=DeliverStart,CapReservePerUnit*TotalUnits/12+TaxPrepPerUnit*TotalUnits/12+AssetMgmtFeePct*GJ$23,0)</f>
        <v/>
      </c>
      <c r="GK40" s="218">
        <f>IF(189&gt;=DeliverStart,CapReservePerUnit*TotalUnits/12+TaxPrepPerUnit*TotalUnits/12+AssetMgmtFeePct*GK$23,0)</f>
        <v/>
      </c>
      <c r="GL40" s="218">
        <f>IF(190&gt;=DeliverStart,CapReservePerUnit*TotalUnits/12+TaxPrepPerUnit*TotalUnits/12+AssetMgmtFeePct*GL$23,0)</f>
        <v/>
      </c>
      <c r="GM40" s="218">
        <f>IF(191&gt;=DeliverStart,CapReservePerUnit*TotalUnits/12+TaxPrepPerUnit*TotalUnits/12+AssetMgmtFeePct*GM$23,0)</f>
        <v/>
      </c>
      <c r="GN40" s="218">
        <f>IF(192&gt;=DeliverStart,CapReservePerUnit*TotalUnits/12+TaxPrepPerUnit*TotalUnits/12+AssetMgmtFeePct*GN$23,0)</f>
        <v/>
      </c>
      <c r="GO40" s="218">
        <f>IF(193&gt;=DeliverStart,CapReservePerUnit*TotalUnits/12+TaxPrepPerUnit*TotalUnits/12+AssetMgmtFeePct*GO$23,0)</f>
        <v/>
      </c>
      <c r="GP40" s="218">
        <f>IF(194&gt;=DeliverStart,CapReservePerUnit*TotalUnits/12+TaxPrepPerUnit*TotalUnits/12+AssetMgmtFeePct*GP$23,0)</f>
        <v/>
      </c>
      <c r="GQ40" s="218">
        <f>IF(195&gt;=DeliverStart,CapReservePerUnit*TotalUnits/12+TaxPrepPerUnit*TotalUnits/12+AssetMgmtFeePct*GQ$23,0)</f>
        <v/>
      </c>
      <c r="GR40" s="218">
        <f>IF(196&gt;=DeliverStart,CapReservePerUnit*TotalUnits/12+TaxPrepPerUnit*TotalUnits/12+AssetMgmtFeePct*GR$23,0)</f>
        <v/>
      </c>
      <c r="GS40" s="218">
        <f>IF(197&gt;=DeliverStart,CapReservePerUnit*TotalUnits/12+TaxPrepPerUnit*TotalUnits/12+AssetMgmtFeePct*GS$23,0)</f>
        <v/>
      </c>
      <c r="GT40" s="218">
        <f>IF(198&gt;=DeliverStart,CapReservePerUnit*TotalUnits/12+TaxPrepPerUnit*TotalUnits/12+AssetMgmtFeePct*GT$23,0)</f>
        <v/>
      </c>
      <c r="GU40" s="218">
        <f>IF(199&gt;=DeliverStart,CapReservePerUnit*TotalUnits/12+TaxPrepPerUnit*TotalUnits/12+AssetMgmtFeePct*GU$23,0)</f>
        <v/>
      </c>
      <c r="GV40" s="218">
        <f>IF(200&gt;=DeliverStart,CapReservePerUnit*TotalUnits/12+TaxPrepPerUnit*TotalUnits/12+AssetMgmtFeePct*GV$23,0)</f>
        <v/>
      </c>
      <c r="GW40" s="218">
        <f>IF(201&gt;=DeliverStart,CapReservePerUnit*TotalUnits/12+TaxPrepPerUnit*TotalUnits/12+AssetMgmtFeePct*GW$23,0)</f>
        <v/>
      </c>
      <c r="GX40" s="218">
        <f>IF(202&gt;=DeliverStart,CapReservePerUnit*TotalUnits/12+TaxPrepPerUnit*TotalUnits/12+AssetMgmtFeePct*GX$23,0)</f>
        <v/>
      </c>
      <c r="GY40" s="218">
        <f>IF(203&gt;=DeliverStart,CapReservePerUnit*TotalUnits/12+TaxPrepPerUnit*TotalUnits/12+AssetMgmtFeePct*GY$23,0)</f>
        <v/>
      </c>
      <c r="GZ40" s="218">
        <f>IF(204&gt;=DeliverStart,CapReservePerUnit*TotalUnits/12+TaxPrepPerUnit*TotalUnits/12+AssetMgmtFeePct*GZ$23,0)</f>
        <v/>
      </c>
      <c r="HA40" s="218">
        <f>IF(205&gt;=DeliverStart,CapReservePerUnit*TotalUnits/12+TaxPrepPerUnit*TotalUnits/12+AssetMgmtFeePct*HA$23,0)</f>
        <v/>
      </c>
      <c r="HB40" s="218">
        <f>IF(206&gt;=DeliverStart,CapReservePerUnit*TotalUnits/12+TaxPrepPerUnit*TotalUnits/12+AssetMgmtFeePct*HB$23,0)</f>
        <v/>
      </c>
      <c r="HC40" s="218">
        <f>IF(207&gt;=DeliverStart,CapReservePerUnit*TotalUnits/12+TaxPrepPerUnit*TotalUnits/12+AssetMgmtFeePct*HC$23,0)</f>
        <v/>
      </c>
      <c r="HD40" s="218">
        <f>IF(208&gt;=DeliverStart,CapReservePerUnit*TotalUnits/12+TaxPrepPerUnit*TotalUnits/12+AssetMgmtFeePct*HD$23,0)</f>
        <v/>
      </c>
      <c r="HE40" s="218">
        <f>IF(209&gt;=DeliverStart,CapReservePerUnit*TotalUnits/12+TaxPrepPerUnit*TotalUnits/12+AssetMgmtFeePct*HE$23,0)</f>
        <v/>
      </c>
      <c r="HF40" s="218">
        <f>IF(210&gt;=DeliverStart,CapReservePerUnit*TotalUnits/12+TaxPrepPerUnit*TotalUnits/12+AssetMgmtFeePct*HF$23,0)</f>
        <v/>
      </c>
      <c r="HG40" s="218">
        <f>IF(211&gt;=DeliverStart,CapReservePerUnit*TotalUnits/12+TaxPrepPerUnit*TotalUnits/12+AssetMgmtFeePct*HG$23,0)</f>
        <v/>
      </c>
      <c r="HH40" s="218">
        <f>IF(212&gt;=DeliverStart,CapReservePerUnit*TotalUnits/12+TaxPrepPerUnit*TotalUnits/12+AssetMgmtFeePct*HH$23,0)</f>
        <v/>
      </c>
      <c r="HI40" s="218">
        <f>IF(213&gt;=DeliverStart,CapReservePerUnit*TotalUnits/12+TaxPrepPerUnit*TotalUnits/12+AssetMgmtFeePct*HI$23,0)</f>
        <v/>
      </c>
      <c r="HJ40" s="218">
        <f>IF(214&gt;=DeliverStart,CapReservePerUnit*TotalUnits/12+TaxPrepPerUnit*TotalUnits/12+AssetMgmtFeePct*HJ$23,0)</f>
        <v/>
      </c>
      <c r="HK40" s="218">
        <f>IF(215&gt;=DeliverStart,CapReservePerUnit*TotalUnits/12+TaxPrepPerUnit*TotalUnits/12+AssetMgmtFeePct*HK$23,0)</f>
        <v/>
      </c>
      <c r="HL40" s="218">
        <f>IF(216&gt;=DeliverStart,CapReservePerUnit*TotalUnits/12+TaxPrepPerUnit*TotalUnits/12+AssetMgmtFeePct*HL$23,0)</f>
        <v/>
      </c>
      <c r="HM40" s="218">
        <f>IF(217&gt;=DeliverStart,CapReservePerUnit*TotalUnits/12+TaxPrepPerUnit*TotalUnits/12+AssetMgmtFeePct*HM$23,0)</f>
        <v/>
      </c>
      <c r="HN40" s="218">
        <f>IF(218&gt;=DeliverStart,CapReservePerUnit*TotalUnits/12+TaxPrepPerUnit*TotalUnits/12+AssetMgmtFeePct*HN$23,0)</f>
        <v/>
      </c>
      <c r="HO40" s="218">
        <f>IF(219&gt;=DeliverStart,CapReservePerUnit*TotalUnits/12+TaxPrepPerUnit*TotalUnits/12+AssetMgmtFeePct*HO$23,0)</f>
        <v/>
      </c>
      <c r="HP40" s="218">
        <f>IF(220&gt;=DeliverStart,CapReservePerUnit*TotalUnits/12+TaxPrepPerUnit*TotalUnits/12+AssetMgmtFeePct*HP$23,0)</f>
        <v/>
      </c>
      <c r="HQ40" s="218">
        <f>IF(221&gt;=DeliverStart,CapReservePerUnit*TotalUnits/12+TaxPrepPerUnit*TotalUnits/12+AssetMgmtFeePct*HQ$23,0)</f>
        <v/>
      </c>
      <c r="HR40" s="218">
        <f>IF(222&gt;=DeliverStart,CapReservePerUnit*TotalUnits/12+TaxPrepPerUnit*TotalUnits/12+AssetMgmtFeePct*HR$23,0)</f>
        <v/>
      </c>
      <c r="HS40" s="218">
        <f>IF(223&gt;=DeliverStart,CapReservePerUnit*TotalUnits/12+TaxPrepPerUnit*TotalUnits/12+AssetMgmtFeePct*HS$23,0)</f>
        <v/>
      </c>
      <c r="HT40" s="218">
        <f>IF(224&gt;=DeliverStart,CapReservePerUnit*TotalUnits/12+TaxPrepPerUnit*TotalUnits/12+AssetMgmtFeePct*HT$23,0)</f>
        <v/>
      </c>
      <c r="HU40" s="218">
        <f>IF(225&gt;=DeliverStart,CapReservePerUnit*TotalUnits/12+TaxPrepPerUnit*TotalUnits/12+AssetMgmtFeePct*HU$23,0)</f>
        <v/>
      </c>
      <c r="HV40" s="218">
        <f>IF(226&gt;=DeliverStart,CapReservePerUnit*TotalUnits/12+TaxPrepPerUnit*TotalUnits/12+AssetMgmtFeePct*HV$23,0)</f>
        <v/>
      </c>
      <c r="HW40" s="218">
        <f>IF(227&gt;=DeliverStart,CapReservePerUnit*TotalUnits/12+TaxPrepPerUnit*TotalUnits/12+AssetMgmtFeePct*HW$23,0)</f>
        <v/>
      </c>
      <c r="HX40" s="218">
        <f>IF(228&gt;=DeliverStart,CapReservePerUnit*TotalUnits/12+TaxPrepPerUnit*TotalUnits/12+AssetMgmtFeePct*HX$23,0)</f>
        <v/>
      </c>
      <c r="HY40" s="218">
        <f>IF(229&gt;=DeliverStart,CapReservePerUnit*TotalUnits/12+TaxPrepPerUnit*TotalUnits/12+AssetMgmtFeePct*HY$23,0)</f>
        <v/>
      </c>
      <c r="HZ40" s="218">
        <f>IF(230&gt;=DeliverStart,CapReservePerUnit*TotalUnits/12+TaxPrepPerUnit*TotalUnits/12+AssetMgmtFeePct*HZ$23,0)</f>
        <v/>
      </c>
      <c r="IA40" s="218">
        <f>IF(231&gt;=DeliverStart,CapReservePerUnit*TotalUnits/12+TaxPrepPerUnit*TotalUnits/12+AssetMgmtFeePct*IA$23,0)</f>
        <v/>
      </c>
      <c r="IB40" s="218">
        <f>IF(232&gt;=DeliverStart,CapReservePerUnit*TotalUnits/12+TaxPrepPerUnit*TotalUnits/12+AssetMgmtFeePct*IB$23,0)</f>
        <v/>
      </c>
      <c r="IC40" s="218">
        <f>IF(233&gt;=DeliverStart,CapReservePerUnit*TotalUnits/12+TaxPrepPerUnit*TotalUnits/12+AssetMgmtFeePct*IC$23,0)</f>
        <v/>
      </c>
      <c r="ID40" s="218">
        <f>IF(234&gt;=DeliverStart,CapReservePerUnit*TotalUnits/12+TaxPrepPerUnit*TotalUnits/12+AssetMgmtFeePct*ID$23,0)</f>
        <v/>
      </c>
      <c r="IE40" s="218">
        <f>IF(235&gt;=DeliverStart,CapReservePerUnit*TotalUnits/12+TaxPrepPerUnit*TotalUnits/12+AssetMgmtFeePct*IE$23,0)</f>
        <v/>
      </c>
      <c r="IF40" s="218">
        <f>IF(236&gt;=DeliverStart,CapReservePerUnit*TotalUnits/12+TaxPrepPerUnit*TotalUnits/12+AssetMgmtFeePct*IF$23,0)</f>
        <v/>
      </c>
      <c r="IG40" s="218">
        <f>IF(237&gt;=DeliverStart,CapReservePerUnit*TotalUnits/12+TaxPrepPerUnit*TotalUnits/12+AssetMgmtFeePct*IG$23,0)</f>
        <v/>
      </c>
      <c r="IH40" s="218">
        <f>IF(238&gt;=DeliverStart,CapReservePerUnit*TotalUnits/12+TaxPrepPerUnit*TotalUnits/12+AssetMgmtFeePct*IH$23,0)</f>
        <v/>
      </c>
      <c r="II40" s="218">
        <f>IF(239&gt;=DeliverStart,CapReservePerUnit*TotalUnits/12+TaxPrepPerUnit*TotalUnits/12+AssetMgmtFeePct*II$23,0)</f>
        <v/>
      </c>
      <c r="IJ40" s="218">
        <f>IF(240&gt;=DeliverStart,CapReservePerUnit*TotalUnits/12+TaxPrepPerUnit*TotalUnits/12+AssetMgmtFeePct*IJ$23,0)</f>
        <v/>
      </c>
      <c r="IK40" s="218">
        <f>IF(241&gt;=DeliverStart,CapReservePerUnit*TotalUnits/12+TaxPrepPerUnit*TotalUnits/12+AssetMgmtFeePct*IK$23,0)</f>
        <v/>
      </c>
      <c r="IL40" s="218">
        <f>IF(242&gt;=DeliverStart,CapReservePerUnit*TotalUnits/12+TaxPrepPerUnit*TotalUnits/12+AssetMgmtFeePct*IL$23,0)</f>
        <v/>
      </c>
      <c r="IM40" s="218">
        <f>IF(243&gt;=DeliverStart,CapReservePerUnit*TotalUnits/12+TaxPrepPerUnit*TotalUnits/12+AssetMgmtFeePct*IM$23,0)</f>
        <v/>
      </c>
      <c r="IN40" s="218">
        <f>IF(244&gt;=DeliverStart,CapReservePerUnit*TotalUnits/12+TaxPrepPerUnit*TotalUnits/12+AssetMgmtFeePct*IN$23,0)</f>
        <v/>
      </c>
      <c r="IO40" s="218">
        <f>IF(245&gt;=DeliverStart,CapReservePerUnit*TotalUnits/12+TaxPrepPerUnit*TotalUnits/12+AssetMgmtFeePct*IO$23,0)</f>
        <v/>
      </c>
      <c r="IP40" s="218">
        <f>IF(246&gt;=DeliverStart,CapReservePerUnit*TotalUnits/12+TaxPrepPerUnit*TotalUnits/12+AssetMgmtFeePct*IP$23,0)</f>
        <v/>
      </c>
      <c r="IQ40" s="218">
        <f>IF(247&gt;=DeliverStart,CapReservePerUnit*TotalUnits/12+TaxPrepPerUnit*TotalUnits/12+AssetMgmtFeePct*IQ$23,0)</f>
        <v/>
      </c>
      <c r="IR40" s="218">
        <f>IF(248&gt;=DeliverStart,CapReservePerUnit*TotalUnits/12+TaxPrepPerUnit*TotalUnits/12+AssetMgmtFeePct*IR$23,0)</f>
        <v/>
      </c>
      <c r="IS40" s="218">
        <f>IF(249&gt;=DeliverStart,CapReservePerUnit*TotalUnits/12+TaxPrepPerUnit*TotalUnits/12+AssetMgmtFeePct*IS$23,0)</f>
        <v/>
      </c>
      <c r="IT40" s="218">
        <f>IF(250&gt;=DeliverStart,CapReservePerUnit*TotalUnits/12+TaxPrepPerUnit*TotalUnits/12+AssetMgmtFeePct*IT$23,0)</f>
        <v/>
      </c>
      <c r="IU40" s="218">
        <f>IF(251&gt;=DeliverStart,CapReservePerUnit*TotalUnits/12+TaxPrepPerUnit*TotalUnits/12+AssetMgmtFeePct*IU$23,0)</f>
        <v/>
      </c>
      <c r="IV40" s="218">
        <f>IF(252&gt;=DeliverStart,CapReservePerUnit*TotalUnits/12+TaxPrepPerUnit*TotalUnits/12+AssetMgmtFeePct*IV$23,0)</f>
        <v/>
      </c>
      <c r="IW40" s="218">
        <f>IF(253&gt;=DeliverStart,CapReservePerUnit*TotalUnits/12+TaxPrepPerUnit*TotalUnits/12+AssetMgmtFeePct*IW$23,0)</f>
        <v/>
      </c>
      <c r="IX40" s="218">
        <f>IF(254&gt;=DeliverStart,CapReservePerUnit*TotalUnits/12+TaxPrepPerUnit*TotalUnits/12+AssetMgmtFeePct*IX$23,0)</f>
        <v/>
      </c>
      <c r="IY40" s="218">
        <f>IF(255&gt;=DeliverStart,CapReservePerUnit*TotalUnits/12+TaxPrepPerUnit*TotalUnits/12+AssetMgmtFeePct*IY$23,0)</f>
        <v/>
      </c>
      <c r="IZ40" s="218">
        <f>IF(256&gt;=DeliverStart,CapReservePerUnit*TotalUnits/12+TaxPrepPerUnit*TotalUnits/12+AssetMgmtFeePct*IZ$23,0)</f>
        <v/>
      </c>
      <c r="JA40" s="218">
        <f>IF(257&gt;=DeliverStart,CapReservePerUnit*TotalUnits/12+TaxPrepPerUnit*TotalUnits/12+AssetMgmtFeePct*JA$23,0)</f>
        <v/>
      </c>
      <c r="JB40" s="218">
        <f>IF(258&gt;=DeliverStart,CapReservePerUnit*TotalUnits/12+TaxPrepPerUnit*TotalUnits/12+AssetMgmtFeePct*JB$23,0)</f>
        <v/>
      </c>
      <c r="JC40" s="218">
        <f>IF(259&gt;=DeliverStart,CapReservePerUnit*TotalUnits/12+TaxPrepPerUnit*TotalUnits/12+AssetMgmtFeePct*JC$23,0)</f>
        <v/>
      </c>
      <c r="JD40" s="218">
        <f>IF(260&gt;=DeliverStart,CapReservePerUnit*TotalUnits/12+TaxPrepPerUnit*TotalUnits/12+AssetMgmtFeePct*JD$23,0)</f>
        <v/>
      </c>
      <c r="JE40" s="218">
        <f>IF(261&gt;=DeliverStart,CapReservePerUnit*TotalUnits/12+TaxPrepPerUnit*TotalUnits/12+AssetMgmtFeePct*JE$23,0)</f>
        <v/>
      </c>
      <c r="JF40" s="218">
        <f>IF(262&gt;=DeliverStart,CapReservePerUnit*TotalUnits/12+TaxPrepPerUnit*TotalUnits/12+AssetMgmtFeePct*JF$23,0)</f>
        <v/>
      </c>
      <c r="JG40" s="218">
        <f>IF(263&gt;=DeliverStart,CapReservePerUnit*TotalUnits/12+TaxPrepPerUnit*TotalUnits/12+AssetMgmtFeePct*JG$23,0)</f>
        <v/>
      </c>
      <c r="JH40" s="218">
        <f>IF(264&gt;=DeliverStart,CapReservePerUnit*TotalUnits/12+TaxPrepPerUnit*TotalUnits/12+AssetMgmtFeePct*JH$23,0)</f>
        <v/>
      </c>
      <c r="JI40" s="218">
        <f>IF(265&gt;=DeliverStart,CapReservePerUnit*TotalUnits/12+TaxPrepPerUnit*TotalUnits/12+AssetMgmtFeePct*JI$23,0)</f>
        <v/>
      </c>
      <c r="JJ40" s="218">
        <f>IF(266&gt;=DeliverStart,CapReservePerUnit*TotalUnits/12+TaxPrepPerUnit*TotalUnits/12+AssetMgmtFeePct*JJ$23,0)</f>
        <v/>
      </c>
      <c r="JK40" s="218">
        <f>IF(267&gt;=DeliverStart,CapReservePerUnit*TotalUnits/12+TaxPrepPerUnit*TotalUnits/12+AssetMgmtFeePct*JK$23,0)</f>
        <v/>
      </c>
      <c r="JL40" s="218">
        <f>IF(268&gt;=DeliverStart,CapReservePerUnit*TotalUnits/12+TaxPrepPerUnit*TotalUnits/12+AssetMgmtFeePct*JL$23,0)</f>
        <v/>
      </c>
      <c r="JM40" s="218">
        <f>IF(269&gt;=DeliverStart,CapReservePerUnit*TotalUnits/12+TaxPrepPerUnit*TotalUnits/12+AssetMgmtFeePct*JM$23,0)</f>
        <v/>
      </c>
      <c r="JN40" s="218">
        <f>IF(270&gt;=DeliverStart,CapReservePerUnit*TotalUnits/12+TaxPrepPerUnit*TotalUnits/12+AssetMgmtFeePct*JN$23,0)</f>
        <v/>
      </c>
      <c r="JO40" s="218">
        <f>IF(271&gt;=DeliverStart,CapReservePerUnit*TotalUnits/12+TaxPrepPerUnit*TotalUnits/12+AssetMgmtFeePct*JO$23,0)</f>
        <v/>
      </c>
      <c r="JP40" s="218">
        <f>IF(272&gt;=DeliverStart,CapReservePerUnit*TotalUnits/12+TaxPrepPerUnit*TotalUnits/12+AssetMgmtFeePct*JP$23,0)</f>
        <v/>
      </c>
      <c r="JQ40" s="218">
        <f>IF(273&gt;=DeliverStart,CapReservePerUnit*TotalUnits/12+TaxPrepPerUnit*TotalUnits/12+AssetMgmtFeePct*JQ$23,0)</f>
        <v/>
      </c>
      <c r="JR40" s="218">
        <f>IF(274&gt;=DeliverStart,CapReservePerUnit*TotalUnits/12+TaxPrepPerUnit*TotalUnits/12+AssetMgmtFeePct*JR$23,0)</f>
        <v/>
      </c>
      <c r="JS40" s="218">
        <f>IF(275&gt;=DeliverStart,CapReservePerUnit*TotalUnits/12+TaxPrepPerUnit*TotalUnits/12+AssetMgmtFeePct*JS$23,0)</f>
        <v/>
      </c>
      <c r="JT40" s="218">
        <f>IF(276&gt;=DeliverStart,CapReservePerUnit*TotalUnits/12+TaxPrepPerUnit*TotalUnits/12+AssetMgmtFeePct*JT$23,0)</f>
        <v/>
      </c>
      <c r="JU40" s="218">
        <f>IF(277&gt;=DeliverStart,CapReservePerUnit*TotalUnits/12+TaxPrepPerUnit*TotalUnits/12+AssetMgmtFeePct*JU$23,0)</f>
        <v/>
      </c>
      <c r="JV40" s="218">
        <f>IF(278&gt;=DeliverStart,CapReservePerUnit*TotalUnits/12+TaxPrepPerUnit*TotalUnits/12+AssetMgmtFeePct*JV$23,0)</f>
        <v/>
      </c>
      <c r="JW40" s="218">
        <f>IF(279&gt;=DeliverStart,CapReservePerUnit*TotalUnits/12+TaxPrepPerUnit*TotalUnits/12+AssetMgmtFeePct*JW$23,0)</f>
        <v/>
      </c>
      <c r="JX40" s="218">
        <f>IF(280&gt;=DeliverStart,CapReservePerUnit*TotalUnits/12+TaxPrepPerUnit*TotalUnits/12+AssetMgmtFeePct*JX$23,0)</f>
        <v/>
      </c>
      <c r="JY40" s="218">
        <f>IF(281&gt;=DeliverStart,CapReservePerUnit*TotalUnits/12+TaxPrepPerUnit*TotalUnits/12+AssetMgmtFeePct*JY$23,0)</f>
        <v/>
      </c>
      <c r="JZ40" s="218">
        <f>IF(282&gt;=DeliverStart,CapReservePerUnit*TotalUnits/12+TaxPrepPerUnit*TotalUnits/12+AssetMgmtFeePct*JZ$23,0)</f>
        <v/>
      </c>
      <c r="KA40" s="218">
        <f>IF(283&gt;=DeliverStart,CapReservePerUnit*TotalUnits/12+TaxPrepPerUnit*TotalUnits/12+AssetMgmtFeePct*KA$23,0)</f>
        <v/>
      </c>
      <c r="KB40" s="218">
        <f>IF(284&gt;=DeliverStart,CapReservePerUnit*TotalUnits/12+TaxPrepPerUnit*TotalUnits/12+AssetMgmtFeePct*KB$23,0)</f>
        <v/>
      </c>
      <c r="KC40" s="218">
        <f>IF(285&gt;=DeliverStart,CapReservePerUnit*TotalUnits/12+TaxPrepPerUnit*TotalUnits/12+AssetMgmtFeePct*KC$23,0)</f>
        <v/>
      </c>
      <c r="KD40" s="218">
        <f>IF(286&gt;=DeliverStart,CapReservePerUnit*TotalUnits/12+TaxPrepPerUnit*TotalUnits/12+AssetMgmtFeePct*KD$23,0)</f>
        <v/>
      </c>
      <c r="KE40" s="218">
        <f>IF(287&gt;=DeliverStart,CapReservePerUnit*TotalUnits/12+TaxPrepPerUnit*TotalUnits/12+AssetMgmtFeePct*KE$23,0)</f>
        <v/>
      </c>
      <c r="KF40" s="218">
        <f>IF(288&gt;=DeliverStart,CapReservePerUnit*TotalUnits/12+TaxPrepPerUnit*TotalUnits/12+AssetMgmtFeePct*KF$23,0)</f>
        <v/>
      </c>
      <c r="KG40" s="218">
        <f>IF(289&gt;=DeliverStart,CapReservePerUnit*TotalUnits/12+TaxPrepPerUnit*TotalUnits/12+AssetMgmtFeePct*KG$23,0)</f>
        <v/>
      </c>
      <c r="KH40" s="218">
        <f>IF(290&gt;=DeliverStart,CapReservePerUnit*TotalUnits/12+TaxPrepPerUnit*TotalUnits/12+AssetMgmtFeePct*KH$23,0)</f>
        <v/>
      </c>
      <c r="KI40" s="218">
        <f>IF(291&gt;=DeliverStart,CapReservePerUnit*TotalUnits/12+TaxPrepPerUnit*TotalUnits/12+AssetMgmtFeePct*KI$23,0)</f>
        <v/>
      </c>
      <c r="KJ40" s="218">
        <f>IF(292&gt;=DeliverStart,CapReservePerUnit*TotalUnits/12+TaxPrepPerUnit*TotalUnits/12+AssetMgmtFeePct*KJ$23,0)</f>
        <v/>
      </c>
      <c r="KK40" s="218">
        <f>IF(293&gt;=DeliverStart,CapReservePerUnit*TotalUnits/12+TaxPrepPerUnit*TotalUnits/12+AssetMgmtFeePct*KK$23,0)</f>
        <v/>
      </c>
      <c r="KL40" s="218">
        <f>IF(294&gt;=DeliverStart,CapReservePerUnit*TotalUnits/12+TaxPrepPerUnit*TotalUnits/12+AssetMgmtFeePct*KL$23,0)</f>
        <v/>
      </c>
      <c r="KM40" s="218">
        <f>IF(295&gt;=DeliverStart,CapReservePerUnit*TotalUnits/12+TaxPrepPerUnit*TotalUnits/12+AssetMgmtFeePct*KM$23,0)</f>
        <v/>
      </c>
      <c r="KN40" s="218">
        <f>IF(296&gt;=DeliverStart,CapReservePerUnit*TotalUnits/12+TaxPrepPerUnit*TotalUnits/12+AssetMgmtFeePct*KN$23,0)</f>
        <v/>
      </c>
      <c r="KO40" s="218">
        <f>IF(297&gt;=DeliverStart,CapReservePerUnit*TotalUnits/12+TaxPrepPerUnit*TotalUnits/12+AssetMgmtFeePct*KO$23,0)</f>
        <v/>
      </c>
      <c r="KP40" s="218">
        <f>IF(298&gt;=DeliverStart,CapReservePerUnit*TotalUnits/12+TaxPrepPerUnit*TotalUnits/12+AssetMgmtFeePct*KP$23,0)</f>
        <v/>
      </c>
      <c r="KQ40" s="218">
        <f>IF(299&gt;=DeliverStart,CapReservePerUnit*TotalUnits/12+TaxPrepPerUnit*TotalUnits/12+AssetMgmtFeePct*KQ$23,0)</f>
        <v/>
      </c>
      <c r="KR40" s="218">
        <f>IF(300&gt;=DeliverStart,CapReservePerUnit*TotalUnits/12+TaxPrepPerUnit*TotalUnits/12+AssetMgmtFeePct*KR$23,0)</f>
        <v/>
      </c>
      <c r="KS40" s="218">
        <f>IF(301&gt;=DeliverStart,CapReservePerUnit*TotalUnits/12+TaxPrepPerUnit*TotalUnits/12+AssetMgmtFeePct*KS$23,0)</f>
        <v/>
      </c>
      <c r="KT40" s="218">
        <f>IF(302&gt;=DeliverStart,CapReservePerUnit*TotalUnits/12+TaxPrepPerUnit*TotalUnits/12+AssetMgmtFeePct*KT$23,0)</f>
        <v/>
      </c>
      <c r="KU40" s="218">
        <f>IF(303&gt;=DeliverStart,CapReservePerUnit*TotalUnits/12+TaxPrepPerUnit*TotalUnits/12+AssetMgmtFeePct*KU$23,0)</f>
        <v/>
      </c>
      <c r="KV40" s="218">
        <f>IF(304&gt;=DeliverStart,CapReservePerUnit*TotalUnits/12+TaxPrepPerUnit*TotalUnits/12+AssetMgmtFeePct*KV$23,0)</f>
        <v/>
      </c>
      <c r="KW40" s="218">
        <f>IF(305&gt;=DeliverStart,CapReservePerUnit*TotalUnits/12+TaxPrepPerUnit*TotalUnits/12+AssetMgmtFeePct*KW$23,0)</f>
        <v/>
      </c>
      <c r="KX40" s="218">
        <f>IF(306&gt;=DeliverStart,CapReservePerUnit*TotalUnits/12+TaxPrepPerUnit*TotalUnits/12+AssetMgmtFeePct*KX$23,0)</f>
        <v/>
      </c>
      <c r="KY40" s="218">
        <f>IF(307&gt;=DeliverStart,CapReservePerUnit*TotalUnits/12+TaxPrepPerUnit*TotalUnits/12+AssetMgmtFeePct*KY$23,0)</f>
        <v/>
      </c>
      <c r="KZ40" s="218">
        <f>IF(308&gt;=DeliverStart,CapReservePerUnit*TotalUnits/12+TaxPrepPerUnit*TotalUnits/12+AssetMgmtFeePct*KZ$23,0)</f>
        <v/>
      </c>
      <c r="LA40" s="218">
        <f>IF(309&gt;=DeliverStart,CapReservePerUnit*TotalUnits/12+TaxPrepPerUnit*TotalUnits/12+AssetMgmtFeePct*LA$23,0)</f>
        <v/>
      </c>
      <c r="LB40" s="218">
        <f>IF(310&gt;=DeliverStart,CapReservePerUnit*TotalUnits/12+TaxPrepPerUnit*TotalUnits/12+AssetMgmtFeePct*LB$23,0)</f>
        <v/>
      </c>
      <c r="LC40" s="218">
        <f>IF(311&gt;=DeliverStart,CapReservePerUnit*TotalUnits/12+TaxPrepPerUnit*TotalUnits/12+AssetMgmtFeePct*LC$23,0)</f>
        <v/>
      </c>
      <c r="LD40" s="218">
        <f>IF(312&gt;=DeliverStart,CapReservePerUnit*TotalUnits/12+TaxPrepPerUnit*TotalUnits/12+AssetMgmtFeePct*LD$23,0)</f>
        <v/>
      </c>
      <c r="LE40" s="218">
        <f>IF(313&gt;=DeliverStart,CapReservePerUnit*TotalUnits/12+TaxPrepPerUnit*TotalUnits/12+AssetMgmtFeePct*LE$23,0)</f>
        <v/>
      </c>
      <c r="LF40" s="218">
        <f>IF(314&gt;=DeliverStart,CapReservePerUnit*TotalUnits/12+TaxPrepPerUnit*TotalUnits/12+AssetMgmtFeePct*LF$23,0)</f>
        <v/>
      </c>
      <c r="LG40" s="218">
        <f>IF(315&gt;=DeliverStart,CapReservePerUnit*TotalUnits/12+TaxPrepPerUnit*TotalUnits/12+AssetMgmtFeePct*LG$23,0)</f>
        <v/>
      </c>
      <c r="LH40" s="218">
        <f>IF(316&gt;=DeliverStart,CapReservePerUnit*TotalUnits/12+TaxPrepPerUnit*TotalUnits/12+AssetMgmtFeePct*LH$23,0)</f>
        <v/>
      </c>
      <c r="LI40" s="218">
        <f>IF(317&gt;=DeliverStart,CapReservePerUnit*TotalUnits/12+TaxPrepPerUnit*TotalUnits/12+AssetMgmtFeePct*LI$23,0)</f>
        <v/>
      </c>
      <c r="LJ40" s="218">
        <f>IF(318&gt;=DeliverStart,CapReservePerUnit*TotalUnits/12+TaxPrepPerUnit*TotalUnits/12+AssetMgmtFeePct*LJ$23,0)</f>
        <v/>
      </c>
      <c r="LK40" s="218">
        <f>IF(319&gt;=DeliverStart,CapReservePerUnit*TotalUnits/12+TaxPrepPerUnit*TotalUnits/12+AssetMgmtFeePct*LK$23,0)</f>
        <v/>
      </c>
      <c r="LL40" s="218">
        <f>IF(320&gt;=DeliverStart,CapReservePerUnit*TotalUnits/12+TaxPrepPerUnit*TotalUnits/12+AssetMgmtFeePct*LL$23,0)</f>
        <v/>
      </c>
      <c r="LM40" s="218">
        <f>IF(321&gt;=DeliverStart,CapReservePerUnit*TotalUnits/12+TaxPrepPerUnit*TotalUnits/12+AssetMgmtFeePct*LM$23,0)</f>
        <v/>
      </c>
      <c r="LN40" s="218">
        <f>IF(322&gt;=DeliverStart,CapReservePerUnit*TotalUnits/12+TaxPrepPerUnit*TotalUnits/12+AssetMgmtFeePct*LN$23,0)</f>
        <v/>
      </c>
      <c r="LO40" s="218">
        <f>IF(323&gt;=DeliverStart,CapReservePerUnit*TotalUnits/12+TaxPrepPerUnit*TotalUnits/12+AssetMgmtFeePct*LO$23,0)</f>
        <v/>
      </c>
      <c r="LP40" s="218">
        <f>IF(324&gt;=DeliverStart,CapReservePerUnit*TotalUnits/12+TaxPrepPerUnit*TotalUnits/12+AssetMgmtFeePct*LP$23,0)</f>
        <v/>
      </c>
      <c r="LQ40" s="218">
        <f>IF(325&gt;=DeliverStart,CapReservePerUnit*TotalUnits/12+TaxPrepPerUnit*TotalUnits/12+AssetMgmtFeePct*LQ$23,0)</f>
        <v/>
      </c>
      <c r="LR40" s="218">
        <f>IF(326&gt;=DeliverStart,CapReservePerUnit*TotalUnits/12+TaxPrepPerUnit*TotalUnits/12+AssetMgmtFeePct*LR$23,0)</f>
        <v/>
      </c>
      <c r="LS40" s="218">
        <f>IF(327&gt;=DeliverStart,CapReservePerUnit*TotalUnits/12+TaxPrepPerUnit*TotalUnits/12+AssetMgmtFeePct*LS$23,0)</f>
        <v/>
      </c>
      <c r="LT40" s="218">
        <f>IF(328&gt;=DeliverStart,CapReservePerUnit*TotalUnits/12+TaxPrepPerUnit*TotalUnits/12+AssetMgmtFeePct*LT$23,0)</f>
        <v/>
      </c>
      <c r="LU40" s="218">
        <f>IF(329&gt;=DeliverStart,CapReservePerUnit*TotalUnits/12+TaxPrepPerUnit*TotalUnits/12+AssetMgmtFeePct*LU$23,0)</f>
        <v/>
      </c>
      <c r="LV40" s="218">
        <f>IF(330&gt;=DeliverStart,CapReservePerUnit*TotalUnits/12+TaxPrepPerUnit*TotalUnits/12+AssetMgmtFeePct*LV$23,0)</f>
        <v/>
      </c>
      <c r="LW40" s="218">
        <f>IF(331&gt;=DeliverStart,CapReservePerUnit*TotalUnits/12+TaxPrepPerUnit*TotalUnits/12+AssetMgmtFeePct*LW$23,0)</f>
        <v/>
      </c>
      <c r="LX40" s="218">
        <f>IF(332&gt;=DeliverStart,CapReservePerUnit*TotalUnits/12+TaxPrepPerUnit*TotalUnits/12+AssetMgmtFeePct*LX$23,0)</f>
        <v/>
      </c>
      <c r="LY40" s="218">
        <f>IF(333&gt;=DeliverStart,CapReservePerUnit*TotalUnits/12+TaxPrepPerUnit*TotalUnits/12+AssetMgmtFeePct*LY$23,0)</f>
        <v/>
      </c>
      <c r="LZ40" s="218">
        <f>IF(334&gt;=DeliverStart,CapReservePerUnit*TotalUnits/12+TaxPrepPerUnit*TotalUnits/12+AssetMgmtFeePct*LZ$23,0)</f>
        <v/>
      </c>
      <c r="MA40" s="218">
        <f>IF(335&gt;=DeliverStart,CapReservePerUnit*TotalUnits/12+TaxPrepPerUnit*TotalUnits/12+AssetMgmtFeePct*MA$23,0)</f>
        <v/>
      </c>
      <c r="MB40" s="218">
        <f>IF(336&gt;=DeliverStart,CapReservePerUnit*TotalUnits/12+TaxPrepPerUnit*TotalUnits/12+AssetMgmtFeePct*MB$23,0)</f>
        <v/>
      </c>
      <c r="MC40" s="218">
        <f>IF(337&gt;=DeliverStart,CapReservePerUnit*TotalUnits/12+TaxPrepPerUnit*TotalUnits/12+AssetMgmtFeePct*MC$23,0)</f>
        <v/>
      </c>
      <c r="MD40" s="218">
        <f>IF(338&gt;=DeliverStart,CapReservePerUnit*TotalUnits/12+TaxPrepPerUnit*TotalUnits/12+AssetMgmtFeePct*MD$23,0)</f>
        <v/>
      </c>
      <c r="ME40" s="218">
        <f>IF(339&gt;=DeliverStart,CapReservePerUnit*TotalUnits/12+TaxPrepPerUnit*TotalUnits/12+AssetMgmtFeePct*ME$23,0)</f>
        <v/>
      </c>
      <c r="MF40" s="218">
        <f>IF(340&gt;=DeliverStart,CapReservePerUnit*TotalUnits/12+TaxPrepPerUnit*TotalUnits/12+AssetMgmtFeePct*MF$23,0)</f>
        <v/>
      </c>
      <c r="MG40" s="218">
        <f>IF(341&gt;=DeliverStart,CapReservePerUnit*TotalUnits/12+TaxPrepPerUnit*TotalUnits/12+AssetMgmtFeePct*MG$23,0)</f>
        <v/>
      </c>
      <c r="MH40" s="218">
        <f>IF(342&gt;=DeliverStart,CapReservePerUnit*TotalUnits/12+TaxPrepPerUnit*TotalUnits/12+AssetMgmtFeePct*MH$23,0)</f>
        <v/>
      </c>
      <c r="MI40" s="218">
        <f>IF(343&gt;=DeliverStart,CapReservePerUnit*TotalUnits/12+TaxPrepPerUnit*TotalUnits/12+AssetMgmtFeePct*MI$23,0)</f>
        <v/>
      </c>
      <c r="MJ40" s="218">
        <f>IF(344&gt;=DeliverStart,CapReservePerUnit*TotalUnits/12+TaxPrepPerUnit*TotalUnits/12+AssetMgmtFeePct*MJ$23,0)</f>
        <v/>
      </c>
      <c r="MK40" s="218">
        <f>IF(345&gt;=DeliverStart,CapReservePerUnit*TotalUnits/12+TaxPrepPerUnit*TotalUnits/12+AssetMgmtFeePct*MK$23,0)</f>
        <v/>
      </c>
      <c r="ML40" s="218">
        <f>IF(346&gt;=DeliverStart,CapReservePerUnit*TotalUnits/12+TaxPrepPerUnit*TotalUnits/12+AssetMgmtFeePct*ML$23,0)</f>
        <v/>
      </c>
      <c r="MM40" s="218">
        <f>IF(347&gt;=DeliverStart,CapReservePerUnit*TotalUnits/12+TaxPrepPerUnit*TotalUnits/12+AssetMgmtFeePct*MM$23,0)</f>
        <v/>
      </c>
      <c r="MN40" s="218">
        <f>IF(348&gt;=DeliverStart,CapReservePerUnit*TotalUnits/12+TaxPrepPerUnit*TotalUnits/12+AssetMgmtFeePct*MN$23,0)</f>
        <v/>
      </c>
      <c r="MO40" s="218">
        <f>IF(349&gt;=DeliverStart,CapReservePerUnit*TotalUnits/12+TaxPrepPerUnit*TotalUnits/12+AssetMgmtFeePct*MO$23,0)</f>
        <v/>
      </c>
      <c r="MP40" s="218">
        <f>IF(350&gt;=DeliverStart,CapReservePerUnit*TotalUnits/12+TaxPrepPerUnit*TotalUnits/12+AssetMgmtFeePct*MP$23,0)</f>
        <v/>
      </c>
      <c r="MQ40" s="218">
        <f>IF(351&gt;=DeliverStart,CapReservePerUnit*TotalUnits/12+TaxPrepPerUnit*TotalUnits/12+AssetMgmtFeePct*MQ$23,0)</f>
        <v/>
      </c>
      <c r="MR40" s="218">
        <f>IF(352&gt;=DeliverStart,CapReservePerUnit*TotalUnits/12+TaxPrepPerUnit*TotalUnits/12+AssetMgmtFeePct*MR$23,0)</f>
        <v/>
      </c>
      <c r="MS40" s="218">
        <f>IF(353&gt;=DeliverStart,CapReservePerUnit*TotalUnits/12+TaxPrepPerUnit*TotalUnits/12+AssetMgmtFeePct*MS$23,0)</f>
        <v/>
      </c>
      <c r="MT40" s="218">
        <f>IF(354&gt;=DeliverStart,CapReservePerUnit*TotalUnits/12+TaxPrepPerUnit*TotalUnits/12+AssetMgmtFeePct*MT$23,0)</f>
        <v/>
      </c>
      <c r="MU40" s="218">
        <f>IF(355&gt;=DeliverStart,CapReservePerUnit*TotalUnits/12+TaxPrepPerUnit*TotalUnits/12+AssetMgmtFeePct*MU$23,0)</f>
        <v/>
      </c>
      <c r="MV40" s="218">
        <f>IF(356&gt;=DeliverStart,CapReservePerUnit*TotalUnits/12+TaxPrepPerUnit*TotalUnits/12+AssetMgmtFeePct*MV$23,0)</f>
        <v/>
      </c>
      <c r="MW40" s="218">
        <f>IF(357&gt;=DeliverStart,CapReservePerUnit*TotalUnits/12+TaxPrepPerUnit*TotalUnits/12+AssetMgmtFeePct*MW$23,0)</f>
        <v/>
      </c>
      <c r="MX40" s="218">
        <f>IF(358&gt;=DeliverStart,CapReservePerUnit*TotalUnits/12+TaxPrepPerUnit*TotalUnits/12+AssetMgmtFeePct*MX$23,0)</f>
        <v/>
      </c>
      <c r="MY40" s="218">
        <f>IF(359&gt;=DeliverStart,CapReservePerUnit*TotalUnits/12+TaxPrepPerUnit*TotalUnits/12+AssetMgmtFeePct*MY$23,0)</f>
        <v/>
      </c>
      <c r="MZ40" s="218">
        <f>IF(360&gt;=DeliverStart,CapReservePerUnit*TotalUnits/12+TaxPrepPerUnit*TotalUnits/12+AssetMgmtFeePct*MZ$23,0)</f>
        <v/>
      </c>
      <c r="NA40" s="218">
        <f>IF(361&gt;=DeliverStart,CapReservePerUnit*TotalUnits/12+TaxPrepPerUnit*TotalUnits/12+AssetMgmtFeePct*NA$23,0)</f>
        <v/>
      </c>
      <c r="NB40" s="218">
        <f>IF(362&gt;=DeliverStart,CapReservePerUnit*TotalUnits/12+TaxPrepPerUnit*TotalUnits/12+AssetMgmtFeePct*NB$23,0)</f>
        <v/>
      </c>
      <c r="NC40" s="218">
        <f>IF(363&gt;=DeliverStart,CapReservePerUnit*TotalUnits/12+TaxPrepPerUnit*TotalUnits/12+AssetMgmtFeePct*NC$23,0)</f>
        <v/>
      </c>
      <c r="ND40" s="218">
        <f>IF(364&gt;=DeliverStart,CapReservePerUnit*TotalUnits/12+TaxPrepPerUnit*TotalUnits/12+AssetMgmtFeePct*ND$23,0)</f>
        <v/>
      </c>
      <c r="NE40" s="218">
        <f>IF(365&gt;=DeliverStart,CapReservePerUnit*TotalUnits/12+TaxPrepPerUnit*TotalUnits/12+AssetMgmtFeePct*NE$23,0)</f>
        <v/>
      </c>
      <c r="NF40" s="218">
        <f>IF(366&gt;=DeliverStart,CapReservePerUnit*TotalUnits/12+TaxPrepPerUnit*TotalUnits/12+AssetMgmtFeePct*NF$23,0)</f>
        <v/>
      </c>
      <c r="NG40" s="218">
        <f>IF(367&gt;=DeliverStart,CapReservePerUnit*TotalUnits/12+TaxPrepPerUnit*TotalUnits/12+AssetMgmtFeePct*NG$23,0)</f>
        <v/>
      </c>
      <c r="NH40" s="218">
        <f>IF(368&gt;=DeliverStart,CapReservePerUnit*TotalUnits/12+TaxPrepPerUnit*TotalUnits/12+AssetMgmtFeePct*NH$23,0)</f>
        <v/>
      </c>
      <c r="NI40" s="218">
        <f>IF(369&gt;=DeliverStart,CapReservePerUnit*TotalUnits/12+TaxPrepPerUnit*TotalUnits/12+AssetMgmtFeePct*NI$23,0)</f>
        <v/>
      </c>
      <c r="NJ40" s="218">
        <f>IF(370&gt;=DeliverStart,CapReservePerUnit*TotalUnits/12+TaxPrepPerUnit*TotalUnits/12+AssetMgmtFeePct*NJ$23,0)</f>
        <v/>
      </c>
      <c r="NK40" s="218">
        <f>IF(371&gt;=DeliverStart,CapReservePerUnit*TotalUnits/12+TaxPrepPerUnit*TotalUnits/12+AssetMgmtFeePct*NK$23,0)</f>
        <v/>
      </c>
      <c r="NL40" s="225">
        <f>IF(372&gt;=DeliverStart,CapReservePerUnit*TotalUnits/12+TaxPrepPerUnit*TotalUnits/12+AssetMgmtFeePct*NL$23,0)</f>
        <v/>
      </c>
    </row>
    <row r="41">
      <c r="B41" s="154" t="inlineStr">
        <is>
          <t>Operating Cash Flow</t>
        </is>
      </c>
      <c r="C41" s="155" t="n"/>
      <c r="D41" s="155" t="n"/>
      <c r="NL41" s="53" t="n"/>
    </row>
    <row r="42">
      <c r="B42" s="36" t="inlineStr">
        <is>
          <t>Operating CF before Debt (property)</t>
        </is>
      </c>
      <c r="D42" s="266">
        <f>SUM(E42:NL42)</f>
        <v/>
      </c>
      <c r="E42" s="218">
        <f>E$38-E$40</f>
        <v/>
      </c>
      <c r="F42" s="218">
        <f>F$38-F$40</f>
        <v/>
      </c>
      <c r="G42" s="218">
        <f>G$38-G$40</f>
        <v/>
      </c>
      <c r="H42" s="218">
        <f>H$38-H$40</f>
        <v/>
      </c>
      <c r="I42" s="218">
        <f>I$38-I$40</f>
        <v/>
      </c>
      <c r="J42" s="218">
        <f>J$38-J$40</f>
        <v/>
      </c>
      <c r="K42" s="218">
        <f>K$38-K$40</f>
        <v/>
      </c>
      <c r="L42" s="218">
        <f>L$38-L$40</f>
        <v/>
      </c>
      <c r="M42" s="218">
        <f>M$38-M$40</f>
        <v/>
      </c>
      <c r="N42" s="218">
        <f>N$38-N$40</f>
        <v/>
      </c>
      <c r="O42" s="218">
        <f>O$38-O$40</f>
        <v/>
      </c>
      <c r="P42" s="218">
        <f>P$38-P$40</f>
        <v/>
      </c>
      <c r="Q42" s="218">
        <f>Q$38-Q$40</f>
        <v/>
      </c>
      <c r="R42" s="218">
        <f>R$38-R$40</f>
        <v/>
      </c>
      <c r="S42" s="218">
        <f>S$38-S$40</f>
        <v/>
      </c>
      <c r="T42" s="218">
        <f>T$38-T$40</f>
        <v/>
      </c>
      <c r="U42" s="218">
        <f>U$38-U$40</f>
        <v/>
      </c>
      <c r="V42" s="218">
        <f>V$38-V$40</f>
        <v/>
      </c>
      <c r="W42" s="218">
        <f>W$38-W$40</f>
        <v/>
      </c>
      <c r="X42" s="218">
        <f>X$38-X$40</f>
        <v/>
      </c>
      <c r="Y42" s="218">
        <f>Y$38-Y$40</f>
        <v/>
      </c>
      <c r="Z42" s="218">
        <f>Z$38-Z$40</f>
        <v/>
      </c>
      <c r="AA42" s="218">
        <f>AA$38-AA$40</f>
        <v/>
      </c>
      <c r="AB42" s="218">
        <f>AB$38-AB$40</f>
        <v/>
      </c>
      <c r="AC42" s="218">
        <f>AC$38-AC$40</f>
        <v/>
      </c>
      <c r="AD42" s="218">
        <f>AD$38-AD$40</f>
        <v/>
      </c>
      <c r="AE42" s="218">
        <f>AE$38-AE$40</f>
        <v/>
      </c>
      <c r="AF42" s="218">
        <f>AF$38-AF$40</f>
        <v/>
      </c>
      <c r="AG42" s="218">
        <f>AG$38-AG$40</f>
        <v/>
      </c>
      <c r="AH42" s="218">
        <f>AH$38-AH$40</f>
        <v/>
      </c>
      <c r="AI42" s="218">
        <f>AI$38-AI$40</f>
        <v/>
      </c>
      <c r="AJ42" s="218">
        <f>AJ$38-AJ$40</f>
        <v/>
      </c>
      <c r="AK42" s="218">
        <f>AK$38-AK$40</f>
        <v/>
      </c>
      <c r="AL42" s="218">
        <f>AL$38-AL$40</f>
        <v/>
      </c>
      <c r="AM42" s="218">
        <f>AM$38-AM$40</f>
        <v/>
      </c>
      <c r="AN42" s="218">
        <f>AN$38-AN$40</f>
        <v/>
      </c>
      <c r="AO42" s="218">
        <f>AO$38-AO$40</f>
        <v/>
      </c>
      <c r="AP42" s="218">
        <f>AP$38-AP$40</f>
        <v/>
      </c>
      <c r="AQ42" s="218">
        <f>AQ$38-AQ$40</f>
        <v/>
      </c>
      <c r="AR42" s="218">
        <f>AR$38-AR$40</f>
        <v/>
      </c>
      <c r="AS42" s="218">
        <f>AS$38-AS$40</f>
        <v/>
      </c>
      <c r="AT42" s="218">
        <f>AT$38-AT$40</f>
        <v/>
      </c>
      <c r="AU42" s="218">
        <f>AU$38-AU$40</f>
        <v/>
      </c>
      <c r="AV42" s="218">
        <f>AV$38-AV$40</f>
        <v/>
      </c>
      <c r="AW42" s="218">
        <f>AW$38-AW$40</f>
        <v/>
      </c>
      <c r="AX42" s="218">
        <f>AX$38-AX$40</f>
        <v/>
      </c>
      <c r="AY42" s="218">
        <f>AY$38-AY$40</f>
        <v/>
      </c>
      <c r="AZ42" s="218">
        <f>AZ$38-AZ$40</f>
        <v/>
      </c>
      <c r="BA42" s="218">
        <f>BA$38-BA$40</f>
        <v/>
      </c>
      <c r="BB42" s="218">
        <f>BB$38-BB$40</f>
        <v/>
      </c>
      <c r="BC42" s="218">
        <f>BC$38-BC$40</f>
        <v/>
      </c>
      <c r="BD42" s="218">
        <f>BD$38-BD$40</f>
        <v/>
      </c>
      <c r="BE42" s="218">
        <f>BE$38-BE$40</f>
        <v/>
      </c>
      <c r="BF42" s="218">
        <f>BF$38-BF$40</f>
        <v/>
      </c>
      <c r="BG42" s="218">
        <f>BG$38-BG$40</f>
        <v/>
      </c>
      <c r="BH42" s="218">
        <f>BH$38-BH$40</f>
        <v/>
      </c>
      <c r="BI42" s="218">
        <f>BI$38-BI$40</f>
        <v/>
      </c>
      <c r="BJ42" s="218">
        <f>BJ$38-BJ$40</f>
        <v/>
      </c>
      <c r="BK42" s="218">
        <f>BK$38-BK$40</f>
        <v/>
      </c>
      <c r="BL42" s="218">
        <f>BL$38-BL$40</f>
        <v/>
      </c>
      <c r="BM42" s="218">
        <f>BM$38-BM$40</f>
        <v/>
      </c>
      <c r="BN42" s="218">
        <f>BN$38-BN$40</f>
        <v/>
      </c>
      <c r="BO42" s="218">
        <f>BO$38-BO$40</f>
        <v/>
      </c>
      <c r="BP42" s="218">
        <f>BP$38-BP$40</f>
        <v/>
      </c>
      <c r="BQ42" s="218">
        <f>BQ$38-BQ$40</f>
        <v/>
      </c>
      <c r="BR42" s="218">
        <f>BR$38-BR$40</f>
        <v/>
      </c>
      <c r="BS42" s="218">
        <f>BS$38-BS$40</f>
        <v/>
      </c>
      <c r="BT42" s="218">
        <f>BT$38-BT$40</f>
        <v/>
      </c>
      <c r="BU42" s="218">
        <f>BU$38-BU$40</f>
        <v/>
      </c>
      <c r="BV42" s="218">
        <f>BV$38-BV$40</f>
        <v/>
      </c>
      <c r="BW42" s="218">
        <f>BW$38-BW$40</f>
        <v/>
      </c>
      <c r="BX42" s="218">
        <f>BX$38-BX$40</f>
        <v/>
      </c>
      <c r="BY42" s="218">
        <f>BY$38-BY$40</f>
        <v/>
      </c>
      <c r="BZ42" s="218">
        <f>BZ$38-BZ$40</f>
        <v/>
      </c>
      <c r="CA42" s="218">
        <f>CA$38-CA$40</f>
        <v/>
      </c>
      <c r="CB42" s="218">
        <f>CB$38-CB$40</f>
        <v/>
      </c>
      <c r="CC42" s="218">
        <f>CC$38-CC$40</f>
        <v/>
      </c>
      <c r="CD42" s="218">
        <f>CD$38-CD$40</f>
        <v/>
      </c>
      <c r="CE42" s="218">
        <f>CE$38-CE$40</f>
        <v/>
      </c>
      <c r="CF42" s="218">
        <f>CF$38-CF$40</f>
        <v/>
      </c>
      <c r="CG42" s="218">
        <f>CG$38-CG$40</f>
        <v/>
      </c>
      <c r="CH42" s="218">
        <f>CH$38-CH$40</f>
        <v/>
      </c>
      <c r="CI42" s="218">
        <f>CI$38-CI$40</f>
        <v/>
      </c>
      <c r="CJ42" s="218">
        <f>CJ$38-CJ$40</f>
        <v/>
      </c>
      <c r="CK42" s="218">
        <f>CK$38-CK$40</f>
        <v/>
      </c>
      <c r="CL42" s="218">
        <f>CL$38-CL$40</f>
        <v/>
      </c>
      <c r="CM42" s="218">
        <f>CM$38-CM$40</f>
        <v/>
      </c>
      <c r="CN42" s="218">
        <f>CN$38-CN$40</f>
        <v/>
      </c>
      <c r="CO42" s="218">
        <f>CO$38-CO$40</f>
        <v/>
      </c>
      <c r="CP42" s="218">
        <f>CP$38-CP$40</f>
        <v/>
      </c>
      <c r="CQ42" s="218">
        <f>CQ$38-CQ$40</f>
        <v/>
      </c>
      <c r="CR42" s="218">
        <f>CR$38-CR$40</f>
        <v/>
      </c>
      <c r="CS42" s="218">
        <f>CS$38-CS$40</f>
        <v/>
      </c>
      <c r="CT42" s="218">
        <f>CT$38-CT$40</f>
        <v/>
      </c>
      <c r="CU42" s="218">
        <f>CU$38-CU$40</f>
        <v/>
      </c>
      <c r="CV42" s="218">
        <f>CV$38-CV$40</f>
        <v/>
      </c>
      <c r="CW42" s="218">
        <f>CW$38-CW$40</f>
        <v/>
      </c>
      <c r="CX42" s="218">
        <f>CX$38-CX$40</f>
        <v/>
      </c>
      <c r="CY42" s="218">
        <f>CY$38-CY$40</f>
        <v/>
      </c>
      <c r="CZ42" s="218">
        <f>CZ$38-CZ$40</f>
        <v/>
      </c>
      <c r="DA42" s="218">
        <f>DA$38-DA$40</f>
        <v/>
      </c>
      <c r="DB42" s="218">
        <f>DB$38-DB$40</f>
        <v/>
      </c>
      <c r="DC42" s="218">
        <f>DC$38-DC$40</f>
        <v/>
      </c>
      <c r="DD42" s="218">
        <f>DD$38-DD$40</f>
        <v/>
      </c>
      <c r="DE42" s="218">
        <f>DE$38-DE$40</f>
        <v/>
      </c>
      <c r="DF42" s="218">
        <f>DF$38-DF$40</f>
        <v/>
      </c>
      <c r="DG42" s="218">
        <f>DG$38-DG$40</f>
        <v/>
      </c>
      <c r="DH42" s="218">
        <f>DH$38-DH$40</f>
        <v/>
      </c>
      <c r="DI42" s="218">
        <f>DI$38-DI$40</f>
        <v/>
      </c>
      <c r="DJ42" s="218">
        <f>DJ$38-DJ$40</f>
        <v/>
      </c>
      <c r="DK42" s="218">
        <f>DK$38-DK$40</f>
        <v/>
      </c>
      <c r="DL42" s="218">
        <f>DL$38-DL$40</f>
        <v/>
      </c>
      <c r="DM42" s="218">
        <f>DM$38-DM$40</f>
        <v/>
      </c>
      <c r="DN42" s="218">
        <f>DN$38-DN$40</f>
        <v/>
      </c>
      <c r="DO42" s="218">
        <f>DO$38-DO$40</f>
        <v/>
      </c>
      <c r="DP42" s="218">
        <f>DP$38-DP$40</f>
        <v/>
      </c>
      <c r="DQ42" s="218">
        <f>DQ$38-DQ$40</f>
        <v/>
      </c>
      <c r="DR42" s="218">
        <f>DR$38-DR$40</f>
        <v/>
      </c>
      <c r="DS42" s="218">
        <f>DS$38-DS$40</f>
        <v/>
      </c>
      <c r="DT42" s="218">
        <f>DT$38-DT$40</f>
        <v/>
      </c>
      <c r="DU42" s="218">
        <f>DU$38-DU$40</f>
        <v/>
      </c>
      <c r="DV42" s="218">
        <f>DV$38-DV$40</f>
        <v/>
      </c>
      <c r="DW42" s="218">
        <f>DW$38-DW$40</f>
        <v/>
      </c>
      <c r="DX42" s="218">
        <f>DX$38-DX$40</f>
        <v/>
      </c>
      <c r="DY42" s="218">
        <f>DY$38-DY$40</f>
        <v/>
      </c>
      <c r="DZ42" s="218">
        <f>DZ$38-DZ$40</f>
        <v/>
      </c>
      <c r="EA42" s="218">
        <f>EA$38-EA$40</f>
        <v/>
      </c>
      <c r="EB42" s="218">
        <f>EB$38-EB$40</f>
        <v/>
      </c>
      <c r="EC42" s="218">
        <f>EC$38-EC$40</f>
        <v/>
      </c>
      <c r="ED42" s="218">
        <f>ED$38-ED$40</f>
        <v/>
      </c>
      <c r="EE42" s="218">
        <f>EE$38-EE$40</f>
        <v/>
      </c>
      <c r="EF42" s="218">
        <f>EF$38-EF$40</f>
        <v/>
      </c>
      <c r="EG42" s="218">
        <f>EG$38-EG$40</f>
        <v/>
      </c>
      <c r="EH42" s="218">
        <f>EH$38-EH$40</f>
        <v/>
      </c>
      <c r="EI42" s="218">
        <f>EI$38-EI$40</f>
        <v/>
      </c>
      <c r="EJ42" s="218">
        <f>EJ$38-EJ$40</f>
        <v/>
      </c>
      <c r="EK42" s="218">
        <f>EK$38-EK$40</f>
        <v/>
      </c>
      <c r="EL42" s="218">
        <f>EL$38-EL$40</f>
        <v/>
      </c>
      <c r="EM42" s="218">
        <f>EM$38-EM$40</f>
        <v/>
      </c>
      <c r="EN42" s="218">
        <f>EN$38-EN$40</f>
        <v/>
      </c>
      <c r="EO42" s="218">
        <f>EO$38-EO$40</f>
        <v/>
      </c>
      <c r="EP42" s="218">
        <f>EP$38-EP$40</f>
        <v/>
      </c>
      <c r="EQ42" s="218">
        <f>EQ$38-EQ$40</f>
        <v/>
      </c>
      <c r="ER42" s="218">
        <f>ER$38-ER$40</f>
        <v/>
      </c>
      <c r="ES42" s="218">
        <f>ES$38-ES$40</f>
        <v/>
      </c>
      <c r="ET42" s="218">
        <f>ET$38-ET$40</f>
        <v/>
      </c>
      <c r="EU42" s="218">
        <f>EU$38-EU$40</f>
        <v/>
      </c>
      <c r="EV42" s="218">
        <f>EV$38-EV$40</f>
        <v/>
      </c>
      <c r="EW42" s="218">
        <f>EW$38-EW$40</f>
        <v/>
      </c>
      <c r="EX42" s="218">
        <f>EX$38-EX$40</f>
        <v/>
      </c>
      <c r="EY42" s="218">
        <f>EY$38-EY$40</f>
        <v/>
      </c>
      <c r="EZ42" s="218">
        <f>EZ$38-EZ$40</f>
        <v/>
      </c>
      <c r="FA42" s="218">
        <f>FA$38-FA$40</f>
        <v/>
      </c>
      <c r="FB42" s="218">
        <f>FB$38-FB$40</f>
        <v/>
      </c>
      <c r="FC42" s="218">
        <f>FC$38-FC$40</f>
        <v/>
      </c>
      <c r="FD42" s="218">
        <f>FD$38-FD$40</f>
        <v/>
      </c>
      <c r="FE42" s="218">
        <f>FE$38-FE$40</f>
        <v/>
      </c>
      <c r="FF42" s="218">
        <f>FF$38-FF$40</f>
        <v/>
      </c>
      <c r="FG42" s="218">
        <f>FG$38-FG$40</f>
        <v/>
      </c>
      <c r="FH42" s="218">
        <f>FH$38-FH$40</f>
        <v/>
      </c>
      <c r="FI42" s="218">
        <f>FI$38-FI$40</f>
        <v/>
      </c>
      <c r="FJ42" s="218">
        <f>FJ$38-FJ$40</f>
        <v/>
      </c>
      <c r="FK42" s="218">
        <f>FK$38-FK$40</f>
        <v/>
      </c>
      <c r="FL42" s="218">
        <f>FL$38-FL$40</f>
        <v/>
      </c>
      <c r="FM42" s="218">
        <f>FM$38-FM$40</f>
        <v/>
      </c>
      <c r="FN42" s="218">
        <f>FN$38-FN$40</f>
        <v/>
      </c>
      <c r="FO42" s="218">
        <f>FO$38-FO$40</f>
        <v/>
      </c>
      <c r="FP42" s="218">
        <f>FP$38-FP$40</f>
        <v/>
      </c>
      <c r="FQ42" s="218">
        <f>FQ$38-FQ$40</f>
        <v/>
      </c>
      <c r="FR42" s="218">
        <f>FR$38-FR$40</f>
        <v/>
      </c>
      <c r="FS42" s="218">
        <f>FS$38-FS$40</f>
        <v/>
      </c>
      <c r="FT42" s="218">
        <f>FT$38-FT$40</f>
        <v/>
      </c>
      <c r="FU42" s="218">
        <f>FU$38-FU$40</f>
        <v/>
      </c>
      <c r="FV42" s="218">
        <f>FV$38-FV$40</f>
        <v/>
      </c>
      <c r="FW42" s="218">
        <f>FW$38-FW$40</f>
        <v/>
      </c>
      <c r="FX42" s="218">
        <f>FX$38-FX$40</f>
        <v/>
      </c>
      <c r="FY42" s="218">
        <f>FY$38-FY$40</f>
        <v/>
      </c>
      <c r="FZ42" s="218">
        <f>FZ$38-FZ$40</f>
        <v/>
      </c>
      <c r="GA42" s="218">
        <f>GA$38-GA$40</f>
        <v/>
      </c>
      <c r="GB42" s="218">
        <f>GB$38-GB$40</f>
        <v/>
      </c>
      <c r="GC42" s="218">
        <f>GC$38-GC$40</f>
        <v/>
      </c>
      <c r="GD42" s="218">
        <f>GD$38-GD$40</f>
        <v/>
      </c>
      <c r="GE42" s="218">
        <f>GE$38-GE$40</f>
        <v/>
      </c>
      <c r="GF42" s="218">
        <f>GF$38-GF$40</f>
        <v/>
      </c>
      <c r="GG42" s="218">
        <f>GG$38-GG$40</f>
        <v/>
      </c>
      <c r="GH42" s="218">
        <f>GH$38-GH$40</f>
        <v/>
      </c>
      <c r="GI42" s="218">
        <f>GI$38-GI$40</f>
        <v/>
      </c>
      <c r="GJ42" s="218">
        <f>GJ$38-GJ$40</f>
        <v/>
      </c>
      <c r="GK42" s="218">
        <f>GK$38-GK$40</f>
        <v/>
      </c>
      <c r="GL42" s="218">
        <f>GL$38-GL$40</f>
        <v/>
      </c>
      <c r="GM42" s="218">
        <f>GM$38-GM$40</f>
        <v/>
      </c>
      <c r="GN42" s="218">
        <f>GN$38-GN$40</f>
        <v/>
      </c>
      <c r="GO42" s="218">
        <f>GO$38-GO$40</f>
        <v/>
      </c>
      <c r="GP42" s="218">
        <f>GP$38-GP$40</f>
        <v/>
      </c>
      <c r="GQ42" s="218">
        <f>GQ$38-GQ$40</f>
        <v/>
      </c>
      <c r="GR42" s="218">
        <f>GR$38-GR$40</f>
        <v/>
      </c>
      <c r="GS42" s="218">
        <f>GS$38-GS$40</f>
        <v/>
      </c>
      <c r="GT42" s="218">
        <f>GT$38-GT$40</f>
        <v/>
      </c>
      <c r="GU42" s="218">
        <f>GU$38-GU$40</f>
        <v/>
      </c>
      <c r="GV42" s="218">
        <f>GV$38-GV$40</f>
        <v/>
      </c>
      <c r="GW42" s="218">
        <f>GW$38-GW$40</f>
        <v/>
      </c>
      <c r="GX42" s="218">
        <f>GX$38-GX$40</f>
        <v/>
      </c>
      <c r="GY42" s="218">
        <f>GY$38-GY$40</f>
        <v/>
      </c>
      <c r="GZ42" s="218">
        <f>GZ$38-GZ$40</f>
        <v/>
      </c>
      <c r="HA42" s="218">
        <f>HA$38-HA$40</f>
        <v/>
      </c>
      <c r="HB42" s="218">
        <f>HB$38-HB$40</f>
        <v/>
      </c>
      <c r="HC42" s="218">
        <f>HC$38-HC$40</f>
        <v/>
      </c>
      <c r="HD42" s="218">
        <f>HD$38-HD$40</f>
        <v/>
      </c>
      <c r="HE42" s="218">
        <f>HE$38-HE$40</f>
        <v/>
      </c>
      <c r="HF42" s="218">
        <f>HF$38-HF$40</f>
        <v/>
      </c>
      <c r="HG42" s="218">
        <f>HG$38-HG$40</f>
        <v/>
      </c>
      <c r="HH42" s="218">
        <f>HH$38-HH$40</f>
        <v/>
      </c>
      <c r="HI42" s="218">
        <f>HI$38-HI$40</f>
        <v/>
      </c>
      <c r="HJ42" s="218">
        <f>HJ$38-HJ$40</f>
        <v/>
      </c>
      <c r="HK42" s="218">
        <f>HK$38-HK$40</f>
        <v/>
      </c>
      <c r="HL42" s="218">
        <f>HL$38-HL$40</f>
        <v/>
      </c>
      <c r="HM42" s="218">
        <f>HM$38-HM$40</f>
        <v/>
      </c>
      <c r="HN42" s="218">
        <f>HN$38-HN$40</f>
        <v/>
      </c>
      <c r="HO42" s="218">
        <f>HO$38-HO$40</f>
        <v/>
      </c>
      <c r="HP42" s="218">
        <f>HP$38-HP$40</f>
        <v/>
      </c>
      <c r="HQ42" s="218">
        <f>HQ$38-HQ$40</f>
        <v/>
      </c>
      <c r="HR42" s="218">
        <f>HR$38-HR$40</f>
        <v/>
      </c>
      <c r="HS42" s="218">
        <f>HS$38-HS$40</f>
        <v/>
      </c>
      <c r="HT42" s="218">
        <f>HT$38-HT$40</f>
        <v/>
      </c>
      <c r="HU42" s="218">
        <f>HU$38-HU$40</f>
        <v/>
      </c>
      <c r="HV42" s="218">
        <f>HV$38-HV$40</f>
        <v/>
      </c>
      <c r="HW42" s="218">
        <f>HW$38-HW$40</f>
        <v/>
      </c>
      <c r="HX42" s="218">
        <f>HX$38-HX$40</f>
        <v/>
      </c>
      <c r="HY42" s="218">
        <f>HY$38-HY$40</f>
        <v/>
      </c>
      <c r="HZ42" s="218">
        <f>HZ$38-HZ$40</f>
        <v/>
      </c>
      <c r="IA42" s="218">
        <f>IA$38-IA$40</f>
        <v/>
      </c>
      <c r="IB42" s="218">
        <f>IB$38-IB$40</f>
        <v/>
      </c>
      <c r="IC42" s="218">
        <f>IC$38-IC$40</f>
        <v/>
      </c>
      <c r="ID42" s="218">
        <f>ID$38-ID$40</f>
        <v/>
      </c>
      <c r="IE42" s="218">
        <f>IE$38-IE$40</f>
        <v/>
      </c>
      <c r="IF42" s="218">
        <f>IF$38-IF$40</f>
        <v/>
      </c>
      <c r="IG42" s="218">
        <f>IG$38-IG$40</f>
        <v/>
      </c>
      <c r="IH42" s="218">
        <f>IH$38-IH$40</f>
        <v/>
      </c>
      <c r="II42" s="218">
        <f>II$38-II$40</f>
        <v/>
      </c>
      <c r="IJ42" s="218">
        <f>IJ$38-IJ$40</f>
        <v/>
      </c>
      <c r="IK42" s="218">
        <f>IK$38-IK$40</f>
        <v/>
      </c>
      <c r="IL42" s="218">
        <f>IL$38-IL$40</f>
        <v/>
      </c>
      <c r="IM42" s="218">
        <f>IM$38-IM$40</f>
        <v/>
      </c>
      <c r="IN42" s="218">
        <f>IN$38-IN$40</f>
        <v/>
      </c>
      <c r="IO42" s="218">
        <f>IO$38-IO$40</f>
        <v/>
      </c>
      <c r="IP42" s="218">
        <f>IP$38-IP$40</f>
        <v/>
      </c>
      <c r="IQ42" s="218">
        <f>IQ$38-IQ$40</f>
        <v/>
      </c>
      <c r="IR42" s="218">
        <f>IR$38-IR$40</f>
        <v/>
      </c>
      <c r="IS42" s="218">
        <f>IS$38-IS$40</f>
        <v/>
      </c>
      <c r="IT42" s="218">
        <f>IT$38-IT$40</f>
        <v/>
      </c>
      <c r="IU42" s="218">
        <f>IU$38-IU$40</f>
        <v/>
      </c>
      <c r="IV42" s="218">
        <f>IV$38-IV$40</f>
        <v/>
      </c>
      <c r="IW42" s="218">
        <f>IW$38-IW$40</f>
        <v/>
      </c>
      <c r="IX42" s="218">
        <f>IX$38-IX$40</f>
        <v/>
      </c>
      <c r="IY42" s="218">
        <f>IY$38-IY$40</f>
        <v/>
      </c>
      <c r="IZ42" s="218">
        <f>IZ$38-IZ$40</f>
        <v/>
      </c>
      <c r="JA42" s="218">
        <f>JA$38-JA$40</f>
        <v/>
      </c>
      <c r="JB42" s="218">
        <f>JB$38-JB$40</f>
        <v/>
      </c>
      <c r="JC42" s="218">
        <f>JC$38-JC$40</f>
        <v/>
      </c>
      <c r="JD42" s="218">
        <f>JD$38-JD$40</f>
        <v/>
      </c>
      <c r="JE42" s="218">
        <f>JE$38-JE$40</f>
        <v/>
      </c>
      <c r="JF42" s="218">
        <f>JF$38-JF$40</f>
        <v/>
      </c>
      <c r="JG42" s="218">
        <f>JG$38-JG$40</f>
        <v/>
      </c>
      <c r="JH42" s="218">
        <f>JH$38-JH$40</f>
        <v/>
      </c>
      <c r="JI42" s="218">
        <f>JI$38-JI$40</f>
        <v/>
      </c>
      <c r="JJ42" s="218">
        <f>JJ$38-JJ$40</f>
        <v/>
      </c>
      <c r="JK42" s="218">
        <f>JK$38-JK$40</f>
        <v/>
      </c>
      <c r="JL42" s="218">
        <f>JL$38-JL$40</f>
        <v/>
      </c>
      <c r="JM42" s="218">
        <f>JM$38-JM$40</f>
        <v/>
      </c>
      <c r="JN42" s="218">
        <f>JN$38-JN$40</f>
        <v/>
      </c>
      <c r="JO42" s="218">
        <f>JO$38-JO$40</f>
        <v/>
      </c>
      <c r="JP42" s="218">
        <f>JP$38-JP$40</f>
        <v/>
      </c>
      <c r="JQ42" s="218">
        <f>JQ$38-JQ$40</f>
        <v/>
      </c>
      <c r="JR42" s="218">
        <f>JR$38-JR$40</f>
        <v/>
      </c>
      <c r="JS42" s="218">
        <f>JS$38-JS$40</f>
        <v/>
      </c>
      <c r="JT42" s="218">
        <f>JT$38-JT$40</f>
        <v/>
      </c>
      <c r="JU42" s="218">
        <f>JU$38-JU$40</f>
        <v/>
      </c>
      <c r="JV42" s="218">
        <f>JV$38-JV$40</f>
        <v/>
      </c>
      <c r="JW42" s="218">
        <f>JW$38-JW$40</f>
        <v/>
      </c>
      <c r="JX42" s="218">
        <f>JX$38-JX$40</f>
        <v/>
      </c>
      <c r="JY42" s="218">
        <f>JY$38-JY$40</f>
        <v/>
      </c>
      <c r="JZ42" s="218">
        <f>JZ$38-JZ$40</f>
        <v/>
      </c>
      <c r="KA42" s="218">
        <f>KA$38-KA$40</f>
        <v/>
      </c>
      <c r="KB42" s="218">
        <f>KB$38-KB$40</f>
        <v/>
      </c>
      <c r="KC42" s="218">
        <f>KC$38-KC$40</f>
        <v/>
      </c>
      <c r="KD42" s="218">
        <f>KD$38-KD$40</f>
        <v/>
      </c>
      <c r="KE42" s="218">
        <f>KE$38-KE$40</f>
        <v/>
      </c>
      <c r="KF42" s="218">
        <f>KF$38-KF$40</f>
        <v/>
      </c>
      <c r="KG42" s="218">
        <f>KG$38-KG$40</f>
        <v/>
      </c>
      <c r="KH42" s="218">
        <f>KH$38-KH$40</f>
        <v/>
      </c>
      <c r="KI42" s="218">
        <f>KI$38-KI$40</f>
        <v/>
      </c>
      <c r="KJ42" s="218">
        <f>KJ$38-KJ$40</f>
        <v/>
      </c>
      <c r="KK42" s="218">
        <f>KK$38-KK$40</f>
        <v/>
      </c>
      <c r="KL42" s="218">
        <f>KL$38-KL$40</f>
        <v/>
      </c>
      <c r="KM42" s="218">
        <f>KM$38-KM$40</f>
        <v/>
      </c>
      <c r="KN42" s="218">
        <f>KN$38-KN$40</f>
        <v/>
      </c>
      <c r="KO42" s="218">
        <f>KO$38-KO$40</f>
        <v/>
      </c>
      <c r="KP42" s="218">
        <f>KP$38-KP$40</f>
        <v/>
      </c>
      <c r="KQ42" s="218">
        <f>KQ$38-KQ$40</f>
        <v/>
      </c>
      <c r="KR42" s="218">
        <f>KR$38-KR$40</f>
        <v/>
      </c>
      <c r="KS42" s="218">
        <f>KS$38-KS$40</f>
        <v/>
      </c>
      <c r="KT42" s="218">
        <f>KT$38-KT$40</f>
        <v/>
      </c>
      <c r="KU42" s="218">
        <f>KU$38-KU$40</f>
        <v/>
      </c>
      <c r="KV42" s="218">
        <f>KV$38-KV$40</f>
        <v/>
      </c>
      <c r="KW42" s="218">
        <f>KW$38-KW$40</f>
        <v/>
      </c>
      <c r="KX42" s="218">
        <f>KX$38-KX$40</f>
        <v/>
      </c>
      <c r="KY42" s="218">
        <f>KY$38-KY$40</f>
        <v/>
      </c>
      <c r="KZ42" s="218">
        <f>KZ$38-KZ$40</f>
        <v/>
      </c>
      <c r="LA42" s="218">
        <f>LA$38-LA$40</f>
        <v/>
      </c>
      <c r="LB42" s="218">
        <f>LB$38-LB$40</f>
        <v/>
      </c>
      <c r="LC42" s="218">
        <f>LC$38-LC$40</f>
        <v/>
      </c>
      <c r="LD42" s="218">
        <f>LD$38-LD$40</f>
        <v/>
      </c>
      <c r="LE42" s="218">
        <f>LE$38-LE$40</f>
        <v/>
      </c>
      <c r="LF42" s="218">
        <f>LF$38-LF$40</f>
        <v/>
      </c>
      <c r="LG42" s="218">
        <f>LG$38-LG$40</f>
        <v/>
      </c>
      <c r="LH42" s="218">
        <f>LH$38-LH$40</f>
        <v/>
      </c>
      <c r="LI42" s="218">
        <f>LI$38-LI$40</f>
        <v/>
      </c>
      <c r="LJ42" s="218">
        <f>LJ$38-LJ$40</f>
        <v/>
      </c>
      <c r="LK42" s="218">
        <f>LK$38-LK$40</f>
        <v/>
      </c>
      <c r="LL42" s="218">
        <f>LL$38-LL$40</f>
        <v/>
      </c>
      <c r="LM42" s="218">
        <f>LM$38-LM$40</f>
        <v/>
      </c>
      <c r="LN42" s="218">
        <f>LN$38-LN$40</f>
        <v/>
      </c>
      <c r="LO42" s="218">
        <f>LO$38-LO$40</f>
        <v/>
      </c>
      <c r="LP42" s="218">
        <f>LP$38-LP$40</f>
        <v/>
      </c>
      <c r="LQ42" s="218">
        <f>LQ$38-LQ$40</f>
        <v/>
      </c>
      <c r="LR42" s="218">
        <f>LR$38-LR$40</f>
        <v/>
      </c>
      <c r="LS42" s="218">
        <f>LS$38-LS$40</f>
        <v/>
      </c>
      <c r="LT42" s="218">
        <f>LT$38-LT$40</f>
        <v/>
      </c>
      <c r="LU42" s="218">
        <f>LU$38-LU$40</f>
        <v/>
      </c>
      <c r="LV42" s="218">
        <f>LV$38-LV$40</f>
        <v/>
      </c>
      <c r="LW42" s="218">
        <f>LW$38-LW$40</f>
        <v/>
      </c>
      <c r="LX42" s="218">
        <f>LX$38-LX$40</f>
        <v/>
      </c>
      <c r="LY42" s="218">
        <f>LY$38-LY$40</f>
        <v/>
      </c>
      <c r="LZ42" s="218">
        <f>LZ$38-LZ$40</f>
        <v/>
      </c>
      <c r="MA42" s="218">
        <f>MA$38-MA$40</f>
        <v/>
      </c>
      <c r="MB42" s="218">
        <f>MB$38-MB$40</f>
        <v/>
      </c>
      <c r="MC42" s="218">
        <f>MC$38-MC$40</f>
        <v/>
      </c>
      <c r="MD42" s="218">
        <f>MD$38-MD$40</f>
        <v/>
      </c>
      <c r="ME42" s="218">
        <f>ME$38-ME$40</f>
        <v/>
      </c>
      <c r="MF42" s="218">
        <f>MF$38-MF$40</f>
        <v/>
      </c>
      <c r="MG42" s="218">
        <f>MG$38-MG$40</f>
        <v/>
      </c>
      <c r="MH42" s="218">
        <f>MH$38-MH$40</f>
        <v/>
      </c>
      <c r="MI42" s="218">
        <f>MI$38-MI$40</f>
        <v/>
      </c>
      <c r="MJ42" s="218">
        <f>MJ$38-MJ$40</f>
        <v/>
      </c>
      <c r="MK42" s="218">
        <f>MK$38-MK$40</f>
        <v/>
      </c>
      <c r="ML42" s="218">
        <f>ML$38-ML$40</f>
        <v/>
      </c>
      <c r="MM42" s="218">
        <f>MM$38-MM$40</f>
        <v/>
      </c>
      <c r="MN42" s="218">
        <f>MN$38-MN$40</f>
        <v/>
      </c>
      <c r="MO42" s="218">
        <f>MO$38-MO$40</f>
        <v/>
      </c>
      <c r="MP42" s="218">
        <f>MP$38-MP$40</f>
        <v/>
      </c>
      <c r="MQ42" s="218">
        <f>MQ$38-MQ$40</f>
        <v/>
      </c>
      <c r="MR42" s="218">
        <f>MR$38-MR$40</f>
        <v/>
      </c>
      <c r="MS42" s="218">
        <f>MS$38-MS$40</f>
        <v/>
      </c>
      <c r="MT42" s="218">
        <f>MT$38-MT$40</f>
        <v/>
      </c>
      <c r="MU42" s="218">
        <f>MU$38-MU$40</f>
        <v/>
      </c>
      <c r="MV42" s="218">
        <f>MV$38-MV$40</f>
        <v/>
      </c>
      <c r="MW42" s="218">
        <f>MW$38-MW$40</f>
        <v/>
      </c>
      <c r="MX42" s="218">
        <f>MX$38-MX$40</f>
        <v/>
      </c>
      <c r="MY42" s="218">
        <f>MY$38-MY$40</f>
        <v/>
      </c>
      <c r="MZ42" s="218">
        <f>MZ$38-MZ$40</f>
        <v/>
      </c>
      <c r="NA42" s="218">
        <f>NA$38-NA$40</f>
        <v/>
      </c>
      <c r="NB42" s="218">
        <f>NB$38-NB$40</f>
        <v/>
      </c>
      <c r="NC42" s="218">
        <f>NC$38-NC$40</f>
        <v/>
      </c>
      <c r="ND42" s="218">
        <f>ND$38-ND$40</f>
        <v/>
      </c>
      <c r="NE42" s="218">
        <f>NE$38-NE$40</f>
        <v/>
      </c>
      <c r="NF42" s="218">
        <f>NF$38-NF$40</f>
        <v/>
      </c>
      <c r="NG42" s="218">
        <f>NG$38-NG$40</f>
        <v/>
      </c>
      <c r="NH42" s="218">
        <f>NH$38-NH$40</f>
        <v/>
      </c>
      <c r="NI42" s="218">
        <f>NI$38-NI$40</f>
        <v/>
      </c>
      <c r="NJ42" s="218">
        <f>NJ$38-NJ$40</f>
        <v/>
      </c>
      <c r="NK42" s="218">
        <f>NK$38-NK$40</f>
        <v/>
      </c>
      <c r="NL42" s="225">
        <f>NL$38-NL$40</f>
        <v/>
      </c>
    </row>
    <row r="43">
      <c r="B43" s="36" t="inlineStr">
        <is>
          <t>Cumulative Op CF (lease-up)</t>
        </is>
      </c>
      <c r="D43" s="267" t="n"/>
      <c r="E43" s="218">
        <f>IF(1&lt;DeliverStart,0,0+E$42)</f>
        <v/>
      </c>
      <c r="F43" s="218">
        <f>IF(2&lt;DeliverStart,0,E$43+F$42)</f>
        <v/>
      </c>
      <c r="G43" s="218">
        <f>IF(3&lt;DeliverStart,0,F$43+G$42)</f>
        <v/>
      </c>
      <c r="H43" s="218">
        <f>IF(4&lt;DeliverStart,0,G$43+H$42)</f>
        <v/>
      </c>
      <c r="I43" s="218">
        <f>IF(5&lt;DeliverStart,0,H$43+I$42)</f>
        <v/>
      </c>
      <c r="J43" s="218">
        <f>IF(6&lt;DeliverStart,0,I$43+J$42)</f>
        <v/>
      </c>
      <c r="K43" s="218">
        <f>IF(7&lt;DeliverStart,0,J$43+K$42)</f>
        <v/>
      </c>
      <c r="L43" s="218">
        <f>IF(8&lt;DeliverStart,0,K$43+L$42)</f>
        <v/>
      </c>
      <c r="M43" s="218">
        <f>IF(9&lt;DeliverStart,0,L$43+M$42)</f>
        <v/>
      </c>
      <c r="N43" s="218">
        <f>IF(10&lt;DeliverStart,0,M$43+N$42)</f>
        <v/>
      </c>
      <c r="O43" s="218">
        <f>IF(11&lt;DeliverStart,0,N$43+O$42)</f>
        <v/>
      </c>
      <c r="P43" s="218">
        <f>IF(12&lt;DeliverStart,0,O$43+P$42)</f>
        <v/>
      </c>
      <c r="Q43" s="218">
        <f>IF(13&lt;DeliverStart,0,P$43+Q$42)</f>
        <v/>
      </c>
      <c r="R43" s="218">
        <f>IF(14&lt;DeliverStart,0,Q$43+R$42)</f>
        <v/>
      </c>
      <c r="S43" s="218">
        <f>IF(15&lt;DeliverStart,0,R$43+S$42)</f>
        <v/>
      </c>
      <c r="T43" s="218">
        <f>IF(16&lt;DeliverStart,0,S$43+T$42)</f>
        <v/>
      </c>
      <c r="U43" s="218">
        <f>IF(17&lt;DeliverStart,0,T$43+U$42)</f>
        <v/>
      </c>
      <c r="V43" s="218">
        <f>IF(18&lt;DeliverStart,0,U$43+V$42)</f>
        <v/>
      </c>
      <c r="W43" s="218">
        <f>IF(19&lt;DeliverStart,0,V$43+W$42)</f>
        <v/>
      </c>
      <c r="X43" s="218">
        <f>IF(20&lt;DeliverStart,0,W$43+X$42)</f>
        <v/>
      </c>
      <c r="Y43" s="218">
        <f>IF(21&lt;DeliverStart,0,X$43+Y$42)</f>
        <v/>
      </c>
      <c r="Z43" s="218">
        <f>IF(22&lt;DeliverStart,0,Y$43+Z$42)</f>
        <v/>
      </c>
      <c r="AA43" s="218">
        <f>IF(23&lt;DeliverStart,0,Z$43+AA$42)</f>
        <v/>
      </c>
      <c r="AB43" s="218">
        <f>IF(24&lt;DeliverStart,0,AA$43+AB$42)</f>
        <v/>
      </c>
      <c r="AC43" s="218">
        <f>IF(25&lt;DeliverStart,0,AB$43+AC$42)</f>
        <v/>
      </c>
      <c r="AD43" s="218">
        <f>IF(26&lt;DeliverStart,0,AC$43+AD$42)</f>
        <v/>
      </c>
      <c r="AE43" s="218">
        <f>IF(27&lt;DeliverStart,0,AD$43+AE$42)</f>
        <v/>
      </c>
      <c r="AF43" s="218">
        <f>IF(28&lt;DeliverStart,0,AE$43+AF$42)</f>
        <v/>
      </c>
      <c r="AG43" s="218">
        <f>IF(29&lt;DeliverStart,0,AF$43+AG$42)</f>
        <v/>
      </c>
      <c r="AH43" s="218">
        <f>IF(30&lt;DeliverStart,0,AG$43+AH$42)</f>
        <v/>
      </c>
      <c r="AI43" s="218">
        <f>IF(31&lt;DeliverStart,0,AH$43+AI$42)</f>
        <v/>
      </c>
      <c r="AJ43" s="218">
        <f>IF(32&lt;DeliverStart,0,AI$43+AJ$42)</f>
        <v/>
      </c>
      <c r="AK43" s="218">
        <f>IF(33&lt;DeliverStart,0,AJ$43+AK$42)</f>
        <v/>
      </c>
      <c r="AL43" s="218">
        <f>IF(34&lt;DeliverStart,0,AK$43+AL$42)</f>
        <v/>
      </c>
      <c r="AM43" s="218">
        <f>IF(35&lt;DeliverStart,0,AL$43+AM$42)</f>
        <v/>
      </c>
      <c r="AN43" s="218">
        <f>IF(36&lt;DeliverStart,0,AM$43+AN$42)</f>
        <v/>
      </c>
      <c r="AO43" s="218">
        <f>IF(37&lt;DeliverStart,0,AN$43+AO$42)</f>
        <v/>
      </c>
      <c r="AP43" s="218">
        <f>IF(38&lt;DeliverStart,0,AO$43+AP$42)</f>
        <v/>
      </c>
      <c r="AQ43" s="218">
        <f>IF(39&lt;DeliverStart,0,AP$43+AQ$42)</f>
        <v/>
      </c>
      <c r="AR43" s="218">
        <f>IF(40&lt;DeliverStart,0,AQ$43+AR$42)</f>
        <v/>
      </c>
      <c r="AS43" s="218">
        <f>IF(41&lt;DeliverStart,0,AR$43+AS$42)</f>
        <v/>
      </c>
      <c r="AT43" s="218">
        <f>IF(42&lt;DeliverStart,0,AS$43+AT$42)</f>
        <v/>
      </c>
      <c r="AU43" s="218">
        <f>IF(43&lt;DeliverStart,0,AT$43+AU$42)</f>
        <v/>
      </c>
      <c r="AV43" s="218">
        <f>IF(44&lt;DeliverStart,0,AU$43+AV$42)</f>
        <v/>
      </c>
      <c r="AW43" s="218">
        <f>IF(45&lt;DeliverStart,0,AV$43+AW$42)</f>
        <v/>
      </c>
      <c r="AX43" s="218">
        <f>IF(46&lt;DeliverStart,0,AW$43+AX$42)</f>
        <v/>
      </c>
      <c r="AY43" s="218">
        <f>IF(47&lt;DeliverStart,0,AX$43+AY$42)</f>
        <v/>
      </c>
      <c r="AZ43" s="218">
        <f>IF(48&lt;DeliverStart,0,AY$43+AZ$42)</f>
        <v/>
      </c>
      <c r="BA43" s="218">
        <f>IF(49&lt;DeliverStart,0,AZ$43+BA$42)</f>
        <v/>
      </c>
      <c r="BB43" s="218">
        <f>IF(50&lt;DeliverStart,0,BA$43+BB$42)</f>
        <v/>
      </c>
      <c r="BC43" s="218">
        <f>IF(51&lt;DeliverStart,0,BB$43+BC$42)</f>
        <v/>
      </c>
      <c r="BD43" s="218">
        <f>IF(52&lt;DeliverStart,0,BC$43+BD$42)</f>
        <v/>
      </c>
      <c r="BE43" s="218">
        <f>IF(53&lt;DeliverStart,0,BD$43+BE$42)</f>
        <v/>
      </c>
      <c r="BF43" s="218">
        <f>IF(54&lt;DeliverStart,0,BE$43+BF$42)</f>
        <v/>
      </c>
      <c r="BG43" s="218">
        <f>IF(55&lt;DeliverStart,0,BF$43+BG$42)</f>
        <v/>
      </c>
      <c r="BH43" s="218">
        <f>IF(56&lt;DeliverStart,0,BG$43+BH$42)</f>
        <v/>
      </c>
      <c r="BI43" s="218">
        <f>IF(57&lt;DeliverStart,0,BH$43+BI$42)</f>
        <v/>
      </c>
      <c r="BJ43" s="218">
        <f>IF(58&lt;DeliverStart,0,BI$43+BJ$42)</f>
        <v/>
      </c>
      <c r="BK43" s="218">
        <f>IF(59&lt;DeliverStart,0,BJ$43+BK$42)</f>
        <v/>
      </c>
      <c r="BL43" s="218">
        <f>IF(60&lt;DeliverStart,0,BK$43+BL$42)</f>
        <v/>
      </c>
      <c r="BM43" s="218">
        <f>IF(61&lt;DeliverStart,0,BL$43+BM$42)</f>
        <v/>
      </c>
      <c r="BN43" s="218">
        <f>IF(62&lt;DeliverStart,0,BM$43+BN$42)</f>
        <v/>
      </c>
      <c r="BO43" s="218">
        <f>IF(63&lt;DeliverStart,0,BN$43+BO$42)</f>
        <v/>
      </c>
      <c r="BP43" s="218">
        <f>IF(64&lt;DeliverStart,0,BO$43+BP$42)</f>
        <v/>
      </c>
      <c r="BQ43" s="218">
        <f>IF(65&lt;DeliverStart,0,BP$43+BQ$42)</f>
        <v/>
      </c>
      <c r="BR43" s="218">
        <f>IF(66&lt;DeliverStart,0,BQ$43+BR$42)</f>
        <v/>
      </c>
      <c r="BS43" s="218">
        <f>IF(67&lt;DeliverStart,0,BR$43+BS$42)</f>
        <v/>
      </c>
      <c r="BT43" s="218">
        <f>IF(68&lt;DeliverStart,0,BS$43+BT$42)</f>
        <v/>
      </c>
      <c r="BU43" s="218">
        <f>IF(69&lt;DeliverStart,0,BT$43+BU$42)</f>
        <v/>
      </c>
      <c r="BV43" s="218">
        <f>IF(70&lt;DeliverStart,0,BU$43+BV$42)</f>
        <v/>
      </c>
      <c r="BW43" s="218">
        <f>IF(71&lt;DeliverStart,0,BV$43+BW$42)</f>
        <v/>
      </c>
      <c r="BX43" s="218">
        <f>IF(72&lt;DeliverStart,0,BW$43+BX$42)</f>
        <v/>
      </c>
      <c r="BY43" s="218">
        <f>IF(73&lt;DeliverStart,0,BX$43+BY$42)</f>
        <v/>
      </c>
      <c r="BZ43" s="218">
        <f>IF(74&lt;DeliverStart,0,BY$43+BZ$42)</f>
        <v/>
      </c>
      <c r="CA43" s="218">
        <f>IF(75&lt;DeliverStart,0,BZ$43+CA$42)</f>
        <v/>
      </c>
      <c r="CB43" s="218">
        <f>IF(76&lt;DeliverStart,0,CA$43+CB$42)</f>
        <v/>
      </c>
      <c r="CC43" s="218">
        <f>IF(77&lt;DeliverStart,0,CB$43+CC$42)</f>
        <v/>
      </c>
      <c r="CD43" s="218">
        <f>IF(78&lt;DeliverStart,0,CC$43+CD$42)</f>
        <v/>
      </c>
      <c r="CE43" s="218">
        <f>IF(79&lt;DeliverStart,0,CD$43+CE$42)</f>
        <v/>
      </c>
      <c r="CF43" s="218">
        <f>IF(80&lt;DeliverStart,0,CE$43+CF$42)</f>
        <v/>
      </c>
      <c r="CG43" s="218">
        <f>IF(81&lt;DeliverStart,0,CF$43+CG$42)</f>
        <v/>
      </c>
      <c r="CH43" s="218">
        <f>IF(82&lt;DeliverStart,0,CG$43+CH$42)</f>
        <v/>
      </c>
      <c r="CI43" s="218">
        <f>IF(83&lt;DeliverStart,0,CH$43+CI$42)</f>
        <v/>
      </c>
      <c r="CJ43" s="218">
        <f>IF(84&lt;DeliverStart,0,CI$43+CJ$42)</f>
        <v/>
      </c>
      <c r="CK43" s="218">
        <f>IF(85&lt;DeliverStart,0,CJ$43+CK$42)</f>
        <v/>
      </c>
      <c r="CL43" s="218">
        <f>IF(86&lt;DeliverStart,0,CK$43+CL$42)</f>
        <v/>
      </c>
      <c r="CM43" s="218">
        <f>IF(87&lt;DeliverStart,0,CL$43+CM$42)</f>
        <v/>
      </c>
      <c r="CN43" s="218">
        <f>IF(88&lt;DeliverStart,0,CM$43+CN$42)</f>
        <v/>
      </c>
      <c r="CO43" s="218">
        <f>IF(89&lt;DeliverStart,0,CN$43+CO$42)</f>
        <v/>
      </c>
      <c r="CP43" s="218">
        <f>IF(90&lt;DeliverStart,0,CO$43+CP$42)</f>
        <v/>
      </c>
      <c r="CQ43" s="218">
        <f>IF(91&lt;DeliverStart,0,CP$43+CQ$42)</f>
        <v/>
      </c>
      <c r="CR43" s="218">
        <f>IF(92&lt;DeliverStart,0,CQ$43+CR$42)</f>
        <v/>
      </c>
      <c r="CS43" s="218">
        <f>IF(93&lt;DeliverStart,0,CR$43+CS$42)</f>
        <v/>
      </c>
      <c r="CT43" s="218">
        <f>IF(94&lt;DeliverStart,0,CS$43+CT$42)</f>
        <v/>
      </c>
      <c r="CU43" s="218">
        <f>IF(95&lt;DeliverStart,0,CT$43+CU$42)</f>
        <v/>
      </c>
      <c r="CV43" s="218">
        <f>IF(96&lt;DeliverStart,0,CU$43+CV$42)</f>
        <v/>
      </c>
      <c r="CW43" s="218">
        <f>IF(97&lt;DeliverStart,0,CV$43+CW$42)</f>
        <v/>
      </c>
      <c r="CX43" s="218">
        <f>IF(98&lt;DeliverStart,0,CW$43+CX$42)</f>
        <v/>
      </c>
      <c r="CY43" s="218">
        <f>IF(99&lt;DeliverStart,0,CX$43+CY$42)</f>
        <v/>
      </c>
      <c r="CZ43" s="218">
        <f>IF(100&lt;DeliverStart,0,CY$43+CZ$42)</f>
        <v/>
      </c>
      <c r="DA43" s="218">
        <f>IF(101&lt;DeliverStart,0,CZ$43+DA$42)</f>
        <v/>
      </c>
      <c r="DB43" s="218">
        <f>IF(102&lt;DeliverStart,0,DA$43+DB$42)</f>
        <v/>
      </c>
      <c r="DC43" s="218">
        <f>IF(103&lt;DeliverStart,0,DB$43+DC$42)</f>
        <v/>
      </c>
      <c r="DD43" s="218">
        <f>IF(104&lt;DeliverStart,0,DC$43+DD$42)</f>
        <v/>
      </c>
      <c r="DE43" s="218">
        <f>IF(105&lt;DeliverStart,0,DD$43+DE$42)</f>
        <v/>
      </c>
      <c r="DF43" s="218">
        <f>IF(106&lt;DeliverStart,0,DE$43+DF$42)</f>
        <v/>
      </c>
      <c r="DG43" s="218">
        <f>IF(107&lt;DeliverStart,0,DF$43+DG$42)</f>
        <v/>
      </c>
      <c r="DH43" s="218">
        <f>IF(108&lt;DeliverStart,0,DG$43+DH$42)</f>
        <v/>
      </c>
      <c r="DI43" s="218">
        <f>IF(109&lt;DeliverStart,0,DH$43+DI$42)</f>
        <v/>
      </c>
      <c r="DJ43" s="218">
        <f>IF(110&lt;DeliverStart,0,DI$43+DJ$42)</f>
        <v/>
      </c>
      <c r="DK43" s="218">
        <f>IF(111&lt;DeliverStart,0,DJ$43+DK$42)</f>
        <v/>
      </c>
      <c r="DL43" s="218">
        <f>IF(112&lt;DeliverStart,0,DK$43+DL$42)</f>
        <v/>
      </c>
      <c r="DM43" s="218">
        <f>IF(113&lt;DeliverStart,0,DL$43+DM$42)</f>
        <v/>
      </c>
      <c r="DN43" s="218">
        <f>IF(114&lt;DeliverStart,0,DM$43+DN$42)</f>
        <v/>
      </c>
      <c r="DO43" s="218">
        <f>IF(115&lt;DeliverStart,0,DN$43+DO$42)</f>
        <v/>
      </c>
      <c r="DP43" s="218">
        <f>IF(116&lt;DeliverStart,0,DO$43+DP$42)</f>
        <v/>
      </c>
      <c r="DQ43" s="218">
        <f>IF(117&lt;DeliverStart,0,DP$43+DQ$42)</f>
        <v/>
      </c>
      <c r="DR43" s="218">
        <f>IF(118&lt;DeliverStart,0,DQ$43+DR$42)</f>
        <v/>
      </c>
      <c r="DS43" s="218">
        <f>IF(119&lt;DeliverStart,0,DR$43+DS$42)</f>
        <v/>
      </c>
      <c r="DT43" s="218">
        <f>IF(120&lt;DeliverStart,0,DS$43+DT$42)</f>
        <v/>
      </c>
      <c r="DU43" s="218">
        <f>IF(121&lt;DeliverStart,0,DT$43+DU$42)</f>
        <v/>
      </c>
      <c r="DV43" s="218">
        <f>IF(122&lt;DeliverStart,0,DU$43+DV$42)</f>
        <v/>
      </c>
      <c r="DW43" s="218">
        <f>IF(123&lt;DeliverStart,0,DV$43+DW$42)</f>
        <v/>
      </c>
      <c r="DX43" s="218">
        <f>IF(124&lt;DeliverStart,0,DW$43+DX$42)</f>
        <v/>
      </c>
      <c r="DY43" s="218">
        <f>IF(125&lt;DeliverStart,0,DX$43+DY$42)</f>
        <v/>
      </c>
      <c r="DZ43" s="218">
        <f>IF(126&lt;DeliverStart,0,DY$43+DZ$42)</f>
        <v/>
      </c>
      <c r="EA43" s="218">
        <f>IF(127&lt;DeliverStart,0,DZ$43+EA$42)</f>
        <v/>
      </c>
      <c r="EB43" s="218">
        <f>IF(128&lt;DeliverStart,0,EA$43+EB$42)</f>
        <v/>
      </c>
      <c r="EC43" s="218">
        <f>IF(129&lt;DeliverStart,0,EB$43+EC$42)</f>
        <v/>
      </c>
      <c r="ED43" s="218">
        <f>IF(130&lt;DeliverStart,0,EC$43+ED$42)</f>
        <v/>
      </c>
      <c r="EE43" s="218">
        <f>IF(131&lt;DeliverStart,0,ED$43+EE$42)</f>
        <v/>
      </c>
      <c r="EF43" s="218">
        <f>IF(132&lt;DeliverStart,0,EE$43+EF$42)</f>
        <v/>
      </c>
      <c r="EG43" s="218">
        <f>IF(133&lt;DeliverStart,0,EF$43+EG$42)</f>
        <v/>
      </c>
      <c r="EH43" s="218">
        <f>IF(134&lt;DeliverStart,0,EG$43+EH$42)</f>
        <v/>
      </c>
      <c r="EI43" s="218">
        <f>IF(135&lt;DeliverStart,0,EH$43+EI$42)</f>
        <v/>
      </c>
      <c r="EJ43" s="218">
        <f>IF(136&lt;DeliverStart,0,EI$43+EJ$42)</f>
        <v/>
      </c>
      <c r="EK43" s="218">
        <f>IF(137&lt;DeliverStart,0,EJ$43+EK$42)</f>
        <v/>
      </c>
      <c r="EL43" s="218">
        <f>IF(138&lt;DeliverStart,0,EK$43+EL$42)</f>
        <v/>
      </c>
      <c r="EM43" s="218">
        <f>IF(139&lt;DeliverStart,0,EL$43+EM$42)</f>
        <v/>
      </c>
      <c r="EN43" s="218">
        <f>IF(140&lt;DeliverStart,0,EM$43+EN$42)</f>
        <v/>
      </c>
      <c r="EO43" s="218">
        <f>IF(141&lt;DeliverStart,0,EN$43+EO$42)</f>
        <v/>
      </c>
      <c r="EP43" s="218">
        <f>IF(142&lt;DeliverStart,0,EO$43+EP$42)</f>
        <v/>
      </c>
      <c r="EQ43" s="218">
        <f>IF(143&lt;DeliverStart,0,EP$43+EQ$42)</f>
        <v/>
      </c>
      <c r="ER43" s="218">
        <f>IF(144&lt;DeliverStart,0,EQ$43+ER$42)</f>
        <v/>
      </c>
      <c r="ES43" s="218">
        <f>IF(145&lt;DeliverStart,0,ER$43+ES$42)</f>
        <v/>
      </c>
      <c r="ET43" s="218">
        <f>IF(146&lt;DeliverStart,0,ES$43+ET$42)</f>
        <v/>
      </c>
      <c r="EU43" s="218">
        <f>IF(147&lt;DeliverStart,0,ET$43+EU$42)</f>
        <v/>
      </c>
      <c r="EV43" s="218">
        <f>IF(148&lt;DeliverStart,0,EU$43+EV$42)</f>
        <v/>
      </c>
      <c r="EW43" s="218">
        <f>IF(149&lt;DeliverStart,0,EV$43+EW$42)</f>
        <v/>
      </c>
      <c r="EX43" s="218">
        <f>IF(150&lt;DeliverStart,0,EW$43+EX$42)</f>
        <v/>
      </c>
      <c r="EY43" s="218">
        <f>IF(151&lt;DeliverStart,0,EX$43+EY$42)</f>
        <v/>
      </c>
      <c r="EZ43" s="218">
        <f>IF(152&lt;DeliverStart,0,EY$43+EZ$42)</f>
        <v/>
      </c>
      <c r="FA43" s="218">
        <f>IF(153&lt;DeliverStart,0,EZ$43+FA$42)</f>
        <v/>
      </c>
      <c r="FB43" s="218">
        <f>IF(154&lt;DeliverStart,0,FA$43+FB$42)</f>
        <v/>
      </c>
      <c r="FC43" s="218">
        <f>IF(155&lt;DeliverStart,0,FB$43+FC$42)</f>
        <v/>
      </c>
      <c r="FD43" s="218">
        <f>IF(156&lt;DeliverStart,0,FC$43+FD$42)</f>
        <v/>
      </c>
      <c r="FE43" s="218">
        <f>IF(157&lt;DeliverStart,0,FD$43+FE$42)</f>
        <v/>
      </c>
      <c r="FF43" s="218">
        <f>IF(158&lt;DeliverStart,0,FE$43+FF$42)</f>
        <v/>
      </c>
      <c r="FG43" s="218">
        <f>IF(159&lt;DeliverStart,0,FF$43+FG$42)</f>
        <v/>
      </c>
      <c r="FH43" s="218">
        <f>IF(160&lt;DeliverStart,0,FG$43+FH$42)</f>
        <v/>
      </c>
      <c r="FI43" s="218">
        <f>IF(161&lt;DeliverStart,0,FH$43+FI$42)</f>
        <v/>
      </c>
      <c r="FJ43" s="218">
        <f>IF(162&lt;DeliverStart,0,FI$43+FJ$42)</f>
        <v/>
      </c>
      <c r="FK43" s="218">
        <f>IF(163&lt;DeliverStart,0,FJ$43+FK$42)</f>
        <v/>
      </c>
      <c r="FL43" s="218">
        <f>IF(164&lt;DeliverStart,0,FK$43+FL$42)</f>
        <v/>
      </c>
      <c r="FM43" s="218">
        <f>IF(165&lt;DeliverStart,0,FL$43+FM$42)</f>
        <v/>
      </c>
      <c r="FN43" s="218">
        <f>IF(166&lt;DeliverStart,0,FM$43+FN$42)</f>
        <v/>
      </c>
      <c r="FO43" s="218">
        <f>IF(167&lt;DeliverStart,0,FN$43+FO$42)</f>
        <v/>
      </c>
      <c r="FP43" s="218">
        <f>IF(168&lt;DeliverStart,0,FO$43+FP$42)</f>
        <v/>
      </c>
      <c r="FQ43" s="218">
        <f>IF(169&lt;DeliverStart,0,FP$43+FQ$42)</f>
        <v/>
      </c>
      <c r="FR43" s="218">
        <f>IF(170&lt;DeliverStart,0,FQ$43+FR$42)</f>
        <v/>
      </c>
      <c r="FS43" s="218">
        <f>IF(171&lt;DeliverStart,0,FR$43+FS$42)</f>
        <v/>
      </c>
      <c r="FT43" s="218">
        <f>IF(172&lt;DeliverStart,0,FS$43+FT$42)</f>
        <v/>
      </c>
      <c r="FU43" s="218">
        <f>IF(173&lt;DeliverStart,0,FT$43+FU$42)</f>
        <v/>
      </c>
      <c r="FV43" s="218">
        <f>IF(174&lt;DeliverStart,0,FU$43+FV$42)</f>
        <v/>
      </c>
      <c r="FW43" s="218">
        <f>IF(175&lt;DeliverStart,0,FV$43+FW$42)</f>
        <v/>
      </c>
      <c r="FX43" s="218">
        <f>IF(176&lt;DeliverStart,0,FW$43+FX$42)</f>
        <v/>
      </c>
      <c r="FY43" s="218">
        <f>IF(177&lt;DeliverStart,0,FX$43+FY$42)</f>
        <v/>
      </c>
      <c r="FZ43" s="218">
        <f>IF(178&lt;DeliverStart,0,FY$43+FZ$42)</f>
        <v/>
      </c>
      <c r="GA43" s="218">
        <f>IF(179&lt;DeliverStart,0,FZ$43+GA$42)</f>
        <v/>
      </c>
      <c r="GB43" s="218">
        <f>IF(180&lt;DeliverStart,0,GA$43+GB$42)</f>
        <v/>
      </c>
      <c r="GC43" s="218">
        <f>IF(181&lt;DeliverStart,0,GB$43+GC$42)</f>
        <v/>
      </c>
      <c r="GD43" s="218">
        <f>IF(182&lt;DeliverStart,0,GC$43+GD$42)</f>
        <v/>
      </c>
      <c r="GE43" s="218">
        <f>IF(183&lt;DeliverStart,0,GD$43+GE$42)</f>
        <v/>
      </c>
      <c r="GF43" s="218">
        <f>IF(184&lt;DeliverStart,0,GE$43+GF$42)</f>
        <v/>
      </c>
      <c r="GG43" s="218">
        <f>IF(185&lt;DeliverStart,0,GF$43+GG$42)</f>
        <v/>
      </c>
      <c r="GH43" s="218">
        <f>IF(186&lt;DeliverStart,0,GG$43+GH$42)</f>
        <v/>
      </c>
      <c r="GI43" s="218">
        <f>IF(187&lt;DeliverStart,0,GH$43+GI$42)</f>
        <v/>
      </c>
      <c r="GJ43" s="218">
        <f>IF(188&lt;DeliverStart,0,GI$43+GJ$42)</f>
        <v/>
      </c>
      <c r="GK43" s="218">
        <f>IF(189&lt;DeliverStart,0,GJ$43+GK$42)</f>
        <v/>
      </c>
      <c r="GL43" s="218">
        <f>IF(190&lt;DeliverStart,0,GK$43+GL$42)</f>
        <v/>
      </c>
      <c r="GM43" s="218">
        <f>IF(191&lt;DeliverStart,0,GL$43+GM$42)</f>
        <v/>
      </c>
      <c r="GN43" s="218">
        <f>IF(192&lt;DeliverStart,0,GM$43+GN$42)</f>
        <v/>
      </c>
      <c r="GO43" s="218">
        <f>IF(193&lt;DeliverStart,0,GN$43+GO$42)</f>
        <v/>
      </c>
      <c r="GP43" s="218">
        <f>IF(194&lt;DeliverStart,0,GO$43+GP$42)</f>
        <v/>
      </c>
      <c r="GQ43" s="218">
        <f>IF(195&lt;DeliverStart,0,GP$43+GQ$42)</f>
        <v/>
      </c>
      <c r="GR43" s="218">
        <f>IF(196&lt;DeliverStart,0,GQ$43+GR$42)</f>
        <v/>
      </c>
      <c r="GS43" s="218">
        <f>IF(197&lt;DeliverStart,0,GR$43+GS$42)</f>
        <v/>
      </c>
      <c r="GT43" s="218">
        <f>IF(198&lt;DeliverStart,0,GS$43+GT$42)</f>
        <v/>
      </c>
      <c r="GU43" s="218">
        <f>IF(199&lt;DeliverStart,0,GT$43+GU$42)</f>
        <v/>
      </c>
      <c r="GV43" s="218">
        <f>IF(200&lt;DeliverStart,0,GU$43+GV$42)</f>
        <v/>
      </c>
      <c r="GW43" s="218">
        <f>IF(201&lt;DeliverStart,0,GV$43+GW$42)</f>
        <v/>
      </c>
      <c r="GX43" s="218">
        <f>IF(202&lt;DeliverStart,0,GW$43+GX$42)</f>
        <v/>
      </c>
      <c r="GY43" s="218">
        <f>IF(203&lt;DeliverStart,0,GX$43+GY$42)</f>
        <v/>
      </c>
      <c r="GZ43" s="218">
        <f>IF(204&lt;DeliverStart,0,GY$43+GZ$42)</f>
        <v/>
      </c>
      <c r="HA43" s="218">
        <f>IF(205&lt;DeliverStart,0,GZ$43+HA$42)</f>
        <v/>
      </c>
      <c r="HB43" s="218">
        <f>IF(206&lt;DeliverStart,0,HA$43+HB$42)</f>
        <v/>
      </c>
      <c r="HC43" s="218">
        <f>IF(207&lt;DeliverStart,0,HB$43+HC$42)</f>
        <v/>
      </c>
      <c r="HD43" s="218">
        <f>IF(208&lt;DeliverStart,0,HC$43+HD$42)</f>
        <v/>
      </c>
      <c r="HE43" s="218">
        <f>IF(209&lt;DeliverStart,0,HD$43+HE$42)</f>
        <v/>
      </c>
      <c r="HF43" s="218">
        <f>IF(210&lt;DeliverStart,0,HE$43+HF$42)</f>
        <v/>
      </c>
      <c r="HG43" s="218">
        <f>IF(211&lt;DeliverStart,0,HF$43+HG$42)</f>
        <v/>
      </c>
      <c r="HH43" s="218">
        <f>IF(212&lt;DeliverStart,0,HG$43+HH$42)</f>
        <v/>
      </c>
      <c r="HI43" s="218">
        <f>IF(213&lt;DeliverStart,0,HH$43+HI$42)</f>
        <v/>
      </c>
      <c r="HJ43" s="218">
        <f>IF(214&lt;DeliverStart,0,HI$43+HJ$42)</f>
        <v/>
      </c>
      <c r="HK43" s="218">
        <f>IF(215&lt;DeliverStart,0,HJ$43+HK$42)</f>
        <v/>
      </c>
      <c r="HL43" s="218">
        <f>IF(216&lt;DeliverStart,0,HK$43+HL$42)</f>
        <v/>
      </c>
      <c r="HM43" s="218">
        <f>IF(217&lt;DeliverStart,0,HL$43+HM$42)</f>
        <v/>
      </c>
      <c r="HN43" s="218">
        <f>IF(218&lt;DeliverStart,0,HM$43+HN$42)</f>
        <v/>
      </c>
      <c r="HO43" s="218">
        <f>IF(219&lt;DeliverStart,0,HN$43+HO$42)</f>
        <v/>
      </c>
      <c r="HP43" s="218">
        <f>IF(220&lt;DeliverStart,0,HO$43+HP$42)</f>
        <v/>
      </c>
      <c r="HQ43" s="218">
        <f>IF(221&lt;DeliverStart,0,HP$43+HQ$42)</f>
        <v/>
      </c>
      <c r="HR43" s="218">
        <f>IF(222&lt;DeliverStart,0,HQ$43+HR$42)</f>
        <v/>
      </c>
      <c r="HS43" s="218">
        <f>IF(223&lt;DeliverStart,0,HR$43+HS$42)</f>
        <v/>
      </c>
      <c r="HT43" s="218">
        <f>IF(224&lt;DeliverStart,0,HS$43+HT$42)</f>
        <v/>
      </c>
      <c r="HU43" s="218">
        <f>IF(225&lt;DeliverStart,0,HT$43+HU$42)</f>
        <v/>
      </c>
      <c r="HV43" s="218">
        <f>IF(226&lt;DeliverStart,0,HU$43+HV$42)</f>
        <v/>
      </c>
      <c r="HW43" s="218">
        <f>IF(227&lt;DeliverStart,0,HV$43+HW$42)</f>
        <v/>
      </c>
      <c r="HX43" s="218">
        <f>IF(228&lt;DeliverStart,0,HW$43+HX$42)</f>
        <v/>
      </c>
      <c r="HY43" s="218">
        <f>IF(229&lt;DeliverStart,0,HX$43+HY$42)</f>
        <v/>
      </c>
      <c r="HZ43" s="218">
        <f>IF(230&lt;DeliverStart,0,HY$43+HZ$42)</f>
        <v/>
      </c>
      <c r="IA43" s="218">
        <f>IF(231&lt;DeliverStart,0,HZ$43+IA$42)</f>
        <v/>
      </c>
      <c r="IB43" s="218">
        <f>IF(232&lt;DeliverStart,0,IA$43+IB$42)</f>
        <v/>
      </c>
      <c r="IC43" s="218">
        <f>IF(233&lt;DeliverStart,0,IB$43+IC$42)</f>
        <v/>
      </c>
      <c r="ID43" s="218">
        <f>IF(234&lt;DeliverStart,0,IC$43+ID$42)</f>
        <v/>
      </c>
      <c r="IE43" s="218">
        <f>IF(235&lt;DeliverStart,0,ID$43+IE$42)</f>
        <v/>
      </c>
      <c r="IF43" s="218">
        <f>IF(236&lt;DeliverStart,0,IE$43+IF$42)</f>
        <v/>
      </c>
      <c r="IG43" s="218">
        <f>IF(237&lt;DeliverStart,0,IF$43+IG$42)</f>
        <v/>
      </c>
      <c r="IH43" s="218">
        <f>IF(238&lt;DeliverStart,0,IG$43+IH$42)</f>
        <v/>
      </c>
      <c r="II43" s="218">
        <f>IF(239&lt;DeliverStart,0,IH$43+II$42)</f>
        <v/>
      </c>
      <c r="IJ43" s="218">
        <f>IF(240&lt;DeliverStart,0,II$43+IJ$42)</f>
        <v/>
      </c>
      <c r="IK43" s="218">
        <f>IF(241&lt;DeliverStart,0,IJ$43+IK$42)</f>
        <v/>
      </c>
      <c r="IL43" s="218">
        <f>IF(242&lt;DeliverStart,0,IK$43+IL$42)</f>
        <v/>
      </c>
      <c r="IM43" s="218">
        <f>IF(243&lt;DeliverStart,0,IL$43+IM$42)</f>
        <v/>
      </c>
      <c r="IN43" s="218">
        <f>IF(244&lt;DeliverStart,0,IM$43+IN$42)</f>
        <v/>
      </c>
      <c r="IO43" s="218">
        <f>IF(245&lt;DeliverStart,0,IN$43+IO$42)</f>
        <v/>
      </c>
      <c r="IP43" s="218">
        <f>IF(246&lt;DeliverStart,0,IO$43+IP$42)</f>
        <v/>
      </c>
      <c r="IQ43" s="218">
        <f>IF(247&lt;DeliverStart,0,IP$43+IQ$42)</f>
        <v/>
      </c>
      <c r="IR43" s="218">
        <f>IF(248&lt;DeliverStart,0,IQ$43+IR$42)</f>
        <v/>
      </c>
      <c r="IS43" s="218">
        <f>IF(249&lt;DeliverStart,0,IR$43+IS$42)</f>
        <v/>
      </c>
      <c r="IT43" s="218">
        <f>IF(250&lt;DeliverStart,0,IS$43+IT$42)</f>
        <v/>
      </c>
      <c r="IU43" s="218">
        <f>IF(251&lt;DeliverStart,0,IT$43+IU$42)</f>
        <v/>
      </c>
      <c r="IV43" s="218">
        <f>IF(252&lt;DeliverStart,0,IU$43+IV$42)</f>
        <v/>
      </c>
      <c r="IW43" s="218">
        <f>IF(253&lt;DeliverStart,0,IV$43+IW$42)</f>
        <v/>
      </c>
      <c r="IX43" s="218">
        <f>IF(254&lt;DeliverStart,0,IW$43+IX$42)</f>
        <v/>
      </c>
      <c r="IY43" s="218">
        <f>IF(255&lt;DeliverStart,0,IX$43+IY$42)</f>
        <v/>
      </c>
      <c r="IZ43" s="218">
        <f>IF(256&lt;DeliverStart,0,IY$43+IZ$42)</f>
        <v/>
      </c>
      <c r="JA43" s="218">
        <f>IF(257&lt;DeliverStart,0,IZ$43+JA$42)</f>
        <v/>
      </c>
      <c r="JB43" s="218">
        <f>IF(258&lt;DeliverStart,0,JA$43+JB$42)</f>
        <v/>
      </c>
      <c r="JC43" s="218">
        <f>IF(259&lt;DeliverStart,0,JB$43+JC$42)</f>
        <v/>
      </c>
      <c r="JD43" s="218">
        <f>IF(260&lt;DeliverStart,0,JC$43+JD$42)</f>
        <v/>
      </c>
      <c r="JE43" s="218">
        <f>IF(261&lt;DeliverStart,0,JD$43+JE$42)</f>
        <v/>
      </c>
      <c r="JF43" s="218">
        <f>IF(262&lt;DeliverStart,0,JE$43+JF$42)</f>
        <v/>
      </c>
      <c r="JG43" s="218">
        <f>IF(263&lt;DeliverStart,0,JF$43+JG$42)</f>
        <v/>
      </c>
      <c r="JH43" s="218">
        <f>IF(264&lt;DeliverStart,0,JG$43+JH$42)</f>
        <v/>
      </c>
      <c r="JI43" s="218">
        <f>IF(265&lt;DeliverStart,0,JH$43+JI$42)</f>
        <v/>
      </c>
      <c r="JJ43" s="218">
        <f>IF(266&lt;DeliverStart,0,JI$43+JJ$42)</f>
        <v/>
      </c>
      <c r="JK43" s="218">
        <f>IF(267&lt;DeliverStart,0,JJ$43+JK$42)</f>
        <v/>
      </c>
      <c r="JL43" s="218">
        <f>IF(268&lt;DeliverStart,0,JK$43+JL$42)</f>
        <v/>
      </c>
      <c r="JM43" s="218">
        <f>IF(269&lt;DeliverStart,0,JL$43+JM$42)</f>
        <v/>
      </c>
      <c r="JN43" s="218">
        <f>IF(270&lt;DeliverStart,0,JM$43+JN$42)</f>
        <v/>
      </c>
      <c r="JO43" s="218">
        <f>IF(271&lt;DeliverStart,0,JN$43+JO$42)</f>
        <v/>
      </c>
      <c r="JP43" s="218">
        <f>IF(272&lt;DeliverStart,0,JO$43+JP$42)</f>
        <v/>
      </c>
      <c r="JQ43" s="218">
        <f>IF(273&lt;DeliverStart,0,JP$43+JQ$42)</f>
        <v/>
      </c>
      <c r="JR43" s="218">
        <f>IF(274&lt;DeliverStart,0,JQ$43+JR$42)</f>
        <v/>
      </c>
      <c r="JS43" s="218">
        <f>IF(275&lt;DeliverStart,0,JR$43+JS$42)</f>
        <v/>
      </c>
      <c r="JT43" s="218">
        <f>IF(276&lt;DeliverStart,0,JS$43+JT$42)</f>
        <v/>
      </c>
      <c r="JU43" s="218">
        <f>IF(277&lt;DeliverStart,0,JT$43+JU$42)</f>
        <v/>
      </c>
      <c r="JV43" s="218">
        <f>IF(278&lt;DeliverStart,0,JU$43+JV$42)</f>
        <v/>
      </c>
      <c r="JW43" s="218">
        <f>IF(279&lt;DeliverStart,0,JV$43+JW$42)</f>
        <v/>
      </c>
      <c r="JX43" s="218">
        <f>IF(280&lt;DeliverStart,0,JW$43+JX$42)</f>
        <v/>
      </c>
      <c r="JY43" s="218">
        <f>IF(281&lt;DeliverStart,0,JX$43+JY$42)</f>
        <v/>
      </c>
      <c r="JZ43" s="218">
        <f>IF(282&lt;DeliverStart,0,JY$43+JZ$42)</f>
        <v/>
      </c>
      <c r="KA43" s="218">
        <f>IF(283&lt;DeliverStart,0,JZ$43+KA$42)</f>
        <v/>
      </c>
      <c r="KB43" s="218">
        <f>IF(284&lt;DeliverStart,0,KA$43+KB$42)</f>
        <v/>
      </c>
      <c r="KC43" s="218">
        <f>IF(285&lt;DeliverStart,0,KB$43+KC$42)</f>
        <v/>
      </c>
      <c r="KD43" s="218">
        <f>IF(286&lt;DeliverStart,0,KC$43+KD$42)</f>
        <v/>
      </c>
      <c r="KE43" s="218">
        <f>IF(287&lt;DeliverStart,0,KD$43+KE$42)</f>
        <v/>
      </c>
      <c r="KF43" s="218">
        <f>IF(288&lt;DeliverStart,0,KE$43+KF$42)</f>
        <v/>
      </c>
      <c r="KG43" s="218">
        <f>IF(289&lt;DeliverStart,0,KF$43+KG$42)</f>
        <v/>
      </c>
      <c r="KH43" s="218">
        <f>IF(290&lt;DeliverStart,0,KG$43+KH$42)</f>
        <v/>
      </c>
      <c r="KI43" s="218">
        <f>IF(291&lt;DeliverStart,0,KH$43+KI$42)</f>
        <v/>
      </c>
      <c r="KJ43" s="218">
        <f>IF(292&lt;DeliverStart,0,KI$43+KJ$42)</f>
        <v/>
      </c>
      <c r="KK43" s="218">
        <f>IF(293&lt;DeliverStart,0,KJ$43+KK$42)</f>
        <v/>
      </c>
      <c r="KL43" s="218">
        <f>IF(294&lt;DeliverStart,0,KK$43+KL$42)</f>
        <v/>
      </c>
      <c r="KM43" s="218">
        <f>IF(295&lt;DeliverStart,0,KL$43+KM$42)</f>
        <v/>
      </c>
      <c r="KN43" s="218">
        <f>IF(296&lt;DeliverStart,0,KM$43+KN$42)</f>
        <v/>
      </c>
      <c r="KO43" s="218">
        <f>IF(297&lt;DeliverStart,0,KN$43+KO$42)</f>
        <v/>
      </c>
      <c r="KP43" s="218">
        <f>IF(298&lt;DeliverStart,0,KO$43+KP$42)</f>
        <v/>
      </c>
      <c r="KQ43" s="218">
        <f>IF(299&lt;DeliverStart,0,KP$43+KQ$42)</f>
        <v/>
      </c>
      <c r="KR43" s="218">
        <f>IF(300&lt;DeliverStart,0,KQ$43+KR$42)</f>
        <v/>
      </c>
      <c r="KS43" s="218">
        <f>IF(301&lt;DeliverStart,0,KR$43+KS$42)</f>
        <v/>
      </c>
      <c r="KT43" s="218">
        <f>IF(302&lt;DeliverStart,0,KS$43+KT$42)</f>
        <v/>
      </c>
      <c r="KU43" s="218">
        <f>IF(303&lt;DeliverStart,0,KT$43+KU$42)</f>
        <v/>
      </c>
      <c r="KV43" s="218">
        <f>IF(304&lt;DeliverStart,0,KU$43+KV$42)</f>
        <v/>
      </c>
      <c r="KW43" s="218">
        <f>IF(305&lt;DeliverStart,0,KV$43+KW$42)</f>
        <v/>
      </c>
      <c r="KX43" s="218">
        <f>IF(306&lt;DeliverStart,0,KW$43+KX$42)</f>
        <v/>
      </c>
      <c r="KY43" s="218">
        <f>IF(307&lt;DeliverStart,0,KX$43+KY$42)</f>
        <v/>
      </c>
      <c r="KZ43" s="218">
        <f>IF(308&lt;DeliverStart,0,KY$43+KZ$42)</f>
        <v/>
      </c>
      <c r="LA43" s="218">
        <f>IF(309&lt;DeliverStart,0,KZ$43+LA$42)</f>
        <v/>
      </c>
      <c r="LB43" s="218">
        <f>IF(310&lt;DeliverStart,0,LA$43+LB$42)</f>
        <v/>
      </c>
      <c r="LC43" s="218">
        <f>IF(311&lt;DeliverStart,0,LB$43+LC$42)</f>
        <v/>
      </c>
      <c r="LD43" s="218">
        <f>IF(312&lt;DeliverStart,0,LC$43+LD$42)</f>
        <v/>
      </c>
      <c r="LE43" s="218">
        <f>IF(313&lt;DeliverStart,0,LD$43+LE$42)</f>
        <v/>
      </c>
      <c r="LF43" s="218">
        <f>IF(314&lt;DeliverStart,0,LE$43+LF$42)</f>
        <v/>
      </c>
      <c r="LG43" s="218">
        <f>IF(315&lt;DeliverStart,0,LF$43+LG$42)</f>
        <v/>
      </c>
      <c r="LH43" s="218">
        <f>IF(316&lt;DeliverStart,0,LG$43+LH$42)</f>
        <v/>
      </c>
      <c r="LI43" s="218">
        <f>IF(317&lt;DeliverStart,0,LH$43+LI$42)</f>
        <v/>
      </c>
      <c r="LJ43" s="218">
        <f>IF(318&lt;DeliverStart,0,LI$43+LJ$42)</f>
        <v/>
      </c>
      <c r="LK43" s="218">
        <f>IF(319&lt;DeliverStart,0,LJ$43+LK$42)</f>
        <v/>
      </c>
      <c r="LL43" s="218">
        <f>IF(320&lt;DeliverStart,0,LK$43+LL$42)</f>
        <v/>
      </c>
      <c r="LM43" s="218">
        <f>IF(321&lt;DeliverStart,0,LL$43+LM$42)</f>
        <v/>
      </c>
      <c r="LN43" s="218">
        <f>IF(322&lt;DeliverStart,0,LM$43+LN$42)</f>
        <v/>
      </c>
      <c r="LO43" s="218">
        <f>IF(323&lt;DeliverStart,0,LN$43+LO$42)</f>
        <v/>
      </c>
      <c r="LP43" s="218">
        <f>IF(324&lt;DeliverStart,0,LO$43+LP$42)</f>
        <v/>
      </c>
      <c r="LQ43" s="218">
        <f>IF(325&lt;DeliverStart,0,LP$43+LQ$42)</f>
        <v/>
      </c>
      <c r="LR43" s="218">
        <f>IF(326&lt;DeliverStart,0,LQ$43+LR$42)</f>
        <v/>
      </c>
      <c r="LS43" s="218">
        <f>IF(327&lt;DeliverStart,0,LR$43+LS$42)</f>
        <v/>
      </c>
      <c r="LT43" s="218">
        <f>IF(328&lt;DeliverStart,0,LS$43+LT$42)</f>
        <v/>
      </c>
      <c r="LU43" s="218">
        <f>IF(329&lt;DeliverStart,0,LT$43+LU$42)</f>
        <v/>
      </c>
      <c r="LV43" s="218">
        <f>IF(330&lt;DeliverStart,0,LU$43+LV$42)</f>
        <v/>
      </c>
      <c r="LW43" s="218">
        <f>IF(331&lt;DeliverStart,0,LV$43+LW$42)</f>
        <v/>
      </c>
      <c r="LX43" s="218">
        <f>IF(332&lt;DeliverStart,0,LW$43+LX$42)</f>
        <v/>
      </c>
      <c r="LY43" s="218">
        <f>IF(333&lt;DeliverStart,0,LX$43+LY$42)</f>
        <v/>
      </c>
      <c r="LZ43" s="218">
        <f>IF(334&lt;DeliverStart,0,LY$43+LZ$42)</f>
        <v/>
      </c>
      <c r="MA43" s="218">
        <f>IF(335&lt;DeliverStart,0,LZ$43+MA$42)</f>
        <v/>
      </c>
      <c r="MB43" s="218">
        <f>IF(336&lt;DeliverStart,0,MA$43+MB$42)</f>
        <v/>
      </c>
      <c r="MC43" s="218">
        <f>IF(337&lt;DeliverStart,0,MB$43+MC$42)</f>
        <v/>
      </c>
      <c r="MD43" s="218">
        <f>IF(338&lt;DeliverStart,0,MC$43+MD$42)</f>
        <v/>
      </c>
      <c r="ME43" s="218">
        <f>IF(339&lt;DeliverStart,0,MD$43+ME$42)</f>
        <v/>
      </c>
      <c r="MF43" s="218">
        <f>IF(340&lt;DeliverStart,0,ME$43+MF$42)</f>
        <v/>
      </c>
      <c r="MG43" s="218">
        <f>IF(341&lt;DeliverStart,0,MF$43+MG$42)</f>
        <v/>
      </c>
      <c r="MH43" s="218">
        <f>IF(342&lt;DeliverStart,0,MG$43+MH$42)</f>
        <v/>
      </c>
      <c r="MI43" s="218">
        <f>IF(343&lt;DeliverStart,0,MH$43+MI$42)</f>
        <v/>
      </c>
      <c r="MJ43" s="218">
        <f>IF(344&lt;DeliverStart,0,MI$43+MJ$42)</f>
        <v/>
      </c>
      <c r="MK43" s="218">
        <f>IF(345&lt;DeliverStart,0,MJ$43+MK$42)</f>
        <v/>
      </c>
      <c r="ML43" s="218">
        <f>IF(346&lt;DeliverStart,0,MK$43+ML$42)</f>
        <v/>
      </c>
      <c r="MM43" s="218">
        <f>IF(347&lt;DeliverStart,0,ML$43+MM$42)</f>
        <v/>
      </c>
      <c r="MN43" s="218">
        <f>IF(348&lt;DeliverStart,0,MM$43+MN$42)</f>
        <v/>
      </c>
      <c r="MO43" s="218">
        <f>IF(349&lt;DeliverStart,0,MN$43+MO$42)</f>
        <v/>
      </c>
      <c r="MP43" s="218">
        <f>IF(350&lt;DeliverStart,0,MO$43+MP$42)</f>
        <v/>
      </c>
      <c r="MQ43" s="218">
        <f>IF(351&lt;DeliverStart,0,MP$43+MQ$42)</f>
        <v/>
      </c>
      <c r="MR43" s="218">
        <f>IF(352&lt;DeliverStart,0,MQ$43+MR$42)</f>
        <v/>
      </c>
      <c r="MS43" s="218">
        <f>IF(353&lt;DeliverStart,0,MR$43+MS$42)</f>
        <v/>
      </c>
      <c r="MT43" s="218">
        <f>IF(354&lt;DeliverStart,0,MS$43+MT$42)</f>
        <v/>
      </c>
      <c r="MU43" s="218">
        <f>IF(355&lt;DeliverStart,0,MT$43+MU$42)</f>
        <v/>
      </c>
      <c r="MV43" s="218">
        <f>IF(356&lt;DeliverStart,0,MU$43+MV$42)</f>
        <v/>
      </c>
      <c r="MW43" s="218">
        <f>IF(357&lt;DeliverStart,0,MV$43+MW$42)</f>
        <v/>
      </c>
      <c r="MX43" s="218">
        <f>IF(358&lt;DeliverStart,0,MW$43+MX$42)</f>
        <v/>
      </c>
      <c r="MY43" s="218">
        <f>IF(359&lt;DeliverStart,0,MX$43+MY$42)</f>
        <v/>
      </c>
      <c r="MZ43" s="218">
        <f>IF(360&lt;DeliverStart,0,MY$43+MZ$42)</f>
        <v/>
      </c>
      <c r="NA43" s="218">
        <f>IF(361&lt;DeliverStart,0,MZ$43+NA$42)</f>
        <v/>
      </c>
      <c r="NB43" s="218">
        <f>IF(362&lt;DeliverStart,0,NA$43+NB$42)</f>
        <v/>
      </c>
      <c r="NC43" s="218">
        <f>IF(363&lt;DeliverStart,0,NB$43+NC$42)</f>
        <v/>
      </c>
      <c r="ND43" s="218">
        <f>IF(364&lt;DeliverStart,0,NC$43+ND$42)</f>
        <v/>
      </c>
      <c r="NE43" s="218">
        <f>IF(365&lt;DeliverStart,0,ND$43+NE$42)</f>
        <v/>
      </c>
      <c r="NF43" s="218">
        <f>IF(366&lt;DeliverStart,0,NE$43+NF$42)</f>
        <v/>
      </c>
      <c r="NG43" s="218">
        <f>IF(367&lt;DeliverStart,0,NF$43+NG$42)</f>
        <v/>
      </c>
      <c r="NH43" s="218">
        <f>IF(368&lt;DeliverStart,0,NG$43+NH$42)</f>
        <v/>
      </c>
      <c r="NI43" s="218">
        <f>IF(369&lt;DeliverStart,0,NH$43+NI$42)</f>
        <v/>
      </c>
      <c r="NJ43" s="218">
        <f>IF(370&lt;DeliverStart,0,NI$43+NJ$42)</f>
        <v/>
      </c>
      <c r="NK43" s="218">
        <f>IF(371&lt;DeliverStart,0,NJ$43+NK$42)</f>
        <v/>
      </c>
      <c r="NL43" s="225">
        <f>IF(372&lt;DeliverStart,0,NK$43+NL$42)</f>
        <v/>
      </c>
    </row>
    <row r="44">
      <c r="B44" s="40" t="inlineStr">
        <is>
          <t>Unlevered Operating CF (property)</t>
        </is>
      </c>
      <c r="C44" s="79" t="n"/>
      <c r="D44" s="268">
        <f>SUM(E44:NL44)</f>
        <v/>
      </c>
      <c r="E44" s="263">
        <f>IF(Timeline!E$41=1,E$42,0)</f>
        <v/>
      </c>
      <c r="F44" s="263">
        <f>IF(Timeline!F$41=1,F$42,0)</f>
        <v/>
      </c>
      <c r="G44" s="263">
        <f>IF(Timeline!G$41=1,G$42,0)</f>
        <v/>
      </c>
      <c r="H44" s="263">
        <f>IF(Timeline!H$41=1,H$42,0)</f>
        <v/>
      </c>
      <c r="I44" s="263">
        <f>IF(Timeline!I$41=1,I$42,0)</f>
        <v/>
      </c>
      <c r="J44" s="263">
        <f>IF(Timeline!J$41=1,J$42,0)</f>
        <v/>
      </c>
      <c r="K44" s="263">
        <f>IF(Timeline!K$41=1,K$42,0)</f>
        <v/>
      </c>
      <c r="L44" s="263">
        <f>IF(Timeline!L$41=1,L$42,0)</f>
        <v/>
      </c>
      <c r="M44" s="263">
        <f>IF(Timeline!M$41=1,M$42,0)</f>
        <v/>
      </c>
      <c r="N44" s="263">
        <f>IF(Timeline!N$41=1,N$42,0)</f>
        <v/>
      </c>
      <c r="O44" s="263">
        <f>IF(Timeline!O$41=1,O$42,0)</f>
        <v/>
      </c>
      <c r="P44" s="263">
        <f>IF(Timeline!P$41=1,P$42,0)</f>
        <v/>
      </c>
      <c r="Q44" s="263">
        <f>IF(Timeline!Q$41=1,Q$42,0)</f>
        <v/>
      </c>
      <c r="R44" s="263">
        <f>IF(Timeline!R$41=1,R$42,0)</f>
        <v/>
      </c>
      <c r="S44" s="263">
        <f>IF(Timeline!S$41=1,S$42,0)</f>
        <v/>
      </c>
      <c r="T44" s="263">
        <f>IF(Timeline!T$41=1,T$42,0)</f>
        <v/>
      </c>
      <c r="U44" s="263">
        <f>IF(Timeline!U$41=1,U$42,0)</f>
        <v/>
      </c>
      <c r="V44" s="263">
        <f>IF(Timeline!V$41=1,V$42,0)</f>
        <v/>
      </c>
      <c r="W44" s="263">
        <f>IF(Timeline!W$41=1,W$42,0)</f>
        <v/>
      </c>
      <c r="X44" s="263">
        <f>IF(Timeline!X$41=1,X$42,0)</f>
        <v/>
      </c>
      <c r="Y44" s="263">
        <f>IF(Timeline!Y$41=1,Y$42,0)</f>
        <v/>
      </c>
      <c r="Z44" s="263">
        <f>IF(Timeline!Z$41=1,Z$42,0)</f>
        <v/>
      </c>
      <c r="AA44" s="263">
        <f>IF(Timeline!AA$41=1,AA$42,0)</f>
        <v/>
      </c>
      <c r="AB44" s="263">
        <f>IF(Timeline!AB$41=1,AB$42,0)</f>
        <v/>
      </c>
      <c r="AC44" s="263">
        <f>IF(Timeline!AC$41=1,AC$42,0)</f>
        <v/>
      </c>
      <c r="AD44" s="263">
        <f>IF(Timeline!AD$41=1,AD$42,0)</f>
        <v/>
      </c>
      <c r="AE44" s="263">
        <f>IF(Timeline!AE$41=1,AE$42,0)</f>
        <v/>
      </c>
      <c r="AF44" s="263">
        <f>IF(Timeline!AF$41=1,AF$42,0)</f>
        <v/>
      </c>
      <c r="AG44" s="263">
        <f>IF(Timeline!AG$41=1,AG$42,0)</f>
        <v/>
      </c>
      <c r="AH44" s="263">
        <f>IF(Timeline!AH$41=1,AH$42,0)</f>
        <v/>
      </c>
      <c r="AI44" s="263">
        <f>IF(Timeline!AI$41=1,AI$42,0)</f>
        <v/>
      </c>
      <c r="AJ44" s="263">
        <f>IF(Timeline!AJ$41=1,AJ$42,0)</f>
        <v/>
      </c>
      <c r="AK44" s="263">
        <f>IF(Timeline!AK$41=1,AK$42,0)</f>
        <v/>
      </c>
      <c r="AL44" s="263">
        <f>IF(Timeline!AL$41=1,AL$42,0)</f>
        <v/>
      </c>
      <c r="AM44" s="263">
        <f>IF(Timeline!AM$41=1,AM$42,0)</f>
        <v/>
      </c>
      <c r="AN44" s="263">
        <f>IF(Timeline!AN$41=1,AN$42,0)</f>
        <v/>
      </c>
      <c r="AO44" s="263">
        <f>IF(Timeline!AO$41=1,AO$42,0)</f>
        <v/>
      </c>
      <c r="AP44" s="263">
        <f>IF(Timeline!AP$41=1,AP$42,0)</f>
        <v/>
      </c>
      <c r="AQ44" s="263">
        <f>IF(Timeline!AQ$41=1,AQ$42,0)</f>
        <v/>
      </c>
      <c r="AR44" s="263">
        <f>IF(Timeline!AR$41=1,AR$42,0)</f>
        <v/>
      </c>
      <c r="AS44" s="263">
        <f>IF(Timeline!AS$41=1,AS$42,0)</f>
        <v/>
      </c>
      <c r="AT44" s="263">
        <f>IF(Timeline!AT$41=1,AT$42,0)</f>
        <v/>
      </c>
      <c r="AU44" s="263">
        <f>IF(Timeline!AU$41=1,AU$42,0)</f>
        <v/>
      </c>
      <c r="AV44" s="263">
        <f>IF(Timeline!AV$41=1,AV$42,0)</f>
        <v/>
      </c>
      <c r="AW44" s="263">
        <f>IF(Timeline!AW$41=1,AW$42,0)</f>
        <v/>
      </c>
      <c r="AX44" s="263">
        <f>IF(Timeline!AX$41=1,AX$42,0)</f>
        <v/>
      </c>
      <c r="AY44" s="263">
        <f>IF(Timeline!AY$41=1,AY$42,0)</f>
        <v/>
      </c>
      <c r="AZ44" s="263">
        <f>IF(Timeline!AZ$41=1,AZ$42,0)</f>
        <v/>
      </c>
      <c r="BA44" s="263">
        <f>IF(Timeline!BA$41=1,BA$42,0)</f>
        <v/>
      </c>
      <c r="BB44" s="263">
        <f>IF(Timeline!BB$41=1,BB$42,0)</f>
        <v/>
      </c>
      <c r="BC44" s="263">
        <f>IF(Timeline!BC$41=1,BC$42,0)</f>
        <v/>
      </c>
      <c r="BD44" s="263">
        <f>IF(Timeline!BD$41=1,BD$42,0)</f>
        <v/>
      </c>
      <c r="BE44" s="263">
        <f>IF(Timeline!BE$41=1,BE$42,0)</f>
        <v/>
      </c>
      <c r="BF44" s="263">
        <f>IF(Timeline!BF$41=1,BF$42,0)</f>
        <v/>
      </c>
      <c r="BG44" s="263">
        <f>IF(Timeline!BG$41=1,BG$42,0)</f>
        <v/>
      </c>
      <c r="BH44" s="263">
        <f>IF(Timeline!BH$41=1,BH$42,0)</f>
        <v/>
      </c>
      <c r="BI44" s="263">
        <f>IF(Timeline!BI$41=1,BI$42,0)</f>
        <v/>
      </c>
      <c r="BJ44" s="263">
        <f>IF(Timeline!BJ$41=1,BJ$42,0)</f>
        <v/>
      </c>
      <c r="BK44" s="263">
        <f>IF(Timeline!BK$41=1,BK$42,0)</f>
        <v/>
      </c>
      <c r="BL44" s="263">
        <f>IF(Timeline!BL$41=1,BL$42,0)</f>
        <v/>
      </c>
      <c r="BM44" s="263">
        <f>IF(Timeline!BM$41=1,BM$42,0)</f>
        <v/>
      </c>
      <c r="BN44" s="263">
        <f>IF(Timeline!BN$41=1,BN$42,0)</f>
        <v/>
      </c>
      <c r="BO44" s="263">
        <f>IF(Timeline!BO$41=1,BO$42,0)</f>
        <v/>
      </c>
      <c r="BP44" s="263">
        <f>IF(Timeline!BP$41=1,BP$42,0)</f>
        <v/>
      </c>
      <c r="BQ44" s="263">
        <f>IF(Timeline!BQ$41=1,BQ$42,0)</f>
        <v/>
      </c>
      <c r="BR44" s="263">
        <f>IF(Timeline!BR$41=1,BR$42,0)</f>
        <v/>
      </c>
      <c r="BS44" s="263">
        <f>IF(Timeline!BS$41=1,BS$42,0)</f>
        <v/>
      </c>
      <c r="BT44" s="263">
        <f>IF(Timeline!BT$41=1,BT$42,0)</f>
        <v/>
      </c>
      <c r="BU44" s="263">
        <f>IF(Timeline!BU$41=1,BU$42,0)</f>
        <v/>
      </c>
      <c r="BV44" s="263">
        <f>IF(Timeline!BV$41=1,BV$42,0)</f>
        <v/>
      </c>
      <c r="BW44" s="263">
        <f>IF(Timeline!BW$41=1,BW$42,0)</f>
        <v/>
      </c>
      <c r="BX44" s="263">
        <f>IF(Timeline!BX$41=1,BX$42,0)</f>
        <v/>
      </c>
      <c r="BY44" s="263">
        <f>IF(Timeline!BY$41=1,BY$42,0)</f>
        <v/>
      </c>
      <c r="BZ44" s="263">
        <f>IF(Timeline!BZ$41=1,BZ$42,0)</f>
        <v/>
      </c>
      <c r="CA44" s="263">
        <f>IF(Timeline!CA$41=1,CA$42,0)</f>
        <v/>
      </c>
      <c r="CB44" s="263">
        <f>IF(Timeline!CB$41=1,CB$42,0)</f>
        <v/>
      </c>
      <c r="CC44" s="263">
        <f>IF(Timeline!CC$41=1,CC$42,0)</f>
        <v/>
      </c>
      <c r="CD44" s="263">
        <f>IF(Timeline!CD$41=1,CD$42,0)</f>
        <v/>
      </c>
      <c r="CE44" s="263">
        <f>IF(Timeline!CE$41=1,CE$42,0)</f>
        <v/>
      </c>
      <c r="CF44" s="263">
        <f>IF(Timeline!CF$41=1,CF$42,0)</f>
        <v/>
      </c>
      <c r="CG44" s="263">
        <f>IF(Timeline!CG$41=1,CG$42,0)</f>
        <v/>
      </c>
      <c r="CH44" s="263">
        <f>IF(Timeline!CH$41=1,CH$42,0)</f>
        <v/>
      </c>
      <c r="CI44" s="263">
        <f>IF(Timeline!CI$41=1,CI$42,0)</f>
        <v/>
      </c>
      <c r="CJ44" s="263">
        <f>IF(Timeline!CJ$41=1,CJ$42,0)</f>
        <v/>
      </c>
      <c r="CK44" s="263">
        <f>IF(Timeline!CK$41=1,CK$42,0)</f>
        <v/>
      </c>
      <c r="CL44" s="263">
        <f>IF(Timeline!CL$41=1,CL$42,0)</f>
        <v/>
      </c>
      <c r="CM44" s="263">
        <f>IF(Timeline!CM$41=1,CM$42,0)</f>
        <v/>
      </c>
      <c r="CN44" s="263">
        <f>IF(Timeline!CN$41=1,CN$42,0)</f>
        <v/>
      </c>
      <c r="CO44" s="263">
        <f>IF(Timeline!CO$41=1,CO$42,0)</f>
        <v/>
      </c>
      <c r="CP44" s="263">
        <f>IF(Timeline!CP$41=1,CP$42,0)</f>
        <v/>
      </c>
      <c r="CQ44" s="263">
        <f>IF(Timeline!CQ$41=1,CQ$42,0)</f>
        <v/>
      </c>
      <c r="CR44" s="263">
        <f>IF(Timeline!CR$41=1,CR$42,0)</f>
        <v/>
      </c>
      <c r="CS44" s="263">
        <f>IF(Timeline!CS$41=1,CS$42,0)</f>
        <v/>
      </c>
      <c r="CT44" s="263">
        <f>IF(Timeline!CT$41=1,CT$42,0)</f>
        <v/>
      </c>
      <c r="CU44" s="263">
        <f>IF(Timeline!CU$41=1,CU$42,0)</f>
        <v/>
      </c>
      <c r="CV44" s="263">
        <f>IF(Timeline!CV$41=1,CV$42,0)</f>
        <v/>
      </c>
      <c r="CW44" s="263">
        <f>IF(Timeline!CW$41=1,CW$42,0)</f>
        <v/>
      </c>
      <c r="CX44" s="263">
        <f>IF(Timeline!CX$41=1,CX$42,0)</f>
        <v/>
      </c>
      <c r="CY44" s="263">
        <f>IF(Timeline!CY$41=1,CY$42,0)</f>
        <v/>
      </c>
      <c r="CZ44" s="263">
        <f>IF(Timeline!CZ$41=1,CZ$42,0)</f>
        <v/>
      </c>
      <c r="DA44" s="263">
        <f>IF(Timeline!DA$41=1,DA$42,0)</f>
        <v/>
      </c>
      <c r="DB44" s="263">
        <f>IF(Timeline!DB$41=1,DB$42,0)</f>
        <v/>
      </c>
      <c r="DC44" s="263">
        <f>IF(Timeline!DC$41=1,DC$42,0)</f>
        <v/>
      </c>
      <c r="DD44" s="263">
        <f>IF(Timeline!DD$41=1,DD$42,0)</f>
        <v/>
      </c>
      <c r="DE44" s="263">
        <f>IF(Timeline!DE$41=1,DE$42,0)</f>
        <v/>
      </c>
      <c r="DF44" s="263">
        <f>IF(Timeline!DF$41=1,DF$42,0)</f>
        <v/>
      </c>
      <c r="DG44" s="263">
        <f>IF(Timeline!DG$41=1,DG$42,0)</f>
        <v/>
      </c>
      <c r="DH44" s="263">
        <f>IF(Timeline!DH$41=1,DH$42,0)</f>
        <v/>
      </c>
      <c r="DI44" s="263">
        <f>IF(Timeline!DI$41=1,DI$42,0)</f>
        <v/>
      </c>
      <c r="DJ44" s="263">
        <f>IF(Timeline!DJ$41=1,DJ$42,0)</f>
        <v/>
      </c>
      <c r="DK44" s="263">
        <f>IF(Timeline!DK$41=1,DK$42,0)</f>
        <v/>
      </c>
      <c r="DL44" s="263">
        <f>IF(Timeline!DL$41=1,DL$42,0)</f>
        <v/>
      </c>
      <c r="DM44" s="263">
        <f>IF(Timeline!DM$41=1,DM$42,0)</f>
        <v/>
      </c>
      <c r="DN44" s="263">
        <f>IF(Timeline!DN$41=1,DN$42,0)</f>
        <v/>
      </c>
      <c r="DO44" s="263">
        <f>IF(Timeline!DO$41=1,DO$42,0)</f>
        <v/>
      </c>
      <c r="DP44" s="263">
        <f>IF(Timeline!DP$41=1,DP$42,0)</f>
        <v/>
      </c>
      <c r="DQ44" s="263">
        <f>IF(Timeline!DQ$41=1,DQ$42,0)</f>
        <v/>
      </c>
      <c r="DR44" s="263">
        <f>IF(Timeline!DR$41=1,DR$42,0)</f>
        <v/>
      </c>
      <c r="DS44" s="263">
        <f>IF(Timeline!DS$41=1,DS$42,0)</f>
        <v/>
      </c>
      <c r="DT44" s="263">
        <f>IF(Timeline!DT$41=1,DT$42,0)</f>
        <v/>
      </c>
      <c r="DU44" s="263">
        <f>IF(Timeline!DU$41=1,DU$42,0)</f>
        <v/>
      </c>
      <c r="DV44" s="263">
        <f>IF(Timeline!DV$41=1,DV$42,0)</f>
        <v/>
      </c>
      <c r="DW44" s="263">
        <f>IF(Timeline!DW$41=1,DW$42,0)</f>
        <v/>
      </c>
      <c r="DX44" s="263">
        <f>IF(Timeline!DX$41=1,DX$42,0)</f>
        <v/>
      </c>
      <c r="DY44" s="263">
        <f>IF(Timeline!DY$41=1,DY$42,0)</f>
        <v/>
      </c>
      <c r="DZ44" s="263">
        <f>IF(Timeline!DZ$41=1,DZ$42,0)</f>
        <v/>
      </c>
      <c r="EA44" s="263">
        <f>IF(Timeline!EA$41=1,EA$42,0)</f>
        <v/>
      </c>
      <c r="EB44" s="263">
        <f>IF(Timeline!EB$41=1,EB$42,0)</f>
        <v/>
      </c>
      <c r="EC44" s="263">
        <f>IF(Timeline!EC$41=1,EC$42,0)</f>
        <v/>
      </c>
      <c r="ED44" s="263">
        <f>IF(Timeline!ED$41=1,ED$42,0)</f>
        <v/>
      </c>
      <c r="EE44" s="263">
        <f>IF(Timeline!EE$41=1,EE$42,0)</f>
        <v/>
      </c>
      <c r="EF44" s="263">
        <f>IF(Timeline!EF$41=1,EF$42,0)</f>
        <v/>
      </c>
      <c r="EG44" s="263">
        <f>IF(Timeline!EG$41=1,EG$42,0)</f>
        <v/>
      </c>
      <c r="EH44" s="263">
        <f>IF(Timeline!EH$41=1,EH$42,0)</f>
        <v/>
      </c>
      <c r="EI44" s="263">
        <f>IF(Timeline!EI$41=1,EI$42,0)</f>
        <v/>
      </c>
      <c r="EJ44" s="263">
        <f>IF(Timeline!EJ$41=1,EJ$42,0)</f>
        <v/>
      </c>
      <c r="EK44" s="263">
        <f>IF(Timeline!EK$41=1,EK$42,0)</f>
        <v/>
      </c>
      <c r="EL44" s="263">
        <f>IF(Timeline!EL$41=1,EL$42,0)</f>
        <v/>
      </c>
      <c r="EM44" s="263">
        <f>IF(Timeline!EM$41=1,EM$42,0)</f>
        <v/>
      </c>
      <c r="EN44" s="263">
        <f>IF(Timeline!EN$41=1,EN$42,0)</f>
        <v/>
      </c>
      <c r="EO44" s="263">
        <f>IF(Timeline!EO$41=1,EO$42,0)</f>
        <v/>
      </c>
      <c r="EP44" s="263">
        <f>IF(Timeline!EP$41=1,EP$42,0)</f>
        <v/>
      </c>
      <c r="EQ44" s="263">
        <f>IF(Timeline!EQ$41=1,EQ$42,0)</f>
        <v/>
      </c>
      <c r="ER44" s="263">
        <f>IF(Timeline!ER$41=1,ER$42,0)</f>
        <v/>
      </c>
      <c r="ES44" s="263">
        <f>IF(Timeline!ES$41=1,ES$42,0)</f>
        <v/>
      </c>
      <c r="ET44" s="263">
        <f>IF(Timeline!ET$41=1,ET$42,0)</f>
        <v/>
      </c>
      <c r="EU44" s="263">
        <f>IF(Timeline!EU$41=1,EU$42,0)</f>
        <v/>
      </c>
      <c r="EV44" s="263">
        <f>IF(Timeline!EV$41=1,EV$42,0)</f>
        <v/>
      </c>
      <c r="EW44" s="263">
        <f>IF(Timeline!EW$41=1,EW$42,0)</f>
        <v/>
      </c>
      <c r="EX44" s="263">
        <f>IF(Timeline!EX$41=1,EX$42,0)</f>
        <v/>
      </c>
      <c r="EY44" s="263">
        <f>IF(Timeline!EY$41=1,EY$42,0)</f>
        <v/>
      </c>
      <c r="EZ44" s="263">
        <f>IF(Timeline!EZ$41=1,EZ$42,0)</f>
        <v/>
      </c>
      <c r="FA44" s="263">
        <f>IF(Timeline!FA$41=1,FA$42,0)</f>
        <v/>
      </c>
      <c r="FB44" s="263">
        <f>IF(Timeline!FB$41=1,FB$42,0)</f>
        <v/>
      </c>
      <c r="FC44" s="263">
        <f>IF(Timeline!FC$41=1,FC$42,0)</f>
        <v/>
      </c>
      <c r="FD44" s="263">
        <f>IF(Timeline!FD$41=1,FD$42,0)</f>
        <v/>
      </c>
      <c r="FE44" s="263">
        <f>IF(Timeline!FE$41=1,FE$42,0)</f>
        <v/>
      </c>
      <c r="FF44" s="263">
        <f>IF(Timeline!FF$41=1,FF$42,0)</f>
        <v/>
      </c>
      <c r="FG44" s="263">
        <f>IF(Timeline!FG$41=1,FG$42,0)</f>
        <v/>
      </c>
      <c r="FH44" s="263">
        <f>IF(Timeline!FH$41=1,FH$42,0)</f>
        <v/>
      </c>
      <c r="FI44" s="263">
        <f>IF(Timeline!FI$41=1,FI$42,0)</f>
        <v/>
      </c>
      <c r="FJ44" s="263">
        <f>IF(Timeline!FJ$41=1,FJ$42,0)</f>
        <v/>
      </c>
      <c r="FK44" s="263">
        <f>IF(Timeline!FK$41=1,FK$42,0)</f>
        <v/>
      </c>
      <c r="FL44" s="263">
        <f>IF(Timeline!FL$41=1,FL$42,0)</f>
        <v/>
      </c>
      <c r="FM44" s="263">
        <f>IF(Timeline!FM$41=1,FM$42,0)</f>
        <v/>
      </c>
      <c r="FN44" s="263">
        <f>IF(Timeline!FN$41=1,FN$42,0)</f>
        <v/>
      </c>
      <c r="FO44" s="263">
        <f>IF(Timeline!FO$41=1,FO$42,0)</f>
        <v/>
      </c>
      <c r="FP44" s="263">
        <f>IF(Timeline!FP$41=1,FP$42,0)</f>
        <v/>
      </c>
      <c r="FQ44" s="263">
        <f>IF(Timeline!FQ$41=1,FQ$42,0)</f>
        <v/>
      </c>
      <c r="FR44" s="263">
        <f>IF(Timeline!FR$41=1,FR$42,0)</f>
        <v/>
      </c>
      <c r="FS44" s="263">
        <f>IF(Timeline!FS$41=1,FS$42,0)</f>
        <v/>
      </c>
      <c r="FT44" s="263">
        <f>IF(Timeline!FT$41=1,FT$42,0)</f>
        <v/>
      </c>
      <c r="FU44" s="263">
        <f>IF(Timeline!FU$41=1,FU$42,0)</f>
        <v/>
      </c>
      <c r="FV44" s="263">
        <f>IF(Timeline!FV$41=1,FV$42,0)</f>
        <v/>
      </c>
      <c r="FW44" s="263">
        <f>IF(Timeline!FW$41=1,FW$42,0)</f>
        <v/>
      </c>
      <c r="FX44" s="263">
        <f>IF(Timeline!FX$41=1,FX$42,0)</f>
        <v/>
      </c>
      <c r="FY44" s="263">
        <f>IF(Timeline!FY$41=1,FY$42,0)</f>
        <v/>
      </c>
      <c r="FZ44" s="263">
        <f>IF(Timeline!FZ$41=1,FZ$42,0)</f>
        <v/>
      </c>
      <c r="GA44" s="263">
        <f>IF(Timeline!GA$41=1,GA$42,0)</f>
        <v/>
      </c>
      <c r="GB44" s="263">
        <f>IF(Timeline!GB$41=1,GB$42,0)</f>
        <v/>
      </c>
      <c r="GC44" s="263">
        <f>IF(Timeline!GC$41=1,GC$42,0)</f>
        <v/>
      </c>
      <c r="GD44" s="263">
        <f>IF(Timeline!GD$41=1,GD$42,0)</f>
        <v/>
      </c>
      <c r="GE44" s="263">
        <f>IF(Timeline!GE$41=1,GE$42,0)</f>
        <v/>
      </c>
      <c r="GF44" s="263">
        <f>IF(Timeline!GF$41=1,GF$42,0)</f>
        <v/>
      </c>
      <c r="GG44" s="263">
        <f>IF(Timeline!GG$41=1,GG$42,0)</f>
        <v/>
      </c>
      <c r="GH44" s="263">
        <f>IF(Timeline!GH$41=1,GH$42,0)</f>
        <v/>
      </c>
      <c r="GI44" s="263">
        <f>IF(Timeline!GI$41=1,GI$42,0)</f>
        <v/>
      </c>
      <c r="GJ44" s="263">
        <f>IF(Timeline!GJ$41=1,GJ$42,0)</f>
        <v/>
      </c>
      <c r="GK44" s="263">
        <f>IF(Timeline!GK$41=1,GK$42,0)</f>
        <v/>
      </c>
      <c r="GL44" s="263">
        <f>IF(Timeline!GL$41=1,GL$42,0)</f>
        <v/>
      </c>
      <c r="GM44" s="263">
        <f>IF(Timeline!GM$41=1,GM$42,0)</f>
        <v/>
      </c>
      <c r="GN44" s="263">
        <f>IF(Timeline!GN$41=1,GN$42,0)</f>
        <v/>
      </c>
      <c r="GO44" s="263">
        <f>IF(Timeline!GO$41=1,GO$42,0)</f>
        <v/>
      </c>
      <c r="GP44" s="263">
        <f>IF(Timeline!GP$41=1,GP$42,0)</f>
        <v/>
      </c>
      <c r="GQ44" s="263">
        <f>IF(Timeline!GQ$41=1,GQ$42,0)</f>
        <v/>
      </c>
      <c r="GR44" s="263">
        <f>IF(Timeline!GR$41=1,GR$42,0)</f>
        <v/>
      </c>
      <c r="GS44" s="263">
        <f>IF(Timeline!GS$41=1,GS$42,0)</f>
        <v/>
      </c>
      <c r="GT44" s="263">
        <f>IF(Timeline!GT$41=1,GT$42,0)</f>
        <v/>
      </c>
      <c r="GU44" s="263">
        <f>IF(Timeline!GU$41=1,GU$42,0)</f>
        <v/>
      </c>
      <c r="GV44" s="263">
        <f>IF(Timeline!GV$41=1,GV$42,0)</f>
        <v/>
      </c>
      <c r="GW44" s="263">
        <f>IF(Timeline!GW$41=1,GW$42,0)</f>
        <v/>
      </c>
      <c r="GX44" s="263">
        <f>IF(Timeline!GX$41=1,GX$42,0)</f>
        <v/>
      </c>
      <c r="GY44" s="263">
        <f>IF(Timeline!GY$41=1,GY$42,0)</f>
        <v/>
      </c>
      <c r="GZ44" s="263">
        <f>IF(Timeline!GZ$41=1,GZ$42,0)</f>
        <v/>
      </c>
      <c r="HA44" s="263">
        <f>IF(Timeline!HA$41=1,HA$42,0)</f>
        <v/>
      </c>
      <c r="HB44" s="263">
        <f>IF(Timeline!HB$41=1,HB$42,0)</f>
        <v/>
      </c>
      <c r="HC44" s="263">
        <f>IF(Timeline!HC$41=1,HC$42,0)</f>
        <v/>
      </c>
      <c r="HD44" s="263">
        <f>IF(Timeline!HD$41=1,HD$42,0)</f>
        <v/>
      </c>
      <c r="HE44" s="263">
        <f>IF(Timeline!HE$41=1,HE$42,0)</f>
        <v/>
      </c>
      <c r="HF44" s="263">
        <f>IF(Timeline!HF$41=1,HF$42,0)</f>
        <v/>
      </c>
      <c r="HG44" s="263">
        <f>IF(Timeline!HG$41=1,HG$42,0)</f>
        <v/>
      </c>
      <c r="HH44" s="263">
        <f>IF(Timeline!HH$41=1,HH$42,0)</f>
        <v/>
      </c>
      <c r="HI44" s="263">
        <f>IF(Timeline!HI$41=1,HI$42,0)</f>
        <v/>
      </c>
      <c r="HJ44" s="263">
        <f>IF(Timeline!HJ$41=1,HJ$42,0)</f>
        <v/>
      </c>
      <c r="HK44" s="263">
        <f>IF(Timeline!HK$41=1,HK$42,0)</f>
        <v/>
      </c>
      <c r="HL44" s="263">
        <f>IF(Timeline!HL$41=1,HL$42,0)</f>
        <v/>
      </c>
      <c r="HM44" s="263">
        <f>IF(Timeline!HM$41=1,HM$42,0)</f>
        <v/>
      </c>
      <c r="HN44" s="263">
        <f>IF(Timeline!HN$41=1,HN$42,0)</f>
        <v/>
      </c>
      <c r="HO44" s="263">
        <f>IF(Timeline!HO$41=1,HO$42,0)</f>
        <v/>
      </c>
      <c r="HP44" s="263">
        <f>IF(Timeline!HP$41=1,HP$42,0)</f>
        <v/>
      </c>
      <c r="HQ44" s="263">
        <f>IF(Timeline!HQ$41=1,HQ$42,0)</f>
        <v/>
      </c>
      <c r="HR44" s="263">
        <f>IF(Timeline!HR$41=1,HR$42,0)</f>
        <v/>
      </c>
      <c r="HS44" s="263">
        <f>IF(Timeline!HS$41=1,HS$42,0)</f>
        <v/>
      </c>
      <c r="HT44" s="263">
        <f>IF(Timeline!HT$41=1,HT$42,0)</f>
        <v/>
      </c>
      <c r="HU44" s="263">
        <f>IF(Timeline!HU$41=1,HU$42,0)</f>
        <v/>
      </c>
      <c r="HV44" s="263">
        <f>IF(Timeline!HV$41=1,HV$42,0)</f>
        <v/>
      </c>
      <c r="HW44" s="263">
        <f>IF(Timeline!HW$41=1,HW$42,0)</f>
        <v/>
      </c>
      <c r="HX44" s="263">
        <f>IF(Timeline!HX$41=1,HX$42,0)</f>
        <v/>
      </c>
      <c r="HY44" s="263">
        <f>IF(Timeline!HY$41=1,HY$42,0)</f>
        <v/>
      </c>
      <c r="HZ44" s="263">
        <f>IF(Timeline!HZ$41=1,HZ$42,0)</f>
        <v/>
      </c>
      <c r="IA44" s="263">
        <f>IF(Timeline!IA$41=1,IA$42,0)</f>
        <v/>
      </c>
      <c r="IB44" s="263">
        <f>IF(Timeline!IB$41=1,IB$42,0)</f>
        <v/>
      </c>
      <c r="IC44" s="263">
        <f>IF(Timeline!IC$41=1,IC$42,0)</f>
        <v/>
      </c>
      <c r="ID44" s="263">
        <f>IF(Timeline!ID$41=1,ID$42,0)</f>
        <v/>
      </c>
      <c r="IE44" s="263">
        <f>IF(Timeline!IE$41=1,IE$42,0)</f>
        <v/>
      </c>
      <c r="IF44" s="263">
        <f>IF(Timeline!IF$41=1,IF$42,0)</f>
        <v/>
      </c>
      <c r="IG44" s="263">
        <f>IF(Timeline!IG$41=1,IG$42,0)</f>
        <v/>
      </c>
      <c r="IH44" s="263">
        <f>IF(Timeline!IH$41=1,IH$42,0)</f>
        <v/>
      </c>
      <c r="II44" s="263">
        <f>IF(Timeline!II$41=1,II$42,0)</f>
        <v/>
      </c>
      <c r="IJ44" s="263">
        <f>IF(Timeline!IJ$41=1,IJ$42,0)</f>
        <v/>
      </c>
      <c r="IK44" s="263">
        <f>IF(Timeline!IK$41=1,IK$42,0)</f>
        <v/>
      </c>
      <c r="IL44" s="263">
        <f>IF(Timeline!IL$41=1,IL$42,0)</f>
        <v/>
      </c>
      <c r="IM44" s="263">
        <f>IF(Timeline!IM$41=1,IM$42,0)</f>
        <v/>
      </c>
      <c r="IN44" s="263">
        <f>IF(Timeline!IN$41=1,IN$42,0)</f>
        <v/>
      </c>
      <c r="IO44" s="263">
        <f>IF(Timeline!IO$41=1,IO$42,0)</f>
        <v/>
      </c>
      <c r="IP44" s="263">
        <f>IF(Timeline!IP$41=1,IP$42,0)</f>
        <v/>
      </c>
      <c r="IQ44" s="263">
        <f>IF(Timeline!IQ$41=1,IQ$42,0)</f>
        <v/>
      </c>
      <c r="IR44" s="263">
        <f>IF(Timeline!IR$41=1,IR$42,0)</f>
        <v/>
      </c>
      <c r="IS44" s="263">
        <f>IF(Timeline!IS$41=1,IS$42,0)</f>
        <v/>
      </c>
      <c r="IT44" s="263">
        <f>IF(Timeline!IT$41=1,IT$42,0)</f>
        <v/>
      </c>
      <c r="IU44" s="263">
        <f>IF(Timeline!IU$41=1,IU$42,0)</f>
        <v/>
      </c>
      <c r="IV44" s="263">
        <f>IF(Timeline!IV$41=1,IV$42,0)</f>
        <v/>
      </c>
      <c r="IW44" s="263">
        <f>IF(Timeline!IW$41=1,IW$42,0)</f>
        <v/>
      </c>
      <c r="IX44" s="263">
        <f>IF(Timeline!IX$41=1,IX$42,0)</f>
        <v/>
      </c>
      <c r="IY44" s="263">
        <f>IF(Timeline!IY$41=1,IY$42,0)</f>
        <v/>
      </c>
      <c r="IZ44" s="263">
        <f>IF(Timeline!IZ$41=1,IZ$42,0)</f>
        <v/>
      </c>
      <c r="JA44" s="263">
        <f>IF(Timeline!JA$41=1,JA$42,0)</f>
        <v/>
      </c>
      <c r="JB44" s="263">
        <f>IF(Timeline!JB$41=1,JB$42,0)</f>
        <v/>
      </c>
      <c r="JC44" s="263">
        <f>IF(Timeline!JC$41=1,JC$42,0)</f>
        <v/>
      </c>
      <c r="JD44" s="263">
        <f>IF(Timeline!JD$41=1,JD$42,0)</f>
        <v/>
      </c>
      <c r="JE44" s="263">
        <f>IF(Timeline!JE$41=1,JE$42,0)</f>
        <v/>
      </c>
      <c r="JF44" s="263">
        <f>IF(Timeline!JF$41=1,JF$42,0)</f>
        <v/>
      </c>
      <c r="JG44" s="263">
        <f>IF(Timeline!JG$41=1,JG$42,0)</f>
        <v/>
      </c>
      <c r="JH44" s="263">
        <f>IF(Timeline!JH$41=1,JH$42,0)</f>
        <v/>
      </c>
      <c r="JI44" s="263">
        <f>IF(Timeline!JI$41=1,JI$42,0)</f>
        <v/>
      </c>
      <c r="JJ44" s="263">
        <f>IF(Timeline!JJ$41=1,JJ$42,0)</f>
        <v/>
      </c>
      <c r="JK44" s="263">
        <f>IF(Timeline!JK$41=1,JK$42,0)</f>
        <v/>
      </c>
      <c r="JL44" s="263">
        <f>IF(Timeline!JL$41=1,JL$42,0)</f>
        <v/>
      </c>
      <c r="JM44" s="263">
        <f>IF(Timeline!JM$41=1,JM$42,0)</f>
        <v/>
      </c>
      <c r="JN44" s="263">
        <f>IF(Timeline!JN$41=1,JN$42,0)</f>
        <v/>
      </c>
      <c r="JO44" s="263">
        <f>IF(Timeline!JO$41=1,JO$42,0)</f>
        <v/>
      </c>
      <c r="JP44" s="263">
        <f>IF(Timeline!JP$41=1,JP$42,0)</f>
        <v/>
      </c>
      <c r="JQ44" s="263">
        <f>IF(Timeline!JQ$41=1,JQ$42,0)</f>
        <v/>
      </c>
      <c r="JR44" s="263">
        <f>IF(Timeline!JR$41=1,JR$42,0)</f>
        <v/>
      </c>
      <c r="JS44" s="263">
        <f>IF(Timeline!JS$41=1,JS$42,0)</f>
        <v/>
      </c>
      <c r="JT44" s="263">
        <f>IF(Timeline!JT$41=1,JT$42,0)</f>
        <v/>
      </c>
      <c r="JU44" s="263">
        <f>IF(Timeline!JU$41=1,JU$42,0)</f>
        <v/>
      </c>
      <c r="JV44" s="263">
        <f>IF(Timeline!JV$41=1,JV$42,0)</f>
        <v/>
      </c>
      <c r="JW44" s="263">
        <f>IF(Timeline!JW$41=1,JW$42,0)</f>
        <v/>
      </c>
      <c r="JX44" s="263">
        <f>IF(Timeline!JX$41=1,JX$42,0)</f>
        <v/>
      </c>
      <c r="JY44" s="263">
        <f>IF(Timeline!JY$41=1,JY$42,0)</f>
        <v/>
      </c>
      <c r="JZ44" s="263">
        <f>IF(Timeline!JZ$41=1,JZ$42,0)</f>
        <v/>
      </c>
      <c r="KA44" s="263">
        <f>IF(Timeline!KA$41=1,KA$42,0)</f>
        <v/>
      </c>
      <c r="KB44" s="263">
        <f>IF(Timeline!KB$41=1,KB$42,0)</f>
        <v/>
      </c>
      <c r="KC44" s="263">
        <f>IF(Timeline!KC$41=1,KC$42,0)</f>
        <v/>
      </c>
      <c r="KD44" s="263">
        <f>IF(Timeline!KD$41=1,KD$42,0)</f>
        <v/>
      </c>
      <c r="KE44" s="263">
        <f>IF(Timeline!KE$41=1,KE$42,0)</f>
        <v/>
      </c>
      <c r="KF44" s="263">
        <f>IF(Timeline!KF$41=1,KF$42,0)</f>
        <v/>
      </c>
      <c r="KG44" s="263">
        <f>IF(Timeline!KG$41=1,KG$42,0)</f>
        <v/>
      </c>
      <c r="KH44" s="263">
        <f>IF(Timeline!KH$41=1,KH$42,0)</f>
        <v/>
      </c>
      <c r="KI44" s="263">
        <f>IF(Timeline!KI$41=1,KI$42,0)</f>
        <v/>
      </c>
      <c r="KJ44" s="263">
        <f>IF(Timeline!KJ$41=1,KJ$42,0)</f>
        <v/>
      </c>
      <c r="KK44" s="263">
        <f>IF(Timeline!KK$41=1,KK$42,0)</f>
        <v/>
      </c>
      <c r="KL44" s="263">
        <f>IF(Timeline!KL$41=1,KL$42,0)</f>
        <v/>
      </c>
      <c r="KM44" s="263">
        <f>IF(Timeline!KM$41=1,KM$42,0)</f>
        <v/>
      </c>
      <c r="KN44" s="263">
        <f>IF(Timeline!KN$41=1,KN$42,0)</f>
        <v/>
      </c>
      <c r="KO44" s="263">
        <f>IF(Timeline!KO$41=1,KO$42,0)</f>
        <v/>
      </c>
      <c r="KP44" s="263">
        <f>IF(Timeline!KP$41=1,KP$42,0)</f>
        <v/>
      </c>
      <c r="KQ44" s="263">
        <f>IF(Timeline!KQ$41=1,KQ$42,0)</f>
        <v/>
      </c>
      <c r="KR44" s="263">
        <f>IF(Timeline!KR$41=1,KR$42,0)</f>
        <v/>
      </c>
      <c r="KS44" s="263">
        <f>IF(Timeline!KS$41=1,KS$42,0)</f>
        <v/>
      </c>
      <c r="KT44" s="263">
        <f>IF(Timeline!KT$41=1,KT$42,0)</f>
        <v/>
      </c>
      <c r="KU44" s="263">
        <f>IF(Timeline!KU$41=1,KU$42,0)</f>
        <v/>
      </c>
      <c r="KV44" s="263">
        <f>IF(Timeline!KV$41=1,KV$42,0)</f>
        <v/>
      </c>
      <c r="KW44" s="263">
        <f>IF(Timeline!KW$41=1,KW$42,0)</f>
        <v/>
      </c>
      <c r="KX44" s="263">
        <f>IF(Timeline!KX$41=1,KX$42,0)</f>
        <v/>
      </c>
      <c r="KY44" s="263">
        <f>IF(Timeline!KY$41=1,KY$42,0)</f>
        <v/>
      </c>
      <c r="KZ44" s="263">
        <f>IF(Timeline!KZ$41=1,KZ$42,0)</f>
        <v/>
      </c>
      <c r="LA44" s="263">
        <f>IF(Timeline!LA$41=1,LA$42,0)</f>
        <v/>
      </c>
      <c r="LB44" s="263">
        <f>IF(Timeline!LB$41=1,LB$42,0)</f>
        <v/>
      </c>
      <c r="LC44" s="263">
        <f>IF(Timeline!LC$41=1,LC$42,0)</f>
        <v/>
      </c>
      <c r="LD44" s="263">
        <f>IF(Timeline!LD$41=1,LD$42,0)</f>
        <v/>
      </c>
      <c r="LE44" s="263">
        <f>IF(Timeline!LE$41=1,LE$42,0)</f>
        <v/>
      </c>
      <c r="LF44" s="263">
        <f>IF(Timeline!LF$41=1,LF$42,0)</f>
        <v/>
      </c>
      <c r="LG44" s="263">
        <f>IF(Timeline!LG$41=1,LG$42,0)</f>
        <v/>
      </c>
      <c r="LH44" s="263">
        <f>IF(Timeline!LH$41=1,LH$42,0)</f>
        <v/>
      </c>
      <c r="LI44" s="263">
        <f>IF(Timeline!LI$41=1,LI$42,0)</f>
        <v/>
      </c>
      <c r="LJ44" s="263">
        <f>IF(Timeline!LJ$41=1,LJ$42,0)</f>
        <v/>
      </c>
      <c r="LK44" s="263">
        <f>IF(Timeline!LK$41=1,LK$42,0)</f>
        <v/>
      </c>
      <c r="LL44" s="263">
        <f>IF(Timeline!LL$41=1,LL$42,0)</f>
        <v/>
      </c>
      <c r="LM44" s="263">
        <f>IF(Timeline!LM$41=1,LM$42,0)</f>
        <v/>
      </c>
      <c r="LN44" s="263">
        <f>IF(Timeline!LN$41=1,LN$42,0)</f>
        <v/>
      </c>
      <c r="LO44" s="263">
        <f>IF(Timeline!LO$41=1,LO$42,0)</f>
        <v/>
      </c>
      <c r="LP44" s="263">
        <f>IF(Timeline!LP$41=1,LP$42,0)</f>
        <v/>
      </c>
      <c r="LQ44" s="263">
        <f>IF(Timeline!LQ$41=1,LQ$42,0)</f>
        <v/>
      </c>
      <c r="LR44" s="263">
        <f>IF(Timeline!LR$41=1,LR$42,0)</f>
        <v/>
      </c>
      <c r="LS44" s="263">
        <f>IF(Timeline!LS$41=1,LS$42,0)</f>
        <v/>
      </c>
      <c r="LT44" s="263">
        <f>IF(Timeline!LT$41=1,LT$42,0)</f>
        <v/>
      </c>
      <c r="LU44" s="263">
        <f>IF(Timeline!LU$41=1,LU$42,0)</f>
        <v/>
      </c>
      <c r="LV44" s="263">
        <f>IF(Timeline!LV$41=1,LV$42,0)</f>
        <v/>
      </c>
      <c r="LW44" s="263">
        <f>IF(Timeline!LW$41=1,LW$42,0)</f>
        <v/>
      </c>
      <c r="LX44" s="263">
        <f>IF(Timeline!LX$41=1,LX$42,0)</f>
        <v/>
      </c>
      <c r="LY44" s="263">
        <f>IF(Timeline!LY$41=1,LY$42,0)</f>
        <v/>
      </c>
      <c r="LZ44" s="263">
        <f>IF(Timeline!LZ$41=1,LZ$42,0)</f>
        <v/>
      </c>
      <c r="MA44" s="263">
        <f>IF(Timeline!MA$41=1,MA$42,0)</f>
        <v/>
      </c>
      <c r="MB44" s="263">
        <f>IF(Timeline!MB$41=1,MB$42,0)</f>
        <v/>
      </c>
      <c r="MC44" s="263">
        <f>IF(Timeline!MC$41=1,MC$42,0)</f>
        <v/>
      </c>
      <c r="MD44" s="263">
        <f>IF(Timeline!MD$41=1,MD$42,0)</f>
        <v/>
      </c>
      <c r="ME44" s="263">
        <f>IF(Timeline!ME$41=1,ME$42,0)</f>
        <v/>
      </c>
      <c r="MF44" s="263">
        <f>IF(Timeline!MF$41=1,MF$42,0)</f>
        <v/>
      </c>
      <c r="MG44" s="263">
        <f>IF(Timeline!MG$41=1,MG$42,0)</f>
        <v/>
      </c>
      <c r="MH44" s="263">
        <f>IF(Timeline!MH$41=1,MH$42,0)</f>
        <v/>
      </c>
      <c r="MI44" s="263">
        <f>IF(Timeline!MI$41=1,MI$42,0)</f>
        <v/>
      </c>
      <c r="MJ44" s="263">
        <f>IF(Timeline!MJ$41=1,MJ$42,0)</f>
        <v/>
      </c>
      <c r="MK44" s="263">
        <f>IF(Timeline!MK$41=1,MK$42,0)</f>
        <v/>
      </c>
      <c r="ML44" s="263">
        <f>IF(Timeline!ML$41=1,ML$42,0)</f>
        <v/>
      </c>
      <c r="MM44" s="263">
        <f>IF(Timeline!MM$41=1,MM$42,0)</f>
        <v/>
      </c>
      <c r="MN44" s="263">
        <f>IF(Timeline!MN$41=1,MN$42,0)</f>
        <v/>
      </c>
      <c r="MO44" s="263">
        <f>IF(Timeline!MO$41=1,MO$42,0)</f>
        <v/>
      </c>
      <c r="MP44" s="263">
        <f>IF(Timeline!MP$41=1,MP$42,0)</f>
        <v/>
      </c>
      <c r="MQ44" s="263">
        <f>IF(Timeline!MQ$41=1,MQ$42,0)</f>
        <v/>
      </c>
      <c r="MR44" s="263">
        <f>IF(Timeline!MR$41=1,MR$42,0)</f>
        <v/>
      </c>
      <c r="MS44" s="263">
        <f>IF(Timeline!MS$41=1,MS$42,0)</f>
        <v/>
      </c>
      <c r="MT44" s="263">
        <f>IF(Timeline!MT$41=1,MT$42,0)</f>
        <v/>
      </c>
      <c r="MU44" s="263">
        <f>IF(Timeline!MU$41=1,MU$42,0)</f>
        <v/>
      </c>
      <c r="MV44" s="263">
        <f>IF(Timeline!MV$41=1,MV$42,0)</f>
        <v/>
      </c>
      <c r="MW44" s="263">
        <f>IF(Timeline!MW$41=1,MW$42,0)</f>
        <v/>
      </c>
      <c r="MX44" s="263">
        <f>IF(Timeline!MX$41=1,MX$42,0)</f>
        <v/>
      </c>
      <c r="MY44" s="263">
        <f>IF(Timeline!MY$41=1,MY$42,0)</f>
        <v/>
      </c>
      <c r="MZ44" s="263">
        <f>IF(Timeline!MZ$41=1,MZ$42,0)</f>
        <v/>
      </c>
      <c r="NA44" s="263">
        <f>IF(Timeline!NA$41=1,NA$42,0)</f>
        <v/>
      </c>
      <c r="NB44" s="263">
        <f>IF(Timeline!NB$41=1,NB$42,0)</f>
        <v/>
      </c>
      <c r="NC44" s="263">
        <f>IF(Timeline!NC$41=1,NC$42,0)</f>
        <v/>
      </c>
      <c r="ND44" s="263">
        <f>IF(Timeline!ND$41=1,ND$42,0)</f>
        <v/>
      </c>
      <c r="NE44" s="263">
        <f>IF(Timeline!NE$41=1,NE$42,0)</f>
        <v/>
      </c>
      <c r="NF44" s="263">
        <f>IF(Timeline!NF$41=1,NF$42,0)</f>
        <v/>
      </c>
      <c r="NG44" s="263">
        <f>IF(Timeline!NG$41=1,NG$42,0)</f>
        <v/>
      </c>
      <c r="NH44" s="263">
        <f>IF(Timeline!NH$41=1,NH$42,0)</f>
        <v/>
      </c>
      <c r="NI44" s="263">
        <f>IF(Timeline!NI$41=1,NI$42,0)</f>
        <v/>
      </c>
      <c r="NJ44" s="263">
        <f>IF(Timeline!NJ$41=1,NJ$42,0)</f>
        <v/>
      </c>
      <c r="NK44" s="263">
        <f>IF(Timeline!NK$41=1,NK$42,0)</f>
        <v/>
      </c>
      <c r="NL44" s="254">
        <f>IF(Timeline!NL$41=1,NL$42,0)</f>
        <v/>
      </c>
    </row>
    <row r="46">
      <c r="B46" s="14" t="inlineStr">
        <is>
          <t>Operating Aggregates &amp; Reserve</t>
        </is>
      </c>
      <c r="C46" s="100" t="n"/>
      <c r="D46" s="100" t="n"/>
    </row>
    <row r="47">
      <c r="B47" s="84" t="inlineStr">
        <is>
          <t>Stabilized NOI before Tax (fwd 12mo)</t>
        </is>
      </c>
      <c r="C47" s="262">
        <f>SUM(INDEX(E35:NL35,StabMonth):INDEX(E35:NL35,StabMonth+11))</f>
        <v/>
      </c>
    </row>
    <row r="48">
      <c r="B48" s="84" t="inlineStr">
        <is>
          <t>Stabilized NOI (fwd 12mo)</t>
        </is>
      </c>
      <c r="C48" s="262">
        <f>SUM(INDEX(E38:NL38,StabMonth):INDEX(E38:NL38,StabMonth+11))</f>
        <v/>
      </c>
    </row>
    <row r="49">
      <c r="B49" s="84" t="inlineStr">
        <is>
          <t>Year-1 NOI (fwd 12mo from delivery)</t>
        </is>
      </c>
      <c r="C49" s="262">
        <f>SUM(INDEX(E38:NL38,DeliverStart):INDEX(E38:NL38,DeliverStart+11))</f>
        <v/>
      </c>
    </row>
    <row r="50">
      <c r="B50" s="84" t="inlineStr">
        <is>
          <t>Peak Cumulative Lease-Up Shortfall</t>
        </is>
      </c>
      <c r="C50" s="262">
        <f>MIN(0,MIN(INDEX(E43:NL43,DeliverStart):INDEX(E43:NL43,StabMonth)))</f>
        <v/>
      </c>
    </row>
    <row r="51">
      <c r="B51" s="84" t="inlineStr">
        <is>
          <t>Operating Reserve (model-calculated)</t>
        </is>
      </c>
      <c r="C51" s="262">
        <f>MAX(MAX(0,-PeakShort+(1-LeaseUpIncomeOffset)*SUM(INDEX(E$23:NL$23,DeliverStart):INDEX(E$23:NL$23,MAX(DeliverStart,StabMonth-1))))*OpReserveCoverage,OpReserveMinMonths*INDEX(E$37:NL$37,StabMonth))</f>
        <v/>
      </c>
    </row>
    <row r="53">
      <c r="B53" s="3" t="inlineStr">
        <is>
          <t>Property Tax Engine</t>
        </is>
      </c>
      <c r="C53" s="155" t="n"/>
      <c r="D53" s="155" t="n"/>
    </row>
    <row r="54">
      <c r="B54" s="84" t="inlineStr">
        <is>
          <t>Effective Tax Rate on Value (operating)</t>
        </is>
      </c>
      <c r="C54" s="269">
        <f>TaxLevyPct*TaxAssessmentPct*TaxValueAdjFactor</f>
        <v/>
      </c>
    </row>
    <row r="55">
      <c r="B55" s="84" t="inlineStr">
        <is>
          <t>Disposition-Period Tax Rate on Value</t>
        </is>
      </c>
      <c r="C55" s="269">
        <f>IF(DispoTaxRatePct&gt;0,DispoTaxRatePct,EffTaxRateOnValue)</f>
        <v/>
      </c>
    </row>
    <row r="56">
      <c r="B56" s="84" t="inlineStr">
        <is>
          <t>Stabilized Assessed Value</t>
        </is>
      </c>
      <c r="C56" s="227">
        <f>IF((EntryCapRate+EffTaxRateOnValue)=0,0,StabNOIbt/(EntryCapRate+EffTaxRateOnValue))</f>
        <v/>
      </c>
    </row>
    <row r="57">
      <c r="B57" s="84" t="inlineStr">
        <is>
          <t>Year-1 Stabilized Tax (dynamic / override)</t>
        </is>
      </c>
      <c r="C57" s="227">
        <f>IF(TaxYear1Override&gt;0,TaxYear1Override,AssessedValueStab*EffTaxRateOnValue)</f>
        <v/>
      </c>
    </row>
    <row r="58">
      <c r="B58" s="84" t="inlineStr">
        <is>
          <t>Stabilized Annual Property Tax (fwd 12mo)</t>
        </is>
      </c>
      <c r="C58" s="227">
        <f>SUM(INDEX(E36:NL36,StabMonth):INDEX(E36:NL36,StabMonth+11))</f>
        <v/>
      </c>
    </row>
    <row r="59">
      <c r="B59" s="84" t="inlineStr">
        <is>
          <t>Tax Method (1=value / 0=income)</t>
        </is>
      </c>
      <c r="C59" s="85">
        <f>TaxMethodValue</f>
        <v/>
      </c>
    </row>
    <row r="61">
      <c r="B61" s="14" t="inlineStr">
        <is>
          <t>Long-Term Operating Cash Flow (over hold)</t>
        </is>
      </c>
      <c r="C61" s="100" t="n"/>
      <c r="D61" s="100" t="n"/>
    </row>
    <row r="62">
      <c r="B62" s="84" t="inlineStr">
        <is>
          <t>Σ Operating CF before Debt (property)</t>
        </is>
      </c>
      <c r="C62" s="262">
        <f>Operating!$D$42</f>
        <v/>
      </c>
    </row>
    <row r="63">
      <c r="B63" s="84" t="inlineStr">
        <is>
          <t>Σ Unlevered Operating CF (property)</t>
        </is>
      </c>
      <c r="C63" s="262">
        <f>Operating!$D$44</f>
        <v/>
      </c>
    </row>
    <row r="64">
      <c r="B64" s="84" t="inlineStr">
        <is>
          <t>Σ NOI over horizon</t>
        </is>
      </c>
      <c r="C64" s="262">
        <f>Operating!$D$38</f>
        <v/>
      </c>
    </row>
    <row r="66">
      <c r="B66" s="3" t="inlineStr">
        <is>
          <t>Static (No-Growth) Reference NOI</t>
        </is>
      </c>
      <c r="C66" s="155" t="n"/>
      <c r="D66" s="155" t="n"/>
    </row>
    <row r="67">
      <c r="B67" s="25" t="inlineStr">
        <is>
          <t>Period →</t>
        </is>
      </c>
      <c r="D67" s="74" t="inlineStr">
        <is>
          <t>Total</t>
        </is>
      </c>
      <c r="E67" s="27" t="n">
        <v>1</v>
      </c>
      <c r="F67" s="27" t="n">
        <v>2</v>
      </c>
      <c r="G67" s="27" t="n">
        <v>3</v>
      </c>
      <c r="H67" s="27" t="n">
        <v>4</v>
      </c>
      <c r="I67" s="27" t="n">
        <v>5</v>
      </c>
      <c r="J67" s="27" t="n">
        <v>6</v>
      </c>
      <c r="K67" s="27" t="n">
        <v>7</v>
      </c>
      <c r="L67" s="27" t="n">
        <v>8</v>
      </c>
      <c r="M67" s="27" t="n">
        <v>9</v>
      </c>
      <c r="N67" s="27" t="n">
        <v>10</v>
      </c>
      <c r="O67" s="27" t="n">
        <v>11</v>
      </c>
      <c r="P67" s="27" t="n">
        <v>12</v>
      </c>
      <c r="Q67" s="27" t="n">
        <v>13</v>
      </c>
      <c r="R67" s="27" t="n">
        <v>14</v>
      </c>
      <c r="S67" s="27" t="n">
        <v>15</v>
      </c>
      <c r="T67" s="27" t="n">
        <v>16</v>
      </c>
      <c r="U67" s="27" t="n">
        <v>17</v>
      </c>
      <c r="V67" s="27" t="n">
        <v>18</v>
      </c>
      <c r="W67" s="27" t="n">
        <v>19</v>
      </c>
      <c r="X67" s="27" t="n">
        <v>20</v>
      </c>
      <c r="Y67" s="27" t="n">
        <v>21</v>
      </c>
      <c r="Z67" s="27" t="n">
        <v>22</v>
      </c>
      <c r="AA67" s="27" t="n">
        <v>23</v>
      </c>
      <c r="AB67" s="27" t="n">
        <v>24</v>
      </c>
      <c r="AC67" s="27" t="n">
        <v>25</v>
      </c>
      <c r="AD67" s="27" t="n">
        <v>26</v>
      </c>
      <c r="AE67" s="27" t="n">
        <v>27</v>
      </c>
      <c r="AF67" s="27" t="n">
        <v>28</v>
      </c>
      <c r="AG67" s="27" t="n">
        <v>29</v>
      </c>
      <c r="AH67" s="27" t="n">
        <v>30</v>
      </c>
      <c r="AI67" s="27" t="n">
        <v>31</v>
      </c>
      <c r="AJ67" s="27" t="n">
        <v>32</v>
      </c>
      <c r="AK67" s="27" t="n">
        <v>33</v>
      </c>
      <c r="AL67" s="27" t="n">
        <v>34</v>
      </c>
      <c r="AM67" s="27" t="n">
        <v>35</v>
      </c>
      <c r="AN67" s="27" t="n">
        <v>36</v>
      </c>
      <c r="AO67" s="27" t="n">
        <v>37</v>
      </c>
      <c r="AP67" s="27" t="n">
        <v>38</v>
      </c>
      <c r="AQ67" s="27" t="n">
        <v>39</v>
      </c>
      <c r="AR67" s="27" t="n">
        <v>40</v>
      </c>
      <c r="AS67" s="27" t="n">
        <v>41</v>
      </c>
      <c r="AT67" s="27" t="n">
        <v>42</v>
      </c>
      <c r="AU67" s="27" t="n">
        <v>43</v>
      </c>
      <c r="AV67" s="27" t="n">
        <v>44</v>
      </c>
      <c r="AW67" s="27" t="n">
        <v>45</v>
      </c>
      <c r="AX67" s="27" t="n">
        <v>46</v>
      </c>
      <c r="AY67" s="27" t="n">
        <v>47</v>
      </c>
      <c r="AZ67" s="27" t="n">
        <v>48</v>
      </c>
      <c r="BA67" s="27" t="n">
        <v>49</v>
      </c>
      <c r="BB67" s="27" t="n">
        <v>50</v>
      </c>
      <c r="BC67" s="27" t="n">
        <v>51</v>
      </c>
      <c r="BD67" s="27" t="n">
        <v>52</v>
      </c>
      <c r="BE67" s="27" t="n">
        <v>53</v>
      </c>
      <c r="BF67" s="27" t="n">
        <v>54</v>
      </c>
      <c r="BG67" s="27" t="n">
        <v>55</v>
      </c>
      <c r="BH67" s="27" t="n">
        <v>56</v>
      </c>
      <c r="BI67" s="27" t="n">
        <v>57</v>
      </c>
      <c r="BJ67" s="27" t="n">
        <v>58</v>
      </c>
      <c r="BK67" s="27" t="n">
        <v>59</v>
      </c>
      <c r="BL67" s="27" t="n">
        <v>60</v>
      </c>
      <c r="BM67" s="27" t="n">
        <v>61</v>
      </c>
      <c r="BN67" s="27" t="n">
        <v>62</v>
      </c>
      <c r="BO67" s="27" t="n">
        <v>63</v>
      </c>
      <c r="BP67" s="27" t="n">
        <v>64</v>
      </c>
      <c r="BQ67" s="27" t="n">
        <v>65</v>
      </c>
      <c r="BR67" s="27" t="n">
        <v>66</v>
      </c>
      <c r="BS67" s="27" t="n">
        <v>67</v>
      </c>
      <c r="BT67" s="27" t="n">
        <v>68</v>
      </c>
      <c r="BU67" s="27" t="n">
        <v>69</v>
      </c>
      <c r="BV67" s="27" t="n">
        <v>70</v>
      </c>
      <c r="BW67" s="27" t="n">
        <v>71</v>
      </c>
      <c r="BX67" s="27" t="n">
        <v>72</v>
      </c>
      <c r="BY67" s="27" t="n">
        <v>73</v>
      </c>
      <c r="BZ67" s="27" t="n">
        <v>74</v>
      </c>
      <c r="CA67" s="27" t="n">
        <v>75</v>
      </c>
      <c r="CB67" s="27" t="n">
        <v>76</v>
      </c>
      <c r="CC67" s="27" t="n">
        <v>77</v>
      </c>
      <c r="CD67" s="27" t="n">
        <v>78</v>
      </c>
      <c r="CE67" s="27" t="n">
        <v>79</v>
      </c>
      <c r="CF67" s="27" t="n">
        <v>80</v>
      </c>
      <c r="CG67" s="27" t="n">
        <v>81</v>
      </c>
      <c r="CH67" s="27" t="n">
        <v>82</v>
      </c>
      <c r="CI67" s="27" t="n">
        <v>83</v>
      </c>
      <c r="CJ67" s="27" t="n">
        <v>84</v>
      </c>
      <c r="CK67" s="27" t="n">
        <v>85</v>
      </c>
      <c r="CL67" s="27" t="n">
        <v>86</v>
      </c>
      <c r="CM67" s="27" t="n">
        <v>87</v>
      </c>
      <c r="CN67" s="27" t="n">
        <v>88</v>
      </c>
      <c r="CO67" s="27" t="n">
        <v>89</v>
      </c>
      <c r="CP67" s="27" t="n">
        <v>90</v>
      </c>
      <c r="CQ67" s="27" t="n">
        <v>91</v>
      </c>
      <c r="CR67" s="27" t="n">
        <v>92</v>
      </c>
      <c r="CS67" s="27" t="n">
        <v>93</v>
      </c>
      <c r="CT67" s="27" t="n">
        <v>94</v>
      </c>
      <c r="CU67" s="27" t="n">
        <v>95</v>
      </c>
      <c r="CV67" s="27" t="n">
        <v>96</v>
      </c>
      <c r="CW67" s="27" t="n">
        <v>97</v>
      </c>
      <c r="CX67" s="27" t="n">
        <v>98</v>
      </c>
      <c r="CY67" s="27" t="n">
        <v>99</v>
      </c>
      <c r="CZ67" s="27" t="n">
        <v>100</v>
      </c>
      <c r="DA67" s="27" t="n">
        <v>101</v>
      </c>
      <c r="DB67" s="27" t="n">
        <v>102</v>
      </c>
      <c r="DC67" s="27" t="n">
        <v>103</v>
      </c>
      <c r="DD67" s="27" t="n">
        <v>104</v>
      </c>
      <c r="DE67" s="27" t="n">
        <v>105</v>
      </c>
      <c r="DF67" s="27" t="n">
        <v>106</v>
      </c>
      <c r="DG67" s="27" t="n">
        <v>107</v>
      </c>
      <c r="DH67" s="27" t="n">
        <v>108</v>
      </c>
      <c r="DI67" s="27" t="n">
        <v>109</v>
      </c>
      <c r="DJ67" s="27" t="n">
        <v>110</v>
      </c>
      <c r="DK67" s="27" t="n">
        <v>111</v>
      </c>
      <c r="DL67" s="27" t="n">
        <v>112</v>
      </c>
      <c r="DM67" s="27" t="n">
        <v>113</v>
      </c>
      <c r="DN67" s="27" t="n">
        <v>114</v>
      </c>
      <c r="DO67" s="27" t="n">
        <v>115</v>
      </c>
      <c r="DP67" s="27" t="n">
        <v>116</v>
      </c>
      <c r="DQ67" s="27" t="n">
        <v>117</v>
      </c>
      <c r="DR67" s="27" t="n">
        <v>118</v>
      </c>
      <c r="DS67" s="27" t="n">
        <v>119</v>
      </c>
      <c r="DT67" s="27" t="n">
        <v>120</v>
      </c>
      <c r="DU67" s="27" t="n">
        <v>121</v>
      </c>
      <c r="DV67" s="27" t="n">
        <v>122</v>
      </c>
      <c r="DW67" s="27" t="n">
        <v>123</v>
      </c>
      <c r="DX67" s="27" t="n">
        <v>124</v>
      </c>
      <c r="DY67" s="27" t="n">
        <v>125</v>
      </c>
      <c r="DZ67" s="27" t="n">
        <v>126</v>
      </c>
      <c r="EA67" s="27" t="n">
        <v>127</v>
      </c>
      <c r="EB67" s="27" t="n">
        <v>128</v>
      </c>
      <c r="EC67" s="27" t="n">
        <v>129</v>
      </c>
      <c r="ED67" s="27" t="n">
        <v>130</v>
      </c>
      <c r="EE67" s="27" t="n">
        <v>131</v>
      </c>
      <c r="EF67" s="27" t="n">
        <v>132</v>
      </c>
      <c r="EG67" s="27" t="n">
        <v>133</v>
      </c>
      <c r="EH67" s="27" t="n">
        <v>134</v>
      </c>
      <c r="EI67" s="27" t="n">
        <v>135</v>
      </c>
      <c r="EJ67" s="27" t="n">
        <v>136</v>
      </c>
      <c r="EK67" s="27" t="n">
        <v>137</v>
      </c>
      <c r="EL67" s="27" t="n">
        <v>138</v>
      </c>
      <c r="EM67" s="27" t="n">
        <v>139</v>
      </c>
      <c r="EN67" s="27" t="n">
        <v>140</v>
      </c>
      <c r="EO67" s="27" t="n">
        <v>141</v>
      </c>
      <c r="EP67" s="27" t="n">
        <v>142</v>
      </c>
      <c r="EQ67" s="27" t="n">
        <v>143</v>
      </c>
      <c r="ER67" s="27" t="n">
        <v>144</v>
      </c>
      <c r="ES67" s="27" t="n">
        <v>145</v>
      </c>
      <c r="ET67" s="27" t="n">
        <v>146</v>
      </c>
      <c r="EU67" s="27" t="n">
        <v>147</v>
      </c>
      <c r="EV67" s="27" t="n">
        <v>148</v>
      </c>
      <c r="EW67" s="27" t="n">
        <v>149</v>
      </c>
      <c r="EX67" s="27" t="n">
        <v>150</v>
      </c>
      <c r="EY67" s="27" t="n">
        <v>151</v>
      </c>
      <c r="EZ67" s="27" t="n">
        <v>152</v>
      </c>
      <c r="FA67" s="27" t="n">
        <v>153</v>
      </c>
      <c r="FB67" s="27" t="n">
        <v>154</v>
      </c>
      <c r="FC67" s="27" t="n">
        <v>155</v>
      </c>
      <c r="FD67" s="27" t="n">
        <v>156</v>
      </c>
      <c r="FE67" s="27" t="n">
        <v>157</v>
      </c>
      <c r="FF67" s="27" t="n">
        <v>158</v>
      </c>
      <c r="FG67" s="27" t="n">
        <v>159</v>
      </c>
      <c r="FH67" s="27" t="n">
        <v>160</v>
      </c>
      <c r="FI67" s="27" t="n">
        <v>161</v>
      </c>
      <c r="FJ67" s="27" t="n">
        <v>162</v>
      </c>
      <c r="FK67" s="27" t="n">
        <v>163</v>
      </c>
      <c r="FL67" s="27" t="n">
        <v>164</v>
      </c>
      <c r="FM67" s="27" t="n">
        <v>165</v>
      </c>
      <c r="FN67" s="27" t="n">
        <v>166</v>
      </c>
      <c r="FO67" s="27" t="n">
        <v>167</v>
      </c>
      <c r="FP67" s="27" t="n">
        <v>168</v>
      </c>
      <c r="FQ67" s="27" t="n">
        <v>169</v>
      </c>
      <c r="FR67" s="27" t="n">
        <v>170</v>
      </c>
      <c r="FS67" s="27" t="n">
        <v>171</v>
      </c>
      <c r="FT67" s="27" t="n">
        <v>172</v>
      </c>
      <c r="FU67" s="27" t="n">
        <v>173</v>
      </c>
      <c r="FV67" s="27" t="n">
        <v>174</v>
      </c>
      <c r="FW67" s="27" t="n">
        <v>175</v>
      </c>
      <c r="FX67" s="27" t="n">
        <v>176</v>
      </c>
      <c r="FY67" s="27" t="n">
        <v>177</v>
      </c>
      <c r="FZ67" s="27" t="n">
        <v>178</v>
      </c>
      <c r="GA67" s="27" t="n">
        <v>179</v>
      </c>
      <c r="GB67" s="27" t="n">
        <v>180</v>
      </c>
      <c r="GC67" s="27" t="n">
        <v>181</v>
      </c>
      <c r="GD67" s="27" t="n">
        <v>182</v>
      </c>
      <c r="GE67" s="27" t="n">
        <v>183</v>
      </c>
      <c r="GF67" s="27" t="n">
        <v>184</v>
      </c>
      <c r="GG67" s="27" t="n">
        <v>185</v>
      </c>
      <c r="GH67" s="27" t="n">
        <v>186</v>
      </c>
      <c r="GI67" s="27" t="n">
        <v>187</v>
      </c>
      <c r="GJ67" s="27" t="n">
        <v>188</v>
      </c>
      <c r="GK67" s="27" t="n">
        <v>189</v>
      </c>
      <c r="GL67" s="27" t="n">
        <v>190</v>
      </c>
      <c r="GM67" s="27" t="n">
        <v>191</v>
      </c>
      <c r="GN67" s="27" t="n">
        <v>192</v>
      </c>
      <c r="GO67" s="27" t="n">
        <v>193</v>
      </c>
      <c r="GP67" s="27" t="n">
        <v>194</v>
      </c>
      <c r="GQ67" s="27" t="n">
        <v>195</v>
      </c>
      <c r="GR67" s="27" t="n">
        <v>196</v>
      </c>
      <c r="GS67" s="27" t="n">
        <v>197</v>
      </c>
      <c r="GT67" s="27" t="n">
        <v>198</v>
      </c>
      <c r="GU67" s="27" t="n">
        <v>199</v>
      </c>
      <c r="GV67" s="27" t="n">
        <v>200</v>
      </c>
      <c r="GW67" s="27" t="n">
        <v>201</v>
      </c>
      <c r="GX67" s="27" t="n">
        <v>202</v>
      </c>
      <c r="GY67" s="27" t="n">
        <v>203</v>
      </c>
      <c r="GZ67" s="27" t="n">
        <v>204</v>
      </c>
      <c r="HA67" s="27" t="n">
        <v>205</v>
      </c>
      <c r="HB67" s="27" t="n">
        <v>206</v>
      </c>
      <c r="HC67" s="27" t="n">
        <v>207</v>
      </c>
      <c r="HD67" s="27" t="n">
        <v>208</v>
      </c>
      <c r="HE67" s="27" t="n">
        <v>209</v>
      </c>
      <c r="HF67" s="27" t="n">
        <v>210</v>
      </c>
      <c r="HG67" s="27" t="n">
        <v>211</v>
      </c>
      <c r="HH67" s="27" t="n">
        <v>212</v>
      </c>
      <c r="HI67" s="27" t="n">
        <v>213</v>
      </c>
      <c r="HJ67" s="27" t="n">
        <v>214</v>
      </c>
      <c r="HK67" s="27" t="n">
        <v>215</v>
      </c>
      <c r="HL67" s="27" t="n">
        <v>216</v>
      </c>
      <c r="HM67" s="27" t="n">
        <v>217</v>
      </c>
      <c r="HN67" s="27" t="n">
        <v>218</v>
      </c>
      <c r="HO67" s="27" t="n">
        <v>219</v>
      </c>
      <c r="HP67" s="27" t="n">
        <v>220</v>
      </c>
      <c r="HQ67" s="27" t="n">
        <v>221</v>
      </c>
      <c r="HR67" s="27" t="n">
        <v>222</v>
      </c>
      <c r="HS67" s="27" t="n">
        <v>223</v>
      </c>
      <c r="HT67" s="27" t="n">
        <v>224</v>
      </c>
      <c r="HU67" s="27" t="n">
        <v>225</v>
      </c>
      <c r="HV67" s="27" t="n">
        <v>226</v>
      </c>
      <c r="HW67" s="27" t="n">
        <v>227</v>
      </c>
      <c r="HX67" s="27" t="n">
        <v>228</v>
      </c>
      <c r="HY67" s="27" t="n">
        <v>229</v>
      </c>
      <c r="HZ67" s="27" t="n">
        <v>230</v>
      </c>
      <c r="IA67" s="27" t="n">
        <v>231</v>
      </c>
      <c r="IB67" s="27" t="n">
        <v>232</v>
      </c>
      <c r="IC67" s="27" t="n">
        <v>233</v>
      </c>
      <c r="ID67" s="27" t="n">
        <v>234</v>
      </c>
      <c r="IE67" s="27" t="n">
        <v>235</v>
      </c>
      <c r="IF67" s="27" t="n">
        <v>236</v>
      </c>
      <c r="IG67" s="27" t="n">
        <v>237</v>
      </c>
      <c r="IH67" s="27" t="n">
        <v>238</v>
      </c>
      <c r="II67" s="27" t="n">
        <v>239</v>
      </c>
      <c r="IJ67" s="27" t="n">
        <v>240</v>
      </c>
      <c r="IK67" s="27" t="n">
        <v>241</v>
      </c>
      <c r="IL67" s="27" t="n">
        <v>242</v>
      </c>
      <c r="IM67" s="27" t="n">
        <v>243</v>
      </c>
      <c r="IN67" s="27" t="n">
        <v>244</v>
      </c>
      <c r="IO67" s="27" t="n">
        <v>245</v>
      </c>
      <c r="IP67" s="27" t="n">
        <v>246</v>
      </c>
      <c r="IQ67" s="27" t="n">
        <v>247</v>
      </c>
      <c r="IR67" s="27" t="n">
        <v>248</v>
      </c>
      <c r="IS67" s="27" t="n">
        <v>249</v>
      </c>
      <c r="IT67" s="27" t="n">
        <v>250</v>
      </c>
      <c r="IU67" s="27" t="n">
        <v>251</v>
      </c>
      <c r="IV67" s="27" t="n">
        <v>252</v>
      </c>
      <c r="IW67" s="27" t="n">
        <v>253</v>
      </c>
      <c r="IX67" s="27" t="n">
        <v>254</v>
      </c>
      <c r="IY67" s="27" t="n">
        <v>255</v>
      </c>
      <c r="IZ67" s="27" t="n">
        <v>256</v>
      </c>
      <c r="JA67" s="27" t="n">
        <v>257</v>
      </c>
      <c r="JB67" s="27" t="n">
        <v>258</v>
      </c>
      <c r="JC67" s="27" t="n">
        <v>259</v>
      </c>
      <c r="JD67" s="27" t="n">
        <v>260</v>
      </c>
      <c r="JE67" s="27" t="n">
        <v>261</v>
      </c>
      <c r="JF67" s="27" t="n">
        <v>262</v>
      </c>
      <c r="JG67" s="27" t="n">
        <v>263</v>
      </c>
      <c r="JH67" s="27" t="n">
        <v>264</v>
      </c>
      <c r="JI67" s="27" t="n">
        <v>265</v>
      </c>
      <c r="JJ67" s="27" t="n">
        <v>266</v>
      </c>
      <c r="JK67" s="27" t="n">
        <v>267</v>
      </c>
      <c r="JL67" s="27" t="n">
        <v>268</v>
      </c>
      <c r="JM67" s="27" t="n">
        <v>269</v>
      </c>
      <c r="JN67" s="27" t="n">
        <v>270</v>
      </c>
      <c r="JO67" s="27" t="n">
        <v>271</v>
      </c>
      <c r="JP67" s="27" t="n">
        <v>272</v>
      </c>
      <c r="JQ67" s="27" t="n">
        <v>273</v>
      </c>
      <c r="JR67" s="27" t="n">
        <v>274</v>
      </c>
      <c r="JS67" s="27" t="n">
        <v>275</v>
      </c>
      <c r="JT67" s="27" t="n">
        <v>276</v>
      </c>
      <c r="JU67" s="27" t="n">
        <v>277</v>
      </c>
      <c r="JV67" s="27" t="n">
        <v>278</v>
      </c>
      <c r="JW67" s="27" t="n">
        <v>279</v>
      </c>
      <c r="JX67" s="27" t="n">
        <v>280</v>
      </c>
      <c r="JY67" s="27" t="n">
        <v>281</v>
      </c>
      <c r="JZ67" s="27" t="n">
        <v>282</v>
      </c>
      <c r="KA67" s="27" t="n">
        <v>283</v>
      </c>
      <c r="KB67" s="27" t="n">
        <v>284</v>
      </c>
      <c r="KC67" s="27" t="n">
        <v>285</v>
      </c>
      <c r="KD67" s="27" t="n">
        <v>286</v>
      </c>
      <c r="KE67" s="27" t="n">
        <v>287</v>
      </c>
      <c r="KF67" s="27" t="n">
        <v>288</v>
      </c>
      <c r="KG67" s="27" t="n">
        <v>289</v>
      </c>
      <c r="KH67" s="27" t="n">
        <v>290</v>
      </c>
      <c r="KI67" s="27" t="n">
        <v>291</v>
      </c>
      <c r="KJ67" s="27" t="n">
        <v>292</v>
      </c>
      <c r="KK67" s="27" t="n">
        <v>293</v>
      </c>
      <c r="KL67" s="27" t="n">
        <v>294</v>
      </c>
      <c r="KM67" s="27" t="n">
        <v>295</v>
      </c>
      <c r="KN67" s="27" t="n">
        <v>296</v>
      </c>
      <c r="KO67" s="27" t="n">
        <v>297</v>
      </c>
      <c r="KP67" s="27" t="n">
        <v>298</v>
      </c>
      <c r="KQ67" s="27" t="n">
        <v>299</v>
      </c>
      <c r="KR67" s="27" t="n">
        <v>300</v>
      </c>
      <c r="KS67" s="27" t="n">
        <v>301</v>
      </c>
      <c r="KT67" s="27" t="n">
        <v>302</v>
      </c>
      <c r="KU67" s="27" t="n">
        <v>303</v>
      </c>
      <c r="KV67" s="27" t="n">
        <v>304</v>
      </c>
      <c r="KW67" s="27" t="n">
        <v>305</v>
      </c>
      <c r="KX67" s="27" t="n">
        <v>306</v>
      </c>
      <c r="KY67" s="27" t="n">
        <v>307</v>
      </c>
      <c r="KZ67" s="27" t="n">
        <v>308</v>
      </c>
      <c r="LA67" s="27" t="n">
        <v>309</v>
      </c>
      <c r="LB67" s="27" t="n">
        <v>310</v>
      </c>
      <c r="LC67" s="27" t="n">
        <v>311</v>
      </c>
      <c r="LD67" s="27" t="n">
        <v>312</v>
      </c>
      <c r="LE67" s="27" t="n">
        <v>313</v>
      </c>
      <c r="LF67" s="27" t="n">
        <v>314</v>
      </c>
      <c r="LG67" s="27" t="n">
        <v>315</v>
      </c>
      <c r="LH67" s="27" t="n">
        <v>316</v>
      </c>
      <c r="LI67" s="27" t="n">
        <v>317</v>
      </c>
      <c r="LJ67" s="27" t="n">
        <v>318</v>
      </c>
      <c r="LK67" s="27" t="n">
        <v>319</v>
      </c>
      <c r="LL67" s="27" t="n">
        <v>320</v>
      </c>
      <c r="LM67" s="27" t="n">
        <v>321</v>
      </c>
      <c r="LN67" s="27" t="n">
        <v>322</v>
      </c>
      <c r="LO67" s="27" t="n">
        <v>323</v>
      </c>
      <c r="LP67" s="27" t="n">
        <v>324</v>
      </c>
      <c r="LQ67" s="27" t="n">
        <v>325</v>
      </c>
      <c r="LR67" s="27" t="n">
        <v>326</v>
      </c>
      <c r="LS67" s="27" t="n">
        <v>327</v>
      </c>
      <c r="LT67" s="27" t="n">
        <v>328</v>
      </c>
      <c r="LU67" s="27" t="n">
        <v>329</v>
      </c>
      <c r="LV67" s="27" t="n">
        <v>330</v>
      </c>
      <c r="LW67" s="27" t="n">
        <v>331</v>
      </c>
      <c r="LX67" s="27" t="n">
        <v>332</v>
      </c>
      <c r="LY67" s="27" t="n">
        <v>333</v>
      </c>
      <c r="LZ67" s="27" t="n">
        <v>334</v>
      </c>
      <c r="MA67" s="27" t="n">
        <v>335</v>
      </c>
      <c r="MB67" s="27" t="n">
        <v>336</v>
      </c>
      <c r="MC67" s="27" t="n">
        <v>337</v>
      </c>
      <c r="MD67" s="27" t="n">
        <v>338</v>
      </c>
      <c r="ME67" s="27" t="n">
        <v>339</v>
      </c>
      <c r="MF67" s="27" t="n">
        <v>340</v>
      </c>
      <c r="MG67" s="27" t="n">
        <v>341</v>
      </c>
      <c r="MH67" s="27" t="n">
        <v>342</v>
      </c>
      <c r="MI67" s="27" t="n">
        <v>343</v>
      </c>
      <c r="MJ67" s="27" t="n">
        <v>344</v>
      </c>
      <c r="MK67" s="27" t="n">
        <v>345</v>
      </c>
      <c r="ML67" s="27" t="n">
        <v>346</v>
      </c>
      <c r="MM67" s="27" t="n">
        <v>347</v>
      </c>
      <c r="MN67" s="27" t="n">
        <v>348</v>
      </c>
      <c r="MO67" s="27" t="n">
        <v>349</v>
      </c>
      <c r="MP67" s="27" t="n">
        <v>350</v>
      </c>
      <c r="MQ67" s="27" t="n">
        <v>351</v>
      </c>
      <c r="MR67" s="27" t="n">
        <v>352</v>
      </c>
      <c r="MS67" s="27" t="n">
        <v>353</v>
      </c>
      <c r="MT67" s="27" t="n">
        <v>354</v>
      </c>
      <c r="MU67" s="27" t="n">
        <v>355</v>
      </c>
      <c r="MV67" s="27" t="n">
        <v>356</v>
      </c>
      <c r="MW67" s="27" t="n">
        <v>357</v>
      </c>
      <c r="MX67" s="27" t="n">
        <v>358</v>
      </c>
      <c r="MY67" s="27" t="n">
        <v>359</v>
      </c>
      <c r="MZ67" s="27" t="n">
        <v>360</v>
      </c>
      <c r="NA67" s="27" t="n">
        <v>361</v>
      </c>
      <c r="NB67" s="27" t="n">
        <v>362</v>
      </c>
      <c r="NC67" s="27" t="n">
        <v>363</v>
      </c>
      <c r="ND67" s="27" t="n">
        <v>364</v>
      </c>
      <c r="NE67" s="27" t="n">
        <v>365</v>
      </c>
      <c r="NF67" s="27" t="n">
        <v>366</v>
      </c>
      <c r="NG67" s="27" t="n">
        <v>367</v>
      </c>
      <c r="NH67" s="27" t="n">
        <v>368</v>
      </c>
      <c r="NI67" s="27" t="n">
        <v>369</v>
      </c>
      <c r="NJ67" s="27" t="n">
        <v>370</v>
      </c>
      <c r="NK67" s="27" t="n">
        <v>371</v>
      </c>
      <c r="NL67" s="27" t="n">
        <v>372</v>
      </c>
    </row>
    <row r="68">
      <c r="B68" s="84" t="inlineStr">
        <is>
          <t>Static NOI before Tax</t>
        </is>
      </c>
      <c r="D68" s="266">
        <f>SUM(E68:NL68)</f>
        <v/>
      </c>
      <c r="E68" s="218">
        <f>IF(1&gt;=DeliverStart,((BaseMarketRentMo+BaseLowRentMo)*(LeaseUp!E$10+LossToLeasePct+BadDebtPct+ConcessionsPct)+LeaseUp!E$9*(ParkingPerUnitMo+UtilReimbPerUnitMo+OtherIncPerUnitMo)+RetailRentMo*MIN(1,LeaseUp!E$10/StabilizedOccupancy))*(1-MgmtFeePct)-TotalUnits/12*(ExpInsurancePerUnit+ExpAdminPerUnit)-TotalUnits/12*E$11*(ExpUtilitiesPerUnit+ExpRMPerUnit+ExpTurnoverPerUnit+ExpContractPerUnit)-TotalUnits/12*E$12*(ExpPayrollPerUnit+ExpAdvertisingPerUnit),0)</f>
        <v/>
      </c>
      <c r="F68" s="218">
        <f>IF(2&gt;=DeliverStart,((BaseMarketRentMo+BaseLowRentMo)*(LeaseUp!F$10+LossToLeasePct+BadDebtPct+ConcessionsPct)+LeaseUp!F$9*(ParkingPerUnitMo+UtilReimbPerUnitMo+OtherIncPerUnitMo)+RetailRentMo*MIN(1,LeaseUp!F$10/StabilizedOccupancy))*(1-MgmtFeePct)-TotalUnits/12*(ExpInsurancePerUnit+ExpAdminPerUnit)-TotalUnits/12*F$11*(ExpUtilitiesPerUnit+ExpRMPerUnit+ExpTurnoverPerUnit+ExpContractPerUnit)-TotalUnits/12*F$12*(ExpPayrollPerUnit+ExpAdvertisingPerUnit),0)</f>
        <v/>
      </c>
      <c r="G68" s="218">
        <f>IF(3&gt;=DeliverStart,((BaseMarketRentMo+BaseLowRentMo)*(LeaseUp!G$10+LossToLeasePct+BadDebtPct+ConcessionsPct)+LeaseUp!G$9*(ParkingPerUnitMo+UtilReimbPerUnitMo+OtherIncPerUnitMo)+RetailRentMo*MIN(1,LeaseUp!G$10/StabilizedOccupancy))*(1-MgmtFeePct)-TotalUnits/12*(ExpInsurancePerUnit+ExpAdminPerUnit)-TotalUnits/12*G$11*(ExpUtilitiesPerUnit+ExpRMPerUnit+ExpTurnoverPerUnit+ExpContractPerUnit)-TotalUnits/12*G$12*(ExpPayrollPerUnit+ExpAdvertisingPerUnit),0)</f>
        <v/>
      </c>
      <c r="H68" s="218">
        <f>IF(4&gt;=DeliverStart,((BaseMarketRentMo+BaseLowRentMo)*(LeaseUp!H$10+LossToLeasePct+BadDebtPct+ConcessionsPct)+LeaseUp!H$9*(ParkingPerUnitMo+UtilReimbPerUnitMo+OtherIncPerUnitMo)+RetailRentMo*MIN(1,LeaseUp!H$10/StabilizedOccupancy))*(1-MgmtFeePct)-TotalUnits/12*(ExpInsurancePerUnit+ExpAdminPerUnit)-TotalUnits/12*H$11*(ExpUtilitiesPerUnit+ExpRMPerUnit+ExpTurnoverPerUnit+ExpContractPerUnit)-TotalUnits/12*H$12*(ExpPayrollPerUnit+ExpAdvertisingPerUnit),0)</f>
        <v/>
      </c>
      <c r="I68" s="218">
        <f>IF(5&gt;=DeliverStart,((BaseMarketRentMo+BaseLowRentMo)*(LeaseUp!I$10+LossToLeasePct+BadDebtPct+ConcessionsPct)+LeaseUp!I$9*(ParkingPerUnitMo+UtilReimbPerUnitMo+OtherIncPerUnitMo)+RetailRentMo*MIN(1,LeaseUp!I$10/StabilizedOccupancy))*(1-MgmtFeePct)-TotalUnits/12*(ExpInsurancePerUnit+ExpAdminPerUnit)-TotalUnits/12*I$11*(ExpUtilitiesPerUnit+ExpRMPerUnit+ExpTurnoverPerUnit+ExpContractPerUnit)-TotalUnits/12*I$12*(ExpPayrollPerUnit+ExpAdvertisingPerUnit),0)</f>
        <v/>
      </c>
      <c r="J68" s="218">
        <f>IF(6&gt;=DeliverStart,((BaseMarketRentMo+BaseLowRentMo)*(LeaseUp!J$10+LossToLeasePct+BadDebtPct+ConcessionsPct)+LeaseUp!J$9*(ParkingPerUnitMo+UtilReimbPerUnitMo+OtherIncPerUnitMo)+RetailRentMo*MIN(1,LeaseUp!J$10/StabilizedOccupancy))*(1-MgmtFeePct)-TotalUnits/12*(ExpInsurancePerUnit+ExpAdminPerUnit)-TotalUnits/12*J$11*(ExpUtilitiesPerUnit+ExpRMPerUnit+ExpTurnoverPerUnit+ExpContractPerUnit)-TotalUnits/12*J$12*(ExpPayrollPerUnit+ExpAdvertisingPerUnit),0)</f>
        <v/>
      </c>
      <c r="K68" s="218">
        <f>IF(7&gt;=DeliverStart,((BaseMarketRentMo+BaseLowRentMo)*(LeaseUp!K$10+LossToLeasePct+BadDebtPct+ConcessionsPct)+LeaseUp!K$9*(ParkingPerUnitMo+UtilReimbPerUnitMo+OtherIncPerUnitMo)+RetailRentMo*MIN(1,LeaseUp!K$10/StabilizedOccupancy))*(1-MgmtFeePct)-TotalUnits/12*(ExpInsurancePerUnit+ExpAdminPerUnit)-TotalUnits/12*K$11*(ExpUtilitiesPerUnit+ExpRMPerUnit+ExpTurnoverPerUnit+ExpContractPerUnit)-TotalUnits/12*K$12*(ExpPayrollPerUnit+ExpAdvertisingPerUnit),0)</f>
        <v/>
      </c>
      <c r="L68" s="218">
        <f>IF(8&gt;=DeliverStart,((BaseMarketRentMo+BaseLowRentMo)*(LeaseUp!L$10+LossToLeasePct+BadDebtPct+ConcessionsPct)+LeaseUp!L$9*(ParkingPerUnitMo+UtilReimbPerUnitMo+OtherIncPerUnitMo)+RetailRentMo*MIN(1,LeaseUp!L$10/StabilizedOccupancy))*(1-MgmtFeePct)-TotalUnits/12*(ExpInsurancePerUnit+ExpAdminPerUnit)-TotalUnits/12*L$11*(ExpUtilitiesPerUnit+ExpRMPerUnit+ExpTurnoverPerUnit+ExpContractPerUnit)-TotalUnits/12*L$12*(ExpPayrollPerUnit+ExpAdvertisingPerUnit),0)</f>
        <v/>
      </c>
      <c r="M68" s="218">
        <f>IF(9&gt;=DeliverStart,((BaseMarketRentMo+BaseLowRentMo)*(LeaseUp!M$10+LossToLeasePct+BadDebtPct+ConcessionsPct)+LeaseUp!M$9*(ParkingPerUnitMo+UtilReimbPerUnitMo+OtherIncPerUnitMo)+RetailRentMo*MIN(1,LeaseUp!M$10/StabilizedOccupancy))*(1-MgmtFeePct)-TotalUnits/12*(ExpInsurancePerUnit+ExpAdminPerUnit)-TotalUnits/12*M$11*(ExpUtilitiesPerUnit+ExpRMPerUnit+ExpTurnoverPerUnit+ExpContractPerUnit)-TotalUnits/12*M$12*(ExpPayrollPerUnit+ExpAdvertisingPerUnit),0)</f>
        <v/>
      </c>
      <c r="N68" s="218">
        <f>IF(10&gt;=DeliverStart,((BaseMarketRentMo+BaseLowRentMo)*(LeaseUp!N$10+LossToLeasePct+BadDebtPct+ConcessionsPct)+LeaseUp!N$9*(ParkingPerUnitMo+UtilReimbPerUnitMo+OtherIncPerUnitMo)+RetailRentMo*MIN(1,LeaseUp!N$10/StabilizedOccupancy))*(1-MgmtFeePct)-TotalUnits/12*(ExpInsurancePerUnit+ExpAdminPerUnit)-TotalUnits/12*N$11*(ExpUtilitiesPerUnit+ExpRMPerUnit+ExpTurnoverPerUnit+ExpContractPerUnit)-TotalUnits/12*N$12*(ExpPayrollPerUnit+ExpAdvertisingPerUnit),0)</f>
        <v/>
      </c>
      <c r="O68" s="218">
        <f>IF(11&gt;=DeliverStart,((BaseMarketRentMo+BaseLowRentMo)*(LeaseUp!O$10+LossToLeasePct+BadDebtPct+ConcessionsPct)+LeaseUp!O$9*(ParkingPerUnitMo+UtilReimbPerUnitMo+OtherIncPerUnitMo)+RetailRentMo*MIN(1,LeaseUp!O$10/StabilizedOccupancy))*(1-MgmtFeePct)-TotalUnits/12*(ExpInsurancePerUnit+ExpAdminPerUnit)-TotalUnits/12*O$11*(ExpUtilitiesPerUnit+ExpRMPerUnit+ExpTurnoverPerUnit+ExpContractPerUnit)-TotalUnits/12*O$12*(ExpPayrollPerUnit+ExpAdvertisingPerUnit),0)</f>
        <v/>
      </c>
      <c r="P68" s="218">
        <f>IF(12&gt;=DeliverStart,((BaseMarketRentMo+BaseLowRentMo)*(LeaseUp!P$10+LossToLeasePct+BadDebtPct+ConcessionsPct)+LeaseUp!P$9*(ParkingPerUnitMo+UtilReimbPerUnitMo+OtherIncPerUnitMo)+RetailRentMo*MIN(1,LeaseUp!P$10/StabilizedOccupancy))*(1-MgmtFeePct)-TotalUnits/12*(ExpInsurancePerUnit+ExpAdminPerUnit)-TotalUnits/12*P$11*(ExpUtilitiesPerUnit+ExpRMPerUnit+ExpTurnoverPerUnit+ExpContractPerUnit)-TotalUnits/12*P$12*(ExpPayrollPerUnit+ExpAdvertisingPerUnit),0)</f>
        <v/>
      </c>
      <c r="Q68" s="218">
        <f>IF(13&gt;=DeliverStart,((BaseMarketRentMo+BaseLowRentMo)*(LeaseUp!Q$10+LossToLeasePct+BadDebtPct+ConcessionsPct)+LeaseUp!Q$9*(ParkingPerUnitMo+UtilReimbPerUnitMo+OtherIncPerUnitMo)+RetailRentMo*MIN(1,LeaseUp!Q$10/StabilizedOccupancy))*(1-MgmtFeePct)-TotalUnits/12*(ExpInsurancePerUnit+ExpAdminPerUnit)-TotalUnits/12*Q$11*(ExpUtilitiesPerUnit+ExpRMPerUnit+ExpTurnoverPerUnit+ExpContractPerUnit)-TotalUnits/12*Q$12*(ExpPayrollPerUnit+ExpAdvertisingPerUnit),0)</f>
        <v/>
      </c>
      <c r="R68" s="218">
        <f>IF(14&gt;=DeliverStart,((BaseMarketRentMo+BaseLowRentMo)*(LeaseUp!R$10+LossToLeasePct+BadDebtPct+ConcessionsPct)+LeaseUp!R$9*(ParkingPerUnitMo+UtilReimbPerUnitMo+OtherIncPerUnitMo)+RetailRentMo*MIN(1,LeaseUp!R$10/StabilizedOccupancy))*(1-MgmtFeePct)-TotalUnits/12*(ExpInsurancePerUnit+ExpAdminPerUnit)-TotalUnits/12*R$11*(ExpUtilitiesPerUnit+ExpRMPerUnit+ExpTurnoverPerUnit+ExpContractPerUnit)-TotalUnits/12*R$12*(ExpPayrollPerUnit+ExpAdvertisingPerUnit),0)</f>
        <v/>
      </c>
      <c r="S68" s="218">
        <f>IF(15&gt;=DeliverStart,((BaseMarketRentMo+BaseLowRentMo)*(LeaseUp!S$10+LossToLeasePct+BadDebtPct+ConcessionsPct)+LeaseUp!S$9*(ParkingPerUnitMo+UtilReimbPerUnitMo+OtherIncPerUnitMo)+RetailRentMo*MIN(1,LeaseUp!S$10/StabilizedOccupancy))*(1-MgmtFeePct)-TotalUnits/12*(ExpInsurancePerUnit+ExpAdminPerUnit)-TotalUnits/12*S$11*(ExpUtilitiesPerUnit+ExpRMPerUnit+ExpTurnoverPerUnit+ExpContractPerUnit)-TotalUnits/12*S$12*(ExpPayrollPerUnit+ExpAdvertisingPerUnit),0)</f>
        <v/>
      </c>
      <c r="T68" s="218">
        <f>IF(16&gt;=DeliverStart,((BaseMarketRentMo+BaseLowRentMo)*(LeaseUp!T$10+LossToLeasePct+BadDebtPct+ConcessionsPct)+LeaseUp!T$9*(ParkingPerUnitMo+UtilReimbPerUnitMo+OtherIncPerUnitMo)+RetailRentMo*MIN(1,LeaseUp!T$10/StabilizedOccupancy))*(1-MgmtFeePct)-TotalUnits/12*(ExpInsurancePerUnit+ExpAdminPerUnit)-TotalUnits/12*T$11*(ExpUtilitiesPerUnit+ExpRMPerUnit+ExpTurnoverPerUnit+ExpContractPerUnit)-TotalUnits/12*T$12*(ExpPayrollPerUnit+ExpAdvertisingPerUnit),0)</f>
        <v/>
      </c>
      <c r="U68" s="218">
        <f>IF(17&gt;=DeliverStart,((BaseMarketRentMo+BaseLowRentMo)*(LeaseUp!U$10+LossToLeasePct+BadDebtPct+ConcessionsPct)+LeaseUp!U$9*(ParkingPerUnitMo+UtilReimbPerUnitMo+OtherIncPerUnitMo)+RetailRentMo*MIN(1,LeaseUp!U$10/StabilizedOccupancy))*(1-MgmtFeePct)-TotalUnits/12*(ExpInsurancePerUnit+ExpAdminPerUnit)-TotalUnits/12*U$11*(ExpUtilitiesPerUnit+ExpRMPerUnit+ExpTurnoverPerUnit+ExpContractPerUnit)-TotalUnits/12*U$12*(ExpPayrollPerUnit+ExpAdvertisingPerUnit),0)</f>
        <v/>
      </c>
      <c r="V68" s="218">
        <f>IF(18&gt;=DeliverStart,((BaseMarketRentMo+BaseLowRentMo)*(LeaseUp!V$10+LossToLeasePct+BadDebtPct+ConcessionsPct)+LeaseUp!V$9*(ParkingPerUnitMo+UtilReimbPerUnitMo+OtherIncPerUnitMo)+RetailRentMo*MIN(1,LeaseUp!V$10/StabilizedOccupancy))*(1-MgmtFeePct)-TotalUnits/12*(ExpInsurancePerUnit+ExpAdminPerUnit)-TotalUnits/12*V$11*(ExpUtilitiesPerUnit+ExpRMPerUnit+ExpTurnoverPerUnit+ExpContractPerUnit)-TotalUnits/12*V$12*(ExpPayrollPerUnit+ExpAdvertisingPerUnit),0)</f>
        <v/>
      </c>
      <c r="W68" s="218">
        <f>IF(19&gt;=DeliverStart,((BaseMarketRentMo+BaseLowRentMo)*(LeaseUp!W$10+LossToLeasePct+BadDebtPct+ConcessionsPct)+LeaseUp!W$9*(ParkingPerUnitMo+UtilReimbPerUnitMo+OtherIncPerUnitMo)+RetailRentMo*MIN(1,LeaseUp!W$10/StabilizedOccupancy))*(1-MgmtFeePct)-TotalUnits/12*(ExpInsurancePerUnit+ExpAdminPerUnit)-TotalUnits/12*W$11*(ExpUtilitiesPerUnit+ExpRMPerUnit+ExpTurnoverPerUnit+ExpContractPerUnit)-TotalUnits/12*W$12*(ExpPayrollPerUnit+ExpAdvertisingPerUnit),0)</f>
        <v/>
      </c>
      <c r="X68" s="218">
        <f>IF(20&gt;=DeliverStart,((BaseMarketRentMo+BaseLowRentMo)*(LeaseUp!X$10+LossToLeasePct+BadDebtPct+ConcessionsPct)+LeaseUp!X$9*(ParkingPerUnitMo+UtilReimbPerUnitMo+OtherIncPerUnitMo)+RetailRentMo*MIN(1,LeaseUp!X$10/StabilizedOccupancy))*(1-MgmtFeePct)-TotalUnits/12*(ExpInsurancePerUnit+ExpAdminPerUnit)-TotalUnits/12*X$11*(ExpUtilitiesPerUnit+ExpRMPerUnit+ExpTurnoverPerUnit+ExpContractPerUnit)-TotalUnits/12*X$12*(ExpPayrollPerUnit+ExpAdvertisingPerUnit),0)</f>
        <v/>
      </c>
      <c r="Y68" s="218">
        <f>IF(21&gt;=DeliverStart,((BaseMarketRentMo+BaseLowRentMo)*(LeaseUp!Y$10+LossToLeasePct+BadDebtPct+ConcessionsPct)+LeaseUp!Y$9*(ParkingPerUnitMo+UtilReimbPerUnitMo+OtherIncPerUnitMo)+RetailRentMo*MIN(1,LeaseUp!Y$10/StabilizedOccupancy))*(1-MgmtFeePct)-TotalUnits/12*(ExpInsurancePerUnit+ExpAdminPerUnit)-TotalUnits/12*Y$11*(ExpUtilitiesPerUnit+ExpRMPerUnit+ExpTurnoverPerUnit+ExpContractPerUnit)-TotalUnits/12*Y$12*(ExpPayrollPerUnit+ExpAdvertisingPerUnit),0)</f>
        <v/>
      </c>
      <c r="Z68" s="218">
        <f>IF(22&gt;=DeliverStart,((BaseMarketRentMo+BaseLowRentMo)*(LeaseUp!Z$10+LossToLeasePct+BadDebtPct+ConcessionsPct)+LeaseUp!Z$9*(ParkingPerUnitMo+UtilReimbPerUnitMo+OtherIncPerUnitMo)+RetailRentMo*MIN(1,LeaseUp!Z$10/StabilizedOccupancy))*(1-MgmtFeePct)-TotalUnits/12*(ExpInsurancePerUnit+ExpAdminPerUnit)-TotalUnits/12*Z$11*(ExpUtilitiesPerUnit+ExpRMPerUnit+ExpTurnoverPerUnit+ExpContractPerUnit)-TotalUnits/12*Z$12*(ExpPayrollPerUnit+ExpAdvertisingPerUnit),0)</f>
        <v/>
      </c>
      <c r="AA68" s="218">
        <f>IF(23&gt;=DeliverStart,((BaseMarketRentMo+BaseLowRentMo)*(LeaseUp!AA$10+LossToLeasePct+BadDebtPct+ConcessionsPct)+LeaseUp!AA$9*(ParkingPerUnitMo+UtilReimbPerUnitMo+OtherIncPerUnitMo)+RetailRentMo*MIN(1,LeaseUp!AA$10/StabilizedOccupancy))*(1-MgmtFeePct)-TotalUnits/12*(ExpInsurancePerUnit+ExpAdminPerUnit)-TotalUnits/12*AA$11*(ExpUtilitiesPerUnit+ExpRMPerUnit+ExpTurnoverPerUnit+ExpContractPerUnit)-TotalUnits/12*AA$12*(ExpPayrollPerUnit+ExpAdvertisingPerUnit),0)</f>
        <v/>
      </c>
      <c r="AB68" s="218">
        <f>IF(24&gt;=DeliverStart,((BaseMarketRentMo+BaseLowRentMo)*(LeaseUp!AB$10+LossToLeasePct+BadDebtPct+ConcessionsPct)+LeaseUp!AB$9*(ParkingPerUnitMo+UtilReimbPerUnitMo+OtherIncPerUnitMo)+RetailRentMo*MIN(1,LeaseUp!AB$10/StabilizedOccupancy))*(1-MgmtFeePct)-TotalUnits/12*(ExpInsurancePerUnit+ExpAdminPerUnit)-TotalUnits/12*AB$11*(ExpUtilitiesPerUnit+ExpRMPerUnit+ExpTurnoverPerUnit+ExpContractPerUnit)-TotalUnits/12*AB$12*(ExpPayrollPerUnit+ExpAdvertisingPerUnit),0)</f>
        <v/>
      </c>
      <c r="AC68" s="218">
        <f>IF(25&gt;=DeliverStart,((BaseMarketRentMo+BaseLowRentMo)*(LeaseUp!AC$10+LossToLeasePct+BadDebtPct+ConcessionsPct)+LeaseUp!AC$9*(ParkingPerUnitMo+UtilReimbPerUnitMo+OtherIncPerUnitMo)+RetailRentMo*MIN(1,LeaseUp!AC$10/StabilizedOccupancy))*(1-MgmtFeePct)-TotalUnits/12*(ExpInsurancePerUnit+ExpAdminPerUnit)-TotalUnits/12*AC$11*(ExpUtilitiesPerUnit+ExpRMPerUnit+ExpTurnoverPerUnit+ExpContractPerUnit)-TotalUnits/12*AC$12*(ExpPayrollPerUnit+ExpAdvertisingPerUnit),0)</f>
        <v/>
      </c>
      <c r="AD68" s="218">
        <f>IF(26&gt;=DeliverStart,((BaseMarketRentMo+BaseLowRentMo)*(LeaseUp!AD$10+LossToLeasePct+BadDebtPct+ConcessionsPct)+LeaseUp!AD$9*(ParkingPerUnitMo+UtilReimbPerUnitMo+OtherIncPerUnitMo)+RetailRentMo*MIN(1,LeaseUp!AD$10/StabilizedOccupancy))*(1-MgmtFeePct)-TotalUnits/12*(ExpInsurancePerUnit+ExpAdminPerUnit)-TotalUnits/12*AD$11*(ExpUtilitiesPerUnit+ExpRMPerUnit+ExpTurnoverPerUnit+ExpContractPerUnit)-TotalUnits/12*AD$12*(ExpPayrollPerUnit+ExpAdvertisingPerUnit),0)</f>
        <v/>
      </c>
      <c r="AE68" s="218">
        <f>IF(27&gt;=DeliverStart,((BaseMarketRentMo+BaseLowRentMo)*(LeaseUp!AE$10+LossToLeasePct+BadDebtPct+ConcessionsPct)+LeaseUp!AE$9*(ParkingPerUnitMo+UtilReimbPerUnitMo+OtherIncPerUnitMo)+RetailRentMo*MIN(1,LeaseUp!AE$10/StabilizedOccupancy))*(1-MgmtFeePct)-TotalUnits/12*(ExpInsurancePerUnit+ExpAdminPerUnit)-TotalUnits/12*AE$11*(ExpUtilitiesPerUnit+ExpRMPerUnit+ExpTurnoverPerUnit+ExpContractPerUnit)-TotalUnits/12*AE$12*(ExpPayrollPerUnit+ExpAdvertisingPerUnit),0)</f>
        <v/>
      </c>
      <c r="AF68" s="218">
        <f>IF(28&gt;=DeliverStart,((BaseMarketRentMo+BaseLowRentMo)*(LeaseUp!AF$10+LossToLeasePct+BadDebtPct+ConcessionsPct)+LeaseUp!AF$9*(ParkingPerUnitMo+UtilReimbPerUnitMo+OtherIncPerUnitMo)+RetailRentMo*MIN(1,LeaseUp!AF$10/StabilizedOccupancy))*(1-MgmtFeePct)-TotalUnits/12*(ExpInsurancePerUnit+ExpAdminPerUnit)-TotalUnits/12*AF$11*(ExpUtilitiesPerUnit+ExpRMPerUnit+ExpTurnoverPerUnit+ExpContractPerUnit)-TotalUnits/12*AF$12*(ExpPayrollPerUnit+ExpAdvertisingPerUnit),0)</f>
        <v/>
      </c>
      <c r="AG68" s="218">
        <f>IF(29&gt;=DeliverStart,((BaseMarketRentMo+BaseLowRentMo)*(LeaseUp!AG$10+LossToLeasePct+BadDebtPct+ConcessionsPct)+LeaseUp!AG$9*(ParkingPerUnitMo+UtilReimbPerUnitMo+OtherIncPerUnitMo)+RetailRentMo*MIN(1,LeaseUp!AG$10/StabilizedOccupancy))*(1-MgmtFeePct)-TotalUnits/12*(ExpInsurancePerUnit+ExpAdminPerUnit)-TotalUnits/12*AG$11*(ExpUtilitiesPerUnit+ExpRMPerUnit+ExpTurnoverPerUnit+ExpContractPerUnit)-TotalUnits/12*AG$12*(ExpPayrollPerUnit+ExpAdvertisingPerUnit),0)</f>
        <v/>
      </c>
      <c r="AH68" s="218">
        <f>IF(30&gt;=DeliverStart,((BaseMarketRentMo+BaseLowRentMo)*(LeaseUp!AH$10+LossToLeasePct+BadDebtPct+ConcessionsPct)+LeaseUp!AH$9*(ParkingPerUnitMo+UtilReimbPerUnitMo+OtherIncPerUnitMo)+RetailRentMo*MIN(1,LeaseUp!AH$10/StabilizedOccupancy))*(1-MgmtFeePct)-TotalUnits/12*(ExpInsurancePerUnit+ExpAdminPerUnit)-TotalUnits/12*AH$11*(ExpUtilitiesPerUnit+ExpRMPerUnit+ExpTurnoverPerUnit+ExpContractPerUnit)-TotalUnits/12*AH$12*(ExpPayrollPerUnit+ExpAdvertisingPerUnit),0)</f>
        <v/>
      </c>
      <c r="AI68" s="218">
        <f>IF(31&gt;=DeliverStart,((BaseMarketRentMo+BaseLowRentMo)*(LeaseUp!AI$10+LossToLeasePct+BadDebtPct+ConcessionsPct)+LeaseUp!AI$9*(ParkingPerUnitMo+UtilReimbPerUnitMo+OtherIncPerUnitMo)+RetailRentMo*MIN(1,LeaseUp!AI$10/StabilizedOccupancy))*(1-MgmtFeePct)-TotalUnits/12*(ExpInsurancePerUnit+ExpAdminPerUnit)-TotalUnits/12*AI$11*(ExpUtilitiesPerUnit+ExpRMPerUnit+ExpTurnoverPerUnit+ExpContractPerUnit)-TotalUnits/12*AI$12*(ExpPayrollPerUnit+ExpAdvertisingPerUnit),0)</f>
        <v/>
      </c>
      <c r="AJ68" s="218">
        <f>IF(32&gt;=DeliverStart,((BaseMarketRentMo+BaseLowRentMo)*(LeaseUp!AJ$10+LossToLeasePct+BadDebtPct+ConcessionsPct)+LeaseUp!AJ$9*(ParkingPerUnitMo+UtilReimbPerUnitMo+OtherIncPerUnitMo)+RetailRentMo*MIN(1,LeaseUp!AJ$10/StabilizedOccupancy))*(1-MgmtFeePct)-TotalUnits/12*(ExpInsurancePerUnit+ExpAdminPerUnit)-TotalUnits/12*AJ$11*(ExpUtilitiesPerUnit+ExpRMPerUnit+ExpTurnoverPerUnit+ExpContractPerUnit)-TotalUnits/12*AJ$12*(ExpPayrollPerUnit+ExpAdvertisingPerUnit),0)</f>
        <v/>
      </c>
      <c r="AK68" s="218">
        <f>IF(33&gt;=DeliverStart,((BaseMarketRentMo+BaseLowRentMo)*(LeaseUp!AK$10+LossToLeasePct+BadDebtPct+ConcessionsPct)+LeaseUp!AK$9*(ParkingPerUnitMo+UtilReimbPerUnitMo+OtherIncPerUnitMo)+RetailRentMo*MIN(1,LeaseUp!AK$10/StabilizedOccupancy))*(1-MgmtFeePct)-TotalUnits/12*(ExpInsurancePerUnit+ExpAdminPerUnit)-TotalUnits/12*AK$11*(ExpUtilitiesPerUnit+ExpRMPerUnit+ExpTurnoverPerUnit+ExpContractPerUnit)-TotalUnits/12*AK$12*(ExpPayrollPerUnit+ExpAdvertisingPerUnit),0)</f>
        <v/>
      </c>
      <c r="AL68" s="218">
        <f>IF(34&gt;=DeliverStart,((BaseMarketRentMo+BaseLowRentMo)*(LeaseUp!AL$10+LossToLeasePct+BadDebtPct+ConcessionsPct)+LeaseUp!AL$9*(ParkingPerUnitMo+UtilReimbPerUnitMo+OtherIncPerUnitMo)+RetailRentMo*MIN(1,LeaseUp!AL$10/StabilizedOccupancy))*(1-MgmtFeePct)-TotalUnits/12*(ExpInsurancePerUnit+ExpAdminPerUnit)-TotalUnits/12*AL$11*(ExpUtilitiesPerUnit+ExpRMPerUnit+ExpTurnoverPerUnit+ExpContractPerUnit)-TotalUnits/12*AL$12*(ExpPayrollPerUnit+ExpAdvertisingPerUnit),0)</f>
        <v/>
      </c>
      <c r="AM68" s="218">
        <f>IF(35&gt;=DeliverStart,((BaseMarketRentMo+BaseLowRentMo)*(LeaseUp!AM$10+LossToLeasePct+BadDebtPct+ConcessionsPct)+LeaseUp!AM$9*(ParkingPerUnitMo+UtilReimbPerUnitMo+OtherIncPerUnitMo)+RetailRentMo*MIN(1,LeaseUp!AM$10/StabilizedOccupancy))*(1-MgmtFeePct)-TotalUnits/12*(ExpInsurancePerUnit+ExpAdminPerUnit)-TotalUnits/12*AM$11*(ExpUtilitiesPerUnit+ExpRMPerUnit+ExpTurnoverPerUnit+ExpContractPerUnit)-TotalUnits/12*AM$12*(ExpPayrollPerUnit+ExpAdvertisingPerUnit),0)</f>
        <v/>
      </c>
      <c r="AN68" s="218">
        <f>IF(36&gt;=DeliverStart,((BaseMarketRentMo+BaseLowRentMo)*(LeaseUp!AN$10+LossToLeasePct+BadDebtPct+ConcessionsPct)+LeaseUp!AN$9*(ParkingPerUnitMo+UtilReimbPerUnitMo+OtherIncPerUnitMo)+RetailRentMo*MIN(1,LeaseUp!AN$10/StabilizedOccupancy))*(1-MgmtFeePct)-TotalUnits/12*(ExpInsurancePerUnit+ExpAdminPerUnit)-TotalUnits/12*AN$11*(ExpUtilitiesPerUnit+ExpRMPerUnit+ExpTurnoverPerUnit+ExpContractPerUnit)-TotalUnits/12*AN$12*(ExpPayrollPerUnit+ExpAdvertisingPerUnit),0)</f>
        <v/>
      </c>
      <c r="AO68" s="218">
        <f>IF(37&gt;=DeliverStart,((BaseMarketRentMo+BaseLowRentMo)*(LeaseUp!AO$10+LossToLeasePct+BadDebtPct+ConcessionsPct)+LeaseUp!AO$9*(ParkingPerUnitMo+UtilReimbPerUnitMo+OtherIncPerUnitMo)+RetailRentMo*MIN(1,LeaseUp!AO$10/StabilizedOccupancy))*(1-MgmtFeePct)-TotalUnits/12*(ExpInsurancePerUnit+ExpAdminPerUnit)-TotalUnits/12*AO$11*(ExpUtilitiesPerUnit+ExpRMPerUnit+ExpTurnoverPerUnit+ExpContractPerUnit)-TotalUnits/12*AO$12*(ExpPayrollPerUnit+ExpAdvertisingPerUnit),0)</f>
        <v/>
      </c>
      <c r="AP68" s="218">
        <f>IF(38&gt;=DeliverStart,((BaseMarketRentMo+BaseLowRentMo)*(LeaseUp!AP$10+LossToLeasePct+BadDebtPct+ConcessionsPct)+LeaseUp!AP$9*(ParkingPerUnitMo+UtilReimbPerUnitMo+OtherIncPerUnitMo)+RetailRentMo*MIN(1,LeaseUp!AP$10/StabilizedOccupancy))*(1-MgmtFeePct)-TotalUnits/12*(ExpInsurancePerUnit+ExpAdminPerUnit)-TotalUnits/12*AP$11*(ExpUtilitiesPerUnit+ExpRMPerUnit+ExpTurnoverPerUnit+ExpContractPerUnit)-TotalUnits/12*AP$12*(ExpPayrollPerUnit+ExpAdvertisingPerUnit),0)</f>
        <v/>
      </c>
      <c r="AQ68" s="218">
        <f>IF(39&gt;=DeliverStart,((BaseMarketRentMo+BaseLowRentMo)*(LeaseUp!AQ$10+LossToLeasePct+BadDebtPct+ConcessionsPct)+LeaseUp!AQ$9*(ParkingPerUnitMo+UtilReimbPerUnitMo+OtherIncPerUnitMo)+RetailRentMo*MIN(1,LeaseUp!AQ$10/StabilizedOccupancy))*(1-MgmtFeePct)-TotalUnits/12*(ExpInsurancePerUnit+ExpAdminPerUnit)-TotalUnits/12*AQ$11*(ExpUtilitiesPerUnit+ExpRMPerUnit+ExpTurnoverPerUnit+ExpContractPerUnit)-TotalUnits/12*AQ$12*(ExpPayrollPerUnit+ExpAdvertisingPerUnit),0)</f>
        <v/>
      </c>
      <c r="AR68" s="218">
        <f>IF(40&gt;=DeliverStart,((BaseMarketRentMo+BaseLowRentMo)*(LeaseUp!AR$10+LossToLeasePct+BadDebtPct+ConcessionsPct)+LeaseUp!AR$9*(ParkingPerUnitMo+UtilReimbPerUnitMo+OtherIncPerUnitMo)+RetailRentMo*MIN(1,LeaseUp!AR$10/StabilizedOccupancy))*(1-MgmtFeePct)-TotalUnits/12*(ExpInsurancePerUnit+ExpAdminPerUnit)-TotalUnits/12*AR$11*(ExpUtilitiesPerUnit+ExpRMPerUnit+ExpTurnoverPerUnit+ExpContractPerUnit)-TotalUnits/12*AR$12*(ExpPayrollPerUnit+ExpAdvertisingPerUnit),0)</f>
        <v/>
      </c>
      <c r="AS68" s="218">
        <f>IF(41&gt;=DeliverStart,((BaseMarketRentMo+BaseLowRentMo)*(LeaseUp!AS$10+LossToLeasePct+BadDebtPct+ConcessionsPct)+LeaseUp!AS$9*(ParkingPerUnitMo+UtilReimbPerUnitMo+OtherIncPerUnitMo)+RetailRentMo*MIN(1,LeaseUp!AS$10/StabilizedOccupancy))*(1-MgmtFeePct)-TotalUnits/12*(ExpInsurancePerUnit+ExpAdminPerUnit)-TotalUnits/12*AS$11*(ExpUtilitiesPerUnit+ExpRMPerUnit+ExpTurnoverPerUnit+ExpContractPerUnit)-TotalUnits/12*AS$12*(ExpPayrollPerUnit+ExpAdvertisingPerUnit),0)</f>
        <v/>
      </c>
      <c r="AT68" s="218">
        <f>IF(42&gt;=DeliverStart,((BaseMarketRentMo+BaseLowRentMo)*(LeaseUp!AT$10+LossToLeasePct+BadDebtPct+ConcessionsPct)+LeaseUp!AT$9*(ParkingPerUnitMo+UtilReimbPerUnitMo+OtherIncPerUnitMo)+RetailRentMo*MIN(1,LeaseUp!AT$10/StabilizedOccupancy))*(1-MgmtFeePct)-TotalUnits/12*(ExpInsurancePerUnit+ExpAdminPerUnit)-TotalUnits/12*AT$11*(ExpUtilitiesPerUnit+ExpRMPerUnit+ExpTurnoverPerUnit+ExpContractPerUnit)-TotalUnits/12*AT$12*(ExpPayrollPerUnit+ExpAdvertisingPerUnit),0)</f>
        <v/>
      </c>
      <c r="AU68" s="218">
        <f>IF(43&gt;=DeliverStart,((BaseMarketRentMo+BaseLowRentMo)*(LeaseUp!AU$10+LossToLeasePct+BadDebtPct+ConcessionsPct)+LeaseUp!AU$9*(ParkingPerUnitMo+UtilReimbPerUnitMo+OtherIncPerUnitMo)+RetailRentMo*MIN(1,LeaseUp!AU$10/StabilizedOccupancy))*(1-MgmtFeePct)-TotalUnits/12*(ExpInsurancePerUnit+ExpAdminPerUnit)-TotalUnits/12*AU$11*(ExpUtilitiesPerUnit+ExpRMPerUnit+ExpTurnoverPerUnit+ExpContractPerUnit)-TotalUnits/12*AU$12*(ExpPayrollPerUnit+ExpAdvertisingPerUnit),0)</f>
        <v/>
      </c>
      <c r="AV68" s="218">
        <f>IF(44&gt;=DeliverStart,((BaseMarketRentMo+BaseLowRentMo)*(LeaseUp!AV$10+LossToLeasePct+BadDebtPct+ConcessionsPct)+LeaseUp!AV$9*(ParkingPerUnitMo+UtilReimbPerUnitMo+OtherIncPerUnitMo)+RetailRentMo*MIN(1,LeaseUp!AV$10/StabilizedOccupancy))*(1-MgmtFeePct)-TotalUnits/12*(ExpInsurancePerUnit+ExpAdminPerUnit)-TotalUnits/12*AV$11*(ExpUtilitiesPerUnit+ExpRMPerUnit+ExpTurnoverPerUnit+ExpContractPerUnit)-TotalUnits/12*AV$12*(ExpPayrollPerUnit+ExpAdvertisingPerUnit),0)</f>
        <v/>
      </c>
      <c r="AW68" s="218">
        <f>IF(45&gt;=DeliverStart,((BaseMarketRentMo+BaseLowRentMo)*(LeaseUp!AW$10+LossToLeasePct+BadDebtPct+ConcessionsPct)+LeaseUp!AW$9*(ParkingPerUnitMo+UtilReimbPerUnitMo+OtherIncPerUnitMo)+RetailRentMo*MIN(1,LeaseUp!AW$10/StabilizedOccupancy))*(1-MgmtFeePct)-TotalUnits/12*(ExpInsurancePerUnit+ExpAdminPerUnit)-TotalUnits/12*AW$11*(ExpUtilitiesPerUnit+ExpRMPerUnit+ExpTurnoverPerUnit+ExpContractPerUnit)-TotalUnits/12*AW$12*(ExpPayrollPerUnit+ExpAdvertisingPerUnit),0)</f>
        <v/>
      </c>
      <c r="AX68" s="218">
        <f>IF(46&gt;=DeliverStart,((BaseMarketRentMo+BaseLowRentMo)*(LeaseUp!AX$10+LossToLeasePct+BadDebtPct+ConcessionsPct)+LeaseUp!AX$9*(ParkingPerUnitMo+UtilReimbPerUnitMo+OtherIncPerUnitMo)+RetailRentMo*MIN(1,LeaseUp!AX$10/StabilizedOccupancy))*(1-MgmtFeePct)-TotalUnits/12*(ExpInsurancePerUnit+ExpAdminPerUnit)-TotalUnits/12*AX$11*(ExpUtilitiesPerUnit+ExpRMPerUnit+ExpTurnoverPerUnit+ExpContractPerUnit)-TotalUnits/12*AX$12*(ExpPayrollPerUnit+ExpAdvertisingPerUnit),0)</f>
        <v/>
      </c>
      <c r="AY68" s="218">
        <f>IF(47&gt;=DeliverStart,((BaseMarketRentMo+BaseLowRentMo)*(LeaseUp!AY$10+LossToLeasePct+BadDebtPct+ConcessionsPct)+LeaseUp!AY$9*(ParkingPerUnitMo+UtilReimbPerUnitMo+OtherIncPerUnitMo)+RetailRentMo*MIN(1,LeaseUp!AY$10/StabilizedOccupancy))*(1-MgmtFeePct)-TotalUnits/12*(ExpInsurancePerUnit+ExpAdminPerUnit)-TotalUnits/12*AY$11*(ExpUtilitiesPerUnit+ExpRMPerUnit+ExpTurnoverPerUnit+ExpContractPerUnit)-TotalUnits/12*AY$12*(ExpPayrollPerUnit+ExpAdvertisingPerUnit),0)</f>
        <v/>
      </c>
      <c r="AZ68" s="218">
        <f>IF(48&gt;=DeliverStart,((BaseMarketRentMo+BaseLowRentMo)*(LeaseUp!AZ$10+LossToLeasePct+BadDebtPct+ConcessionsPct)+LeaseUp!AZ$9*(ParkingPerUnitMo+UtilReimbPerUnitMo+OtherIncPerUnitMo)+RetailRentMo*MIN(1,LeaseUp!AZ$10/StabilizedOccupancy))*(1-MgmtFeePct)-TotalUnits/12*(ExpInsurancePerUnit+ExpAdminPerUnit)-TotalUnits/12*AZ$11*(ExpUtilitiesPerUnit+ExpRMPerUnit+ExpTurnoverPerUnit+ExpContractPerUnit)-TotalUnits/12*AZ$12*(ExpPayrollPerUnit+ExpAdvertisingPerUnit),0)</f>
        <v/>
      </c>
      <c r="BA68" s="218">
        <f>IF(49&gt;=DeliverStart,((BaseMarketRentMo+BaseLowRentMo)*(LeaseUp!BA$10+LossToLeasePct+BadDebtPct+ConcessionsPct)+LeaseUp!BA$9*(ParkingPerUnitMo+UtilReimbPerUnitMo+OtherIncPerUnitMo)+RetailRentMo*MIN(1,LeaseUp!BA$10/StabilizedOccupancy))*(1-MgmtFeePct)-TotalUnits/12*(ExpInsurancePerUnit+ExpAdminPerUnit)-TotalUnits/12*BA$11*(ExpUtilitiesPerUnit+ExpRMPerUnit+ExpTurnoverPerUnit+ExpContractPerUnit)-TotalUnits/12*BA$12*(ExpPayrollPerUnit+ExpAdvertisingPerUnit),0)</f>
        <v/>
      </c>
      <c r="BB68" s="218">
        <f>IF(50&gt;=DeliverStart,((BaseMarketRentMo+BaseLowRentMo)*(LeaseUp!BB$10+LossToLeasePct+BadDebtPct+ConcessionsPct)+LeaseUp!BB$9*(ParkingPerUnitMo+UtilReimbPerUnitMo+OtherIncPerUnitMo)+RetailRentMo*MIN(1,LeaseUp!BB$10/StabilizedOccupancy))*(1-MgmtFeePct)-TotalUnits/12*(ExpInsurancePerUnit+ExpAdminPerUnit)-TotalUnits/12*BB$11*(ExpUtilitiesPerUnit+ExpRMPerUnit+ExpTurnoverPerUnit+ExpContractPerUnit)-TotalUnits/12*BB$12*(ExpPayrollPerUnit+ExpAdvertisingPerUnit),0)</f>
        <v/>
      </c>
      <c r="BC68" s="218">
        <f>IF(51&gt;=DeliverStart,((BaseMarketRentMo+BaseLowRentMo)*(LeaseUp!BC$10+LossToLeasePct+BadDebtPct+ConcessionsPct)+LeaseUp!BC$9*(ParkingPerUnitMo+UtilReimbPerUnitMo+OtherIncPerUnitMo)+RetailRentMo*MIN(1,LeaseUp!BC$10/StabilizedOccupancy))*(1-MgmtFeePct)-TotalUnits/12*(ExpInsurancePerUnit+ExpAdminPerUnit)-TotalUnits/12*BC$11*(ExpUtilitiesPerUnit+ExpRMPerUnit+ExpTurnoverPerUnit+ExpContractPerUnit)-TotalUnits/12*BC$12*(ExpPayrollPerUnit+ExpAdvertisingPerUnit),0)</f>
        <v/>
      </c>
      <c r="BD68" s="218">
        <f>IF(52&gt;=DeliverStart,((BaseMarketRentMo+BaseLowRentMo)*(LeaseUp!BD$10+LossToLeasePct+BadDebtPct+ConcessionsPct)+LeaseUp!BD$9*(ParkingPerUnitMo+UtilReimbPerUnitMo+OtherIncPerUnitMo)+RetailRentMo*MIN(1,LeaseUp!BD$10/StabilizedOccupancy))*(1-MgmtFeePct)-TotalUnits/12*(ExpInsurancePerUnit+ExpAdminPerUnit)-TotalUnits/12*BD$11*(ExpUtilitiesPerUnit+ExpRMPerUnit+ExpTurnoverPerUnit+ExpContractPerUnit)-TotalUnits/12*BD$12*(ExpPayrollPerUnit+ExpAdvertisingPerUnit),0)</f>
        <v/>
      </c>
      <c r="BE68" s="218">
        <f>IF(53&gt;=DeliverStart,((BaseMarketRentMo+BaseLowRentMo)*(LeaseUp!BE$10+LossToLeasePct+BadDebtPct+ConcessionsPct)+LeaseUp!BE$9*(ParkingPerUnitMo+UtilReimbPerUnitMo+OtherIncPerUnitMo)+RetailRentMo*MIN(1,LeaseUp!BE$10/StabilizedOccupancy))*(1-MgmtFeePct)-TotalUnits/12*(ExpInsurancePerUnit+ExpAdminPerUnit)-TotalUnits/12*BE$11*(ExpUtilitiesPerUnit+ExpRMPerUnit+ExpTurnoverPerUnit+ExpContractPerUnit)-TotalUnits/12*BE$12*(ExpPayrollPerUnit+ExpAdvertisingPerUnit),0)</f>
        <v/>
      </c>
      <c r="BF68" s="218">
        <f>IF(54&gt;=DeliverStart,((BaseMarketRentMo+BaseLowRentMo)*(LeaseUp!BF$10+LossToLeasePct+BadDebtPct+ConcessionsPct)+LeaseUp!BF$9*(ParkingPerUnitMo+UtilReimbPerUnitMo+OtherIncPerUnitMo)+RetailRentMo*MIN(1,LeaseUp!BF$10/StabilizedOccupancy))*(1-MgmtFeePct)-TotalUnits/12*(ExpInsurancePerUnit+ExpAdminPerUnit)-TotalUnits/12*BF$11*(ExpUtilitiesPerUnit+ExpRMPerUnit+ExpTurnoverPerUnit+ExpContractPerUnit)-TotalUnits/12*BF$12*(ExpPayrollPerUnit+ExpAdvertisingPerUnit),0)</f>
        <v/>
      </c>
      <c r="BG68" s="218">
        <f>IF(55&gt;=DeliverStart,((BaseMarketRentMo+BaseLowRentMo)*(LeaseUp!BG$10+LossToLeasePct+BadDebtPct+ConcessionsPct)+LeaseUp!BG$9*(ParkingPerUnitMo+UtilReimbPerUnitMo+OtherIncPerUnitMo)+RetailRentMo*MIN(1,LeaseUp!BG$10/StabilizedOccupancy))*(1-MgmtFeePct)-TotalUnits/12*(ExpInsurancePerUnit+ExpAdminPerUnit)-TotalUnits/12*BG$11*(ExpUtilitiesPerUnit+ExpRMPerUnit+ExpTurnoverPerUnit+ExpContractPerUnit)-TotalUnits/12*BG$12*(ExpPayrollPerUnit+ExpAdvertisingPerUnit),0)</f>
        <v/>
      </c>
      <c r="BH68" s="218">
        <f>IF(56&gt;=DeliverStart,((BaseMarketRentMo+BaseLowRentMo)*(LeaseUp!BH$10+LossToLeasePct+BadDebtPct+ConcessionsPct)+LeaseUp!BH$9*(ParkingPerUnitMo+UtilReimbPerUnitMo+OtherIncPerUnitMo)+RetailRentMo*MIN(1,LeaseUp!BH$10/StabilizedOccupancy))*(1-MgmtFeePct)-TotalUnits/12*(ExpInsurancePerUnit+ExpAdminPerUnit)-TotalUnits/12*BH$11*(ExpUtilitiesPerUnit+ExpRMPerUnit+ExpTurnoverPerUnit+ExpContractPerUnit)-TotalUnits/12*BH$12*(ExpPayrollPerUnit+ExpAdvertisingPerUnit),0)</f>
        <v/>
      </c>
      <c r="BI68" s="218">
        <f>IF(57&gt;=DeliverStart,((BaseMarketRentMo+BaseLowRentMo)*(LeaseUp!BI$10+LossToLeasePct+BadDebtPct+ConcessionsPct)+LeaseUp!BI$9*(ParkingPerUnitMo+UtilReimbPerUnitMo+OtherIncPerUnitMo)+RetailRentMo*MIN(1,LeaseUp!BI$10/StabilizedOccupancy))*(1-MgmtFeePct)-TotalUnits/12*(ExpInsurancePerUnit+ExpAdminPerUnit)-TotalUnits/12*BI$11*(ExpUtilitiesPerUnit+ExpRMPerUnit+ExpTurnoverPerUnit+ExpContractPerUnit)-TotalUnits/12*BI$12*(ExpPayrollPerUnit+ExpAdvertisingPerUnit),0)</f>
        <v/>
      </c>
      <c r="BJ68" s="218">
        <f>IF(58&gt;=DeliverStart,((BaseMarketRentMo+BaseLowRentMo)*(LeaseUp!BJ$10+LossToLeasePct+BadDebtPct+ConcessionsPct)+LeaseUp!BJ$9*(ParkingPerUnitMo+UtilReimbPerUnitMo+OtherIncPerUnitMo)+RetailRentMo*MIN(1,LeaseUp!BJ$10/StabilizedOccupancy))*(1-MgmtFeePct)-TotalUnits/12*(ExpInsurancePerUnit+ExpAdminPerUnit)-TotalUnits/12*BJ$11*(ExpUtilitiesPerUnit+ExpRMPerUnit+ExpTurnoverPerUnit+ExpContractPerUnit)-TotalUnits/12*BJ$12*(ExpPayrollPerUnit+ExpAdvertisingPerUnit),0)</f>
        <v/>
      </c>
      <c r="BK68" s="218">
        <f>IF(59&gt;=DeliverStart,((BaseMarketRentMo+BaseLowRentMo)*(LeaseUp!BK$10+LossToLeasePct+BadDebtPct+ConcessionsPct)+LeaseUp!BK$9*(ParkingPerUnitMo+UtilReimbPerUnitMo+OtherIncPerUnitMo)+RetailRentMo*MIN(1,LeaseUp!BK$10/StabilizedOccupancy))*(1-MgmtFeePct)-TotalUnits/12*(ExpInsurancePerUnit+ExpAdminPerUnit)-TotalUnits/12*BK$11*(ExpUtilitiesPerUnit+ExpRMPerUnit+ExpTurnoverPerUnit+ExpContractPerUnit)-TotalUnits/12*BK$12*(ExpPayrollPerUnit+ExpAdvertisingPerUnit),0)</f>
        <v/>
      </c>
      <c r="BL68" s="218">
        <f>IF(60&gt;=DeliverStart,((BaseMarketRentMo+BaseLowRentMo)*(LeaseUp!BL$10+LossToLeasePct+BadDebtPct+ConcessionsPct)+LeaseUp!BL$9*(ParkingPerUnitMo+UtilReimbPerUnitMo+OtherIncPerUnitMo)+RetailRentMo*MIN(1,LeaseUp!BL$10/StabilizedOccupancy))*(1-MgmtFeePct)-TotalUnits/12*(ExpInsurancePerUnit+ExpAdminPerUnit)-TotalUnits/12*BL$11*(ExpUtilitiesPerUnit+ExpRMPerUnit+ExpTurnoverPerUnit+ExpContractPerUnit)-TotalUnits/12*BL$12*(ExpPayrollPerUnit+ExpAdvertisingPerUnit),0)</f>
        <v/>
      </c>
      <c r="BM68" s="218">
        <f>IF(61&gt;=DeliverStart,((BaseMarketRentMo+BaseLowRentMo)*(LeaseUp!BM$10+LossToLeasePct+BadDebtPct+ConcessionsPct)+LeaseUp!BM$9*(ParkingPerUnitMo+UtilReimbPerUnitMo+OtherIncPerUnitMo)+RetailRentMo*MIN(1,LeaseUp!BM$10/StabilizedOccupancy))*(1-MgmtFeePct)-TotalUnits/12*(ExpInsurancePerUnit+ExpAdminPerUnit)-TotalUnits/12*BM$11*(ExpUtilitiesPerUnit+ExpRMPerUnit+ExpTurnoverPerUnit+ExpContractPerUnit)-TotalUnits/12*BM$12*(ExpPayrollPerUnit+ExpAdvertisingPerUnit),0)</f>
        <v/>
      </c>
      <c r="BN68" s="218">
        <f>IF(62&gt;=DeliverStart,((BaseMarketRentMo+BaseLowRentMo)*(LeaseUp!BN$10+LossToLeasePct+BadDebtPct+ConcessionsPct)+LeaseUp!BN$9*(ParkingPerUnitMo+UtilReimbPerUnitMo+OtherIncPerUnitMo)+RetailRentMo*MIN(1,LeaseUp!BN$10/StabilizedOccupancy))*(1-MgmtFeePct)-TotalUnits/12*(ExpInsurancePerUnit+ExpAdminPerUnit)-TotalUnits/12*BN$11*(ExpUtilitiesPerUnit+ExpRMPerUnit+ExpTurnoverPerUnit+ExpContractPerUnit)-TotalUnits/12*BN$12*(ExpPayrollPerUnit+ExpAdvertisingPerUnit),0)</f>
        <v/>
      </c>
      <c r="BO68" s="218">
        <f>IF(63&gt;=DeliverStart,((BaseMarketRentMo+BaseLowRentMo)*(LeaseUp!BO$10+LossToLeasePct+BadDebtPct+ConcessionsPct)+LeaseUp!BO$9*(ParkingPerUnitMo+UtilReimbPerUnitMo+OtherIncPerUnitMo)+RetailRentMo*MIN(1,LeaseUp!BO$10/StabilizedOccupancy))*(1-MgmtFeePct)-TotalUnits/12*(ExpInsurancePerUnit+ExpAdminPerUnit)-TotalUnits/12*BO$11*(ExpUtilitiesPerUnit+ExpRMPerUnit+ExpTurnoverPerUnit+ExpContractPerUnit)-TotalUnits/12*BO$12*(ExpPayrollPerUnit+ExpAdvertisingPerUnit),0)</f>
        <v/>
      </c>
      <c r="BP68" s="218">
        <f>IF(64&gt;=DeliverStart,((BaseMarketRentMo+BaseLowRentMo)*(LeaseUp!BP$10+LossToLeasePct+BadDebtPct+ConcessionsPct)+LeaseUp!BP$9*(ParkingPerUnitMo+UtilReimbPerUnitMo+OtherIncPerUnitMo)+RetailRentMo*MIN(1,LeaseUp!BP$10/StabilizedOccupancy))*(1-MgmtFeePct)-TotalUnits/12*(ExpInsurancePerUnit+ExpAdminPerUnit)-TotalUnits/12*BP$11*(ExpUtilitiesPerUnit+ExpRMPerUnit+ExpTurnoverPerUnit+ExpContractPerUnit)-TotalUnits/12*BP$12*(ExpPayrollPerUnit+ExpAdvertisingPerUnit),0)</f>
        <v/>
      </c>
      <c r="BQ68" s="218">
        <f>IF(65&gt;=DeliverStart,((BaseMarketRentMo+BaseLowRentMo)*(LeaseUp!BQ$10+LossToLeasePct+BadDebtPct+ConcessionsPct)+LeaseUp!BQ$9*(ParkingPerUnitMo+UtilReimbPerUnitMo+OtherIncPerUnitMo)+RetailRentMo*MIN(1,LeaseUp!BQ$10/StabilizedOccupancy))*(1-MgmtFeePct)-TotalUnits/12*(ExpInsurancePerUnit+ExpAdminPerUnit)-TotalUnits/12*BQ$11*(ExpUtilitiesPerUnit+ExpRMPerUnit+ExpTurnoverPerUnit+ExpContractPerUnit)-TotalUnits/12*BQ$12*(ExpPayrollPerUnit+ExpAdvertisingPerUnit),0)</f>
        <v/>
      </c>
      <c r="BR68" s="218">
        <f>IF(66&gt;=DeliverStart,((BaseMarketRentMo+BaseLowRentMo)*(LeaseUp!BR$10+LossToLeasePct+BadDebtPct+ConcessionsPct)+LeaseUp!BR$9*(ParkingPerUnitMo+UtilReimbPerUnitMo+OtherIncPerUnitMo)+RetailRentMo*MIN(1,LeaseUp!BR$10/StabilizedOccupancy))*(1-MgmtFeePct)-TotalUnits/12*(ExpInsurancePerUnit+ExpAdminPerUnit)-TotalUnits/12*BR$11*(ExpUtilitiesPerUnit+ExpRMPerUnit+ExpTurnoverPerUnit+ExpContractPerUnit)-TotalUnits/12*BR$12*(ExpPayrollPerUnit+ExpAdvertisingPerUnit),0)</f>
        <v/>
      </c>
      <c r="BS68" s="218">
        <f>IF(67&gt;=DeliverStart,((BaseMarketRentMo+BaseLowRentMo)*(LeaseUp!BS$10+LossToLeasePct+BadDebtPct+ConcessionsPct)+LeaseUp!BS$9*(ParkingPerUnitMo+UtilReimbPerUnitMo+OtherIncPerUnitMo)+RetailRentMo*MIN(1,LeaseUp!BS$10/StabilizedOccupancy))*(1-MgmtFeePct)-TotalUnits/12*(ExpInsurancePerUnit+ExpAdminPerUnit)-TotalUnits/12*BS$11*(ExpUtilitiesPerUnit+ExpRMPerUnit+ExpTurnoverPerUnit+ExpContractPerUnit)-TotalUnits/12*BS$12*(ExpPayrollPerUnit+ExpAdvertisingPerUnit),0)</f>
        <v/>
      </c>
      <c r="BT68" s="218">
        <f>IF(68&gt;=DeliverStart,((BaseMarketRentMo+BaseLowRentMo)*(LeaseUp!BT$10+LossToLeasePct+BadDebtPct+ConcessionsPct)+LeaseUp!BT$9*(ParkingPerUnitMo+UtilReimbPerUnitMo+OtherIncPerUnitMo)+RetailRentMo*MIN(1,LeaseUp!BT$10/StabilizedOccupancy))*(1-MgmtFeePct)-TotalUnits/12*(ExpInsurancePerUnit+ExpAdminPerUnit)-TotalUnits/12*BT$11*(ExpUtilitiesPerUnit+ExpRMPerUnit+ExpTurnoverPerUnit+ExpContractPerUnit)-TotalUnits/12*BT$12*(ExpPayrollPerUnit+ExpAdvertisingPerUnit),0)</f>
        <v/>
      </c>
      <c r="BU68" s="218">
        <f>IF(69&gt;=DeliverStart,((BaseMarketRentMo+BaseLowRentMo)*(LeaseUp!BU$10+LossToLeasePct+BadDebtPct+ConcessionsPct)+LeaseUp!BU$9*(ParkingPerUnitMo+UtilReimbPerUnitMo+OtherIncPerUnitMo)+RetailRentMo*MIN(1,LeaseUp!BU$10/StabilizedOccupancy))*(1-MgmtFeePct)-TotalUnits/12*(ExpInsurancePerUnit+ExpAdminPerUnit)-TotalUnits/12*BU$11*(ExpUtilitiesPerUnit+ExpRMPerUnit+ExpTurnoverPerUnit+ExpContractPerUnit)-TotalUnits/12*BU$12*(ExpPayrollPerUnit+ExpAdvertisingPerUnit),0)</f>
        <v/>
      </c>
      <c r="BV68" s="218">
        <f>IF(70&gt;=DeliverStart,((BaseMarketRentMo+BaseLowRentMo)*(LeaseUp!BV$10+LossToLeasePct+BadDebtPct+ConcessionsPct)+LeaseUp!BV$9*(ParkingPerUnitMo+UtilReimbPerUnitMo+OtherIncPerUnitMo)+RetailRentMo*MIN(1,LeaseUp!BV$10/StabilizedOccupancy))*(1-MgmtFeePct)-TotalUnits/12*(ExpInsurancePerUnit+ExpAdminPerUnit)-TotalUnits/12*BV$11*(ExpUtilitiesPerUnit+ExpRMPerUnit+ExpTurnoverPerUnit+ExpContractPerUnit)-TotalUnits/12*BV$12*(ExpPayrollPerUnit+ExpAdvertisingPerUnit),0)</f>
        <v/>
      </c>
      <c r="BW68" s="218">
        <f>IF(71&gt;=DeliverStart,((BaseMarketRentMo+BaseLowRentMo)*(LeaseUp!BW$10+LossToLeasePct+BadDebtPct+ConcessionsPct)+LeaseUp!BW$9*(ParkingPerUnitMo+UtilReimbPerUnitMo+OtherIncPerUnitMo)+RetailRentMo*MIN(1,LeaseUp!BW$10/StabilizedOccupancy))*(1-MgmtFeePct)-TotalUnits/12*(ExpInsurancePerUnit+ExpAdminPerUnit)-TotalUnits/12*BW$11*(ExpUtilitiesPerUnit+ExpRMPerUnit+ExpTurnoverPerUnit+ExpContractPerUnit)-TotalUnits/12*BW$12*(ExpPayrollPerUnit+ExpAdvertisingPerUnit),0)</f>
        <v/>
      </c>
      <c r="BX68" s="218">
        <f>IF(72&gt;=DeliverStart,((BaseMarketRentMo+BaseLowRentMo)*(LeaseUp!BX$10+LossToLeasePct+BadDebtPct+ConcessionsPct)+LeaseUp!BX$9*(ParkingPerUnitMo+UtilReimbPerUnitMo+OtherIncPerUnitMo)+RetailRentMo*MIN(1,LeaseUp!BX$10/StabilizedOccupancy))*(1-MgmtFeePct)-TotalUnits/12*(ExpInsurancePerUnit+ExpAdminPerUnit)-TotalUnits/12*BX$11*(ExpUtilitiesPerUnit+ExpRMPerUnit+ExpTurnoverPerUnit+ExpContractPerUnit)-TotalUnits/12*BX$12*(ExpPayrollPerUnit+ExpAdvertisingPerUnit),0)</f>
        <v/>
      </c>
      <c r="BY68" s="218">
        <f>IF(73&gt;=DeliverStart,((BaseMarketRentMo+BaseLowRentMo)*(LeaseUp!BY$10+LossToLeasePct+BadDebtPct+ConcessionsPct)+LeaseUp!BY$9*(ParkingPerUnitMo+UtilReimbPerUnitMo+OtherIncPerUnitMo)+RetailRentMo*MIN(1,LeaseUp!BY$10/StabilizedOccupancy))*(1-MgmtFeePct)-TotalUnits/12*(ExpInsurancePerUnit+ExpAdminPerUnit)-TotalUnits/12*BY$11*(ExpUtilitiesPerUnit+ExpRMPerUnit+ExpTurnoverPerUnit+ExpContractPerUnit)-TotalUnits/12*BY$12*(ExpPayrollPerUnit+ExpAdvertisingPerUnit),0)</f>
        <v/>
      </c>
      <c r="BZ68" s="218">
        <f>IF(74&gt;=DeliverStart,((BaseMarketRentMo+BaseLowRentMo)*(LeaseUp!BZ$10+LossToLeasePct+BadDebtPct+ConcessionsPct)+LeaseUp!BZ$9*(ParkingPerUnitMo+UtilReimbPerUnitMo+OtherIncPerUnitMo)+RetailRentMo*MIN(1,LeaseUp!BZ$10/StabilizedOccupancy))*(1-MgmtFeePct)-TotalUnits/12*(ExpInsurancePerUnit+ExpAdminPerUnit)-TotalUnits/12*BZ$11*(ExpUtilitiesPerUnit+ExpRMPerUnit+ExpTurnoverPerUnit+ExpContractPerUnit)-TotalUnits/12*BZ$12*(ExpPayrollPerUnit+ExpAdvertisingPerUnit),0)</f>
        <v/>
      </c>
      <c r="CA68" s="218">
        <f>IF(75&gt;=DeliverStart,((BaseMarketRentMo+BaseLowRentMo)*(LeaseUp!CA$10+LossToLeasePct+BadDebtPct+ConcessionsPct)+LeaseUp!CA$9*(ParkingPerUnitMo+UtilReimbPerUnitMo+OtherIncPerUnitMo)+RetailRentMo*MIN(1,LeaseUp!CA$10/StabilizedOccupancy))*(1-MgmtFeePct)-TotalUnits/12*(ExpInsurancePerUnit+ExpAdminPerUnit)-TotalUnits/12*CA$11*(ExpUtilitiesPerUnit+ExpRMPerUnit+ExpTurnoverPerUnit+ExpContractPerUnit)-TotalUnits/12*CA$12*(ExpPayrollPerUnit+ExpAdvertisingPerUnit),0)</f>
        <v/>
      </c>
      <c r="CB68" s="218">
        <f>IF(76&gt;=DeliverStart,((BaseMarketRentMo+BaseLowRentMo)*(LeaseUp!CB$10+LossToLeasePct+BadDebtPct+ConcessionsPct)+LeaseUp!CB$9*(ParkingPerUnitMo+UtilReimbPerUnitMo+OtherIncPerUnitMo)+RetailRentMo*MIN(1,LeaseUp!CB$10/StabilizedOccupancy))*(1-MgmtFeePct)-TotalUnits/12*(ExpInsurancePerUnit+ExpAdminPerUnit)-TotalUnits/12*CB$11*(ExpUtilitiesPerUnit+ExpRMPerUnit+ExpTurnoverPerUnit+ExpContractPerUnit)-TotalUnits/12*CB$12*(ExpPayrollPerUnit+ExpAdvertisingPerUnit),0)</f>
        <v/>
      </c>
      <c r="CC68" s="218">
        <f>IF(77&gt;=DeliverStart,((BaseMarketRentMo+BaseLowRentMo)*(LeaseUp!CC$10+LossToLeasePct+BadDebtPct+ConcessionsPct)+LeaseUp!CC$9*(ParkingPerUnitMo+UtilReimbPerUnitMo+OtherIncPerUnitMo)+RetailRentMo*MIN(1,LeaseUp!CC$10/StabilizedOccupancy))*(1-MgmtFeePct)-TotalUnits/12*(ExpInsurancePerUnit+ExpAdminPerUnit)-TotalUnits/12*CC$11*(ExpUtilitiesPerUnit+ExpRMPerUnit+ExpTurnoverPerUnit+ExpContractPerUnit)-TotalUnits/12*CC$12*(ExpPayrollPerUnit+ExpAdvertisingPerUnit),0)</f>
        <v/>
      </c>
      <c r="CD68" s="218">
        <f>IF(78&gt;=DeliverStart,((BaseMarketRentMo+BaseLowRentMo)*(LeaseUp!CD$10+LossToLeasePct+BadDebtPct+ConcessionsPct)+LeaseUp!CD$9*(ParkingPerUnitMo+UtilReimbPerUnitMo+OtherIncPerUnitMo)+RetailRentMo*MIN(1,LeaseUp!CD$10/StabilizedOccupancy))*(1-MgmtFeePct)-TotalUnits/12*(ExpInsurancePerUnit+ExpAdminPerUnit)-TotalUnits/12*CD$11*(ExpUtilitiesPerUnit+ExpRMPerUnit+ExpTurnoverPerUnit+ExpContractPerUnit)-TotalUnits/12*CD$12*(ExpPayrollPerUnit+ExpAdvertisingPerUnit),0)</f>
        <v/>
      </c>
      <c r="CE68" s="218">
        <f>IF(79&gt;=DeliverStart,((BaseMarketRentMo+BaseLowRentMo)*(LeaseUp!CE$10+LossToLeasePct+BadDebtPct+ConcessionsPct)+LeaseUp!CE$9*(ParkingPerUnitMo+UtilReimbPerUnitMo+OtherIncPerUnitMo)+RetailRentMo*MIN(1,LeaseUp!CE$10/StabilizedOccupancy))*(1-MgmtFeePct)-TotalUnits/12*(ExpInsurancePerUnit+ExpAdminPerUnit)-TotalUnits/12*CE$11*(ExpUtilitiesPerUnit+ExpRMPerUnit+ExpTurnoverPerUnit+ExpContractPerUnit)-TotalUnits/12*CE$12*(ExpPayrollPerUnit+ExpAdvertisingPerUnit),0)</f>
        <v/>
      </c>
      <c r="CF68" s="218">
        <f>IF(80&gt;=DeliverStart,((BaseMarketRentMo+BaseLowRentMo)*(LeaseUp!CF$10+LossToLeasePct+BadDebtPct+ConcessionsPct)+LeaseUp!CF$9*(ParkingPerUnitMo+UtilReimbPerUnitMo+OtherIncPerUnitMo)+RetailRentMo*MIN(1,LeaseUp!CF$10/StabilizedOccupancy))*(1-MgmtFeePct)-TotalUnits/12*(ExpInsurancePerUnit+ExpAdminPerUnit)-TotalUnits/12*CF$11*(ExpUtilitiesPerUnit+ExpRMPerUnit+ExpTurnoverPerUnit+ExpContractPerUnit)-TotalUnits/12*CF$12*(ExpPayrollPerUnit+ExpAdvertisingPerUnit),0)</f>
        <v/>
      </c>
      <c r="CG68" s="218">
        <f>IF(81&gt;=DeliverStart,((BaseMarketRentMo+BaseLowRentMo)*(LeaseUp!CG$10+LossToLeasePct+BadDebtPct+ConcessionsPct)+LeaseUp!CG$9*(ParkingPerUnitMo+UtilReimbPerUnitMo+OtherIncPerUnitMo)+RetailRentMo*MIN(1,LeaseUp!CG$10/StabilizedOccupancy))*(1-MgmtFeePct)-TotalUnits/12*(ExpInsurancePerUnit+ExpAdminPerUnit)-TotalUnits/12*CG$11*(ExpUtilitiesPerUnit+ExpRMPerUnit+ExpTurnoverPerUnit+ExpContractPerUnit)-TotalUnits/12*CG$12*(ExpPayrollPerUnit+ExpAdvertisingPerUnit),0)</f>
        <v/>
      </c>
      <c r="CH68" s="218">
        <f>IF(82&gt;=DeliverStart,((BaseMarketRentMo+BaseLowRentMo)*(LeaseUp!CH$10+LossToLeasePct+BadDebtPct+ConcessionsPct)+LeaseUp!CH$9*(ParkingPerUnitMo+UtilReimbPerUnitMo+OtherIncPerUnitMo)+RetailRentMo*MIN(1,LeaseUp!CH$10/StabilizedOccupancy))*(1-MgmtFeePct)-TotalUnits/12*(ExpInsurancePerUnit+ExpAdminPerUnit)-TotalUnits/12*CH$11*(ExpUtilitiesPerUnit+ExpRMPerUnit+ExpTurnoverPerUnit+ExpContractPerUnit)-TotalUnits/12*CH$12*(ExpPayrollPerUnit+ExpAdvertisingPerUnit),0)</f>
        <v/>
      </c>
      <c r="CI68" s="218">
        <f>IF(83&gt;=DeliverStart,((BaseMarketRentMo+BaseLowRentMo)*(LeaseUp!CI$10+LossToLeasePct+BadDebtPct+ConcessionsPct)+LeaseUp!CI$9*(ParkingPerUnitMo+UtilReimbPerUnitMo+OtherIncPerUnitMo)+RetailRentMo*MIN(1,LeaseUp!CI$10/StabilizedOccupancy))*(1-MgmtFeePct)-TotalUnits/12*(ExpInsurancePerUnit+ExpAdminPerUnit)-TotalUnits/12*CI$11*(ExpUtilitiesPerUnit+ExpRMPerUnit+ExpTurnoverPerUnit+ExpContractPerUnit)-TotalUnits/12*CI$12*(ExpPayrollPerUnit+ExpAdvertisingPerUnit),0)</f>
        <v/>
      </c>
      <c r="CJ68" s="218">
        <f>IF(84&gt;=DeliverStart,((BaseMarketRentMo+BaseLowRentMo)*(LeaseUp!CJ$10+LossToLeasePct+BadDebtPct+ConcessionsPct)+LeaseUp!CJ$9*(ParkingPerUnitMo+UtilReimbPerUnitMo+OtherIncPerUnitMo)+RetailRentMo*MIN(1,LeaseUp!CJ$10/StabilizedOccupancy))*(1-MgmtFeePct)-TotalUnits/12*(ExpInsurancePerUnit+ExpAdminPerUnit)-TotalUnits/12*CJ$11*(ExpUtilitiesPerUnit+ExpRMPerUnit+ExpTurnoverPerUnit+ExpContractPerUnit)-TotalUnits/12*CJ$12*(ExpPayrollPerUnit+ExpAdvertisingPerUnit),0)</f>
        <v/>
      </c>
      <c r="CK68" s="218">
        <f>IF(85&gt;=DeliverStart,((BaseMarketRentMo+BaseLowRentMo)*(LeaseUp!CK$10+LossToLeasePct+BadDebtPct+ConcessionsPct)+LeaseUp!CK$9*(ParkingPerUnitMo+UtilReimbPerUnitMo+OtherIncPerUnitMo)+RetailRentMo*MIN(1,LeaseUp!CK$10/StabilizedOccupancy))*(1-MgmtFeePct)-TotalUnits/12*(ExpInsurancePerUnit+ExpAdminPerUnit)-TotalUnits/12*CK$11*(ExpUtilitiesPerUnit+ExpRMPerUnit+ExpTurnoverPerUnit+ExpContractPerUnit)-TotalUnits/12*CK$12*(ExpPayrollPerUnit+ExpAdvertisingPerUnit),0)</f>
        <v/>
      </c>
      <c r="CL68" s="218">
        <f>IF(86&gt;=DeliverStart,((BaseMarketRentMo+BaseLowRentMo)*(LeaseUp!CL$10+LossToLeasePct+BadDebtPct+ConcessionsPct)+LeaseUp!CL$9*(ParkingPerUnitMo+UtilReimbPerUnitMo+OtherIncPerUnitMo)+RetailRentMo*MIN(1,LeaseUp!CL$10/StabilizedOccupancy))*(1-MgmtFeePct)-TotalUnits/12*(ExpInsurancePerUnit+ExpAdminPerUnit)-TotalUnits/12*CL$11*(ExpUtilitiesPerUnit+ExpRMPerUnit+ExpTurnoverPerUnit+ExpContractPerUnit)-TotalUnits/12*CL$12*(ExpPayrollPerUnit+ExpAdvertisingPerUnit),0)</f>
        <v/>
      </c>
      <c r="CM68" s="218">
        <f>IF(87&gt;=DeliverStart,((BaseMarketRentMo+BaseLowRentMo)*(LeaseUp!CM$10+LossToLeasePct+BadDebtPct+ConcessionsPct)+LeaseUp!CM$9*(ParkingPerUnitMo+UtilReimbPerUnitMo+OtherIncPerUnitMo)+RetailRentMo*MIN(1,LeaseUp!CM$10/StabilizedOccupancy))*(1-MgmtFeePct)-TotalUnits/12*(ExpInsurancePerUnit+ExpAdminPerUnit)-TotalUnits/12*CM$11*(ExpUtilitiesPerUnit+ExpRMPerUnit+ExpTurnoverPerUnit+ExpContractPerUnit)-TotalUnits/12*CM$12*(ExpPayrollPerUnit+ExpAdvertisingPerUnit),0)</f>
        <v/>
      </c>
      <c r="CN68" s="218">
        <f>IF(88&gt;=DeliverStart,((BaseMarketRentMo+BaseLowRentMo)*(LeaseUp!CN$10+LossToLeasePct+BadDebtPct+ConcessionsPct)+LeaseUp!CN$9*(ParkingPerUnitMo+UtilReimbPerUnitMo+OtherIncPerUnitMo)+RetailRentMo*MIN(1,LeaseUp!CN$10/StabilizedOccupancy))*(1-MgmtFeePct)-TotalUnits/12*(ExpInsurancePerUnit+ExpAdminPerUnit)-TotalUnits/12*CN$11*(ExpUtilitiesPerUnit+ExpRMPerUnit+ExpTurnoverPerUnit+ExpContractPerUnit)-TotalUnits/12*CN$12*(ExpPayrollPerUnit+ExpAdvertisingPerUnit),0)</f>
        <v/>
      </c>
      <c r="CO68" s="218">
        <f>IF(89&gt;=DeliverStart,((BaseMarketRentMo+BaseLowRentMo)*(LeaseUp!CO$10+LossToLeasePct+BadDebtPct+ConcessionsPct)+LeaseUp!CO$9*(ParkingPerUnitMo+UtilReimbPerUnitMo+OtherIncPerUnitMo)+RetailRentMo*MIN(1,LeaseUp!CO$10/StabilizedOccupancy))*(1-MgmtFeePct)-TotalUnits/12*(ExpInsurancePerUnit+ExpAdminPerUnit)-TotalUnits/12*CO$11*(ExpUtilitiesPerUnit+ExpRMPerUnit+ExpTurnoverPerUnit+ExpContractPerUnit)-TotalUnits/12*CO$12*(ExpPayrollPerUnit+ExpAdvertisingPerUnit),0)</f>
        <v/>
      </c>
      <c r="CP68" s="218">
        <f>IF(90&gt;=DeliverStart,((BaseMarketRentMo+BaseLowRentMo)*(LeaseUp!CP$10+LossToLeasePct+BadDebtPct+ConcessionsPct)+LeaseUp!CP$9*(ParkingPerUnitMo+UtilReimbPerUnitMo+OtherIncPerUnitMo)+RetailRentMo*MIN(1,LeaseUp!CP$10/StabilizedOccupancy))*(1-MgmtFeePct)-TotalUnits/12*(ExpInsurancePerUnit+ExpAdminPerUnit)-TotalUnits/12*CP$11*(ExpUtilitiesPerUnit+ExpRMPerUnit+ExpTurnoverPerUnit+ExpContractPerUnit)-TotalUnits/12*CP$12*(ExpPayrollPerUnit+ExpAdvertisingPerUnit),0)</f>
        <v/>
      </c>
      <c r="CQ68" s="218">
        <f>IF(91&gt;=DeliverStart,((BaseMarketRentMo+BaseLowRentMo)*(LeaseUp!CQ$10+LossToLeasePct+BadDebtPct+ConcessionsPct)+LeaseUp!CQ$9*(ParkingPerUnitMo+UtilReimbPerUnitMo+OtherIncPerUnitMo)+RetailRentMo*MIN(1,LeaseUp!CQ$10/StabilizedOccupancy))*(1-MgmtFeePct)-TotalUnits/12*(ExpInsurancePerUnit+ExpAdminPerUnit)-TotalUnits/12*CQ$11*(ExpUtilitiesPerUnit+ExpRMPerUnit+ExpTurnoverPerUnit+ExpContractPerUnit)-TotalUnits/12*CQ$12*(ExpPayrollPerUnit+ExpAdvertisingPerUnit),0)</f>
        <v/>
      </c>
      <c r="CR68" s="218">
        <f>IF(92&gt;=DeliverStart,((BaseMarketRentMo+BaseLowRentMo)*(LeaseUp!CR$10+LossToLeasePct+BadDebtPct+ConcessionsPct)+LeaseUp!CR$9*(ParkingPerUnitMo+UtilReimbPerUnitMo+OtherIncPerUnitMo)+RetailRentMo*MIN(1,LeaseUp!CR$10/StabilizedOccupancy))*(1-MgmtFeePct)-TotalUnits/12*(ExpInsurancePerUnit+ExpAdminPerUnit)-TotalUnits/12*CR$11*(ExpUtilitiesPerUnit+ExpRMPerUnit+ExpTurnoverPerUnit+ExpContractPerUnit)-TotalUnits/12*CR$12*(ExpPayrollPerUnit+ExpAdvertisingPerUnit),0)</f>
        <v/>
      </c>
      <c r="CS68" s="218">
        <f>IF(93&gt;=DeliverStart,((BaseMarketRentMo+BaseLowRentMo)*(LeaseUp!CS$10+LossToLeasePct+BadDebtPct+ConcessionsPct)+LeaseUp!CS$9*(ParkingPerUnitMo+UtilReimbPerUnitMo+OtherIncPerUnitMo)+RetailRentMo*MIN(1,LeaseUp!CS$10/StabilizedOccupancy))*(1-MgmtFeePct)-TotalUnits/12*(ExpInsurancePerUnit+ExpAdminPerUnit)-TotalUnits/12*CS$11*(ExpUtilitiesPerUnit+ExpRMPerUnit+ExpTurnoverPerUnit+ExpContractPerUnit)-TotalUnits/12*CS$12*(ExpPayrollPerUnit+ExpAdvertisingPerUnit),0)</f>
        <v/>
      </c>
      <c r="CT68" s="218">
        <f>IF(94&gt;=DeliverStart,((BaseMarketRentMo+BaseLowRentMo)*(LeaseUp!CT$10+LossToLeasePct+BadDebtPct+ConcessionsPct)+LeaseUp!CT$9*(ParkingPerUnitMo+UtilReimbPerUnitMo+OtherIncPerUnitMo)+RetailRentMo*MIN(1,LeaseUp!CT$10/StabilizedOccupancy))*(1-MgmtFeePct)-TotalUnits/12*(ExpInsurancePerUnit+ExpAdminPerUnit)-TotalUnits/12*CT$11*(ExpUtilitiesPerUnit+ExpRMPerUnit+ExpTurnoverPerUnit+ExpContractPerUnit)-TotalUnits/12*CT$12*(ExpPayrollPerUnit+ExpAdvertisingPerUnit),0)</f>
        <v/>
      </c>
      <c r="CU68" s="218">
        <f>IF(95&gt;=DeliverStart,((BaseMarketRentMo+BaseLowRentMo)*(LeaseUp!CU$10+LossToLeasePct+BadDebtPct+ConcessionsPct)+LeaseUp!CU$9*(ParkingPerUnitMo+UtilReimbPerUnitMo+OtherIncPerUnitMo)+RetailRentMo*MIN(1,LeaseUp!CU$10/StabilizedOccupancy))*(1-MgmtFeePct)-TotalUnits/12*(ExpInsurancePerUnit+ExpAdminPerUnit)-TotalUnits/12*CU$11*(ExpUtilitiesPerUnit+ExpRMPerUnit+ExpTurnoverPerUnit+ExpContractPerUnit)-TotalUnits/12*CU$12*(ExpPayrollPerUnit+ExpAdvertisingPerUnit),0)</f>
        <v/>
      </c>
      <c r="CV68" s="218">
        <f>IF(96&gt;=DeliverStart,((BaseMarketRentMo+BaseLowRentMo)*(LeaseUp!CV$10+LossToLeasePct+BadDebtPct+ConcessionsPct)+LeaseUp!CV$9*(ParkingPerUnitMo+UtilReimbPerUnitMo+OtherIncPerUnitMo)+RetailRentMo*MIN(1,LeaseUp!CV$10/StabilizedOccupancy))*(1-MgmtFeePct)-TotalUnits/12*(ExpInsurancePerUnit+ExpAdminPerUnit)-TotalUnits/12*CV$11*(ExpUtilitiesPerUnit+ExpRMPerUnit+ExpTurnoverPerUnit+ExpContractPerUnit)-TotalUnits/12*CV$12*(ExpPayrollPerUnit+ExpAdvertisingPerUnit),0)</f>
        <v/>
      </c>
      <c r="CW68" s="218">
        <f>IF(97&gt;=DeliverStart,((BaseMarketRentMo+BaseLowRentMo)*(LeaseUp!CW$10+LossToLeasePct+BadDebtPct+ConcessionsPct)+LeaseUp!CW$9*(ParkingPerUnitMo+UtilReimbPerUnitMo+OtherIncPerUnitMo)+RetailRentMo*MIN(1,LeaseUp!CW$10/StabilizedOccupancy))*(1-MgmtFeePct)-TotalUnits/12*(ExpInsurancePerUnit+ExpAdminPerUnit)-TotalUnits/12*CW$11*(ExpUtilitiesPerUnit+ExpRMPerUnit+ExpTurnoverPerUnit+ExpContractPerUnit)-TotalUnits/12*CW$12*(ExpPayrollPerUnit+ExpAdvertisingPerUnit),0)</f>
        <v/>
      </c>
      <c r="CX68" s="218">
        <f>IF(98&gt;=DeliverStart,((BaseMarketRentMo+BaseLowRentMo)*(LeaseUp!CX$10+LossToLeasePct+BadDebtPct+ConcessionsPct)+LeaseUp!CX$9*(ParkingPerUnitMo+UtilReimbPerUnitMo+OtherIncPerUnitMo)+RetailRentMo*MIN(1,LeaseUp!CX$10/StabilizedOccupancy))*(1-MgmtFeePct)-TotalUnits/12*(ExpInsurancePerUnit+ExpAdminPerUnit)-TotalUnits/12*CX$11*(ExpUtilitiesPerUnit+ExpRMPerUnit+ExpTurnoverPerUnit+ExpContractPerUnit)-TotalUnits/12*CX$12*(ExpPayrollPerUnit+ExpAdvertisingPerUnit),0)</f>
        <v/>
      </c>
      <c r="CY68" s="218">
        <f>IF(99&gt;=DeliverStart,((BaseMarketRentMo+BaseLowRentMo)*(LeaseUp!CY$10+LossToLeasePct+BadDebtPct+ConcessionsPct)+LeaseUp!CY$9*(ParkingPerUnitMo+UtilReimbPerUnitMo+OtherIncPerUnitMo)+RetailRentMo*MIN(1,LeaseUp!CY$10/StabilizedOccupancy))*(1-MgmtFeePct)-TotalUnits/12*(ExpInsurancePerUnit+ExpAdminPerUnit)-TotalUnits/12*CY$11*(ExpUtilitiesPerUnit+ExpRMPerUnit+ExpTurnoverPerUnit+ExpContractPerUnit)-TotalUnits/12*CY$12*(ExpPayrollPerUnit+ExpAdvertisingPerUnit),0)</f>
        <v/>
      </c>
      <c r="CZ68" s="218">
        <f>IF(100&gt;=DeliverStart,((BaseMarketRentMo+BaseLowRentMo)*(LeaseUp!CZ$10+LossToLeasePct+BadDebtPct+ConcessionsPct)+LeaseUp!CZ$9*(ParkingPerUnitMo+UtilReimbPerUnitMo+OtherIncPerUnitMo)+RetailRentMo*MIN(1,LeaseUp!CZ$10/StabilizedOccupancy))*(1-MgmtFeePct)-TotalUnits/12*(ExpInsurancePerUnit+ExpAdminPerUnit)-TotalUnits/12*CZ$11*(ExpUtilitiesPerUnit+ExpRMPerUnit+ExpTurnoverPerUnit+ExpContractPerUnit)-TotalUnits/12*CZ$12*(ExpPayrollPerUnit+ExpAdvertisingPerUnit),0)</f>
        <v/>
      </c>
      <c r="DA68" s="218">
        <f>IF(101&gt;=DeliverStart,((BaseMarketRentMo+BaseLowRentMo)*(LeaseUp!DA$10+LossToLeasePct+BadDebtPct+ConcessionsPct)+LeaseUp!DA$9*(ParkingPerUnitMo+UtilReimbPerUnitMo+OtherIncPerUnitMo)+RetailRentMo*MIN(1,LeaseUp!DA$10/StabilizedOccupancy))*(1-MgmtFeePct)-TotalUnits/12*(ExpInsurancePerUnit+ExpAdminPerUnit)-TotalUnits/12*DA$11*(ExpUtilitiesPerUnit+ExpRMPerUnit+ExpTurnoverPerUnit+ExpContractPerUnit)-TotalUnits/12*DA$12*(ExpPayrollPerUnit+ExpAdvertisingPerUnit),0)</f>
        <v/>
      </c>
      <c r="DB68" s="218">
        <f>IF(102&gt;=DeliverStart,((BaseMarketRentMo+BaseLowRentMo)*(LeaseUp!DB$10+LossToLeasePct+BadDebtPct+ConcessionsPct)+LeaseUp!DB$9*(ParkingPerUnitMo+UtilReimbPerUnitMo+OtherIncPerUnitMo)+RetailRentMo*MIN(1,LeaseUp!DB$10/StabilizedOccupancy))*(1-MgmtFeePct)-TotalUnits/12*(ExpInsurancePerUnit+ExpAdminPerUnit)-TotalUnits/12*DB$11*(ExpUtilitiesPerUnit+ExpRMPerUnit+ExpTurnoverPerUnit+ExpContractPerUnit)-TotalUnits/12*DB$12*(ExpPayrollPerUnit+ExpAdvertisingPerUnit),0)</f>
        <v/>
      </c>
      <c r="DC68" s="218">
        <f>IF(103&gt;=DeliverStart,((BaseMarketRentMo+BaseLowRentMo)*(LeaseUp!DC$10+LossToLeasePct+BadDebtPct+ConcessionsPct)+LeaseUp!DC$9*(ParkingPerUnitMo+UtilReimbPerUnitMo+OtherIncPerUnitMo)+RetailRentMo*MIN(1,LeaseUp!DC$10/StabilizedOccupancy))*(1-MgmtFeePct)-TotalUnits/12*(ExpInsurancePerUnit+ExpAdminPerUnit)-TotalUnits/12*DC$11*(ExpUtilitiesPerUnit+ExpRMPerUnit+ExpTurnoverPerUnit+ExpContractPerUnit)-TotalUnits/12*DC$12*(ExpPayrollPerUnit+ExpAdvertisingPerUnit),0)</f>
        <v/>
      </c>
      <c r="DD68" s="218">
        <f>IF(104&gt;=DeliverStart,((BaseMarketRentMo+BaseLowRentMo)*(LeaseUp!DD$10+LossToLeasePct+BadDebtPct+ConcessionsPct)+LeaseUp!DD$9*(ParkingPerUnitMo+UtilReimbPerUnitMo+OtherIncPerUnitMo)+RetailRentMo*MIN(1,LeaseUp!DD$10/StabilizedOccupancy))*(1-MgmtFeePct)-TotalUnits/12*(ExpInsurancePerUnit+ExpAdminPerUnit)-TotalUnits/12*DD$11*(ExpUtilitiesPerUnit+ExpRMPerUnit+ExpTurnoverPerUnit+ExpContractPerUnit)-TotalUnits/12*DD$12*(ExpPayrollPerUnit+ExpAdvertisingPerUnit),0)</f>
        <v/>
      </c>
      <c r="DE68" s="218">
        <f>IF(105&gt;=DeliverStart,((BaseMarketRentMo+BaseLowRentMo)*(LeaseUp!DE$10+LossToLeasePct+BadDebtPct+ConcessionsPct)+LeaseUp!DE$9*(ParkingPerUnitMo+UtilReimbPerUnitMo+OtherIncPerUnitMo)+RetailRentMo*MIN(1,LeaseUp!DE$10/StabilizedOccupancy))*(1-MgmtFeePct)-TotalUnits/12*(ExpInsurancePerUnit+ExpAdminPerUnit)-TotalUnits/12*DE$11*(ExpUtilitiesPerUnit+ExpRMPerUnit+ExpTurnoverPerUnit+ExpContractPerUnit)-TotalUnits/12*DE$12*(ExpPayrollPerUnit+ExpAdvertisingPerUnit),0)</f>
        <v/>
      </c>
      <c r="DF68" s="218">
        <f>IF(106&gt;=DeliverStart,((BaseMarketRentMo+BaseLowRentMo)*(LeaseUp!DF$10+LossToLeasePct+BadDebtPct+ConcessionsPct)+LeaseUp!DF$9*(ParkingPerUnitMo+UtilReimbPerUnitMo+OtherIncPerUnitMo)+RetailRentMo*MIN(1,LeaseUp!DF$10/StabilizedOccupancy))*(1-MgmtFeePct)-TotalUnits/12*(ExpInsurancePerUnit+ExpAdminPerUnit)-TotalUnits/12*DF$11*(ExpUtilitiesPerUnit+ExpRMPerUnit+ExpTurnoverPerUnit+ExpContractPerUnit)-TotalUnits/12*DF$12*(ExpPayrollPerUnit+ExpAdvertisingPerUnit),0)</f>
        <v/>
      </c>
      <c r="DG68" s="218">
        <f>IF(107&gt;=DeliverStart,((BaseMarketRentMo+BaseLowRentMo)*(LeaseUp!DG$10+LossToLeasePct+BadDebtPct+ConcessionsPct)+LeaseUp!DG$9*(ParkingPerUnitMo+UtilReimbPerUnitMo+OtherIncPerUnitMo)+RetailRentMo*MIN(1,LeaseUp!DG$10/StabilizedOccupancy))*(1-MgmtFeePct)-TotalUnits/12*(ExpInsurancePerUnit+ExpAdminPerUnit)-TotalUnits/12*DG$11*(ExpUtilitiesPerUnit+ExpRMPerUnit+ExpTurnoverPerUnit+ExpContractPerUnit)-TotalUnits/12*DG$12*(ExpPayrollPerUnit+ExpAdvertisingPerUnit),0)</f>
        <v/>
      </c>
      <c r="DH68" s="218">
        <f>IF(108&gt;=DeliverStart,((BaseMarketRentMo+BaseLowRentMo)*(LeaseUp!DH$10+LossToLeasePct+BadDebtPct+ConcessionsPct)+LeaseUp!DH$9*(ParkingPerUnitMo+UtilReimbPerUnitMo+OtherIncPerUnitMo)+RetailRentMo*MIN(1,LeaseUp!DH$10/StabilizedOccupancy))*(1-MgmtFeePct)-TotalUnits/12*(ExpInsurancePerUnit+ExpAdminPerUnit)-TotalUnits/12*DH$11*(ExpUtilitiesPerUnit+ExpRMPerUnit+ExpTurnoverPerUnit+ExpContractPerUnit)-TotalUnits/12*DH$12*(ExpPayrollPerUnit+ExpAdvertisingPerUnit),0)</f>
        <v/>
      </c>
      <c r="DI68" s="218">
        <f>IF(109&gt;=DeliverStart,((BaseMarketRentMo+BaseLowRentMo)*(LeaseUp!DI$10+LossToLeasePct+BadDebtPct+ConcessionsPct)+LeaseUp!DI$9*(ParkingPerUnitMo+UtilReimbPerUnitMo+OtherIncPerUnitMo)+RetailRentMo*MIN(1,LeaseUp!DI$10/StabilizedOccupancy))*(1-MgmtFeePct)-TotalUnits/12*(ExpInsurancePerUnit+ExpAdminPerUnit)-TotalUnits/12*DI$11*(ExpUtilitiesPerUnit+ExpRMPerUnit+ExpTurnoverPerUnit+ExpContractPerUnit)-TotalUnits/12*DI$12*(ExpPayrollPerUnit+ExpAdvertisingPerUnit),0)</f>
        <v/>
      </c>
      <c r="DJ68" s="218">
        <f>IF(110&gt;=DeliverStart,((BaseMarketRentMo+BaseLowRentMo)*(LeaseUp!DJ$10+LossToLeasePct+BadDebtPct+ConcessionsPct)+LeaseUp!DJ$9*(ParkingPerUnitMo+UtilReimbPerUnitMo+OtherIncPerUnitMo)+RetailRentMo*MIN(1,LeaseUp!DJ$10/StabilizedOccupancy))*(1-MgmtFeePct)-TotalUnits/12*(ExpInsurancePerUnit+ExpAdminPerUnit)-TotalUnits/12*DJ$11*(ExpUtilitiesPerUnit+ExpRMPerUnit+ExpTurnoverPerUnit+ExpContractPerUnit)-TotalUnits/12*DJ$12*(ExpPayrollPerUnit+ExpAdvertisingPerUnit),0)</f>
        <v/>
      </c>
      <c r="DK68" s="218">
        <f>IF(111&gt;=DeliverStart,((BaseMarketRentMo+BaseLowRentMo)*(LeaseUp!DK$10+LossToLeasePct+BadDebtPct+ConcessionsPct)+LeaseUp!DK$9*(ParkingPerUnitMo+UtilReimbPerUnitMo+OtherIncPerUnitMo)+RetailRentMo*MIN(1,LeaseUp!DK$10/StabilizedOccupancy))*(1-MgmtFeePct)-TotalUnits/12*(ExpInsurancePerUnit+ExpAdminPerUnit)-TotalUnits/12*DK$11*(ExpUtilitiesPerUnit+ExpRMPerUnit+ExpTurnoverPerUnit+ExpContractPerUnit)-TotalUnits/12*DK$12*(ExpPayrollPerUnit+ExpAdvertisingPerUnit),0)</f>
        <v/>
      </c>
      <c r="DL68" s="218">
        <f>IF(112&gt;=DeliverStart,((BaseMarketRentMo+BaseLowRentMo)*(LeaseUp!DL$10+LossToLeasePct+BadDebtPct+ConcessionsPct)+LeaseUp!DL$9*(ParkingPerUnitMo+UtilReimbPerUnitMo+OtherIncPerUnitMo)+RetailRentMo*MIN(1,LeaseUp!DL$10/StabilizedOccupancy))*(1-MgmtFeePct)-TotalUnits/12*(ExpInsurancePerUnit+ExpAdminPerUnit)-TotalUnits/12*DL$11*(ExpUtilitiesPerUnit+ExpRMPerUnit+ExpTurnoverPerUnit+ExpContractPerUnit)-TotalUnits/12*DL$12*(ExpPayrollPerUnit+ExpAdvertisingPerUnit),0)</f>
        <v/>
      </c>
      <c r="DM68" s="218">
        <f>IF(113&gt;=DeliverStart,((BaseMarketRentMo+BaseLowRentMo)*(LeaseUp!DM$10+LossToLeasePct+BadDebtPct+ConcessionsPct)+LeaseUp!DM$9*(ParkingPerUnitMo+UtilReimbPerUnitMo+OtherIncPerUnitMo)+RetailRentMo*MIN(1,LeaseUp!DM$10/StabilizedOccupancy))*(1-MgmtFeePct)-TotalUnits/12*(ExpInsurancePerUnit+ExpAdminPerUnit)-TotalUnits/12*DM$11*(ExpUtilitiesPerUnit+ExpRMPerUnit+ExpTurnoverPerUnit+ExpContractPerUnit)-TotalUnits/12*DM$12*(ExpPayrollPerUnit+ExpAdvertisingPerUnit),0)</f>
        <v/>
      </c>
      <c r="DN68" s="218">
        <f>IF(114&gt;=DeliverStart,((BaseMarketRentMo+BaseLowRentMo)*(LeaseUp!DN$10+LossToLeasePct+BadDebtPct+ConcessionsPct)+LeaseUp!DN$9*(ParkingPerUnitMo+UtilReimbPerUnitMo+OtherIncPerUnitMo)+RetailRentMo*MIN(1,LeaseUp!DN$10/StabilizedOccupancy))*(1-MgmtFeePct)-TotalUnits/12*(ExpInsurancePerUnit+ExpAdminPerUnit)-TotalUnits/12*DN$11*(ExpUtilitiesPerUnit+ExpRMPerUnit+ExpTurnoverPerUnit+ExpContractPerUnit)-TotalUnits/12*DN$12*(ExpPayrollPerUnit+ExpAdvertisingPerUnit),0)</f>
        <v/>
      </c>
      <c r="DO68" s="218">
        <f>IF(115&gt;=DeliverStart,((BaseMarketRentMo+BaseLowRentMo)*(LeaseUp!DO$10+LossToLeasePct+BadDebtPct+ConcessionsPct)+LeaseUp!DO$9*(ParkingPerUnitMo+UtilReimbPerUnitMo+OtherIncPerUnitMo)+RetailRentMo*MIN(1,LeaseUp!DO$10/StabilizedOccupancy))*(1-MgmtFeePct)-TotalUnits/12*(ExpInsurancePerUnit+ExpAdminPerUnit)-TotalUnits/12*DO$11*(ExpUtilitiesPerUnit+ExpRMPerUnit+ExpTurnoverPerUnit+ExpContractPerUnit)-TotalUnits/12*DO$12*(ExpPayrollPerUnit+ExpAdvertisingPerUnit),0)</f>
        <v/>
      </c>
      <c r="DP68" s="218">
        <f>IF(116&gt;=DeliverStart,((BaseMarketRentMo+BaseLowRentMo)*(LeaseUp!DP$10+LossToLeasePct+BadDebtPct+ConcessionsPct)+LeaseUp!DP$9*(ParkingPerUnitMo+UtilReimbPerUnitMo+OtherIncPerUnitMo)+RetailRentMo*MIN(1,LeaseUp!DP$10/StabilizedOccupancy))*(1-MgmtFeePct)-TotalUnits/12*(ExpInsurancePerUnit+ExpAdminPerUnit)-TotalUnits/12*DP$11*(ExpUtilitiesPerUnit+ExpRMPerUnit+ExpTurnoverPerUnit+ExpContractPerUnit)-TotalUnits/12*DP$12*(ExpPayrollPerUnit+ExpAdvertisingPerUnit),0)</f>
        <v/>
      </c>
      <c r="DQ68" s="218">
        <f>IF(117&gt;=DeliverStart,((BaseMarketRentMo+BaseLowRentMo)*(LeaseUp!DQ$10+LossToLeasePct+BadDebtPct+ConcessionsPct)+LeaseUp!DQ$9*(ParkingPerUnitMo+UtilReimbPerUnitMo+OtherIncPerUnitMo)+RetailRentMo*MIN(1,LeaseUp!DQ$10/StabilizedOccupancy))*(1-MgmtFeePct)-TotalUnits/12*(ExpInsurancePerUnit+ExpAdminPerUnit)-TotalUnits/12*DQ$11*(ExpUtilitiesPerUnit+ExpRMPerUnit+ExpTurnoverPerUnit+ExpContractPerUnit)-TotalUnits/12*DQ$12*(ExpPayrollPerUnit+ExpAdvertisingPerUnit),0)</f>
        <v/>
      </c>
      <c r="DR68" s="218">
        <f>IF(118&gt;=DeliverStart,((BaseMarketRentMo+BaseLowRentMo)*(LeaseUp!DR$10+LossToLeasePct+BadDebtPct+ConcessionsPct)+LeaseUp!DR$9*(ParkingPerUnitMo+UtilReimbPerUnitMo+OtherIncPerUnitMo)+RetailRentMo*MIN(1,LeaseUp!DR$10/StabilizedOccupancy))*(1-MgmtFeePct)-TotalUnits/12*(ExpInsurancePerUnit+ExpAdminPerUnit)-TotalUnits/12*DR$11*(ExpUtilitiesPerUnit+ExpRMPerUnit+ExpTurnoverPerUnit+ExpContractPerUnit)-TotalUnits/12*DR$12*(ExpPayrollPerUnit+ExpAdvertisingPerUnit),0)</f>
        <v/>
      </c>
      <c r="DS68" s="218">
        <f>IF(119&gt;=DeliverStart,((BaseMarketRentMo+BaseLowRentMo)*(LeaseUp!DS$10+LossToLeasePct+BadDebtPct+ConcessionsPct)+LeaseUp!DS$9*(ParkingPerUnitMo+UtilReimbPerUnitMo+OtherIncPerUnitMo)+RetailRentMo*MIN(1,LeaseUp!DS$10/StabilizedOccupancy))*(1-MgmtFeePct)-TotalUnits/12*(ExpInsurancePerUnit+ExpAdminPerUnit)-TotalUnits/12*DS$11*(ExpUtilitiesPerUnit+ExpRMPerUnit+ExpTurnoverPerUnit+ExpContractPerUnit)-TotalUnits/12*DS$12*(ExpPayrollPerUnit+ExpAdvertisingPerUnit),0)</f>
        <v/>
      </c>
      <c r="DT68" s="218">
        <f>IF(120&gt;=DeliverStart,((BaseMarketRentMo+BaseLowRentMo)*(LeaseUp!DT$10+LossToLeasePct+BadDebtPct+ConcessionsPct)+LeaseUp!DT$9*(ParkingPerUnitMo+UtilReimbPerUnitMo+OtherIncPerUnitMo)+RetailRentMo*MIN(1,LeaseUp!DT$10/StabilizedOccupancy))*(1-MgmtFeePct)-TotalUnits/12*(ExpInsurancePerUnit+ExpAdminPerUnit)-TotalUnits/12*DT$11*(ExpUtilitiesPerUnit+ExpRMPerUnit+ExpTurnoverPerUnit+ExpContractPerUnit)-TotalUnits/12*DT$12*(ExpPayrollPerUnit+ExpAdvertisingPerUnit),0)</f>
        <v/>
      </c>
      <c r="DU68" s="218">
        <f>IF(121&gt;=DeliverStart,((BaseMarketRentMo+BaseLowRentMo)*(LeaseUp!DU$10+LossToLeasePct+BadDebtPct+ConcessionsPct)+LeaseUp!DU$9*(ParkingPerUnitMo+UtilReimbPerUnitMo+OtherIncPerUnitMo)+RetailRentMo*MIN(1,LeaseUp!DU$10/StabilizedOccupancy))*(1-MgmtFeePct)-TotalUnits/12*(ExpInsurancePerUnit+ExpAdminPerUnit)-TotalUnits/12*DU$11*(ExpUtilitiesPerUnit+ExpRMPerUnit+ExpTurnoverPerUnit+ExpContractPerUnit)-TotalUnits/12*DU$12*(ExpPayrollPerUnit+ExpAdvertisingPerUnit),0)</f>
        <v/>
      </c>
      <c r="DV68" s="218">
        <f>IF(122&gt;=DeliverStart,((BaseMarketRentMo+BaseLowRentMo)*(LeaseUp!DV$10+LossToLeasePct+BadDebtPct+ConcessionsPct)+LeaseUp!DV$9*(ParkingPerUnitMo+UtilReimbPerUnitMo+OtherIncPerUnitMo)+RetailRentMo*MIN(1,LeaseUp!DV$10/StabilizedOccupancy))*(1-MgmtFeePct)-TotalUnits/12*(ExpInsurancePerUnit+ExpAdminPerUnit)-TotalUnits/12*DV$11*(ExpUtilitiesPerUnit+ExpRMPerUnit+ExpTurnoverPerUnit+ExpContractPerUnit)-TotalUnits/12*DV$12*(ExpPayrollPerUnit+ExpAdvertisingPerUnit),0)</f>
        <v/>
      </c>
      <c r="DW68" s="218">
        <f>IF(123&gt;=DeliverStart,((BaseMarketRentMo+BaseLowRentMo)*(LeaseUp!DW$10+LossToLeasePct+BadDebtPct+ConcessionsPct)+LeaseUp!DW$9*(ParkingPerUnitMo+UtilReimbPerUnitMo+OtherIncPerUnitMo)+RetailRentMo*MIN(1,LeaseUp!DW$10/StabilizedOccupancy))*(1-MgmtFeePct)-TotalUnits/12*(ExpInsurancePerUnit+ExpAdminPerUnit)-TotalUnits/12*DW$11*(ExpUtilitiesPerUnit+ExpRMPerUnit+ExpTurnoverPerUnit+ExpContractPerUnit)-TotalUnits/12*DW$12*(ExpPayrollPerUnit+ExpAdvertisingPerUnit),0)</f>
        <v/>
      </c>
      <c r="DX68" s="218">
        <f>IF(124&gt;=DeliverStart,((BaseMarketRentMo+BaseLowRentMo)*(LeaseUp!DX$10+LossToLeasePct+BadDebtPct+ConcessionsPct)+LeaseUp!DX$9*(ParkingPerUnitMo+UtilReimbPerUnitMo+OtherIncPerUnitMo)+RetailRentMo*MIN(1,LeaseUp!DX$10/StabilizedOccupancy))*(1-MgmtFeePct)-TotalUnits/12*(ExpInsurancePerUnit+ExpAdminPerUnit)-TotalUnits/12*DX$11*(ExpUtilitiesPerUnit+ExpRMPerUnit+ExpTurnoverPerUnit+ExpContractPerUnit)-TotalUnits/12*DX$12*(ExpPayrollPerUnit+ExpAdvertisingPerUnit),0)</f>
        <v/>
      </c>
      <c r="DY68" s="218">
        <f>IF(125&gt;=DeliverStart,((BaseMarketRentMo+BaseLowRentMo)*(LeaseUp!DY$10+LossToLeasePct+BadDebtPct+ConcessionsPct)+LeaseUp!DY$9*(ParkingPerUnitMo+UtilReimbPerUnitMo+OtherIncPerUnitMo)+RetailRentMo*MIN(1,LeaseUp!DY$10/StabilizedOccupancy))*(1-MgmtFeePct)-TotalUnits/12*(ExpInsurancePerUnit+ExpAdminPerUnit)-TotalUnits/12*DY$11*(ExpUtilitiesPerUnit+ExpRMPerUnit+ExpTurnoverPerUnit+ExpContractPerUnit)-TotalUnits/12*DY$12*(ExpPayrollPerUnit+ExpAdvertisingPerUnit),0)</f>
        <v/>
      </c>
      <c r="DZ68" s="218">
        <f>IF(126&gt;=DeliverStart,((BaseMarketRentMo+BaseLowRentMo)*(LeaseUp!DZ$10+LossToLeasePct+BadDebtPct+ConcessionsPct)+LeaseUp!DZ$9*(ParkingPerUnitMo+UtilReimbPerUnitMo+OtherIncPerUnitMo)+RetailRentMo*MIN(1,LeaseUp!DZ$10/StabilizedOccupancy))*(1-MgmtFeePct)-TotalUnits/12*(ExpInsurancePerUnit+ExpAdminPerUnit)-TotalUnits/12*DZ$11*(ExpUtilitiesPerUnit+ExpRMPerUnit+ExpTurnoverPerUnit+ExpContractPerUnit)-TotalUnits/12*DZ$12*(ExpPayrollPerUnit+ExpAdvertisingPerUnit),0)</f>
        <v/>
      </c>
      <c r="EA68" s="218">
        <f>IF(127&gt;=DeliverStart,((BaseMarketRentMo+BaseLowRentMo)*(LeaseUp!EA$10+LossToLeasePct+BadDebtPct+ConcessionsPct)+LeaseUp!EA$9*(ParkingPerUnitMo+UtilReimbPerUnitMo+OtherIncPerUnitMo)+RetailRentMo*MIN(1,LeaseUp!EA$10/StabilizedOccupancy))*(1-MgmtFeePct)-TotalUnits/12*(ExpInsurancePerUnit+ExpAdminPerUnit)-TotalUnits/12*EA$11*(ExpUtilitiesPerUnit+ExpRMPerUnit+ExpTurnoverPerUnit+ExpContractPerUnit)-TotalUnits/12*EA$12*(ExpPayrollPerUnit+ExpAdvertisingPerUnit),0)</f>
        <v/>
      </c>
      <c r="EB68" s="218">
        <f>IF(128&gt;=DeliverStart,((BaseMarketRentMo+BaseLowRentMo)*(LeaseUp!EB$10+LossToLeasePct+BadDebtPct+ConcessionsPct)+LeaseUp!EB$9*(ParkingPerUnitMo+UtilReimbPerUnitMo+OtherIncPerUnitMo)+RetailRentMo*MIN(1,LeaseUp!EB$10/StabilizedOccupancy))*(1-MgmtFeePct)-TotalUnits/12*(ExpInsurancePerUnit+ExpAdminPerUnit)-TotalUnits/12*EB$11*(ExpUtilitiesPerUnit+ExpRMPerUnit+ExpTurnoverPerUnit+ExpContractPerUnit)-TotalUnits/12*EB$12*(ExpPayrollPerUnit+ExpAdvertisingPerUnit),0)</f>
        <v/>
      </c>
      <c r="EC68" s="218">
        <f>IF(129&gt;=DeliverStart,((BaseMarketRentMo+BaseLowRentMo)*(LeaseUp!EC$10+LossToLeasePct+BadDebtPct+ConcessionsPct)+LeaseUp!EC$9*(ParkingPerUnitMo+UtilReimbPerUnitMo+OtherIncPerUnitMo)+RetailRentMo*MIN(1,LeaseUp!EC$10/StabilizedOccupancy))*(1-MgmtFeePct)-TotalUnits/12*(ExpInsurancePerUnit+ExpAdminPerUnit)-TotalUnits/12*EC$11*(ExpUtilitiesPerUnit+ExpRMPerUnit+ExpTurnoverPerUnit+ExpContractPerUnit)-TotalUnits/12*EC$12*(ExpPayrollPerUnit+ExpAdvertisingPerUnit),0)</f>
        <v/>
      </c>
      <c r="ED68" s="218">
        <f>IF(130&gt;=DeliverStart,((BaseMarketRentMo+BaseLowRentMo)*(LeaseUp!ED$10+LossToLeasePct+BadDebtPct+ConcessionsPct)+LeaseUp!ED$9*(ParkingPerUnitMo+UtilReimbPerUnitMo+OtherIncPerUnitMo)+RetailRentMo*MIN(1,LeaseUp!ED$10/StabilizedOccupancy))*(1-MgmtFeePct)-TotalUnits/12*(ExpInsurancePerUnit+ExpAdminPerUnit)-TotalUnits/12*ED$11*(ExpUtilitiesPerUnit+ExpRMPerUnit+ExpTurnoverPerUnit+ExpContractPerUnit)-TotalUnits/12*ED$12*(ExpPayrollPerUnit+ExpAdvertisingPerUnit),0)</f>
        <v/>
      </c>
      <c r="EE68" s="218">
        <f>IF(131&gt;=DeliverStart,((BaseMarketRentMo+BaseLowRentMo)*(LeaseUp!EE$10+LossToLeasePct+BadDebtPct+ConcessionsPct)+LeaseUp!EE$9*(ParkingPerUnitMo+UtilReimbPerUnitMo+OtherIncPerUnitMo)+RetailRentMo*MIN(1,LeaseUp!EE$10/StabilizedOccupancy))*(1-MgmtFeePct)-TotalUnits/12*(ExpInsurancePerUnit+ExpAdminPerUnit)-TotalUnits/12*EE$11*(ExpUtilitiesPerUnit+ExpRMPerUnit+ExpTurnoverPerUnit+ExpContractPerUnit)-TotalUnits/12*EE$12*(ExpPayrollPerUnit+ExpAdvertisingPerUnit),0)</f>
        <v/>
      </c>
      <c r="EF68" s="218">
        <f>IF(132&gt;=DeliverStart,((BaseMarketRentMo+BaseLowRentMo)*(LeaseUp!EF$10+LossToLeasePct+BadDebtPct+ConcessionsPct)+LeaseUp!EF$9*(ParkingPerUnitMo+UtilReimbPerUnitMo+OtherIncPerUnitMo)+RetailRentMo*MIN(1,LeaseUp!EF$10/StabilizedOccupancy))*(1-MgmtFeePct)-TotalUnits/12*(ExpInsurancePerUnit+ExpAdminPerUnit)-TotalUnits/12*EF$11*(ExpUtilitiesPerUnit+ExpRMPerUnit+ExpTurnoverPerUnit+ExpContractPerUnit)-TotalUnits/12*EF$12*(ExpPayrollPerUnit+ExpAdvertisingPerUnit),0)</f>
        <v/>
      </c>
      <c r="EG68" s="218">
        <f>IF(133&gt;=DeliverStart,((BaseMarketRentMo+BaseLowRentMo)*(LeaseUp!EG$10+LossToLeasePct+BadDebtPct+ConcessionsPct)+LeaseUp!EG$9*(ParkingPerUnitMo+UtilReimbPerUnitMo+OtherIncPerUnitMo)+RetailRentMo*MIN(1,LeaseUp!EG$10/StabilizedOccupancy))*(1-MgmtFeePct)-TotalUnits/12*(ExpInsurancePerUnit+ExpAdminPerUnit)-TotalUnits/12*EG$11*(ExpUtilitiesPerUnit+ExpRMPerUnit+ExpTurnoverPerUnit+ExpContractPerUnit)-TotalUnits/12*EG$12*(ExpPayrollPerUnit+ExpAdvertisingPerUnit),0)</f>
        <v/>
      </c>
      <c r="EH68" s="218">
        <f>IF(134&gt;=DeliverStart,((BaseMarketRentMo+BaseLowRentMo)*(LeaseUp!EH$10+LossToLeasePct+BadDebtPct+ConcessionsPct)+LeaseUp!EH$9*(ParkingPerUnitMo+UtilReimbPerUnitMo+OtherIncPerUnitMo)+RetailRentMo*MIN(1,LeaseUp!EH$10/StabilizedOccupancy))*(1-MgmtFeePct)-TotalUnits/12*(ExpInsurancePerUnit+ExpAdminPerUnit)-TotalUnits/12*EH$11*(ExpUtilitiesPerUnit+ExpRMPerUnit+ExpTurnoverPerUnit+ExpContractPerUnit)-TotalUnits/12*EH$12*(ExpPayrollPerUnit+ExpAdvertisingPerUnit),0)</f>
        <v/>
      </c>
      <c r="EI68" s="218">
        <f>IF(135&gt;=DeliverStart,((BaseMarketRentMo+BaseLowRentMo)*(LeaseUp!EI$10+LossToLeasePct+BadDebtPct+ConcessionsPct)+LeaseUp!EI$9*(ParkingPerUnitMo+UtilReimbPerUnitMo+OtherIncPerUnitMo)+RetailRentMo*MIN(1,LeaseUp!EI$10/StabilizedOccupancy))*(1-MgmtFeePct)-TotalUnits/12*(ExpInsurancePerUnit+ExpAdminPerUnit)-TotalUnits/12*EI$11*(ExpUtilitiesPerUnit+ExpRMPerUnit+ExpTurnoverPerUnit+ExpContractPerUnit)-TotalUnits/12*EI$12*(ExpPayrollPerUnit+ExpAdvertisingPerUnit),0)</f>
        <v/>
      </c>
      <c r="EJ68" s="218">
        <f>IF(136&gt;=DeliverStart,((BaseMarketRentMo+BaseLowRentMo)*(LeaseUp!EJ$10+LossToLeasePct+BadDebtPct+ConcessionsPct)+LeaseUp!EJ$9*(ParkingPerUnitMo+UtilReimbPerUnitMo+OtherIncPerUnitMo)+RetailRentMo*MIN(1,LeaseUp!EJ$10/StabilizedOccupancy))*(1-MgmtFeePct)-TotalUnits/12*(ExpInsurancePerUnit+ExpAdminPerUnit)-TotalUnits/12*EJ$11*(ExpUtilitiesPerUnit+ExpRMPerUnit+ExpTurnoverPerUnit+ExpContractPerUnit)-TotalUnits/12*EJ$12*(ExpPayrollPerUnit+ExpAdvertisingPerUnit),0)</f>
        <v/>
      </c>
      <c r="EK68" s="218">
        <f>IF(137&gt;=DeliverStart,((BaseMarketRentMo+BaseLowRentMo)*(LeaseUp!EK$10+LossToLeasePct+BadDebtPct+ConcessionsPct)+LeaseUp!EK$9*(ParkingPerUnitMo+UtilReimbPerUnitMo+OtherIncPerUnitMo)+RetailRentMo*MIN(1,LeaseUp!EK$10/StabilizedOccupancy))*(1-MgmtFeePct)-TotalUnits/12*(ExpInsurancePerUnit+ExpAdminPerUnit)-TotalUnits/12*EK$11*(ExpUtilitiesPerUnit+ExpRMPerUnit+ExpTurnoverPerUnit+ExpContractPerUnit)-TotalUnits/12*EK$12*(ExpPayrollPerUnit+ExpAdvertisingPerUnit),0)</f>
        <v/>
      </c>
      <c r="EL68" s="218">
        <f>IF(138&gt;=DeliverStart,((BaseMarketRentMo+BaseLowRentMo)*(LeaseUp!EL$10+LossToLeasePct+BadDebtPct+ConcessionsPct)+LeaseUp!EL$9*(ParkingPerUnitMo+UtilReimbPerUnitMo+OtherIncPerUnitMo)+RetailRentMo*MIN(1,LeaseUp!EL$10/StabilizedOccupancy))*(1-MgmtFeePct)-TotalUnits/12*(ExpInsurancePerUnit+ExpAdminPerUnit)-TotalUnits/12*EL$11*(ExpUtilitiesPerUnit+ExpRMPerUnit+ExpTurnoverPerUnit+ExpContractPerUnit)-TotalUnits/12*EL$12*(ExpPayrollPerUnit+ExpAdvertisingPerUnit),0)</f>
        <v/>
      </c>
      <c r="EM68" s="218">
        <f>IF(139&gt;=DeliverStart,((BaseMarketRentMo+BaseLowRentMo)*(LeaseUp!EM$10+LossToLeasePct+BadDebtPct+ConcessionsPct)+LeaseUp!EM$9*(ParkingPerUnitMo+UtilReimbPerUnitMo+OtherIncPerUnitMo)+RetailRentMo*MIN(1,LeaseUp!EM$10/StabilizedOccupancy))*(1-MgmtFeePct)-TotalUnits/12*(ExpInsurancePerUnit+ExpAdminPerUnit)-TotalUnits/12*EM$11*(ExpUtilitiesPerUnit+ExpRMPerUnit+ExpTurnoverPerUnit+ExpContractPerUnit)-TotalUnits/12*EM$12*(ExpPayrollPerUnit+ExpAdvertisingPerUnit),0)</f>
        <v/>
      </c>
      <c r="EN68" s="218">
        <f>IF(140&gt;=DeliverStart,((BaseMarketRentMo+BaseLowRentMo)*(LeaseUp!EN$10+LossToLeasePct+BadDebtPct+ConcessionsPct)+LeaseUp!EN$9*(ParkingPerUnitMo+UtilReimbPerUnitMo+OtherIncPerUnitMo)+RetailRentMo*MIN(1,LeaseUp!EN$10/StabilizedOccupancy))*(1-MgmtFeePct)-TotalUnits/12*(ExpInsurancePerUnit+ExpAdminPerUnit)-TotalUnits/12*EN$11*(ExpUtilitiesPerUnit+ExpRMPerUnit+ExpTurnoverPerUnit+ExpContractPerUnit)-TotalUnits/12*EN$12*(ExpPayrollPerUnit+ExpAdvertisingPerUnit),0)</f>
        <v/>
      </c>
      <c r="EO68" s="218">
        <f>IF(141&gt;=DeliverStart,((BaseMarketRentMo+BaseLowRentMo)*(LeaseUp!EO$10+LossToLeasePct+BadDebtPct+ConcessionsPct)+LeaseUp!EO$9*(ParkingPerUnitMo+UtilReimbPerUnitMo+OtherIncPerUnitMo)+RetailRentMo*MIN(1,LeaseUp!EO$10/StabilizedOccupancy))*(1-MgmtFeePct)-TotalUnits/12*(ExpInsurancePerUnit+ExpAdminPerUnit)-TotalUnits/12*EO$11*(ExpUtilitiesPerUnit+ExpRMPerUnit+ExpTurnoverPerUnit+ExpContractPerUnit)-TotalUnits/12*EO$12*(ExpPayrollPerUnit+ExpAdvertisingPerUnit),0)</f>
        <v/>
      </c>
      <c r="EP68" s="218">
        <f>IF(142&gt;=DeliverStart,((BaseMarketRentMo+BaseLowRentMo)*(LeaseUp!EP$10+LossToLeasePct+BadDebtPct+ConcessionsPct)+LeaseUp!EP$9*(ParkingPerUnitMo+UtilReimbPerUnitMo+OtherIncPerUnitMo)+RetailRentMo*MIN(1,LeaseUp!EP$10/StabilizedOccupancy))*(1-MgmtFeePct)-TotalUnits/12*(ExpInsurancePerUnit+ExpAdminPerUnit)-TotalUnits/12*EP$11*(ExpUtilitiesPerUnit+ExpRMPerUnit+ExpTurnoverPerUnit+ExpContractPerUnit)-TotalUnits/12*EP$12*(ExpPayrollPerUnit+ExpAdvertisingPerUnit),0)</f>
        <v/>
      </c>
      <c r="EQ68" s="218">
        <f>IF(143&gt;=DeliverStart,((BaseMarketRentMo+BaseLowRentMo)*(LeaseUp!EQ$10+LossToLeasePct+BadDebtPct+ConcessionsPct)+LeaseUp!EQ$9*(ParkingPerUnitMo+UtilReimbPerUnitMo+OtherIncPerUnitMo)+RetailRentMo*MIN(1,LeaseUp!EQ$10/StabilizedOccupancy))*(1-MgmtFeePct)-TotalUnits/12*(ExpInsurancePerUnit+ExpAdminPerUnit)-TotalUnits/12*EQ$11*(ExpUtilitiesPerUnit+ExpRMPerUnit+ExpTurnoverPerUnit+ExpContractPerUnit)-TotalUnits/12*EQ$12*(ExpPayrollPerUnit+ExpAdvertisingPerUnit),0)</f>
        <v/>
      </c>
      <c r="ER68" s="218">
        <f>IF(144&gt;=DeliverStart,((BaseMarketRentMo+BaseLowRentMo)*(LeaseUp!ER$10+LossToLeasePct+BadDebtPct+ConcessionsPct)+LeaseUp!ER$9*(ParkingPerUnitMo+UtilReimbPerUnitMo+OtherIncPerUnitMo)+RetailRentMo*MIN(1,LeaseUp!ER$10/StabilizedOccupancy))*(1-MgmtFeePct)-TotalUnits/12*(ExpInsurancePerUnit+ExpAdminPerUnit)-TotalUnits/12*ER$11*(ExpUtilitiesPerUnit+ExpRMPerUnit+ExpTurnoverPerUnit+ExpContractPerUnit)-TotalUnits/12*ER$12*(ExpPayrollPerUnit+ExpAdvertisingPerUnit),0)</f>
        <v/>
      </c>
      <c r="ES68" s="218">
        <f>IF(145&gt;=DeliverStart,((BaseMarketRentMo+BaseLowRentMo)*(LeaseUp!ES$10+LossToLeasePct+BadDebtPct+ConcessionsPct)+LeaseUp!ES$9*(ParkingPerUnitMo+UtilReimbPerUnitMo+OtherIncPerUnitMo)+RetailRentMo*MIN(1,LeaseUp!ES$10/StabilizedOccupancy))*(1-MgmtFeePct)-TotalUnits/12*(ExpInsurancePerUnit+ExpAdminPerUnit)-TotalUnits/12*ES$11*(ExpUtilitiesPerUnit+ExpRMPerUnit+ExpTurnoverPerUnit+ExpContractPerUnit)-TotalUnits/12*ES$12*(ExpPayrollPerUnit+ExpAdvertisingPerUnit),0)</f>
        <v/>
      </c>
      <c r="ET68" s="218">
        <f>IF(146&gt;=DeliverStart,((BaseMarketRentMo+BaseLowRentMo)*(LeaseUp!ET$10+LossToLeasePct+BadDebtPct+ConcessionsPct)+LeaseUp!ET$9*(ParkingPerUnitMo+UtilReimbPerUnitMo+OtherIncPerUnitMo)+RetailRentMo*MIN(1,LeaseUp!ET$10/StabilizedOccupancy))*(1-MgmtFeePct)-TotalUnits/12*(ExpInsurancePerUnit+ExpAdminPerUnit)-TotalUnits/12*ET$11*(ExpUtilitiesPerUnit+ExpRMPerUnit+ExpTurnoverPerUnit+ExpContractPerUnit)-TotalUnits/12*ET$12*(ExpPayrollPerUnit+ExpAdvertisingPerUnit),0)</f>
        <v/>
      </c>
      <c r="EU68" s="218">
        <f>IF(147&gt;=DeliverStart,((BaseMarketRentMo+BaseLowRentMo)*(LeaseUp!EU$10+LossToLeasePct+BadDebtPct+ConcessionsPct)+LeaseUp!EU$9*(ParkingPerUnitMo+UtilReimbPerUnitMo+OtherIncPerUnitMo)+RetailRentMo*MIN(1,LeaseUp!EU$10/StabilizedOccupancy))*(1-MgmtFeePct)-TotalUnits/12*(ExpInsurancePerUnit+ExpAdminPerUnit)-TotalUnits/12*EU$11*(ExpUtilitiesPerUnit+ExpRMPerUnit+ExpTurnoverPerUnit+ExpContractPerUnit)-TotalUnits/12*EU$12*(ExpPayrollPerUnit+ExpAdvertisingPerUnit),0)</f>
        <v/>
      </c>
      <c r="EV68" s="218">
        <f>IF(148&gt;=DeliverStart,((BaseMarketRentMo+BaseLowRentMo)*(LeaseUp!EV$10+LossToLeasePct+BadDebtPct+ConcessionsPct)+LeaseUp!EV$9*(ParkingPerUnitMo+UtilReimbPerUnitMo+OtherIncPerUnitMo)+RetailRentMo*MIN(1,LeaseUp!EV$10/StabilizedOccupancy))*(1-MgmtFeePct)-TotalUnits/12*(ExpInsurancePerUnit+ExpAdminPerUnit)-TotalUnits/12*EV$11*(ExpUtilitiesPerUnit+ExpRMPerUnit+ExpTurnoverPerUnit+ExpContractPerUnit)-TotalUnits/12*EV$12*(ExpPayrollPerUnit+ExpAdvertisingPerUnit),0)</f>
        <v/>
      </c>
      <c r="EW68" s="218">
        <f>IF(149&gt;=DeliverStart,((BaseMarketRentMo+BaseLowRentMo)*(LeaseUp!EW$10+LossToLeasePct+BadDebtPct+ConcessionsPct)+LeaseUp!EW$9*(ParkingPerUnitMo+UtilReimbPerUnitMo+OtherIncPerUnitMo)+RetailRentMo*MIN(1,LeaseUp!EW$10/StabilizedOccupancy))*(1-MgmtFeePct)-TotalUnits/12*(ExpInsurancePerUnit+ExpAdminPerUnit)-TotalUnits/12*EW$11*(ExpUtilitiesPerUnit+ExpRMPerUnit+ExpTurnoverPerUnit+ExpContractPerUnit)-TotalUnits/12*EW$12*(ExpPayrollPerUnit+ExpAdvertisingPerUnit),0)</f>
        <v/>
      </c>
      <c r="EX68" s="218">
        <f>IF(150&gt;=DeliverStart,((BaseMarketRentMo+BaseLowRentMo)*(LeaseUp!EX$10+LossToLeasePct+BadDebtPct+ConcessionsPct)+LeaseUp!EX$9*(ParkingPerUnitMo+UtilReimbPerUnitMo+OtherIncPerUnitMo)+RetailRentMo*MIN(1,LeaseUp!EX$10/StabilizedOccupancy))*(1-MgmtFeePct)-TotalUnits/12*(ExpInsurancePerUnit+ExpAdminPerUnit)-TotalUnits/12*EX$11*(ExpUtilitiesPerUnit+ExpRMPerUnit+ExpTurnoverPerUnit+ExpContractPerUnit)-TotalUnits/12*EX$12*(ExpPayrollPerUnit+ExpAdvertisingPerUnit),0)</f>
        <v/>
      </c>
      <c r="EY68" s="218">
        <f>IF(151&gt;=DeliverStart,((BaseMarketRentMo+BaseLowRentMo)*(LeaseUp!EY$10+LossToLeasePct+BadDebtPct+ConcessionsPct)+LeaseUp!EY$9*(ParkingPerUnitMo+UtilReimbPerUnitMo+OtherIncPerUnitMo)+RetailRentMo*MIN(1,LeaseUp!EY$10/StabilizedOccupancy))*(1-MgmtFeePct)-TotalUnits/12*(ExpInsurancePerUnit+ExpAdminPerUnit)-TotalUnits/12*EY$11*(ExpUtilitiesPerUnit+ExpRMPerUnit+ExpTurnoverPerUnit+ExpContractPerUnit)-TotalUnits/12*EY$12*(ExpPayrollPerUnit+ExpAdvertisingPerUnit),0)</f>
        <v/>
      </c>
      <c r="EZ68" s="218">
        <f>IF(152&gt;=DeliverStart,((BaseMarketRentMo+BaseLowRentMo)*(LeaseUp!EZ$10+LossToLeasePct+BadDebtPct+ConcessionsPct)+LeaseUp!EZ$9*(ParkingPerUnitMo+UtilReimbPerUnitMo+OtherIncPerUnitMo)+RetailRentMo*MIN(1,LeaseUp!EZ$10/StabilizedOccupancy))*(1-MgmtFeePct)-TotalUnits/12*(ExpInsurancePerUnit+ExpAdminPerUnit)-TotalUnits/12*EZ$11*(ExpUtilitiesPerUnit+ExpRMPerUnit+ExpTurnoverPerUnit+ExpContractPerUnit)-TotalUnits/12*EZ$12*(ExpPayrollPerUnit+ExpAdvertisingPerUnit),0)</f>
        <v/>
      </c>
      <c r="FA68" s="218">
        <f>IF(153&gt;=DeliverStart,((BaseMarketRentMo+BaseLowRentMo)*(LeaseUp!FA$10+LossToLeasePct+BadDebtPct+ConcessionsPct)+LeaseUp!FA$9*(ParkingPerUnitMo+UtilReimbPerUnitMo+OtherIncPerUnitMo)+RetailRentMo*MIN(1,LeaseUp!FA$10/StabilizedOccupancy))*(1-MgmtFeePct)-TotalUnits/12*(ExpInsurancePerUnit+ExpAdminPerUnit)-TotalUnits/12*FA$11*(ExpUtilitiesPerUnit+ExpRMPerUnit+ExpTurnoverPerUnit+ExpContractPerUnit)-TotalUnits/12*FA$12*(ExpPayrollPerUnit+ExpAdvertisingPerUnit),0)</f>
        <v/>
      </c>
      <c r="FB68" s="218">
        <f>IF(154&gt;=DeliverStart,((BaseMarketRentMo+BaseLowRentMo)*(LeaseUp!FB$10+LossToLeasePct+BadDebtPct+ConcessionsPct)+LeaseUp!FB$9*(ParkingPerUnitMo+UtilReimbPerUnitMo+OtherIncPerUnitMo)+RetailRentMo*MIN(1,LeaseUp!FB$10/StabilizedOccupancy))*(1-MgmtFeePct)-TotalUnits/12*(ExpInsurancePerUnit+ExpAdminPerUnit)-TotalUnits/12*FB$11*(ExpUtilitiesPerUnit+ExpRMPerUnit+ExpTurnoverPerUnit+ExpContractPerUnit)-TotalUnits/12*FB$12*(ExpPayrollPerUnit+ExpAdvertisingPerUnit),0)</f>
        <v/>
      </c>
      <c r="FC68" s="218">
        <f>IF(155&gt;=DeliverStart,((BaseMarketRentMo+BaseLowRentMo)*(LeaseUp!FC$10+LossToLeasePct+BadDebtPct+ConcessionsPct)+LeaseUp!FC$9*(ParkingPerUnitMo+UtilReimbPerUnitMo+OtherIncPerUnitMo)+RetailRentMo*MIN(1,LeaseUp!FC$10/StabilizedOccupancy))*(1-MgmtFeePct)-TotalUnits/12*(ExpInsurancePerUnit+ExpAdminPerUnit)-TotalUnits/12*FC$11*(ExpUtilitiesPerUnit+ExpRMPerUnit+ExpTurnoverPerUnit+ExpContractPerUnit)-TotalUnits/12*FC$12*(ExpPayrollPerUnit+ExpAdvertisingPerUnit),0)</f>
        <v/>
      </c>
      <c r="FD68" s="218">
        <f>IF(156&gt;=DeliverStart,((BaseMarketRentMo+BaseLowRentMo)*(LeaseUp!FD$10+LossToLeasePct+BadDebtPct+ConcessionsPct)+LeaseUp!FD$9*(ParkingPerUnitMo+UtilReimbPerUnitMo+OtherIncPerUnitMo)+RetailRentMo*MIN(1,LeaseUp!FD$10/StabilizedOccupancy))*(1-MgmtFeePct)-TotalUnits/12*(ExpInsurancePerUnit+ExpAdminPerUnit)-TotalUnits/12*FD$11*(ExpUtilitiesPerUnit+ExpRMPerUnit+ExpTurnoverPerUnit+ExpContractPerUnit)-TotalUnits/12*FD$12*(ExpPayrollPerUnit+ExpAdvertisingPerUnit),0)</f>
        <v/>
      </c>
      <c r="FE68" s="218">
        <f>IF(157&gt;=DeliverStart,((BaseMarketRentMo+BaseLowRentMo)*(LeaseUp!FE$10+LossToLeasePct+BadDebtPct+ConcessionsPct)+LeaseUp!FE$9*(ParkingPerUnitMo+UtilReimbPerUnitMo+OtherIncPerUnitMo)+RetailRentMo*MIN(1,LeaseUp!FE$10/StabilizedOccupancy))*(1-MgmtFeePct)-TotalUnits/12*(ExpInsurancePerUnit+ExpAdminPerUnit)-TotalUnits/12*FE$11*(ExpUtilitiesPerUnit+ExpRMPerUnit+ExpTurnoverPerUnit+ExpContractPerUnit)-TotalUnits/12*FE$12*(ExpPayrollPerUnit+ExpAdvertisingPerUnit),0)</f>
        <v/>
      </c>
      <c r="FF68" s="218">
        <f>IF(158&gt;=DeliverStart,((BaseMarketRentMo+BaseLowRentMo)*(LeaseUp!FF$10+LossToLeasePct+BadDebtPct+ConcessionsPct)+LeaseUp!FF$9*(ParkingPerUnitMo+UtilReimbPerUnitMo+OtherIncPerUnitMo)+RetailRentMo*MIN(1,LeaseUp!FF$10/StabilizedOccupancy))*(1-MgmtFeePct)-TotalUnits/12*(ExpInsurancePerUnit+ExpAdminPerUnit)-TotalUnits/12*FF$11*(ExpUtilitiesPerUnit+ExpRMPerUnit+ExpTurnoverPerUnit+ExpContractPerUnit)-TotalUnits/12*FF$12*(ExpPayrollPerUnit+ExpAdvertisingPerUnit),0)</f>
        <v/>
      </c>
      <c r="FG68" s="218">
        <f>IF(159&gt;=DeliverStart,((BaseMarketRentMo+BaseLowRentMo)*(LeaseUp!FG$10+LossToLeasePct+BadDebtPct+ConcessionsPct)+LeaseUp!FG$9*(ParkingPerUnitMo+UtilReimbPerUnitMo+OtherIncPerUnitMo)+RetailRentMo*MIN(1,LeaseUp!FG$10/StabilizedOccupancy))*(1-MgmtFeePct)-TotalUnits/12*(ExpInsurancePerUnit+ExpAdminPerUnit)-TotalUnits/12*FG$11*(ExpUtilitiesPerUnit+ExpRMPerUnit+ExpTurnoverPerUnit+ExpContractPerUnit)-TotalUnits/12*FG$12*(ExpPayrollPerUnit+ExpAdvertisingPerUnit),0)</f>
        <v/>
      </c>
      <c r="FH68" s="218">
        <f>IF(160&gt;=DeliverStart,((BaseMarketRentMo+BaseLowRentMo)*(LeaseUp!FH$10+LossToLeasePct+BadDebtPct+ConcessionsPct)+LeaseUp!FH$9*(ParkingPerUnitMo+UtilReimbPerUnitMo+OtherIncPerUnitMo)+RetailRentMo*MIN(1,LeaseUp!FH$10/StabilizedOccupancy))*(1-MgmtFeePct)-TotalUnits/12*(ExpInsurancePerUnit+ExpAdminPerUnit)-TotalUnits/12*FH$11*(ExpUtilitiesPerUnit+ExpRMPerUnit+ExpTurnoverPerUnit+ExpContractPerUnit)-TotalUnits/12*FH$12*(ExpPayrollPerUnit+ExpAdvertisingPerUnit),0)</f>
        <v/>
      </c>
      <c r="FI68" s="218">
        <f>IF(161&gt;=DeliverStart,((BaseMarketRentMo+BaseLowRentMo)*(LeaseUp!FI$10+LossToLeasePct+BadDebtPct+ConcessionsPct)+LeaseUp!FI$9*(ParkingPerUnitMo+UtilReimbPerUnitMo+OtherIncPerUnitMo)+RetailRentMo*MIN(1,LeaseUp!FI$10/StabilizedOccupancy))*(1-MgmtFeePct)-TotalUnits/12*(ExpInsurancePerUnit+ExpAdminPerUnit)-TotalUnits/12*FI$11*(ExpUtilitiesPerUnit+ExpRMPerUnit+ExpTurnoverPerUnit+ExpContractPerUnit)-TotalUnits/12*FI$12*(ExpPayrollPerUnit+ExpAdvertisingPerUnit),0)</f>
        <v/>
      </c>
      <c r="FJ68" s="218">
        <f>IF(162&gt;=DeliverStart,((BaseMarketRentMo+BaseLowRentMo)*(LeaseUp!FJ$10+LossToLeasePct+BadDebtPct+ConcessionsPct)+LeaseUp!FJ$9*(ParkingPerUnitMo+UtilReimbPerUnitMo+OtherIncPerUnitMo)+RetailRentMo*MIN(1,LeaseUp!FJ$10/StabilizedOccupancy))*(1-MgmtFeePct)-TotalUnits/12*(ExpInsurancePerUnit+ExpAdminPerUnit)-TotalUnits/12*FJ$11*(ExpUtilitiesPerUnit+ExpRMPerUnit+ExpTurnoverPerUnit+ExpContractPerUnit)-TotalUnits/12*FJ$12*(ExpPayrollPerUnit+ExpAdvertisingPerUnit),0)</f>
        <v/>
      </c>
      <c r="FK68" s="218">
        <f>IF(163&gt;=DeliverStart,((BaseMarketRentMo+BaseLowRentMo)*(LeaseUp!FK$10+LossToLeasePct+BadDebtPct+ConcessionsPct)+LeaseUp!FK$9*(ParkingPerUnitMo+UtilReimbPerUnitMo+OtherIncPerUnitMo)+RetailRentMo*MIN(1,LeaseUp!FK$10/StabilizedOccupancy))*(1-MgmtFeePct)-TotalUnits/12*(ExpInsurancePerUnit+ExpAdminPerUnit)-TotalUnits/12*FK$11*(ExpUtilitiesPerUnit+ExpRMPerUnit+ExpTurnoverPerUnit+ExpContractPerUnit)-TotalUnits/12*FK$12*(ExpPayrollPerUnit+ExpAdvertisingPerUnit),0)</f>
        <v/>
      </c>
      <c r="FL68" s="218">
        <f>IF(164&gt;=DeliverStart,((BaseMarketRentMo+BaseLowRentMo)*(LeaseUp!FL$10+LossToLeasePct+BadDebtPct+ConcessionsPct)+LeaseUp!FL$9*(ParkingPerUnitMo+UtilReimbPerUnitMo+OtherIncPerUnitMo)+RetailRentMo*MIN(1,LeaseUp!FL$10/StabilizedOccupancy))*(1-MgmtFeePct)-TotalUnits/12*(ExpInsurancePerUnit+ExpAdminPerUnit)-TotalUnits/12*FL$11*(ExpUtilitiesPerUnit+ExpRMPerUnit+ExpTurnoverPerUnit+ExpContractPerUnit)-TotalUnits/12*FL$12*(ExpPayrollPerUnit+ExpAdvertisingPerUnit),0)</f>
        <v/>
      </c>
      <c r="FM68" s="218">
        <f>IF(165&gt;=DeliverStart,((BaseMarketRentMo+BaseLowRentMo)*(LeaseUp!FM$10+LossToLeasePct+BadDebtPct+ConcessionsPct)+LeaseUp!FM$9*(ParkingPerUnitMo+UtilReimbPerUnitMo+OtherIncPerUnitMo)+RetailRentMo*MIN(1,LeaseUp!FM$10/StabilizedOccupancy))*(1-MgmtFeePct)-TotalUnits/12*(ExpInsurancePerUnit+ExpAdminPerUnit)-TotalUnits/12*FM$11*(ExpUtilitiesPerUnit+ExpRMPerUnit+ExpTurnoverPerUnit+ExpContractPerUnit)-TotalUnits/12*FM$12*(ExpPayrollPerUnit+ExpAdvertisingPerUnit),0)</f>
        <v/>
      </c>
      <c r="FN68" s="218">
        <f>IF(166&gt;=DeliverStart,((BaseMarketRentMo+BaseLowRentMo)*(LeaseUp!FN$10+LossToLeasePct+BadDebtPct+ConcessionsPct)+LeaseUp!FN$9*(ParkingPerUnitMo+UtilReimbPerUnitMo+OtherIncPerUnitMo)+RetailRentMo*MIN(1,LeaseUp!FN$10/StabilizedOccupancy))*(1-MgmtFeePct)-TotalUnits/12*(ExpInsurancePerUnit+ExpAdminPerUnit)-TotalUnits/12*FN$11*(ExpUtilitiesPerUnit+ExpRMPerUnit+ExpTurnoverPerUnit+ExpContractPerUnit)-TotalUnits/12*FN$12*(ExpPayrollPerUnit+ExpAdvertisingPerUnit),0)</f>
        <v/>
      </c>
      <c r="FO68" s="218">
        <f>IF(167&gt;=DeliverStart,((BaseMarketRentMo+BaseLowRentMo)*(LeaseUp!FO$10+LossToLeasePct+BadDebtPct+ConcessionsPct)+LeaseUp!FO$9*(ParkingPerUnitMo+UtilReimbPerUnitMo+OtherIncPerUnitMo)+RetailRentMo*MIN(1,LeaseUp!FO$10/StabilizedOccupancy))*(1-MgmtFeePct)-TotalUnits/12*(ExpInsurancePerUnit+ExpAdminPerUnit)-TotalUnits/12*FO$11*(ExpUtilitiesPerUnit+ExpRMPerUnit+ExpTurnoverPerUnit+ExpContractPerUnit)-TotalUnits/12*FO$12*(ExpPayrollPerUnit+ExpAdvertisingPerUnit),0)</f>
        <v/>
      </c>
      <c r="FP68" s="218">
        <f>IF(168&gt;=DeliverStart,((BaseMarketRentMo+BaseLowRentMo)*(LeaseUp!FP$10+LossToLeasePct+BadDebtPct+ConcessionsPct)+LeaseUp!FP$9*(ParkingPerUnitMo+UtilReimbPerUnitMo+OtherIncPerUnitMo)+RetailRentMo*MIN(1,LeaseUp!FP$10/StabilizedOccupancy))*(1-MgmtFeePct)-TotalUnits/12*(ExpInsurancePerUnit+ExpAdminPerUnit)-TotalUnits/12*FP$11*(ExpUtilitiesPerUnit+ExpRMPerUnit+ExpTurnoverPerUnit+ExpContractPerUnit)-TotalUnits/12*FP$12*(ExpPayrollPerUnit+ExpAdvertisingPerUnit),0)</f>
        <v/>
      </c>
      <c r="FQ68" s="218">
        <f>IF(169&gt;=DeliverStart,((BaseMarketRentMo+BaseLowRentMo)*(LeaseUp!FQ$10+LossToLeasePct+BadDebtPct+ConcessionsPct)+LeaseUp!FQ$9*(ParkingPerUnitMo+UtilReimbPerUnitMo+OtherIncPerUnitMo)+RetailRentMo*MIN(1,LeaseUp!FQ$10/StabilizedOccupancy))*(1-MgmtFeePct)-TotalUnits/12*(ExpInsurancePerUnit+ExpAdminPerUnit)-TotalUnits/12*FQ$11*(ExpUtilitiesPerUnit+ExpRMPerUnit+ExpTurnoverPerUnit+ExpContractPerUnit)-TotalUnits/12*FQ$12*(ExpPayrollPerUnit+ExpAdvertisingPerUnit),0)</f>
        <v/>
      </c>
      <c r="FR68" s="218">
        <f>IF(170&gt;=DeliverStart,((BaseMarketRentMo+BaseLowRentMo)*(LeaseUp!FR$10+LossToLeasePct+BadDebtPct+ConcessionsPct)+LeaseUp!FR$9*(ParkingPerUnitMo+UtilReimbPerUnitMo+OtherIncPerUnitMo)+RetailRentMo*MIN(1,LeaseUp!FR$10/StabilizedOccupancy))*(1-MgmtFeePct)-TotalUnits/12*(ExpInsurancePerUnit+ExpAdminPerUnit)-TotalUnits/12*FR$11*(ExpUtilitiesPerUnit+ExpRMPerUnit+ExpTurnoverPerUnit+ExpContractPerUnit)-TotalUnits/12*FR$12*(ExpPayrollPerUnit+ExpAdvertisingPerUnit),0)</f>
        <v/>
      </c>
      <c r="FS68" s="218">
        <f>IF(171&gt;=DeliverStart,((BaseMarketRentMo+BaseLowRentMo)*(LeaseUp!FS$10+LossToLeasePct+BadDebtPct+ConcessionsPct)+LeaseUp!FS$9*(ParkingPerUnitMo+UtilReimbPerUnitMo+OtherIncPerUnitMo)+RetailRentMo*MIN(1,LeaseUp!FS$10/StabilizedOccupancy))*(1-MgmtFeePct)-TotalUnits/12*(ExpInsurancePerUnit+ExpAdminPerUnit)-TotalUnits/12*FS$11*(ExpUtilitiesPerUnit+ExpRMPerUnit+ExpTurnoverPerUnit+ExpContractPerUnit)-TotalUnits/12*FS$12*(ExpPayrollPerUnit+ExpAdvertisingPerUnit),0)</f>
        <v/>
      </c>
      <c r="FT68" s="218">
        <f>IF(172&gt;=DeliverStart,((BaseMarketRentMo+BaseLowRentMo)*(LeaseUp!FT$10+LossToLeasePct+BadDebtPct+ConcessionsPct)+LeaseUp!FT$9*(ParkingPerUnitMo+UtilReimbPerUnitMo+OtherIncPerUnitMo)+RetailRentMo*MIN(1,LeaseUp!FT$10/StabilizedOccupancy))*(1-MgmtFeePct)-TotalUnits/12*(ExpInsurancePerUnit+ExpAdminPerUnit)-TotalUnits/12*FT$11*(ExpUtilitiesPerUnit+ExpRMPerUnit+ExpTurnoverPerUnit+ExpContractPerUnit)-TotalUnits/12*FT$12*(ExpPayrollPerUnit+ExpAdvertisingPerUnit),0)</f>
        <v/>
      </c>
      <c r="FU68" s="218">
        <f>IF(173&gt;=DeliverStart,((BaseMarketRentMo+BaseLowRentMo)*(LeaseUp!FU$10+LossToLeasePct+BadDebtPct+ConcessionsPct)+LeaseUp!FU$9*(ParkingPerUnitMo+UtilReimbPerUnitMo+OtherIncPerUnitMo)+RetailRentMo*MIN(1,LeaseUp!FU$10/StabilizedOccupancy))*(1-MgmtFeePct)-TotalUnits/12*(ExpInsurancePerUnit+ExpAdminPerUnit)-TotalUnits/12*FU$11*(ExpUtilitiesPerUnit+ExpRMPerUnit+ExpTurnoverPerUnit+ExpContractPerUnit)-TotalUnits/12*FU$12*(ExpPayrollPerUnit+ExpAdvertisingPerUnit),0)</f>
        <v/>
      </c>
      <c r="FV68" s="218">
        <f>IF(174&gt;=DeliverStart,((BaseMarketRentMo+BaseLowRentMo)*(LeaseUp!FV$10+LossToLeasePct+BadDebtPct+ConcessionsPct)+LeaseUp!FV$9*(ParkingPerUnitMo+UtilReimbPerUnitMo+OtherIncPerUnitMo)+RetailRentMo*MIN(1,LeaseUp!FV$10/StabilizedOccupancy))*(1-MgmtFeePct)-TotalUnits/12*(ExpInsurancePerUnit+ExpAdminPerUnit)-TotalUnits/12*FV$11*(ExpUtilitiesPerUnit+ExpRMPerUnit+ExpTurnoverPerUnit+ExpContractPerUnit)-TotalUnits/12*FV$12*(ExpPayrollPerUnit+ExpAdvertisingPerUnit),0)</f>
        <v/>
      </c>
      <c r="FW68" s="218">
        <f>IF(175&gt;=DeliverStart,((BaseMarketRentMo+BaseLowRentMo)*(LeaseUp!FW$10+LossToLeasePct+BadDebtPct+ConcessionsPct)+LeaseUp!FW$9*(ParkingPerUnitMo+UtilReimbPerUnitMo+OtherIncPerUnitMo)+RetailRentMo*MIN(1,LeaseUp!FW$10/StabilizedOccupancy))*(1-MgmtFeePct)-TotalUnits/12*(ExpInsurancePerUnit+ExpAdminPerUnit)-TotalUnits/12*FW$11*(ExpUtilitiesPerUnit+ExpRMPerUnit+ExpTurnoverPerUnit+ExpContractPerUnit)-TotalUnits/12*FW$12*(ExpPayrollPerUnit+ExpAdvertisingPerUnit),0)</f>
        <v/>
      </c>
      <c r="FX68" s="218">
        <f>IF(176&gt;=DeliverStart,((BaseMarketRentMo+BaseLowRentMo)*(LeaseUp!FX$10+LossToLeasePct+BadDebtPct+ConcessionsPct)+LeaseUp!FX$9*(ParkingPerUnitMo+UtilReimbPerUnitMo+OtherIncPerUnitMo)+RetailRentMo*MIN(1,LeaseUp!FX$10/StabilizedOccupancy))*(1-MgmtFeePct)-TotalUnits/12*(ExpInsurancePerUnit+ExpAdminPerUnit)-TotalUnits/12*FX$11*(ExpUtilitiesPerUnit+ExpRMPerUnit+ExpTurnoverPerUnit+ExpContractPerUnit)-TotalUnits/12*FX$12*(ExpPayrollPerUnit+ExpAdvertisingPerUnit),0)</f>
        <v/>
      </c>
      <c r="FY68" s="218">
        <f>IF(177&gt;=DeliverStart,((BaseMarketRentMo+BaseLowRentMo)*(LeaseUp!FY$10+LossToLeasePct+BadDebtPct+ConcessionsPct)+LeaseUp!FY$9*(ParkingPerUnitMo+UtilReimbPerUnitMo+OtherIncPerUnitMo)+RetailRentMo*MIN(1,LeaseUp!FY$10/StabilizedOccupancy))*(1-MgmtFeePct)-TotalUnits/12*(ExpInsurancePerUnit+ExpAdminPerUnit)-TotalUnits/12*FY$11*(ExpUtilitiesPerUnit+ExpRMPerUnit+ExpTurnoverPerUnit+ExpContractPerUnit)-TotalUnits/12*FY$12*(ExpPayrollPerUnit+ExpAdvertisingPerUnit),0)</f>
        <v/>
      </c>
      <c r="FZ68" s="218">
        <f>IF(178&gt;=DeliverStart,((BaseMarketRentMo+BaseLowRentMo)*(LeaseUp!FZ$10+LossToLeasePct+BadDebtPct+ConcessionsPct)+LeaseUp!FZ$9*(ParkingPerUnitMo+UtilReimbPerUnitMo+OtherIncPerUnitMo)+RetailRentMo*MIN(1,LeaseUp!FZ$10/StabilizedOccupancy))*(1-MgmtFeePct)-TotalUnits/12*(ExpInsurancePerUnit+ExpAdminPerUnit)-TotalUnits/12*FZ$11*(ExpUtilitiesPerUnit+ExpRMPerUnit+ExpTurnoverPerUnit+ExpContractPerUnit)-TotalUnits/12*FZ$12*(ExpPayrollPerUnit+ExpAdvertisingPerUnit),0)</f>
        <v/>
      </c>
      <c r="GA68" s="218">
        <f>IF(179&gt;=DeliverStart,((BaseMarketRentMo+BaseLowRentMo)*(LeaseUp!GA$10+LossToLeasePct+BadDebtPct+ConcessionsPct)+LeaseUp!GA$9*(ParkingPerUnitMo+UtilReimbPerUnitMo+OtherIncPerUnitMo)+RetailRentMo*MIN(1,LeaseUp!GA$10/StabilizedOccupancy))*(1-MgmtFeePct)-TotalUnits/12*(ExpInsurancePerUnit+ExpAdminPerUnit)-TotalUnits/12*GA$11*(ExpUtilitiesPerUnit+ExpRMPerUnit+ExpTurnoverPerUnit+ExpContractPerUnit)-TotalUnits/12*GA$12*(ExpPayrollPerUnit+ExpAdvertisingPerUnit),0)</f>
        <v/>
      </c>
      <c r="GB68" s="218">
        <f>IF(180&gt;=DeliverStart,((BaseMarketRentMo+BaseLowRentMo)*(LeaseUp!GB$10+LossToLeasePct+BadDebtPct+ConcessionsPct)+LeaseUp!GB$9*(ParkingPerUnitMo+UtilReimbPerUnitMo+OtherIncPerUnitMo)+RetailRentMo*MIN(1,LeaseUp!GB$10/StabilizedOccupancy))*(1-MgmtFeePct)-TotalUnits/12*(ExpInsurancePerUnit+ExpAdminPerUnit)-TotalUnits/12*GB$11*(ExpUtilitiesPerUnit+ExpRMPerUnit+ExpTurnoverPerUnit+ExpContractPerUnit)-TotalUnits/12*GB$12*(ExpPayrollPerUnit+ExpAdvertisingPerUnit),0)</f>
        <v/>
      </c>
      <c r="GC68" s="218">
        <f>IF(181&gt;=DeliverStart,((BaseMarketRentMo+BaseLowRentMo)*(LeaseUp!GC$10+LossToLeasePct+BadDebtPct+ConcessionsPct)+LeaseUp!GC$9*(ParkingPerUnitMo+UtilReimbPerUnitMo+OtherIncPerUnitMo)+RetailRentMo*MIN(1,LeaseUp!GC$10/StabilizedOccupancy))*(1-MgmtFeePct)-TotalUnits/12*(ExpInsurancePerUnit+ExpAdminPerUnit)-TotalUnits/12*GC$11*(ExpUtilitiesPerUnit+ExpRMPerUnit+ExpTurnoverPerUnit+ExpContractPerUnit)-TotalUnits/12*GC$12*(ExpPayrollPerUnit+ExpAdvertisingPerUnit),0)</f>
        <v/>
      </c>
      <c r="GD68" s="218">
        <f>IF(182&gt;=DeliverStart,((BaseMarketRentMo+BaseLowRentMo)*(LeaseUp!GD$10+LossToLeasePct+BadDebtPct+ConcessionsPct)+LeaseUp!GD$9*(ParkingPerUnitMo+UtilReimbPerUnitMo+OtherIncPerUnitMo)+RetailRentMo*MIN(1,LeaseUp!GD$10/StabilizedOccupancy))*(1-MgmtFeePct)-TotalUnits/12*(ExpInsurancePerUnit+ExpAdminPerUnit)-TotalUnits/12*GD$11*(ExpUtilitiesPerUnit+ExpRMPerUnit+ExpTurnoverPerUnit+ExpContractPerUnit)-TotalUnits/12*GD$12*(ExpPayrollPerUnit+ExpAdvertisingPerUnit),0)</f>
        <v/>
      </c>
      <c r="GE68" s="218">
        <f>IF(183&gt;=DeliverStart,((BaseMarketRentMo+BaseLowRentMo)*(LeaseUp!GE$10+LossToLeasePct+BadDebtPct+ConcessionsPct)+LeaseUp!GE$9*(ParkingPerUnitMo+UtilReimbPerUnitMo+OtherIncPerUnitMo)+RetailRentMo*MIN(1,LeaseUp!GE$10/StabilizedOccupancy))*(1-MgmtFeePct)-TotalUnits/12*(ExpInsurancePerUnit+ExpAdminPerUnit)-TotalUnits/12*GE$11*(ExpUtilitiesPerUnit+ExpRMPerUnit+ExpTurnoverPerUnit+ExpContractPerUnit)-TotalUnits/12*GE$12*(ExpPayrollPerUnit+ExpAdvertisingPerUnit),0)</f>
        <v/>
      </c>
      <c r="GF68" s="218">
        <f>IF(184&gt;=DeliverStart,((BaseMarketRentMo+BaseLowRentMo)*(LeaseUp!GF$10+LossToLeasePct+BadDebtPct+ConcessionsPct)+LeaseUp!GF$9*(ParkingPerUnitMo+UtilReimbPerUnitMo+OtherIncPerUnitMo)+RetailRentMo*MIN(1,LeaseUp!GF$10/StabilizedOccupancy))*(1-MgmtFeePct)-TotalUnits/12*(ExpInsurancePerUnit+ExpAdminPerUnit)-TotalUnits/12*GF$11*(ExpUtilitiesPerUnit+ExpRMPerUnit+ExpTurnoverPerUnit+ExpContractPerUnit)-TotalUnits/12*GF$12*(ExpPayrollPerUnit+ExpAdvertisingPerUnit),0)</f>
        <v/>
      </c>
      <c r="GG68" s="218">
        <f>IF(185&gt;=DeliverStart,((BaseMarketRentMo+BaseLowRentMo)*(LeaseUp!GG$10+LossToLeasePct+BadDebtPct+ConcessionsPct)+LeaseUp!GG$9*(ParkingPerUnitMo+UtilReimbPerUnitMo+OtherIncPerUnitMo)+RetailRentMo*MIN(1,LeaseUp!GG$10/StabilizedOccupancy))*(1-MgmtFeePct)-TotalUnits/12*(ExpInsurancePerUnit+ExpAdminPerUnit)-TotalUnits/12*GG$11*(ExpUtilitiesPerUnit+ExpRMPerUnit+ExpTurnoverPerUnit+ExpContractPerUnit)-TotalUnits/12*GG$12*(ExpPayrollPerUnit+ExpAdvertisingPerUnit),0)</f>
        <v/>
      </c>
      <c r="GH68" s="218">
        <f>IF(186&gt;=DeliverStart,((BaseMarketRentMo+BaseLowRentMo)*(LeaseUp!GH$10+LossToLeasePct+BadDebtPct+ConcessionsPct)+LeaseUp!GH$9*(ParkingPerUnitMo+UtilReimbPerUnitMo+OtherIncPerUnitMo)+RetailRentMo*MIN(1,LeaseUp!GH$10/StabilizedOccupancy))*(1-MgmtFeePct)-TotalUnits/12*(ExpInsurancePerUnit+ExpAdminPerUnit)-TotalUnits/12*GH$11*(ExpUtilitiesPerUnit+ExpRMPerUnit+ExpTurnoverPerUnit+ExpContractPerUnit)-TotalUnits/12*GH$12*(ExpPayrollPerUnit+ExpAdvertisingPerUnit),0)</f>
        <v/>
      </c>
      <c r="GI68" s="218">
        <f>IF(187&gt;=DeliverStart,((BaseMarketRentMo+BaseLowRentMo)*(LeaseUp!GI$10+LossToLeasePct+BadDebtPct+ConcessionsPct)+LeaseUp!GI$9*(ParkingPerUnitMo+UtilReimbPerUnitMo+OtherIncPerUnitMo)+RetailRentMo*MIN(1,LeaseUp!GI$10/StabilizedOccupancy))*(1-MgmtFeePct)-TotalUnits/12*(ExpInsurancePerUnit+ExpAdminPerUnit)-TotalUnits/12*GI$11*(ExpUtilitiesPerUnit+ExpRMPerUnit+ExpTurnoverPerUnit+ExpContractPerUnit)-TotalUnits/12*GI$12*(ExpPayrollPerUnit+ExpAdvertisingPerUnit),0)</f>
        <v/>
      </c>
      <c r="GJ68" s="218">
        <f>IF(188&gt;=DeliverStart,((BaseMarketRentMo+BaseLowRentMo)*(LeaseUp!GJ$10+LossToLeasePct+BadDebtPct+ConcessionsPct)+LeaseUp!GJ$9*(ParkingPerUnitMo+UtilReimbPerUnitMo+OtherIncPerUnitMo)+RetailRentMo*MIN(1,LeaseUp!GJ$10/StabilizedOccupancy))*(1-MgmtFeePct)-TotalUnits/12*(ExpInsurancePerUnit+ExpAdminPerUnit)-TotalUnits/12*GJ$11*(ExpUtilitiesPerUnit+ExpRMPerUnit+ExpTurnoverPerUnit+ExpContractPerUnit)-TotalUnits/12*GJ$12*(ExpPayrollPerUnit+ExpAdvertisingPerUnit),0)</f>
        <v/>
      </c>
      <c r="GK68" s="218">
        <f>IF(189&gt;=DeliverStart,((BaseMarketRentMo+BaseLowRentMo)*(LeaseUp!GK$10+LossToLeasePct+BadDebtPct+ConcessionsPct)+LeaseUp!GK$9*(ParkingPerUnitMo+UtilReimbPerUnitMo+OtherIncPerUnitMo)+RetailRentMo*MIN(1,LeaseUp!GK$10/StabilizedOccupancy))*(1-MgmtFeePct)-TotalUnits/12*(ExpInsurancePerUnit+ExpAdminPerUnit)-TotalUnits/12*GK$11*(ExpUtilitiesPerUnit+ExpRMPerUnit+ExpTurnoverPerUnit+ExpContractPerUnit)-TotalUnits/12*GK$12*(ExpPayrollPerUnit+ExpAdvertisingPerUnit),0)</f>
        <v/>
      </c>
      <c r="GL68" s="218">
        <f>IF(190&gt;=DeliverStart,((BaseMarketRentMo+BaseLowRentMo)*(LeaseUp!GL$10+LossToLeasePct+BadDebtPct+ConcessionsPct)+LeaseUp!GL$9*(ParkingPerUnitMo+UtilReimbPerUnitMo+OtherIncPerUnitMo)+RetailRentMo*MIN(1,LeaseUp!GL$10/StabilizedOccupancy))*(1-MgmtFeePct)-TotalUnits/12*(ExpInsurancePerUnit+ExpAdminPerUnit)-TotalUnits/12*GL$11*(ExpUtilitiesPerUnit+ExpRMPerUnit+ExpTurnoverPerUnit+ExpContractPerUnit)-TotalUnits/12*GL$12*(ExpPayrollPerUnit+ExpAdvertisingPerUnit),0)</f>
        <v/>
      </c>
      <c r="GM68" s="218">
        <f>IF(191&gt;=DeliverStart,((BaseMarketRentMo+BaseLowRentMo)*(LeaseUp!GM$10+LossToLeasePct+BadDebtPct+ConcessionsPct)+LeaseUp!GM$9*(ParkingPerUnitMo+UtilReimbPerUnitMo+OtherIncPerUnitMo)+RetailRentMo*MIN(1,LeaseUp!GM$10/StabilizedOccupancy))*(1-MgmtFeePct)-TotalUnits/12*(ExpInsurancePerUnit+ExpAdminPerUnit)-TotalUnits/12*GM$11*(ExpUtilitiesPerUnit+ExpRMPerUnit+ExpTurnoverPerUnit+ExpContractPerUnit)-TotalUnits/12*GM$12*(ExpPayrollPerUnit+ExpAdvertisingPerUnit),0)</f>
        <v/>
      </c>
      <c r="GN68" s="218">
        <f>IF(192&gt;=DeliverStart,((BaseMarketRentMo+BaseLowRentMo)*(LeaseUp!GN$10+LossToLeasePct+BadDebtPct+ConcessionsPct)+LeaseUp!GN$9*(ParkingPerUnitMo+UtilReimbPerUnitMo+OtherIncPerUnitMo)+RetailRentMo*MIN(1,LeaseUp!GN$10/StabilizedOccupancy))*(1-MgmtFeePct)-TotalUnits/12*(ExpInsurancePerUnit+ExpAdminPerUnit)-TotalUnits/12*GN$11*(ExpUtilitiesPerUnit+ExpRMPerUnit+ExpTurnoverPerUnit+ExpContractPerUnit)-TotalUnits/12*GN$12*(ExpPayrollPerUnit+ExpAdvertisingPerUnit),0)</f>
        <v/>
      </c>
      <c r="GO68" s="218">
        <f>IF(193&gt;=DeliverStart,((BaseMarketRentMo+BaseLowRentMo)*(LeaseUp!GO$10+LossToLeasePct+BadDebtPct+ConcessionsPct)+LeaseUp!GO$9*(ParkingPerUnitMo+UtilReimbPerUnitMo+OtherIncPerUnitMo)+RetailRentMo*MIN(1,LeaseUp!GO$10/StabilizedOccupancy))*(1-MgmtFeePct)-TotalUnits/12*(ExpInsurancePerUnit+ExpAdminPerUnit)-TotalUnits/12*GO$11*(ExpUtilitiesPerUnit+ExpRMPerUnit+ExpTurnoverPerUnit+ExpContractPerUnit)-TotalUnits/12*GO$12*(ExpPayrollPerUnit+ExpAdvertisingPerUnit),0)</f>
        <v/>
      </c>
      <c r="GP68" s="218">
        <f>IF(194&gt;=DeliverStart,((BaseMarketRentMo+BaseLowRentMo)*(LeaseUp!GP$10+LossToLeasePct+BadDebtPct+ConcessionsPct)+LeaseUp!GP$9*(ParkingPerUnitMo+UtilReimbPerUnitMo+OtherIncPerUnitMo)+RetailRentMo*MIN(1,LeaseUp!GP$10/StabilizedOccupancy))*(1-MgmtFeePct)-TotalUnits/12*(ExpInsurancePerUnit+ExpAdminPerUnit)-TotalUnits/12*GP$11*(ExpUtilitiesPerUnit+ExpRMPerUnit+ExpTurnoverPerUnit+ExpContractPerUnit)-TotalUnits/12*GP$12*(ExpPayrollPerUnit+ExpAdvertisingPerUnit),0)</f>
        <v/>
      </c>
      <c r="GQ68" s="218">
        <f>IF(195&gt;=DeliverStart,((BaseMarketRentMo+BaseLowRentMo)*(LeaseUp!GQ$10+LossToLeasePct+BadDebtPct+ConcessionsPct)+LeaseUp!GQ$9*(ParkingPerUnitMo+UtilReimbPerUnitMo+OtherIncPerUnitMo)+RetailRentMo*MIN(1,LeaseUp!GQ$10/StabilizedOccupancy))*(1-MgmtFeePct)-TotalUnits/12*(ExpInsurancePerUnit+ExpAdminPerUnit)-TotalUnits/12*GQ$11*(ExpUtilitiesPerUnit+ExpRMPerUnit+ExpTurnoverPerUnit+ExpContractPerUnit)-TotalUnits/12*GQ$12*(ExpPayrollPerUnit+ExpAdvertisingPerUnit),0)</f>
        <v/>
      </c>
      <c r="GR68" s="218">
        <f>IF(196&gt;=DeliverStart,((BaseMarketRentMo+BaseLowRentMo)*(LeaseUp!GR$10+LossToLeasePct+BadDebtPct+ConcessionsPct)+LeaseUp!GR$9*(ParkingPerUnitMo+UtilReimbPerUnitMo+OtherIncPerUnitMo)+RetailRentMo*MIN(1,LeaseUp!GR$10/StabilizedOccupancy))*(1-MgmtFeePct)-TotalUnits/12*(ExpInsurancePerUnit+ExpAdminPerUnit)-TotalUnits/12*GR$11*(ExpUtilitiesPerUnit+ExpRMPerUnit+ExpTurnoverPerUnit+ExpContractPerUnit)-TotalUnits/12*GR$12*(ExpPayrollPerUnit+ExpAdvertisingPerUnit),0)</f>
        <v/>
      </c>
      <c r="GS68" s="218">
        <f>IF(197&gt;=DeliverStart,((BaseMarketRentMo+BaseLowRentMo)*(LeaseUp!GS$10+LossToLeasePct+BadDebtPct+ConcessionsPct)+LeaseUp!GS$9*(ParkingPerUnitMo+UtilReimbPerUnitMo+OtherIncPerUnitMo)+RetailRentMo*MIN(1,LeaseUp!GS$10/StabilizedOccupancy))*(1-MgmtFeePct)-TotalUnits/12*(ExpInsurancePerUnit+ExpAdminPerUnit)-TotalUnits/12*GS$11*(ExpUtilitiesPerUnit+ExpRMPerUnit+ExpTurnoverPerUnit+ExpContractPerUnit)-TotalUnits/12*GS$12*(ExpPayrollPerUnit+ExpAdvertisingPerUnit),0)</f>
        <v/>
      </c>
      <c r="GT68" s="218">
        <f>IF(198&gt;=DeliverStart,((BaseMarketRentMo+BaseLowRentMo)*(LeaseUp!GT$10+LossToLeasePct+BadDebtPct+ConcessionsPct)+LeaseUp!GT$9*(ParkingPerUnitMo+UtilReimbPerUnitMo+OtherIncPerUnitMo)+RetailRentMo*MIN(1,LeaseUp!GT$10/StabilizedOccupancy))*(1-MgmtFeePct)-TotalUnits/12*(ExpInsurancePerUnit+ExpAdminPerUnit)-TotalUnits/12*GT$11*(ExpUtilitiesPerUnit+ExpRMPerUnit+ExpTurnoverPerUnit+ExpContractPerUnit)-TotalUnits/12*GT$12*(ExpPayrollPerUnit+ExpAdvertisingPerUnit),0)</f>
        <v/>
      </c>
      <c r="GU68" s="218">
        <f>IF(199&gt;=DeliverStart,((BaseMarketRentMo+BaseLowRentMo)*(LeaseUp!GU$10+LossToLeasePct+BadDebtPct+ConcessionsPct)+LeaseUp!GU$9*(ParkingPerUnitMo+UtilReimbPerUnitMo+OtherIncPerUnitMo)+RetailRentMo*MIN(1,LeaseUp!GU$10/StabilizedOccupancy))*(1-MgmtFeePct)-TotalUnits/12*(ExpInsurancePerUnit+ExpAdminPerUnit)-TotalUnits/12*GU$11*(ExpUtilitiesPerUnit+ExpRMPerUnit+ExpTurnoverPerUnit+ExpContractPerUnit)-TotalUnits/12*GU$12*(ExpPayrollPerUnit+ExpAdvertisingPerUnit),0)</f>
        <v/>
      </c>
      <c r="GV68" s="218">
        <f>IF(200&gt;=DeliverStart,((BaseMarketRentMo+BaseLowRentMo)*(LeaseUp!GV$10+LossToLeasePct+BadDebtPct+ConcessionsPct)+LeaseUp!GV$9*(ParkingPerUnitMo+UtilReimbPerUnitMo+OtherIncPerUnitMo)+RetailRentMo*MIN(1,LeaseUp!GV$10/StabilizedOccupancy))*(1-MgmtFeePct)-TotalUnits/12*(ExpInsurancePerUnit+ExpAdminPerUnit)-TotalUnits/12*GV$11*(ExpUtilitiesPerUnit+ExpRMPerUnit+ExpTurnoverPerUnit+ExpContractPerUnit)-TotalUnits/12*GV$12*(ExpPayrollPerUnit+ExpAdvertisingPerUnit),0)</f>
        <v/>
      </c>
      <c r="GW68" s="218">
        <f>IF(201&gt;=DeliverStart,((BaseMarketRentMo+BaseLowRentMo)*(LeaseUp!GW$10+LossToLeasePct+BadDebtPct+ConcessionsPct)+LeaseUp!GW$9*(ParkingPerUnitMo+UtilReimbPerUnitMo+OtherIncPerUnitMo)+RetailRentMo*MIN(1,LeaseUp!GW$10/StabilizedOccupancy))*(1-MgmtFeePct)-TotalUnits/12*(ExpInsurancePerUnit+ExpAdminPerUnit)-TotalUnits/12*GW$11*(ExpUtilitiesPerUnit+ExpRMPerUnit+ExpTurnoverPerUnit+ExpContractPerUnit)-TotalUnits/12*GW$12*(ExpPayrollPerUnit+ExpAdvertisingPerUnit),0)</f>
        <v/>
      </c>
      <c r="GX68" s="218">
        <f>IF(202&gt;=DeliverStart,((BaseMarketRentMo+BaseLowRentMo)*(LeaseUp!GX$10+LossToLeasePct+BadDebtPct+ConcessionsPct)+LeaseUp!GX$9*(ParkingPerUnitMo+UtilReimbPerUnitMo+OtherIncPerUnitMo)+RetailRentMo*MIN(1,LeaseUp!GX$10/StabilizedOccupancy))*(1-MgmtFeePct)-TotalUnits/12*(ExpInsurancePerUnit+ExpAdminPerUnit)-TotalUnits/12*GX$11*(ExpUtilitiesPerUnit+ExpRMPerUnit+ExpTurnoverPerUnit+ExpContractPerUnit)-TotalUnits/12*GX$12*(ExpPayrollPerUnit+ExpAdvertisingPerUnit),0)</f>
        <v/>
      </c>
      <c r="GY68" s="218">
        <f>IF(203&gt;=DeliverStart,((BaseMarketRentMo+BaseLowRentMo)*(LeaseUp!GY$10+LossToLeasePct+BadDebtPct+ConcessionsPct)+LeaseUp!GY$9*(ParkingPerUnitMo+UtilReimbPerUnitMo+OtherIncPerUnitMo)+RetailRentMo*MIN(1,LeaseUp!GY$10/StabilizedOccupancy))*(1-MgmtFeePct)-TotalUnits/12*(ExpInsurancePerUnit+ExpAdminPerUnit)-TotalUnits/12*GY$11*(ExpUtilitiesPerUnit+ExpRMPerUnit+ExpTurnoverPerUnit+ExpContractPerUnit)-TotalUnits/12*GY$12*(ExpPayrollPerUnit+ExpAdvertisingPerUnit),0)</f>
        <v/>
      </c>
      <c r="GZ68" s="218">
        <f>IF(204&gt;=DeliverStart,((BaseMarketRentMo+BaseLowRentMo)*(LeaseUp!GZ$10+LossToLeasePct+BadDebtPct+ConcessionsPct)+LeaseUp!GZ$9*(ParkingPerUnitMo+UtilReimbPerUnitMo+OtherIncPerUnitMo)+RetailRentMo*MIN(1,LeaseUp!GZ$10/StabilizedOccupancy))*(1-MgmtFeePct)-TotalUnits/12*(ExpInsurancePerUnit+ExpAdminPerUnit)-TotalUnits/12*GZ$11*(ExpUtilitiesPerUnit+ExpRMPerUnit+ExpTurnoverPerUnit+ExpContractPerUnit)-TotalUnits/12*GZ$12*(ExpPayrollPerUnit+ExpAdvertisingPerUnit),0)</f>
        <v/>
      </c>
      <c r="HA68" s="218">
        <f>IF(205&gt;=DeliverStart,((BaseMarketRentMo+BaseLowRentMo)*(LeaseUp!HA$10+LossToLeasePct+BadDebtPct+ConcessionsPct)+LeaseUp!HA$9*(ParkingPerUnitMo+UtilReimbPerUnitMo+OtherIncPerUnitMo)+RetailRentMo*MIN(1,LeaseUp!HA$10/StabilizedOccupancy))*(1-MgmtFeePct)-TotalUnits/12*(ExpInsurancePerUnit+ExpAdminPerUnit)-TotalUnits/12*HA$11*(ExpUtilitiesPerUnit+ExpRMPerUnit+ExpTurnoverPerUnit+ExpContractPerUnit)-TotalUnits/12*HA$12*(ExpPayrollPerUnit+ExpAdvertisingPerUnit),0)</f>
        <v/>
      </c>
      <c r="HB68" s="218">
        <f>IF(206&gt;=DeliverStart,((BaseMarketRentMo+BaseLowRentMo)*(LeaseUp!HB$10+LossToLeasePct+BadDebtPct+ConcessionsPct)+LeaseUp!HB$9*(ParkingPerUnitMo+UtilReimbPerUnitMo+OtherIncPerUnitMo)+RetailRentMo*MIN(1,LeaseUp!HB$10/StabilizedOccupancy))*(1-MgmtFeePct)-TotalUnits/12*(ExpInsurancePerUnit+ExpAdminPerUnit)-TotalUnits/12*HB$11*(ExpUtilitiesPerUnit+ExpRMPerUnit+ExpTurnoverPerUnit+ExpContractPerUnit)-TotalUnits/12*HB$12*(ExpPayrollPerUnit+ExpAdvertisingPerUnit),0)</f>
        <v/>
      </c>
      <c r="HC68" s="218">
        <f>IF(207&gt;=DeliverStart,((BaseMarketRentMo+BaseLowRentMo)*(LeaseUp!HC$10+LossToLeasePct+BadDebtPct+ConcessionsPct)+LeaseUp!HC$9*(ParkingPerUnitMo+UtilReimbPerUnitMo+OtherIncPerUnitMo)+RetailRentMo*MIN(1,LeaseUp!HC$10/StabilizedOccupancy))*(1-MgmtFeePct)-TotalUnits/12*(ExpInsurancePerUnit+ExpAdminPerUnit)-TotalUnits/12*HC$11*(ExpUtilitiesPerUnit+ExpRMPerUnit+ExpTurnoverPerUnit+ExpContractPerUnit)-TotalUnits/12*HC$12*(ExpPayrollPerUnit+ExpAdvertisingPerUnit),0)</f>
        <v/>
      </c>
      <c r="HD68" s="218">
        <f>IF(208&gt;=DeliverStart,((BaseMarketRentMo+BaseLowRentMo)*(LeaseUp!HD$10+LossToLeasePct+BadDebtPct+ConcessionsPct)+LeaseUp!HD$9*(ParkingPerUnitMo+UtilReimbPerUnitMo+OtherIncPerUnitMo)+RetailRentMo*MIN(1,LeaseUp!HD$10/StabilizedOccupancy))*(1-MgmtFeePct)-TotalUnits/12*(ExpInsurancePerUnit+ExpAdminPerUnit)-TotalUnits/12*HD$11*(ExpUtilitiesPerUnit+ExpRMPerUnit+ExpTurnoverPerUnit+ExpContractPerUnit)-TotalUnits/12*HD$12*(ExpPayrollPerUnit+ExpAdvertisingPerUnit),0)</f>
        <v/>
      </c>
      <c r="HE68" s="218">
        <f>IF(209&gt;=DeliverStart,((BaseMarketRentMo+BaseLowRentMo)*(LeaseUp!HE$10+LossToLeasePct+BadDebtPct+ConcessionsPct)+LeaseUp!HE$9*(ParkingPerUnitMo+UtilReimbPerUnitMo+OtherIncPerUnitMo)+RetailRentMo*MIN(1,LeaseUp!HE$10/StabilizedOccupancy))*(1-MgmtFeePct)-TotalUnits/12*(ExpInsurancePerUnit+ExpAdminPerUnit)-TotalUnits/12*HE$11*(ExpUtilitiesPerUnit+ExpRMPerUnit+ExpTurnoverPerUnit+ExpContractPerUnit)-TotalUnits/12*HE$12*(ExpPayrollPerUnit+ExpAdvertisingPerUnit),0)</f>
        <v/>
      </c>
      <c r="HF68" s="218">
        <f>IF(210&gt;=DeliverStart,((BaseMarketRentMo+BaseLowRentMo)*(LeaseUp!HF$10+LossToLeasePct+BadDebtPct+ConcessionsPct)+LeaseUp!HF$9*(ParkingPerUnitMo+UtilReimbPerUnitMo+OtherIncPerUnitMo)+RetailRentMo*MIN(1,LeaseUp!HF$10/StabilizedOccupancy))*(1-MgmtFeePct)-TotalUnits/12*(ExpInsurancePerUnit+ExpAdminPerUnit)-TotalUnits/12*HF$11*(ExpUtilitiesPerUnit+ExpRMPerUnit+ExpTurnoverPerUnit+ExpContractPerUnit)-TotalUnits/12*HF$12*(ExpPayrollPerUnit+ExpAdvertisingPerUnit),0)</f>
        <v/>
      </c>
      <c r="HG68" s="218">
        <f>IF(211&gt;=DeliverStart,((BaseMarketRentMo+BaseLowRentMo)*(LeaseUp!HG$10+LossToLeasePct+BadDebtPct+ConcessionsPct)+LeaseUp!HG$9*(ParkingPerUnitMo+UtilReimbPerUnitMo+OtherIncPerUnitMo)+RetailRentMo*MIN(1,LeaseUp!HG$10/StabilizedOccupancy))*(1-MgmtFeePct)-TotalUnits/12*(ExpInsurancePerUnit+ExpAdminPerUnit)-TotalUnits/12*HG$11*(ExpUtilitiesPerUnit+ExpRMPerUnit+ExpTurnoverPerUnit+ExpContractPerUnit)-TotalUnits/12*HG$12*(ExpPayrollPerUnit+ExpAdvertisingPerUnit),0)</f>
        <v/>
      </c>
      <c r="HH68" s="218">
        <f>IF(212&gt;=DeliverStart,((BaseMarketRentMo+BaseLowRentMo)*(LeaseUp!HH$10+LossToLeasePct+BadDebtPct+ConcessionsPct)+LeaseUp!HH$9*(ParkingPerUnitMo+UtilReimbPerUnitMo+OtherIncPerUnitMo)+RetailRentMo*MIN(1,LeaseUp!HH$10/StabilizedOccupancy))*(1-MgmtFeePct)-TotalUnits/12*(ExpInsurancePerUnit+ExpAdminPerUnit)-TotalUnits/12*HH$11*(ExpUtilitiesPerUnit+ExpRMPerUnit+ExpTurnoverPerUnit+ExpContractPerUnit)-TotalUnits/12*HH$12*(ExpPayrollPerUnit+ExpAdvertisingPerUnit),0)</f>
        <v/>
      </c>
      <c r="HI68" s="218">
        <f>IF(213&gt;=DeliverStart,((BaseMarketRentMo+BaseLowRentMo)*(LeaseUp!HI$10+LossToLeasePct+BadDebtPct+ConcessionsPct)+LeaseUp!HI$9*(ParkingPerUnitMo+UtilReimbPerUnitMo+OtherIncPerUnitMo)+RetailRentMo*MIN(1,LeaseUp!HI$10/StabilizedOccupancy))*(1-MgmtFeePct)-TotalUnits/12*(ExpInsurancePerUnit+ExpAdminPerUnit)-TotalUnits/12*HI$11*(ExpUtilitiesPerUnit+ExpRMPerUnit+ExpTurnoverPerUnit+ExpContractPerUnit)-TotalUnits/12*HI$12*(ExpPayrollPerUnit+ExpAdvertisingPerUnit),0)</f>
        <v/>
      </c>
      <c r="HJ68" s="218">
        <f>IF(214&gt;=DeliverStart,((BaseMarketRentMo+BaseLowRentMo)*(LeaseUp!HJ$10+LossToLeasePct+BadDebtPct+ConcessionsPct)+LeaseUp!HJ$9*(ParkingPerUnitMo+UtilReimbPerUnitMo+OtherIncPerUnitMo)+RetailRentMo*MIN(1,LeaseUp!HJ$10/StabilizedOccupancy))*(1-MgmtFeePct)-TotalUnits/12*(ExpInsurancePerUnit+ExpAdminPerUnit)-TotalUnits/12*HJ$11*(ExpUtilitiesPerUnit+ExpRMPerUnit+ExpTurnoverPerUnit+ExpContractPerUnit)-TotalUnits/12*HJ$12*(ExpPayrollPerUnit+ExpAdvertisingPerUnit),0)</f>
        <v/>
      </c>
      <c r="HK68" s="218">
        <f>IF(215&gt;=DeliverStart,((BaseMarketRentMo+BaseLowRentMo)*(LeaseUp!HK$10+LossToLeasePct+BadDebtPct+ConcessionsPct)+LeaseUp!HK$9*(ParkingPerUnitMo+UtilReimbPerUnitMo+OtherIncPerUnitMo)+RetailRentMo*MIN(1,LeaseUp!HK$10/StabilizedOccupancy))*(1-MgmtFeePct)-TotalUnits/12*(ExpInsurancePerUnit+ExpAdminPerUnit)-TotalUnits/12*HK$11*(ExpUtilitiesPerUnit+ExpRMPerUnit+ExpTurnoverPerUnit+ExpContractPerUnit)-TotalUnits/12*HK$12*(ExpPayrollPerUnit+ExpAdvertisingPerUnit),0)</f>
        <v/>
      </c>
      <c r="HL68" s="218">
        <f>IF(216&gt;=DeliverStart,((BaseMarketRentMo+BaseLowRentMo)*(LeaseUp!HL$10+LossToLeasePct+BadDebtPct+ConcessionsPct)+LeaseUp!HL$9*(ParkingPerUnitMo+UtilReimbPerUnitMo+OtherIncPerUnitMo)+RetailRentMo*MIN(1,LeaseUp!HL$10/StabilizedOccupancy))*(1-MgmtFeePct)-TotalUnits/12*(ExpInsurancePerUnit+ExpAdminPerUnit)-TotalUnits/12*HL$11*(ExpUtilitiesPerUnit+ExpRMPerUnit+ExpTurnoverPerUnit+ExpContractPerUnit)-TotalUnits/12*HL$12*(ExpPayrollPerUnit+ExpAdvertisingPerUnit),0)</f>
        <v/>
      </c>
      <c r="HM68" s="218">
        <f>IF(217&gt;=DeliverStart,((BaseMarketRentMo+BaseLowRentMo)*(LeaseUp!HM$10+LossToLeasePct+BadDebtPct+ConcessionsPct)+LeaseUp!HM$9*(ParkingPerUnitMo+UtilReimbPerUnitMo+OtherIncPerUnitMo)+RetailRentMo*MIN(1,LeaseUp!HM$10/StabilizedOccupancy))*(1-MgmtFeePct)-TotalUnits/12*(ExpInsurancePerUnit+ExpAdminPerUnit)-TotalUnits/12*HM$11*(ExpUtilitiesPerUnit+ExpRMPerUnit+ExpTurnoverPerUnit+ExpContractPerUnit)-TotalUnits/12*HM$12*(ExpPayrollPerUnit+ExpAdvertisingPerUnit),0)</f>
        <v/>
      </c>
      <c r="HN68" s="218">
        <f>IF(218&gt;=DeliverStart,((BaseMarketRentMo+BaseLowRentMo)*(LeaseUp!HN$10+LossToLeasePct+BadDebtPct+ConcessionsPct)+LeaseUp!HN$9*(ParkingPerUnitMo+UtilReimbPerUnitMo+OtherIncPerUnitMo)+RetailRentMo*MIN(1,LeaseUp!HN$10/StabilizedOccupancy))*(1-MgmtFeePct)-TotalUnits/12*(ExpInsurancePerUnit+ExpAdminPerUnit)-TotalUnits/12*HN$11*(ExpUtilitiesPerUnit+ExpRMPerUnit+ExpTurnoverPerUnit+ExpContractPerUnit)-TotalUnits/12*HN$12*(ExpPayrollPerUnit+ExpAdvertisingPerUnit),0)</f>
        <v/>
      </c>
      <c r="HO68" s="218">
        <f>IF(219&gt;=DeliverStart,((BaseMarketRentMo+BaseLowRentMo)*(LeaseUp!HO$10+LossToLeasePct+BadDebtPct+ConcessionsPct)+LeaseUp!HO$9*(ParkingPerUnitMo+UtilReimbPerUnitMo+OtherIncPerUnitMo)+RetailRentMo*MIN(1,LeaseUp!HO$10/StabilizedOccupancy))*(1-MgmtFeePct)-TotalUnits/12*(ExpInsurancePerUnit+ExpAdminPerUnit)-TotalUnits/12*HO$11*(ExpUtilitiesPerUnit+ExpRMPerUnit+ExpTurnoverPerUnit+ExpContractPerUnit)-TotalUnits/12*HO$12*(ExpPayrollPerUnit+ExpAdvertisingPerUnit),0)</f>
        <v/>
      </c>
      <c r="HP68" s="218">
        <f>IF(220&gt;=DeliverStart,((BaseMarketRentMo+BaseLowRentMo)*(LeaseUp!HP$10+LossToLeasePct+BadDebtPct+ConcessionsPct)+LeaseUp!HP$9*(ParkingPerUnitMo+UtilReimbPerUnitMo+OtherIncPerUnitMo)+RetailRentMo*MIN(1,LeaseUp!HP$10/StabilizedOccupancy))*(1-MgmtFeePct)-TotalUnits/12*(ExpInsurancePerUnit+ExpAdminPerUnit)-TotalUnits/12*HP$11*(ExpUtilitiesPerUnit+ExpRMPerUnit+ExpTurnoverPerUnit+ExpContractPerUnit)-TotalUnits/12*HP$12*(ExpPayrollPerUnit+ExpAdvertisingPerUnit),0)</f>
        <v/>
      </c>
      <c r="HQ68" s="218">
        <f>IF(221&gt;=DeliverStart,((BaseMarketRentMo+BaseLowRentMo)*(LeaseUp!HQ$10+LossToLeasePct+BadDebtPct+ConcessionsPct)+LeaseUp!HQ$9*(ParkingPerUnitMo+UtilReimbPerUnitMo+OtherIncPerUnitMo)+RetailRentMo*MIN(1,LeaseUp!HQ$10/StabilizedOccupancy))*(1-MgmtFeePct)-TotalUnits/12*(ExpInsurancePerUnit+ExpAdminPerUnit)-TotalUnits/12*HQ$11*(ExpUtilitiesPerUnit+ExpRMPerUnit+ExpTurnoverPerUnit+ExpContractPerUnit)-TotalUnits/12*HQ$12*(ExpPayrollPerUnit+ExpAdvertisingPerUnit),0)</f>
        <v/>
      </c>
      <c r="HR68" s="218">
        <f>IF(222&gt;=DeliverStart,((BaseMarketRentMo+BaseLowRentMo)*(LeaseUp!HR$10+LossToLeasePct+BadDebtPct+ConcessionsPct)+LeaseUp!HR$9*(ParkingPerUnitMo+UtilReimbPerUnitMo+OtherIncPerUnitMo)+RetailRentMo*MIN(1,LeaseUp!HR$10/StabilizedOccupancy))*(1-MgmtFeePct)-TotalUnits/12*(ExpInsurancePerUnit+ExpAdminPerUnit)-TotalUnits/12*HR$11*(ExpUtilitiesPerUnit+ExpRMPerUnit+ExpTurnoverPerUnit+ExpContractPerUnit)-TotalUnits/12*HR$12*(ExpPayrollPerUnit+ExpAdvertisingPerUnit),0)</f>
        <v/>
      </c>
      <c r="HS68" s="218">
        <f>IF(223&gt;=DeliverStart,((BaseMarketRentMo+BaseLowRentMo)*(LeaseUp!HS$10+LossToLeasePct+BadDebtPct+ConcessionsPct)+LeaseUp!HS$9*(ParkingPerUnitMo+UtilReimbPerUnitMo+OtherIncPerUnitMo)+RetailRentMo*MIN(1,LeaseUp!HS$10/StabilizedOccupancy))*(1-MgmtFeePct)-TotalUnits/12*(ExpInsurancePerUnit+ExpAdminPerUnit)-TotalUnits/12*HS$11*(ExpUtilitiesPerUnit+ExpRMPerUnit+ExpTurnoverPerUnit+ExpContractPerUnit)-TotalUnits/12*HS$12*(ExpPayrollPerUnit+ExpAdvertisingPerUnit),0)</f>
        <v/>
      </c>
      <c r="HT68" s="218">
        <f>IF(224&gt;=DeliverStart,((BaseMarketRentMo+BaseLowRentMo)*(LeaseUp!HT$10+LossToLeasePct+BadDebtPct+ConcessionsPct)+LeaseUp!HT$9*(ParkingPerUnitMo+UtilReimbPerUnitMo+OtherIncPerUnitMo)+RetailRentMo*MIN(1,LeaseUp!HT$10/StabilizedOccupancy))*(1-MgmtFeePct)-TotalUnits/12*(ExpInsurancePerUnit+ExpAdminPerUnit)-TotalUnits/12*HT$11*(ExpUtilitiesPerUnit+ExpRMPerUnit+ExpTurnoverPerUnit+ExpContractPerUnit)-TotalUnits/12*HT$12*(ExpPayrollPerUnit+ExpAdvertisingPerUnit),0)</f>
        <v/>
      </c>
      <c r="HU68" s="218">
        <f>IF(225&gt;=DeliverStart,((BaseMarketRentMo+BaseLowRentMo)*(LeaseUp!HU$10+LossToLeasePct+BadDebtPct+ConcessionsPct)+LeaseUp!HU$9*(ParkingPerUnitMo+UtilReimbPerUnitMo+OtherIncPerUnitMo)+RetailRentMo*MIN(1,LeaseUp!HU$10/StabilizedOccupancy))*(1-MgmtFeePct)-TotalUnits/12*(ExpInsurancePerUnit+ExpAdminPerUnit)-TotalUnits/12*HU$11*(ExpUtilitiesPerUnit+ExpRMPerUnit+ExpTurnoverPerUnit+ExpContractPerUnit)-TotalUnits/12*HU$12*(ExpPayrollPerUnit+ExpAdvertisingPerUnit),0)</f>
        <v/>
      </c>
      <c r="HV68" s="218">
        <f>IF(226&gt;=DeliverStart,((BaseMarketRentMo+BaseLowRentMo)*(LeaseUp!HV$10+LossToLeasePct+BadDebtPct+ConcessionsPct)+LeaseUp!HV$9*(ParkingPerUnitMo+UtilReimbPerUnitMo+OtherIncPerUnitMo)+RetailRentMo*MIN(1,LeaseUp!HV$10/StabilizedOccupancy))*(1-MgmtFeePct)-TotalUnits/12*(ExpInsurancePerUnit+ExpAdminPerUnit)-TotalUnits/12*HV$11*(ExpUtilitiesPerUnit+ExpRMPerUnit+ExpTurnoverPerUnit+ExpContractPerUnit)-TotalUnits/12*HV$12*(ExpPayrollPerUnit+ExpAdvertisingPerUnit),0)</f>
        <v/>
      </c>
      <c r="HW68" s="218">
        <f>IF(227&gt;=DeliverStart,((BaseMarketRentMo+BaseLowRentMo)*(LeaseUp!HW$10+LossToLeasePct+BadDebtPct+ConcessionsPct)+LeaseUp!HW$9*(ParkingPerUnitMo+UtilReimbPerUnitMo+OtherIncPerUnitMo)+RetailRentMo*MIN(1,LeaseUp!HW$10/StabilizedOccupancy))*(1-MgmtFeePct)-TotalUnits/12*(ExpInsurancePerUnit+ExpAdminPerUnit)-TotalUnits/12*HW$11*(ExpUtilitiesPerUnit+ExpRMPerUnit+ExpTurnoverPerUnit+ExpContractPerUnit)-TotalUnits/12*HW$12*(ExpPayrollPerUnit+ExpAdvertisingPerUnit),0)</f>
        <v/>
      </c>
      <c r="HX68" s="218">
        <f>IF(228&gt;=DeliverStart,((BaseMarketRentMo+BaseLowRentMo)*(LeaseUp!HX$10+LossToLeasePct+BadDebtPct+ConcessionsPct)+LeaseUp!HX$9*(ParkingPerUnitMo+UtilReimbPerUnitMo+OtherIncPerUnitMo)+RetailRentMo*MIN(1,LeaseUp!HX$10/StabilizedOccupancy))*(1-MgmtFeePct)-TotalUnits/12*(ExpInsurancePerUnit+ExpAdminPerUnit)-TotalUnits/12*HX$11*(ExpUtilitiesPerUnit+ExpRMPerUnit+ExpTurnoverPerUnit+ExpContractPerUnit)-TotalUnits/12*HX$12*(ExpPayrollPerUnit+ExpAdvertisingPerUnit),0)</f>
        <v/>
      </c>
      <c r="HY68" s="218">
        <f>IF(229&gt;=DeliverStart,((BaseMarketRentMo+BaseLowRentMo)*(LeaseUp!HY$10+LossToLeasePct+BadDebtPct+ConcessionsPct)+LeaseUp!HY$9*(ParkingPerUnitMo+UtilReimbPerUnitMo+OtherIncPerUnitMo)+RetailRentMo*MIN(1,LeaseUp!HY$10/StabilizedOccupancy))*(1-MgmtFeePct)-TotalUnits/12*(ExpInsurancePerUnit+ExpAdminPerUnit)-TotalUnits/12*HY$11*(ExpUtilitiesPerUnit+ExpRMPerUnit+ExpTurnoverPerUnit+ExpContractPerUnit)-TotalUnits/12*HY$12*(ExpPayrollPerUnit+ExpAdvertisingPerUnit),0)</f>
        <v/>
      </c>
      <c r="HZ68" s="218">
        <f>IF(230&gt;=DeliverStart,((BaseMarketRentMo+BaseLowRentMo)*(LeaseUp!HZ$10+LossToLeasePct+BadDebtPct+ConcessionsPct)+LeaseUp!HZ$9*(ParkingPerUnitMo+UtilReimbPerUnitMo+OtherIncPerUnitMo)+RetailRentMo*MIN(1,LeaseUp!HZ$10/StabilizedOccupancy))*(1-MgmtFeePct)-TotalUnits/12*(ExpInsurancePerUnit+ExpAdminPerUnit)-TotalUnits/12*HZ$11*(ExpUtilitiesPerUnit+ExpRMPerUnit+ExpTurnoverPerUnit+ExpContractPerUnit)-TotalUnits/12*HZ$12*(ExpPayrollPerUnit+ExpAdvertisingPerUnit),0)</f>
        <v/>
      </c>
      <c r="IA68" s="218">
        <f>IF(231&gt;=DeliverStart,((BaseMarketRentMo+BaseLowRentMo)*(LeaseUp!IA$10+LossToLeasePct+BadDebtPct+ConcessionsPct)+LeaseUp!IA$9*(ParkingPerUnitMo+UtilReimbPerUnitMo+OtherIncPerUnitMo)+RetailRentMo*MIN(1,LeaseUp!IA$10/StabilizedOccupancy))*(1-MgmtFeePct)-TotalUnits/12*(ExpInsurancePerUnit+ExpAdminPerUnit)-TotalUnits/12*IA$11*(ExpUtilitiesPerUnit+ExpRMPerUnit+ExpTurnoverPerUnit+ExpContractPerUnit)-TotalUnits/12*IA$12*(ExpPayrollPerUnit+ExpAdvertisingPerUnit),0)</f>
        <v/>
      </c>
      <c r="IB68" s="218">
        <f>IF(232&gt;=DeliverStart,((BaseMarketRentMo+BaseLowRentMo)*(LeaseUp!IB$10+LossToLeasePct+BadDebtPct+ConcessionsPct)+LeaseUp!IB$9*(ParkingPerUnitMo+UtilReimbPerUnitMo+OtherIncPerUnitMo)+RetailRentMo*MIN(1,LeaseUp!IB$10/StabilizedOccupancy))*(1-MgmtFeePct)-TotalUnits/12*(ExpInsurancePerUnit+ExpAdminPerUnit)-TotalUnits/12*IB$11*(ExpUtilitiesPerUnit+ExpRMPerUnit+ExpTurnoverPerUnit+ExpContractPerUnit)-TotalUnits/12*IB$12*(ExpPayrollPerUnit+ExpAdvertisingPerUnit),0)</f>
        <v/>
      </c>
      <c r="IC68" s="218">
        <f>IF(233&gt;=DeliverStart,((BaseMarketRentMo+BaseLowRentMo)*(LeaseUp!IC$10+LossToLeasePct+BadDebtPct+ConcessionsPct)+LeaseUp!IC$9*(ParkingPerUnitMo+UtilReimbPerUnitMo+OtherIncPerUnitMo)+RetailRentMo*MIN(1,LeaseUp!IC$10/StabilizedOccupancy))*(1-MgmtFeePct)-TotalUnits/12*(ExpInsurancePerUnit+ExpAdminPerUnit)-TotalUnits/12*IC$11*(ExpUtilitiesPerUnit+ExpRMPerUnit+ExpTurnoverPerUnit+ExpContractPerUnit)-TotalUnits/12*IC$12*(ExpPayrollPerUnit+ExpAdvertisingPerUnit),0)</f>
        <v/>
      </c>
      <c r="ID68" s="218">
        <f>IF(234&gt;=DeliverStart,((BaseMarketRentMo+BaseLowRentMo)*(LeaseUp!ID$10+LossToLeasePct+BadDebtPct+ConcessionsPct)+LeaseUp!ID$9*(ParkingPerUnitMo+UtilReimbPerUnitMo+OtherIncPerUnitMo)+RetailRentMo*MIN(1,LeaseUp!ID$10/StabilizedOccupancy))*(1-MgmtFeePct)-TotalUnits/12*(ExpInsurancePerUnit+ExpAdminPerUnit)-TotalUnits/12*ID$11*(ExpUtilitiesPerUnit+ExpRMPerUnit+ExpTurnoverPerUnit+ExpContractPerUnit)-TotalUnits/12*ID$12*(ExpPayrollPerUnit+ExpAdvertisingPerUnit),0)</f>
        <v/>
      </c>
      <c r="IE68" s="218">
        <f>IF(235&gt;=DeliverStart,((BaseMarketRentMo+BaseLowRentMo)*(LeaseUp!IE$10+LossToLeasePct+BadDebtPct+ConcessionsPct)+LeaseUp!IE$9*(ParkingPerUnitMo+UtilReimbPerUnitMo+OtherIncPerUnitMo)+RetailRentMo*MIN(1,LeaseUp!IE$10/StabilizedOccupancy))*(1-MgmtFeePct)-TotalUnits/12*(ExpInsurancePerUnit+ExpAdminPerUnit)-TotalUnits/12*IE$11*(ExpUtilitiesPerUnit+ExpRMPerUnit+ExpTurnoverPerUnit+ExpContractPerUnit)-TotalUnits/12*IE$12*(ExpPayrollPerUnit+ExpAdvertisingPerUnit),0)</f>
        <v/>
      </c>
      <c r="IF68" s="218">
        <f>IF(236&gt;=DeliverStart,((BaseMarketRentMo+BaseLowRentMo)*(LeaseUp!IF$10+LossToLeasePct+BadDebtPct+ConcessionsPct)+LeaseUp!IF$9*(ParkingPerUnitMo+UtilReimbPerUnitMo+OtherIncPerUnitMo)+RetailRentMo*MIN(1,LeaseUp!IF$10/StabilizedOccupancy))*(1-MgmtFeePct)-TotalUnits/12*(ExpInsurancePerUnit+ExpAdminPerUnit)-TotalUnits/12*IF$11*(ExpUtilitiesPerUnit+ExpRMPerUnit+ExpTurnoverPerUnit+ExpContractPerUnit)-TotalUnits/12*IF$12*(ExpPayrollPerUnit+ExpAdvertisingPerUnit),0)</f>
        <v/>
      </c>
      <c r="IG68" s="218">
        <f>IF(237&gt;=DeliverStart,((BaseMarketRentMo+BaseLowRentMo)*(LeaseUp!IG$10+LossToLeasePct+BadDebtPct+ConcessionsPct)+LeaseUp!IG$9*(ParkingPerUnitMo+UtilReimbPerUnitMo+OtherIncPerUnitMo)+RetailRentMo*MIN(1,LeaseUp!IG$10/StabilizedOccupancy))*(1-MgmtFeePct)-TotalUnits/12*(ExpInsurancePerUnit+ExpAdminPerUnit)-TotalUnits/12*IG$11*(ExpUtilitiesPerUnit+ExpRMPerUnit+ExpTurnoverPerUnit+ExpContractPerUnit)-TotalUnits/12*IG$12*(ExpPayrollPerUnit+ExpAdvertisingPerUnit),0)</f>
        <v/>
      </c>
      <c r="IH68" s="218">
        <f>IF(238&gt;=DeliverStart,((BaseMarketRentMo+BaseLowRentMo)*(LeaseUp!IH$10+LossToLeasePct+BadDebtPct+ConcessionsPct)+LeaseUp!IH$9*(ParkingPerUnitMo+UtilReimbPerUnitMo+OtherIncPerUnitMo)+RetailRentMo*MIN(1,LeaseUp!IH$10/StabilizedOccupancy))*(1-MgmtFeePct)-TotalUnits/12*(ExpInsurancePerUnit+ExpAdminPerUnit)-TotalUnits/12*IH$11*(ExpUtilitiesPerUnit+ExpRMPerUnit+ExpTurnoverPerUnit+ExpContractPerUnit)-TotalUnits/12*IH$12*(ExpPayrollPerUnit+ExpAdvertisingPerUnit),0)</f>
        <v/>
      </c>
      <c r="II68" s="218">
        <f>IF(239&gt;=DeliverStart,((BaseMarketRentMo+BaseLowRentMo)*(LeaseUp!II$10+LossToLeasePct+BadDebtPct+ConcessionsPct)+LeaseUp!II$9*(ParkingPerUnitMo+UtilReimbPerUnitMo+OtherIncPerUnitMo)+RetailRentMo*MIN(1,LeaseUp!II$10/StabilizedOccupancy))*(1-MgmtFeePct)-TotalUnits/12*(ExpInsurancePerUnit+ExpAdminPerUnit)-TotalUnits/12*II$11*(ExpUtilitiesPerUnit+ExpRMPerUnit+ExpTurnoverPerUnit+ExpContractPerUnit)-TotalUnits/12*II$12*(ExpPayrollPerUnit+ExpAdvertisingPerUnit),0)</f>
        <v/>
      </c>
      <c r="IJ68" s="218">
        <f>IF(240&gt;=DeliverStart,((BaseMarketRentMo+BaseLowRentMo)*(LeaseUp!IJ$10+LossToLeasePct+BadDebtPct+ConcessionsPct)+LeaseUp!IJ$9*(ParkingPerUnitMo+UtilReimbPerUnitMo+OtherIncPerUnitMo)+RetailRentMo*MIN(1,LeaseUp!IJ$10/StabilizedOccupancy))*(1-MgmtFeePct)-TotalUnits/12*(ExpInsurancePerUnit+ExpAdminPerUnit)-TotalUnits/12*IJ$11*(ExpUtilitiesPerUnit+ExpRMPerUnit+ExpTurnoverPerUnit+ExpContractPerUnit)-TotalUnits/12*IJ$12*(ExpPayrollPerUnit+ExpAdvertisingPerUnit),0)</f>
        <v/>
      </c>
      <c r="IK68" s="218">
        <f>IF(241&gt;=DeliverStart,((BaseMarketRentMo+BaseLowRentMo)*(LeaseUp!IK$10+LossToLeasePct+BadDebtPct+ConcessionsPct)+LeaseUp!IK$9*(ParkingPerUnitMo+UtilReimbPerUnitMo+OtherIncPerUnitMo)+RetailRentMo*MIN(1,LeaseUp!IK$10/StabilizedOccupancy))*(1-MgmtFeePct)-TotalUnits/12*(ExpInsurancePerUnit+ExpAdminPerUnit)-TotalUnits/12*IK$11*(ExpUtilitiesPerUnit+ExpRMPerUnit+ExpTurnoverPerUnit+ExpContractPerUnit)-TotalUnits/12*IK$12*(ExpPayrollPerUnit+ExpAdvertisingPerUnit),0)</f>
        <v/>
      </c>
      <c r="IL68" s="218">
        <f>IF(242&gt;=DeliverStart,((BaseMarketRentMo+BaseLowRentMo)*(LeaseUp!IL$10+LossToLeasePct+BadDebtPct+ConcessionsPct)+LeaseUp!IL$9*(ParkingPerUnitMo+UtilReimbPerUnitMo+OtherIncPerUnitMo)+RetailRentMo*MIN(1,LeaseUp!IL$10/StabilizedOccupancy))*(1-MgmtFeePct)-TotalUnits/12*(ExpInsurancePerUnit+ExpAdminPerUnit)-TotalUnits/12*IL$11*(ExpUtilitiesPerUnit+ExpRMPerUnit+ExpTurnoverPerUnit+ExpContractPerUnit)-TotalUnits/12*IL$12*(ExpPayrollPerUnit+ExpAdvertisingPerUnit),0)</f>
        <v/>
      </c>
      <c r="IM68" s="218">
        <f>IF(243&gt;=DeliverStart,((BaseMarketRentMo+BaseLowRentMo)*(LeaseUp!IM$10+LossToLeasePct+BadDebtPct+ConcessionsPct)+LeaseUp!IM$9*(ParkingPerUnitMo+UtilReimbPerUnitMo+OtherIncPerUnitMo)+RetailRentMo*MIN(1,LeaseUp!IM$10/StabilizedOccupancy))*(1-MgmtFeePct)-TotalUnits/12*(ExpInsurancePerUnit+ExpAdminPerUnit)-TotalUnits/12*IM$11*(ExpUtilitiesPerUnit+ExpRMPerUnit+ExpTurnoverPerUnit+ExpContractPerUnit)-TotalUnits/12*IM$12*(ExpPayrollPerUnit+ExpAdvertisingPerUnit),0)</f>
        <v/>
      </c>
      <c r="IN68" s="218">
        <f>IF(244&gt;=DeliverStart,((BaseMarketRentMo+BaseLowRentMo)*(LeaseUp!IN$10+LossToLeasePct+BadDebtPct+ConcessionsPct)+LeaseUp!IN$9*(ParkingPerUnitMo+UtilReimbPerUnitMo+OtherIncPerUnitMo)+RetailRentMo*MIN(1,LeaseUp!IN$10/StabilizedOccupancy))*(1-MgmtFeePct)-TotalUnits/12*(ExpInsurancePerUnit+ExpAdminPerUnit)-TotalUnits/12*IN$11*(ExpUtilitiesPerUnit+ExpRMPerUnit+ExpTurnoverPerUnit+ExpContractPerUnit)-TotalUnits/12*IN$12*(ExpPayrollPerUnit+ExpAdvertisingPerUnit),0)</f>
        <v/>
      </c>
      <c r="IO68" s="218">
        <f>IF(245&gt;=DeliverStart,((BaseMarketRentMo+BaseLowRentMo)*(LeaseUp!IO$10+LossToLeasePct+BadDebtPct+ConcessionsPct)+LeaseUp!IO$9*(ParkingPerUnitMo+UtilReimbPerUnitMo+OtherIncPerUnitMo)+RetailRentMo*MIN(1,LeaseUp!IO$10/StabilizedOccupancy))*(1-MgmtFeePct)-TotalUnits/12*(ExpInsurancePerUnit+ExpAdminPerUnit)-TotalUnits/12*IO$11*(ExpUtilitiesPerUnit+ExpRMPerUnit+ExpTurnoverPerUnit+ExpContractPerUnit)-TotalUnits/12*IO$12*(ExpPayrollPerUnit+ExpAdvertisingPerUnit),0)</f>
        <v/>
      </c>
      <c r="IP68" s="218">
        <f>IF(246&gt;=DeliverStart,((BaseMarketRentMo+BaseLowRentMo)*(LeaseUp!IP$10+LossToLeasePct+BadDebtPct+ConcessionsPct)+LeaseUp!IP$9*(ParkingPerUnitMo+UtilReimbPerUnitMo+OtherIncPerUnitMo)+RetailRentMo*MIN(1,LeaseUp!IP$10/StabilizedOccupancy))*(1-MgmtFeePct)-TotalUnits/12*(ExpInsurancePerUnit+ExpAdminPerUnit)-TotalUnits/12*IP$11*(ExpUtilitiesPerUnit+ExpRMPerUnit+ExpTurnoverPerUnit+ExpContractPerUnit)-TotalUnits/12*IP$12*(ExpPayrollPerUnit+ExpAdvertisingPerUnit),0)</f>
        <v/>
      </c>
      <c r="IQ68" s="218">
        <f>IF(247&gt;=DeliverStart,((BaseMarketRentMo+BaseLowRentMo)*(LeaseUp!IQ$10+LossToLeasePct+BadDebtPct+ConcessionsPct)+LeaseUp!IQ$9*(ParkingPerUnitMo+UtilReimbPerUnitMo+OtherIncPerUnitMo)+RetailRentMo*MIN(1,LeaseUp!IQ$10/StabilizedOccupancy))*(1-MgmtFeePct)-TotalUnits/12*(ExpInsurancePerUnit+ExpAdminPerUnit)-TotalUnits/12*IQ$11*(ExpUtilitiesPerUnit+ExpRMPerUnit+ExpTurnoverPerUnit+ExpContractPerUnit)-TotalUnits/12*IQ$12*(ExpPayrollPerUnit+ExpAdvertisingPerUnit),0)</f>
        <v/>
      </c>
      <c r="IR68" s="218">
        <f>IF(248&gt;=DeliverStart,((BaseMarketRentMo+BaseLowRentMo)*(LeaseUp!IR$10+LossToLeasePct+BadDebtPct+ConcessionsPct)+LeaseUp!IR$9*(ParkingPerUnitMo+UtilReimbPerUnitMo+OtherIncPerUnitMo)+RetailRentMo*MIN(1,LeaseUp!IR$10/StabilizedOccupancy))*(1-MgmtFeePct)-TotalUnits/12*(ExpInsurancePerUnit+ExpAdminPerUnit)-TotalUnits/12*IR$11*(ExpUtilitiesPerUnit+ExpRMPerUnit+ExpTurnoverPerUnit+ExpContractPerUnit)-TotalUnits/12*IR$12*(ExpPayrollPerUnit+ExpAdvertisingPerUnit),0)</f>
        <v/>
      </c>
      <c r="IS68" s="218">
        <f>IF(249&gt;=DeliverStart,((BaseMarketRentMo+BaseLowRentMo)*(LeaseUp!IS$10+LossToLeasePct+BadDebtPct+ConcessionsPct)+LeaseUp!IS$9*(ParkingPerUnitMo+UtilReimbPerUnitMo+OtherIncPerUnitMo)+RetailRentMo*MIN(1,LeaseUp!IS$10/StabilizedOccupancy))*(1-MgmtFeePct)-TotalUnits/12*(ExpInsurancePerUnit+ExpAdminPerUnit)-TotalUnits/12*IS$11*(ExpUtilitiesPerUnit+ExpRMPerUnit+ExpTurnoverPerUnit+ExpContractPerUnit)-TotalUnits/12*IS$12*(ExpPayrollPerUnit+ExpAdvertisingPerUnit),0)</f>
        <v/>
      </c>
      <c r="IT68" s="218">
        <f>IF(250&gt;=DeliverStart,((BaseMarketRentMo+BaseLowRentMo)*(LeaseUp!IT$10+LossToLeasePct+BadDebtPct+ConcessionsPct)+LeaseUp!IT$9*(ParkingPerUnitMo+UtilReimbPerUnitMo+OtherIncPerUnitMo)+RetailRentMo*MIN(1,LeaseUp!IT$10/StabilizedOccupancy))*(1-MgmtFeePct)-TotalUnits/12*(ExpInsurancePerUnit+ExpAdminPerUnit)-TotalUnits/12*IT$11*(ExpUtilitiesPerUnit+ExpRMPerUnit+ExpTurnoverPerUnit+ExpContractPerUnit)-TotalUnits/12*IT$12*(ExpPayrollPerUnit+ExpAdvertisingPerUnit),0)</f>
        <v/>
      </c>
      <c r="IU68" s="218">
        <f>IF(251&gt;=DeliverStart,((BaseMarketRentMo+BaseLowRentMo)*(LeaseUp!IU$10+LossToLeasePct+BadDebtPct+ConcessionsPct)+LeaseUp!IU$9*(ParkingPerUnitMo+UtilReimbPerUnitMo+OtherIncPerUnitMo)+RetailRentMo*MIN(1,LeaseUp!IU$10/StabilizedOccupancy))*(1-MgmtFeePct)-TotalUnits/12*(ExpInsurancePerUnit+ExpAdminPerUnit)-TotalUnits/12*IU$11*(ExpUtilitiesPerUnit+ExpRMPerUnit+ExpTurnoverPerUnit+ExpContractPerUnit)-TotalUnits/12*IU$12*(ExpPayrollPerUnit+ExpAdvertisingPerUnit),0)</f>
        <v/>
      </c>
      <c r="IV68" s="218">
        <f>IF(252&gt;=DeliverStart,((BaseMarketRentMo+BaseLowRentMo)*(LeaseUp!IV$10+LossToLeasePct+BadDebtPct+ConcessionsPct)+LeaseUp!IV$9*(ParkingPerUnitMo+UtilReimbPerUnitMo+OtherIncPerUnitMo)+RetailRentMo*MIN(1,LeaseUp!IV$10/StabilizedOccupancy))*(1-MgmtFeePct)-TotalUnits/12*(ExpInsurancePerUnit+ExpAdminPerUnit)-TotalUnits/12*IV$11*(ExpUtilitiesPerUnit+ExpRMPerUnit+ExpTurnoverPerUnit+ExpContractPerUnit)-TotalUnits/12*IV$12*(ExpPayrollPerUnit+ExpAdvertisingPerUnit),0)</f>
        <v/>
      </c>
      <c r="IW68" s="218">
        <f>IF(253&gt;=DeliverStart,((BaseMarketRentMo+BaseLowRentMo)*(LeaseUp!IW$10+LossToLeasePct+BadDebtPct+ConcessionsPct)+LeaseUp!IW$9*(ParkingPerUnitMo+UtilReimbPerUnitMo+OtherIncPerUnitMo)+RetailRentMo*MIN(1,LeaseUp!IW$10/StabilizedOccupancy))*(1-MgmtFeePct)-TotalUnits/12*(ExpInsurancePerUnit+ExpAdminPerUnit)-TotalUnits/12*IW$11*(ExpUtilitiesPerUnit+ExpRMPerUnit+ExpTurnoverPerUnit+ExpContractPerUnit)-TotalUnits/12*IW$12*(ExpPayrollPerUnit+ExpAdvertisingPerUnit),0)</f>
        <v/>
      </c>
      <c r="IX68" s="218">
        <f>IF(254&gt;=DeliverStart,((BaseMarketRentMo+BaseLowRentMo)*(LeaseUp!IX$10+LossToLeasePct+BadDebtPct+ConcessionsPct)+LeaseUp!IX$9*(ParkingPerUnitMo+UtilReimbPerUnitMo+OtherIncPerUnitMo)+RetailRentMo*MIN(1,LeaseUp!IX$10/StabilizedOccupancy))*(1-MgmtFeePct)-TotalUnits/12*(ExpInsurancePerUnit+ExpAdminPerUnit)-TotalUnits/12*IX$11*(ExpUtilitiesPerUnit+ExpRMPerUnit+ExpTurnoverPerUnit+ExpContractPerUnit)-TotalUnits/12*IX$12*(ExpPayrollPerUnit+ExpAdvertisingPerUnit),0)</f>
        <v/>
      </c>
      <c r="IY68" s="218">
        <f>IF(255&gt;=DeliverStart,((BaseMarketRentMo+BaseLowRentMo)*(LeaseUp!IY$10+LossToLeasePct+BadDebtPct+ConcessionsPct)+LeaseUp!IY$9*(ParkingPerUnitMo+UtilReimbPerUnitMo+OtherIncPerUnitMo)+RetailRentMo*MIN(1,LeaseUp!IY$10/StabilizedOccupancy))*(1-MgmtFeePct)-TotalUnits/12*(ExpInsurancePerUnit+ExpAdminPerUnit)-TotalUnits/12*IY$11*(ExpUtilitiesPerUnit+ExpRMPerUnit+ExpTurnoverPerUnit+ExpContractPerUnit)-TotalUnits/12*IY$12*(ExpPayrollPerUnit+ExpAdvertisingPerUnit),0)</f>
        <v/>
      </c>
      <c r="IZ68" s="218">
        <f>IF(256&gt;=DeliverStart,((BaseMarketRentMo+BaseLowRentMo)*(LeaseUp!IZ$10+LossToLeasePct+BadDebtPct+ConcessionsPct)+LeaseUp!IZ$9*(ParkingPerUnitMo+UtilReimbPerUnitMo+OtherIncPerUnitMo)+RetailRentMo*MIN(1,LeaseUp!IZ$10/StabilizedOccupancy))*(1-MgmtFeePct)-TotalUnits/12*(ExpInsurancePerUnit+ExpAdminPerUnit)-TotalUnits/12*IZ$11*(ExpUtilitiesPerUnit+ExpRMPerUnit+ExpTurnoverPerUnit+ExpContractPerUnit)-TotalUnits/12*IZ$12*(ExpPayrollPerUnit+ExpAdvertisingPerUnit),0)</f>
        <v/>
      </c>
      <c r="JA68" s="218">
        <f>IF(257&gt;=DeliverStart,((BaseMarketRentMo+BaseLowRentMo)*(LeaseUp!JA$10+LossToLeasePct+BadDebtPct+ConcessionsPct)+LeaseUp!JA$9*(ParkingPerUnitMo+UtilReimbPerUnitMo+OtherIncPerUnitMo)+RetailRentMo*MIN(1,LeaseUp!JA$10/StabilizedOccupancy))*(1-MgmtFeePct)-TotalUnits/12*(ExpInsurancePerUnit+ExpAdminPerUnit)-TotalUnits/12*JA$11*(ExpUtilitiesPerUnit+ExpRMPerUnit+ExpTurnoverPerUnit+ExpContractPerUnit)-TotalUnits/12*JA$12*(ExpPayrollPerUnit+ExpAdvertisingPerUnit),0)</f>
        <v/>
      </c>
      <c r="JB68" s="218">
        <f>IF(258&gt;=DeliverStart,((BaseMarketRentMo+BaseLowRentMo)*(LeaseUp!JB$10+LossToLeasePct+BadDebtPct+ConcessionsPct)+LeaseUp!JB$9*(ParkingPerUnitMo+UtilReimbPerUnitMo+OtherIncPerUnitMo)+RetailRentMo*MIN(1,LeaseUp!JB$10/StabilizedOccupancy))*(1-MgmtFeePct)-TotalUnits/12*(ExpInsurancePerUnit+ExpAdminPerUnit)-TotalUnits/12*JB$11*(ExpUtilitiesPerUnit+ExpRMPerUnit+ExpTurnoverPerUnit+ExpContractPerUnit)-TotalUnits/12*JB$12*(ExpPayrollPerUnit+ExpAdvertisingPerUnit),0)</f>
        <v/>
      </c>
      <c r="JC68" s="218">
        <f>IF(259&gt;=DeliverStart,((BaseMarketRentMo+BaseLowRentMo)*(LeaseUp!JC$10+LossToLeasePct+BadDebtPct+ConcessionsPct)+LeaseUp!JC$9*(ParkingPerUnitMo+UtilReimbPerUnitMo+OtherIncPerUnitMo)+RetailRentMo*MIN(1,LeaseUp!JC$10/StabilizedOccupancy))*(1-MgmtFeePct)-TotalUnits/12*(ExpInsurancePerUnit+ExpAdminPerUnit)-TotalUnits/12*JC$11*(ExpUtilitiesPerUnit+ExpRMPerUnit+ExpTurnoverPerUnit+ExpContractPerUnit)-TotalUnits/12*JC$12*(ExpPayrollPerUnit+ExpAdvertisingPerUnit),0)</f>
        <v/>
      </c>
      <c r="JD68" s="218">
        <f>IF(260&gt;=DeliverStart,((BaseMarketRentMo+BaseLowRentMo)*(LeaseUp!JD$10+LossToLeasePct+BadDebtPct+ConcessionsPct)+LeaseUp!JD$9*(ParkingPerUnitMo+UtilReimbPerUnitMo+OtherIncPerUnitMo)+RetailRentMo*MIN(1,LeaseUp!JD$10/StabilizedOccupancy))*(1-MgmtFeePct)-TotalUnits/12*(ExpInsurancePerUnit+ExpAdminPerUnit)-TotalUnits/12*JD$11*(ExpUtilitiesPerUnit+ExpRMPerUnit+ExpTurnoverPerUnit+ExpContractPerUnit)-TotalUnits/12*JD$12*(ExpPayrollPerUnit+ExpAdvertisingPerUnit),0)</f>
        <v/>
      </c>
      <c r="JE68" s="218">
        <f>IF(261&gt;=DeliverStart,((BaseMarketRentMo+BaseLowRentMo)*(LeaseUp!JE$10+LossToLeasePct+BadDebtPct+ConcessionsPct)+LeaseUp!JE$9*(ParkingPerUnitMo+UtilReimbPerUnitMo+OtherIncPerUnitMo)+RetailRentMo*MIN(1,LeaseUp!JE$10/StabilizedOccupancy))*(1-MgmtFeePct)-TotalUnits/12*(ExpInsurancePerUnit+ExpAdminPerUnit)-TotalUnits/12*JE$11*(ExpUtilitiesPerUnit+ExpRMPerUnit+ExpTurnoverPerUnit+ExpContractPerUnit)-TotalUnits/12*JE$12*(ExpPayrollPerUnit+ExpAdvertisingPerUnit),0)</f>
        <v/>
      </c>
      <c r="JF68" s="218">
        <f>IF(262&gt;=DeliverStart,((BaseMarketRentMo+BaseLowRentMo)*(LeaseUp!JF$10+LossToLeasePct+BadDebtPct+ConcessionsPct)+LeaseUp!JF$9*(ParkingPerUnitMo+UtilReimbPerUnitMo+OtherIncPerUnitMo)+RetailRentMo*MIN(1,LeaseUp!JF$10/StabilizedOccupancy))*(1-MgmtFeePct)-TotalUnits/12*(ExpInsurancePerUnit+ExpAdminPerUnit)-TotalUnits/12*JF$11*(ExpUtilitiesPerUnit+ExpRMPerUnit+ExpTurnoverPerUnit+ExpContractPerUnit)-TotalUnits/12*JF$12*(ExpPayrollPerUnit+ExpAdvertisingPerUnit),0)</f>
        <v/>
      </c>
      <c r="JG68" s="218">
        <f>IF(263&gt;=DeliverStart,((BaseMarketRentMo+BaseLowRentMo)*(LeaseUp!JG$10+LossToLeasePct+BadDebtPct+ConcessionsPct)+LeaseUp!JG$9*(ParkingPerUnitMo+UtilReimbPerUnitMo+OtherIncPerUnitMo)+RetailRentMo*MIN(1,LeaseUp!JG$10/StabilizedOccupancy))*(1-MgmtFeePct)-TotalUnits/12*(ExpInsurancePerUnit+ExpAdminPerUnit)-TotalUnits/12*JG$11*(ExpUtilitiesPerUnit+ExpRMPerUnit+ExpTurnoverPerUnit+ExpContractPerUnit)-TotalUnits/12*JG$12*(ExpPayrollPerUnit+ExpAdvertisingPerUnit),0)</f>
        <v/>
      </c>
      <c r="JH68" s="218">
        <f>IF(264&gt;=DeliverStart,((BaseMarketRentMo+BaseLowRentMo)*(LeaseUp!JH$10+LossToLeasePct+BadDebtPct+ConcessionsPct)+LeaseUp!JH$9*(ParkingPerUnitMo+UtilReimbPerUnitMo+OtherIncPerUnitMo)+RetailRentMo*MIN(1,LeaseUp!JH$10/StabilizedOccupancy))*(1-MgmtFeePct)-TotalUnits/12*(ExpInsurancePerUnit+ExpAdminPerUnit)-TotalUnits/12*JH$11*(ExpUtilitiesPerUnit+ExpRMPerUnit+ExpTurnoverPerUnit+ExpContractPerUnit)-TotalUnits/12*JH$12*(ExpPayrollPerUnit+ExpAdvertisingPerUnit),0)</f>
        <v/>
      </c>
      <c r="JI68" s="218">
        <f>IF(265&gt;=DeliverStart,((BaseMarketRentMo+BaseLowRentMo)*(LeaseUp!JI$10+LossToLeasePct+BadDebtPct+ConcessionsPct)+LeaseUp!JI$9*(ParkingPerUnitMo+UtilReimbPerUnitMo+OtherIncPerUnitMo)+RetailRentMo*MIN(1,LeaseUp!JI$10/StabilizedOccupancy))*(1-MgmtFeePct)-TotalUnits/12*(ExpInsurancePerUnit+ExpAdminPerUnit)-TotalUnits/12*JI$11*(ExpUtilitiesPerUnit+ExpRMPerUnit+ExpTurnoverPerUnit+ExpContractPerUnit)-TotalUnits/12*JI$12*(ExpPayrollPerUnit+ExpAdvertisingPerUnit),0)</f>
        <v/>
      </c>
      <c r="JJ68" s="218">
        <f>IF(266&gt;=DeliverStart,((BaseMarketRentMo+BaseLowRentMo)*(LeaseUp!JJ$10+LossToLeasePct+BadDebtPct+ConcessionsPct)+LeaseUp!JJ$9*(ParkingPerUnitMo+UtilReimbPerUnitMo+OtherIncPerUnitMo)+RetailRentMo*MIN(1,LeaseUp!JJ$10/StabilizedOccupancy))*(1-MgmtFeePct)-TotalUnits/12*(ExpInsurancePerUnit+ExpAdminPerUnit)-TotalUnits/12*JJ$11*(ExpUtilitiesPerUnit+ExpRMPerUnit+ExpTurnoverPerUnit+ExpContractPerUnit)-TotalUnits/12*JJ$12*(ExpPayrollPerUnit+ExpAdvertisingPerUnit),0)</f>
        <v/>
      </c>
      <c r="JK68" s="218">
        <f>IF(267&gt;=DeliverStart,((BaseMarketRentMo+BaseLowRentMo)*(LeaseUp!JK$10+LossToLeasePct+BadDebtPct+ConcessionsPct)+LeaseUp!JK$9*(ParkingPerUnitMo+UtilReimbPerUnitMo+OtherIncPerUnitMo)+RetailRentMo*MIN(1,LeaseUp!JK$10/StabilizedOccupancy))*(1-MgmtFeePct)-TotalUnits/12*(ExpInsurancePerUnit+ExpAdminPerUnit)-TotalUnits/12*JK$11*(ExpUtilitiesPerUnit+ExpRMPerUnit+ExpTurnoverPerUnit+ExpContractPerUnit)-TotalUnits/12*JK$12*(ExpPayrollPerUnit+ExpAdvertisingPerUnit),0)</f>
        <v/>
      </c>
      <c r="JL68" s="218">
        <f>IF(268&gt;=DeliverStart,((BaseMarketRentMo+BaseLowRentMo)*(LeaseUp!JL$10+LossToLeasePct+BadDebtPct+ConcessionsPct)+LeaseUp!JL$9*(ParkingPerUnitMo+UtilReimbPerUnitMo+OtherIncPerUnitMo)+RetailRentMo*MIN(1,LeaseUp!JL$10/StabilizedOccupancy))*(1-MgmtFeePct)-TotalUnits/12*(ExpInsurancePerUnit+ExpAdminPerUnit)-TotalUnits/12*JL$11*(ExpUtilitiesPerUnit+ExpRMPerUnit+ExpTurnoverPerUnit+ExpContractPerUnit)-TotalUnits/12*JL$12*(ExpPayrollPerUnit+ExpAdvertisingPerUnit),0)</f>
        <v/>
      </c>
      <c r="JM68" s="218">
        <f>IF(269&gt;=DeliverStart,((BaseMarketRentMo+BaseLowRentMo)*(LeaseUp!JM$10+LossToLeasePct+BadDebtPct+ConcessionsPct)+LeaseUp!JM$9*(ParkingPerUnitMo+UtilReimbPerUnitMo+OtherIncPerUnitMo)+RetailRentMo*MIN(1,LeaseUp!JM$10/StabilizedOccupancy))*(1-MgmtFeePct)-TotalUnits/12*(ExpInsurancePerUnit+ExpAdminPerUnit)-TotalUnits/12*JM$11*(ExpUtilitiesPerUnit+ExpRMPerUnit+ExpTurnoverPerUnit+ExpContractPerUnit)-TotalUnits/12*JM$12*(ExpPayrollPerUnit+ExpAdvertisingPerUnit),0)</f>
        <v/>
      </c>
      <c r="JN68" s="218">
        <f>IF(270&gt;=DeliverStart,((BaseMarketRentMo+BaseLowRentMo)*(LeaseUp!JN$10+LossToLeasePct+BadDebtPct+ConcessionsPct)+LeaseUp!JN$9*(ParkingPerUnitMo+UtilReimbPerUnitMo+OtherIncPerUnitMo)+RetailRentMo*MIN(1,LeaseUp!JN$10/StabilizedOccupancy))*(1-MgmtFeePct)-TotalUnits/12*(ExpInsurancePerUnit+ExpAdminPerUnit)-TotalUnits/12*JN$11*(ExpUtilitiesPerUnit+ExpRMPerUnit+ExpTurnoverPerUnit+ExpContractPerUnit)-TotalUnits/12*JN$12*(ExpPayrollPerUnit+ExpAdvertisingPerUnit),0)</f>
        <v/>
      </c>
      <c r="JO68" s="218">
        <f>IF(271&gt;=DeliverStart,((BaseMarketRentMo+BaseLowRentMo)*(LeaseUp!JO$10+LossToLeasePct+BadDebtPct+ConcessionsPct)+LeaseUp!JO$9*(ParkingPerUnitMo+UtilReimbPerUnitMo+OtherIncPerUnitMo)+RetailRentMo*MIN(1,LeaseUp!JO$10/StabilizedOccupancy))*(1-MgmtFeePct)-TotalUnits/12*(ExpInsurancePerUnit+ExpAdminPerUnit)-TotalUnits/12*JO$11*(ExpUtilitiesPerUnit+ExpRMPerUnit+ExpTurnoverPerUnit+ExpContractPerUnit)-TotalUnits/12*JO$12*(ExpPayrollPerUnit+ExpAdvertisingPerUnit),0)</f>
        <v/>
      </c>
      <c r="JP68" s="218">
        <f>IF(272&gt;=DeliverStart,((BaseMarketRentMo+BaseLowRentMo)*(LeaseUp!JP$10+LossToLeasePct+BadDebtPct+ConcessionsPct)+LeaseUp!JP$9*(ParkingPerUnitMo+UtilReimbPerUnitMo+OtherIncPerUnitMo)+RetailRentMo*MIN(1,LeaseUp!JP$10/StabilizedOccupancy))*(1-MgmtFeePct)-TotalUnits/12*(ExpInsurancePerUnit+ExpAdminPerUnit)-TotalUnits/12*JP$11*(ExpUtilitiesPerUnit+ExpRMPerUnit+ExpTurnoverPerUnit+ExpContractPerUnit)-TotalUnits/12*JP$12*(ExpPayrollPerUnit+ExpAdvertisingPerUnit),0)</f>
        <v/>
      </c>
      <c r="JQ68" s="218">
        <f>IF(273&gt;=DeliverStart,((BaseMarketRentMo+BaseLowRentMo)*(LeaseUp!JQ$10+LossToLeasePct+BadDebtPct+ConcessionsPct)+LeaseUp!JQ$9*(ParkingPerUnitMo+UtilReimbPerUnitMo+OtherIncPerUnitMo)+RetailRentMo*MIN(1,LeaseUp!JQ$10/StabilizedOccupancy))*(1-MgmtFeePct)-TotalUnits/12*(ExpInsurancePerUnit+ExpAdminPerUnit)-TotalUnits/12*JQ$11*(ExpUtilitiesPerUnit+ExpRMPerUnit+ExpTurnoverPerUnit+ExpContractPerUnit)-TotalUnits/12*JQ$12*(ExpPayrollPerUnit+ExpAdvertisingPerUnit),0)</f>
        <v/>
      </c>
      <c r="JR68" s="218">
        <f>IF(274&gt;=DeliverStart,((BaseMarketRentMo+BaseLowRentMo)*(LeaseUp!JR$10+LossToLeasePct+BadDebtPct+ConcessionsPct)+LeaseUp!JR$9*(ParkingPerUnitMo+UtilReimbPerUnitMo+OtherIncPerUnitMo)+RetailRentMo*MIN(1,LeaseUp!JR$10/StabilizedOccupancy))*(1-MgmtFeePct)-TotalUnits/12*(ExpInsurancePerUnit+ExpAdminPerUnit)-TotalUnits/12*JR$11*(ExpUtilitiesPerUnit+ExpRMPerUnit+ExpTurnoverPerUnit+ExpContractPerUnit)-TotalUnits/12*JR$12*(ExpPayrollPerUnit+ExpAdvertisingPerUnit),0)</f>
        <v/>
      </c>
      <c r="JS68" s="218">
        <f>IF(275&gt;=DeliverStart,((BaseMarketRentMo+BaseLowRentMo)*(LeaseUp!JS$10+LossToLeasePct+BadDebtPct+ConcessionsPct)+LeaseUp!JS$9*(ParkingPerUnitMo+UtilReimbPerUnitMo+OtherIncPerUnitMo)+RetailRentMo*MIN(1,LeaseUp!JS$10/StabilizedOccupancy))*(1-MgmtFeePct)-TotalUnits/12*(ExpInsurancePerUnit+ExpAdminPerUnit)-TotalUnits/12*JS$11*(ExpUtilitiesPerUnit+ExpRMPerUnit+ExpTurnoverPerUnit+ExpContractPerUnit)-TotalUnits/12*JS$12*(ExpPayrollPerUnit+ExpAdvertisingPerUnit),0)</f>
        <v/>
      </c>
      <c r="JT68" s="218">
        <f>IF(276&gt;=DeliverStart,((BaseMarketRentMo+BaseLowRentMo)*(LeaseUp!JT$10+LossToLeasePct+BadDebtPct+ConcessionsPct)+LeaseUp!JT$9*(ParkingPerUnitMo+UtilReimbPerUnitMo+OtherIncPerUnitMo)+RetailRentMo*MIN(1,LeaseUp!JT$10/StabilizedOccupancy))*(1-MgmtFeePct)-TotalUnits/12*(ExpInsurancePerUnit+ExpAdminPerUnit)-TotalUnits/12*JT$11*(ExpUtilitiesPerUnit+ExpRMPerUnit+ExpTurnoverPerUnit+ExpContractPerUnit)-TotalUnits/12*JT$12*(ExpPayrollPerUnit+ExpAdvertisingPerUnit),0)</f>
        <v/>
      </c>
      <c r="JU68" s="218">
        <f>IF(277&gt;=DeliverStart,((BaseMarketRentMo+BaseLowRentMo)*(LeaseUp!JU$10+LossToLeasePct+BadDebtPct+ConcessionsPct)+LeaseUp!JU$9*(ParkingPerUnitMo+UtilReimbPerUnitMo+OtherIncPerUnitMo)+RetailRentMo*MIN(1,LeaseUp!JU$10/StabilizedOccupancy))*(1-MgmtFeePct)-TotalUnits/12*(ExpInsurancePerUnit+ExpAdminPerUnit)-TotalUnits/12*JU$11*(ExpUtilitiesPerUnit+ExpRMPerUnit+ExpTurnoverPerUnit+ExpContractPerUnit)-TotalUnits/12*JU$12*(ExpPayrollPerUnit+ExpAdvertisingPerUnit),0)</f>
        <v/>
      </c>
      <c r="JV68" s="218">
        <f>IF(278&gt;=DeliverStart,((BaseMarketRentMo+BaseLowRentMo)*(LeaseUp!JV$10+LossToLeasePct+BadDebtPct+ConcessionsPct)+LeaseUp!JV$9*(ParkingPerUnitMo+UtilReimbPerUnitMo+OtherIncPerUnitMo)+RetailRentMo*MIN(1,LeaseUp!JV$10/StabilizedOccupancy))*(1-MgmtFeePct)-TotalUnits/12*(ExpInsurancePerUnit+ExpAdminPerUnit)-TotalUnits/12*JV$11*(ExpUtilitiesPerUnit+ExpRMPerUnit+ExpTurnoverPerUnit+ExpContractPerUnit)-TotalUnits/12*JV$12*(ExpPayrollPerUnit+ExpAdvertisingPerUnit),0)</f>
        <v/>
      </c>
      <c r="JW68" s="218">
        <f>IF(279&gt;=DeliverStart,((BaseMarketRentMo+BaseLowRentMo)*(LeaseUp!JW$10+LossToLeasePct+BadDebtPct+ConcessionsPct)+LeaseUp!JW$9*(ParkingPerUnitMo+UtilReimbPerUnitMo+OtherIncPerUnitMo)+RetailRentMo*MIN(1,LeaseUp!JW$10/StabilizedOccupancy))*(1-MgmtFeePct)-TotalUnits/12*(ExpInsurancePerUnit+ExpAdminPerUnit)-TotalUnits/12*JW$11*(ExpUtilitiesPerUnit+ExpRMPerUnit+ExpTurnoverPerUnit+ExpContractPerUnit)-TotalUnits/12*JW$12*(ExpPayrollPerUnit+ExpAdvertisingPerUnit),0)</f>
        <v/>
      </c>
      <c r="JX68" s="218">
        <f>IF(280&gt;=DeliverStart,((BaseMarketRentMo+BaseLowRentMo)*(LeaseUp!JX$10+LossToLeasePct+BadDebtPct+ConcessionsPct)+LeaseUp!JX$9*(ParkingPerUnitMo+UtilReimbPerUnitMo+OtherIncPerUnitMo)+RetailRentMo*MIN(1,LeaseUp!JX$10/StabilizedOccupancy))*(1-MgmtFeePct)-TotalUnits/12*(ExpInsurancePerUnit+ExpAdminPerUnit)-TotalUnits/12*JX$11*(ExpUtilitiesPerUnit+ExpRMPerUnit+ExpTurnoverPerUnit+ExpContractPerUnit)-TotalUnits/12*JX$12*(ExpPayrollPerUnit+ExpAdvertisingPerUnit),0)</f>
        <v/>
      </c>
      <c r="JY68" s="218">
        <f>IF(281&gt;=DeliverStart,((BaseMarketRentMo+BaseLowRentMo)*(LeaseUp!JY$10+LossToLeasePct+BadDebtPct+ConcessionsPct)+LeaseUp!JY$9*(ParkingPerUnitMo+UtilReimbPerUnitMo+OtherIncPerUnitMo)+RetailRentMo*MIN(1,LeaseUp!JY$10/StabilizedOccupancy))*(1-MgmtFeePct)-TotalUnits/12*(ExpInsurancePerUnit+ExpAdminPerUnit)-TotalUnits/12*JY$11*(ExpUtilitiesPerUnit+ExpRMPerUnit+ExpTurnoverPerUnit+ExpContractPerUnit)-TotalUnits/12*JY$12*(ExpPayrollPerUnit+ExpAdvertisingPerUnit),0)</f>
        <v/>
      </c>
      <c r="JZ68" s="218">
        <f>IF(282&gt;=DeliverStart,((BaseMarketRentMo+BaseLowRentMo)*(LeaseUp!JZ$10+LossToLeasePct+BadDebtPct+ConcessionsPct)+LeaseUp!JZ$9*(ParkingPerUnitMo+UtilReimbPerUnitMo+OtherIncPerUnitMo)+RetailRentMo*MIN(1,LeaseUp!JZ$10/StabilizedOccupancy))*(1-MgmtFeePct)-TotalUnits/12*(ExpInsurancePerUnit+ExpAdminPerUnit)-TotalUnits/12*JZ$11*(ExpUtilitiesPerUnit+ExpRMPerUnit+ExpTurnoverPerUnit+ExpContractPerUnit)-TotalUnits/12*JZ$12*(ExpPayrollPerUnit+ExpAdvertisingPerUnit),0)</f>
        <v/>
      </c>
      <c r="KA68" s="218">
        <f>IF(283&gt;=DeliverStart,((BaseMarketRentMo+BaseLowRentMo)*(LeaseUp!KA$10+LossToLeasePct+BadDebtPct+ConcessionsPct)+LeaseUp!KA$9*(ParkingPerUnitMo+UtilReimbPerUnitMo+OtherIncPerUnitMo)+RetailRentMo*MIN(1,LeaseUp!KA$10/StabilizedOccupancy))*(1-MgmtFeePct)-TotalUnits/12*(ExpInsurancePerUnit+ExpAdminPerUnit)-TotalUnits/12*KA$11*(ExpUtilitiesPerUnit+ExpRMPerUnit+ExpTurnoverPerUnit+ExpContractPerUnit)-TotalUnits/12*KA$12*(ExpPayrollPerUnit+ExpAdvertisingPerUnit),0)</f>
        <v/>
      </c>
      <c r="KB68" s="218">
        <f>IF(284&gt;=DeliverStart,((BaseMarketRentMo+BaseLowRentMo)*(LeaseUp!KB$10+LossToLeasePct+BadDebtPct+ConcessionsPct)+LeaseUp!KB$9*(ParkingPerUnitMo+UtilReimbPerUnitMo+OtherIncPerUnitMo)+RetailRentMo*MIN(1,LeaseUp!KB$10/StabilizedOccupancy))*(1-MgmtFeePct)-TotalUnits/12*(ExpInsurancePerUnit+ExpAdminPerUnit)-TotalUnits/12*KB$11*(ExpUtilitiesPerUnit+ExpRMPerUnit+ExpTurnoverPerUnit+ExpContractPerUnit)-TotalUnits/12*KB$12*(ExpPayrollPerUnit+ExpAdvertisingPerUnit),0)</f>
        <v/>
      </c>
      <c r="KC68" s="218">
        <f>IF(285&gt;=DeliverStart,((BaseMarketRentMo+BaseLowRentMo)*(LeaseUp!KC$10+LossToLeasePct+BadDebtPct+ConcessionsPct)+LeaseUp!KC$9*(ParkingPerUnitMo+UtilReimbPerUnitMo+OtherIncPerUnitMo)+RetailRentMo*MIN(1,LeaseUp!KC$10/StabilizedOccupancy))*(1-MgmtFeePct)-TotalUnits/12*(ExpInsurancePerUnit+ExpAdminPerUnit)-TotalUnits/12*KC$11*(ExpUtilitiesPerUnit+ExpRMPerUnit+ExpTurnoverPerUnit+ExpContractPerUnit)-TotalUnits/12*KC$12*(ExpPayrollPerUnit+ExpAdvertisingPerUnit),0)</f>
        <v/>
      </c>
      <c r="KD68" s="218">
        <f>IF(286&gt;=DeliverStart,((BaseMarketRentMo+BaseLowRentMo)*(LeaseUp!KD$10+LossToLeasePct+BadDebtPct+ConcessionsPct)+LeaseUp!KD$9*(ParkingPerUnitMo+UtilReimbPerUnitMo+OtherIncPerUnitMo)+RetailRentMo*MIN(1,LeaseUp!KD$10/StabilizedOccupancy))*(1-MgmtFeePct)-TotalUnits/12*(ExpInsurancePerUnit+ExpAdminPerUnit)-TotalUnits/12*KD$11*(ExpUtilitiesPerUnit+ExpRMPerUnit+ExpTurnoverPerUnit+ExpContractPerUnit)-TotalUnits/12*KD$12*(ExpPayrollPerUnit+ExpAdvertisingPerUnit),0)</f>
        <v/>
      </c>
      <c r="KE68" s="218">
        <f>IF(287&gt;=DeliverStart,((BaseMarketRentMo+BaseLowRentMo)*(LeaseUp!KE$10+LossToLeasePct+BadDebtPct+ConcessionsPct)+LeaseUp!KE$9*(ParkingPerUnitMo+UtilReimbPerUnitMo+OtherIncPerUnitMo)+RetailRentMo*MIN(1,LeaseUp!KE$10/StabilizedOccupancy))*(1-MgmtFeePct)-TotalUnits/12*(ExpInsurancePerUnit+ExpAdminPerUnit)-TotalUnits/12*KE$11*(ExpUtilitiesPerUnit+ExpRMPerUnit+ExpTurnoverPerUnit+ExpContractPerUnit)-TotalUnits/12*KE$12*(ExpPayrollPerUnit+ExpAdvertisingPerUnit),0)</f>
        <v/>
      </c>
      <c r="KF68" s="218">
        <f>IF(288&gt;=DeliverStart,((BaseMarketRentMo+BaseLowRentMo)*(LeaseUp!KF$10+LossToLeasePct+BadDebtPct+ConcessionsPct)+LeaseUp!KF$9*(ParkingPerUnitMo+UtilReimbPerUnitMo+OtherIncPerUnitMo)+RetailRentMo*MIN(1,LeaseUp!KF$10/StabilizedOccupancy))*(1-MgmtFeePct)-TotalUnits/12*(ExpInsurancePerUnit+ExpAdminPerUnit)-TotalUnits/12*KF$11*(ExpUtilitiesPerUnit+ExpRMPerUnit+ExpTurnoverPerUnit+ExpContractPerUnit)-TotalUnits/12*KF$12*(ExpPayrollPerUnit+ExpAdvertisingPerUnit),0)</f>
        <v/>
      </c>
      <c r="KG68" s="218">
        <f>IF(289&gt;=DeliverStart,((BaseMarketRentMo+BaseLowRentMo)*(LeaseUp!KG$10+LossToLeasePct+BadDebtPct+ConcessionsPct)+LeaseUp!KG$9*(ParkingPerUnitMo+UtilReimbPerUnitMo+OtherIncPerUnitMo)+RetailRentMo*MIN(1,LeaseUp!KG$10/StabilizedOccupancy))*(1-MgmtFeePct)-TotalUnits/12*(ExpInsurancePerUnit+ExpAdminPerUnit)-TotalUnits/12*KG$11*(ExpUtilitiesPerUnit+ExpRMPerUnit+ExpTurnoverPerUnit+ExpContractPerUnit)-TotalUnits/12*KG$12*(ExpPayrollPerUnit+ExpAdvertisingPerUnit),0)</f>
        <v/>
      </c>
      <c r="KH68" s="218">
        <f>IF(290&gt;=DeliverStart,((BaseMarketRentMo+BaseLowRentMo)*(LeaseUp!KH$10+LossToLeasePct+BadDebtPct+ConcessionsPct)+LeaseUp!KH$9*(ParkingPerUnitMo+UtilReimbPerUnitMo+OtherIncPerUnitMo)+RetailRentMo*MIN(1,LeaseUp!KH$10/StabilizedOccupancy))*(1-MgmtFeePct)-TotalUnits/12*(ExpInsurancePerUnit+ExpAdminPerUnit)-TotalUnits/12*KH$11*(ExpUtilitiesPerUnit+ExpRMPerUnit+ExpTurnoverPerUnit+ExpContractPerUnit)-TotalUnits/12*KH$12*(ExpPayrollPerUnit+ExpAdvertisingPerUnit),0)</f>
        <v/>
      </c>
      <c r="KI68" s="218">
        <f>IF(291&gt;=DeliverStart,((BaseMarketRentMo+BaseLowRentMo)*(LeaseUp!KI$10+LossToLeasePct+BadDebtPct+ConcessionsPct)+LeaseUp!KI$9*(ParkingPerUnitMo+UtilReimbPerUnitMo+OtherIncPerUnitMo)+RetailRentMo*MIN(1,LeaseUp!KI$10/StabilizedOccupancy))*(1-MgmtFeePct)-TotalUnits/12*(ExpInsurancePerUnit+ExpAdminPerUnit)-TotalUnits/12*KI$11*(ExpUtilitiesPerUnit+ExpRMPerUnit+ExpTurnoverPerUnit+ExpContractPerUnit)-TotalUnits/12*KI$12*(ExpPayrollPerUnit+ExpAdvertisingPerUnit),0)</f>
        <v/>
      </c>
      <c r="KJ68" s="218">
        <f>IF(292&gt;=DeliverStart,((BaseMarketRentMo+BaseLowRentMo)*(LeaseUp!KJ$10+LossToLeasePct+BadDebtPct+ConcessionsPct)+LeaseUp!KJ$9*(ParkingPerUnitMo+UtilReimbPerUnitMo+OtherIncPerUnitMo)+RetailRentMo*MIN(1,LeaseUp!KJ$10/StabilizedOccupancy))*(1-MgmtFeePct)-TotalUnits/12*(ExpInsurancePerUnit+ExpAdminPerUnit)-TotalUnits/12*KJ$11*(ExpUtilitiesPerUnit+ExpRMPerUnit+ExpTurnoverPerUnit+ExpContractPerUnit)-TotalUnits/12*KJ$12*(ExpPayrollPerUnit+ExpAdvertisingPerUnit),0)</f>
        <v/>
      </c>
      <c r="KK68" s="218">
        <f>IF(293&gt;=DeliverStart,((BaseMarketRentMo+BaseLowRentMo)*(LeaseUp!KK$10+LossToLeasePct+BadDebtPct+ConcessionsPct)+LeaseUp!KK$9*(ParkingPerUnitMo+UtilReimbPerUnitMo+OtherIncPerUnitMo)+RetailRentMo*MIN(1,LeaseUp!KK$10/StabilizedOccupancy))*(1-MgmtFeePct)-TotalUnits/12*(ExpInsurancePerUnit+ExpAdminPerUnit)-TotalUnits/12*KK$11*(ExpUtilitiesPerUnit+ExpRMPerUnit+ExpTurnoverPerUnit+ExpContractPerUnit)-TotalUnits/12*KK$12*(ExpPayrollPerUnit+ExpAdvertisingPerUnit),0)</f>
        <v/>
      </c>
      <c r="KL68" s="218">
        <f>IF(294&gt;=DeliverStart,((BaseMarketRentMo+BaseLowRentMo)*(LeaseUp!KL$10+LossToLeasePct+BadDebtPct+ConcessionsPct)+LeaseUp!KL$9*(ParkingPerUnitMo+UtilReimbPerUnitMo+OtherIncPerUnitMo)+RetailRentMo*MIN(1,LeaseUp!KL$10/StabilizedOccupancy))*(1-MgmtFeePct)-TotalUnits/12*(ExpInsurancePerUnit+ExpAdminPerUnit)-TotalUnits/12*KL$11*(ExpUtilitiesPerUnit+ExpRMPerUnit+ExpTurnoverPerUnit+ExpContractPerUnit)-TotalUnits/12*KL$12*(ExpPayrollPerUnit+ExpAdvertisingPerUnit),0)</f>
        <v/>
      </c>
      <c r="KM68" s="218">
        <f>IF(295&gt;=DeliverStart,((BaseMarketRentMo+BaseLowRentMo)*(LeaseUp!KM$10+LossToLeasePct+BadDebtPct+ConcessionsPct)+LeaseUp!KM$9*(ParkingPerUnitMo+UtilReimbPerUnitMo+OtherIncPerUnitMo)+RetailRentMo*MIN(1,LeaseUp!KM$10/StabilizedOccupancy))*(1-MgmtFeePct)-TotalUnits/12*(ExpInsurancePerUnit+ExpAdminPerUnit)-TotalUnits/12*KM$11*(ExpUtilitiesPerUnit+ExpRMPerUnit+ExpTurnoverPerUnit+ExpContractPerUnit)-TotalUnits/12*KM$12*(ExpPayrollPerUnit+ExpAdvertisingPerUnit),0)</f>
        <v/>
      </c>
      <c r="KN68" s="218">
        <f>IF(296&gt;=DeliverStart,((BaseMarketRentMo+BaseLowRentMo)*(LeaseUp!KN$10+LossToLeasePct+BadDebtPct+ConcessionsPct)+LeaseUp!KN$9*(ParkingPerUnitMo+UtilReimbPerUnitMo+OtherIncPerUnitMo)+RetailRentMo*MIN(1,LeaseUp!KN$10/StabilizedOccupancy))*(1-MgmtFeePct)-TotalUnits/12*(ExpInsurancePerUnit+ExpAdminPerUnit)-TotalUnits/12*KN$11*(ExpUtilitiesPerUnit+ExpRMPerUnit+ExpTurnoverPerUnit+ExpContractPerUnit)-TotalUnits/12*KN$12*(ExpPayrollPerUnit+ExpAdvertisingPerUnit),0)</f>
        <v/>
      </c>
      <c r="KO68" s="218">
        <f>IF(297&gt;=DeliverStart,((BaseMarketRentMo+BaseLowRentMo)*(LeaseUp!KO$10+LossToLeasePct+BadDebtPct+ConcessionsPct)+LeaseUp!KO$9*(ParkingPerUnitMo+UtilReimbPerUnitMo+OtherIncPerUnitMo)+RetailRentMo*MIN(1,LeaseUp!KO$10/StabilizedOccupancy))*(1-MgmtFeePct)-TotalUnits/12*(ExpInsurancePerUnit+ExpAdminPerUnit)-TotalUnits/12*KO$11*(ExpUtilitiesPerUnit+ExpRMPerUnit+ExpTurnoverPerUnit+ExpContractPerUnit)-TotalUnits/12*KO$12*(ExpPayrollPerUnit+ExpAdvertisingPerUnit),0)</f>
        <v/>
      </c>
      <c r="KP68" s="218">
        <f>IF(298&gt;=DeliverStart,((BaseMarketRentMo+BaseLowRentMo)*(LeaseUp!KP$10+LossToLeasePct+BadDebtPct+ConcessionsPct)+LeaseUp!KP$9*(ParkingPerUnitMo+UtilReimbPerUnitMo+OtherIncPerUnitMo)+RetailRentMo*MIN(1,LeaseUp!KP$10/StabilizedOccupancy))*(1-MgmtFeePct)-TotalUnits/12*(ExpInsurancePerUnit+ExpAdminPerUnit)-TotalUnits/12*KP$11*(ExpUtilitiesPerUnit+ExpRMPerUnit+ExpTurnoverPerUnit+ExpContractPerUnit)-TotalUnits/12*KP$12*(ExpPayrollPerUnit+ExpAdvertisingPerUnit),0)</f>
        <v/>
      </c>
      <c r="KQ68" s="218">
        <f>IF(299&gt;=DeliverStart,((BaseMarketRentMo+BaseLowRentMo)*(LeaseUp!KQ$10+LossToLeasePct+BadDebtPct+ConcessionsPct)+LeaseUp!KQ$9*(ParkingPerUnitMo+UtilReimbPerUnitMo+OtherIncPerUnitMo)+RetailRentMo*MIN(1,LeaseUp!KQ$10/StabilizedOccupancy))*(1-MgmtFeePct)-TotalUnits/12*(ExpInsurancePerUnit+ExpAdminPerUnit)-TotalUnits/12*KQ$11*(ExpUtilitiesPerUnit+ExpRMPerUnit+ExpTurnoverPerUnit+ExpContractPerUnit)-TotalUnits/12*KQ$12*(ExpPayrollPerUnit+ExpAdvertisingPerUnit),0)</f>
        <v/>
      </c>
      <c r="KR68" s="218">
        <f>IF(300&gt;=DeliverStart,((BaseMarketRentMo+BaseLowRentMo)*(LeaseUp!KR$10+LossToLeasePct+BadDebtPct+ConcessionsPct)+LeaseUp!KR$9*(ParkingPerUnitMo+UtilReimbPerUnitMo+OtherIncPerUnitMo)+RetailRentMo*MIN(1,LeaseUp!KR$10/StabilizedOccupancy))*(1-MgmtFeePct)-TotalUnits/12*(ExpInsurancePerUnit+ExpAdminPerUnit)-TotalUnits/12*KR$11*(ExpUtilitiesPerUnit+ExpRMPerUnit+ExpTurnoverPerUnit+ExpContractPerUnit)-TotalUnits/12*KR$12*(ExpPayrollPerUnit+ExpAdvertisingPerUnit),0)</f>
        <v/>
      </c>
      <c r="KS68" s="218">
        <f>IF(301&gt;=DeliverStart,((BaseMarketRentMo+BaseLowRentMo)*(LeaseUp!KS$10+LossToLeasePct+BadDebtPct+ConcessionsPct)+LeaseUp!KS$9*(ParkingPerUnitMo+UtilReimbPerUnitMo+OtherIncPerUnitMo)+RetailRentMo*MIN(1,LeaseUp!KS$10/StabilizedOccupancy))*(1-MgmtFeePct)-TotalUnits/12*(ExpInsurancePerUnit+ExpAdminPerUnit)-TotalUnits/12*KS$11*(ExpUtilitiesPerUnit+ExpRMPerUnit+ExpTurnoverPerUnit+ExpContractPerUnit)-TotalUnits/12*KS$12*(ExpPayrollPerUnit+ExpAdvertisingPerUnit),0)</f>
        <v/>
      </c>
      <c r="KT68" s="218">
        <f>IF(302&gt;=DeliverStart,((BaseMarketRentMo+BaseLowRentMo)*(LeaseUp!KT$10+LossToLeasePct+BadDebtPct+ConcessionsPct)+LeaseUp!KT$9*(ParkingPerUnitMo+UtilReimbPerUnitMo+OtherIncPerUnitMo)+RetailRentMo*MIN(1,LeaseUp!KT$10/StabilizedOccupancy))*(1-MgmtFeePct)-TotalUnits/12*(ExpInsurancePerUnit+ExpAdminPerUnit)-TotalUnits/12*KT$11*(ExpUtilitiesPerUnit+ExpRMPerUnit+ExpTurnoverPerUnit+ExpContractPerUnit)-TotalUnits/12*KT$12*(ExpPayrollPerUnit+ExpAdvertisingPerUnit),0)</f>
        <v/>
      </c>
      <c r="KU68" s="218">
        <f>IF(303&gt;=DeliverStart,((BaseMarketRentMo+BaseLowRentMo)*(LeaseUp!KU$10+LossToLeasePct+BadDebtPct+ConcessionsPct)+LeaseUp!KU$9*(ParkingPerUnitMo+UtilReimbPerUnitMo+OtherIncPerUnitMo)+RetailRentMo*MIN(1,LeaseUp!KU$10/StabilizedOccupancy))*(1-MgmtFeePct)-TotalUnits/12*(ExpInsurancePerUnit+ExpAdminPerUnit)-TotalUnits/12*KU$11*(ExpUtilitiesPerUnit+ExpRMPerUnit+ExpTurnoverPerUnit+ExpContractPerUnit)-TotalUnits/12*KU$12*(ExpPayrollPerUnit+ExpAdvertisingPerUnit),0)</f>
        <v/>
      </c>
      <c r="KV68" s="218">
        <f>IF(304&gt;=DeliverStart,((BaseMarketRentMo+BaseLowRentMo)*(LeaseUp!KV$10+LossToLeasePct+BadDebtPct+ConcessionsPct)+LeaseUp!KV$9*(ParkingPerUnitMo+UtilReimbPerUnitMo+OtherIncPerUnitMo)+RetailRentMo*MIN(1,LeaseUp!KV$10/StabilizedOccupancy))*(1-MgmtFeePct)-TotalUnits/12*(ExpInsurancePerUnit+ExpAdminPerUnit)-TotalUnits/12*KV$11*(ExpUtilitiesPerUnit+ExpRMPerUnit+ExpTurnoverPerUnit+ExpContractPerUnit)-TotalUnits/12*KV$12*(ExpPayrollPerUnit+ExpAdvertisingPerUnit),0)</f>
        <v/>
      </c>
      <c r="KW68" s="218">
        <f>IF(305&gt;=DeliverStart,((BaseMarketRentMo+BaseLowRentMo)*(LeaseUp!KW$10+LossToLeasePct+BadDebtPct+ConcessionsPct)+LeaseUp!KW$9*(ParkingPerUnitMo+UtilReimbPerUnitMo+OtherIncPerUnitMo)+RetailRentMo*MIN(1,LeaseUp!KW$10/StabilizedOccupancy))*(1-MgmtFeePct)-TotalUnits/12*(ExpInsurancePerUnit+ExpAdminPerUnit)-TotalUnits/12*KW$11*(ExpUtilitiesPerUnit+ExpRMPerUnit+ExpTurnoverPerUnit+ExpContractPerUnit)-TotalUnits/12*KW$12*(ExpPayrollPerUnit+ExpAdvertisingPerUnit),0)</f>
        <v/>
      </c>
      <c r="KX68" s="218">
        <f>IF(306&gt;=DeliverStart,((BaseMarketRentMo+BaseLowRentMo)*(LeaseUp!KX$10+LossToLeasePct+BadDebtPct+ConcessionsPct)+LeaseUp!KX$9*(ParkingPerUnitMo+UtilReimbPerUnitMo+OtherIncPerUnitMo)+RetailRentMo*MIN(1,LeaseUp!KX$10/StabilizedOccupancy))*(1-MgmtFeePct)-TotalUnits/12*(ExpInsurancePerUnit+ExpAdminPerUnit)-TotalUnits/12*KX$11*(ExpUtilitiesPerUnit+ExpRMPerUnit+ExpTurnoverPerUnit+ExpContractPerUnit)-TotalUnits/12*KX$12*(ExpPayrollPerUnit+ExpAdvertisingPerUnit),0)</f>
        <v/>
      </c>
      <c r="KY68" s="218">
        <f>IF(307&gt;=DeliverStart,((BaseMarketRentMo+BaseLowRentMo)*(LeaseUp!KY$10+LossToLeasePct+BadDebtPct+ConcessionsPct)+LeaseUp!KY$9*(ParkingPerUnitMo+UtilReimbPerUnitMo+OtherIncPerUnitMo)+RetailRentMo*MIN(1,LeaseUp!KY$10/StabilizedOccupancy))*(1-MgmtFeePct)-TotalUnits/12*(ExpInsurancePerUnit+ExpAdminPerUnit)-TotalUnits/12*KY$11*(ExpUtilitiesPerUnit+ExpRMPerUnit+ExpTurnoverPerUnit+ExpContractPerUnit)-TotalUnits/12*KY$12*(ExpPayrollPerUnit+ExpAdvertisingPerUnit),0)</f>
        <v/>
      </c>
      <c r="KZ68" s="218">
        <f>IF(308&gt;=DeliverStart,((BaseMarketRentMo+BaseLowRentMo)*(LeaseUp!KZ$10+LossToLeasePct+BadDebtPct+ConcessionsPct)+LeaseUp!KZ$9*(ParkingPerUnitMo+UtilReimbPerUnitMo+OtherIncPerUnitMo)+RetailRentMo*MIN(1,LeaseUp!KZ$10/StabilizedOccupancy))*(1-MgmtFeePct)-TotalUnits/12*(ExpInsurancePerUnit+ExpAdminPerUnit)-TotalUnits/12*KZ$11*(ExpUtilitiesPerUnit+ExpRMPerUnit+ExpTurnoverPerUnit+ExpContractPerUnit)-TotalUnits/12*KZ$12*(ExpPayrollPerUnit+ExpAdvertisingPerUnit),0)</f>
        <v/>
      </c>
      <c r="LA68" s="218">
        <f>IF(309&gt;=DeliverStart,((BaseMarketRentMo+BaseLowRentMo)*(LeaseUp!LA$10+LossToLeasePct+BadDebtPct+ConcessionsPct)+LeaseUp!LA$9*(ParkingPerUnitMo+UtilReimbPerUnitMo+OtherIncPerUnitMo)+RetailRentMo*MIN(1,LeaseUp!LA$10/StabilizedOccupancy))*(1-MgmtFeePct)-TotalUnits/12*(ExpInsurancePerUnit+ExpAdminPerUnit)-TotalUnits/12*LA$11*(ExpUtilitiesPerUnit+ExpRMPerUnit+ExpTurnoverPerUnit+ExpContractPerUnit)-TotalUnits/12*LA$12*(ExpPayrollPerUnit+ExpAdvertisingPerUnit),0)</f>
        <v/>
      </c>
      <c r="LB68" s="218">
        <f>IF(310&gt;=DeliverStart,((BaseMarketRentMo+BaseLowRentMo)*(LeaseUp!LB$10+LossToLeasePct+BadDebtPct+ConcessionsPct)+LeaseUp!LB$9*(ParkingPerUnitMo+UtilReimbPerUnitMo+OtherIncPerUnitMo)+RetailRentMo*MIN(1,LeaseUp!LB$10/StabilizedOccupancy))*(1-MgmtFeePct)-TotalUnits/12*(ExpInsurancePerUnit+ExpAdminPerUnit)-TotalUnits/12*LB$11*(ExpUtilitiesPerUnit+ExpRMPerUnit+ExpTurnoverPerUnit+ExpContractPerUnit)-TotalUnits/12*LB$12*(ExpPayrollPerUnit+ExpAdvertisingPerUnit),0)</f>
        <v/>
      </c>
      <c r="LC68" s="218">
        <f>IF(311&gt;=DeliverStart,((BaseMarketRentMo+BaseLowRentMo)*(LeaseUp!LC$10+LossToLeasePct+BadDebtPct+ConcessionsPct)+LeaseUp!LC$9*(ParkingPerUnitMo+UtilReimbPerUnitMo+OtherIncPerUnitMo)+RetailRentMo*MIN(1,LeaseUp!LC$10/StabilizedOccupancy))*(1-MgmtFeePct)-TotalUnits/12*(ExpInsurancePerUnit+ExpAdminPerUnit)-TotalUnits/12*LC$11*(ExpUtilitiesPerUnit+ExpRMPerUnit+ExpTurnoverPerUnit+ExpContractPerUnit)-TotalUnits/12*LC$12*(ExpPayrollPerUnit+ExpAdvertisingPerUnit),0)</f>
        <v/>
      </c>
      <c r="LD68" s="218">
        <f>IF(312&gt;=DeliverStart,((BaseMarketRentMo+BaseLowRentMo)*(LeaseUp!LD$10+LossToLeasePct+BadDebtPct+ConcessionsPct)+LeaseUp!LD$9*(ParkingPerUnitMo+UtilReimbPerUnitMo+OtherIncPerUnitMo)+RetailRentMo*MIN(1,LeaseUp!LD$10/StabilizedOccupancy))*(1-MgmtFeePct)-TotalUnits/12*(ExpInsurancePerUnit+ExpAdminPerUnit)-TotalUnits/12*LD$11*(ExpUtilitiesPerUnit+ExpRMPerUnit+ExpTurnoverPerUnit+ExpContractPerUnit)-TotalUnits/12*LD$12*(ExpPayrollPerUnit+ExpAdvertisingPerUnit),0)</f>
        <v/>
      </c>
      <c r="LE68" s="218">
        <f>IF(313&gt;=DeliverStart,((BaseMarketRentMo+BaseLowRentMo)*(LeaseUp!LE$10+LossToLeasePct+BadDebtPct+ConcessionsPct)+LeaseUp!LE$9*(ParkingPerUnitMo+UtilReimbPerUnitMo+OtherIncPerUnitMo)+RetailRentMo*MIN(1,LeaseUp!LE$10/StabilizedOccupancy))*(1-MgmtFeePct)-TotalUnits/12*(ExpInsurancePerUnit+ExpAdminPerUnit)-TotalUnits/12*LE$11*(ExpUtilitiesPerUnit+ExpRMPerUnit+ExpTurnoverPerUnit+ExpContractPerUnit)-TotalUnits/12*LE$12*(ExpPayrollPerUnit+ExpAdvertisingPerUnit),0)</f>
        <v/>
      </c>
      <c r="LF68" s="218">
        <f>IF(314&gt;=DeliverStart,((BaseMarketRentMo+BaseLowRentMo)*(LeaseUp!LF$10+LossToLeasePct+BadDebtPct+ConcessionsPct)+LeaseUp!LF$9*(ParkingPerUnitMo+UtilReimbPerUnitMo+OtherIncPerUnitMo)+RetailRentMo*MIN(1,LeaseUp!LF$10/StabilizedOccupancy))*(1-MgmtFeePct)-TotalUnits/12*(ExpInsurancePerUnit+ExpAdminPerUnit)-TotalUnits/12*LF$11*(ExpUtilitiesPerUnit+ExpRMPerUnit+ExpTurnoverPerUnit+ExpContractPerUnit)-TotalUnits/12*LF$12*(ExpPayrollPerUnit+ExpAdvertisingPerUnit),0)</f>
        <v/>
      </c>
      <c r="LG68" s="218">
        <f>IF(315&gt;=DeliverStart,((BaseMarketRentMo+BaseLowRentMo)*(LeaseUp!LG$10+LossToLeasePct+BadDebtPct+ConcessionsPct)+LeaseUp!LG$9*(ParkingPerUnitMo+UtilReimbPerUnitMo+OtherIncPerUnitMo)+RetailRentMo*MIN(1,LeaseUp!LG$10/StabilizedOccupancy))*(1-MgmtFeePct)-TotalUnits/12*(ExpInsurancePerUnit+ExpAdminPerUnit)-TotalUnits/12*LG$11*(ExpUtilitiesPerUnit+ExpRMPerUnit+ExpTurnoverPerUnit+ExpContractPerUnit)-TotalUnits/12*LG$12*(ExpPayrollPerUnit+ExpAdvertisingPerUnit),0)</f>
        <v/>
      </c>
      <c r="LH68" s="218">
        <f>IF(316&gt;=DeliverStart,((BaseMarketRentMo+BaseLowRentMo)*(LeaseUp!LH$10+LossToLeasePct+BadDebtPct+ConcessionsPct)+LeaseUp!LH$9*(ParkingPerUnitMo+UtilReimbPerUnitMo+OtherIncPerUnitMo)+RetailRentMo*MIN(1,LeaseUp!LH$10/StabilizedOccupancy))*(1-MgmtFeePct)-TotalUnits/12*(ExpInsurancePerUnit+ExpAdminPerUnit)-TotalUnits/12*LH$11*(ExpUtilitiesPerUnit+ExpRMPerUnit+ExpTurnoverPerUnit+ExpContractPerUnit)-TotalUnits/12*LH$12*(ExpPayrollPerUnit+ExpAdvertisingPerUnit),0)</f>
        <v/>
      </c>
      <c r="LI68" s="218">
        <f>IF(317&gt;=DeliverStart,((BaseMarketRentMo+BaseLowRentMo)*(LeaseUp!LI$10+LossToLeasePct+BadDebtPct+ConcessionsPct)+LeaseUp!LI$9*(ParkingPerUnitMo+UtilReimbPerUnitMo+OtherIncPerUnitMo)+RetailRentMo*MIN(1,LeaseUp!LI$10/StabilizedOccupancy))*(1-MgmtFeePct)-TotalUnits/12*(ExpInsurancePerUnit+ExpAdminPerUnit)-TotalUnits/12*LI$11*(ExpUtilitiesPerUnit+ExpRMPerUnit+ExpTurnoverPerUnit+ExpContractPerUnit)-TotalUnits/12*LI$12*(ExpPayrollPerUnit+ExpAdvertisingPerUnit),0)</f>
        <v/>
      </c>
      <c r="LJ68" s="218">
        <f>IF(318&gt;=DeliverStart,((BaseMarketRentMo+BaseLowRentMo)*(LeaseUp!LJ$10+LossToLeasePct+BadDebtPct+ConcessionsPct)+LeaseUp!LJ$9*(ParkingPerUnitMo+UtilReimbPerUnitMo+OtherIncPerUnitMo)+RetailRentMo*MIN(1,LeaseUp!LJ$10/StabilizedOccupancy))*(1-MgmtFeePct)-TotalUnits/12*(ExpInsurancePerUnit+ExpAdminPerUnit)-TotalUnits/12*LJ$11*(ExpUtilitiesPerUnit+ExpRMPerUnit+ExpTurnoverPerUnit+ExpContractPerUnit)-TotalUnits/12*LJ$12*(ExpPayrollPerUnit+ExpAdvertisingPerUnit),0)</f>
        <v/>
      </c>
      <c r="LK68" s="218">
        <f>IF(319&gt;=DeliverStart,((BaseMarketRentMo+BaseLowRentMo)*(LeaseUp!LK$10+LossToLeasePct+BadDebtPct+ConcessionsPct)+LeaseUp!LK$9*(ParkingPerUnitMo+UtilReimbPerUnitMo+OtherIncPerUnitMo)+RetailRentMo*MIN(1,LeaseUp!LK$10/StabilizedOccupancy))*(1-MgmtFeePct)-TotalUnits/12*(ExpInsurancePerUnit+ExpAdminPerUnit)-TotalUnits/12*LK$11*(ExpUtilitiesPerUnit+ExpRMPerUnit+ExpTurnoverPerUnit+ExpContractPerUnit)-TotalUnits/12*LK$12*(ExpPayrollPerUnit+ExpAdvertisingPerUnit),0)</f>
        <v/>
      </c>
      <c r="LL68" s="218">
        <f>IF(320&gt;=DeliverStart,((BaseMarketRentMo+BaseLowRentMo)*(LeaseUp!LL$10+LossToLeasePct+BadDebtPct+ConcessionsPct)+LeaseUp!LL$9*(ParkingPerUnitMo+UtilReimbPerUnitMo+OtherIncPerUnitMo)+RetailRentMo*MIN(1,LeaseUp!LL$10/StabilizedOccupancy))*(1-MgmtFeePct)-TotalUnits/12*(ExpInsurancePerUnit+ExpAdminPerUnit)-TotalUnits/12*LL$11*(ExpUtilitiesPerUnit+ExpRMPerUnit+ExpTurnoverPerUnit+ExpContractPerUnit)-TotalUnits/12*LL$12*(ExpPayrollPerUnit+ExpAdvertisingPerUnit),0)</f>
        <v/>
      </c>
      <c r="LM68" s="218">
        <f>IF(321&gt;=DeliverStart,((BaseMarketRentMo+BaseLowRentMo)*(LeaseUp!LM$10+LossToLeasePct+BadDebtPct+ConcessionsPct)+LeaseUp!LM$9*(ParkingPerUnitMo+UtilReimbPerUnitMo+OtherIncPerUnitMo)+RetailRentMo*MIN(1,LeaseUp!LM$10/StabilizedOccupancy))*(1-MgmtFeePct)-TotalUnits/12*(ExpInsurancePerUnit+ExpAdminPerUnit)-TotalUnits/12*LM$11*(ExpUtilitiesPerUnit+ExpRMPerUnit+ExpTurnoverPerUnit+ExpContractPerUnit)-TotalUnits/12*LM$12*(ExpPayrollPerUnit+ExpAdvertisingPerUnit),0)</f>
        <v/>
      </c>
      <c r="LN68" s="218">
        <f>IF(322&gt;=DeliverStart,((BaseMarketRentMo+BaseLowRentMo)*(LeaseUp!LN$10+LossToLeasePct+BadDebtPct+ConcessionsPct)+LeaseUp!LN$9*(ParkingPerUnitMo+UtilReimbPerUnitMo+OtherIncPerUnitMo)+RetailRentMo*MIN(1,LeaseUp!LN$10/StabilizedOccupancy))*(1-MgmtFeePct)-TotalUnits/12*(ExpInsurancePerUnit+ExpAdminPerUnit)-TotalUnits/12*LN$11*(ExpUtilitiesPerUnit+ExpRMPerUnit+ExpTurnoverPerUnit+ExpContractPerUnit)-TotalUnits/12*LN$12*(ExpPayrollPerUnit+ExpAdvertisingPerUnit),0)</f>
        <v/>
      </c>
      <c r="LO68" s="218">
        <f>IF(323&gt;=DeliverStart,((BaseMarketRentMo+BaseLowRentMo)*(LeaseUp!LO$10+LossToLeasePct+BadDebtPct+ConcessionsPct)+LeaseUp!LO$9*(ParkingPerUnitMo+UtilReimbPerUnitMo+OtherIncPerUnitMo)+RetailRentMo*MIN(1,LeaseUp!LO$10/StabilizedOccupancy))*(1-MgmtFeePct)-TotalUnits/12*(ExpInsurancePerUnit+ExpAdminPerUnit)-TotalUnits/12*LO$11*(ExpUtilitiesPerUnit+ExpRMPerUnit+ExpTurnoverPerUnit+ExpContractPerUnit)-TotalUnits/12*LO$12*(ExpPayrollPerUnit+ExpAdvertisingPerUnit),0)</f>
        <v/>
      </c>
      <c r="LP68" s="218">
        <f>IF(324&gt;=DeliverStart,((BaseMarketRentMo+BaseLowRentMo)*(LeaseUp!LP$10+LossToLeasePct+BadDebtPct+ConcessionsPct)+LeaseUp!LP$9*(ParkingPerUnitMo+UtilReimbPerUnitMo+OtherIncPerUnitMo)+RetailRentMo*MIN(1,LeaseUp!LP$10/StabilizedOccupancy))*(1-MgmtFeePct)-TotalUnits/12*(ExpInsurancePerUnit+ExpAdminPerUnit)-TotalUnits/12*LP$11*(ExpUtilitiesPerUnit+ExpRMPerUnit+ExpTurnoverPerUnit+ExpContractPerUnit)-TotalUnits/12*LP$12*(ExpPayrollPerUnit+ExpAdvertisingPerUnit),0)</f>
        <v/>
      </c>
      <c r="LQ68" s="218">
        <f>IF(325&gt;=DeliverStart,((BaseMarketRentMo+BaseLowRentMo)*(LeaseUp!LQ$10+LossToLeasePct+BadDebtPct+ConcessionsPct)+LeaseUp!LQ$9*(ParkingPerUnitMo+UtilReimbPerUnitMo+OtherIncPerUnitMo)+RetailRentMo*MIN(1,LeaseUp!LQ$10/StabilizedOccupancy))*(1-MgmtFeePct)-TotalUnits/12*(ExpInsurancePerUnit+ExpAdminPerUnit)-TotalUnits/12*LQ$11*(ExpUtilitiesPerUnit+ExpRMPerUnit+ExpTurnoverPerUnit+ExpContractPerUnit)-TotalUnits/12*LQ$12*(ExpPayrollPerUnit+ExpAdvertisingPerUnit),0)</f>
        <v/>
      </c>
      <c r="LR68" s="218">
        <f>IF(326&gt;=DeliverStart,((BaseMarketRentMo+BaseLowRentMo)*(LeaseUp!LR$10+LossToLeasePct+BadDebtPct+ConcessionsPct)+LeaseUp!LR$9*(ParkingPerUnitMo+UtilReimbPerUnitMo+OtherIncPerUnitMo)+RetailRentMo*MIN(1,LeaseUp!LR$10/StabilizedOccupancy))*(1-MgmtFeePct)-TotalUnits/12*(ExpInsurancePerUnit+ExpAdminPerUnit)-TotalUnits/12*LR$11*(ExpUtilitiesPerUnit+ExpRMPerUnit+ExpTurnoverPerUnit+ExpContractPerUnit)-TotalUnits/12*LR$12*(ExpPayrollPerUnit+ExpAdvertisingPerUnit),0)</f>
        <v/>
      </c>
      <c r="LS68" s="218">
        <f>IF(327&gt;=DeliverStart,((BaseMarketRentMo+BaseLowRentMo)*(LeaseUp!LS$10+LossToLeasePct+BadDebtPct+ConcessionsPct)+LeaseUp!LS$9*(ParkingPerUnitMo+UtilReimbPerUnitMo+OtherIncPerUnitMo)+RetailRentMo*MIN(1,LeaseUp!LS$10/StabilizedOccupancy))*(1-MgmtFeePct)-TotalUnits/12*(ExpInsurancePerUnit+ExpAdminPerUnit)-TotalUnits/12*LS$11*(ExpUtilitiesPerUnit+ExpRMPerUnit+ExpTurnoverPerUnit+ExpContractPerUnit)-TotalUnits/12*LS$12*(ExpPayrollPerUnit+ExpAdvertisingPerUnit),0)</f>
        <v/>
      </c>
      <c r="LT68" s="218">
        <f>IF(328&gt;=DeliverStart,((BaseMarketRentMo+BaseLowRentMo)*(LeaseUp!LT$10+LossToLeasePct+BadDebtPct+ConcessionsPct)+LeaseUp!LT$9*(ParkingPerUnitMo+UtilReimbPerUnitMo+OtherIncPerUnitMo)+RetailRentMo*MIN(1,LeaseUp!LT$10/StabilizedOccupancy))*(1-MgmtFeePct)-TotalUnits/12*(ExpInsurancePerUnit+ExpAdminPerUnit)-TotalUnits/12*LT$11*(ExpUtilitiesPerUnit+ExpRMPerUnit+ExpTurnoverPerUnit+ExpContractPerUnit)-TotalUnits/12*LT$12*(ExpPayrollPerUnit+ExpAdvertisingPerUnit),0)</f>
        <v/>
      </c>
      <c r="LU68" s="218">
        <f>IF(329&gt;=DeliverStart,((BaseMarketRentMo+BaseLowRentMo)*(LeaseUp!LU$10+LossToLeasePct+BadDebtPct+ConcessionsPct)+LeaseUp!LU$9*(ParkingPerUnitMo+UtilReimbPerUnitMo+OtherIncPerUnitMo)+RetailRentMo*MIN(1,LeaseUp!LU$10/StabilizedOccupancy))*(1-MgmtFeePct)-TotalUnits/12*(ExpInsurancePerUnit+ExpAdminPerUnit)-TotalUnits/12*LU$11*(ExpUtilitiesPerUnit+ExpRMPerUnit+ExpTurnoverPerUnit+ExpContractPerUnit)-TotalUnits/12*LU$12*(ExpPayrollPerUnit+ExpAdvertisingPerUnit),0)</f>
        <v/>
      </c>
      <c r="LV68" s="218">
        <f>IF(330&gt;=DeliverStart,((BaseMarketRentMo+BaseLowRentMo)*(LeaseUp!LV$10+LossToLeasePct+BadDebtPct+ConcessionsPct)+LeaseUp!LV$9*(ParkingPerUnitMo+UtilReimbPerUnitMo+OtherIncPerUnitMo)+RetailRentMo*MIN(1,LeaseUp!LV$10/StabilizedOccupancy))*(1-MgmtFeePct)-TotalUnits/12*(ExpInsurancePerUnit+ExpAdminPerUnit)-TotalUnits/12*LV$11*(ExpUtilitiesPerUnit+ExpRMPerUnit+ExpTurnoverPerUnit+ExpContractPerUnit)-TotalUnits/12*LV$12*(ExpPayrollPerUnit+ExpAdvertisingPerUnit),0)</f>
        <v/>
      </c>
      <c r="LW68" s="218">
        <f>IF(331&gt;=DeliverStart,((BaseMarketRentMo+BaseLowRentMo)*(LeaseUp!LW$10+LossToLeasePct+BadDebtPct+ConcessionsPct)+LeaseUp!LW$9*(ParkingPerUnitMo+UtilReimbPerUnitMo+OtherIncPerUnitMo)+RetailRentMo*MIN(1,LeaseUp!LW$10/StabilizedOccupancy))*(1-MgmtFeePct)-TotalUnits/12*(ExpInsurancePerUnit+ExpAdminPerUnit)-TotalUnits/12*LW$11*(ExpUtilitiesPerUnit+ExpRMPerUnit+ExpTurnoverPerUnit+ExpContractPerUnit)-TotalUnits/12*LW$12*(ExpPayrollPerUnit+ExpAdvertisingPerUnit),0)</f>
        <v/>
      </c>
      <c r="LX68" s="218">
        <f>IF(332&gt;=DeliverStart,((BaseMarketRentMo+BaseLowRentMo)*(LeaseUp!LX$10+LossToLeasePct+BadDebtPct+ConcessionsPct)+LeaseUp!LX$9*(ParkingPerUnitMo+UtilReimbPerUnitMo+OtherIncPerUnitMo)+RetailRentMo*MIN(1,LeaseUp!LX$10/StabilizedOccupancy))*(1-MgmtFeePct)-TotalUnits/12*(ExpInsurancePerUnit+ExpAdminPerUnit)-TotalUnits/12*LX$11*(ExpUtilitiesPerUnit+ExpRMPerUnit+ExpTurnoverPerUnit+ExpContractPerUnit)-TotalUnits/12*LX$12*(ExpPayrollPerUnit+ExpAdvertisingPerUnit),0)</f>
        <v/>
      </c>
      <c r="LY68" s="218">
        <f>IF(333&gt;=DeliverStart,((BaseMarketRentMo+BaseLowRentMo)*(LeaseUp!LY$10+LossToLeasePct+BadDebtPct+ConcessionsPct)+LeaseUp!LY$9*(ParkingPerUnitMo+UtilReimbPerUnitMo+OtherIncPerUnitMo)+RetailRentMo*MIN(1,LeaseUp!LY$10/StabilizedOccupancy))*(1-MgmtFeePct)-TotalUnits/12*(ExpInsurancePerUnit+ExpAdminPerUnit)-TotalUnits/12*LY$11*(ExpUtilitiesPerUnit+ExpRMPerUnit+ExpTurnoverPerUnit+ExpContractPerUnit)-TotalUnits/12*LY$12*(ExpPayrollPerUnit+ExpAdvertisingPerUnit),0)</f>
        <v/>
      </c>
      <c r="LZ68" s="218">
        <f>IF(334&gt;=DeliverStart,((BaseMarketRentMo+BaseLowRentMo)*(LeaseUp!LZ$10+LossToLeasePct+BadDebtPct+ConcessionsPct)+LeaseUp!LZ$9*(ParkingPerUnitMo+UtilReimbPerUnitMo+OtherIncPerUnitMo)+RetailRentMo*MIN(1,LeaseUp!LZ$10/StabilizedOccupancy))*(1-MgmtFeePct)-TotalUnits/12*(ExpInsurancePerUnit+ExpAdminPerUnit)-TotalUnits/12*LZ$11*(ExpUtilitiesPerUnit+ExpRMPerUnit+ExpTurnoverPerUnit+ExpContractPerUnit)-TotalUnits/12*LZ$12*(ExpPayrollPerUnit+ExpAdvertisingPerUnit),0)</f>
        <v/>
      </c>
      <c r="MA68" s="218">
        <f>IF(335&gt;=DeliverStart,((BaseMarketRentMo+BaseLowRentMo)*(LeaseUp!MA$10+LossToLeasePct+BadDebtPct+ConcessionsPct)+LeaseUp!MA$9*(ParkingPerUnitMo+UtilReimbPerUnitMo+OtherIncPerUnitMo)+RetailRentMo*MIN(1,LeaseUp!MA$10/StabilizedOccupancy))*(1-MgmtFeePct)-TotalUnits/12*(ExpInsurancePerUnit+ExpAdminPerUnit)-TotalUnits/12*MA$11*(ExpUtilitiesPerUnit+ExpRMPerUnit+ExpTurnoverPerUnit+ExpContractPerUnit)-TotalUnits/12*MA$12*(ExpPayrollPerUnit+ExpAdvertisingPerUnit),0)</f>
        <v/>
      </c>
      <c r="MB68" s="218">
        <f>IF(336&gt;=DeliverStart,((BaseMarketRentMo+BaseLowRentMo)*(LeaseUp!MB$10+LossToLeasePct+BadDebtPct+ConcessionsPct)+LeaseUp!MB$9*(ParkingPerUnitMo+UtilReimbPerUnitMo+OtherIncPerUnitMo)+RetailRentMo*MIN(1,LeaseUp!MB$10/StabilizedOccupancy))*(1-MgmtFeePct)-TotalUnits/12*(ExpInsurancePerUnit+ExpAdminPerUnit)-TotalUnits/12*MB$11*(ExpUtilitiesPerUnit+ExpRMPerUnit+ExpTurnoverPerUnit+ExpContractPerUnit)-TotalUnits/12*MB$12*(ExpPayrollPerUnit+ExpAdvertisingPerUnit),0)</f>
        <v/>
      </c>
      <c r="MC68" s="218">
        <f>IF(337&gt;=DeliverStart,((BaseMarketRentMo+BaseLowRentMo)*(LeaseUp!MC$10+LossToLeasePct+BadDebtPct+ConcessionsPct)+LeaseUp!MC$9*(ParkingPerUnitMo+UtilReimbPerUnitMo+OtherIncPerUnitMo)+RetailRentMo*MIN(1,LeaseUp!MC$10/StabilizedOccupancy))*(1-MgmtFeePct)-TotalUnits/12*(ExpInsurancePerUnit+ExpAdminPerUnit)-TotalUnits/12*MC$11*(ExpUtilitiesPerUnit+ExpRMPerUnit+ExpTurnoverPerUnit+ExpContractPerUnit)-TotalUnits/12*MC$12*(ExpPayrollPerUnit+ExpAdvertisingPerUnit),0)</f>
        <v/>
      </c>
      <c r="MD68" s="218">
        <f>IF(338&gt;=DeliverStart,((BaseMarketRentMo+BaseLowRentMo)*(LeaseUp!MD$10+LossToLeasePct+BadDebtPct+ConcessionsPct)+LeaseUp!MD$9*(ParkingPerUnitMo+UtilReimbPerUnitMo+OtherIncPerUnitMo)+RetailRentMo*MIN(1,LeaseUp!MD$10/StabilizedOccupancy))*(1-MgmtFeePct)-TotalUnits/12*(ExpInsurancePerUnit+ExpAdminPerUnit)-TotalUnits/12*MD$11*(ExpUtilitiesPerUnit+ExpRMPerUnit+ExpTurnoverPerUnit+ExpContractPerUnit)-TotalUnits/12*MD$12*(ExpPayrollPerUnit+ExpAdvertisingPerUnit),0)</f>
        <v/>
      </c>
      <c r="ME68" s="218">
        <f>IF(339&gt;=DeliverStart,((BaseMarketRentMo+BaseLowRentMo)*(LeaseUp!ME$10+LossToLeasePct+BadDebtPct+ConcessionsPct)+LeaseUp!ME$9*(ParkingPerUnitMo+UtilReimbPerUnitMo+OtherIncPerUnitMo)+RetailRentMo*MIN(1,LeaseUp!ME$10/StabilizedOccupancy))*(1-MgmtFeePct)-TotalUnits/12*(ExpInsurancePerUnit+ExpAdminPerUnit)-TotalUnits/12*ME$11*(ExpUtilitiesPerUnit+ExpRMPerUnit+ExpTurnoverPerUnit+ExpContractPerUnit)-TotalUnits/12*ME$12*(ExpPayrollPerUnit+ExpAdvertisingPerUnit),0)</f>
        <v/>
      </c>
      <c r="MF68" s="218">
        <f>IF(340&gt;=DeliverStart,((BaseMarketRentMo+BaseLowRentMo)*(LeaseUp!MF$10+LossToLeasePct+BadDebtPct+ConcessionsPct)+LeaseUp!MF$9*(ParkingPerUnitMo+UtilReimbPerUnitMo+OtherIncPerUnitMo)+RetailRentMo*MIN(1,LeaseUp!MF$10/StabilizedOccupancy))*(1-MgmtFeePct)-TotalUnits/12*(ExpInsurancePerUnit+ExpAdminPerUnit)-TotalUnits/12*MF$11*(ExpUtilitiesPerUnit+ExpRMPerUnit+ExpTurnoverPerUnit+ExpContractPerUnit)-TotalUnits/12*MF$12*(ExpPayrollPerUnit+ExpAdvertisingPerUnit),0)</f>
        <v/>
      </c>
      <c r="MG68" s="218">
        <f>IF(341&gt;=DeliverStart,((BaseMarketRentMo+BaseLowRentMo)*(LeaseUp!MG$10+LossToLeasePct+BadDebtPct+ConcessionsPct)+LeaseUp!MG$9*(ParkingPerUnitMo+UtilReimbPerUnitMo+OtherIncPerUnitMo)+RetailRentMo*MIN(1,LeaseUp!MG$10/StabilizedOccupancy))*(1-MgmtFeePct)-TotalUnits/12*(ExpInsurancePerUnit+ExpAdminPerUnit)-TotalUnits/12*MG$11*(ExpUtilitiesPerUnit+ExpRMPerUnit+ExpTurnoverPerUnit+ExpContractPerUnit)-TotalUnits/12*MG$12*(ExpPayrollPerUnit+ExpAdvertisingPerUnit),0)</f>
        <v/>
      </c>
      <c r="MH68" s="218">
        <f>IF(342&gt;=DeliverStart,((BaseMarketRentMo+BaseLowRentMo)*(LeaseUp!MH$10+LossToLeasePct+BadDebtPct+ConcessionsPct)+LeaseUp!MH$9*(ParkingPerUnitMo+UtilReimbPerUnitMo+OtherIncPerUnitMo)+RetailRentMo*MIN(1,LeaseUp!MH$10/StabilizedOccupancy))*(1-MgmtFeePct)-TotalUnits/12*(ExpInsurancePerUnit+ExpAdminPerUnit)-TotalUnits/12*MH$11*(ExpUtilitiesPerUnit+ExpRMPerUnit+ExpTurnoverPerUnit+ExpContractPerUnit)-TotalUnits/12*MH$12*(ExpPayrollPerUnit+ExpAdvertisingPerUnit),0)</f>
        <v/>
      </c>
      <c r="MI68" s="218">
        <f>IF(343&gt;=DeliverStart,((BaseMarketRentMo+BaseLowRentMo)*(LeaseUp!MI$10+LossToLeasePct+BadDebtPct+ConcessionsPct)+LeaseUp!MI$9*(ParkingPerUnitMo+UtilReimbPerUnitMo+OtherIncPerUnitMo)+RetailRentMo*MIN(1,LeaseUp!MI$10/StabilizedOccupancy))*(1-MgmtFeePct)-TotalUnits/12*(ExpInsurancePerUnit+ExpAdminPerUnit)-TotalUnits/12*MI$11*(ExpUtilitiesPerUnit+ExpRMPerUnit+ExpTurnoverPerUnit+ExpContractPerUnit)-TotalUnits/12*MI$12*(ExpPayrollPerUnit+ExpAdvertisingPerUnit),0)</f>
        <v/>
      </c>
      <c r="MJ68" s="218">
        <f>IF(344&gt;=DeliverStart,((BaseMarketRentMo+BaseLowRentMo)*(LeaseUp!MJ$10+LossToLeasePct+BadDebtPct+ConcessionsPct)+LeaseUp!MJ$9*(ParkingPerUnitMo+UtilReimbPerUnitMo+OtherIncPerUnitMo)+RetailRentMo*MIN(1,LeaseUp!MJ$10/StabilizedOccupancy))*(1-MgmtFeePct)-TotalUnits/12*(ExpInsurancePerUnit+ExpAdminPerUnit)-TotalUnits/12*MJ$11*(ExpUtilitiesPerUnit+ExpRMPerUnit+ExpTurnoverPerUnit+ExpContractPerUnit)-TotalUnits/12*MJ$12*(ExpPayrollPerUnit+ExpAdvertisingPerUnit),0)</f>
        <v/>
      </c>
      <c r="MK68" s="218">
        <f>IF(345&gt;=DeliverStart,((BaseMarketRentMo+BaseLowRentMo)*(LeaseUp!MK$10+LossToLeasePct+BadDebtPct+ConcessionsPct)+LeaseUp!MK$9*(ParkingPerUnitMo+UtilReimbPerUnitMo+OtherIncPerUnitMo)+RetailRentMo*MIN(1,LeaseUp!MK$10/StabilizedOccupancy))*(1-MgmtFeePct)-TotalUnits/12*(ExpInsurancePerUnit+ExpAdminPerUnit)-TotalUnits/12*MK$11*(ExpUtilitiesPerUnit+ExpRMPerUnit+ExpTurnoverPerUnit+ExpContractPerUnit)-TotalUnits/12*MK$12*(ExpPayrollPerUnit+ExpAdvertisingPerUnit),0)</f>
        <v/>
      </c>
      <c r="ML68" s="218">
        <f>IF(346&gt;=DeliverStart,((BaseMarketRentMo+BaseLowRentMo)*(LeaseUp!ML$10+LossToLeasePct+BadDebtPct+ConcessionsPct)+LeaseUp!ML$9*(ParkingPerUnitMo+UtilReimbPerUnitMo+OtherIncPerUnitMo)+RetailRentMo*MIN(1,LeaseUp!ML$10/StabilizedOccupancy))*(1-MgmtFeePct)-TotalUnits/12*(ExpInsurancePerUnit+ExpAdminPerUnit)-TotalUnits/12*ML$11*(ExpUtilitiesPerUnit+ExpRMPerUnit+ExpTurnoverPerUnit+ExpContractPerUnit)-TotalUnits/12*ML$12*(ExpPayrollPerUnit+ExpAdvertisingPerUnit),0)</f>
        <v/>
      </c>
      <c r="MM68" s="218">
        <f>IF(347&gt;=DeliverStart,((BaseMarketRentMo+BaseLowRentMo)*(LeaseUp!MM$10+LossToLeasePct+BadDebtPct+ConcessionsPct)+LeaseUp!MM$9*(ParkingPerUnitMo+UtilReimbPerUnitMo+OtherIncPerUnitMo)+RetailRentMo*MIN(1,LeaseUp!MM$10/StabilizedOccupancy))*(1-MgmtFeePct)-TotalUnits/12*(ExpInsurancePerUnit+ExpAdminPerUnit)-TotalUnits/12*MM$11*(ExpUtilitiesPerUnit+ExpRMPerUnit+ExpTurnoverPerUnit+ExpContractPerUnit)-TotalUnits/12*MM$12*(ExpPayrollPerUnit+ExpAdvertisingPerUnit),0)</f>
        <v/>
      </c>
      <c r="MN68" s="218">
        <f>IF(348&gt;=DeliverStart,((BaseMarketRentMo+BaseLowRentMo)*(LeaseUp!MN$10+LossToLeasePct+BadDebtPct+ConcessionsPct)+LeaseUp!MN$9*(ParkingPerUnitMo+UtilReimbPerUnitMo+OtherIncPerUnitMo)+RetailRentMo*MIN(1,LeaseUp!MN$10/StabilizedOccupancy))*(1-MgmtFeePct)-TotalUnits/12*(ExpInsurancePerUnit+ExpAdminPerUnit)-TotalUnits/12*MN$11*(ExpUtilitiesPerUnit+ExpRMPerUnit+ExpTurnoverPerUnit+ExpContractPerUnit)-TotalUnits/12*MN$12*(ExpPayrollPerUnit+ExpAdvertisingPerUnit),0)</f>
        <v/>
      </c>
      <c r="MO68" s="218">
        <f>IF(349&gt;=DeliverStart,((BaseMarketRentMo+BaseLowRentMo)*(LeaseUp!MO$10+LossToLeasePct+BadDebtPct+ConcessionsPct)+LeaseUp!MO$9*(ParkingPerUnitMo+UtilReimbPerUnitMo+OtherIncPerUnitMo)+RetailRentMo*MIN(1,LeaseUp!MO$10/StabilizedOccupancy))*(1-MgmtFeePct)-TotalUnits/12*(ExpInsurancePerUnit+ExpAdminPerUnit)-TotalUnits/12*MO$11*(ExpUtilitiesPerUnit+ExpRMPerUnit+ExpTurnoverPerUnit+ExpContractPerUnit)-TotalUnits/12*MO$12*(ExpPayrollPerUnit+ExpAdvertisingPerUnit),0)</f>
        <v/>
      </c>
      <c r="MP68" s="218">
        <f>IF(350&gt;=DeliverStart,((BaseMarketRentMo+BaseLowRentMo)*(LeaseUp!MP$10+LossToLeasePct+BadDebtPct+ConcessionsPct)+LeaseUp!MP$9*(ParkingPerUnitMo+UtilReimbPerUnitMo+OtherIncPerUnitMo)+RetailRentMo*MIN(1,LeaseUp!MP$10/StabilizedOccupancy))*(1-MgmtFeePct)-TotalUnits/12*(ExpInsurancePerUnit+ExpAdminPerUnit)-TotalUnits/12*MP$11*(ExpUtilitiesPerUnit+ExpRMPerUnit+ExpTurnoverPerUnit+ExpContractPerUnit)-TotalUnits/12*MP$12*(ExpPayrollPerUnit+ExpAdvertisingPerUnit),0)</f>
        <v/>
      </c>
      <c r="MQ68" s="218">
        <f>IF(351&gt;=DeliverStart,((BaseMarketRentMo+BaseLowRentMo)*(LeaseUp!MQ$10+LossToLeasePct+BadDebtPct+ConcessionsPct)+LeaseUp!MQ$9*(ParkingPerUnitMo+UtilReimbPerUnitMo+OtherIncPerUnitMo)+RetailRentMo*MIN(1,LeaseUp!MQ$10/StabilizedOccupancy))*(1-MgmtFeePct)-TotalUnits/12*(ExpInsurancePerUnit+ExpAdminPerUnit)-TotalUnits/12*MQ$11*(ExpUtilitiesPerUnit+ExpRMPerUnit+ExpTurnoverPerUnit+ExpContractPerUnit)-TotalUnits/12*MQ$12*(ExpPayrollPerUnit+ExpAdvertisingPerUnit),0)</f>
        <v/>
      </c>
      <c r="MR68" s="218">
        <f>IF(352&gt;=DeliverStart,((BaseMarketRentMo+BaseLowRentMo)*(LeaseUp!MR$10+LossToLeasePct+BadDebtPct+ConcessionsPct)+LeaseUp!MR$9*(ParkingPerUnitMo+UtilReimbPerUnitMo+OtherIncPerUnitMo)+RetailRentMo*MIN(1,LeaseUp!MR$10/StabilizedOccupancy))*(1-MgmtFeePct)-TotalUnits/12*(ExpInsurancePerUnit+ExpAdminPerUnit)-TotalUnits/12*MR$11*(ExpUtilitiesPerUnit+ExpRMPerUnit+ExpTurnoverPerUnit+ExpContractPerUnit)-TotalUnits/12*MR$12*(ExpPayrollPerUnit+ExpAdvertisingPerUnit),0)</f>
        <v/>
      </c>
      <c r="MS68" s="218">
        <f>IF(353&gt;=DeliverStart,((BaseMarketRentMo+BaseLowRentMo)*(LeaseUp!MS$10+LossToLeasePct+BadDebtPct+ConcessionsPct)+LeaseUp!MS$9*(ParkingPerUnitMo+UtilReimbPerUnitMo+OtherIncPerUnitMo)+RetailRentMo*MIN(1,LeaseUp!MS$10/StabilizedOccupancy))*(1-MgmtFeePct)-TotalUnits/12*(ExpInsurancePerUnit+ExpAdminPerUnit)-TotalUnits/12*MS$11*(ExpUtilitiesPerUnit+ExpRMPerUnit+ExpTurnoverPerUnit+ExpContractPerUnit)-TotalUnits/12*MS$12*(ExpPayrollPerUnit+ExpAdvertisingPerUnit),0)</f>
        <v/>
      </c>
      <c r="MT68" s="218">
        <f>IF(354&gt;=DeliverStart,((BaseMarketRentMo+BaseLowRentMo)*(LeaseUp!MT$10+LossToLeasePct+BadDebtPct+ConcessionsPct)+LeaseUp!MT$9*(ParkingPerUnitMo+UtilReimbPerUnitMo+OtherIncPerUnitMo)+RetailRentMo*MIN(1,LeaseUp!MT$10/StabilizedOccupancy))*(1-MgmtFeePct)-TotalUnits/12*(ExpInsurancePerUnit+ExpAdminPerUnit)-TotalUnits/12*MT$11*(ExpUtilitiesPerUnit+ExpRMPerUnit+ExpTurnoverPerUnit+ExpContractPerUnit)-TotalUnits/12*MT$12*(ExpPayrollPerUnit+ExpAdvertisingPerUnit),0)</f>
        <v/>
      </c>
      <c r="MU68" s="218">
        <f>IF(355&gt;=DeliverStart,((BaseMarketRentMo+BaseLowRentMo)*(LeaseUp!MU$10+LossToLeasePct+BadDebtPct+ConcessionsPct)+LeaseUp!MU$9*(ParkingPerUnitMo+UtilReimbPerUnitMo+OtherIncPerUnitMo)+RetailRentMo*MIN(1,LeaseUp!MU$10/StabilizedOccupancy))*(1-MgmtFeePct)-TotalUnits/12*(ExpInsurancePerUnit+ExpAdminPerUnit)-TotalUnits/12*MU$11*(ExpUtilitiesPerUnit+ExpRMPerUnit+ExpTurnoverPerUnit+ExpContractPerUnit)-TotalUnits/12*MU$12*(ExpPayrollPerUnit+ExpAdvertisingPerUnit),0)</f>
        <v/>
      </c>
      <c r="MV68" s="218">
        <f>IF(356&gt;=DeliverStart,((BaseMarketRentMo+BaseLowRentMo)*(LeaseUp!MV$10+LossToLeasePct+BadDebtPct+ConcessionsPct)+LeaseUp!MV$9*(ParkingPerUnitMo+UtilReimbPerUnitMo+OtherIncPerUnitMo)+RetailRentMo*MIN(1,LeaseUp!MV$10/StabilizedOccupancy))*(1-MgmtFeePct)-TotalUnits/12*(ExpInsurancePerUnit+ExpAdminPerUnit)-TotalUnits/12*MV$11*(ExpUtilitiesPerUnit+ExpRMPerUnit+ExpTurnoverPerUnit+ExpContractPerUnit)-TotalUnits/12*MV$12*(ExpPayrollPerUnit+ExpAdvertisingPerUnit),0)</f>
        <v/>
      </c>
      <c r="MW68" s="218">
        <f>IF(357&gt;=DeliverStart,((BaseMarketRentMo+BaseLowRentMo)*(LeaseUp!MW$10+LossToLeasePct+BadDebtPct+ConcessionsPct)+LeaseUp!MW$9*(ParkingPerUnitMo+UtilReimbPerUnitMo+OtherIncPerUnitMo)+RetailRentMo*MIN(1,LeaseUp!MW$10/StabilizedOccupancy))*(1-MgmtFeePct)-TotalUnits/12*(ExpInsurancePerUnit+ExpAdminPerUnit)-TotalUnits/12*MW$11*(ExpUtilitiesPerUnit+ExpRMPerUnit+ExpTurnoverPerUnit+ExpContractPerUnit)-TotalUnits/12*MW$12*(ExpPayrollPerUnit+ExpAdvertisingPerUnit),0)</f>
        <v/>
      </c>
      <c r="MX68" s="218">
        <f>IF(358&gt;=DeliverStart,((BaseMarketRentMo+BaseLowRentMo)*(LeaseUp!MX$10+LossToLeasePct+BadDebtPct+ConcessionsPct)+LeaseUp!MX$9*(ParkingPerUnitMo+UtilReimbPerUnitMo+OtherIncPerUnitMo)+RetailRentMo*MIN(1,LeaseUp!MX$10/StabilizedOccupancy))*(1-MgmtFeePct)-TotalUnits/12*(ExpInsurancePerUnit+ExpAdminPerUnit)-TotalUnits/12*MX$11*(ExpUtilitiesPerUnit+ExpRMPerUnit+ExpTurnoverPerUnit+ExpContractPerUnit)-TotalUnits/12*MX$12*(ExpPayrollPerUnit+ExpAdvertisingPerUnit),0)</f>
        <v/>
      </c>
      <c r="MY68" s="218">
        <f>IF(359&gt;=DeliverStart,((BaseMarketRentMo+BaseLowRentMo)*(LeaseUp!MY$10+LossToLeasePct+BadDebtPct+ConcessionsPct)+LeaseUp!MY$9*(ParkingPerUnitMo+UtilReimbPerUnitMo+OtherIncPerUnitMo)+RetailRentMo*MIN(1,LeaseUp!MY$10/StabilizedOccupancy))*(1-MgmtFeePct)-TotalUnits/12*(ExpInsurancePerUnit+ExpAdminPerUnit)-TotalUnits/12*MY$11*(ExpUtilitiesPerUnit+ExpRMPerUnit+ExpTurnoverPerUnit+ExpContractPerUnit)-TotalUnits/12*MY$12*(ExpPayrollPerUnit+ExpAdvertisingPerUnit),0)</f>
        <v/>
      </c>
      <c r="MZ68" s="218">
        <f>IF(360&gt;=DeliverStart,((BaseMarketRentMo+BaseLowRentMo)*(LeaseUp!MZ$10+LossToLeasePct+BadDebtPct+ConcessionsPct)+LeaseUp!MZ$9*(ParkingPerUnitMo+UtilReimbPerUnitMo+OtherIncPerUnitMo)+RetailRentMo*MIN(1,LeaseUp!MZ$10/StabilizedOccupancy))*(1-MgmtFeePct)-TotalUnits/12*(ExpInsurancePerUnit+ExpAdminPerUnit)-TotalUnits/12*MZ$11*(ExpUtilitiesPerUnit+ExpRMPerUnit+ExpTurnoverPerUnit+ExpContractPerUnit)-TotalUnits/12*MZ$12*(ExpPayrollPerUnit+ExpAdvertisingPerUnit),0)</f>
        <v/>
      </c>
      <c r="NA68" s="218">
        <f>IF(361&gt;=DeliverStart,((BaseMarketRentMo+BaseLowRentMo)*(LeaseUp!NA$10+LossToLeasePct+BadDebtPct+ConcessionsPct)+LeaseUp!NA$9*(ParkingPerUnitMo+UtilReimbPerUnitMo+OtherIncPerUnitMo)+RetailRentMo*MIN(1,LeaseUp!NA$10/StabilizedOccupancy))*(1-MgmtFeePct)-TotalUnits/12*(ExpInsurancePerUnit+ExpAdminPerUnit)-TotalUnits/12*NA$11*(ExpUtilitiesPerUnit+ExpRMPerUnit+ExpTurnoverPerUnit+ExpContractPerUnit)-TotalUnits/12*NA$12*(ExpPayrollPerUnit+ExpAdvertisingPerUnit),0)</f>
        <v/>
      </c>
      <c r="NB68" s="218">
        <f>IF(362&gt;=DeliverStart,((BaseMarketRentMo+BaseLowRentMo)*(LeaseUp!NB$10+LossToLeasePct+BadDebtPct+ConcessionsPct)+LeaseUp!NB$9*(ParkingPerUnitMo+UtilReimbPerUnitMo+OtherIncPerUnitMo)+RetailRentMo*MIN(1,LeaseUp!NB$10/StabilizedOccupancy))*(1-MgmtFeePct)-TotalUnits/12*(ExpInsurancePerUnit+ExpAdminPerUnit)-TotalUnits/12*NB$11*(ExpUtilitiesPerUnit+ExpRMPerUnit+ExpTurnoverPerUnit+ExpContractPerUnit)-TotalUnits/12*NB$12*(ExpPayrollPerUnit+ExpAdvertisingPerUnit),0)</f>
        <v/>
      </c>
      <c r="NC68" s="218">
        <f>IF(363&gt;=DeliverStart,((BaseMarketRentMo+BaseLowRentMo)*(LeaseUp!NC$10+LossToLeasePct+BadDebtPct+ConcessionsPct)+LeaseUp!NC$9*(ParkingPerUnitMo+UtilReimbPerUnitMo+OtherIncPerUnitMo)+RetailRentMo*MIN(1,LeaseUp!NC$10/StabilizedOccupancy))*(1-MgmtFeePct)-TotalUnits/12*(ExpInsurancePerUnit+ExpAdminPerUnit)-TotalUnits/12*NC$11*(ExpUtilitiesPerUnit+ExpRMPerUnit+ExpTurnoverPerUnit+ExpContractPerUnit)-TotalUnits/12*NC$12*(ExpPayrollPerUnit+ExpAdvertisingPerUnit),0)</f>
        <v/>
      </c>
      <c r="ND68" s="218">
        <f>IF(364&gt;=DeliverStart,((BaseMarketRentMo+BaseLowRentMo)*(LeaseUp!ND$10+LossToLeasePct+BadDebtPct+ConcessionsPct)+LeaseUp!ND$9*(ParkingPerUnitMo+UtilReimbPerUnitMo+OtherIncPerUnitMo)+RetailRentMo*MIN(1,LeaseUp!ND$10/StabilizedOccupancy))*(1-MgmtFeePct)-TotalUnits/12*(ExpInsurancePerUnit+ExpAdminPerUnit)-TotalUnits/12*ND$11*(ExpUtilitiesPerUnit+ExpRMPerUnit+ExpTurnoverPerUnit+ExpContractPerUnit)-TotalUnits/12*ND$12*(ExpPayrollPerUnit+ExpAdvertisingPerUnit),0)</f>
        <v/>
      </c>
      <c r="NE68" s="218">
        <f>IF(365&gt;=DeliverStart,((BaseMarketRentMo+BaseLowRentMo)*(LeaseUp!NE$10+LossToLeasePct+BadDebtPct+ConcessionsPct)+LeaseUp!NE$9*(ParkingPerUnitMo+UtilReimbPerUnitMo+OtherIncPerUnitMo)+RetailRentMo*MIN(1,LeaseUp!NE$10/StabilizedOccupancy))*(1-MgmtFeePct)-TotalUnits/12*(ExpInsurancePerUnit+ExpAdminPerUnit)-TotalUnits/12*NE$11*(ExpUtilitiesPerUnit+ExpRMPerUnit+ExpTurnoverPerUnit+ExpContractPerUnit)-TotalUnits/12*NE$12*(ExpPayrollPerUnit+ExpAdvertisingPerUnit),0)</f>
        <v/>
      </c>
      <c r="NF68" s="218">
        <f>IF(366&gt;=DeliverStart,((BaseMarketRentMo+BaseLowRentMo)*(LeaseUp!NF$10+LossToLeasePct+BadDebtPct+ConcessionsPct)+LeaseUp!NF$9*(ParkingPerUnitMo+UtilReimbPerUnitMo+OtherIncPerUnitMo)+RetailRentMo*MIN(1,LeaseUp!NF$10/StabilizedOccupancy))*(1-MgmtFeePct)-TotalUnits/12*(ExpInsurancePerUnit+ExpAdminPerUnit)-TotalUnits/12*NF$11*(ExpUtilitiesPerUnit+ExpRMPerUnit+ExpTurnoverPerUnit+ExpContractPerUnit)-TotalUnits/12*NF$12*(ExpPayrollPerUnit+ExpAdvertisingPerUnit),0)</f>
        <v/>
      </c>
      <c r="NG68" s="218">
        <f>IF(367&gt;=DeliverStart,((BaseMarketRentMo+BaseLowRentMo)*(LeaseUp!NG$10+LossToLeasePct+BadDebtPct+ConcessionsPct)+LeaseUp!NG$9*(ParkingPerUnitMo+UtilReimbPerUnitMo+OtherIncPerUnitMo)+RetailRentMo*MIN(1,LeaseUp!NG$10/StabilizedOccupancy))*(1-MgmtFeePct)-TotalUnits/12*(ExpInsurancePerUnit+ExpAdminPerUnit)-TotalUnits/12*NG$11*(ExpUtilitiesPerUnit+ExpRMPerUnit+ExpTurnoverPerUnit+ExpContractPerUnit)-TotalUnits/12*NG$12*(ExpPayrollPerUnit+ExpAdvertisingPerUnit),0)</f>
        <v/>
      </c>
      <c r="NH68" s="218">
        <f>IF(368&gt;=DeliverStart,((BaseMarketRentMo+BaseLowRentMo)*(LeaseUp!NH$10+LossToLeasePct+BadDebtPct+ConcessionsPct)+LeaseUp!NH$9*(ParkingPerUnitMo+UtilReimbPerUnitMo+OtherIncPerUnitMo)+RetailRentMo*MIN(1,LeaseUp!NH$10/StabilizedOccupancy))*(1-MgmtFeePct)-TotalUnits/12*(ExpInsurancePerUnit+ExpAdminPerUnit)-TotalUnits/12*NH$11*(ExpUtilitiesPerUnit+ExpRMPerUnit+ExpTurnoverPerUnit+ExpContractPerUnit)-TotalUnits/12*NH$12*(ExpPayrollPerUnit+ExpAdvertisingPerUnit),0)</f>
        <v/>
      </c>
      <c r="NI68" s="218">
        <f>IF(369&gt;=DeliverStart,((BaseMarketRentMo+BaseLowRentMo)*(LeaseUp!NI$10+LossToLeasePct+BadDebtPct+ConcessionsPct)+LeaseUp!NI$9*(ParkingPerUnitMo+UtilReimbPerUnitMo+OtherIncPerUnitMo)+RetailRentMo*MIN(1,LeaseUp!NI$10/StabilizedOccupancy))*(1-MgmtFeePct)-TotalUnits/12*(ExpInsurancePerUnit+ExpAdminPerUnit)-TotalUnits/12*NI$11*(ExpUtilitiesPerUnit+ExpRMPerUnit+ExpTurnoverPerUnit+ExpContractPerUnit)-TotalUnits/12*NI$12*(ExpPayrollPerUnit+ExpAdvertisingPerUnit),0)</f>
        <v/>
      </c>
      <c r="NJ68" s="218">
        <f>IF(370&gt;=DeliverStart,((BaseMarketRentMo+BaseLowRentMo)*(LeaseUp!NJ$10+LossToLeasePct+BadDebtPct+ConcessionsPct)+LeaseUp!NJ$9*(ParkingPerUnitMo+UtilReimbPerUnitMo+OtherIncPerUnitMo)+RetailRentMo*MIN(1,LeaseUp!NJ$10/StabilizedOccupancy))*(1-MgmtFeePct)-TotalUnits/12*(ExpInsurancePerUnit+ExpAdminPerUnit)-TotalUnits/12*NJ$11*(ExpUtilitiesPerUnit+ExpRMPerUnit+ExpTurnoverPerUnit+ExpContractPerUnit)-TotalUnits/12*NJ$12*(ExpPayrollPerUnit+ExpAdvertisingPerUnit),0)</f>
        <v/>
      </c>
      <c r="NK68" s="218">
        <f>IF(371&gt;=DeliverStart,((BaseMarketRentMo+BaseLowRentMo)*(LeaseUp!NK$10+LossToLeasePct+BadDebtPct+ConcessionsPct)+LeaseUp!NK$9*(ParkingPerUnitMo+UtilReimbPerUnitMo+OtherIncPerUnitMo)+RetailRentMo*MIN(1,LeaseUp!NK$10/StabilizedOccupancy))*(1-MgmtFeePct)-TotalUnits/12*(ExpInsurancePerUnit+ExpAdminPerUnit)-TotalUnits/12*NK$11*(ExpUtilitiesPerUnit+ExpRMPerUnit+ExpTurnoverPerUnit+ExpContractPerUnit)-TotalUnits/12*NK$12*(ExpPayrollPerUnit+ExpAdvertisingPerUnit),0)</f>
        <v/>
      </c>
      <c r="NL68" s="218">
        <f>IF(372&gt;=DeliverStart,((BaseMarketRentMo+BaseLowRentMo)*(LeaseUp!NL$10+LossToLeasePct+BadDebtPct+ConcessionsPct)+LeaseUp!NL$9*(ParkingPerUnitMo+UtilReimbPerUnitMo+OtherIncPerUnitMo)+RetailRentMo*MIN(1,LeaseUp!NL$10/StabilizedOccupancy))*(1-MgmtFeePct)-TotalUnits/12*(ExpInsurancePerUnit+ExpAdminPerUnit)-TotalUnits/12*NL$11*(ExpUtilitiesPerUnit+ExpRMPerUnit+ExpTurnoverPerUnit+ExpContractPerUnit)-TotalUnits/12*NL$12*(ExpPayrollPerUnit+ExpAdvertisingPerUnit),0)</f>
        <v/>
      </c>
    </row>
    <row r="69">
      <c r="B69" s="84" t="inlineStr">
        <is>
          <t>Static Property Tax</t>
        </is>
      </c>
      <c r="D69" s="266">
        <f>SUM(E69:NL69)</f>
        <v/>
      </c>
      <c r="E69" s="218">
        <f>IF(1&lt;StabMonth,0,IF(TaxMethodValue&gt;=1,StaticTaxYear1/12,MAX(0,E$68*12)/EntryCapRate*EffTaxRateOnValue/12))</f>
        <v/>
      </c>
      <c r="F69" s="218">
        <f>IF(2&lt;StabMonth,0,IF(TaxMethodValue&gt;=1,StaticTaxYear1/12,MAX(0,F$68*12)/EntryCapRate*EffTaxRateOnValue/12))</f>
        <v/>
      </c>
      <c r="G69" s="218">
        <f>IF(3&lt;StabMonth,0,IF(TaxMethodValue&gt;=1,StaticTaxYear1/12,MAX(0,G$68*12)/EntryCapRate*EffTaxRateOnValue/12))</f>
        <v/>
      </c>
      <c r="H69" s="218">
        <f>IF(4&lt;StabMonth,0,IF(TaxMethodValue&gt;=1,StaticTaxYear1/12,MAX(0,H$68*12)/EntryCapRate*EffTaxRateOnValue/12))</f>
        <v/>
      </c>
      <c r="I69" s="218">
        <f>IF(5&lt;StabMonth,0,IF(TaxMethodValue&gt;=1,StaticTaxYear1/12,MAX(0,I$68*12)/EntryCapRate*EffTaxRateOnValue/12))</f>
        <v/>
      </c>
      <c r="J69" s="218">
        <f>IF(6&lt;StabMonth,0,IF(TaxMethodValue&gt;=1,StaticTaxYear1/12,MAX(0,J$68*12)/EntryCapRate*EffTaxRateOnValue/12))</f>
        <v/>
      </c>
      <c r="K69" s="218">
        <f>IF(7&lt;StabMonth,0,IF(TaxMethodValue&gt;=1,StaticTaxYear1/12,MAX(0,K$68*12)/EntryCapRate*EffTaxRateOnValue/12))</f>
        <v/>
      </c>
      <c r="L69" s="218">
        <f>IF(8&lt;StabMonth,0,IF(TaxMethodValue&gt;=1,StaticTaxYear1/12,MAX(0,L$68*12)/EntryCapRate*EffTaxRateOnValue/12))</f>
        <v/>
      </c>
      <c r="M69" s="218">
        <f>IF(9&lt;StabMonth,0,IF(TaxMethodValue&gt;=1,StaticTaxYear1/12,MAX(0,M$68*12)/EntryCapRate*EffTaxRateOnValue/12))</f>
        <v/>
      </c>
      <c r="N69" s="218">
        <f>IF(10&lt;StabMonth,0,IF(TaxMethodValue&gt;=1,StaticTaxYear1/12,MAX(0,N$68*12)/EntryCapRate*EffTaxRateOnValue/12))</f>
        <v/>
      </c>
      <c r="O69" s="218">
        <f>IF(11&lt;StabMonth,0,IF(TaxMethodValue&gt;=1,StaticTaxYear1/12,MAX(0,O$68*12)/EntryCapRate*EffTaxRateOnValue/12))</f>
        <v/>
      </c>
      <c r="P69" s="218">
        <f>IF(12&lt;StabMonth,0,IF(TaxMethodValue&gt;=1,StaticTaxYear1/12,MAX(0,P$68*12)/EntryCapRate*EffTaxRateOnValue/12))</f>
        <v/>
      </c>
      <c r="Q69" s="218">
        <f>IF(13&lt;StabMonth,0,IF(TaxMethodValue&gt;=1,StaticTaxYear1/12,MAX(0,Q$68*12)/EntryCapRate*EffTaxRateOnValue/12))</f>
        <v/>
      </c>
      <c r="R69" s="218">
        <f>IF(14&lt;StabMonth,0,IF(TaxMethodValue&gt;=1,StaticTaxYear1/12,MAX(0,R$68*12)/EntryCapRate*EffTaxRateOnValue/12))</f>
        <v/>
      </c>
      <c r="S69" s="218">
        <f>IF(15&lt;StabMonth,0,IF(TaxMethodValue&gt;=1,StaticTaxYear1/12,MAX(0,S$68*12)/EntryCapRate*EffTaxRateOnValue/12))</f>
        <v/>
      </c>
      <c r="T69" s="218">
        <f>IF(16&lt;StabMonth,0,IF(TaxMethodValue&gt;=1,StaticTaxYear1/12,MAX(0,T$68*12)/EntryCapRate*EffTaxRateOnValue/12))</f>
        <v/>
      </c>
      <c r="U69" s="218">
        <f>IF(17&lt;StabMonth,0,IF(TaxMethodValue&gt;=1,StaticTaxYear1/12,MAX(0,U$68*12)/EntryCapRate*EffTaxRateOnValue/12))</f>
        <v/>
      </c>
      <c r="V69" s="218">
        <f>IF(18&lt;StabMonth,0,IF(TaxMethodValue&gt;=1,StaticTaxYear1/12,MAX(0,V$68*12)/EntryCapRate*EffTaxRateOnValue/12))</f>
        <v/>
      </c>
      <c r="W69" s="218">
        <f>IF(19&lt;StabMonth,0,IF(TaxMethodValue&gt;=1,StaticTaxYear1/12,MAX(0,W$68*12)/EntryCapRate*EffTaxRateOnValue/12))</f>
        <v/>
      </c>
      <c r="X69" s="218">
        <f>IF(20&lt;StabMonth,0,IF(TaxMethodValue&gt;=1,StaticTaxYear1/12,MAX(0,X$68*12)/EntryCapRate*EffTaxRateOnValue/12))</f>
        <v/>
      </c>
      <c r="Y69" s="218">
        <f>IF(21&lt;StabMonth,0,IF(TaxMethodValue&gt;=1,StaticTaxYear1/12,MAX(0,Y$68*12)/EntryCapRate*EffTaxRateOnValue/12))</f>
        <v/>
      </c>
      <c r="Z69" s="218">
        <f>IF(22&lt;StabMonth,0,IF(TaxMethodValue&gt;=1,StaticTaxYear1/12,MAX(0,Z$68*12)/EntryCapRate*EffTaxRateOnValue/12))</f>
        <v/>
      </c>
      <c r="AA69" s="218">
        <f>IF(23&lt;StabMonth,0,IF(TaxMethodValue&gt;=1,StaticTaxYear1/12,MAX(0,AA$68*12)/EntryCapRate*EffTaxRateOnValue/12))</f>
        <v/>
      </c>
      <c r="AB69" s="218">
        <f>IF(24&lt;StabMonth,0,IF(TaxMethodValue&gt;=1,StaticTaxYear1/12,MAX(0,AB$68*12)/EntryCapRate*EffTaxRateOnValue/12))</f>
        <v/>
      </c>
      <c r="AC69" s="218">
        <f>IF(25&lt;StabMonth,0,IF(TaxMethodValue&gt;=1,StaticTaxYear1/12,MAX(0,AC$68*12)/EntryCapRate*EffTaxRateOnValue/12))</f>
        <v/>
      </c>
      <c r="AD69" s="218">
        <f>IF(26&lt;StabMonth,0,IF(TaxMethodValue&gt;=1,StaticTaxYear1/12,MAX(0,AD$68*12)/EntryCapRate*EffTaxRateOnValue/12))</f>
        <v/>
      </c>
      <c r="AE69" s="218">
        <f>IF(27&lt;StabMonth,0,IF(TaxMethodValue&gt;=1,StaticTaxYear1/12,MAX(0,AE$68*12)/EntryCapRate*EffTaxRateOnValue/12))</f>
        <v/>
      </c>
      <c r="AF69" s="218">
        <f>IF(28&lt;StabMonth,0,IF(TaxMethodValue&gt;=1,StaticTaxYear1/12,MAX(0,AF$68*12)/EntryCapRate*EffTaxRateOnValue/12))</f>
        <v/>
      </c>
      <c r="AG69" s="218">
        <f>IF(29&lt;StabMonth,0,IF(TaxMethodValue&gt;=1,StaticTaxYear1/12,MAX(0,AG$68*12)/EntryCapRate*EffTaxRateOnValue/12))</f>
        <v/>
      </c>
      <c r="AH69" s="218">
        <f>IF(30&lt;StabMonth,0,IF(TaxMethodValue&gt;=1,StaticTaxYear1/12,MAX(0,AH$68*12)/EntryCapRate*EffTaxRateOnValue/12))</f>
        <v/>
      </c>
      <c r="AI69" s="218">
        <f>IF(31&lt;StabMonth,0,IF(TaxMethodValue&gt;=1,StaticTaxYear1/12,MAX(0,AI$68*12)/EntryCapRate*EffTaxRateOnValue/12))</f>
        <v/>
      </c>
      <c r="AJ69" s="218">
        <f>IF(32&lt;StabMonth,0,IF(TaxMethodValue&gt;=1,StaticTaxYear1/12,MAX(0,AJ$68*12)/EntryCapRate*EffTaxRateOnValue/12))</f>
        <v/>
      </c>
      <c r="AK69" s="218">
        <f>IF(33&lt;StabMonth,0,IF(TaxMethodValue&gt;=1,StaticTaxYear1/12,MAX(0,AK$68*12)/EntryCapRate*EffTaxRateOnValue/12))</f>
        <v/>
      </c>
      <c r="AL69" s="218">
        <f>IF(34&lt;StabMonth,0,IF(TaxMethodValue&gt;=1,StaticTaxYear1/12,MAX(0,AL$68*12)/EntryCapRate*EffTaxRateOnValue/12))</f>
        <v/>
      </c>
      <c r="AM69" s="218">
        <f>IF(35&lt;StabMonth,0,IF(TaxMethodValue&gt;=1,StaticTaxYear1/12,MAX(0,AM$68*12)/EntryCapRate*EffTaxRateOnValue/12))</f>
        <v/>
      </c>
      <c r="AN69" s="218">
        <f>IF(36&lt;StabMonth,0,IF(TaxMethodValue&gt;=1,StaticTaxYear1/12,MAX(0,AN$68*12)/EntryCapRate*EffTaxRateOnValue/12))</f>
        <v/>
      </c>
      <c r="AO69" s="218">
        <f>IF(37&lt;StabMonth,0,IF(TaxMethodValue&gt;=1,StaticTaxYear1/12,MAX(0,AO$68*12)/EntryCapRate*EffTaxRateOnValue/12))</f>
        <v/>
      </c>
      <c r="AP69" s="218">
        <f>IF(38&lt;StabMonth,0,IF(TaxMethodValue&gt;=1,StaticTaxYear1/12,MAX(0,AP$68*12)/EntryCapRate*EffTaxRateOnValue/12))</f>
        <v/>
      </c>
      <c r="AQ69" s="218">
        <f>IF(39&lt;StabMonth,0,IF(TaxMethodValue&gt;=1,StaticTaxYear1/12,MAX(0,AQ$68*12)/EntryCapRate*EffTaxRateOnValue/12))</f>
        <v/>
      </c>
      <c r="AR69" s="218">
        <f>IF(40&lt;StabMonth,0,IF(TaxMethodValue&gt;=1,StaticTaxYear1/12,MAX(0,AR$68*12)/EntryCapRate*EffTaxRateOnValue/12))</f>
        <v/>
      </c>
      <c r="AS69" s="218">
        <f>IF(41&lt;StabMonth,0,IF(TaxMethodValue&gt;=1,StaticTaxYear1/12,MAX(0,AS$68*12)/EntryCapRate*EffTaxRateOnValue/12))</f>
        <v/>
      </c>
      <c r="AT69" s="218">
        <f>IF(42&lt;StabMonth,0,IF(TaxMethodValue&gt;=1,StaticTaxYear1/12,MAX(0,AT$68*12)/EntryCapRate*EffTaxRateOnValue/12))</f>
        <v/>
      </c>
      <c r="AU69" s="218">
        <f>IF(43&lt;StabMonth,0,IF(TaxMethodValue&gt;=1,StaticTaxYear1/12,MAX(0,AU$68*12)/EntryCapRate*EffTaxRateOnValue/12))</f>
        <v/>
      </c>
      <c r="AV69" s="218">
        <f>IF(44&lt;StabMonth,0,IF(TaxMethodValue&gt;=1,StaticTaxYear1/12,MAX(0,AV$68*12)/EntryCapRate*EffTaxRateOnValue/12))</f>
        <v/>
      </c>
      <c r="AW69" s="218">
        <f>IF(45&lt;StabMonth,0,IF(TaxMethodValue&gt;=1,StaticTaxYear1/12,MAX(0,AW$68*12)/EntryCapRate*EffTaxRateOnValue/12))</f>
        <v/>
      </c>
      <c r="AX69" s="218">
        <f>IF(46&lt;StabMonth,0,IF(TaxMethodValue&gt;=1,StaticTaxYear1/12,MAX(0,AX$68*12)/EntryCapRate*EffTaxRateOnValue/12))</f>
        <v/>
      </c>
      <c r="AY69" s="218">
        <f>IF(47&lt;StabMonth,0,IF(TaxMethodValue&gt;=1,StaticTaxYear1/12,MAX(0,AY$68*12)/EntryCapRate*EffTaxRateOnValue/12))</f>
        <v/>
      </c>
      <c r="AZ69" s="218">
        <f>IF(48&lt;StabMonth,0,IF(TaxMethodValue&gt;=1,StaticTaxYear1/12,MAX(0,AZ$68*12)/EntryCapRate*EffTaxRateOnValue/12))</f>
        <v/>
      </c>
      <c r="BA69" s="218">
        <f>IF(49&lt;StabMonth,0,IF(TaxMethodValue&gt;=1,StaticTaxYear1/12,MAX(0,BA$68*12)/EntryCapRate*EffTaxRateOnValue/12))</f>
        <v/>
      </c>
      <c r="BB69" s="218">
        <f>IF(50&lt;StabMonth,0,IF(TaxMethodValue&gt;=1,StaticTaxYear1/12,MAX(0,BB$68*12)/EntryCapRate*EffTaxRateOnValue/12))</f>
        <v/>
      </c>
      <c r="BC69" s="218">
        <f>IF(51&lt;StabMonth,0,IF(TaxMethodValue&gt;=1,StaticTaxYear1/12,MAX(0,BC$68*12)/EntryCapRate*EffTaxRateOnValue/12))</f>
        <v/>
      </c>
      <c r="BD69" s="218">
        <f>IF(52&lt;StabMonth,0,IF(TaxMethodValue&gt;=1,StaticTaxYear1/12,MAX(0,BD$68*12)/EntryCapRate*EffTaxRateOnValue/12))</f>
        <v/>
      </c>
      <c r="BE69" s="218">
        <f>IF(53&lt;StabMonth,0,IF(TaxMethodValue&gt;=1,StaticTaxYear1/12,MAX(0,BE$68*12)/EntryCapRate*EffTaxRateOnValue/12))</f>
        <v/>
      </c>
      <c r="BF69" s="218">
        <f>IF(54&lt;StabMonth,0,IF(TaxMethodValue&gt;=1,StaticTaxYear1/12,MAX(0,BF$68*12)/EntryCapRate*EffTaxRateOnValue/12))</f>
        <v/>
      </c>
      <c r="BG69" s="218">
        <f>IF(55&lt;StabMonth,0,IF(TaxMethodValue&gt;=1,StaticTaxYear1/12,MAX(0,BG$68*12)/EntryCapRate*EffTaxRateOnValue/12))</f>
        <v/>
      </c>
      <c r="BH69" s="218">
        <f>IF(56&lt;StabMonth,0,IF(TaxMethodValue&gt;=1,StaticTaxYear1/12,MAX(0,BH$68*12)/EntryCapRate*EffTaxRateOnValue/12))</f>
        <v/>
      </c>
      <c r="BI69" s="218">
        <f>IF(57&lt;StabMonth,0,IF(TaxMethodValue&gt;=1,StaticTaxYear1/12,MAX(0,BI$68*12)/EntryCapRate*EffTaxRateOnValue/12))</f>
        <v/>
      </c>
      <c r="BJ69" s="218">
        <f>IF(58&lt;StabMonth,0,IF(TaxMethodValue&gt;=1,StaticTaxYear1/12,MAX(0,BJ$68*12)/EntryCapRate*EffTaxRateOnValue/12))</f>
        <v/>
      </c>
      <c r="BK69" s="218">
        <f>IF(59&lt;StabMonth,0,IF(TaxMethodValue&gt;=1,StaticTaxYear1/12,MAX(0,BK$68*12)/EntryCapRate*EffTaxRateOnValue/12))</f>
        <v/>
      </c>
      <c r="BL69" s="218">
        <f>IF(60&lt;StabMonth,0,IF(TaxMethodValue&gt;=1,StaticTaxYear1/12,MAX(0,BL$68*12)/EntryCapRate*EffTaxRateOnValue/12))</f>
        <v/>
      </c>
      <c r="BM69" s="218">
        <f>IF(61&lt;StabMonth,0,IF(TaxMethodValue&gt;=1,StaticTaxYear1/12,MAX(0,BM$68*12)/EntryCapRate*EffTaxRateOnValue/12))</f>
        <v/>
      </c>
      <c r="BN69" s="218">
        <f>IF(62&lt;StabMonth,0,IF(TaxMethodValue&gt;=1,StaticTaxYear1/12,MAX(0,BN$68*12)/EntryCapRate*EffTaxRateOnValue/12))</f>
        <v/>
      </c>
      <c r="BO69" s="218">
        <f>IF(63&lt;StabMonth,0,IF(TaxMethodValue&gt;=1,StaticTaxYear1/12,MAX(0,BO$68*12)/EntryCapRate*EffTaxRateOnValue/12))</f>
        <v/>
      </c>
      <c r="BP69" s="218">
        <f>IF(64&lt;StabMonth,0,IF(TaxMethodValue&gt;=1,StaticTaxYear1/12,MAX(0,BP$68*12)/EntryCapRate*EffTaxRateOnValue/12))</f>
        <v/>
      </c>
      <c r="BQ69" s="218">
        <f>IF(65&lt;StabMonth,0,IF(TaxMethodValue&gt;=1,StaticTaxYear1/12,MAX(0,BQ$68*12)/EntryCapRate*EffTaxRateOnValue/12))</f>
        <v/>
      </c>
      <c r="BR69" s="218">
        <f>IF(66&lt;StabMonth,0,IF(TaxMethodValue&gt;=1,StaticTaxYear1/12,MAX(0,BR$68*12)/EntryCapRate*EffTaxRateOnValue/12))</f>
        <v/>
      </c>
      <c r="BS69" s="218">
        <f>IF(67&lt;StabMonth,0,IF(TaxMethodValue&gt;=1,StaticTaxYear1/12,MAX(0,BS$68*12)/EntryCapRate*EffTaxRateOnValue/12))</f>
        <v/>
      </c>
      <c r="BT69" s="218">
        <f>IF(68&lt;StabMonth,0,IF(TaxMethodValue&gt;=1,StaticTaxYear1/12,MAX(0,BT$68*12)/EntryCapRate*EffTaxRateOnValue/12))</f>
        <v/>
      </c>
      <c r="BU69" s="218">
        <f>IF(69&lt;StabMonth,0,IF(TaxMethodValue&gt;=1,StaticTaxYear1/12,MAX(0,BU$68*12)/EntryCapRate*EffTaxRateOnValue/12))</f>
        <v/>
      </c>
      <c r="BV69" s="218">
        <f>IF(70&lt;StabMonth,0,IF(TaxMethodValue&gt;=1,StaticTaxYear1/12,MAX(0,BV$68*12)/EntryCapRate*EffTaxRateOnValue/12))</f>
        <v/>
      </c>
      <c r="BW69" s="218">
        <f>IF(71&lt;StabMonth,0,IF(TaxMethodValue&gt;=1,StaticTaxYear1/12,MAX(0,BW$68*12)/EntryCapRate*EffTaxRateOnValue/12))</f>
        <v/>
      </c>
      <c r="BX69" s="218">
        <f>IF(72&lt;StabMonth,0,IF(TaxMethodValue&gt;=1,StaticTaxYear1/12,MAX(0,BX$68*12)/EntryCapRate*EffTaxRateOnValue/12))</f>
        <v/>
      </c>
      <c r="BY69" s="218">
        <f>IF(73&lt;StabMonth,0,IF(TaxMethodValue&gt;=1,StaticTaxYear1/12,MAX(0,BY$68*12)/EntryCapRate*EffTaxRateOnValue/12))</f>
        <v/>
      </c>
      <c r="BZ69" s="218">
        <f>IF(74&lt;StabMonth,0,IF(TaxMethodValue&gt;=1,StaticTaxYear1/12,MAX(0,BZ$68*12)/EntryCapRate*EffTaxRateOnValue/12))</f>
        <v/>
      </c>
      <c r="CA69" s="218">
        <f>IF(75&lt;StabMonth,0,IF(TaxMethodValue&gt;=1,StaticTaxYear1/12,MAX(0,CA$68*12)/EntryCapRate*EffTaxRateOnValue/12))</f>
        <v/>
      </c>
      <c r="CB69" s="218">
        <f>IF(76&lt;StabMonth,0,IF(TaxMethodValue&gt;=1,StaticTaxYear1/12,MAX(0,CB$68*12)/EntryCapRate*EffTaxRateOnValue/12))</f>
        <v/>
      </c>
      <c r="CC69" s="218">
        <f>IF(77&lt;StabMonth,0,IF(TaxMethodValue&gt;=1,StaticTaxYear1/12,MAX(0,CC$68*12)/EntryCapRate*EffTaxRateOnValue/12))</f>
        <v/>
      </c>
      <c r="CD69" s="218">
        <f>IF(78&lt;StabMonth,0,IF(TaxMethodValue&gt;=1,StaticTaxYear1/12,MAX(0,CD$68*12)/EntryCapRate*EffTaxRateOnValue/12))</f>
        <v/>
      </c>
      <c r="CE69" s="218">
        <f>IF(79&lt;StabMonth,0,IF(TaxMethodValue&gt;=1,StaticTaxYear1/12,MAX(0,CE$68*12)/EntryCapRate*EffTaxRateOnValue/12))</f>
        <v/>
      </c>
      <c r="CF69" s="218">
        <f>IF(80&lt;StabMonth,0,IF(TaxMethodValue&gt;=1,StaticTaxYear1/12,MAX(0,CF$68*12)/EntryCapRate*EffTaxRateOnValue/12))</f>
        <v/>
      </c>
      <c r="CG69" s="218">
        <f>IF(81&lt;StabMonth,0,IF(TaxMethodValue&gt;=1,StaticTaxYear1/12,MAX(0,CG$68*12)/EntryCapRate*EffTaxRateOnValue/12))</f>
        <v/>
      </c>
      <c r="CH69" s="218">
        <f>IF(82&lt;StabMonth,0,IF(TaxMethodValue&gt;=1,StaticTaxYear1/12,MAX(0,CH$68*12)/EntryCapRate*EffTaxRateOnValue/12))</f>
        <v/>
      </c>
      <c r="CI69" s="218">
        <f>IF(83&lt;StabMonth,0,IF(TaxMethodValue&gt;=1,StaticTaxYear1/12,MAX(0,CI$68*12)/EntryCapRate*EffTaxRateOnValue/12))</f>
        <v/>
      </c>
      <c r="CJ69" s="218">
        <f>IF(84&lt;StabMonth,0,IF(TaxMethodValue&gt;=1,StaticTaxYear1/12,MAX(0,CJ$68*12)/EntryCapRate*EffTaxRateOnValue/12))</f>
        <v/>
      </c>
      <c r="CK69" s="218">
        <f>IF(85&lt;StabMonth,0,IF(TaxMethodValue&gt;=1,StaticTaxYear1/12,MAX(0,CK$68*12)/EntryCapRate*EffTaxRateOnValue/12))</f>
        <v/>
      </c>
      <c r="CL69" s="218">
        <f>IF(86&lt;StabMonth,0,IF(TaxMethodValue&gt;=1,StaticTaxYear1/12,MAX(0,CL$68*12)/EntryCapRate*EffTaxRateOnValue/12))</f>
        <v/>
      </c>
      <c r="CM69" s="218">
        <f>IF(87&lt;StabMonth,0,IF(TaxMethodValue&gt;=1,StaticTaxYear1/12,MAX(0,CM$68*12)/EntryCapRate*EffTaxRateOnValue/12))</f>
        <v/>
      </c>
      <c r="CN69" s="218">
        <f>IF(88&lt;StabMonth,0,IF(TaxMethodValue&gt;=1,StaticTaxYear1/12,MAX(0,CN$68*12)/EntryCapRate*EffTaxRateOnValue/12))</f>
        <v/>
      </c>
      <c r="CO69" s="218">
        <f>IF(89&lt;StabMonth,0,IF(TaxMethodValue&gt;=1,StaticTaxYear1/12,MAX(0,CO$68*12)/EntryCapRate*EffTaxRateOnValue/12))</f>
        <v/>
      </c>
      <c r="CP69" s="218">
        <f>IF(90&lt;StabMonth,0,IF(TaxMethodValue&gt;=1,StaticTaxYear1/12,MAX(0,CP$68*12)/EntryCapRate*EffTaxRateOnValue/12))</f>
        <v/>
      </c>
      <c r="CQ69" s="218">
        <f>IF(91&lt;StabMonth,0,IF(TaxMethodValue&gt;=1,StaticTaxYear1/12,MAX(0,CQ$68*12)/EntryCapRate*EffTaxRateOnValue/12))</f>
        <v/>
      </c>
      <c r="CR69" s="218">
        <f>IF(92&lt;StabMonth,0,IF(TaxMethodValue&gt;=1,StaticTaxYear1/12,MAX(0,CR$68*12)/EntryCapRate*EffTaxRateOnValue/12))</f>
        <v/>
      </c>
      <c r="CS69" s="218">
        <f>IF(93&lt;StabMonth,0,IF(TaxMethodValue&gt;=1,StaticTaxYear1/12,MAX(0,CS$68*12)/EntryCapRate*EffTaxRateOnValue/12))</f>
        <v/>
      </c>
      <c r="CT69" s="218">
        <f>IF(94&lt;StabMonth,0,IF(TaxMethodValue&gt;=1,StaticTaxYear1/12,MAX(0,CT$68*12)/EntryCapRate*EffTaxRateOnValue/12))</f>
        <v/>
      </c>
      <c r="CU69" s="218">
        <f>IF(95&lt;StabMonth,0,IF(TaxMethodValue&gt;=1,StaticTaxYear1/12,MAX(0,CU$68*12)/EntryCapRate*EffTaxRateOnValue/12))</f>
        <v/>
      </c>
      <c r="CV69" s="218">
        <f>IF(96&lt;StabMonth,0,IF(TaxMethodValue&gt;=1,StaticTaxYear1/12,MAX(0,CV$68*12)/EntryCapRate*EffTaxRateOnValue/12))</f>
        <v/>
      </c>
      <c r="CW69" s="218">
        <f>IF(97&lt;StabMonth,0,IF(TaxMethodValue&gt;=1,StaticTaxYear1/12,MAX(0,CW$68*12)/EntryCapRate*EffTaxRateOnValue/12))</f>
        <v/>
      </c>
      <c r="CX69" s="218">
        <f>IF(98&lt;StabMonth,0,IF(TaxMethodValue&gt;=1,StaticTaxYear1/12,MAX(0,CX$68*12)/EntryCapRate*EffTaxRateOnValue/12))</f>
        <v/>
      </c>
      <c r="CY69" s="218">
        <f>IF(99&lt;StabMonth,0,IF(TaxMethodValue&gt;=1,StaticTaxYear1/12,MAX(0,CY$68*12)/EntryCapRate*EffTaxRateOnValue/12))</f>
        <v/>
      </c>
      <c r="CZ69" s="218">
        <f>IF(100&lt;StabMonth,0,IF(TaxMethodValue&gt;=1,StaticTaxYear1/12,MAX(0,CZ$68*12)/EntryCapRate*EffTaxRateOnValue/12))</f>
        <v/>
      </c>
      <c r="DA69" s="218">
        <f>IF(101&lt;StabMonth,0,IF(TaxMethodValue&gt;=1,StaticTaxYear1/12,MAX(0,DA$68*12)/EntryCapRate*EffTaxRateOnValue/12))</f>
        <v/>
      </c>
      <c r="DB69" s="218">
        <f>IF(102&lt;StabMonth,0,IF(TaxMethodValue&gt;=1,StaticTaxYear1/12,MAX(0,DB$68*12)/EntryCapRate*EffTaxRateOnValue/12))</f>
        <v/>
      </c>
      <c r="DC69" s="218">
        <f>IF(103&lt;StabMonth,0,IF(TaxMethodValue&gt;=1,StaticTaxYear1/12,MAX(0,DC$68*12)/EntryCapRate*EffTaxRateOnValue/12))</f>
        <v/>
      </c>
      <c r="DD69" s="218">
        <f>IF(104&lt;StabMonth,0,IF(TaxMethodValue&gt;=1,StaticTaxYear1/12,MAX(0,DD$68*12)/EntryCapRate*EffTaxRateOnValue/12))</f>
        <v/>
      </c>
      <c r="DE69" s="218">
        <f>IF(105&lt;StabMonth,0,IF(TaxMethodValue&gt;=1,StaticTaxYear1/12,MAX(0,DE$68*12)/EntryCapRate*EffTaxRateOnValue/12))</f>
        <v/>
      </c>
      <c r="DF69" s="218">
        <f>IF(106&lt;StabMonth,0,IF(TaxMethodValue&gt;=1,StaticTaxYear1/12,MAX(0,DF$68*12)/EntryCapRate*EffTaxRateOnValue/12))</f>
        <v/>
      </c>
      <c r="DG69" s="218">
        <f>IF(107&lt;StabMonth,0,IF(TaxMethodValue&gt;=1,StaticTaxYear1/12,MAX(0,DG$68*12)/EntryCapRate*EffTaxRateOnValue/12))</f>
        <v/>
      </c>
      <c r="DH69" s="218">
        <f>IF(108&lt;StabMonth,0,IF(TaxMethodValue&gt;=1,StaticTaxYear1/12,MAX(0,DH$68*12)/EntryCapRate*EffTaxRateOnValue/12))</f>
        <v/>
      </c>
      <c r="DI69" s="218">
        <f>IF(109&lt;StabMonth,0,IF(TaxMethodValue&gt;=1,StaticTaxYear1/12,MAX(0,DI$68*12)/EntryCapRate*EffTaxRateOnValue/12))</f>
        <v/>
      </c>
      <c r="DJ69" s="218">
        <f>IF(110&lt;StabMonth,0,IF(TaxMethodValue&gt;=1,StaticTaxYear1/12,MAX(0,DJ$68*12)/EntryCapRate*EffTaxRateOnValue/12))</f>
        <v/>
      </c>
      <c r="DK69" s="218">
        <f>IF(111&lt;StabMonth,0,IF(TaxMethodValue&gt;=1,StaticTaxYear1/12,MAX(0,DK$68*12)/EntryCapRate*EffTaxRateOnValue/12))</f>
        <v/>
      </c>
      <c r="DL69" s="218">
        <f>IF(112&lt;StabMonth,0,IF(TaxMethodValue&gt;=1,StaticTaxYear1/12,MAX(0,DL$68*12)/EntryCapRate*EffTaxRateOnValue/12))</f>
        <v/>
      </c>
      <c r="DM69" s="218">
        <f>IF(113&lt;StabMonth,0,IF(TaxMethodValue&gt;=1,StaticTaxYear1/12,MAX(0,DM$68*12)/EntryCapRate*EffTaxRateOnValue/12))</f>
        <v/>
      </c>
      <c r="DN69" s="218">
        <f>IF(114&lt;StabMonth,0,IF(TaxMethodValue&gt;=1,StaticTaxYear1/12,MAX(0,DN$68*12)/EntryCapRate*EffTaxRateOnValue/12))</f>
        <v/>
      </c>
      <c r="DO69" s="218">
        <f>IF(115&lt;StabMonth,0,IF(TaxMethodValue&gt;=1,StaticTaxYear1/12,MAX(0,DO$68*12)/EntryCapRate*EffTaxRateOnValue/12))</f>
        <v/>
      </c>
      <c r="DP69" s="218">
        <f>IF(116&lt;StabMonth,0,IF(TaxMethodValue&gt;=1,StaticTaxYear1/12,MAX(0,DP$68*12)/EntryCapRate*EffTaxRateOnValue/12))</f>
        <v/>
      </c>
      <c r="DQ69" s="218">
        <f>IF(117&lt;StabMonth,0,IF(TaxMethodValue&gt;=1,StaticTaxYear1/12,MAX(0,DQ$68*12)/EntryCapRate*EffTaxRateOnValue/12))</f>
        <v/>
      </c>
      <c r="DR69" s="218">
        <f>IF(118&lt;StabMonth,0,IF(TaxMethodValue&gt;=1,StaticTaxYear1/12,MAX(0,DR$68*12)/EntryCapRate*EffTaxRateOnValue/12))</f>
        <v/>
      </c>
      <c r="DS69" s="218">
        <f>IF(119&lt;StabMonth,0,IF(TaxMethodValue&gt;=1,StaticTaxYear1/12,MAX(0,DS$68*12)/EntryCapRate*EffTaxRateOnValue/12))</f>
        <v/>
      </c>
      <c r="DT69" s="218">
        <f>IF(120&lt;StabMonth,0,IF(TaxMethodValue&gt;=1,StaticTaxYear1/12,MAX(0,DT$68*12)/EntryCapRate*EffTaxRateOnValue/12))</f>
        <v/>
      </c>
      <c r="DU69" s="218">
        <f>IF(121&lt;StabMonth,0,IF(TaxMethodValue&gt;=1,StaticTaxYear1/12,MAX(0,DU$68*12)/EntryCapRate*EffTaxRateOnValue/12))</f>
        <v/>
      </c>
      <c r="DV69" s="218">
        <f>IF(122&lt;StabMonth,0,IF(TaxMethodValue&gt;=1,StaticTaxYear1/12,MAX(0,DV$68*12)/EntryCapRate*EffTaxRateOnValue/12))</f>
        <v/>
      </c>
      <c r="DW69" s="218">
        <f>IF(123&lt;StabMonth,0,IF(TaxMethodValue&gt;=1,StaticTaxYear1/12,MAX(0,DW$68*12)/EntryCapRate*EffTaxRateOnValue/12))</f>
        <v/>
      </c>
      <c r="DX69" s="218">
        <f>IF(124&lt;StabMonth,0,IF(TaxMethodValue&gt;=1,StaticTaxYear1/12,MAX(0,DX$68*12)/EntryCapRate*EffTaxRateOnValue/12))</f>
        <v/>
      </c>
      <c r="DY69" s="218">
        <f>IF(125&lt;StabMonth,0,IF(TaxMethodValue&gt;=1,StaticTaxYear1/12,MAX(0,DY$68*12)/EntryCapRate*EffTaxRateOnValue/12))</f>
        <v/>
      </c>
      <c r="DZ69" s="218">
        <f>IF(126&lt;StabMonth,0,IF(TaxMethodValue&gt;=1,StaticTaxYear1/12,MAX(0,DZ$68*12)/EntryCapRate*EffTaxRateOnValue/12))</f>
        <v/>
      </c>
      <c r="EA69" s="218">
        <f>IF(127&lt;StabMonth,0,IF(TaxMethodValue&gt;=1,StaticTaxYear1/12,MAX(0,EA$68*12)/EntryCapRate*EffTaxRateOnValue/12))</f>
        <v/>
      </c>
      <c r="EB69" s="218">
        <f>IF(128&lt;StabMonth,0,IF(TaxMethodValue&gt;=1,StaticTaxYear1/12,MAX(0,EB$68*12)/EntryCapRate*EffTaxRateOnValue/12))</f>
        <v/>
      </c>
      <c r="EC69" s="218">
        <f>IF(129&lt;StabMonth,0,IF(TaxMethodValue&gt;=1,StaticTaxYear1/12,MAX(0,EC$68*12)/EntryCapRate*EffTaxRateOnValue/12))</f>
        <v/>
      </c>
      <c r="ED69" s="218">
        <f>IF(130&lt;StabMonth,0,IF(TaxMethodValue&gt;=1,StaticTaxYear1/12,MAX(0,ED$68*12)/EntryCapRate*EffTaxRateOnValue/12))</f>
        <v/>
      </c>
      <c r="EE69" s="218">
        <f>IF(131&lt;StabMonth,0,IF(TaxMethodValue&gt;=1,StaticTaxYear1/12,MAX(0,EE$68*12)/EntryCapRate*EffTaxRateOnValue/12))</f>
        <v/>
      </c>
      <c r="EF69" s="218">
        <f>IF(132&lt;StabMonth,0,IF(TaxMethodValue&gt;=1,StaticTaxYear1/12,MAX(0,EF$68*12)/EntryCapRate*EffTaxRateOnValue/12))</f>
        <v/>
      </c>
      <c r="EG69" s="218">
        <f>IF(133&lt;StabMonth,0,IF(TaxMethodValue&gt;=1,StaticTaxYear1/12,MAX(0,EG$68*12)/EntryCapRate*EffTaxRateOnValue/12))</f>
        <v/>
      </c>
      <c r="EH69" s="218">
        <f>IF(134&lt;StabMonth,0,IF(TaxMethodValue&gt;=1,StaticTaxYear1/12,MAX(0,EH$68*12)/EntryCapRate*EffTaxRateOnValue/12))</f>
        <v/>
      </c>
      <c r="EI69" s="218">
        <f>IF(135&lt;StabMonth,0,IF(TaxMethodValue&gt;=1,StaticTaxYear1/12,MAX(0,EI$68*12)/EntryCapRate*EffTaxRateOnValue/12))</f>
        <v/>
      </c>
      <c r="EJ69" s="218">
        <f>IF(136&lt;StabMonth,0,IF(TaxMethodValue&gt;=1,StaticTaxYear1/12,MAX(0,EJ$68*12)/EntryCapRate*EffTaxRateOnValue/12))</f>
        <v/>
      </c>
      <c r="EK69" s="218">
        <f>IF(137&lt;StabMonth,0,IF(TaxMethodValue&gt;=1,StaticTaxYear1/12,MAX(0,EK$68*12)/EntryCapRate*EffTaxRateOnValue/12))</f>
        <v/>
      </c>
      <c r="EL69" s="218">
        <f>IF(138&lt;StabMonth,0,IF(TaxMethodValue&gt;=1,StaticTaxYear1/12,MAX(0,EL$68*12)/EntryCapRate*EffTaxRateOnValue/12))</f>
        <v/>
      </c>
      <c r="EM69" s="218">
        <f>IF(139&lt;StabMonth,0,IF(TaxMethodValue&gt;=1,StaticTaxYear1/12,MAX(0,EM$68*12)/EntryCapRate*EffTaxRateOnValue/12))</f>
        <v/>
      </c>
      <c r="EN69" s="218">
        <f>IF(140&lt;StabMonth,0,IF(TaxMethodValue&gt;=1,StaticTaxYear1/12,MAX(0,EN$68*12)/EntryCapRate*EffTaxRateOnValue/12))</f>
        <v/>
      </c>
      <c r="EO69" s="218">
        <f>IF(141&lt;StabMonth,0,IF(TaxMethodValue&gt;=1,StaticTaxYear1/12,MAX(0,EO$68*12)/EntryCapRate*EffTaxRateOnValue/12))</f>
        <v/>
      </c>
      <c r="EP69" s="218">
        <f>IF(142&lt;StabMonth,0,IF(TaxMethodValue&gt;=1,StaticTaxYear1/12,MAX(0,EP$68*12)/EntryCapRate*EffTaxRateOnValue/12))</f>
        <v/>
      </c>
      <c r="EQ69" s="218">
        <f>IF(143&lt;StabMonth,0,IF(TaxMethodValue&gt;=1,StaticTaxYear1/12,MAX(0,EQ$68*12)/EntryCapRate*EffTaxRateOnValue/12))</f>
        <v/>
      </c>
      <c r="ER69" s="218">
        <f>IF(144&lt;StabMonth,0,IF(TaxMethodValue&gt;=1,StaticTaxYear1/12,MAX(0,ER$68*12)/EntryCapRate*EffTaxRateOnValue/12))</f>
        <v/>
      </c>
      <c r="ES69" s="218">
        <f>IF(145&lt;StabMonth,0,IF(TaxMethodValue&gt;=1,StaticTaxYear1/12,MAX(0,ES$68*12)/EntryCapRate*EffTaxRateOnValue/12))</f>
        <v/>
      </c>
      <c r="ET69" s="218">
        <f>IF(146&lt;StabMonth,0,IF(TaxMethodValue&gt;=1,StaticTaxYear1/12,MAX(0,ET$68*12)/EntryCapRate*EffTaxRateOnValue/12))</f>
        <v/>
      </c>
      <c r="EU69" s="218">
        <f>IF(147&lt;StabMonth,0,IF(TaxMethodValue&gt;=1,StaticTaxYear1/12,MAX(0,EU$68*12)/EntryCapRate*EffTaxRateOnValue/12))</f>
        <v/>
      </c>
      <c r="EV69" s="218">
        <f>IF(148&lt;StabMonth,0,IF(TaxMethodValue&gt;=1,StaticTaxYear1/12,MAX(0,EV$68*12)/EntryCapRate*EffTaxRateOnValue/12))</f>
        <v/>
      </c>
      <c r="EW69" s="218">
        <f>IF(149&lt;StabMonth,0,IF(TaxMethodValue&gt;=1,StaticTaxYear1/12,MAX(0,EW$68*12)/EntryCapRate*EffTaxRateOnValue/12))</f>
        <v/>
      </c>
      <c r="EX69" s="218">
        <f>IF(150&lt;StabMonth,0,IF(TaxMethodValue&gt;=1,StaticTaxYear1/12,MAX(0,EX$68*12)/EntryCapRate*EffTaxRateOnValue/12))</f>
        <v/>
      </c>
      <c r="EY69" s="218">
        <f>IF(151&lt;StabMonth,0,IF(TaxMethodValue&gt;=1,StaticTaxYear1/12,MAX(0,EY$68*12)/EntryCapRate*EffTaxRateOnValue/12))</f>
        <v/>
      </c>
      <c r="EZ69" s="218">
        <f>IF(152&lt;StabMonth,0,IF(TaxMethodValue&gt;=1,StaticTaxYear1/12,MAX(0,EZ$68*12)/EntryCapRate*EffTaxRateOnValue/12))</f>
        <v/>
      </c>
      <c r="FA69" s="218">
        <f>IF(153&lt;StabMonth,0,IF(TaxMethodValue&gt;=1,StaticTaxYear1/12,MAX(0,FA$68*12)/EntryCapRate*EffTaxRateOnValue/12))</f>
        <v/>
      </c>
      <c r="FB69" s="218">
        <f>IF(154&lt;StabMonth,0,IF(TaxMethodValue&gt;=1,StaticTaxYear1/12,MAX(0,FB$68*12)/EntryCapRate*EffTaxRateOnValue/12))</f>
        <v/>
      </c>
      <c r="FC69" s="218">
        <f>IF(155&lt;StabMonth,0,IF(TaxMethodValue&gt;=1,StaticTaxYear1/12,MAX(0,FC$68*12)/EntryCapRate*EffTaxRateOnValue/12))</f>
        <v/>
      </c>
      <c r="FD69" s="218">
        <f>IF(156&lt;StabMonth,0,IF(TaxMethodValue&gt;=1,StaticTaxYear1/12,MAX(0,FD$68*12)/EntryCapRate*EffTaxRateOnValue/12))</f>
        <v/>
      </c>
      <c r="FE69" s="218">
        <f>IF(157&lt;StabMonth,0,IF(TaxMethodValue&gt;=1,StaticTaxYear1/12,MAX(0,FE$68*12)/EntryCapRate*EffTaxRateOnValue/12))</f>
        <v/>
      </c>
      <c r="FF69" s="218">
        <f>IF(158&lt;StabMonth,0,IF(TaxMethodValue&gt;=1,StaticTaxYear1/12,MAX(0,FF$68*12)/EntryCapRate*EffTaxRateOnValue/12))</f>
        <v/>
      </c>
      <c r="FG69" s="218">
        <f>IF(159&lt;StabMonth,0,IF(TaxMethodValue&gt;=1,StaticTaxYear1/12,MAX(0,FG$68*12)/EntryCapRate*EffTaxRateOnValue/12))</f>
        <v/>
      </c>
      <c r="FH69" s="218">
        <f>IF(160&lt;StabMonth,0,IF(TaxMethodValue&gt;=1,StaticTaxYear1/12,MAX(0,FH$68*12)/EntryCapRate*EffTaxRateOnValue/12))</f>
        <v/>
      </c>
      <c r="FI69" s="218">
        <f>IF(161&lt;StabMonth,0,IF(TaxMethodValue&gt;=1,StaticTaxYear1/12,MAX(0,FI$68*12)/EntryCapRate*EffTaxRateOnValue/12))</f>
        <v/>
      </c>
      <c r="FJ69" s="218">
        <f>IF(162&lt;StabMonth,0,IF(TaxMethodValue&gt;=1,StaticTaxYear1/12,MAX(0,FJ$68*12)/EntryCapRate*EffTaxRateOnValue/12))</f>
        <v/>
      </c>
      <c r="FK69" s="218">
        <f>IF(163&lt;StabMonth,0,IF(TaxMethodValue&gt;=1,StaticTaxYear1/12,MAX(0,FK$68*12)/EntryCapRate*EffTaxRateOnValue/12))</f>
        <v/>
      </c>
      <c r="FL69" s="218">
        <f>IF(164&lt;StabMonth,0,IF(TaxMethodValue&gt;=1,StaticTaxYear1/12,MAX(0,FL$68*12)/EntryCapRate*EffTaxRateOnValue/12))</f>
        <v/>
      </c>
      <c r="FM69" s="218">
        <f>IF(165&lt;StabMonth,0,IF(TaxMethodValue&gt;=1,StaticTaxYear1/12,MAX(0,FM$68*12)/EntryCapRate*EffTaxRateOnValue/12))</f>
        <v/>
      </c>
      <c r="FN69" s="218">
        <f>IF(166&lt;StabMonth,0,IF(TaxMethodValue&gt;=1,StaticTaxYear1/12,MAX(0,FN$68*12)/EntryCapRate*EffTaxRateOnValue/12))</f>
        <v/>
      </c>
      <c r="FO69" s="218">
        <f>IF(167&lt;StabMonth,0,IF(TaxMethodValue&gt;=1,StaticTaxYear1/12,MAX(0,FO$68*12)/EntryCapRate*EffTaxRateOnValue/12))</f>
        <v/>
      </c>
      <c r="FP69" s="218">
        <f>IF(168&lt;StabMonth,0,IF(TaxMethodValue&gt;=1,StaticTaxYear1/12,MAX(0,FP$68*12)/EntryCapRate*EffTaxRateOnValue/12))</f>
        <v/>
      </c>
      <c r="FQ69" s="218">
        <f>IF(169&lt;StabMonth,0,IF(TaxMethodValue&gt;=1,StaticTaxYear1/12,MAX(0,FQ$68*12)/EntryCapRate*EffTaxRateOnValue/12))</f>
        <v/>
      </c>
      <c r="FR69" s="218">
        <f>IF(170&lt;StabMonth,0,IF(TaxMethodValue&gt;=1,StaticTaxYear1/12,MAX(0,FR$68*12)/EntryCapRate*EffTaxRateOnValue/12))</f>
        <v/>
      </c>
      <c r="FS69" s="218">
        <f>IF(171&lt;StabMonth,0,IF(TaxMethodValue&gt;=1,StaticTaxYear1/12,MAX(0,FS$68*12)/EntryCapRate*EffTaxRateOnValue/12))</f>
        <v/>
      </c>
      <c r="FT69" s="218">
        <f>IF(172&lt;StabMonth,0,IF(TaxMethodValue&gt;=1,StaticTaxYear1/12,MAX(0,FT$68*12)/EntryCapRate*EffTaxRateOnValue/12))</f>
        <v/>
      </c>
      <c r="FU69" s="218">
        <f>IF(173&lt;StabMonth,0,IF(TaxMethodValue&gt;=1,StaticTaxYear1/12,MAX(0,FU$68*12)/EntryCapRate*EffTaxRateOnValue/12))</f>
        <v/>
      </c>
      <c r="FV69" s="218">
        <f>IF(174&lt;StabMonth,0,IF(TaxMethodValue&gt;=1,StaticTaxYear1/12,MAX(0,FV$68*12)/EntryCapRate*EffTaxRateOnValue/12))</f>
        <v/>
      </c>
      <c r="FW69" s="218">
        <f>IF(175&lt;StabMonth,0,IF(TaxMethodValue&gt;=1,StaticTaxYear1/12,MAX(0,FW$68*12)/EntryCapRate*EffTaxRateOnValue/12))</f>
        <v/>
      </c>
      <c r="FX69" s="218">
        <f>IF(176&lt;StabMonth,0,IF(TaxMethodValue&gt;=1,StaticTaxYear1/12,MAX(0,FX$68*12)/EntryCapRate*EffTaxRateOnValue/12))</f>
        <v/>
      </c>
      <c r="FY69" s="218">
        <f>IF(177&lt;StabMonth,0,IF(TaxMethodValue&gt;=1,StaticTaxYear1/12,MAX(0,FY$68*12)/EntryCapRate*EffTaxRateOnValue/12))</f>
        <v/>
      </c>
      <c r="FZ69" s="218">
        <f>IF(178&lt;StabMonth,0,IF(TaxMethodValue&gt;=1,StaticTaxYear1/12,MAX(0,FZ$68*12)/EntryCapRate*EffTaxRateOnValue/12))</f>
        <v/>
      </c>
      <c r="GA69" s="218">
        <f>IF(179&lt;StabMonth,0,IF(TaxMethodValue&gt;=1,StaticTaxYear1/12,MAX(0,GA$68*12)/EntryCapRate*EffTaxRateOnValue/12))</f>
        <v/>
      </c>
      <c r="GB69" s="218">
        <f>IF(180&lt;StabMonth,0,IF(TaxMethodValue&gt;=1,StaticTaxYear1/12,MAX(0,GB$68*12)/EntryCapRate*EffTaxRateOnValue/12))</f>
        <v/>
      </c>
      <c r="GC69" s="218">
        <f>IF(181&lt;StabMonth,0,IF(TaxMethodValue&gt;=1,StaticTaxYear1/12,MAX(0,GC$68*12)/EntryCapRate*EffTaxRateOnValue/12))</f>
        <v/>
      </c>
      <c r="GD69" s="218">
        <f>IF(182&lt;StabMonth,0,IF(TaxMethodValue&gt;=1,StaticTaxYear1/12,MAX(0,GD$68*12)/EntryCapRate*EffTaxRateOnValue/12))</f>
        <v/>
      </c>
      <c r="GE69" s="218">
        <f>IF(183&lt;StabMonth,0,IF(TaxMethodValue&gt;=1,StaticTaxYear1/12,MAX(0,GE$68*12)/EntryCapRate*EffTaxRateOnValue/12))</f>
        <v/>
      </c>
      <c r="GF69" s="218">
        <f>IF(184&lt;StabMonth,0,IF(TaxMethodValue&gt;=1,StaticTaxYear1/12,MAX(0,GF$68*12)/EntryCapRate*EffTaxRateOnValue/12))</f>
        <v/>
      </c>
      <c r="GG69" s="218">
        <f>IF(185&lt;StabMonth,0,IF(TaxMethodValue&gt;=1,StaticTaxYear1/12,MAX(0,GG$68*12)/EntryCapRate*EffTaxRateOnValue/12))</f>
        <v/>
      </c>
      <c r="GH69" s="218">
        <f>IF(186&lt;StabMonth,0,IF(TaxMethodValue&gt;=1,StaticTaxYear1/12,MAX(0,GH$68*12)/EntryCapRate*EffTaxRateOnValue/12))</f>
        <v/>
      </c>
      <c r="GI69" s="218">
        <f>IF(187&lt;StabMonth,0,IF(TaxMethodValue&gt;=1,StaticTaxYear1/12,MAX(0,GI$68*12)/EntryCapRate*EffTaxRateOnValue/12))</f>
        <v/>
      </c>
      <c r="GJ69" s="218">
        <f>IF(188&lt;StabMonth,0,IF(TaxMethodValue&gt;=1,StaticTaxYear1/12,MAX(0,GJ$68*12)/EntryCapRate*EffTaxRateOnValue/12))</f>
        <v/>
      </c>
      <c r="GK69" s="218">
        <f>IF(189&lt;StabMonth,0,IF(TaxMethodValue&gt;=1,StaticTaxYear1/12,MAX(0,GK$68*12)/EntryCapRate*EffTaxRateOnValue/12))</f>
        <v/>
      </c>
      <c r="GL69" s="218">
        <f>IF(190&lt;StabMonth,0,IF(TaxMethodValue&gt;=1,StaticTaxYear1/12,MAX(0,GL$68*12)/EntryCapRate*EffTaxRateOnValue/12))</f>
        <v/>
      </c>
      <c r="GM69" s="218">
        <f>IF(191&lt;StabMonth,0,IF(TaxMethodValue&gt;=1,StaticTaxYear1/12,MAX(0,GM$68*12)/EntryCapRate*EffTaxRateOnValue/12))</f>
        <v/>
      </c>
      <c r="GN69" s="218">
        <f>IF(192&lt;StabMonth,0,IF(TaxMethodValue&gt;=1,StaticTaxYear1/12,MAX(0,GN$68*12)/EntryCapRate*EffTaxRateOnValue/12))</f>
        <v/>
      </c>
      <c r="GO69" s="218">
        <f>IF(193&lt;StabMonth,0,IF(TaxMethodValue&gt;=1,StaticTaxYear1/12,MAX(0,GO$68*12)/EntryCapRate*EffTaxRateOnValue/12))</f>
        <v/>
      </c>
      <c r="GP69" s="218">
        <f>IF(194&lt;StabMonth,0,IF(TaxMethodValue&gt;=1,StaticTaxYear1/12,MAX(0,GP$68*12)/EntryCapRate*EffTaxRateOnValue/12))</f>
        <v/>
      </c>
      <c r="GQ69" s="218">
        <f>IF(195&lt;StabMonth,0,IF(TaxMethodValue&gt;=1,StaticTaxYear1/12,MAX(0,GQ$68*12)/EntryCapRate*EffTaxRateOnValue/12))</f>
        <v/>
      </c>
      <c r="GR69" s="218">
        <f>IF(196&lt;StabMonth,0,IF(TaxMethodValue&gt;=1,StaticTaxYear1/12,MAX(0,GR$68*12)/EntryCapRate*EffTaxRateOnValue/12))</f>
        <v/>
      </c>
      <c r="GS69" s="218">
        <f>IF(197&lt;StabMonth,0,IF(TaxMethodValue&gt;=1,StaticTaxYear1/12,MAX(0,GS$68*12)/EntryCapRate*EffTaxRateOnValue/12))</f>
        <v/>
      </c>
      <c r="GT69" s="218">
        <f>IF(198&lt;StabMonth,0,IF(TaxMethodValue&gt;=1,StaticTaxYear1/12,MAX(0,GT$68*12)/EntryCapRate*EffTaxRateOnValue/12))</f>
        <v/>
      </c>
      <c r="GU69" s="218">
        <f>IF(199&lt;StabMonth,0,IF(TaxMethodValue&gt;=1,StaticTaxYear1/12,MAX(0,GU$68*12)/EntryCapRate*EffTaxRateOnValue/12))</f>
        <v/>
      </c>
      <c r="GV69" s="218">
        <f>IF(200&lt;StabMonth,0,IF(TaxMethodValue&gt;=1,StaticTaxYear1/12,MAX(0,GV$68*12)/EntryCapRate*EffTaxRateOnValue/12))</f>
        <v/>
      </c>
      <c r="GW69" s="218">
        <f>IF(201&lt;StabMonth,0,IF(TaxMethodValue&gt;=1,StaticTaxYear1/12,MAX(0,GW$68*12)/EntryCapRate*EffTaxRateOnValue/12))</f>
        <v/>
      </c>
      <c r="GX69" s="218">
        <f>IF(202&lt;StabMonth,0,IF(TaxMethodValue&gt;=1,StaticTaxYear1/12,MAX(0,GX$68*12)/EntryCapRate*EffTaxRateOnValue/12))</f>
        <v/>
      </c>
      <c r="GY69" s="218">
        <f>IF(203&lt;StabMonth,0,IF(TaxMethodValue&gt;=1,StaticTaxYear1/12,MAX(0,GY$68*12)/EntryCapRate*EffTaxRateOnValue/12))</f>
        <v/>
      </c>
      <c r="GZ69" s="218">
        <f>IF(204&lt;StabMonth,0,IF(TaxMethodValue&gt;=1,StaticTaxYear1/12,MAX(0,GZ$68*12)/EntryCapRate*EffTaxRateOnValue/12))</f>
        <v/>
      </c>
      <c r="HA69" s="218">
        <f>IF(205&lt;StabMonth,0,IF(TaxMethodValue&gt;=1,StaticTaxYear1/12,MAX(0,HA$68*12)/EntryCapRate*EffTaxRateOnValue/12))</f>
        <v/>
      </c>
      <c r="HB69" s="218">
        <f>IF(206&lt;StabMonth,0,IF(TaxMethodValue&gt;=1,StaticTaxYear1/12,MAX(0,HB$68*12)/EntryCapRate*EffTaxRateOnValue/12))</f>
        <v/>
      </c>
      <c r="HC69" s="218">
        <f>IF(207&lt;StabMonth,0,IF(TaxMethodValue&gt;=1,StaticTaxYear1/12,MAX(0,HC$68*12)/EntryCapRate*EffTaxRateOnValue/12))</f>
        <v/>
      </c>
      <c r="HD69" s="218">
        <f>IF(208&lt;StabMonth,0,IF(TaxMethodValue&gt;=1,StaticTaxYear1/12,MAX(0,HD$68*12)/EntryCapRate*EffTaxRateOnValue/12))</f>
        <v/>
      </c>
      <c r="HE69" s="218">
        <f>IF(209&lt;StabMonth,0,IF(TaxMethodValue&gt;=1,StaticTaxYear1/12,MAX(0,HE$68*12)/EntryCapRate*EffTaxRateOnValue/12))</f>
        <v/>
      </c>
      <c r="HF69" s="218">
        <f>IF(210&lt;StabMonth,0,IF(TaxMethodValue&gt;=1,StaticTaxYear1/12,MAX(0,HF$68*12)/EntryCapRate*EffTaxRateOnValue/12))</f>
        <v/>
      </c>
      <c r="HG69" s="218">
        <f>IF(211&lt;StabMonth,0,IF(TaxMethodValue&gt;=1,StaticTaxYear1/12,MAX(0,HG$68*12)/EntryCapRate*EffTaxRateOnValue/12))</f>
        <v/>
      </c>
      <c r="HH69" s="218">
        <f>IF(212&lt;StabMonth,0,IF(TaxMethodValue&gt;=1,StaticTaxYear1/12,MAX(0,HH$68*12)/EntryCapRate*EffTaxRateOnValue/12))</f>
        <v/>
      </c>
      <c r="HI69" s="218">
        <f>IF(213&lt;StabMonth,0,IF(TaxMethodValue&gt;=1,StaticTaxYear1/12,MAX(0,HI$68*12)/EntryCapRate*EffTaxRateOnValue/12))</f>
        <v/>
      </c>
      <c r="HJ69" s="218">
        <f>IF(214&lt;StabMonth,0,IF(TaxMethodValue&gt;=1,StaticTaxYear1/12,MAX(0,HJ$68*12)/EntryCapRate*EffTaxRateOnValue/12))</f>
        <v/>
      </c>
      <c r="HK69" s="218">
        <f>IF(215&lt;StabMonth,0,IF(TaxMethodValue&gt;=1,StaticTaxYear1/12,MAX(0,HK$68*12)/EntryCapRate*EffTaxRateOnValue/12))</f>
        <v/>
      </c>
      <c r="HL69" s="218">
        <f>IF(216&lt;StabMonth,0,IF(TaxMethodValue&gt;=1,StaticTaxYear1/12,MAX(0,HL$68*12)/EntryCapRate*EffTaxRateOnValue/12))</f>
        <v/>
      </c>
      <c r="HM69" s="218">
        <f>IF(217&lt;StabMonth,0,IF(TaxMethodValue&gt;=1,StaticTaxYear1/12,MAX(0,HM$68*12)/EntryCapRate*EffTaxRateOnValue/12))</f>
        <v/>
      </c>
      <c r="HN69" s="218">
        <f>IF(218&lt;StabMonth,0,IF(TaxMethodValue&gt;=1,StaticTaxYear1/12,MAX(0,HN$68*12)/EntryCapRate*EffTaxRateOnValue/12))</f>
        <v/>
      </c>
      <c r="HO69" s="218">
        <f>IF(219&lt;StabMonth,0,IF(TaxMethodValue&gt;=1,StaticTaxYear1/12,MAX(0,HO$68*12)/EntryCapRate*EffTaxRateOnValue/12))</f>
        <v/>
      </c>
      <c r="HP69" s="218">
        <f>IF(220&lt;StabMonth,0,IF(TaxMethodValue&gt;=1,StaticTaxYear1/12,MAX(0,HP$68*12)/EntryCapRate*EffTaxRateOnValue/12))</f>
        <v/>
      </c>
      <c r="HQ69" s="218">
        <f>IF(221&lt;StabMonth,0,IF(TaxMethodValue&gt;=1,StaticTaxYear1/12,MAX(0,HQ$68*12)/EntryCapRate*EffTaxRateOnValue/12))</f>
        <v/>
      </c>
      <c r="HR69" s="218">
        <f>IF(222&lt;StabMonth,0,IF(TaxMethodValue&gt;=1,StaticTaxYear1/12,MAX(0,HR$68*12)/EntryCapRate*EffTaxRateOnValue/12))</f>
        <v/>
      </c>
      <c r="HS69" s="218">
        <f>IF(223&lt;StabMonth,0,IF(TaxMethodValue&gt;=1,StaticTaxYear1/12,MAX(0,HS$68*12)/EntryCapRate*EffTaxRateOnValue/12))</f>
        <v/>
      </c>
      <c r="HT69" s="218">
        <f>IF(224&lt;StabMonth,0,IF(TaxMethodValue&gt;=1,StaticTaxYear1/12,MAX(0,HT$68*12)/EntryCapRate*EffTaxRateOnValue/12))</f>
        <v/>
      </c>
      <c r="HU69" s="218">
        <f>IF(225&lt;StabMonth,0,IF(TaxMethodValue&gt;=1,StaticTaxYear1/12,MAX(0,HU$68*12)/EntryCapRate*EffTaxRateOnValue/12))</f>
        <v/>
      </c>
      <c r="HV69" s="218">
        <f>IF(226&lt;StabMonth,0,IF(TaxMethodValue&gt;=1,StaticTaxYear1/12,MAX(0,HV$68*12)/EntryCapRate*EffTaxRateOnValue/12))</f>
        <v/>
      </c>
      <c r="HW69" s="218">
        <f>IF(227&lt;StabMonth,0,IF(TaxMethodValue&gt;=1,StaticTaxYear1/12,MAX(0,HW$68*12)/EntryCapRate*EffTaxRateOnValue/12))</f>
        <v/>
      </c>
      <c r="HX69" s="218">
        <f>IF(228&lt;StabMonth,0,IF(TaxMethodValue&gt;=1,StaticTaxYear1/12,MAX(0,HX$68*12)/EntryCapRate*EffTaxRateOnValue/12))</f>
        <v/>
      </c>
      <c r="HY69" s="218">
        <f>IF(229&lt;StabMonth,0,IF(TaxMethodValue&gt;=1,StaticTaxYear1/12,MAX(0,HY$68*12)/EntryCapRate*EffTaxRateOnValue/12))</f>
        <v/>
      </c>
      <c r="HZ69" s="218">
        <f>IF(230&lt;StabMonth,0,IF(TaxMethodValue&gt;=1,StaticTaxYear1/12,MAX(0,HZ$68*12)/EntryCapRate*EffTaxRateOnValue/12))</f>
        <v/>
      </c>
      <c r="IA69" s="218">
        <f>IF(231&lt;StabMonth,0,IF(TaxMethodValue&gt;=1,StaticTaxYear1/12,MAX(0,IA$68*12)/EntryCapRate*EffTaxRateOnValue/12))</f>
        <v/>
      </c>
      <c r="IB69" s="218">
        <f>IF(232&lt;StabMonth,0,IF(TaxMethodValue&gt;=1,StaticTaxYear1/12,MAX(0,IB$68*12)/EntryCapRate*EffTaxRateOnValue/12))</f>
        <v/>
      </c>
      <c r="IC69" s="218">
        <f>IF(233&lt;StabMonth,0,IF(TaxMethodValue&gt;=1,StaticTaxYear1/12,MAX(0,IC$68*12)/EntryCapRate*EffTaxRateOnValue/12))</f>
        <v/>
      </c>
      <c r="ID69" s="218">
        <f>IF(234&lt;StabMonth,0,IF(TaxMethodValue&gt;=1,StaticTaxYear1/12,MAX(0,ID$68*12)/EntryCapRate*EffTaxRateOnValue/12))</f>
        <v/>
      </c>
      <c r="IE69" s="218">
        <f>IF(235&lt;StabMonth,0,IF(TaxMethodValue&gt;=1,StaticTaxYear1/12,MAX(0,IE$68*12)/EntryCapRate*EffTaxRateOnValue/12))</f>
        <v/>
      </c>
      <c r="IF69" s="218">
        <f>IF(236&lt;StabMonth,0,IF(TaxMethodValue&gt;=1,StaticTaxYear1/12,MAX(0,IF$68*12)/EntryCapRate*EffTaxRateOnValue/12))</f>
        <v/>
      </c>
      <c r="IG69" s="218">
        <f>IF(237&lt;StabMonth,0,IF(TaxMethodValue&gt;=1,StaticTaxYear1/12,MAX(0,IG$68*12)/EntryCapRate*EffTaxRateOnValue/12))</f>
        <v/>
      </c>
      <c r="IH69" s="218">
        <f>IF(238&lt;StabMonth,0,IF(TaxMethodValue&gt;=1,StaticTaxYear1/12,MAX(0,IH$68*12)/EntryCapRate*EffTaxRateOnValue/12))</f>
        <v/>
      </c>
      <c r="II69" s="218">
        <f>IF(239&lt;StabMonth,0,IF(TaxMethodValue&gt;=1,StaticTaxYear1/12,MAX(0,II$68*12)/EntryCapRate*EffTaxRateOnValue/12))</f>
        <v/>
      </c>
      <c r="IJ69" s="218">
        <f>IF(240&lt;StabMonth,0,IF(TaxMethodValue&gt;=1,StaticTaxYear1/12,MAX(0,IJ$68*12)/EntryCapRate*EffTaxRateOnValue/12))</f>
        <v/>
      </c>
      <c r="IK69" s="218">
        <f>IF(241&lt;StabMonth,0,IF(TaxMethodValue&gt;=1,StaticTaxYear1/12,MAX(0,IK$68*12)/EntryCapRate*EffTaxRateOnValue/12))</f>
        <v/>
      </c>
      <c r="IL69" s="218">
        <f>IF(242&lt;StabMonth,0,IF(TaxMethodValue&gt;=1,StaticTaxYear1/12,MAX(0,IL$68*12)/EntryCapRate*EffTaxRateOnValue/12))</f>
        <v/>
      </c>
      <c r="IM69" s="218">
        <f>IF(243&lt;StabMonth,0,IF(TaxMethodValue&gt;=1,StaticTaxYear1/12,MAX(0,IM$68*12)/EntryCapRate*EffTaxRateOnValue/12))</f>
        <v/>
      </c>
      <c r="IN69" s="218">
        <f>IF(244&lt;StabMonth,0,IF(TaxMethodValue&gt;=1,StaticTaxYear1/12,MAX(0,IN$68*12)/EntryCapRate*EffTaxRateOnValue/12))</f>
        <v/>
      </c>
      <c r="IO69" s="218">
        <f>IF(245&lt;StabMonth,0,IF(TaxMethodValue&gt;=1,StaticTaxYear1/12,MAX(0,IO$68*12)/EntryCapRate*EffTaxRateOnValue/12))</f>
        <v/>
      </c>
      <c r="IP69" s="218">
        <f>IF(246&lt;StabMonth,0,IF(TaxMethodValue&gt;=1,StaticTaxYear1/12,MAX(0,IP$68*12)/EntryCapRate*EffTaxRateOnValue/12))</f>
        <v/>
      </c>
      <c r="IQ69" s="218">
        <f>IF(247&lt;StabMonth,0,IF(TaxMethodValue&gt;=1,StaticTaxYear1/12,MAX(0,IQ$68*12)/EntryCapRate*EffTaxRateOnValue/12))</f>
        <v/>
      </c>
      <c r="IR69" s="218">
        <f>IF(248&lt;StabMonth,0,IF(TaxMethodValue&gt;=1,StaticTaxYear1/12,MAX(0,IR$68*12)/EntryCapRate*EffTaxRateOnValue/12))</f>
        <v/>
      </c>
      <c r="IS69" s="218">
        <f>IF(249&lt;StabMonth,0,IF(TaxMethodValue&gt;=1,StaticTaxYear1/12,MAX(0,IS$68*12)/EntryCapRate*EffTaxRateOnValue/12))</f>
        <v/>
      </c>
      <c r="IT69" s="218">
        <f>IF(250&lt;StabMonth,0,IF(TaxMethodValue&gt;=1,StaticTaxYear1/12,MAX(0,IT$68*12)/EntryCapRate*EffTaxRateOnValue/12))</f>
        <v/>
      </c>
      <c r="IU69" s="218">
        <f>IF(251&lt;StabMonth,0,IF(TaxMethodValue&gt;=1,StaticTaxYear1/12,MAX(0,IU$68*12)/EntryCapRate*EffTaxRateOnValue/12))</f>
        <v/>
      </c>
      <c r="IV69" s="218">
        <f>IF(252&lt;StabMonth,0,IF(TaxMethodValue&gt;=1,StaticTaxYear1/12,MAX(0,IV$68*12)/EntryCapRate*EffTaxRateOnValue/12))</f>
        <v/>
      </c>
      <c r="IW69" s="218">
        <f>IF(253&lt;StabMonth,0,IF(TaxMethodValue&gt;=1,StaticTaxYear1/12,MAX(0,IW$68*12)/EntryCapRate*EffTaxRateOnValue/12))</f>
        <v/>
      </c>
      <c r="IX69" s="218">
        <f>IF(254&lt;StabMonth,0,IF(TaxMethodValue&gt;=1,StaticTaxYear1/12,MAX(0,IX$68*12)/EntryCapRate*EffTaxRateOnValue/12))</f>
        <v/>
      </c>
      <c r="IY69" s="218">
        <f>IF(255&lt;StabMonth,0,IF(TaxMethodValue&gt;=1,StaticTaxYear1/12,MAX(0,IY$68*12)/EntryCapRate*EffTaxRateOnValue/12))</f>
        <v/>
      </c>
      <c r="IZ69" s="218">
        <f>IF(256&lt;StabMonth,0,IF(TaxMethodValue&gt;=1,StaticTaxYear1/12,MAX(0,IZ$68*12)/EntryCapRate*EffTaxRateOnValue/12))</f>
        <v/>
      </c>
      <c r="JA69" s="218">
        <f>IF(257&lt;StabMonth,0,IF(TaxMethodValue&gt;=1,StaticTaxYear1/12,MAX(0,JA$68*12)/EntryCapRate*EffTaxRateOnValue/12))</f>
        <v/>
      </c>
      <c r="JB69" s="218">
        <f>IF(258&lt;StabMonth,0,IF(TaxMethodValue&gt;=1,StaticTaxYear1/12,MAX(0,JB$68*12)/EntryCapRate*EffTaxRateOnValue/12))</f>
        <v/>
      </c>
      <c r="JC69" s="218">
        <f>IF(259&lt;StabMonth,0,IF(TaxMethodValue&gt;=1,StaticTaxYear1/12,MAX(0,JC$68*12)/EntryCapRate*EffTaxRateOnValue/12))</f>
        <v/>
      </c>
      <c r="JD69" s="218">
        <f>IF(260&lt;StabMonth,0,IF(TaxMethodValue&gt;=1,StaticTaxYear1/12,MAX(0,JD$68*12)/EntryCapRate*EffTaxRateOnValue/12))</f>
        <v/>
      </c>
      <c r="JE69" s="218">
        <f>IF(261&lt;StabMonth,0,IF(TaxMethodValue&gt;=1,StaticTaxYear1/12,MAX(0,JE$68*12)/EntryCapRate*EffTaxRateOnValue/12))</f>
        <v/>
      </c>
      <c r="JF69" s="218">
        <f>IF(262&lt;StabMonth,0,IF(TaxMethodValue&gt;=1,StaticTaxYear1/12,MAX(0,JF$68*12)/EntryCapRate*EffTaxRateOnValue/12))</f>
        <v/>
      </c>
      <c r="JG69" s="218">
        <f>IF(263&lt;StabMonth,0,IF(TaxMethodValue&gt;=1,StaticTaxYear1/12,MAX(0,JG$68*12)/EntryCapRate*EffTaxRateOnValue/12))</f>
        <v/>
      </c>
      <c r="JH69" s="218">
        <f>IF(264&lt;StabMonth,0,IF(TaxMethodValue&gt;=1,StaticTaxYear1/12,MAX(0,JH$68*12)/EntryCapRate*EffTaxRateOnValue/12))</f>
        <v/>
      </c>
      <c r="JI69" s="218">
        <f>IF(265&lt;StabMonth,0,IF(TaxMethodValue&gt;=1,StaticTaxYear1/12,MAX(0,JI$68*12)/EntryCapRate*EffTaxRateOnValue/12))</f>
        <v/>
      </c>
      <c r="JJ69" s="218">
        <f>IF(266&lt;StabMonth,0,IF(TaxMethodValue&gt;=1,StaticTaxYear1/12,MAX(0,JJ$68*12)/EntryCapRate*EffTaxRateOnValue/12))</f>
        <v/>
      </c>
      <c r="JK69" s="218">
        <f>IF(267&lt;StabMonth,0,IF(TaxMethodValue&gt;=1,StaticTaxYear1/12,MAX(0,JK$68*12)/EntryCapRate*EffTaxRateOnValue/12))</f>
        <v/>
      </c>
      <c r="JL69" s="218">
        <f>IF(268&lt;StabMonth,0,IF(TaxMethodValue&gt;=1,StaticTaxYear1/12,MAX(0,JL$68*12)/EntryCapRate*EffTaxRateOnValue/12))</f>
        <v/>
      </c>
      <c r="JM69" s="218">
        <f>IF(269&lt;StabMonth,0,IF(TaxMethodValue&gt;=1,StaticTaxYear1/12,MAX(0,JM$68*12)/EntryCapRate*EffTaxRateOnValue/12))</f>
        <v/>
      </c>
      <c r="JN69" s="218">
        <f>IF(270&lt;StabMonth,0,IF(TaxMethodValue&gt;=1,StaticTaxYear1/12,MAX(0,JN$68*12)/EntryCapRate*EffTaxRateOnValue/12))</f>
        <v/>
      </c>
      <c r="JO69" s="218">
        <f>IF(271&lt;StabMonth,0,IF(TaxMethodValue&gt;=1,StaticTaxYear1/12,MAX(0,JO$68*12)/EntryCapRate*EffTaxRateOnValue/12))</f>
        <v/>
      </c>
      <c r="JP69" s="218">
        <f>IF(272&lt;StabMonth,0,IF(TaxMethodValue&gt;=1,StaticTaxYear1/12,MAX(0,JP$68*12)/EntryCapRate*EffTaxRateOnValue/12))</f>
        <v/>
      </c>
      <c r="JQ69" s="218">
        <f>IF(273&lt;StabMonth,0,IF(TaxMethodValue&gt;=1,StaticTaxYear1/12,MAX(0,JQ$68*12)/EntryCapRate*EffTaxRateOnValue/12))</f>
        <v/>
      </c>
      <c r="JR69" s="218">
        <f>IF(274&lt;StabMonth,0,IF(TaxMethodValue&gt;=1,StaticTaxYear1/12,MAX(0,JR$68*12)/EntryCapRate*EffTaxRateOnValue/12))</f>
        <v/>
      </c>
      <c r="JS69" s="218">
        <f>IF(275&lt;StabMonth,0,IF(TaxMethodValue&gt;=1,StaticTaxYear1/12,MAX(0,JS$68*12)/EntryCapRate*EffTaxRateOnValue/12))</f>
        <v/>
      </c>
      <c r="JT69" s="218">
        <f>IF(276&lt;StabMonth,0,IF(TaxMethodValue&gt;=1,StaticTaxYear1/12,MAX(0,JT$68*12)/EntryCapRate*EffTaxRateOnValue/12))</f>
        <v/>
      </c>
      <c r="JU69" s="218">
        <f>IF(277&lt;StabMonth,0,IF(TaxMethodValue&gt;=1,StaticTaxYear1/12,MAX(0,JU$68*12)/EntryCapRate*EffTaxRateOnValue/12))</f>
        <v/>
      </c>
      <c r="JV69" s="218">
        <f>IF(278&lt;StabMonth,0,IF(TaxMethodValue&gt;=1,StaticTaxYear1/12,MAX(0,JV$68*12)/EntryCapRate*EffTaxRateOnValue/12))</f>
        <v/>
      </c>
      <c r="JW69" s="218">
        <f>IF(279&lt;StabMonth,0,IF(TaxMethodValue&gt;=1,StaticTaxYear1/12,MAX(0,JW$68*12)/EntryCapRate*EffTaxRateOnValue/12))</f>
        <v/>
      </c>
      <c r="JX69" s="218">
        <f>IF(280&lt;StabMonth,0,IF(TaxMethodValue&gt;=1,StaticTaxYear1/12,MAX(0,JX$68*12)/EntryCapRate*EffTaxRateOnValue/12))</f>
        <v/>
      </c>
      <c r="JY69" s="218">
        <f>IF(281&lt;StabMonth,0,IF(TaxMethodValue&gt;=1,StaticTaxYear1/12,MAX(0,JY$68*12)/EntryCapRate*EffTaxRateOnValue/12))</f>
        <v/>
      </c>
      <c r="JZ69" s="218">
        <f>IF(282&lt;StabMonth,0,IF(TaxMethodValue&gt;=1,StaticTaxYear1/12,MAX(0,JZ$68*12)/EntryCapRate*EffTaxRateOnValue/12))</f>
        <v/>
      </c>
      <c r="KA69" s="218">
        <f>IF(283&lt;StabMonth,0,IF(TaxMethodValue&gt;=1,StaticTaxYear1/12,MAX(0,KA$68*12)/EntryCapRate*EffTaxRateOnValue/12))</f>
        <v/>
      </c>
      <c r="KB69" s="218">
        <f>IF(284&lt;StabMonth,0,IF(TaxMethodValue&gt;=1,StaticTaxYear1/12,MAX(0,KB$68*12)/EntryCapRate*EffTaxRateOnValue/12))</f>
        <v/>
      </c>
      <c r="KC69" s="218">
        <f>IF(285&lt;StabMonth,0,IF(TaxMethodValue&gt;=1,StaticTaxYear1/12,MAX(0,KC$68*12)/EntryCapRate*EffTaxRateOnValue/12))</f>
        <v/>
      </c>
      <c r="KD69" s="218">
        <f>IF(286&lt;StabMonth,0,IF(TaxMethodValue&gt;=1,StaticTaxYear1/12,MAX(0,KD$68*12)/EntryCapRate*EffTaxRateOnValue/12))</f>
        <v/>
      </c>
      <c r="KE69" s="218">
        <f>IF(287&lt;StabMonth,0,IF(TaxMethodValue&gt;=1,StaticTaxYear1/12,MAX(0,KE$68*12)/EntryCapRate*EffTaxRateOnValue/12))</f>
        <v/>
      </c>
      <c r="KF69" s="218">
        <f>IF(288&lt;StabMonth,0,IF(TaxMethodValue&gt;=1,StaticTaxYear1/12,MAX(0,KF$68*12)/EntryCapRate*EffTaxRateOnValue/12))</f>
        <v/>
      </c>
      <c r="KG69" s="218">
        <f>IF(289&lt;StabMonth,0,IF(TaxMethodValue&gt;=1,StaticTaxYear1/12,MAX(0,KG$68*12)/EntryCapRate*EffTaxRateOnValue/12))</f>
        <v/>
      </c>
      <c r="KH69" s="218">
        <f>IF(290&lt;StabMonth,0,IF(TaxMethodValue&gt;=1,StaticTaxYear1/12,MAX(0,KH$68*12)/EntryCapRate*EffTaxRateOnValue/12))</f>
        <v/>
      </c>
      <c r="KI69" s="218">
        <f>IF(291&lt;StabMonth,0,IF(TaxMethodValue&gt;=1,StaticTaxYear1/12,MAX(0,KI$68*12)/EntryCapRate*EffTaxRateOnValue/12))</f>
        <v/>
      </c>
      <c r="KJ69" s="218">
        <f>IF(292&lt;StabMonth,0,IF(TaxMethodValue&gt;=1,StaticTaxYear1/12,MAX(0,KJ$68*12)/EntryCapRate*EffTaxRateOnValue/12))</f>
        <v/>
      </c>
      <c r="KK69" s="218">
        <f>IF(293&lt;StabMonth,0,IF(TaxMethodValue&gt;=1,StaticTaxYear1/12,MAX(0,KK$68*12)/EntryCapRate*EffTaxRateOnValue/12))</f>
        <v/>
      </c>
      <c r="KL69" s="218">
        <f>IF(294&lt;StabMonth,0,IF(TaxMethodValue&gt;=1,StaticTaxYear1/12,MAX(0,KL$68*12)/EntryCapRate*EffTaxRateOnValue/12))</f>
        <v/>
      </c>
      <c r="KM69" s="218">
        <f>IF(295&lt;StabMonth,0,IF(TaxMethodValue&gt;=1,StaticTaxYear1/12,MAX(0,KM$68*12)/EntryCapRate*EffTaxRateOnValue/12))</f>
        <v/>
      </c>
      <c r="KN69" s="218">
        <f>IF(296&lt;StabMonth,0,IF(TaxMethodValue&gt;=1,StaticTaxYear1/12,MAX(0,KN$68*12)/EntryCapRate*EffTaxRateOnValue/12))</f>
        <v/>
      </c>
      <c r="KO69" s="218">
        <f>IF(297&lt;StabMonth,0,IF(TaxMethodValue&gt;=1,StaticTaxYear1/12,MAX(0,KO$68*12)/EntryCapRate*EffTaxRateOnValue/12))</f>
        <v/>
      </c>
      <c r="KP69" s="218">
        <f>IF(298&lt;StabMonth,0,IF(TaxMethodValue&gt;=1,StaticTaxYear1/12,MAX(0,KP$68*12)/EntryCapRate*EffTaxRateOnValue/12))</f>
        <v/>
      </c>
      <c r="KQ69" s="218">
        <f>IF(299&lt;StabMonth,0,IF(TaxMethodValue&gt;=1,StaticTaxYear1/12,MAX(0,KQ$68*12)/EntryCapRate*EffTaxRateOnValue/12))</f>
        <v/>
      </c>
      <c r="KR69" s="218">
        <f>IF(300&lt;StabMonth,0,IF(TaxMethodValue&gt;=1,StaticTaxYear1/12,MAX(0,KR$68*12)/EntryCapRate*EffTaxRateOnValue/12))</f>
        <v/>
      </c>
      <c r="KS69" s="218">
        <f>IF(301&lt;StabMonth,0,IF(TaxMethodValue&gt;=1,StaticTaxYear1/12,MAX(0,KS$68*12)/EntryCapRate*EffTaxRateOnValue/12))</f>
        <v/>
      </c>
      <c r="KT69" s="218">
        <f>IF(302&lt;StabMonth,0,IF(TaxMethodValue&gt;=1,StaticTaxYear1/12,MAX(0,KT$68*12)/EntryCapRate*EffTaxRateOnValue/12))</f>
        <v/>
      </c>
      <c r="KU69" s="218">
        <f>IF(303&lt;StabMonth,0,IF(TaxMethodValue&gt;=1,StaticTaxYear1/12,MAX(0,KU$68*12)/EntryCapRate*EffTaxRateOnValue/12))</f>
        <v/>
      </c>
      <c r="KV69" s="218">
        <f>IF(304&lt;StabMonth,0,IF(TaxMethodValue&gt;=1,StaticTaxYear1/12,MAX(0,KV$68*12)/EntryCapRate*EffTaxRateOnValue/12))</f>
        <v/>
      </c>
      <c r="KW69" s="218">
        <f>IF(305&lt;StabMonth,0,IF(TaxMethodValue&gt;=1,StaticTaxYear1/12,MAX(0,KW$68*12)/EntryCapRate*EffTaxRateOnValue/12))</f>
        <v/>
      </c>
      <c r="KX69" s="218">
        <f>IF(306&lt;StabMonth,0,IF(TaxMethodValue&gt;=1,StaticTaxYear1/12,MAX(0,KX$68*12)/EntryCapRate*EffTaxRateOnValue/12))</f>
        <v/>
      </c>
      <c r="KY69" s="218">
        <f>IF(307&lt;StabMonth,0,IF(TaxMethodValue&gt;=1,StaticTaxYear1/12,MAX(0,KY$68*12)/EntryCapRate*EffTaxRateOnValue/12))</f>
        <v/>
      </c>
      <c r="KZ69" s="218">
        <f>IF(308&lt;StabMonth,0,IF(TaxMethodValue&gt;=1,StaticTaxYear1/12,MAX(0,KZ$68*12)/EntryCapRate*EffTaxRateOnValue/12))</f>
        <v/>
      </c>
      <c r="LA69" s="218">
        <f>IF(309&lt;StabMonth,0,IF(TaxMethodValue&gt;=1,StaticTaxYear1/12,MAX(0,LA$68*12)/EntryCapRate*EffTaxRateOnValue/12))</f>
        <v/>
      </c>
      <c r="LB69" s="218">
        <f>IF(310&lt;StabMonth,0,IF(TaxMethodValue&gt;=1,StaticTaxYear1/12,MAX(0,LB$68*12)/EntryCapRate*EffTaxRateOnValue/12))</f>
        <v/>
      </c>
      <c r="LC69" s="218">
        <f>IF(311&lt;StabMonth,0,IF(TaxMethodValue&gt;=1,StaticTaxYear1/12,MAX(0,LC$68*12)/EntryCapRate*EffTaxRateOnValue/12))</f>
        <v/>
      </c>
      <c r="LD69" s="218">
        <f>IF(312&lt;StabMonth,0,IF(TaxMethodValue&gt;=1,StaticTaxYear1/12,MAX(0,LD$68*12)/EntryCapRate*EffTaxRateOnValue/12))</f>
        <v/>
      </c>
      <c r="LE69" s="218">
        <f>IF(313&lt;StabMonth,0,IF(TaxMethodValue&gt;=1,StaticTaxYear1/12,MAX(0,LE$68*12)/EntryCapRate*EffTaxRateOnValue/12))</f>
        <v/>
      </c>
      <c r="LF69" s="218">
        <f>IF(314&lt;StabMonth,0,IF(TaxMethodValue&gt;=1,StaticTaxYear1/12,MAX(0,LF$68*12)/EntryCapRate*EffTaxRateOnValue/12))</f>
        <v/>
      </c>
      <c r="LG69" s="218">
        <f>IF(315&lt;StabMonth,0,IF(TaxMethodValue&gt;=1,StaticTaxYear1/12,MAX(0,LG$68*12)/EntryCapRate*EffTaxRateOnValue/12))</f>
        <v/>
      </c>
      <c r="LH69" s="218">
        <f>IF(316&lt;StabMonth,0,IF(TaxMethodValue&gt;=1,StaticTaxYear1/12,MAX(0,LH$68*12)/EntryCapRate*EffTaxRateOnValue/12))</f>
        <v/>
      </c>
      <c r="LI69" s="218">
        <f>IF(317&lt;StabMonth,0,IF(TaxMethodValue&gt;=1,StaticTaxYear1/12,MAX(0,LI$68*12)/EntryCapRate*EffTaxRateOnValue/12))</f>
        <v/>
      </c>
      <c r="LJ69" s="218">
        <f>IF(318&lt;StabMonth,0,IF(TaxMethodValue&gt;=1,StaticTaxYear1/12,MAX(0,LJ$68*12)/EntryCapRate*EffTaxRateOnValue/12))</f>
        <v/>
      </c>
      <c r="LK69" s="218">
        <f>IF(319&lt;StabMonth,0,IF(TaxMethodValue&gt;=1,StaticTaxYear1/12,MAX(0,LK$68*12)/EntryCapRate*EffTaxRateOnValue/12))</f>
        <v/>
      </c>
      <c r="LL69" s="218">
        <f>IF(320&lt;StabMonth,0,IF(TaxMethodValue&gt;=1,StaticTaxYear1/12,MAX(0,LL$68*12)/EntryCapRate*EffTaxRateOnValue/12))</f>
        <v/>
      </c>
      <c r="LM69" s="218">
        <f>IF(321&lt;StabMonth,0,IF(TaxMethodValue&gt;=1,StaticTaxYear1/12,MAX(0,LM$68*12)/EntryCapRate*EffTaxRateOnValue/12))</f>
        <v/>
      </c>
      <c r="LN69" s="218">
        <f>IF(322&lt;StabMonth,0,IF(TaxMethodValue&gt;=1,StaticTaxYear1/12,MAX(0,LN$68*12)/EntryCapRate*EffTaxRateOnValue/12))</f>
        <v/>
      </c>
      <c r="LO69" s="218">
        <f>IF(323&lt;StabMonth,0,IF(TaxMethodValue&gt;=1,StaticTaxYear1/12,MAX(0,LO$68*12)/EntryCapRate*EffTaxRateOnValue/12))</f>
        <v/>
      </c>
      <c r="LP69" s="218">
        <f>IF(324&lt;StabMonth,0,IF(TaxMethodValue&gt;=1,StaticTaxYear1/12,MAX(0,LP$68*12)/EntryCapRate*EffTaxRateOnValue/12))</f>
        <v/>
      </c>
      <c r="LQ69" s="218">
        <f>IF(325&lt;StabMonth,0,IF(TaxMethodValue&gt;=1,StaticTaxYear1/12,MAX(0,LQ$68*12)/EntryCapRate*EffTaxRateOnValue/12))</f>
        <v/>
      </c>
      <c r="LR69" s="218">
        <f>IF(326&lt;StabMonth,0,IF(TaxMethodValue&gt;=1,StaticTaxYear1/12,MAX(0,LR$68*12)/EntryCapRate*EffTaxRateOnValue/12))</f>
        <v/>
      </c>
      <c r="LS69" s="218">
        <f>IF(327&lt;StabMonth,0,IF(TaxMethodValue&gt;=1,StaticTaxYear1/12,MAX(0,LS$68*12)/EntryCapRate*EffTaxRateOnValue/12))</f>
        <v/>
      </c>
      <c r="LT69" s="218">
        <f>IF(328&lt;StabMonth,0,IF(TaxMethodValue&gt;=1,StaticTaxYear1/12,MAX(0,LT$68*12)/EntryCapRate*EffTaxRateOnValue/12))</f>
        <v/>
      </c>
      <c r="LU69" s="218">
        <f>IF(329&lt;StabMonth,0,IF(TaxMethodValue&gt;=1,StaticTaxYear1/12,MAX(0,LU$68*12)/EntryCapRate*EffTaxRateOnValue/12))</f>
        <v/>
      </c>
      <c r="LV69" s="218">
        <f>IF(330&lt;StabMonth,0,IF(TaxMethodValue&gt;=1,StaticTaxYear1/12,MAX(0,LV$68*12)/EntryCapRate*EffTaxRateOnValue/12))</f>
        <v/>
      </c>
      <c r="LW69" s="218">
        <f>IF(331&lt;StabMonth,0,IF(TaxMethodValue&gt;=1,StaticTaxYear1/12,MAX(0,LW$68*12)/EntryCapRate*EffTaxRateOnValue/12))</f>
        <v/>
      </c>
      <c r="LX69" s="218">
        <f>IF(332&lt;StabMonth,0,IF(TaxMethodValue&gt;=1,StaticTaxYear1/12,MAX(0,LX$68*12)/EntryCapRate*EffTaxRateOnValue/12))</f>
        <v/>
      </c>
      <c r="LY69" s="218">
        <f>IF(333&lt;StabMonth,0,IF(TaxMethodValue&gt;=1,StaticTaxYear1/12,MAX(0,LY$68*12)/EntryCapRate*EffTaxRateOnValue/12))</f>
        <v/>
      </c>
      <c r="LZ69" s="218">
        <f>IF(334&lt;StabMonth,0,IF(TaxMethodValue&gt;=1,StaticTaxYear1/12,MAX(0,LZ$68*12)/EntryCapRate*EffTaxRateOnValue/12))</f>
        <v/>
      </c>
      <c r="MA69" s="218">
        <f>IF(335&lt;StabMonth,0,IF(TaxMethodValue&gt;=1,StaticTaxYear1/12,MAX(0,MA$68*12)/EntryCapRate*EffTaxRateOnValue/12))</f>
        <v/>
      </c>
      <c r="MB69" s="218">
        <f>IF(336&lt;StabMonth,0,IF(TaxMethodValue&gt;=1,StaticTaxYear1/12,MAX(0,MB$68*12)/EntryCapRate*EffTaxRateOnValue/12))</f>
        <v/>
      </c>
      <c r="MC69" s="218">
        <f>IF(337&lt;StabMonth,0,IF(TaxMethodValue&gt;=1,StaticTaxYear1/12,MAX(0,MC$68*12)/EntryCapRate*EffTaxRateOnValue/12))</f>
        <v/>
      </c>
      <c r="MD69" s="218">
        <f>IF(338&lt;StabMonth,0,IF(TaxMethodValue&gt;=1,StaticTaxYear1/12,MAX(0,MD$68*12)/EntryCapRate*EffTaxRateOnValue/12))</f>
        <v/>
      </c>
      <c r="ME69" s="218">
        <f>IF(339&lt;StabMonth,0,IF(TaxMethodValue&gt;=1,StaticTaxYear1/12,MAX(0,ME$68*12)/EntryCapRate*EffTaxRateOnValue/12))</f>
        <v/>
      </c>
      <c r="MF69" s="218">
        <f>IF(340&lt;StabMonth,0,IF(TaxMethodValue&gt;=1,StaticTaxYear1/12,MAX(0,MF$68*12)/EntryCapRate*EffTaxRateOnValue/12))</f>
        <v/>
      </c>
      <c r="MG69" s="218">
        <f>IF(341&lt;StabMonth,0,IF(TaxMethodValue&gt;=1,StaticTaxYear1/12,MAX(0,MG$68*12)/EntryCapRate*EffTaxRateOnValue/12))</f>
        <v/>
      </c>
      <c r="MH69" s="218">
        <f>IF(342&lt;StabMonth,0,IF(TaxMethodValue&gt;=1,StaticTaxYear1/12,MAX(0,MH$68*12)/EntryCapRate*EffTaxRateOnValue/12))</f>
        <v/>
      </c>
      <c r="MI69" s="218">
        <f>IF(343&lt;StabMonth,0,IF(TaxMethodValue&gt;=1,StaticTaxYear1/12,MAX(0,MI$68*12)/EntryCapRate*EffTaxRateOnValue/12))</f>
        <v/>
      </c>
      <c r="MJ69" s="218">
        <f>IF(344&lt;StabMonth,0,IF(TaxMethodValue&gt;=1,StaticTaxYear1/12,MAX(0,MJ$68*12)/EntryCapRate*EffTaxRateOnValue/12))</f>
        <v/>
      </c>
      <c r="MK69" s="218">
        <f>IF(345&lt;StabMonth,0,IF(TaxMethodValue&gt;=1,StaticTaxYear1/12,MAX(0,MK$68*12)/EntryCapRate*EffTaxRateOnValue/12))</f>
        <v/>
      </c>
      <c r="ML69" s="218">
        <f>IF(346&lt;StabMonth,0,IF(TaxMethodValue&gt;=1,StaticTaxYear1/12,MAX(0,ML$68*12)/EntryCapRate*EffTaxRateOnValue/12))</f>
        <v/>
      </c>
      <c r="MM69" s="218">
        <f>IF(347&lt;StabMonth,0,IF(TaxMethodValue&gt;=1,StaticTaxYear1/12,MAX(0,MM$68*12)/EntryCapRate*EffTaxRateOnValue/12))</f>
        <v/>
      </c>
      <c r="MN69" s="218">
        <f>IF(348&lt;StabMonth,0,IF(TaxMethodValue&gt;=1,StaticTaxYear1/12,MAX(0,MN$68*12)/EntryCapRate*EffTaxRateOnValue/12))</f>
        <v/>
      </c>
      <c r="MO69" s="218">
        <f>IF(349&lt;StabMonth,0,IF(TaxMethodValue&gt;=1,StaticTaxYear1/12,MAX(0,MO$68*12)/EntryCapRate*EffTaxRateOnValue/12))</f>
        <v/>
      </c>
      <c r="MP69" s="218">
        <f>IF(350&lt;StabMonth,0,IF(TaxMethodValue&gt;=1,StaticTaxYear1/12,MAX(0,MP$68*12)/EntryCapRate*EffTaxRateOnValue/12))</f>
        <v/>
      </c>
      <c r="MQ69" s="218">
        <f>IF(351&lt;StabMonth,0,IF(TaxMethodValue&gt;=1,StaticTaxYear1/12,MAX(0,MQ$68*12)/EntryCapRate*EffTaxRateOnValue/12))</f>
        <v/>
      </c>
      <c r="MR69" s="218">
        <f>IF(352&lt;StabMonth,0,IF(TaxMethodValue&gt;=1,StaticTaxYear1/12,MAX(0,MR$68*12)/EntryCapRate*EffTaxRateOnValue/12))</f>
        <v/>
      </c>
      <c r="MS69" s="218">
        <f>IF(353&lt;StabMonth,0,IF(TaxMethodValue&gt;=1,StaticTaxYear1/12,MAX(0,MS$68*12)/EntryCapRate*EffTaxRateOnValue/12))</f>
        <v/>
      </c>
      <c r="MT69" s="218">
        <f>IF(354&lt;StabMonth,0,IF(TaxMethodValue&gt;=1,StaticTaxYear1/12,MAX(0,MT$68*12)/EntryCapRate*EffTaxRateOnValue/12))</f>
        <v/>
      </c>
      <c r="MU69" s="218">
        <f>IF(355&lt;StabMonth,0,IF(TaxMethodValue&gt;=1,StaticTaxYear1/12,MAX(0,MU$68*12)/EntryCapRate*EffTaxRateOnValue/12))</f>
        <v/>
      </c>
      <c r="MV69" s="218">
        <f>IF(356&lt;StabMonth,0,IF(TaxMethodValue&gt;=1,StaticTaxYear1/12,MAX(0,MV$68*12)/EntryCapRate*EffTaxRateOnValue/12))</f>
        <v/>
      </c>
      <c r="MW69" s="218">
        <f>IF(357&lt;StabMonth,0,IF(TaxMethodValue&gt;=1,StaticTaxYear1/12,MAX(0,MW$68*12)/EntryCapRate*EffTaxRateOnValue/12))</f>
        <v/>
      </c>
      <c r="MX69" s="218">
        <f>IF(358&lt;StabMonth,0,IF(TaxMethodValue&gt;=1,StaticTaxYear1/12,MAX(0,MX$68*12)/EntryCapRate*EffTaxRateOnValue/12))</f>
        <v/>
      </c>
      <c r="MY69" s="218">
        <f>IF(359&lt;StabMonth,0,IF(TaxMethodValue&gt;=1,StaticTaxYear1/12,MAX(0,MY$68*12)/EntryCapRate*EffTaxRateOnValue/12))</f>
        <v/>
      </c>
      <c r="MZ69" s="218">
        <f>IF(360&lt;StabMonth,0,IF(TaxMethodValue&gt;=1,StaticTaxYear1/12,MAX(0,MZ$68*12)/EntryCapRate*EffTaxRateOnValue/12))</f>
        <v/>
      </c>
      <c r="NA69" s="218">
        <f>IF(361&lt;StabMonth,0,IF(TaxMethodValue&gt;=1,StaticTaxYear1/12,MAX(0,NA$68*12)/EntryCapRate*EffTaxRateOnValue/12))</f>
        <v/>
      </c>
      <c r="NB69" s="218">
        <f>IF(362&lt;StabMonth,0,IF(TaxMethodValue&gt;=1,StaticTaxYear1/12,MAX(0,NB$68*12)/EntryCapRate*EffTaxRateOnValue/12))</f>
        <v/>
      </c>
      <c r="NC69" s="218">
        <f>IF(363&lt;StabMonth,0,IF(TaxMethodValue&gt;=1,StaticTaxYear1/12,MAX(0,NC$68*12)/EntryCapRate*EffTaxRateOnValue/12))</f>
        <v/>
      </c>
      <c r="ND69" s="218">
        <f>IF(364&lt;StabMonth,0,IF(TaxMethodValue&gt;=1,StaticTaxYear1/12,MAX(0,ND$68*12)/EntryCapRate*EffTaxRateOnValue/12))</f>
        <v/>
      </c>
      <c r="NE69" s="218">
        <f>IF(365&lt;StabMonth,0,IF(TaxMethodValue&gt;=1,StaticTaxYear1/12,MAX(0,NE$68*12)/EntryCapRate*EffTaxRateOnValue/12))</f>
        <v/>
      </c>
      <c r="NF69" s="218">
        <f>IF(366&lt;StabMonth,0,IF(TaxMethodValue&gt;=1,StaticTaxYear1/12,MAX(0,NF$68*12)/EntryCapRate*EffTaxRateOnValue/12))</f>
        <v/>
      </c>
      <c r="NG69" s="218">
        <f>IF(367&lt;StabMonth,0,IF(TaxMethodValue&gt;=1,StaticTaxYear1/12,MAX(0,NG$68*12)/EntryCapRate*EffTaxRateOnValue/12))</f>
        <v/>
      </c>
      <c r="NH69" s="218">
        <f>IF(368&lt;StabMonth,0,IF(TaxMethodValue&gt;=1,StaticTaxYear1/12,MAX(0,NH$68*12)/EntryCapRate*EffTaxRateOnValue/12))</f>
        <v/>
      </c>
      <c r="NI69" s="218">
        <f>IF(369&lt;StabMonth,0,IF(TaxMethodValue&gt;=1,StaticTaxYear1/12,MAX(0,NI$68*12)/EntryCapRate*EffTaxRateOnValue/12))</f>
        <v/>
      </c>
      <c r="NJ69" s="218">
        <f>IF(370&lt;StabMonth,0,IF(TaxMethodValue&gt;=1,StaticTaxYear1/12,MAX(0,NJ$68*12)/EntryCapRate*EffTaxRateOnValue/12))</f>
        <v/>
      </c>
      <c r="NK69" s="218">
        <f>IF(371&lt;StabMonth,0,IF(TaxMethodValue&gt;=1,StaticTaxYear1/12,MAX(0,NK$68*12)/EntryCapRate*EffTaxRateOnValue/12))</f>
        <v/>
      </c>
      <c r="NL69" s="218">
        <f>IF(372&lt;StabMonth,0,IF(TaxMethodValue&gt;=1,StaticTaxYear1/12,MAX(0,NL$68*12)/EntryCapRate*EffTaxRateOnValue/12))</f>
        <v/>
      </c>
    </row>
    <row r="70">
      <c r="B70" s="84" t="inlineStr">
        <is>
          <t>Static NOI</t>
        </is>
      </c>
      <c r="D70" s="266">
        <f>SUM(E70:NL70)</f>
        <v/>
      </c>
      <c r="E70" s="218">
        <f>E$68-E$69</f>
        <v/>
      </c>
      <c r="F70" s="218">
        <f>F$68-F$69</f>
        <v/>
      </c>
      <c r="G70" s="218">
        <f>G$68-G$69</f>
        <v/>
      </c>
      <c r="H70" s="218">
        <f>H$68-H$69</f>
        <v/>
      </c>
      <c r="I70" s="218">
        <f>I$68-I$69</f>
        <v/>
      </c>
      <c r="J70" s="218">
        <f>J$68-J$69</f>
        <v/>
      </c>
      <c r="K70" s="218">
        <f>K$68-K$69</f>
        <v/>
      </c>
      <c r="L70" s="218">
        <f>L$68-L$69</f>
        <v/>
      </c>
      <c r="M70" s="218">
        <f>M$68-M$69</f>
        <v/>
      </c>
      <c r="N70" s="218">
        <f>N$68-N$69</f>
        <v/>
      </c>
      <c r="O70" s="218">
        <f>O$68-O$69</f>
        <v/>
      </c>
      <c r="P70" s="218">
        <f>P$68-P$69</f>
        <v/>
      </c>
      <c r="Q70" s="218">
        <f>Q$68-Q$69</f>
        <v/>
      </c>
      <c r="R70" s="218">
        <f>R$68-R$69</f>
        <v/>
      </c>
      <c r="S70" s="218">
        <f>S$68-S$69</f>
        <v/>
      </c>
      <c r="T70" s="218">
        <f>T$68-T$69</f>
        <v/>
      </c>
      <c r="U70" s="218">
        <f>U$68-U$69</f>
        <v/>
      </c>
      <c r="V70" s="218">
        <f>V$68-V$69</f>
        <v/>
      </c>
      <c r="W70" s="218">
        <f>W$68-W$69</f>
        <v/>
      </c>
      <c r="X70" s="218">
        <f>X$68-X$69</f>
        <v/>
      </c>
      <c r="Y70" s="218">
        <f>Y$68-Y$69</f>
        <v/>
      </c>
      <c r="Z70" s="218">
        <f>Z$68-Z$69</f>
        <v/>
      </c>
      <c r="AA70" s="218">
        <f>AA$68-AA$69</f>
        <v/>
      </c>
      <c r="AB70" s="218">
        <f>AB$68-AB$69</f>
        <v/>
      </c>
      <c r="AC70" s="218">
        <f>AC$68-AC$69</f>
        <v/>
      </c>
      <c r="AD70" s="218">
        <f>AD$68-AD$69</f>
        <v/>
      </c>
      <c r="AE70" s="218">
        <f>AE$68-AE$69</f>
        <v/>
      </c>
      <c r="AF70" s="218">
        <f>AF$68-AF$69</f>
        <v/>
      </c>
      <c r="AG70" s="218">
        <f>AG$68-AG$69</f>
        <v/>
      </c>
      <c r="AH70" s="218">
        <f>AH$68-AH$69</f>
        <v/>
      </c>
      <c r="AI70" s="218">
        <f>AI$68-AI$69</f>
        <v/>
      </c>
      <c r="AJ70" s="218">
        <f>AJ$68-AJ$69</f>
        <v/>
      </c>
      <c r="AK70" s="218">
        <f>AK$68-AK$69</f>
        <v/>
      </c>
      <c r="AL70" s="218">
        <f>AL$68-AL$69</f>
        <v/>
      </c>
      <c r="AM70" s="218">
        <f>AM$68-AM$69</f>
        <v/>
      </c>
      <c r="AN70" s="218">
        <f>AN$68-AN$69</f>
        <v/>
      </c>
      <c r="AO70" s="218">
        <f>AO$68-AO$69</f>
        <v/>
      </c>
      <c r="AP70" s="218">
        <f>AP$68-AP$69</f>
        <v/>
      </c>
      <c r="AQ70" s="218">
        <f>AQ$68-AQ$69</f>
        <v/>
      </c>
      <c r="AR70" s="218">
        <f>AR$68-AR$69</f>
        <v/>
      </c>
      <c r="AS70" s="218">
        <f>AS$68-AS$69</f>
        <v/>
      </c>
      <c r="AT70" s="218">
        <f>AT$68-AT$69</f>
        <v/>
      </c>
      <c r="AU70" s="218">
        <f>AU$68-AU$69</f>
        <v/>
      </c>
      <c r="AV70" s="218">
        <f>AV$68-AV$69</f>
        <v/>
      </c>
      <c r="AW70" s="218">
        <f>AW$68-AW$69</f>
        <v/>
      </c>
      <c r="AX70" s="218">
        <f>AX$68-AX$69</f>
        <v/>
      </c>
      <c r="AY70" s="218">
        <f>AY$68-AY$69</f>
        <v/>
      </c>
      <c r="AZ70" s="218">
        <f>AZ$68-AZ$69</f>
        <v/>
      </c>
      <c r="BA70" s="218">
        <f>BA$68-BA$69</f>
        <v/>
      </c>
      <c r="BB70" s="218">
        <f>BB$68-BB$69</f>
        <v/>
      </c>
      <c r="BC70" s="218">
        <f>BC$68-BC$69</f>
        <v/>
      </c>
      <c r="BD70" s="218">
        <f>BD$68-BD$69</f>
        <v/>
      </c>
      <c r="BE70" s="218">
        <f>BE$68-BE$69</f>
        <v/>
      </c>
      <c r="BF70" s="218">
        <f>BF$68-BF$69</f>
        <v/>
      </c>
      <c r="BG70" s="218">
        <f>BG$68-BG$69</f>
        <v/>
      </c>
      <c r="BH70" s="218">
        <f>BH$68-BH$69</f>
        <v/>
      </c>
      <c r="BI70" s="218">
        <f>BI$68-BI$69</f>
        <v/>
      </c>
      <c r="BJ70" s="218">
        <f>BJ$68-BJ$69</f>
        <v/>
      </c>
      <c r="BK70" s="218">
        <f>BK$68-BK$69</f>
        <v/>
      </c>
      <c r="BL70" s="218">
        <f>BL$68-BL$69</f>
        <v/>
      </c>
      <c r="BM70" s="218">
        <f>BM$68-BM$69</f>
        <v/>
      </c>
      <c r="BN70" s="218">
        <f>BN$68-BN$69</f>
        <v/>
      </c>
      <c r="BO70" s="218">
        <f>BO$68-BO$69</f>
        <v/>
      </c>
      <c r="BP70" s="218">
        <f>BP$68-BP$69</f>
        <v/>
      </c>
      <c r="BQ70" s="218">
        <f>BQ$68-BQ$69</f>
        <v/>
      </c>
      <c r="BR70" s="218">
        <f>BR$68-BR$69</f>
        <v/>
      </c>
      <c r="BS70" s="218">
        <f>BS$68-BS$69</f>
        <v/>
      </c>
      <c r="BT70" s="218">
        <f>BT$68-BT$69</f>
        <v/>
      </c>
      <c r="BU70" s="218">
        <f>BU$68-BU$69</f>
        <v/>
      </c>
      <c r="BV70" s="218">
        <f>BV$68-BV$69</f>
        <v/>
      </c>
      <c r="BW70" s="218">
        <f>BW$68-BW$69</f>
        <v/>
      </c>
      <c r="BX70" s="218">
        <f>BX$68-BX$69</f>
        <v/>
      </c>
      <c r="BY70" s="218">
        <f>BY$68-BY$69</f>
        <v/>
      </c>
      <c r="BZ70" s="218">
        <f>BZ$68-BZ$69</f>
        <v/>
      </c>
      <c r="CA70" s="218">
        <f>CA$68-CA$69</f>
        <v/>
      </c>
      <c r="CB70" s="218">
        <f>CB$68-CB$69</f>
        <v/>
      </c>
      <c r="CC70" s="218">
        <f>CC$68-CC$69</f>
        <v/>
      </c>
      <c r="CD70" s="218">
        <f>CD$68-CD$69</f>
        <v/>
      </c>
      <c r="CE70" s="218">
        <f>CE$68-CE$69</f>
        <v/>
      </c>
      <c r="CF70" s="218">
        <f>CF$68-CF$69</f>
        <v/>
      </c>
      <c r="CG70" s="218">
        <f>CG$68-CG$69</f>
        <v/>
      </c>
      <c r="CH70" s="218">
        <f>CH$68-CH$69</f>
        <v/>
      </c>
      <c r="CI70" s="218">
        <f>CI$68-CI$69</f>
        <v/>
      </c>
      <c r="CJ70" s="218">
        <f>CJ$68-CJ$69</f>
        <v/>
      </c>
      <c r="CK70" s="218">
        <f>CK$68-CK$69</f>
        <v/>
      </c>
      <c r="CL70" s="218">
        <f>CL$68-CL$69</f>
        <v/>
      </c>
      <c r="CM70" s="218">
        <f>CM$68-CM$69</f>
        <v/>
      </c>
      <c r="CN70" s="218">
        <f>CN$68-CN$69</f>
        <v/>
      </c>
      <c r="CO70" s="218">
        <f>CO$68-CO$69</f>
        <v/>
      </c>
      <c r="CP70" s="218">
        <f>CP$68-CP$69</f>
        <v/>
      </c>
      <c r="CQ70" s="218">
        <f>CQ$68-CQ$69</f>
        <v/>
      </c>
      <c r="CR70" s="218">
        <f>CR$68-CR$69</f>
        <v/>
      </c>
      <c r="CS70" s="218">
        <f>CS$68-CS$69</f>
        <v/>
      </c>
      <c r="CT70" s="218">
        <f>CT$68-CT$69</f>
        <v/>
      </c>
      <c r="CU70" s="218">
        <f>CU$68-CU$69</f>
        <v/>
      </c>
      <c r="CV70" s="218">
        <f>CV$68-CV$69</f>
        <v/>
      </c>
      <c r="CW70" s="218">
        <f>CW$68-CW$69</f>
        <v/>
      </c>
      <c r="CX70" s="218">
        <f>CX$68-CX$69</f>
        <v/>
      </c>
      <c r="CY70" s="218">
        <f>CY$68-CY$69</f>
        <v/>
      </c>
      <c r="CZ70" s="218">
        <f>CZ$68-CZ$69</f>
        <v/>
      </c>
      <c r="DA70" s="218">
        <f>DA$68-DA$69</f>
        <v/>
      </c>
      <c r="DB70" s="218">
        <f>DB$68-DB$69</f>
        <v/>
      </c>
      <c r="DC70" s="218">
        <f>DC$68-DC$69</f>
        <v/>
      </c>
      <c r="DD70" s="218">
        <f>DD$68-DD$69</f>
        <v/>
      </c>
      <c r="DE70" s="218">
        <f>DE$68-DE$69</f>
        <v/>
      </c>
      <c r="DF70" s="218">
        <f>DF$68-DF$69</f>
        <v/>
      </c>
      <c r="DG70" s="218">
        <f>DG$68-DG$69</f>
        <v/>
      </c>
      <c r="DH70" s="218">
        <f>DH$68-DH$69</f>
        <v/>
      </c>
      <c r="DI70" s="218">
        <f>DI$68-DI$69</f>
        <v/>
      </c>
      <c r="DJ70" s="218">
        <f>DJ$68-DJ$69</f>
        <v/>
      </c>
      <c r="DK70" s="218">
        <f>DK$68-DK$69</f>
        <v/>
      </c>
      <c r="DL70" s="218">
        <f>DL$68-DL$69</f>
        <v/>
      </c>
      <c r="DM70" s="218">
        <f>DM$68-DM$69</f>
        <v/>
      </c>
      <c r="DN70" s="218">
        <f>DN$68-DN$69</f>
        <v/>
      </c>
      <c r="DO70" s="218">
        <f>DO$68-DO$69</f>
        <v/>
      </c>
      <c r="DP70" s="218">
        <f>DP$68-DP$69</f>
        <v/>
      </c>
      <c r="DQ70" s="218">
        <f>DQ$68-DQ$69</f>
        <v/>
      </c>
      <c r="DR70" s="218">
        <f>DR$68-DR$69</f>
        <v/>
      </c>
      <c r="DS70" s="218">
        <f>DS$68-DS$69</f>
        <v/>
      </c>
      <c r="DT70" s="218">
        <f>DT$68-DT$69</f>
        <v/>
      </c>
      <c r="DU70" s="218">
        <f>DU$68-DU$69</f>
        <v/>
      </c>
      <c r="DV70" s="218">
        <f>DV$68-DV$69</f>
        <v/>
      </c>
      <c r="DW70" s="218">
        <f>DW$68-DW$69</f>
        <v/>
      </c>
      <c r="DX70" s="218">
        <f>DX$68-DX$69</f>
        <v/>
      </c>
      <c r="DY70" s="218">
        <f>DY$68-DY$69</f>
        <v/>
      </c>
      <c r="DZ70" s="218">
        <f>DZ$68-DZ$69</f>
        <v/>
      </c>
      <c r="EA70" s="218">
        <f>EA$68-EA$69</f>
        <v/>
      </c>
      <c r="EB70" s="218">
        <f>EB$68-EB$69</f>
        <v/>
      </c>
      <c r="EC70" s="218">
        <f>EC$68-EC$69</f>
        <v/>
      </c>
      <c r="ED70" s="218">
        <f>ED$68-ED$69</f>
        <v/>
      </c>
      <c r="EE70" s="218">
        <f>EE$68-EE$69</f>
        <v/>
      </c>
      <c r="EF70" s="218">
        <f>EF$68-EF$69</f>
        <v/>
      </c>
      <c r="EG70" s="218">
        <f>EG$68-EG$69</f>
        <v/>
      </c>
      <c r="EH70" s="218">
        <f>EH$68-EH$69</f>
        <v/>
      </c>
      <c r="EI70" s="218">
        <f>EI$68-EI$69</f>
        <v/>
      </c>
      <c r="EJ70" s="218">
        <f>EJ$68-EJ$69</f>
        <v/>
      </c>
      <c r="EK70" s="218">
        <f>EK$68-EK$69</f>
        <v/>
      </c>
      <c r="EL70" s="218">
        <f>EL$68-EL$69</f>
        <v/>
      </c>
      <c r="EM70" s="218">
        <f>EM$68-EM$69</f>
        <v/>
      </c>
      <c r="EN70" s="218">
        <f>EN$68-EN$69</f>
        <v/>
      </c>
      <c r="EO70" s="218">
        <f>EO$68-EO$69</f>
        <v/>
      </c>
      <c r="EP70" s="218">
        <f>EP$68-EP$69</f>
        <v/>
      </c>
      <c r="EQ70" s="218">
        <f>EQ$68-EQ$69</f>
        <v/>
      </c>
      <c r="ER70" s="218">
        <f>ER$68-ER$69</f>
        <v/>
      </c>
      <c r="ES70" s="218">
        <f>ES$68-ES$69</f>
        <v/>
      </c>
      <c r="ET70" s="218">
        <f>ET$68-ET$69</f>
        <v/>
      </c>
      <c r="EU70" s="218">
        <f>EU$68-EU$69</f>
        <v/>
      </c>
      <c r="EV70" s="218">
        <f>EV$68-EV$69</f>
        <v/>
      </c>
      <c r="EW70" s="218">
        <f>EW$68-EW$69</f>
        <v/>
      </c>
      <c r="EX70" s="218">
        <f>EX$68-EX$69</f>
        <v/>
      </c>
      <c r="EY70" s="218">
        <f>EY$68-EY$69</f>
        <v/>
      </c>
      <c r="EZ70" s="218">
        <f>EZ$68-EZ$69</f>
        <v/>
      </c>
      <c r="FA70" s="218">
        <f>FA$68-FA$69</f>
        <v/>
      </c>
      <c r="FB70" s="218">
        <f>FB$68-FB$69</f>
        <v/>
      </c>
      <c r="FC70" s="218">
        <f>FC$68-FC$69</f>
        <v/>
      </c>
      <c r="FD70" s="218">
        <f>FD$68-FD$69</f>
        <v/>
      </c>
      <c r="FE70" s="218">
        <f>FE$68-FE$69</f>
        <v/>
      </c>
      <c r="FF70" s="218">
        <f>FF$68-FF$69</f>
        <v/>
      </c>
      <c r="FG70" s="218">
        <f>FG$68-FG$69</f>
        <v/>
      </c>
      <c r="FH70" s="218">
        <f>FH$68-FH$69</f>
        <v/>
      </c>
      <c r="FI70" s="218">
        <f>FI$68-FI$69</f>
        <v/>
      </c>
      <c r="FJ70" s="218">
        <f>FJ$68-FJ$69</f>
        <v/>
      </c>
      <c r="FK70" s="218">
        <f>FK$68-FK$69</f>
        <v/>
      </c>
      <c r="FL70" s="218">
        <f>FL$68-FL$69</f>
        <v/>
      </c>
      <c r="FM70" s="218">
        <f>FM$68-FM$69</f>
        <v/>
      </c>
      <c r="FN70" s="218">
        <f>FN$68-FN$69</f>
        <v/>
      </c>
      <c r="FO70" s="218">
        <f>FO$68-FO$69</f>
        <v/>
      </c>
      <c r="FP70" s="218">
        <f>FP$68-FP$69</f>
        <v/>
      </c>
      <c r="FQ70" s="218">
        <f>FQ$68-FQ$69</f>
        <v/>
      </c>
      <c r="FR70" s="218">
        <f>FR$68-FR$69</f>
        <v/>
      </c>
      <c r="FS70" s="218">
        <f>FS$68-FS$69</f>
        <v/>
      </c>
      <c r="FT70" s="218">
        <f>FT$68-FT$69</f>
        <v/>
      </c>
      <c r="FU70" s="218">
        <f>FU$68-FU$69</f>
        <v/>
      </c>
      <c r="FV70" s="218">
        <f>FV$68-FV$69</f>
        <v/>
      </c>
      <c r="FW70" s="218">
        <f>FW$68-FW$69</f>
        <v/>
      </c>
      <c r="FX70" s="218">
        <f>FX$68-FX$69</f>
        <v/>
      </c>
      <c r="FY70" s="218">
        <f>FY$68-FY$69</f>
        <v/>
      </c>
      <c r="FZ70" s="218">
        <f>FZ$68-FZ$69</f>
        <v/>
      </c>
      <c r="GA70" s="218">
        <f>GA$68-GA$69</f>
        <v/>
      </c>
      <c r="GB70" s="218">
        <f>GB$68-GB$69</f>
        <v/>
      </c>
      <c r="GC70" s="218">
        <f>GC$68-GC$69</f>
        <v/>
      </c>
      <c r="GD70" s="218">
        <f>GD$68-GD$69</f>
        <v/>
      </c>
      <c r="GE70" s="218">
        <f>GE$68-GE$69</f>
        <v/>
      </c>
      <c r="GF70" s="218">
        <f>GF$68-GF$69</f>
        <v/>
      </c>
      <c r="GG70" s="218">
        <f>GG$68-GG$69</f>
        <v/>
      </c>
      <c r="GH70" s="218">
        <f>GH$68-GH$69</f>
        <v/>
      </c>
      <c r="GI70" s="218">
        <f>GI$68-GI$69</f>
        <v/>
      </c>
      <c r="GJ70" s="218">
        <f>GJ$68-GJ$69</f>
        <v/>
      </c>
      <c r="GK70" s="218">
        <f>GK$68-GK$69</f>
        <v/>
      </c>
      <c r="GL70" s="218">
        <f>GL$68-GL$69</f>
        <v/>
      </c>
      <c r="GM70" s="218">
        <f>GM$68-GM$69</f>
        <v/>
      </c>
      <c r="GN70" s="218">
        <f>GN$68-GN$69</f>
        <v/>
      </c>
      <c r="GO70" s="218">
        <f>GO$68-GO$69</f>
        <v/>
      </c>
      <c r="GP70" s="218">
        <f>GP$68-GP$69</f>
        <v/>
      </c>
      <c r="GQ70" s="218">
        <f>GQ$68-GQ$69</f>
        <v/>
      </c>
      <c r="GR70" s="218">
        <f>GR$68-GR$69</f>
        <v/>
      </c>
      <c r="GS70" s="218">
        <f>GS$68-GS$69</f>
        <v/>
      </c>
      <c r="GT70" s="218">
        <f>GT$68-GT$69</f>
        <v/>
      </c>
      <c r="GU70" s="218">
        <f>GU$68-GU$69</f>
        <v/>
      </c>
      <c r="GV70" s="218">
        <f>GV$68-GV$69</f>
        <v/>
      </c>
      <c r="GW70" s="218">
        <f>GW$68-GW$69</f>
        <v/>
      </c>
      <c r="GX70" s="218">
        <f>GX$68-GX$69</f>
        <v/>
      </c>
      <c r="GY70" s="218">
        <f>GY$68-GY$69</f>
        <v/>
      </c>
      <c r="GZ70" s="218">
        <f>GZ$68-GZ$69</f>
        <v/>
      </c>
      <c r="HA70" s="218">
        <f>HA$68-HA$69</f>
        <v/>
      </c>
      <c r="HB70" s="218">
        <f>HB$68-HB$69</f>
        <v/>
      </c>
      <c r="HC70" s="218">
        <f>HC$68-HC$69</f>
        <v/>
      </c>
      <c r="HD70" s="218">
        <f>HD$68-HD$69</f>
        <v/>
      </c>
      <c r="HE70" s="218">
        <f>HE$68-HE$69</f>
        <v/>
      </c>
      <c r="HF70" s="218">
        <f>HF$68-HF$69</f>
        <v/>
      </c>
      <c r="HG70" s="218">
        <f>HG$68-HG$69</f>
        <v/>
      </c>
      <c r="HH70" s="218">
        <f>HH$68-HH$69</f>
        <v/>
      </c>
      <c r="HI70" s="218">
        <f>HI$68-HI$69</f>
        <v/>
      </c>
      <c r="HJ70" s="218">
        <f>HJ$68-HJ$69</f>
        <v/>
      </c>
      <c r="HK70" s="218">
        <f>HK$68-HK$69</f>
        <v/>
      </c>
      <c r="HL70" s="218">
        <f>HL$68-HL$69</f>
        <v/>
      </c>
      <c r="HM70" s="218">
        <f>HM$68-HM$69</f>
        <v/>
      </c>
      <c r="HN70" s="218">
        <f>HN$68-HN$69</f>
        <v/>
      </c>
      <c r="HO70" s="218">
        <f>HO$68-HO$69</f>
        <v/>
      </c>
      <c r="HP70" s="218">
        <f>HP$68-HP$69</f>
        <v/>
      </c>
      <c r="HQ70" s="218">
        <f>HQ$68-HQ$69</f>
        <v/>
      </c>
      <c r="HR70" s="218">
        <f>HR$68-HR$69</f>
        <v/>
      </c>
      <c r="HS70" s="218">
        <f>HS$68-HS$69</f>
        <v/>
      </c>
      <c r="HT70" s="218">
        <f>HT$68-HT$69</f>
        <v/>
      </c>
      <c r="HU70" s="218">
        <f>HU$68-HU$69</f>
        <v/>
      </c>
      <c r="HV70" s="218">
        <f>HV$68-HV$69</f>
        <v/>
      </c>
      <c r="HW70" s="218">
        <f>HW$68-HW$69</f>
        <v/>
      </c>
      <c r="HX70" s="218">
        <f>HX$68-HX$69</f>
        <v/>
      </c>
      <c r="HY70" s="218">
        <f>HY$68-HY$69</f>
        <v/>
      </c>
      <c r="HZ70" s="218">
        <f>HZ$68-HZ$69</f>
        <v/>
      </c>
      <c r="IA70" s="218">
        <f>IA$68-IA$69</f>
        <v/>
      </c>
      <c r="IB70" s="218">
        <f>IB$68-IB$69</f>
        <v/>
      </c>
      <c r="IC70" s="218">
        <f>IC$68-IC$69</f>
        <v/>
      </c>
      <c r="ID70" s="218">
        <f>ID$68-ID$69</f>
        <v/>
      </c>
      <c r="IE70" s="218">
        <f>IE$68-IE$69</f>
        <v/>
      </c>
      <c r="IF70" s="218">
        <f>IF$68-IF$69</f>
        <v/>
      </c>
      <c r="IG70" s="218">
        <f>IG$68-IG$69</f>
        <v/>
      </c>
      <c r="IH70" s="218">
        <f>IH$68-IH$69</f>
        <v/>
      </c>
      <c r="II70" s="218">
        <f>II$68-II$69</f>
        <v/>
      </c>
      <c r="IJ70" s="218">
        <f>IJ$68-IJ$69</f>
        <v/>
      </c>
      <c r="IK70" s="218">
        <f>IK$68-IK$69</f>
        <v/>
      </c>
      <c r="IL70" s="218">
        <f>IL$68-IL$69</f>
        <v/>
      </c>
      <c r="IM70" s="218">
        <f>IM$68-IM$69</f>
        <v/>
      </c>
      <c r="IN70" s="218">
        <f>IN$68-IN$69</f>
        <v/>
      </c>
      <c r="IO70" s="218">
        <f>IO$68-IO$69</f>
        <v/>
      </c>
      <c r="IP70" s="218">
        <f>IP$68-IP$69</f>
        <v/>
      </c>
      <c r="IQ70" s="218">
        <f>IQ$68-IQ$69</f>
        <v/>
      </c>
      <c r="IR70" s="218">
        <f>IR$68-IR$69</f>
        <v/>
      </c>
      <c r="IS70" s="218">
        <f>IS$68-IS$69</f>
        <v/>
      </c>
      <c r="IT70" s="218">
        <f>IT$68-IT$69</f>
        <v/>
      </c>
      <c r="IU70" s="218">
        <f>IU$68-IU$69</f>
        <v/>
      </c>
      <c r="IV70" s="218">
        <f>IV$68-IV$69</f>
        <v/>
      </c>
      <c r="IW70" s="218">
        <f>IW$68-IW$69</f>
        <v/>
      </c>
      <c r="IX70" s="218">
        <f>IX$68-IX$69</f>
        <v/>
      </c>
      <c r="IY70" s="218">
        <f>IY$68-IY$69</f>
        <v/>
      </c>
      <c r="IZ70" s="218">
        <f>IZ$68-IZ$69</f>
        <v/>
      </c>
      <c r="JA70" s="218">
        <f>JA$68-JA$69</f>
        <v/>
      </c>
      <c r="JB70" s="218">
        <f>JB$68-JB$69</f>
        <v/>
      </c>
      <c r="JC70" s="218">
        <f>JC$68-JC$69</f>
        <v/>
      </c>
      <c r="JD70" s="218">
        <f>JD$68-JD$69</f>
        <v/>
      </c>
      <c r="JE70" s="218">
        <f>JE$68-JE$69</f>
        <v/>
      </c>
      <c r="JF70" s="218">
        <f>JF$68-JF$69</f>
        <v/>
      </c>
      <c r="JG70" s="218">
        <f>JG$68-JG$69</f>
        <v/>
      </c>
      <c r="JH70" s="218">
        <f>JH$68-JH$69</f>
        <v/>
      </c>
      <c r="JI70" s="218">
        <f>JI$68-JI$69</f>
        <v/>
      </c>
      <c r="JJ70" s="218">
        <f>JJ$68-JJ$69</f>
        <v/>
      </c>
      <c r="JK70" s="218">
        <f>JK$68-JK$69</f>
        <v/>
      </c>
      <c r="JL70" s="218">
        <f>JL$68-JL$69</f>
        <v/>
      </c>
      <c r="JM70" s="218">
        <f>JM$68-JM$69</f>
        <v/>
      </c>
      <c r="JN70" s="218">
        <f>JN$68-JN$69</f>
        <v/>
      </c>
      <c r="JO70" s="218">
        <f>JO$68-JO$69</f>
        <v/>
      </c>
      <c r="JP70" s="218">
        <f>JP$68-JP$69</f>
        <v/>
      </c>
      <c r="JQ70" s="218">
        <f>JQ$68-JQ$69</f>
        <v/>
      </c>
      <c r="JR70" s="218">
        <f>JR$68-JR$69</f>
        <v/>
      </c>
      <c r="JS70" s="218">
        <f>JS$68-JS$69</f>
        <v/>
      </c>
      <c r="JT70" s="218">
        <f>JT$68-JT$69</f>
        <v/>
      </c>
      <c r="JU70" s="218">
        <f>JU$68-JU$69</f>
        <v/>
      </c>
      <c r="JV70" s="218">
        <f>JV$68-JV$69</f>
        <v/>
      </c>
      <c r="JW70" s="218">
        <f>JW$68-JW$69</f>
        <v/>
      </c>
      <c r="JX70" s="218">
        <f>JX$68-JX$69</f>
        <v/>
      </c>
      <c r="JY70" s="218">
        <f>JY$68-JY$69</f>
        <v/>
      </c>
      <c r="JZ70" s="218">
        <f>JZ$68-JZ$69</f>
        <v/>
      </c>
      <c r="KA70" s="218">
        <f>KA$68-KA$69</f>
        <v/>
      </c>
      <c r="KB70" s="218">
        <f>KB$68-KB$69</f>
        <v/>
      </c>
      <c r="KC70" s="218">
        <f>KC$68-KC$69</f>
        <v/>
      </c>
      <c r="KD70" s="218">
        <f>KD$68-KD$69</f>
        <v/>
      </c>
      <c r="KE70" s="218">
        <f>KE$68-KE$69</f>
        <v/>
      </c>
      <c r="KF70" s="218">
        <f>KF$68-KF$69</f>
        <v/>
      </c>
      <c r="KG70" s="218">
        <f>KG$68-KG$69</f>
        <v/>
      </c>
      <c r="KH70" s="218">
        <f>KH$68-KH$69</f>
        <v/>
      </c>
      <c r="KI70" s="218">
        <f>KI$68-KI$69</f>
        <v/>
      </c>
      <c r="KJ70" s="218">
        <f>KJ$68-KJ$69</f>
        <v/>
      </c>
      <c r="KK70" s="218">
        <f>KK$68-KK$69</f>
        <v/>
      </c>
      <c r="KL70" s="218">
        <f>KL$68-KL$69</f>
        <v/>
      </c>
      <c r="KM70" s="218">
        <f>KM$68-KM$69</f>
        <v/>
      </c>
      <c r="KN70" s="218">
        <f>KN$68-KN$69</f>
        <v/>
      </c>
      <c r="KO70" s="218">
        <f>KO$68-KO$69</f>
        <v/>
      </c>
      <c r="KP70" s="218">
        <f>KP$68-KP$69</f>
        <v/>
      </c>
      <c r="KQ70" s="218">
        <f>KQ$68-KQ$69</f>
        <v/>
      </c>
      <c r="KR70" s="218">
        <f>KR$68-KR$69</f>
        <v/>
      </c>
      <c r="KS70" s="218">
        <f>KS$68-KS$69</f>
        <v/>
      </c>
      <c r="KT70" s="218">
        <f>KT$68-KT$69</f>
        <v/>
      </c>
      <c r="KU70" s="218">
        <f>KU$68-KU$69</f>
        <v/>
      </c>
      <c r="KV70" s="218">
        <f>KV$68-KV$69</f>
        <v/>
      </c>
      <c r="KW70" s="218">
        <f>KW$68-KW$69</f>
        <v/>
      </c>
      <c r="KX70" s="218">
        <f>KX$68-KX$69</f>
        <v/>
      </c>
      <c r="KY70" s="218">
        <f>KY$68-KY$69</f>
        <v/>
      </c>
      <c r="KZ70" s="218">
        <f>KZ$68-KZ$69</f>
        <v/>
      </c>
      <c r="LA70" s="218">
        <f>LA$68-LA$69</f>
        <v/>
      </c>
      <c r="LB70" s="218">
        <f>LB$68-LB$69</f>
        <v/>
      </c>
      <c r="LC70" s="218">
        <f>LC$68-LC$69</f>
        <v/>
      </c>
      <c r="LD70" s="218">
        <f>LD$68-LD$69</f>
        <v/>
      </c>
      <c r="LE70" s="218">
        <f>LE$68-LE$69</f>
        <v/>
      </c>
      <c r="LF70" s="218">
        <f>LF$68-LF$69</f>
        <v/>
      </c>
      <c r="LG70" s="218">
        <f>LG$68-LG$69</f>
        <v/>
      </c>
      <c r="LH70" s="218">
        <f>LH$68-LH$69</f>
        <v/>
      </c>
      <c r="LI70" s="218">
        <f>LI$68-LI$69</f>
        <v/>
      </c>
      <c r="LJ70" s="218">
        <f>LJ$68-LJ$69</f>
        <v/>
      </c>
      <c r="LK70" s="218">
        <f>LK$68-LK$69</f>
        <v/>
      </c>
      <c r="LL70" s="218">
        <f>LL$68-LL$69</f>
        <v/>
      </c>
      <c r="LM70" s="218">
        <f>LM$68-LM$69</f>
        <v/>
      </c>
      <c r="LN70" s="218">
        <f>LN$68-LN$69</f>
        <v/>
      </c>
      <c r="LO70" s="218">
        <f>LO$68-LO$69</f>
        <v/>
      </c>
      <c r="LP70" s="218">
        <f>LP$68-LP$69</f>
        <v/>
      </c>
      <c r="LQ70" s="218">
        <f>LQ$68-LQ$69</f>
        <v/>
      </c>
      <c r="LR70" s="218">
        <f>LR$68-LR$69</f>
        <v/>
      </c>
      <c r="LS70" s="218">
        <f>LS$68-LS$69</f>
        <v/>
      </c>
      <c r="LT70" s="218">
        <f>LT$68-LT$69</f>
        <v/>
      </c>
      <c r="LU70" s="218">
        <f>LU$68-LU$69</f>
        <v/>
      </c>
      <c r="LV70" s="218">
        <f>LV$68-LV$69</f>
        <v/>
      </c>
      <c r="LW70" s="218">
        <f>LW$68-LW$69</f>
        <v/>
      </c>
      <c r="LX70" s="218">
        <f>LX$68-LX$69</f>
        <v/>
      </c>
      <c r="LY70" s="218">
        <f>LY$68-LY$69</f>
        <v/>
      </c>
      <c r="LZ70" s="218">
        <f>LZ$68-LZ$69</f>
        <v/>
      </c>
      <c r="MA70" s="218">
        <f>MA$68-MA$69</f>
        <v/>
      </c>
      <c r="MB70" s="218">
        <f>MB$68-MB$69</f>
        <v/>
      </c>
      <c r="MC70" s="218">
        <f>MC$68-MC$69</f>
        <v/>
      </c>
      <c r="MD70" s="218">
        <f>MD$68-MD$69</f>
        <v/>
      </c>
      <c r="ME70" s="218">
        <f>ME$68-ME$69</f>
        <v/>
      </c>
      <c r="MF70" s="218">
        <f>MF$68-MF$69</f>
        <v/>
      </c>
      <c r="MG70" s="218">
        <f>MG$68-MG$69</f>
        <v/>
      </c>
      <c r="MH70" s="218">
        <f>MH$68-MH$69</f>
        <v/>
      </c>
      <c r="MI70" s="218">
        <f>MI$68-MI$69</f>
        <v/>
      </c>
      <c r="MJ70" s="218">
        <f>MJ$68-MJ$69</f>
        <v/>
      </c>
      <c r="MK70" s="218">
        <f>MK$68-MK$69</f>
        <v/>
      </c>
      <c r="ML70" s="218">
        <f>ML$68-ML$69</f>
        <v/>
      </c>
      <c r="MM70" s="218">
        <f>MM$68-MM$69</f>
        <v/>
      </c>
      <c r="MN70" s="218">
        <f>MN$68-MN$69</f>
        <v/>
      </c>
      <c r="MO70" s="218">
        <f>MO$68-MO$69</f>
        <v/>
      </c>
      <c r="MP70" s="218">
        <f>MP$68-MP$69</f>
        <v/>
      </c>
      <c r="MQ70" s="218">
        <f>MQ$68-MQ$69</f>
        <v/>
      </c>
      <c r="MR70" s="218">
        <f>MR$68-MR$69</f>
        <v/>
      </c>
      <c r="MS70" s="218">
        <f>MS$68-MS$69</f>
        <v/>
      </c>
      <c r="MT70" s="218">
        <f>MT$68-MT$69</f>
        <v/>
      </c>
      <c r="MU70" s="218">
        <f>MU$68-MU$69</f>
        <v/>
      </c>
      <c r="MV70" s="218">
        <f>MV$68-MV$69</f>
        <v/>
      </c>
      <c r="MW70" s="218">
        <f>MW$68-MW$69</f>
        <v/>
      </c>
      <c r="MX70" s="218">
        <f>MX$68-MX$69</f>
        <v/>
      </c>
      <c r="MY70" s="218">
        <f>MY$68-MY$69</f>
        <v/>
      </c>
      <c r="MZ70" s="218">
        <f>MZ$68-MZ$69</f>
        <v/>
      </c>
      <c r="NA70" s="218">
        <f>NA$68-NA$69</f>
        <v/>
      </c>
      <c r="NB70" s="218">
        <f>NB$68-NB$69</f>
        <v/>
      </c>
      <c r="NC70" s="218">
        <f>NC$68-NC$69</f>
        <v/>
      </c>
      <c r="ND70" s="218">
        <f>ND$68-ND$69</f>
        <v/>
      </c>
      <c r="NE70" s="218">
        <f>NE$68-NE$69</f>
        <v/>
      </c>
      <c r="NF70" s="218">
        <f>NF$68-NF$69</f>
        <v/>
      </c>
      <c r="NG70" s="218">
        <f>NG$68-NG$69</f>
        <v/>
      </c>
      <c r="NH70" s="218">
        <f>NH$68-NH$69</f>
        <v/>
      </c>
      <c r="NI70" s="218">
        <f>NI$68-NI$69</f>
        <v/>
      </c>
      <c r="NJ70" s="218">
        <f>NJ$68-NJ$69</f>
        <v/>
      </c>
      <c r="NK70" s="218">
        <f>NK$68-NK$69</f>
        <v/>
      </c>
      <c r="NL70" s="218">
        <f>NL$68-NL$69</f>
        <v/>
      </c>
    </row>
    <row r="71">
      <c r="B71" s="84" t="inlineStr">
        <is>
          <t>Static Below-NOI</t>
        </is>
      </c>
      <c r="D71" s="266">
        <f>SUM(E71:NL71)</f>
        <v/>
      </c>
      <c r="E71" s="218">
        <f>IF(1&gt;=DeliverStart,TotalUnits/12*(CapReservePerUnit+TaxPrepPerUnit)+AssetMgmtFeePct*((BaseMarketRentMo+BaseLowRentMo)*(LeaseUp!E$10-LossToLeasePct-BadDebtPct-ConcessionsPct)+LeaseUp!E$9*(ParkingPerUnitMo+UtilReimbPerUnitMo+OtherIncPerUnitMo)+RetailRentMo*MIN(1,LeaseUp!E$10/StabilizedOccupancy)),0)</f>
        <v/>
      </c>
      <c r="F71" s="218">
        <f>IF(2&gt;=DeliverStart,TotalUnits/12*(CapReservePerUnit+TaxPrepPerUnit)+AssetMgmtFeePct*((BaseMarketRentMo+BaseLowRentMo)*(LeaseUp!F$10-LossToLeasePct-BadDebtPct-ConcessionsPct)+LeaseUp!F$9*(ParkingPerUnitMo+UtilReimbPerUnitMo+OtherIncPerUnitMo)+RetailRentMo*MIN(1,LeaseUp!F$10/StabilizedOccupancy)),0)</f>
        <v/>
      </c>
      <c r="G71" s="218">
        <f>IF(3&gt;=DeliverStart,TotalUnits/12*(CapReservePerUnit+TaxPrepPerUnit)+AssetMgmtFeePct*((BaseMarketRentMo+BaseLowRentMo)*(LeaseUp!G$10-LossToLeasePct-BadDebtPct-ConcessionsPct)+LeaseUp!G$9*(ParkingPerUnitMo+UtilReimbPerUnitMo+OtherIncPerUnitMo)+RetailRentMo*MIN(1,LeaseUp!G$10/StabilizedOccupancy)),0)</f>
        <v/>
      </c>
      <c r="H71" s="218">
        <f>IF(4&gt;=DeliverStart,TotalUnits/12*(CapReservePerUnit+TaxPrepPerUnit)+AssetMgmtFeePct*((BaseMarketRentMo+BaseLowRentMo)*(LeaseUp!H$10-LossToLeasePct-BadDebtPct-ConcessionsPct)+LeaseUp!H$9*(ParkingPerUnitMo+UtilReimbPerUnitMo+OtherIncPerUnitMo)+RetailRentMo*MIN(1,LeaseUp!H$10/StabilizedOccupancy)),0)</f>
        <v/>
      </c>
      <c r="I71" s="218">
        <f>IF(5&gt;=DeliverStart,TotalUnits/12*(CapReservePerUnit+TaxPrepPerUnit)+AssetMgmtFeePct*((BaseMarketRentMo+BaseLowRentMo)*(LeaseUp!I$10-LossToLeasePct-BadDebtPct-ConcessionsPct)+LeaseUp!I$9*(ParkingPerUnitMo+UtilReimbPerUnitMo+OtherIncPerUnitMo)+RetailRentMo*MIN(1,LeaseUp!I$10/StabilizedOccupancy)),0)</f>
        <v/>
      </c>
      <c r="J71" s="218">
        <f>IF(6&gt;=DeliverStart,TotalUnits/12*(CapReservePerUnit+TaxPrepPerUnit)+AssetMgmtFeePct*((BaseMarketRentMo+BaseLowRentMo)*(LeaseUp!J$10-LossToLeasePct-BadDebtPct-ConcessionsPct)+LeaseUp!J$9*(ParkingPerUnitMo+UtilReimbPerUnitMo+OtherIncPerUnitMo)+RetailRentMo*MIN(1,LeaseUp!J$10/StabilizedOccupancy)),0)</f>
        <v/>
      </c>
      <c r="K71" s="218">
        <f>IF(7&gt;=DeliverStart,TotalUnits/12*(CapReservePerUnit+TaxPrepPerUnit)+AssetMgmtFeePct*((BaseMarketRentMo+BaseLowRentMo)*(LeaseUp!K$10-LossToLeasePct-BadDebtPct-ConcessionsPct)+LeaseUp!K$9*(ParkingPerUnitMo+UtilReimbPerUnitMo+OtherIncPerUnitMo)+RetailRentMo*MIN(1,LeaseUp!K$10/StabilizedOccupancy)),0)</f>
        <v/>
      </c>
      <c r="L71" s="218">
        <f>IF(8&gt;=DeliverStart,TotalUnits/12*(CapReservePerUnit+TaxPrepPerUnit)+AssetMgmtFeePct*((BaseMarketRentMo+BaseLowRentMo)*(LeaseUp!L$10-LossToLeasePct-BadDebtPct-ConcessionsPct)+LeaseUp!L$9*(ParkingPerUnitMo+UtilReimbPerUnitMo+OtherIncPerUnitMo)+RetailRentMo*MIN(1,LeaseUp!L$10/StabilizedOccupancy)),0)</f>
        <v/>
      </c>
      <c r="M71" s="218">
        <f>IF(9&gt;=DeliverStart,TotalUnits/12*(CapReservePerUnit+TaxPrepPerUnit)+AssetMgmtFeePct*((BaseMarketRentMo+BaseLowRentMo)*(LeaseUp!M$10-LossToLeasePct-BadDebtPct-ConcessionsPct)+LeaseUp!M$9*(ParkingPerUnitMo+UtilReimbPerUnitMo+OtherIncPerUnitMo)+RetailRentMo*MIN(1,LeaseUp!M$10/StabilizedOccupancy)),0)</f>
        <v/>
      </c>
      <c r="N71" s="218">
        <f>IF(10&gt;=DeliverStart,TotalUnits/12*(CapReservePerUnit+TaxPrepPerUnit)+AssetMgmtFeePct*((BaseMarketRentMo+BaseLowRentMo)*(LeaseUp!N$10-LossToLeasePct-BadDebtPct-ConcessionsPct)+LeaseUp!N$9*(ParkingPerUnitMo+UtilReimbPerUnitMo+OtherIncPerUnitMo)+RetailRentMo*MIN(1,LeaseUp!N$10/StabilizedOccupancy)),0)</f>
        <v/>
      </c>
      <c r="O71" s="218">
        <f>IF(11&gt;=DeliverStart,TotalUnits/12*(CapReservePerUnit+TaxPrepPerUnit)+AssetMgmtFeePct*((BaseMarketRentMo+BaseLowRentMo)*(LeaseUp!O$10-LossToLeasePct-BadDebtPct-ConcessionsPct)+LeaseUp!O$9*(ParkingPerUnitMo+UtilReimbPerUnitMo+OtherIncPerUnitMo)+RetailRentMo*MIN(1,LeaseUp!O$10/StabilizedOccupancy)),0)</f>
        <v/>
      </c>
      <c r="P71" s="218">
        <f>IF(12&gt;=DeliverStart,TotalUnits/12*(CapReservePerUnit+TaxPrepPerUnit)+AssetMgmtFeePct*((BaseMarketRentMo+BaseLowRentMo)*(LeaseUp!P$10-LossToLeasePct-BadDebtPct-ConcessionsPct)+LeaseUp!P$9*(ParkingPerUnitMo+UtilReimbPerUnitMo+OtherIncPerUnitMo)+RetailRentMo*MIN(1,LeaseUp!P$10/StabilizedOccupancy)),0)</f>
        <v/>
      </c>
      <c r="Q71" s="218">
        <f>IF(13&gt;=DeliverStart,TotalUnits/12*(CapReservePerUnit+TaxPrepPerUnit)+AssetMgmtFeePct*((BaseMarketRentMo+BaseLowRentMo)*(LeaseUp!Q$10-LossToLeasePct-BadDebtPct-ConcessionsPct)+LeaseUp!Q$9*(ParkingPerUnitMo+UtilReimbPerUnitMo+OtherIncPerUnitMo)+RetailRentMo*MIN(1,LeaseUp!Q$10/StabilizedOccupancy)),0)</f>
        <v/>
      </c>
      <c r="R71" s="218">
        <f>IF(14&gt;=DeliverStart,TotalUnits/12*(CapReservePerUnit+TaxPrepPerUnit)+AssetMgmtFeePct*((BaseMarketRentMo+BaseLowRentMo)*(LeaseUp!R$10-LossToLeasePct-BadDebtPct-ConcessionsPct)+LeaseUp!R$9*(ParkingPerUnitMo+UtilReimbPerUnitMo+OtherIncPerUnitMo)+RetailRentMo*MIN(1,LeaseUp!R$10/StabilizedOccupancy)),0)</f>
        <v/>
      </c>
      <c r="S71" s="218">
        <f>IF(15&gt;=DeliverStart,TotalUnits/12*(CapReservePerUnit+TaxPrepPerUnit)+AssetMgmtFeePct*((BaseMarketRentMo+BaseLowRentMo)*(LeaseUp!S$10-LossToLeasePct-BadDebtPct-ConcessionsPct)+LeaseUp!S$9*(ParkingPerUnitMo+UtilReimbPerUnitMo+OtherIncPerUnitMo)+RetailRentMo*MIN(1,LeaseUp!S$10/StabilizedOccupancy)),0)</f>
        <v/>
      </c>
      <c r="T71" s="218">
        <f>IF(16&gt;=DeliverStart,TotalUnits/12*(CapReservePerUnit+TaxPrepPerUnit)+AssetMgmtFeePct*((BaseMarketRentMo+BaseLowRentMo)*(LeaseUp!T$10-LossToLeasePct-BadDebtPct-ConcessionsPct)+LeaseUp!T$9*(ParkingPerUnitMo+UtilReimbPerUnitMo+OtherIncPerUnitMo)+RetailRentMo*MIN(1,LeaseUp!T$10/StabilizedOccupancy)),0)</f>
        <v/>
      </c>
      <c r="U71" s="218">
        <f>IF(17&gt;=DeliverStart,TotalUnits/12*(CapReservePerUnit+TaxPrepPerUnit)+AssetMgmtFeePct*((BaseMarketRentMo+BaseLowRentMo)*(LeaseUp!U$10-LossToLeasePct-BadDebtPct-ConcessionsPct)+LeaseUp!U$9*(ParkingPerUnitMo+UtilReimbPerUnitMo+OtherIncPerUnitMo)+RetailRentMo*MIN(1,LeaseUp!U$10/StabilizedOccupancy)),0)</f>
        <v/>
      </c>
      <c r="V71" s="218">
        <f>IF(18&gt;=DeliverStart,TotalUnits/12*(CapReservePerUnit+TaxPrepPerUnit)+AssetMgmtFeePct*((BaseMarketRentMo+BaseLowRentMo)*(LeaseUp!V$10-LossToLeasePct-BadDebtPct-ConcessionsPct)+LeaseUp!V$9*(ParkingPerUnitMo+UtilReimbPerUnitMo+OtherIncPerUnitMo)+RetailRentMo*MIN(1,LeaseUp!V$10/StabilizedOccupancy)),0)</f>
        <v/>
      </c>
      <c r="W71" s="218">
        <f>IF(19&gt;=DeliverStart,TotalUnits/12*(CapReservePerUnit+TaxPrepPerUnit)+AssetMgmtFeePct*((BaseMarketRentMo+BaseLowRentMo)*(LeaseUp!W$10-LossToLeasePct-BadDebtPct-ConcessionsPct)+LeaseUp!W$9*(ParkingPerUnitMo+UtilReimbPerUnitMo+OtherIncPerUnitMo)+RetailRentMo*MIN(1,LeaseUp!W$10/StabilizedOccupancy)),0)</f>
        <v/>
      </c>
      <c r="X71" s="218">
        <f>IF(20&gt;=DeliverStart,TotalUnits/12*(CapReservePerUnit+TaxPrepPerUnit)+AssetMgmtFeePct*((BaseMarketRentMo+BaseLowRentMo)*(LeaseUp!X$10-LossToLeasePct-BadDebtPct-ConcessionsPct)+LeaseUp!X$9*(ParkingPerUnitMo+UtilReimbPerUnitMo+OtherIncPerUnitMo)+RetailRentMo*MIN(1,LeaseUp!X$10/StabilizedOccupancy)),0)</f>
        <v/>
      </c>
      <c r="Y71" s="218">
        <f>IF(21&gt;=DeliverStart,TotalUnits/12*(CapReservePerUnit+TaxPrepPerUnit)+AssetMgmtFeePct*((BaseMarketRentMo+BaseLowRentMo)*(LeaseUp!Y$10-LossToLeasePct-BadDebtPct-ConcessionsPct)+LeaseUp!Y$9*(ParkingPerUnitMo+UtilReimbPerUnitMo+OtherIncPerUnitMo)+RetailRentMo*MIN(1,LeaseUp!Y$10/StabilizedOccupancy)),0)</f>
        <v/>
      </c>
      <c r="Z71" s="218">
        <f>IF(22&gt;=DeliverStart,TotalUnits/12*(CapReservePerUnit+TaxPrepPerUnit)+AssetMgmtFeePct*((BaseMarketRentMo+BaseLowRentMo)*(LeaseUp!Z$10-LossToLeasePct-BadDebtPct-ConcessionsPct)+LeaseUp!Z$9*(ParkingPerUnitMo+UtilReimbPerUnitMo+OtherIncPerUnitMo)+RetailRentMo*MIN(1,LeaseUp!Z$10/StabilizedOccupancy)),0)</f>
        <v/>
      </c>
      <c r="AA71" s="218">
        <f>IF(23&gt;=DeliverStart,TotalUnits/12*(CapReservePerUnit+TaxPrepPerUnit)+AssetMgmtFeePct*((BaseMarketRentMo+BaseLowRentMo)*(LeaseUp!AA$10-LossToLeasePct-BadDebtPct-ConcessionsPct)+LeaseUp!AA$9*(ParkingPerUnitMo+UtilReimbPerUnitMo+OtherIncPerUnitMo)+RetailRentMo*MIN(1,LeaseUp!AA$10/StabilizedOccupancy)),0)</f>
        <v/>
      </c>
      <c r="AB71" s="218">
        <f>IF(24&gt;=DeliverStart,TotalUnits/12*(CapReservePerUnit+TaxPrepPerUnit)+AssetMgmtFeePct*((BaseMarketRentMo+BaseLowRentMo)*(LeaseUp!AB$10-LossToLeasePct-BadDebtPct-ConcessionsPct)+LeaseUp!AB$9*(ParkingPerUnitMo+UtilReimbPerUnitMo+OtherIncPerUnitMo)+RetailRentMo*MIN(1,LeaseUp!AB$10/StabilizedOccupancy)),0)</f>
        <v/>
      </c>
      <c r="AC71" s="218">
        <f>IF(25&gt;=DeliverStart,TotalUnits/12*(CapReservePerUnit+TaxPrepPerUnit)+AssetMgmtFeePct*((BaseMarketRentMo+BaseLowRentMo)*(LeaseUp!AC$10-LossToLeasePct-BadDebtPct-ConcessionsPct)+LeaseUp!AC$9*(ParkingPerUnitMo+UtilReimbPerUnitMo+OtherIncPerUnitMo)+RetailRentMo*MIN(1,LeaseUp!AC$10/StabilizedOccupancy)),0)</f>
        <v/>
      </c>
      <c r="AD71" s="218">
        <f>IF(26&gt;=DeliverStart,TotalUnits/12*(CapReservePerUnit+TaxPrepPerUnit)+AssetMgmtFeePct*((BaseMarketRentMo+BaseLowRentMo)*(LeaseUp!AD$10-LossToLeasePct-BadDebtPct-ConcessionsPct)+LeaseUp!AD$9*(ParkingPerUnitMo+UtilReimbPerUnitMo+OtherIncPerUnitMo)+RetailRentMo*MIN(1,LeaseUp!AD$10/StabilizedOccupancy)),0)</f>
        <v/>
      </c>
      <c r="AE71" s="218">
        <f>IF(27&gt;=DeliverStart,TotalUnits/12*(CapReservePerUnit+TaxPrepPerUnit)+AssetMgmtFeePct*((BaseMarketRentMo+BaseLowRentMo)*(LeaseUp!AE$10-LossToLeasePct-BadDebtPct-ConcessionsPct)+LeaseUp!AE$9*(ParkingPerUnitMo+UtilReimbPerUnitMo+OtherIncPerUnitMo)+RetailRentMo*MIN(1,LeaseUp!AE$10/StabilizedOccupancy)),0)</f>
        <v/>
      </c>
      <c r="AF71" s="218">
        <f>IF(28&gt;=DeliverStart,TotalUnits/12*(CapReservePerUnit+TaxPrepPerUnit)+AssetMgmtFeePct*((BaseMarketRentMo+BaseLowRentMo)*(LeaseUp!AF$10-LossToLeasePct-BadDebtPct-ConcessionsPct)+LeaseUp!AF$9*(ParkingPerUnitMo+UtilReimbPerUnitMo+OtherIncPerUnitMo)+RetailRentMo*MIN(1,LeaseUp!AF$10/StabilizedOccupancy)),0)</f>
        <v/>
      </c>
      <c r="AG71" s="218">
        <f>IF(29&gt;=DeliverStart,TotalUnits/12*(CapReservePerUnit+TaxPrepPerUnit)+AssetMgmtFeePct*((BaseMarketRentMo+BaseLowRentMo)*(LeaseUp!AG$10-LossToLeasePct-BadDebtPct-ConcessionsPct)+LeaseUp!AG$9*(ParkingPerUnitMo+UtilReimbPerUnitMo+OtherIncPerUnitMo)+RetailRentMo*MIN(1,LeaseUp!AG$10/StabilizedOccupancy)),0)</f>
        <v/>
      </c>
      <c r="AH71" s="218">
        <f>IF(30&gt;=DeliverStart,TotalUnits/12*(CapReservePerUnit+TaxPrepPerUnit)+AssetMgmtFeePct*((BaseMarketRentMo+BaseLowRentMo)*(LeaseUp!AH$10-LossToLeasePct-BadDebtPct-ConcessionsPct)+LeaseUp!AH$9*(ParkingPerUnitMo+UtilReimbPerUnitMo+OtherIncPerUnitMo)+RetailRentMo*MIN(1,LeaseUp!AH$10/StabilizedOccupancy)),0)</f>
        <v/>
      </c>
      <c r="AI71" s="218">
        <f>IF(31&gt;=DeliverStart,TotalUnits/12*(CapReservePerUnit+TaxPrepPerUnit)+AssetMgmtFeePct*((BaseMarketRentMo+BaseLowRentMo)*(LeaseUp!AI$10-LossToLeasePct-BadDebtPct-ConcessionsPct)+LeaseUp!AI$9*(ParkingPerUnitMo+UtilReimbPerUnitMo+OtherIncPerUnitMo)+RetailRentMo*MIN(1,LeaseUp!AI$10/StabilizedOccupancy)),0)</f>
        <v/>
      </c>
      <c r="AJ71" s="218">
        <f>IF(32&gt;=DeliverStart,TotalUnits/12*(CapReservePerUnit+TaxPrepPerUnit)+AssetMgmtFeePct*((BaseMarketRentMo+BaseLowRentMo)*(LeaseUp!AJ$10-LossToLeasePct-BadDebtPct-ConcessionsPct)+LeaseUp!AJ$9*(ParkingPerUnitMo+UtilReimbPerUnitMo+OtherIncPerUnitMo)+RetailRentMo*MIN(1,LeaseUp!AJ$10/StabilizedOccupancy)),0)</f>
        <v/>
      </c>
      <c r="AK71" s="218">
        <f>IF(33&gt;=DeliverStart,TotalUnits/12*(CapReservePerUnit+TaxPrepPerUnit)+AssetMgmtFeePct*((BaseMarketRentMo+BaseLowRentMo)*(LeaseUp!AK$10-LossToLeasePct-BadDebtPct-ConcessionsPct)+LeaseUp!AK$9*(ParkingPerUnitMo+UtilReimbPerUnitMo+OtherIncPerUnitMo)+RetailRentMo*MIN(1,LeaseUp!AK$10/StabilizedOccupancy)),0)</f>
        <v/>
      </c>
      <c r="AL71" s="218">
        <f>IF(34&gt;=DeliverStart,TotalUnits/12*(CapReservePerUnit+TaxPrepPerUnit)+AssetMgmtFeePct*((BaseMarketRentMo+BaseLowRentMo)*(LeaseUp!AL$10-LossToLeasePct-BadDebtPct-ConcessionsPct)+LeaseUp!AL$9*(ParkingPerUnitMo+UtilReimbPerUnitMo+OtherIncPerUnitMo)+RetailRentMo*MIN(1,LeaseUp!AL$10/StabilizedOccupancy)),0)</f>
        <v/>
      </c>
      <c r="AM71" s="218">
        <f>IF(35&gt;=DeliverStart,TotalUnits/12*(CapReservePerUnit+TaxPrepPerUnit)+AssetMgmtFeePct*((BaseMarketRentMo+BaseLowRentMo)*(LeaseUp!AM$10-LossToLeasePct-BadDebtPct-ConcessionsPct)+LeaseUp!AM$9*(ParkingPerUnitMo+UtilReimbPerUnitMo+OtherIncPerUnitMo)+RetailRentMo*MIN(1,LeaseUp!AM$10/StabilizedOccupancy)),0)</f>
        <v/>
      </c>
      <c r="AN71" s="218">
        <f>IF(36&gt;=DeliverStart,TotalUnits/12*(CapReservePerUnit+TaxPrepPerUnit)+AssetMgmtFeePct*((BaseMarketRentMo+BaseLowRentMo)*(LeaseUp!AN$10-LossToLeasePct-BadDebtPct-ConcessionsPct)+LeaseUp!AN$9*(ParkingPerUnitMo+UtilReimbPerUnitMo+OtherIncPerUnitMo)+RetailRentMo*MIN(1,LeaseUp!AN$10/StabilizedOccupancy)),0)</f>
        <v/>
      </c>
      <c r="AO71" s="218">
        <f>IF(37&gt;=DeliverStart,TotalUnits/12*(CapReservePerUnit+TaxPrepPerUnit)+AssetMgmtFeePct*((BaseMarketRentMo+BaseLowRentMo)*(LeaseUp!AO$10-LossToLeasePct-BadDebtPct-ConcessionsPct)+LeaseUp!AO$9*(ParkingPerUnitMo+UtilReimbPerUnitMo+OtherIncPerUnitMo)+RetailRentMo*MIN(1,LeaseUp!AO$10/StabilizedOccupancy)),0)</f>
        <v/>
      </c>
      <c r="AP71" s="218">
        <f>IF(38&gt;=DeliverStart,TotalUnits/12*(CapReservePerUnit+TaxPrepPerUnit)+AssetMgmtFeePct*((BaseMarketRentMo+BaseLowRentMo)*(LeaseUp!AP$10-LossToLeasePct-BadDebtPct-ConcessionsPct)+LeaseUp!AP$9*(ParkingPerUnitMo+UtilReimbPerUnitMo+OtherIncPerUnitMo)+RetailRentMo*MIN(1,LeaseUp!AP$10/StabilizedOccupancy)),0)</f>
        <v/>
      </c>
      <c r="AQ71" s="218">
        <f>IF(39&gt;=DeliverStart,TotalUnits/12*(CapReservePerUnit+TaxPrepPerUnit)+AssetMgmtFeePct*((BaseMarketRentMo+BaseLowRentMo)*(LeaseUp!AQ$10-LossToLeasePct-BadDebtPct-ConcessionsPct)+LeaseUp!AQ$9*(ParkingPerUnitMo+UtilReimbPerUnitMo+OtherIncPerUnitMo)+RetailRentMo*MIN(1,LeaseUp!AQ$10/StabilizedOccupancy)),0)</f>
        <v/>
      </c>
      <c r="AR71" s="218">
        <f>IF(40&gt;=DeliverStart,TotalUnits/12*(CapReservePerUnit+TaxPrepPerUnit)+AssetMgmtFeePct*((BaseMarketRentMo+BaseLowRentMo)*(LeaseUp!AR$10-LossToLeasePct-BadDebtPct-ConcessionsPct)+LeaseUp!AR$9*(ParkingPerUnitMo+UtilReimbPerUnitMo+OtherIncPerUnitMo)+RetailRentMo*MIN(1,LeaseUp!AR$10/StabilizedOccupancy)),0)</f>
        <v/>
      </c>
      <c r="AS71" s="218">
        <f>IF(41&gt;=DeliverStart,TotalUnits/12*(CapReservePerUnit+TaxPrepPerUnit)+AssetMgmtFeePct*((BaseMarketRentMo+BaseLowRentMo)*(LeaseUp!AS$10-LossToLeasePct-BadDebtPct-ConcessionsPct)+LeaseUp!AS$9*(ParkingPerUnitMo+UtilReimbPerUnitMo+OtherIncPerUnitMo)+RetailRentMo*MIN(1,LeaseUp!AS$10/StabilizedOccupancy)),0)</f>
        <v/>
      </c>
      <c r="AT71" s="218">
        <f>IF(42&gt;=DeliverStart,TotalUnits/12*(CapReservePerUnit+TaxPrepPerUnit)+AssetMgmtFeePct*((BaseMarketRentMo+BaseLowRentMo)*(LeaseUp!AT$10-LossToLeasePct-BadDebtPct-ConcessionsPct)+LeaseUp!AT$9*(ParkingPerUnitMo+UtilReimbPerUnitMo+OtherIncPerUnitMo)+RetailRentMo*MIN(1,LeaseUp!AT$10/StabilizedOccupancy)),0)</f>
        <v/>
      </c>
      <c r="AU71" s="218">
        <f>IF(43&gt;=DeliverStart,TotalUnits/12*(CapReservePerUnit+TaxPrepPerUnit)+AssetMgmtFeePct*((BaseMarketRentMo+BaseLowRentMo)*(LeaseUp!AU$10-LossToLeasePct-BadDebtPct-ConcessionsPct)+LeaseUp!AU$9*(ParkingPerUnitMo+UtilReimbPerUnitMo+OtherIncPerUnitMo)+RetailRentMo*MIN(1,LeaseUp!AU$10/StabilizedOccupancy)),0)</f>
        <v/>
      </c>
      <c r="AV71" s="218">
        <f>IF(44&gt;=DeliverStart,TotalUnits/12*(CapReservePerUnit+TaxPrepPerUnit)+AssetMgmtFeePct*((BaseMarketRentMo+BaseLowRentMo)*(LeaseUp!AV$10-LossToLeasePct-BadDebtPct-ConcessionsPct)+LeaseUp!AV$9*(ParkingPerUnitMo+UtilReimbPerUnitMo+OtherIncPerUnitMo)+RetailRentMo*MIN(1,LeaseUp!AV$10/StabilizedOccupancy)),0)</f>
        <v/>
      </c>
      <c r="AW71" s="218">
        <f>IF(45&gt;=DeliverStart,TotalUnits/12*(CapReservePerUnit+TaxPrepPerUnit)+AssetMgmtFeePct*((BaseMarketRentMo+BaseLowRentMo)*(LeaseUp!AW$10-LossToLeasePct-BadDebtPct-ConcessionsPct)+LeaseUp!AW$9*(ParkingPerUnitMo+UtilReimbPerUnitMo+OtherIncPerUnitMo)+RetailRentMo*MIN(1,LeaseUp!AW$10/StabilizedOccupancy)),0)</f>
        <v/>
      </c>
      <c r="AX71" s="218">
        <f>IF(46&gt;=DeliverStart,TotalUnits/12*(CapReservePerUnit+TaxPrepPerUnit)+AssetMgmtFeePct*((BaseMarketRentMo+BaseLowRentMo)*(LeaseUp!AX$10-LossToLeasePct-BadDebtPct-ConcessionsPct)+LeaseUp!AX$9*(ParkingPerUnitMo+UtilReimbPerUnitMo+OtherIncPerUnitMo)+RetailRentMo*MIN(1,LeaseUp!AX$10/StabilizedOccupancy)),0)</f>
        <v/>
      </c>
      <c r="AY71" s="218">
        <f>IF(47&gt;=DeliverStart,TotalUnits/12*(CapReservePerUnit+TaxPrepPerUnit)+AssetMgmtFeePct*((BaseMarketRentMo+BaseLowRentMo)*(LeaseUp!AY$10-LossToLeasePct-BadDebtPct-ConcessionsPct)+LeaseUp!AY$9*(ParkingPerUnitMo+UtilReimbPerUnitMo+OtherIncPerUnitMo)+RetailRentMo*MIN(1,LeaseUp!AY$10/StabilizedOccupancy)),0)</f>
        <v/>
      </c>
      <c r="AZ71" s="218">
        <f>IF(48&gt;=DeliverStart,TotalUnits/12*(CapReservePerUnit+TaxPrepPerUnit)+AssetMgmtFeePct*((BaseMarketRentMo+BaseLowRentMo)*(LeaseUp!AZ$10-LossToLeasePct-BadDebtPct-ConcessionsPct)+LeaseUp!AZ$9*(ParkingPerUnitMo+UtilReimbPerUnitMo+OtherIncPerUnitMo)+RetailRentMo*MIN(1,LeaseUp!AZ$10/StabilizedOccupancy)),0)</f>
        <v/>
      </c>
      <c r="BA71" s="218">
        <f>IF(49&gt;=DeliverStart,TotalUnits/12*(CapReservePerUnit+TaxPrepPerUnit)+AssetMgmtFeePct*((BaseMarketRentMo+BaseLowRentMo)*(LeaseUp!BA$10-LossToLeasePct-BadDebtPct-ConcessionsPct)+LeaseUp!BA$9*(ParkingPerUnitMo+UtilReimbPerUnitMo+OtherIncPerUnitMo)+RetailRentMo*MIN(1,LeaseUp!BA$10/StabilizedOccupancy)),0)</f>
        <v/>
      </c>
      <c r="BB71" s="218">
        <f>IF(50&gt;=DeliverStart,TotalUnits/12*(CapReservePerUnit+TaxPrepPerUnit)+AssetMgmtFeePct*((BaseMarketRentMo+BaseLowRentMo)*(LeaseUp!BB$10-LossToLeasePct-BadDebtPct-ConcessionsPct)+LeaseUp!BB$9*(ParkingPerUnitMo+UtilReimbPerUnitMo+OtherIncPerUnitMo)+RetailRentMo*MIN(1,LeaseUp!BB$10/StabilizedOccupancy)),0)</f>
        <v/>
      </c>
      <c r="BC71" s="218">
        <f>IF(51&gt;=DeliverStart,TotalUnits/12*(CapReservePerUnit+TaxPrepPerUnit)+AssetMgmtFeePct*((BaseMarketRentMo+BaseLowRentMo)*(LeaseUp!BC$10-LossToLeasePct-BadDebtPct-ConcessionsPct)+LeaseUp!BC$9*(ParkingPerUnitMo+UtilReimbPerUnitMo+OtherIncPerUnitMo)+RetailRentMo*MIN(1,LeaseUp!BC$10/StabilizedOccupancy)),0)</f>
        <v/>
      </c>
      <c r="BD71" s="218">
        <f>IF(52&gt;=DeliverStart,TotalUnits/12*(CapReservePerUnit+TaxPrepPerUnit)+AssetMgmtFeePct*((BaseMarketRentMo+BaseLowRentMo)*(LeaseUp!BD$10-LossToLeasePct-BadDebtPct-ConcessionsPct)+LeaseUp!BD$9*(ParkingPerUnitMo+UtilReimbPerUnitMo+OtherIncPerUnitMo)+RetailRentMo*MIN(1,LeaseUp!BD$10/StabilizedOccupancy)),0)</f>
        <v/>
      </c>
      <c r="BE71" s="218">
        <f>IF(53&gt;=DeliverStart,TotalUnits/12*(CapReservePerUnit+TaxPrepPerUnit)+AssetMgmtFeePct*((BaseMarketRentMo+BaseLowRentMo)*(LeaseUp!BE$10-LossToLeasePct-BadDebtPct-ConcessionsPct)+LeaseUp!BE$9*(ParkingPerUnitMo+UtilReimbPerUnitMo+OtherIncPerUnitMo)+RetailRentMo*MIN(1,LeaseUp!BE$10/StabilizedOccupancy)),0)</f>
        <v/>
      </c>
      <c r="BF71" s="218">
        <f>IF(54&gt;=DeliverStart,TotalUnits/12*(CapReservePerUnit+TaxPrepPerUnit)+AssetMgmtFeePct*((BaseMarketRentMo+BaseLowRentMo)*(LeaseUp!BF$10-LossToLeasePct-BadDebtPct-ConcessionsPct)+LeaseUp!BF$9*(ParkingPerUnitMo+UtilReimbPerUnitMo+OtherIncPerUnitMo)+RetailRentMo*MIN(1,LeaseUp!BF$10/StabilizedOccupancy)),0)</f>
        <v/>
      </c>
      <c r="BG71" s="218">
        <f>IF(55&gt;=DeliverStart,TotalUnits/12*(CapReservePerUnit+TaxPrepPerUnit)+AssetMgmtFeePct*((BaseMarketRentMo+BaseLowRentMo)*(LeaseUp!BG$10-LossToLeasePct-BadDebtPct-ConcessionsPct)+LeaseUp!BG$9*(ParkingPerUnitMo+UtilReimbPerUnitMo+OtherIncPerUnitMo)+RetailRentMo*MIN(1,LeaseUp!BG$10/StabilizedOccupancy)),0)</f>
        <v/>
      </c>
      <c r="BH71" s="218">
        <f>IF(56&gt;=DeliverStart,TotalUnits/12*(CapReservePerUnit+TaxPrepPerUnit)+AssetMgmtFeePct*((BaseMarketRentMo+BaseLowRentMo)*(LeaseUp!BH$10-LossToLeasePct-BadDebtPct-ConcessionsPct)+LeaseUp!BH$9*(ParkingPerUnitMo+UtilReimbPerUnitMo+OtherIncPerUnitMo)+RetailRentMo*MIN(1,LeaseUp!BH$10/StabilizedOccupancy)),0)</f>
        <v/>
      </c>
      <c r="BI71" s="218">
        <f>IF(57&gt;=DeliverStart,TotalUnits/12*(CapReservePerUnit+TaxPrepPerUnit)+AssetMgmtFeePct*((BaseMarketRentMo+BaseLowRentMo)*(LeaseUp!BI$10-LossToLeasePct-BadDebtPct-ConcessionsPct)+LeaseUp!BI$9*(ParkingPerUnitMo+UtilReimbPerUnitMo+OtherIncPerUnitMo)+RetailRentMo*MIN(1,LeaseUp!BI$10/StabilizedOccupancy)),0)</f>
        <v/>
      </c>
      <c r="BJ71" s="218">
        <f>IF(58&gt;=DeliverStart,TotalUnits/12*(CapReservePerUnit+TaxPrepPerUnit)+AssetMgmtFeePct*((BaseMarketRentMo+BaseLowRentMo)*(LeaseUp!BJ$10-LossToLeasePct-BadDebtPct-ConcessionsPct)+LeaseUp!BJ$9*(ParkingPerUnitMo+UtilReimbPerUnitMo+OtherIncPerUnitMo)+RetailRentMo*MIN(1,LeaseUp!BJ$10/StabilizedOccupancy)),0)</f>
        <v/>
      </c>
      <c r="BK71" s="218">
        <f>IF(59&gt;=DeliverStart,TotalUnits/12*(CapReservePerUnit+TaxPrepPerUnit)+AssetMgmtFeePct*((BaseMarketRentMo+BaseLowRentMo)*(LeaseUp!BK$10-LossToLeasePct-BadDebtPct-ConcessionsPct)+LeaseUp!BK$9*(ParkingPerUnitMo+UtilReimbPerUnitMo+OtherIncPerUnitMo)+RetailRentMo*MIN(1,LeaseUp!BK$10/StabilizedOccupancy)),0)</f>
        <v/>
      </c>
      <c r="BL71" s="218">
        <f>IF(60&gt;=DeliverStart,TotalUnits/12*(CapReservePerUnit+TaxPrepPerUnit)+AssetMgmtFeePct*((BaseMarketRentMo+BaseLowRentMo)*(LeaseUp!BL$10-LossToLeasePct-BadDebtPct-ConcessionsPct)+LeaseUp!BL$9*(ParkingPerUnitMo+UtilReimbPerUnitMo+OtherIncPerUnitMo)+RetailRentMo*MIN(1,LeaseUp!BL$10/StabilizedOccupancy)),0)</f>
        <v/>
      </c>
      <c r="BM71" s="218">
        <f>IF(61&gt;=DeliverStart,TotalUnits/12*(CapReservePerUnit+TaxPrepPerUnit)+AssetMgmtFeePct*((BaseMarketRentMo+BaseLowRentMo)*(LeaseUp!BM$10-LossToLeasePct-BadDebtPct-ConcessionsPct)+LeaseUp!BM$9*(ParkingPerUnitMo+UtilReimbPerUnitMo+OtherIncPerUnitMo)+RetailRentMo*MIN(1,LeaseUp!BM$10/StabilizedOccupancy)),0)</f>
        <v/>
      </c>
      <c r="BN71" s="218">
        <f>IF(62&gt;=DeliverStart,TotalUnits/12*(CapReservePerUnit+TaxPrepPerUnit)+AssetMgmtFeePct*((BaseMarketRentMo+BaseLowRentMo)*(LeaseUp!BN$10-LossToLeasePct-BadDebtPct-ConcessionsPct)+LeaseUp!BN$9*(ParkingPerUnitMo+UtilReimbPerUnitMo+OtherIncPerUnitMo)+RetailRentMo*MIN(1,LeaseUp!BN$10/StabilizedOccupancy)),0)</f>
        <v/>
      </c>
      <c r="BO71" s="218">
        <f>IF(63&gt;=DeliverStart,TotalUnits/12*(CapReservePerUnit+TaxPrepPerUnit)+AssetMgmtFeePct*((BaseMarketRentMo+BaseLowRentMo)*(LeaseUp!BO$10-LossToLeasePct-BadDebtPct-ConcessionsPct)+LeaseUp!BO$9*(ParkingPerUnitMo+UtilReimbPerUnitMo+OtherIncPerUnitMo)+RetailRentMo*MIN(1,LeaseUp!BO$10/StabilizedOccupancy)),0)</f>
        <v/>
      </c>
      <c r="BP71" s="218">
        <f>IF(64&gt;=DeliverStart,TotalUnits/12*(CapReservePerUnit+TaxPrepPerUnit)+AssetMgmtFeePct*((BaseMarketRentMo+BaseLowRentMo)*(LeaseUp!BP$10-LossToLeasePct-BadDebtPct-ConcessionsPct)+LeaseUp!BP$9*(ParkingPerUnitMo+UtilReimbPerUnitMo+OtherIncPerUnitMo)+RetailRentMo*MIN(1,LeaseUp!BP$10/StabilizedOccupancy)),0)</f>
        <v/>
      </c>
      <c r="BQ71" s="218">
        <f>IF(65&gt;=DeliverStart,TotalUnits/12*(CapReservePerUnit+TaxPrepPerUnit)+AssetMgmtFeePct*((BaseMarketRentMo+BaseLowRentMo)*(LeaseUp!BQ$10-LossToLeasePct-BadDebtPct-ConcessionsPct)+LeaseUp!BQ$9*(ParkingPerUnitMo+UtilReimbPerUnitMo+OtherIncPerUnitMo)+RetailRentMo*MIN(1,LeaseUp!BQ$10/StabilizedOccupancy)),0)</f>
        <v/>
      </c>
      <c r="BR71" s="218">
        <f>IF(66&gt;=DeliverStart,TotalUnits/12*(CapReservePerUnit+TaxPrepPerUnit)+AssetMgmtFeePct*((BaseMarketRentMo+BaseLowRentMo)*(LeaseUp!BR$10-LossToLeasePct-BadDebtPct-ConcessionsPct)+LeaseUp!BR$9*(ParkingPerUnitMo+UtilReimbPerUnitMo+OtherIncPerUnitMo)+RetailRentMo*MIN(1,LeaseUp!BR$10/StabilizedOccupancy)),0)</f>
        <v/>
      </c>
      <c r="BS71" s="218">
        <f>IF(67&gt;=DeliverStart,TotalUnits/12*(CapReservePerUnit+TaxPrepPerUnit)+AssetMgmtFeePct*((BaseMarketRentMo+BaseLowRentMo)*(LeaseUp!BS$10-LossToLeasePct-BadDebtPct-ConcessionsPct)+LeaseUp!BS$9*(ParkingPerUnitMo+UtilReimbPerUnitMo+OtherIncPerUnitMo)+RetailRentMo*MIN(1,LeaseUp!BS$10/StabilizedOccupancy)),0)</f>
        <v/>
      </c>
      <c r="BT71" s="218">
        <f>IF(68&gt;=DeliverStart,TotalUnits/12*(CapReservePerUnit+TaxPrepPerUnit)+AssetMgmtFeePct*((BaseMarketRentMo+BaseLowRentMo)*(LeaseUp!BT$10-LossToLeasePct-BadDebtPct-ConcessionsPct)+LeaseUp!BT$9*(ParkingPerUnitMo+UtilReimbPerUnitMo+OtherIncPerUnitMo)+RetailRentMo*MIN(1,LeaseUp!BT$10/StabilizedOccupancy)),0)</f>
        <v/>
      </c>
      <c r="BU71" s="218">
        <f>IF(69&gt;=DeliverStart,TotalUnits/12*(CapReservePerUnit+TaxPrepPerUnit)+AssetMgmtFeePct*((BaseMarketRentMo+BaseLowRentMo)*(LeaseUp!BU$10-LossToLeasePct-BadDebtPct-ConcessionsPct)+LeaseUp!BU$9*(ParkingPerUnitMo+UtilReimbPerUnitMo+OtherIncPerUnitMo)+RetailRentMo*MIN(1,LeaseUp!BU$10/StabilizedOccupancy)),0)</f>
        <v/>
      </c>
      <c r="BV71" s="218">
        <f>IF(70&gt;=DeliverStart,TotalUnits/12*(CapReservePerUnit+TaxPrepPerUnit)+AssetMgmtFeePct*((BaseMarketRentMo+BaseLowRentMo)*(LeaseUp!BV$10-LossToLeasePct-BadDebtPct-ConcessionsPct)+LeaseUp!BV$9*(ParkingPerUnitMo+UtilReimbPerUnitMo+OtherIncPerUnitMo)+RetailRentMo*MIN(1,LeaseUp!BV$10/StabilizedOccupancy)),0)</f>
        <v/>
      </c>
      <c r="BW71" s="218">
        <f>IF(71&gt;=DeliverStart,TotalUnits/12*(CapReservePerUnit+TaxPrepPerUnit)+AssetMgmtFeePct*((BaseMarketRentMo+BaseLowRentMo)*(LeaseUp!BW$10-LossToLeasePct-BadDebtPct-ConcessionsPct)+LeaseUp!BW$9*(ParkingPerUnitMo+UtilReimbPerUnitMo+OtherIncPerUnitMo)+RetailRentMo*MIN(1,LeaseUp!BW$10/StabilizedOccupancy)),0)</f>
        <v/>
      </c>
      <c r="BX71" s="218">
        <f>IF(72&gt;=DeliverStart,TotalUnits/12*(CapReservePerUnit+TaxPrepPerUnit)+AssetMgmtFeePct*((BaseMarketRentMo+BaseLowRentMo)*(LeaseUp!BX$10-LossToLeasePct-BadDebtPct-ConcessionsPct)+LeaseUp!BX$9*(ParkingPerUnitMo+UtilReimbPerUnitMo+OtherIncPerUnitMo)+RetailRentMo*MIN(1,LeaseUp!BX$10/StabilizedOccupancy)),0)</f>
        <v/>
      </c>
      <c r="BY71" s="218">
        <f>IF(73&gt;=DeliverStart,TotalUnits/12*(CapReservePerUnit+TaxPrepPerUnit)+AssetMgmtFeePct*((BaseMarketRentMo+BaseLowRentMo)*(LeaseUp!BY$10-LossToLeasePct-BadDebtPct-ConcessionsPct)+LeaseUp!BY$9*(ParkingPerUnitMo+UtilReimbPerUnitMo+OtherIncPerUnitMo)+RetailRentMo*MIN(1,LeaseUp!BY$10/StabilizedOccupancy)),0)</f>
        <v/>
      </c>
      <c r="BZ71" s="218">
        <f>IF(74&gt;=DeliverStart,TotalUnits/12*(CapReservePerUnit+TaxPrepPerUnit)+AssetMgmtFeePct*((BaseMarketRentMo+BaseLowRentMo)*(LeaseUp!BZ$10-LossToLeasePct-BadDebtPct-ConcessionsPct)+LeaseUp!BZ$9*(ParkingPerUnitMo+UtilReimbPerUnitMo+OtherIncPerUnitMo)+RetailRentMo*MIN(1,LeaseUp!BZ$10/StabilizedOccupancy)),0)</f>
        <v/>
      </c>
      <c r="CA71" s="218">
        <f>IF(75&gt;=DeliverStart,TotalUnits/12*(CapReservePerUnit+TaxPrepPerUnit)+AssetMgmtFeePct*((BaseMarketRentMo+BaseLowRentMo)*(LeaseUp!CA$10-LossToLeasePct-BadDebtPct-ConcessionsPct)+LeaseUp!CA$9*(ParkingPerUnitMo+UtilReimbPerUnitMo+OtherIncPerUnitMo)+RetailRentMo*MIN(1,LeaseUp!CA$10/StabilizedOccupancy)),0)</f>
        <v/>
      </c>
      <c r="CB71" s="218">
        <f>IF(76&gt;=DeliverStart,TotalUnits/12*(CapReservePerUnit+TaxPrepPerUnit)+AssetMgmtFeePct*((BaseMarketRentMo+BaseLowRentMo)*(LeaseUp!CB$10-LossToLeasePct-BadDebtPct-ConcessionsPct)+LeaseUp!CB$9*(ParkingPerUnitMo+UtilReimbPerUnitMo+OtherIncPerUnitMo)+RetailRentMo*MIN(1,LeaseUp!CB$10/StabilizedOccupancy)),0)</f>
        <v/>
      </c>
      <c r="CC71" s="218">
        <f>IF(77&gt;=DeliverStart,TotalUnits/12*(CapReservePerUnit+TaxPrepPerUnit)+AssetMgmtFeePct*((BaseMarketRentMo+BaseLowRentMo)*(LeaseUp!CC$10-LossToLeasePct-BadDebtPct-ConcessionsPct)+LeaseUp!CC$9*(ParkingPerUnitMo+UtilReimbPerUnitMo+OtherIncPerUnitMo)+RetailRentMo*MIN(1,LeaseUp!CC$10/StabilizedOccupancy)),0)</f>
        <v/>
      </c>
      <c r="CD71" s="218">
        <f>IF(78&gt;=DeliverStart,TotalUnits/12*(CapReservePerUnit+TaxPrepPerUnit)+AssetMgmtFeePct*((BaseMarketRentMo+BaseLowRentMo)*(LeaseUp!CD$10-LossToLeasePct-BadDebtPct-ConcessionsPct)+LeaseUp!CD$9*(ParkingPerUnitMo+UtilReimbPerUnitMo+OtherIncPerUnitMo)+RetailRentMo*MIN(1,LeaseUp!CD$10/StabilizedOccupancy)),0)</f>
        <v/>
      </c>
      <c r="CE71" s="218">
        <f>IF(79&gt;=DeliverStart,TotalUnits/12*(CapReservePerUnit+TaxPrepPerUnit)+AssetMgmtFeePct*((BaseMarketRentMo+BaseLowRentMo)*(LeaseUp!CE$10-LossToLeasePct-BadDebtPct-ConcessionsPct)+LeaseUp!CE$9*(ParkingPerUnitMo+UtilReimbPerUnitMo+OtherIncPerUnitMo)+RetailRentMo*MIN(1,LeaseUp!CE$10/StabilizedOccupancy)),0)</f>
        <v/>
      </c>
      <c r="CF71" s="218">
        <f>IF(80&gt;=DeliverStart,TotalUnits/12*(CapReservePerUnit+TaxPrepPerUnit)+AssetMgmtFeePct*((BaseMarketRentMo+BaseLowRentMo)*(LeaseUp!CF$10-LossToLeasePct-BadDebtPct-ConcessionsPct)+LeaseUp!CF$9*(ParkingPerUnitMo+UtilReimbPerUnitMo+OtherIncPerUnitMo)+RetailRentMo*MIN(1,LeaseUp!CF$10/StabilizedOccupancy)),0)</f>
        <v/>
      </c>
      <c r="CG71" s="218">
        <f>IF(81&gt;=DeliverStart,TotalUnits/12*(CapReservePerUnit+TaxPrepPerUnit)+AssetMgmtFeePct*((BaseMarketRentMo+BaseLowRentMo)*(LeaseUp!CG$10-LossToLeasePct-BadDebtPct-ConcessionsPct)+LeaseUp!CG$9*(ParkingPerUnitMo+UtilReimbPerUnitMo+OtherIncPerUnitMo)+RetailRentMo*MIN(1,LeaseUp!CG$10/StabilizedOccupancy)),0)</f>
        <v/>
      </c>
      <c r="CH71" s="218">
        <f>IF(82&gt;=DeliverStart,TotalUnits/12*(CapReservePerUnit+TaxPrepPerUnit)+AssetMgmtFeePct*((BaseMarketRentMo+BaseLowRentMo)*(LeaseUp!CH$10-LossToLeasePct-BadDebtPct-ConcessionsPct)+LeaseUp!CH$9*(ParkingPerUnitMo+UtilReimbPerUnitMo+OtherIncPerUnitMo)+RetailRentMo*MIN(1,LeaseUp!CH$10/StabilizedOccupancy)),0)</f>
        <v/>
      </c>
      <c r="CI71" s="218">
        <f>IF(83&gt;=DeliverStart,TotalUnits/12*(CapReservePerUnit+TaxPrepPerUnit)+AssetMgmtFeePct*((BaseMarketRentMo+BaseLowRentMo)*(LeaseUp!CI$10-LossToLeasePct-BadDebtPct-ConcessionsPct)+LeaseUp!CI$9*(ParkingPerUnitMo+UtilReimbPerUnitMo+OtherIncPerUnitMo)+RetailRentMo*MIN(1,LeaseUp!CI$10/StabilizedOccupancy)),0)</f>
        <v/>
      </c>
      <c r="CJ71" s="218">
        <f>IF(84&gt;=DeliverStart,TotalUnits/12*(CapReservePerUnit+TaxPrepPerUnit)+AssetMgmtFeePct*((BaseMarketRentMo+BaseLowRentMo)*(LeaseUp!CJ$10-LossToLeasePct-BadDebtPct-ConcessionsPct)+LeaseUp!CJ$9*(ParkingPerUnitMo+UtilReimbPerUnitMo+OtherIncPerUnitMo)+RetailRentMo*MIN(1,LeaseUp!CJ$10/StabilizedOccupancy)),0)</f>
        <v/>
      </c>
      <c r="CK71" s="218">
        <f>IF(85&gt;=DeliverStart,TotalUnits/12*(CapReservePerUnit+TaxPrepPerUnit)+AssetMgmtFeePct*((BaseMarketRentMo+BaseLowRentMo)*(LeaseUp!CK$10-LossToLeasePct-BadDebtPct-ConcessionsPct)+LeaseUp!CK$9*(ParkingPerUnitMo+UtilReimbPerUnitMo+OtherIncPerUnitMo)+RetailRentMo*MIN(1,LeaseUp!CK$10/StabilizedOccupancy)),0)</f>
        <v/>
      </c>
      <c r="CL71" s="218">
        <f>IF(86&gt;=DeliverStart,TotalUnits/12*(CapReservePerUnit+TaxPrepPerUnit)+AssetMgmtFeePct*((BaseMarketRentMo+BaseLowRentMo)*(LeaseUp!CL$10-LossToLeasePct-BadDebtPct-ConcessionsPct)+LeaseUp!CL$9*(ParkingPerUnitMo+UtilReimbPerUnitMo+OtherIncPerUnitMo)+RetailRentMo*MIN(1,LeaseUp!CL$10/StabilizedOccupancy)),0)</f>
        <v/>
      </c>
      <c r="CM71" s="218">
        <f>IF(87&gt;=DeliverStart,TotalUnits/12*(CapReservePerUnit+TaxPrepPerUnit)+AssetMgmtFeePct*((BaseMarketRentMo+BaseLowRentMo)*(LeaseUp!CM$10-LossToLeasePct-BadDebtPct-ConcessionsPct)+LeaseUp!CM$9*(ParkingPerUnitMo+UtilReimbPerUnitMo+OtherIncPerUnitMo)+RetailRentMo*MIN(1,LeaseUp!CM$10/StabilizedOccupancy)),0)</f>
        <v/>
      </c>
      <c r="CN71" s="218">
        <f>IF(88&gt;=DeliverStart,TotalUnits/12*(CapReservePerUnit+TaxPrepPerUnit)+AssetMgmtFeePct*((BaseMarketRentMo+BaseLowRentMo)*(LeaseUp!CN$10-LossToLeasePct-BadDebtPct-ConcessionsPct)+LeaseUp!CN$9*(ParkingPerUnitMo+UtilReimbPerUnitMo+OtherIncPerUnitMo)+RetailRentMo*MIN(1,LeaseUp!CN$10/StabilizedOccupancy)),0)</f>
        <v/>
      </c>
      <c r="CO71" s="218">
        <f>IF(89&gt;=DeliverStart,TotalUnits/12*(CapReservePerUnit+TaxPrepPerUnit)+AssetMgmtFeePct*((BaseMarketRentMo+BaseLowRentMo)*(LeaseUp!CO$10-LossToLeasePct-BadDebtPct-ConcessionsPct)+LeaseUp!CO$9*(ParkingPerUnitMo+UtilReimbPerUnitMo+OtherIncPerUnitMo)+RetailRentMo*MIN(1,LeaseUp!CO$10/StabilizedOccupancy)),0)</f>
        <v/>
      </c>
      <c r="CP71" s="218">
        <f>IF(90&gt;=DeliverStart,TotalUnits/12*(CapReservePerUnit+TaxPrepPerUnit)+AssetMgmtFeePct*((BaseMarketRentMo+BaseLowRentMo)*(LeaseUp!CP$10-LossToLeasePct-BadDebtPct-ConcessionsPct)+LeaseUp!CP$9*(ParkingPerUnitMo+UtilReimbPerUnitMo+OtherIncPerUnitMo)+RetailRentMo*MIN(1,LeaseUp!CP$10/StabilizedOccupancy)),0)</f>
        <v/>
      </c>
      <c r="CQ71" s="218">
        <f>IF(91&gt;=DeliverStart,TotalUnits/12*(CapReservePerUnit+TaxPrepPerUnit)+AssetMgmtFeePct*((BaseMarketRentMo+BaseLowRentMo)*(LeaseUp!CQ$10-LossToLeasePct-BadDebtPct-ConcessionsPct)+LeaseUp!CQ$9*(ParkingPerUnitMo+UtilReimbPerUnitMo+OtherIncPerUnitMo)+RetailRentMo*MIN(1,LeaseUp!CQ$10/StabilizedOccupancy)),0)</f>
        <v/>
      </c>
      <c r="CR71" s="218">
        <f>IF(92&gt;=DeliverStart,TotalUnits/12*(CapReservePerUnit+TaxPrepPerUnit)+AssetMgmtFeePct*((BaseMarketRentMo+BaseLowRentMo)*(LeaseUp!CR$10-LossToLeasePct-BadDebtPct-ConcessionsPct)+LeaseUp!CR$9*(ParkingPerUnitMo+UtilReimbPerUnitMo+OtherIncPerUnitMo)+RetailRentMo*MIN(1,LeaseUp!CR$10/StabilizedOccupancy)),0)</f>
        <v/>
      </c>
      <c r="CS71" s="218">
        <f>IF(93&gt;=DeliverStart,TotalUnits/12*(CapReservePerUnit+TaxPrepPerUnit)+AssetMgmtFeePct*((BaseMarketRentMo+BaseLowRentMo)*(LeaseUp!CS$10-LossToLeasePct-BadDebtPct-ConcessionsPct)+LeaseUp!CS$9*(ParkingPerUnitMo+UtilReimbPerUnitMo+OtherIncPerUnitMo)+RetailRentMo*MIN(1,LeaseUp!CS$10/StabilizedOccupancy)),0)</f>
        <v/>
      </c>
      <c r="CT71" s="218">
        <f>IF(94&gt;=DeliverStart,TotalUnits/12*(CapReservePerUnit+TaxPrepPerUnit)+AssetMgmtFeePct*((BaseMarketRentMo+BaseLowRentMo)*(LeaseUp!CT$10-LossToLeasePct-BadDebtPct-ConcessionsPct)+LeaseUp!CT$9*(ParkingPerUnitMo+UtilReimbPerUnitMo+OtherIncPerUnitMo)+RetailRentMo*MIN(1,LeaseUp!CT$10/StabilizedOccupancy)),0)</f>
        <v/>
      </c>
      <c r="CU71" s="218">
        <f>IF(95&gt;=DeliverStart,TotalUnits/12*(CapReservePerUnit+TaxPrepPerUnit)+AssetMgmtFeePct*((BaseMarketRentMo+BaseLowRentMo)*(LeaseUp!CU$10-LossToLeasePct-BadDebtPct-ConcessionsPct)+LeaseUp!CU$9*(ParkingPerUnitMo+UtilReimbPerUnitMo+OtherIncPerUnitMo)+RetailRentMo*MIN(1,LeaseUp!CU$10/StabilizedOccupancy)),0)</f>
        <v/>
      </c>
      <c r="CV71" s="218">
        <f>IF(96&gt;=DeliverStart,TotalUnits/12*(CapReservePerUnit+TaxPrepPerUnit)+AssetMgmtFeePct*((BaseMarketRentMo+BaseLowRentMo)*(LeaseUp!CV$10-LossToLeasePct-BadDebtPct-ConcessionsPct)+LeaseUp!CV$9*(ParkingPerUnitMo+UtilReimbPerUnitMo+OtherIncPerUnitMo)+RetailRentMo*MIN(1,LeaseUp!CV$10/StabilizedOccupancy)),0)</f>
        <v/>
      </c>
      <c r="CW71" s="218">
        <f>IF(97&gt;=DeliverStart,TotalUnits/12*(CapReservePerUnit+TaxPrepPerUnit)+AssetMgmtFeePct*((BaseMarketRentMo+BaseLowRentMo)*(LeaseUp!CW$10-LossToLeasePct-BadDebtPct-ConcessionsPct)+LeaseUp!CW$9*(ParkingPerUnitMo+UtilReimbPerUnitMo+OtherIncPerUnitMo)+RetailRentMo*MIN(1,LeaseUp!CW$10/StabilizedOccupancy)),0)</f>
        <v/>
      </c>
      <c r="CX71" s="218">
        <f>IF(98&gt;=DeliverStart,TotalUnits/12*(CapReservePerUnit+TaxPrepPerUnit)+AssetMgmtFeePct*((BaseMarketRentMo+BaseLowRentMo)*(LeaseUp!CX$10-LossToLeasePct-BadDebtPct-ConcessionsPct)+LeaseUp!CX$9*(ParkingPerUnitMo+UtilReimbPerUnitMo+OtherIncPerUnitMo)+RetailRentMo*MIN(1,LeaseUp!CX$10/StabilizedOccupancy)),0)</f>
        <v/>
      </c>
      <c r="CY71" s="218">
        <f>IF(99&gt;=DeliverStart,TotalUnits/12*(CapReservePerUnit+TaxPrepPerUnit)+AssetMgmtFeePct*((BaseMarketRentMo+BaseLowRentMo)*(LeaseUp!CY$10-LossToLeasePct-BadDebtPct-ConcessionsPct)+LeaseUp!CY$9*(ParkingPerUnitMo+UtilReimbPerUnitMo+OtherIncPerUnitMo)+RetailRentMo*MIN(1,LeaseUp!CY$10/StabilizedOccupancy)),0)</f>
        <v/>
      </c>
      <c r="CZ71" s="218">
        <f>IF(100&gt;=DeliverStart,TotalUnits/12*(CapReservePerUnit+TaxPrepPerUnit)+AssetMgmtFeePct*((BaseMarketRentMo+BaseLowRentMo)*(LeaseUp!CZ$10-LossToLeasePct-BadDebtPct-ConcessionsPct)+LeaseUp!CZ$9*(ParkingPerUnitMo+UtilReimbPerUnitMo+OtherIncPerUnitMo)+RetailRentMo*MIN(1,LeaseUp!CZ$10/StabilizedOccupancy)),0)</f>
        <v/>
      </c>
      <c r="DA71" s="218">
        <f>IF(101&gt;=DeliverStart,TotalUnits/12*(CapReservePerUnit+TaxPrepPerUnit)+AssetMgmtFeePct*((BaseMarketRentMo+BaseLowRentMo)*(LeaseUp!DA$10-LossToLeasePct-BadDebtPct-ConcessionsPct)+LeaseUp!DA$9*(ParkingPerUnitMo+UtilReimbPerUnitMo+OtherIncPerUnitMo)+RetailRentMo*MIN(1,LeaseUp!DA$10/StabilizedOccupancy)),0)</f>
        <v/>
      </c>
      <c r="DB71" s="218">
        <f>IF(102&gt;=DeliverStart,TotalUnits/12*(CapReservePerUnit+TaxPrepPerUnit)+AssetMgmtFeePct*((BaseMarketRentMo+BaseLowRentMo)*(LeaseUp!DB$10-LossToLeasePct-BadDebtPct-ConcessionsPct)+LeaseUp!DB$9*(ParkingPerUnitMo+UtilReimbPerUnitMo+OtherIncPerUnitMo)+RetailRentMo*MIN(1,LeaseUp!DB$10/StabilizedOccupancy)),0)</f>
        <v/>
      </c>
      <c r="DC71" s="218">
        <f>IF(103&gt;=DeliverStart,TotalUnits/12*(CapReservePerUnit+TaxPrepPerUnit)+AssetMgmtFeePct*((BaseMarketRentMo+BaseLowRentMo)*(LeaseUp!DC$10-LossToLeasePct-BadDebtPct-ConcessionsPct)+LeaseUp!DC$9*(ParkingPerUnitMo+UtilReimbPerUnitMo+OtherIncPerUnitMo)+RetailRentMo*MIN(1,LeaseUp!DC$10/StabilizedOccupancy)),0)</f>
        <v/>
      </c>
      <c r="DD71" s="218">
        <f>IF(104&gt;=DeliverStart,TotalUnits/12*(CapReservePerUnit+TaxPrepPerUnit)+AssetMgmtFeePct*((BaseMarketRentMo+BaseLowRentMo)*(LeaseUp!DD$10-LossToLeasePct-BadDebtPct-ConcessionsPct)+LeaseUp!DD$9*(ParkingPerUnitMo+UtilReimbPerUnitMo+OtherIncPerUnitMo)+RetailRentMo*MIN(1,LeaseUp!DD$10/StabilizedOccupancy)),0)</f>
        <v/>
      </c>
      <c r="DE71" s="218">
        <f>IF(105&gt;=DeliverStart,TotalUnits/12*(CapReservePerUnit+TaxPrepPerUnit)+AssetMgmtFeePct*((BaseMarketRentMo+BaseLowRentMo)*(LeaseUp!DE$10-LossToLeasePct-BadDebtPct-ConcessionsPct)+LeaseUp!DE$9*(ParkingPerUnitMo+UtilReimbPerUnitMo+OtherIncPerUnitMo)+RetailRentMo*MIN(1,LeaseUp!DE$10/StabilizedOccupancy)),0)</f>
        <v/>
      </c>
      <c r="DF71" s="218">
        <f>IF(106&gt;=DeliverStart,TotalUnits/12*(CapReservePerUnit+TaxPrepPerUnit)+AssetMgmtFeePct*((BaseMarketRentMo+BaseLowRentMo)*(LeaseUp!DF$10-LossToLeasePct-BadDebtPct-ConcessionsPct)+LeaseUp!DF$9*(ParkingPerUnitMo+UtilReimbPerUnitMo+OtherIncPerUnitMo)+RetailRentMo*MIN(1,LeaseUp!DF$10/StabilizedOccupancy)),0)</f>
        <v/>
      </c>
      <c r="DG71" s="218">
        <f>IF(107&gt;=DeliverStart,TotalUnits/12*(CapReservePerUnit+TaxPrepPerUnit)+AssetMgmtFeePct*((BaseMarketRentMo+BaseLowRentMo)*(LeaseUp!DG$10-LossToLeasePct-BadDebtPct-ConcessionsPct)+LeaseUp!DG$9*(ParkingPerUnitMo+UtilReimbPerUnitMo+OtherIncPerUnitMo)+RetailRentMo*MIN(1,LeaseUp!DG$10/StabilizedOccupancy)),0)</f>
        <v/>
      </c>
      <c r="DH71" s="218">
        <f>IF(108&gt;=DeliverStart,TotalUnits/12*(CapReservePerUnit+TaxPrepPerUnit)+AssetMgmtFeePct*((BaseMarketRentMo+BaseLowRentMo)*(LeaseUp!DH$10-LossToLeasePct-BadDebtPct-ConcessionsPct)+LeaseUp!DH$9*(ParkingPerUnitMo+UtilReimbPerUnitMo+OtherIncPerUnitMo)+RetailRentMo*MIN(1,LeaseUp!DH$10/StabilizedOccupancy)),0)</f>
        <v/>
      </c>
      <c r="DI71" s="218">
        <f>IF(109&gt;=DeliverStart,TotalUnits/12*(CapReservePerUnit+TaxPrepPerUnit)+AssetMgmtFeePct*((BaseMarketRentMo+BaseLowRentMo)*(LeaseUp!DI$10-LossToLeasePct-BadDebtPct-ConcessionsPct)+LeaseUp!DI$9*(ParkingPerUnitMo+UtilReimbPerUnitMo+OtherIncPerUnitMo)+RetailRentMo*MIN(1,LeaseUp!DI$10/StabilizedOccupancy)),0)</f>
        <v/>
      </c>
      <c r="DJ71" s="218">
        <f>IF(110&gt;=DeliverStart,TotalUnits/12*(CapReservePerUnit+TaxPrepPerUnit)+AssetMgmtFeePct*((BaseMarketRentMo+BaseLowRentMo)*(LeaseUp!DJ$10-LossToLeasePct-BadDebtPct-ConcessionsPct)+LeaseUp!DJ$9*(ParkingPerUnitMo+UtilReimbPerUnitMo+OtherIncPerUnitMo)+RetailRentMo*MIN(1,LeaseUp!DJ$10/StabilizedOccupancy)),0)</f>
        <v/>
      </c>
      <c r="DK71" s="218">
        <f>IF(111&gt;=DeliverStart,TotalUnits/12*(CapReservePerUnit+TaxPrepPerUnit)+AssetMgmtFeePct*((BaseMarketRentMo+BaseLowRentMo)*(LeaseUp!DK$10-LossToLeasePct-BadDebtPct-ConcessionsPct)+LeaseUp!DK$9*(ParkingPerUnitMo+UtilReimbPerUnitMo+OtherIncPerUnitMo)+RetailRentMo*MIN(1,LeaseUp!DK$10/StabilizedOccupancy)),0)</f>
        <v/>
      </c>
      <c r="DL71" s="218">
        <f>IF(112&gt;=DeliverStart,TotalUnits/12*(CapReservePerUnit+TaxPrepPerUnit)+AssetMgmtFeePct*((BaseMarketRentMo+BaseLowRentMo)*(LeaseUp!DL$10-LossToLeasePct-BadDebtPct-ConcessionsPct)+LeaseUp!DL$9*(ParkingPerUnitMo+UtilReimbPerUnitMo+OtherIncPerUnitMo)+RetailRentMo*MIN(1,LeaseUp!DL$10/StabilizedOccupancy)),0)</f>
        <v/>
      </c>
      <c r="DM71" s="218">
        <f>IF(113&gt;=DeliverStart,TotalUnits/12*(CapReservePerUnit+TaxPrepPerUnit)+AssetMgmtFeePct*((BaseMarketRentMo+BaseLowRentMo)*(LeaseUp!DM$10-LossToLeasePct-BadDebtPct-ConcessionsPct)+LeaseUp!DM$9*(ParkingPerUnitMo+UtilReimbPerUnitMo+OtherIncPerUnitMo)+RetailRentMo*MIN(1,LeaseUp!DM$10/StabilizedOccupancy)),0)</f>
        <v/>
      </c>
      <c r="DN71" s="218">
        <f>IF(114&gt;=DeliverStart,TotalUnits/12*(CapReservePerUnit+TaxPrepPerUnit)+AssetMgmtFeePct*((BaseMarketRentMo+BaseLowRentMo)*(LeaseUp!DN$10-LossToLeasePct-BadDebtPct-ConcessionsPct)+LeaseUp!DN$9*(ParkingPerUnitMo+UtilReimbPerUnitMo+OtherIncPerUnitMo)+RetailRentMo*MIN(1,LeaseUp!DN$10/StabilizedOccupancy)),0)</f>
        <v/>
      </c>
      <c r="DO71" s="218">
        <f>IF(115&gt;=DeliverStart,TotalUnits/12*(CapReservePerUnit+TaxPrepPerUnit)+AssetMgmtFeePct*((BaseMarketRentMo+BaseLowRentMo)*(LeaseUp!DO$10-LossToLeasePct-BadDebtPct-ConcessionsPct)+LeaseUp!DO$9*(ParkingPerUnitMo+UtilReimbPerUnitMo+OtherIncPerUnitMo)+RetailRentMo*MIN(1,LeaseUp!DO$10/StabilizedOccupancy)),0)</f>
        <v/>
      </c>
      <c r="DP71" s="218">
        <f>IF(116&gt;=DeliverStart,TotalUnits/12*(CapReservePerUnit+TaxPrepPerUnit)+AssetMgmtFeePct*((BaseMarketRentMo+BaseLowRentMo)*(LeaseUp!DP$10-LossToLeasePct-BadDebtPct-ConcessionsPct)+LeaseUp!DP$9*(ParkingPerUnitMo+UtilReimbPerUnitMo+OtherIncPerUnitMo)+RetailRentMo*MIN(1,LeaseUp!DP$10/StabilizedOccupancy)),0)</f>
        <v/>
      </c>
      <c r="DQ71" s="218">
        <f>IF(117&gt;=DeliverStart,TotalUnits/12*(CapReservePerUnit+TaxPrepPerUnit)+AssetMgmtFeePct*((BaseMarketRentMo+BaseLowRentMo)*(LeaseUp!DQ$10-LossToLeasePct-BadDebtPct-ConcessionsPct)+LeaseUp!DQ$9*(ParkingPerUnitMo+UtilReimbPerUnitMo+OtherIncPerUnitMo)+RetailRentMo*MIN(1,LeaseUp!DQ$10/StabilizedOccupancy)),0)</f>
        <v/>
      </c>
      <c r="DR71" s="218">
        <f>IF(118&gt;=DeliverStart,TotalUnits/12*(CapReservePerUnit+TaxPrepPerUnit)+AssetMgmtFeePct*((BaseMarketRentMo+BaseLowRentMo)*(LeaseUp!DR$10-LossToLeasePct-BadDebtPct-ConcessionsPct)+LeaseUp!DR$9*(ParkingPerUnitMo+UtilReimbPerUnitMo+OtherIncPerUnitMo)+RetailRentMo*MIN(1,LeaseUp!DR$10/StabilizedOccupancy)),0)</f>
        <v/>
      </c>
      <c r="DS71" s="218">
        <f>IF(119&gt;=DeliverStart,TotalUnits/12*(CapReservePerUnit+TaxPrepPerUnit)+AssetMgmtFeePct*((BaseMarketRentMo+BaseLowRentMo)*(LeaseUp!DS$10-LossToLeasePct-BadDebtPct-ConcessionsPct)+LeaseUp!DS$9*(ParkingPerUnitMo+UtilReimbPerUnitMo+OtherIncPerUnitMo)+RetailRentMo*MIN(1,LeaseUp!DS$10/StabilizedOccupancy)),0)</f>
        <v/>
      </c>
      <c r="DT71" s="218">
        <f>IF(120&gt;=DeliverStart,TotalUnits/12*(CapReservePerUnit+TaxPrepPerUnit)+AssetMgmtFeePct*((BaseMarketRentMo+BaseLowRentMo)*(LeaseUp!DT$10-LossToLeasePct-BadDebtPct-ConcessionsPct)+LeaseUp!DT$9*(ParkingPerUnitMo+UtilReimbPerUnitMo+OtherIncPerUnitMo)+RetailRentMo*MIN(1,LeaseUp!DT$10/StabilizedOccupancy)),0)</f>
        <v/>
      </c>
      <c r="DU71" s="218">
        <f>IF(121&gt;=DeliverStart,TotalUnits/12*(CapReservePerUnit+TaxPrepPerUnit)+AssetMgmtFeePct*((BaseMarketRentMo+BaseLowRentMo)*(LeaseUp!DU$10-LossToLeasePct-BadDebtPct-ConcessionsPct)+LeaseUp!DU$9*(ParkingPerUnitMo+UtilReimbPerUnitMo+OtherIncPerUnitMo)+RetailRentMo*MIN(1,LeaseUp!DU$10/StabilizedOccupancy)),0)</f>
        <v/>
      </c>
      <c r="DV71" s="218">
        <f>IF(122&gt;=DeliverStart,TotalUnits/12*(CapReservePerUnit+TaxPrepPerUnit)+AssetMgmtFeePct*((BaseMarketRentMo+BaseLowRentMo)*(LeaseUp!DV$10-LossToLeasePct-BadDebtPct-ConcessionsPct)+LeaseUp!DV$9*(ParkingPerUnitMo+UtilReimbPerUnitMo+OtherIncPerUnitMo)+RetailRentMo*MIN(1,LeaseUp!DV$10/StabilizedOccupancy)),0)</f>
        <v/>
      </c>
      <c r="DW71" s="218">
        <f>IF(123&gt;=DeliverStart,TotalUnits/12*(CapReservePerUnit+TaxPrepPerUnit)+AssetMgmtFeePct*((BaseMarketRentMo+BaseLowRentMo)*(LeaseUp!DW$10-LossToLeasePct-BadDebtPct-ConcessionsPct)+LeaseUp!DW$9*(ParkingPerUnitMo+UtilReimbPerUnitMo+OtherIncPerUnitMo)+RetailRentMo*MIN(1,LeaseUp!DW$10/StabilizedOccupancy)),0)</f>
        <v/>
      </c>
      <c r="DX71" s="218">
        <f>IF(124&gt;=DeliverStart,TotalUnits/12*(CapReservePerUnit+TaxPrepPerUnit)+AssetMgmtFeePct*((BaseMarketRentMo+BaseLowRentMo)*(LeaseUp!DX$10-LossToLeasePct-BadDebtPct-ConcessionsPct)+LeaseUp!DX$9*(ParkingPerUnitMo+UtilReimbPerUnitMo+OtherIncPerUnitMo)+RetailRentMo*MIN(1,LeaseUp!DX$10/StabilizedOccupancy)),0)</f>
        <v/>
      </c>
      <c r="DY71" s="218">
        <f>IF(125&gt;=DeliverStart,TotalUnits/12*(CapReservePerUnit+TaxPrepPerUnit)+AssetMgmtFeePct*((BaseMarketRentMo+BaseLowRentMo)*(LeaseUp!DY$10-LossToLeasePct-BadDebtPct-ConcessionsPct)+LeaseUp!DY$9*(ParkingPerUnitMo+UtilReimbPerUnitMo+OtherIncPerUnitMo)+RetailRentMo*MIN(1,LeaseUp!DY$10/StabilizedOccupancy)),0)</f>
        <v/>
      </c>
      <c r="DZ71" s="218">
        <f>IF(126&gt;=DeliverStart,TotalUnits/12*(CapReservePerUnit+TaxPrepPerUnit)+AssetMgmtFeePct*((BaseMarketRentMo+BaseLowRentMo)*(LeaseUp!DZ$10-LossToLeasePct-BadDebtPct-ConcessionsPct)+LeaseUp!DZ$9*(ParkingPerUnitMo+UtilReimbPerUnitMo+OtherIncPerUnitMo)+RetailRentMo*MIN(1,LeaseUp!DZ$10/StabilizedOccupancy)),0)</f>
        <v/>
      </c>
      <c r="EA71" s="218">
        <f>IF(127&gt;=DeliverStart,TotalUnits/12*(CapReservePerUnit+TaxPrepPerUnit)+AssetMgmtFeePct*((BaseMarketRentMo+BaseLowRentMo)*(LeaseUp!EA$10-LossToLeasePct-BadDebtPct-ConcessionsPct)+LeaseUp!EA$9*(ParkingPerUnitMo+UtilReimbPerUnitMo+OtherIncPerUnitMo)+RetailRentMo*MIN(1,LeaseUp!EA$10/StabilizedOccupancy)),0)</f>
        <v/>
      </c>
      <c r="EB71" s="218">
        <f>IF(128&gt;=DeliverStart,TotalUnits/12*(CapReservePerUnit+TaxPrepPerUnit)+AssetMgmtFeePct*((BaseMarketRentMo+BaseLowRentMo)*(LeaseUp!EB$10-LossToLeasePct-BadDebtPct-ConcessionsPct)+LeaseUp!EB$9*(ParkingPerUnitMo+UtilReimbPerUnitMo+OtherIncPerUnitMo)+RetailRentMo*MIN(1,LeaseUp!EB$10/StabilizedOccupancy)),0)</f>
        <v/>
      </c>
      <c r="EC71" s="218">
        <f>IF(129&gt;=DeliverStart,TotalUnits/12*(CapReservePerUnit+TaxPrepPerUnit)+AssetMgmtFeePct*((BaseMarketRentMo+BaseLowRentMo)*(LeaseUp!EC$10-LossToLeasePct-BadDebtPct-ConcessionsPct)+LeaseUp!EC$9*(ParkingPerUnitMo+UtilReimbPerUnitMo+OtherIncPerUnitMo)+RetailRentMo*MIN(1,LeaseUp!EC$10/StabilizedOccupancy)),0)</f>
        <v/>
      </c>
      <c r="ED71" s="218">
        <f>IF(130&gt;=DeliverStart,TotalUnits/12*(CapReservePerUnit+TaxPrepPerUnit)+AssetMgmtFeePct*((BaseMarketRentMo+BaseLowRentMo)*(LeaseUp!ED$10-LossToLeasePct-BadDebtPct-ConcessionsPct)+LeaseUp!ED$9*(ParkingPerUnitMo+UtilReimbPerUnitMo+OtherIncPerUnitMo)+RetailRentMo*MIN(1,LeaseUp!ED$10/StabilizedOccupancy)),0)</f>
        <v/>
      </c>
      <c r="EE71" s="218">
        <f>IF(131&gt;=DeliverStart,TotalUnits/12*(CapReservePerUnit+TaxPrepPerUnit)+AssetMgmtFeePct*((BaseMarketRentMo+BaseLowRentMo)*(LeaseUp!EE$10-LossToLeasePct-BadDebtPct-ConcessionsPct)+LeaseUp!EE$9*(ParkingPerUnitMo+UtilReimbPerUnitMo+OtherIncPerUnitMo)+RetailRentMo*MIN(1,LeaseUp!EE$10/StabilizedOccupancy)),0)</f>
        <v/>
      </c>
      <c r="EF71" s="218">
        <f>IF(132&gt;=DeliverStart,TotalUnits/12*(CapReservePerUnit+TaxPrepPerUnit)+AssetMgmtFeePct*((BaseMarketRentMo+BaseLowRentMo)*(LeaseUp!EF$10-LossToLeasePct-BadDebtPct-ConcessionsPct)+LeaseUp!EF$9*(ParkingPerUnitMo+UtilReimbPerUnitMo+OtherIncPerUnitMo)+RetailRentMo*MIN(1,LeaseUp!EF$10/StabilizedOccupancy)),0)</f>
        <v/>
      </c>
      <c r="EG71" s="218">
        <f>IF(133&gt;=DeliverStart,TotalUnits/12*(CapReservePerUnit+TaxPrepPerUnit)+AssetMgmtFeePct*((BaseMarketRentMo+BaseLowRentMo)*(LeaseUp!EG$10-LossToLeasePct-BadDebtPct-ConcessionsPct)+LeaseUp!EG$9*(ParkingPerUnitMo+UtilReimbPerUnitMo+OtherIncPerUnitMo)+RetailRentMo*MIN(1,LeaseUp!EG$10/StabilizedOccupancy)),0)</f>
        <v/>
      </c>
      <c r="EH71" s="218">
        <f>IF(134&gt;=DeliverStart,TotalUnits/12*(CapReservePerUnit+TaxPrepPerUnit)+AssetMgmtFeePct*((BaseMarketRentMo+BaseLowRentMo)*(LeaseUp!EH$10-LossToLeasePct-BadDebtPct-ConcessionsPct)+LeaseUp!EH$9*(ParkingPerUnitMo+UtilReimbPerUnitMo+OtherIncPerUnitMo)+RetailRentMo*MIN(1,LeaseUp!EH$10/StabilizedOccupancy)),0)</f>
        <v/>
      </c>
      <c r="EI71" s="218">
        <f>IF(135&gt;=DeliverStart,TotalUnits/12*(CapReservePerUnit+TaxPrepPerUnit)+AssetMgmtFeePct*((BaseMarketRentMo+BaseLowRentMo)*(LeaseUp!EI$10-LossToLeasePct-BadDebtPct-ConcessionsPct)+LeaseUp!EI$9*(ParkingPerUnitMo+UtilReimbPerUnitMo+OtherIncPerUnitMo)+RetailRentMo*MIN(1,LeaseUp!EI$10/StabilizedOccupancy)),0)</f>
        <v/>
      </c>
      <c r="EJ71" s="218">
        <f>IF(136&gt;=DeliverStart,TotalUnits/12*(CapReservePerUnit+TaxPrepPerUnit)+AssetMgmtFeePct*((BaseMarketRentMo+BaseLowRentMo)*(LeaseUp!EJ$10-LossToLeasePct-BadDebtPct-ConcessionsPct)+LeaseUp!EJ$9*(ParkingPerUnitMo+UtilReimbPerUnitMo+OtherIncPerUnitMo)+RetailRentMo*MIN(1,LeaseUp!EJ$10/StabilizedOccupancy)),0)</f>
        <v/>
      </c>
      <c r="EK71" s="218">
        <f>IF(137&gt;=DeliverStart,TotalUnits/12*(CapReservePerUnit+TaxPrepPerUnit)+AssetMgmtFeePct*((BaseMarketRentMo+BaseLowRentMo)*(LeaseUp!EK$10-LossToLeasePct-BadDebtPct-ConcessionsPct)+LeaseUp!EK$9*(ParkingPerUnitMo+UtilReimbPerUnitMo+OtherIncPerUnitMo)+RetailRentMo*MIN(1,LeaseUp!EK$10/StabilizedOccupancy)),0)</f>
        <v/>
      </c>
      <c r="EL71" s="218">
        <f>IF(138&gt;=DeliverStart,TotalUnits/12*(CapReservePerUnit+TaxPrepPerUnit)+AssetMgmtFeePct*((BaseMarketRentMo+BaseLowRentMo)*(LeaseUp!EL$10-LossToLeasePct-BadDebtPct-ConcessionsPct)+LeaseUp!EL$9*(ParkingPerUnitMo+UtilReimbPerUnitMo+OtherIncPerUnitMo)+RetailRentMo*MIN(1,LeaseUp!EL$10/StabilizedOccupancy)),0)</f>
        <v/>
      </c>
      <c r="EM71" s="218">
        <f>IF(139&gt;=DeliverStart,TotalUnits/12*(CapReservePerUnit+TaxPrepPerUnit)+AssetMgmtFeePct*((BaseMarketRentMo+BaseLowRentMo)*(LeaseUp!EM$10-LossToLeasePct-BadDebtPct-ConcessionsPct)+LeaseUp!EM$9*(ParkingPerUnitMo+UtilReimbPerUnitMo+OtherIncPerUnitMo)+RetailRentMo*MIN(1,LeaseUp!EM$10/StabilizedOccupancy)),0)</f>
        <v/>
      </c>
      <c r="EN71" s="218">
        <f>IF(140&gt;=DeliverStart,TotalUnits/12*(CapReservePerUnit+TaxPrepPerUnit)+AssetMgmtFeePct*((BaseMarketRentMo+BaseLowRentMo)*(LeaseUp!EN$10-LossToLeasePct-BadDebtPct-ConcessionsPct)+LeaseUp!EN$9*(ParkingPerUnitMo+UtilReimbPerUnitMo+OtherIncPerUnitMo)+RetailRentMo*MIN(1,LeaseUp!EN$10/StabilizedOccupancy)),0)</f>
        <v/>
      </c>
      <c r="EO71" s="218">
        <f>IF(141&gt;=DeliverStart,TotalUnits/12*(CapReservePerUnit+TaxPrepPerUnit)+AssetMgmtFeePct*((BaseMarketRentMo+BaseLowRentMo)*(LeaseUp!EO$10-LossToLeasePct-BadDebtPct-ConcessionsPct)+LeaseUp!EO$9*(ParkingPerUnitMo+UtilReimbPerUnitMo+OtherIncPerUnitMo)+RetailRentMo*MIN(1,LeaseUp!EO$10/StabilizedOccupancy)),0)</f>
        <v/>
      </c>
      <c r="EP71" s="218">
        <f>IF(142&gt;=DeliverStart,TotalUnits/12*(CapReservePerUnit+TaxPrepPerUnit)+AssetMgmtFeePct*((BaseMarketRentMo+BaseLowRentMo)*(LeaseUp!EP$10-LossToLeasePct-BadDebtPct-ConcessionsPct)+LeaseUp!EP$9*(ParkingPerUnitMo+UtilReimbPerUnitMo+OtherIncPerUnitMo)+RetailRentMo*MIN(1,LeaseUp!EP$10/StabilizedOccupancy)),0)</f>
        <v/>
      </c>
      <c r="EQ71" s="218">
        <f>IF(143&gt;=DeliverStart,TotalUnits/12*(CapReservePerUnit+TaxPrepPerUnit)+AssetMgmtFeePct*((BaseMarketRentMo+BaseLowRentMo)*(LeaseUp!EQ$10-LossToLeasePct-BadDebtPct-ConcessionsPct)+LeaseUp!EQ$9*(ParkingPerUnitMo+UtilReimbPerUnitMo+OtherIncPerUnitMo)+RetailRentMo*MIN(1,LeaseUp!EQ$10/StabilizedOccupancy)),0)</f>
        <v/>
      </c>
      <c r="ER71" s="218">
        <f>IF(144&gt;=DeliverStart,TotalUnits/12*(CapReservePerUnit+TaxPrepPerUnit)+AssetMgmtFeePct*((BaseMarketRentMo+BaseLowRentMo)*(LeaseUp!ER$10-LossToLeasePct-BadDebtPct-ConcessionsPct)+LeaseUp!ER$9*(ParkingPerUnitMo+UtilReimbPerUnitMo+OtherIncPerUnitMo)+RetailRentMo*MIN(1,LeaseUp!ER$10/StabilizedOccupancy)),0)</f>
        <v/>
      </c>
      <c r="ES71" s="218">
        <f>IF(145&gt;=DeliverStart,TotalUnits/12*(CapReservePerUnit+TaxPrepPerUnit)+AssetMgmtFeePct*((BaseMarketRentMo+BaseLowRentMo)*(LeaseUp!ES$10-LossToLeasePct-BadDebtPct-ConcessionsPct)+LeaseUp!ES$9*(ParkingPerUnitMo+UtilReimbPerUnitMo+OtherIncPerUnitMo)+RetailRentMo*MIN(1,LeaseUp!ES$10/StabilizedOccupancy)),0)</f>
        <v/>
      </c>
      <c r="ET71" s="218">
        <f>IF(146&gt;=DeliverStart,TotalUnits/12*(CapReservePerUnit+TaxPrepPerUnit)+AssetMgmtFeePct*((BaseMarketRentMo+BaseLowRentMo)*(LeaseUp!ET$10-LossToLeasePct-BadDebtPct-ConcessionsPct)+LeaseUp!ET$9*(ParkingPerUnitMo+UtilReimbPerUnitMo+OtherIncPerUnitMo)+RetailRentMo*MIN(1,LeaseUp!ET$10/StabilizedOccupancy)),0)</f>
        <v/>
      </c>
      <c r="EU71" s="218">
        <f>IF(147&gt;=DeliverStart,TotalUnits/12*(CapReservePerUnit+TaxPrepPerUnit)+AssetMgmtFeePct*((BaseMarketRentMo+BaseLowRentMo)*(LeaseUp!EU$10-LossToLeasePct-BadDebtPct-ConcessionsPct)+LeaseUp!EU$9*(ParkingPerUnitMo+UtilReimbPerUnitMo+OtherIncPerUnitMo)+RetailRentMo*MIN(1,LeaseUp!EU$10/StabilizedOccupancy)),0)</f>
        <v/>
      </c>
      <c r="EV71" s="218">
        <f>IF(148&gt;=DeliverStart,TotalUnits/12*(CapReservePerUnit+TaxPrepPerUnit)+AssetMgmtFeePct*((BaseMarketRentMo+BaseLowRentMo)*(LeaseUp!EV$10-LossToLeasePct-BadDebtPct-ConcessionsPct)+LeaseUp!EV$9*(ParkingPerUnitMo+UtilReimbPerUnitMo+OtherIncPerUnitMo)+RetailRentMo*MIN(1,LeaseUp!EV$10/StabilizedOccupancy)),0)</f>
        <v/>
      </c>
      <c r="EW71" s="218">
        <f>IF(149&gt;=DeliverStart,TotalUnits/12*(CapReservePerUnit+TaxPrepPerUnit)+AssetMgmtFeePct*((BaseMarketRentMo+BaseLowRentMo)*(LeaseUp!EW$10-LossToLeasePct-BadDebtPct-ConcessionsPct)+LeaseUp!EW$9*(ParkingPerUnitMo+UtilReimbPerUnitMo+OtherIncPerUnitMo)+RetailRentMo*MIN(1,LeaseUp!EW$10/StabilizedOccupancy)),0)</f>
        <v/>
      </c>
      <c r="EX71" s="218">
        <f>IF(150&gt;=DeliverStart,TotalUnits/12*(CapReservePerUnit+TaxPrepPerUnit)+AssetMgmtFeePct*((BaseMarketRentMo+BaseLowRentMo)*(LeaseUp!EX$10-LossToLeasePct-BadDebtPct-ConcessionsPct)+LeaseUp!EX$9*(ParkingPerUnitMo+UtilReimbPerUnitMo+OtherIncPerUnitMo)+RetailRentMo*MIN(1,LeaseUp!EX$10/StabilizedOccupancy)),0)</f>
        <v/>
      </c>
      <c r="EY71" s="218">
        <f>IF(151&gt;=DeliverStart,TotalUnits/12*(CapReservePerUnit+TaxPrepPerUnit)+AssetMgmtFeePct*((BaseMarketRentMo+BaseLowRentMo)*(LeaseUp!EY$10-LossToLeasePct-BadDebtPct-ConcessionsPct)+LeaseUp!EY$9*(ParkingPerUnitMo+UtilReimbPerUnitMo+OtherIncPerUnitMo)+RetailRentMo*MIN(1,LeaseUp!EY$10/StabilizedOccupancy)),0)</f>
        <v/>
      </c>
      <c r="EZ71" s="218">
        <f>IF(152&gt;=DeliverStart,TotalUnits/12*(CapReservePerUnit+TaxPrepPerUnit)+AssetMgmtFeePct*((BaseMarketRentMo+BaseLowRentMo)*(LeaseUp!EZ$10-LossToLeasePct-BadDebtPct-ConcessionsPct)+LeaseUp!EZ$9*(ParkingPerUnitMo+UtilReimbPerUnitMo+OtherIncPerUnitMo)+RetailRentMo*MIN(1,LeaseUp!EZ$10/StabilizedOccupancy)),0)</f>
        <v/>
      </c>
      <c r="FA71" s="218">
        <f>IF(153&gt;=DeliverStart,TotalUnits/12*(CapReservePerUnit+TaxPrepPerUnit)+AssetMgmtFeePct*((BaseMarketRentMo+BaseLowRentMo)*(LeaseUp!FA$10-LossToLeasePct-BadDebtPct-ConcessionsPct)+LeaseUp!FA$9*(ParkingPerUnitMo+UtilReimbPerUnitMo+OtherIncPerUnitMo)+RetailRentMo*MIN(1,LeaseUp!FA$10/StabilizedOccupancy)),0)</f>
        <v/>
      </c>
      <c r="FB71" s="218">
        <f>IF(154&gt;=DeliverStart,TotalUnits/12*(CapReservePerUnit+TaxPrepPerUnit)+AssetMgmtFeePct*((BaseMarketRentMo+BaseLowRentMo)*(LeaseUp!FB$10-LossToLeasePct-BadDebtPct-ConcessionsPct)+LeaseUp!FB$9*(ParkingPerUnitMo+UtilReimbPerUnitMo+OtherIncPerUnitMo)+RetailRentMo*MIN(1,LeaseUp!FB$10/StabilizedOccupancy)),0)</f>
        <v/>
      </c>
      <c r="FC71" s="218">
        <f>IF(155&gt;=DeliverStart,TotalUnits/12*(CapReservePerUnit+TaxPrepPerUnit)+AssetMgmtFeePct*((BaseMarketRentMo+BaseLowRentMo)*(LeaseUp!FC$10-LossToLeasePct-BadDebtPct-ConcessionsPct)+LeaseUp!FC$9*(ParkingPerUnitMo+UtilReimbPerUnitMo+OtherIncPerUnitMo)+RetailRentMo*MIN(1,LeaseUp!FC$10/StabilizedOccupancy)),0)</f>
        <v/>
      </c>
      <c r="FD71" s="218">
        <f>IF(156&gt;=DeliverStart,TotalUnits/12*(CapReservePerUnit+TaxPrepPerUnit)+AssetMgmtFeePct*((BaseMarketRentMo+BaseLowRentMo)*(LeaseUp!FD$10-LossToLeasePct-BadDebtPct-ConcessionsPct)+LeaseUp!FD$9*(ParkingPerUnitMo+UtilReimbPerUnitMo+OtherIncPerUnitMo)+RetailRentMo*MIN(1,LeaseUp!FD$10/StabilizedOccupancy)),0)</f>
        <v/>
      </c>
      <c r="FE71" s="218">
        <f>IF(157&gt;=DeliverStart,TotalUnits/12*(CapReservePerUnit+TaxPrepPerUnit)+AssetMgmtFeePct*((BaseMarketRentMo+BaseLowRentMo)*(LeaseUp!FE$10-LossToLeasePct-BadDebtPct-ConcessionsPct)+LeaseUp!FE$9*(ParkingPerUnitMo+UtilReimbPerUnitMo+OtherIncPerUnitMo)+RetailRentMo*MIN(1,LeaseUp!FE$10/StabilizedOccupancy)),0)</f>
        <v/>
      </c>
      <c r="FF71" s="218">
        <f>IF(158&gt;=DeliverStart,TotalUnits/12*(CapReservePerUnit+TaxPrepPerUnit)+AssetMgmtFeePct*((BaseMarketRentMo+BaseLowRentMo)*(LeaseUp!FF$10-LossToLeasePct-BadDebtPct-ConcessionsPct)+LeaseUp!FF$9*(ParkingPerUnitMo+UtilReimbPerUnitMo+OtherIncPerUnitMo)+RetailRentMo*MIN(1,LeaseUp!FF$10/StabilizedOccupancy)),0)</f>
        <v/>
      </c>
      <c r="FG71" s="218">
        <f>IF(159&gt;=DeliverStart,TotalUnits/12*(CapReservePerUnit+TaxPrepPerUnit)+AssetMgmtFeePct*((BaseMarketRentMo+BaseLowRentMo)*(LeaseUp!FG$10-LossToLeasePct-BadDebtPct-ConcessionsPct)+LeaseUp!FG$9*(ParkingPerUnitMo+UtilReimbPerUnitMo+OtherIncPerUnitMo)+RetailRentMo*MIN(1,LeaseUp!FG$10/StabilizedOccupancy)),0)</f>
        <v/>
      </c>
      <c r="FH71" s="218">
        <f>IF(160&gt;=DeliverStart,TotalUnits/12*(CapReservePerUnit+TaxPrepPerUnit)+AssetMgmtFeePct*((BaseMarketRentMo+BaseLowRentMo)*(LeaseUp!FH$10-LossToLeasePct-BadDebtPct-ConcessionsPct)+LeaseUp!FH$9*(ParkingPerUnitMo+UtilReimbPerUnitMo+OtherIncPerUnitMo)+RetailRentMo*MIN(1,LeaseUp!FH$10/StabilizedOccupancy)),0)</f>
        <v/>
      </c>
      <c r="FI71" s="218">
        <f>IF(161&gt;=DeliverStart,TotalUnits/12*(CapReservePerUnit+TaxPrepPerUnit)+AssetMgmtFeePct*((BaseMarketRentMo+BaseLowRentMo)*(LeaseUp!FI$10-LossToLeasePct-BadDebtPct-ConcessionsPct)+LeaseUp!FI$9*(ParkingPerUnitMo+UtilReimbPerUnitMo+OtherIncPerUnitMo)+RetailRentMo*MIN(1,LeaseUp!FI$10/StabilizedOccupancy)),0)</f>
        <v/>
      </c>
      <c r="FJ71" s="218">
        <f>IF(162&gt;=DeliverStart,TotalUnits/12*(CapReservePerUnit+TaxPrepPerUnit)+AssetMgmtFeePct*((BaseMarketRentMo+BaseLowRentMo)*(LeaseUp!FJ$10-LossToLeasePct-BadDebtPct-ConcessionsPct)+LeaseUp!FJ$9*(ParkingPerUnitMo+UtilReimbPerUnitMo+OtherIncPerUnitMo)+RetailRentMo*MIN(1,LeaseUp!FJ$10/StabilizedOccupancy)),0)</f>
        <v/>
      </c>
      <c r="FK71" s="218">
        <f>IF(163&gt;=DeliverStart,TotalUnits/12*(CapReservePerUnit+TaxPrepPerUnit)+AssetMgmtFeePct*((BaseMarketRentMo+BaseLowRentMo)*(LeaseUp!FK$10-LossToLeasePct-BadDebtPct-ConcessionsPct)+LeaseUp!FK$9*(ParkingPerUnitMo+UtilReimbPerUnitMo+OtherIncPerUnitMo)+RetailRentMo*MIN(1,LeaseUp!FK$10/StabilizedOccupancy)),0)</f>
        <v/>
      </c>
      <c r="FL71" s="218">
        <f>IF(164&gt;=DeliverStart,TotalUnits/12*(CapReservePerUnit+TaxPrepPerUnit)+AssetMgmtFeePct*((BaseMarketRentMo+BaseLowRentMo)*(LeaseUp!FL$10-LossToLeasePct-BadDebtPct-ConcessionsPct)+LeaseUp!FL$9*(ParkingPerUnitMo+UtilReimbPerUnitMo+OtherIncPerUnitMo)+RetailRentMo*MIN(1,LeaseUp!FL$10/StabilizedOccupancy)),0)</f>
        <v/>
      </c>
      <c r="FM71" s="218">
        <f>IF(165&gt;=DeliverStart,TotalUnits/12*(CapReservePerUnit+TaxPrepPerUnit)+AssetMgmtFeePct*((BaseMarketRentMo+BaseLowRentMo)*(LeaseUp!FM$10-LossToLeasePct-BadDebtPct-ConcessionsPct)+LeaseUp!FM$9*(ParkingPerUnitMo+UtilReimbPerUnitMo+OtherIncPerUnitMo)+RetailRentMo*MIN(1,LeaseUp!FM$10/StabilizedOccupancy)),0)</f>
        <v/>
      </c>
      <c r="FN71" s="218">
        <f>IF(166&gt;=DeliverStart,TotalUnits/12*(CapReservePerUnit+TaxPrepPerUnit)+AssetMgmtFeePct*((BaseMarketRentMo+BaseLowRentMo)*(LeaseUp!FN$10-LossToLeasePct-BadDebtPct-ConcessionsPct)+LeaseUp!FN$9*(ParkingPerUnitMo+UtilReimbPerUnitMo+OtherIncPerUnitMo)+RetailRentMo*MIN(1,LeaseUp!FN$10/StabilizedOccupancy)),0)</f>
        <v/>
      </c>
      <c r="FO71" s="218">
        <f>IF(167&gt;=DeliverStart,TotalUnits/12*(CapReservePerUnit+TaxPrepPerUnit)+AssetMgmtFeePct*((BaseMarketRentMo+BaseLowRentMo)*(LeaseUp!FO$10-LossToLeasePct-BadDebtPct-ConcessionsPct)+LeaseUp!FO$9*(ParkingPerUnitMo+UtilReimbPerUnitMo+OtherIncPerUnitMo)+RetailRentMo*MIN(1,LeaseUp!FO$10/StabilizedOccupancy)),0)</f>
        <v/>
      </c>
      <c r="FP71" s="218">
        <f>IF(168&gt;=DeliverStart,TotalUnits/12*(CapReservePerUnit+TaxPrepPerUnit)+AssetMgmtFeePct*((BaseMarketRentMo+BaseLowRentMo)*(LeaseUp!FP$10-LossToLeasePct-BadDebtPct-ConcessionsPct)+LeaseUp!FP$9*(ParkingPerUnitMo+UtilReimbPerUnitMo+OtherIncPerUnitMo)+RetailRentMo*MIN(1,LeaseUp!FP$10/StabilizedOccupancy)),0)</f>
        <v/>
      </c>
      <c r="FQ71" s="218">
        <f>IF(169&gt;=DeliverStart,TotalUnits/12*(CapReservePerUnit+TaxPrepPerUnit)+AssetMgmtFeePct*((BaseMarketRentMo+BaseLowRentMo)*(LeaseUp!FQ$10-LossToLeasePct-BadDebtPct-ConcessionsPct)+LeaseUp!FQ$9*(ParkingPerUnitMo+UtilReimbPerUnitMo+OtherIncPerUnitMo)+RetailRentMo*MIN(1,LeaseUp!FQ$10/StabilizedOccupancy)),0)</f>
        <v/>
      </c>
      <c r="FR71" s="218">
        <f>IF(170&gt;=DeliverStart,TotalUnits/12*(CapReservePerUnit+TaxPrepPerUnit)+AssetMgmtFeePct*((BaseMarketRentMo+BaseLowRentMo)*(LeaseUp!FR$10-LossToLeasePct-BadDebtPct-ConcessionsPct)+LeaseUp!FR$9*(ParkingPerUnitMo+UtilReimbPerUnitMo+OtherIncPerUnitMo)+RetailRentMo*MIN(1,LeaseUp!FR$10/StabilizedOccupancy)),0)</f>
        <v/>
      </c>
      <c r="FS71" s="218">
        <f>IF(171&gt;=DeliverStart,TotalUnits/12*(CapReservePerUnit+TaxPrepPerUnit)+AssetMgmtFeePct*((BaseMarketRentMo+BaseLowRentMo)*(LeaseUp!FS$10-LossToLeasePct-BadDebtPct-ConcessionsPct)+LeaseUp!FS$9*(ParkingPerUnitMo+UtilReimbPerUnitMo+OtherIncPerUnitMo)+RetailRentMo*MIN(1,LeaseUp!FS$10/StabilizedOccupancy)),0)</f>
        <v/>
      </c>
      <c r="FT71" s="218">
        <f>IF(172&gt;=DeliverStart,TotalUnits/12*(CapReservePerUnit+TaxPrepPerUnit)+AssetMgmtFeePct*((BaseMarketRentMo+BaseLowRentMo)*(LeaseUp!FT$10-LossToLeasePct-BadDebtPct-ConcessionsPct)+LeaseUp!FT$9*(ParkingPerUnitMo+UtilReimbPerUnitMo+OtherIncPerUnitMo)+RetailRentMo*MIN(1,LeaseUp!FT$10/StabilizedOccupancy)),0)</f>
        <v/>
      </c>
      <c r="FU71" s="218">
        <f>IF(173&gt;=DeliverStart,TotalUnits/12*(CapReservePerUnit+TaxPrepPerUnit)+AssetMgmtFeePct*((BaseMarketRentMo+BaseLowRentMo)*(LeaseUp!FU$10-LossToLeasePct-BadDebtPct-ConcessionsPct)+LeaseUp!FU$9*(ParkingPerUnitMo+UtilReimbPerUnitMo+OtherIncPerUnitMo)+RetailRentMo*MIN(1,LeaseUp!FU$10/StabilizedOccupancy)),0)</f>
        <v/>
      </c>
      <c r="FV71" s="218">
        <f>IF(174&gt;=DeliverStart,TotalUnits/12*(CapReservePerUnit+TaxPrepPerUnit)+AssetMgmtFeePct*((BaseMarketRentMo+BaseLowRentMo)*(LeaseUp!FV$10-LossToLeasePct-BadDebtPct-ConcessionsPct)+LeaseUp!FV$9*(ParkingPerUnitMo+UtilReimbPerUnitMo+OtherIncPerUnitMo)+RetailRentMo*MIN(1,LeaseUp!FV$10/StabilizedOccupancy)),0)</f>
        <v/>
      </c>
      <c r="FW71" s="218">
        <f>IF(175&gt;=DeliverStart,TotalUnits/12*(CapReservePerUnit+TaxPrepPerUnit)+AssetMgmtFeePct*((BaseMarketRentMo+BaseLowRentMo)*(LeaseUp!FW$10-LossToLeasePct-BadDebtPct-ConcessionsPct)+LeaseUp!FW$9*(ParkingPerUnitMo+UtilReimbPerUnitMo+OtherIncPerUnitMo)+RetailRentMo*MIN(1,LeaseUp!FW$10/StabilizedOccupancy)),0)</f>
        <v/>
      </c>
      <c r="FX71" s="218">
        <f>IF(176&gt;=DeliverStart,TotalUnits/12*(CapReservePerUnit+TaxPrepPerUnit)+AssetMgmtFeePct*((BaseMarketRentMo+BaseLowRentMo)*(LeaseUp!FX$10-LossToLeasePct-BadDebtPct-ConcessionsPct)+LeaseUp!FX$9*(ParkingPerUnitMo+UtilReimbPerUnitMo+OtherIncPerUnitMo)+RetailRentMo*MIN(1,LeaseUp!FX$10/StabilizedOccupancy)),0)</f>
        <v/>
      </c>
      <c r="FY71" s="218">
        <f>IF(177&gt;=DeliverStart,TotalUnits/12*(CapReservePerUnit+TaxPrepPerUnit)+AssetMgmtFeePct*((BaseMarketRentMo+BaseLowRentMo)*(LeaseUp!FY$10-LossToLeasePct-BadDebtPct-ConcessionsPct)+LeaseUp!FY$9*(ParkingPerUnitMo+UtilReimbPerUnitMo+OtherIncPerUnitMo)+RetailRentMo*MIN(1,LeaseUp!FY$10/StabilizedOccupancy)),0)</f>
        <v/>
      </c>
      <c r="FZ71" s="218">
        <f>IF(178&gt;=DeliverStart,TotalUnits/12*(CapReservePerUnit+TaxPrepPerUnit)+AssetMgmtFeePct*((BaseMarketRentMo+BaseLowRentMo)*(LeaseUp!FZ$10-LossToLeasePct-BadDebtPct-ConcessionsPct)+LeaseUp!FZ$9*(ParkingPerUnitMo+UtilReimbPerUnitMo+OtherIncPerUnitMo)+RetailRentMo*MIN(1,LeaseUp!FZ$10/StabilizedOccupancy)),0)</f>
        <v/>
      </c>
      <c r="GA71" s="218">
        <f>IF(179&gt;=DeliverStart,TotalUnits/12*(CapReservePerUnit+TaxPrepPerUnit)+AssetMgmtFeePct*((BaseMarketRentMo+BaseLowRentMo)*(LeaseUp!GA$10-LossToLeasePct-BadDebtPct-ConcessionsPct)+LeaseUp!GA$9*(ParkingPerUnitMo+UtilReimbPerUnitMo+OtherIncPerUnitMo)+RetailRentMo*MIN(1,LeaseUp!GA$10/StabilizedOccupancy)),0)</f>
        <v/>
      </c>
      <c r="GB71" s="218">
        <f>IF(180&gt;=DeliverStart,TotalUnits/12*(CapReservePerUnit+TaxPrepPerUnit)+AssetMgmtFeePct*((BaseMarketRentMo+BaseLowRentMo)*(LeaseUp!GB$10-LossToLeasePct-BadDebtPct-ConcessionsPct)+LeaseUp!GB$9*(ParkingPerUnitMo+UtilReimbPerUnitMo+OtherIncPerUnitMo)+RetailRentMo*MIN(1,LeaseUp!GB$10/StabilizedOccupancy)),0)</f>
        <v/>
      </c>
      <c r="GC71" s="218">
        <f>IF(181&gt;=DeliverStart,TotalUnits/12*(CapReservePerUnit+TaxPrepPerUnit)+AssetMgmtFeePct*((BaseMarketRentMo+BaseLowRentMo)*(LeaseUp!GC$10-LossToLeasePct-BadDebtPct-ConcessionsPct)+LeaseUp!GC$9*(ParkingPerUnitMo+UtilReimbPerUnitMo+OtherIncPerUnitMo)+RetailRentMo*MIN(1,LeaseUp!GC$10/StabilizedOccupancy)),0)</f>
        <v/>
      </c>
      <c r="GD71" s="218">
        <f>IF(182&gt;=DeliverStart,TotalUnits/12*(CapReservePerUnit+TaxPrepPerUnit)+AssetMgmtFeePct*((BaseMarketRentMo+BaseLowRentMo)*(LeaseUp!GD$10-LossToLeasePct-BadDebtPct-ConcessionsPct)+LeaseUp!GD$9*(ParkingPerUnitMo+UtilReimbPerUnitMo+OtherIncPerUnitMo)+RetailRentMo*MIN(1,LeaseUp!GD$10/StabilizedOccupancy)),0)</f>
        <v/>
      </c>
      <c r="GE71" s="218">
        <f>IF(183&gt;=DeliverStart,TotalUnits/12*(CapReservePerUnit+TaxPrepPerUnit)+AssetMgmtFeePct*((BaseMarketRentMo+BaseLowRentMo)*(LeaseUp!GE$10-LossToLeasePct-BadDebtPct-ConcessionsPct)+LeaseUp!GE$9*(ParkingPerUnitMo+UtilReimbPerUnitMo+OtherIncPerUnitMo)+RetailRentMo*MIN(1,LeaseUp!GE$10/StabilizedOccupancy)),0)</f>
        <v/>
      </c>
      <c r="GF71" s="218">
        <f>IF(184&gt;=DeliverStart,TotalUnits/12*(CapReservePerUnit+TaxPrepPerUnit)+AssetMgmtFeePct*((BaseMarketRentMo+BaseLowRentMo)*(LeaseUp!GF$10-LossToLeasePct-BadDebtPct-ConcessionsPct)+LeaseUp!GF$9*(ParkingPerUnitMo+UtilReimbPerUnitMo+OtherIncPerUnitMo)+RetailRentMo*MIN(1,LeaseUp!GF$10/StabilizedOccupancy)),0)</f>
        <v/>
      </c>
      <c r="GG71" s="218">
        <f>IF(185&gt;=DeliverStart,TotalUnits/12*(CapReservePerUnit+TaxPrepPerUnit)+AssetMgmtFeePct*((BaseMarketRentMo+BaseLowRentMo)*(LeaseUp!GG$10-LossToLeasePct-BadDebtPct-ConcessionsPct)+LeaseUp!GG$9*(ParkingPerUnitMo+UtilReimbPerUnitMo+OtherIncPerUnitMo)+RetailRentMo*MIN(1,LeaseUp!GG$10/StabilizedOccupancy)),0)</f>
        <v/>
      </c>
      <c r="GH71" s="218">
        <f>IF(186&gt;=DeliverStart,TotalUnits/12*(CapReservePerUnit+TaxPrepPerUnit)+AssetMgmtFeePct*((BaseMarketRentMo+BaseLowRentMo)*(LeaseUp!GH$10-LossToLeasePct-BadDebtPct-ConcessionsPct)+LeaseUp!GH$9*(ParkingPerUnitMo+UtilReimbPerUnitMo+OtherIncPerUnitMo)+RetailRentMo*MIN(1,LeaseUp!GH$10/StabilizedOccupancy)),0)</f>
        <v/>
      </c>
      <c r="GI71" s="218">
        <f>IF(187&gt;=DeliverStart,TotalUnits/12*(CapReservePerUnit+TaxPrepPerUnit)+AssetMgmtFeePct*((BaseMarketRentMo+BaseLowRentMo)*(LeaseUp!GI$10-LossToLeasePct-BadDebtPct-ConcessionsPct)+LeaseUp!GI$9*(ParkingPerUnitMo+UtilReimbPerUnitMo+OtherIncPerUnitMo)+RetailRentMo*MIN(1,LeaseUp!GI$10/StabilizedOccupancy)),0)</f>
        <v/>
      </c>
      <c r="GJ71" s="218">
        <f>IF(188&gt;=DeliverStart,TotalUnits/12*(CapReservePerUnit+TaxPrepPerUnit)+AssetMgmtFeePct*((BaseMarketRentMo+BaseLowRentMo)*(LeaseUp!GJ$10-LossToLeasePct-BadDebtPct-ConcessionsPct)+LeaseUp!GJ$9*(ParkingPerUnitMo+UtilReimbPerUnitMo+OtherIncPerUnitMo)+RetailRentMo*MIN(1,LeaseUp!GJ$10/StabilizedOccupancy)),0)</f>
        <v/>
      </c>
      <c r="GK71" s="218">
        <f>IF(189&gt;=DeliverStart,TotalUnits/12*(CapReservePerUnit+TaxPrepPerUnit)+AssetMgmtFeePct*((BaseMarketRentMo+BaseLowRentMo)*(LeaseUp!GK$10-LossToLeasePct-BadDebtPct-ConcessionsPct)+LeaseUp!GK$9*(ParkingPerUnitMo+UtilReimbPerUnitMo+OtherIncPerUnitMo)+RetailRentMo*MIN(1,LeaseUp!GK$10/StabilizedOccupancy)),0)</f>
        <v/>
      </c>
      <c r="GL71" s="218">
        <f>IF(190&gt;=DeliverStart,TotalUnits/12*(CapReservePerUnit+TaxPrepPerUnit)+AssetMgmtFeePct*((BaseMarketRentMo+BaseLowRentMo)*(LeaseUp!GL$10-LossToLeasePct-BadDebtPct-ConcessionsPct)+LeaseUp!GL$9*(ParkingPerUnitMo+UtilReimbPerUnitMo+OtherIncPerUnitMo)+RetailRentMo*MIN(1,LeaseUp!GL$10/StabilizedOccupancy)),0)</f>
        <v/>
      </c>
      <c r="GM71" s="218">
        <f>IF(191&gt;=DeliverStart,TotalUnits/12*(CapReservePerUnit+TaxPrepPerUnit)+AssetMgmtFeePct*((BaseMarketRentMo+BaseLowRentMo)*(LeaseUp!GM$10-LossToLeasePct-BadDebtPct-ConcessionsPct)+LeaseUp!GM$9*(ParkingPerUnitMo+UtilReimbPerUnitMo+OtherIncPerUnitMo)+RetailRentMo*MIN(1,LeaseUp!GM$10/StabilizedOccupancy)),0)</f>
        <v/>
      </c>
      <c r="GN71" s="218">
        <f>IF(192&gt;=DeliverStart,TotalUnits/12*(CapReservePerUnit+TaxPrepPerUnit)+AssetMgmtFeePct*((BaseMarketRentMo+BaseLowRentMo)*(LeaseUp!GN$10-LossToLeasePct-BadDebtPct-ConcessionsPct)+LeaseUp!GN$9*(ParkingPerUnitMo+UtilReimbPerUnitMo+OtherIncPerUnitMo)+RetailRentMo*MIN(1,LeaseUp!GN$10/StabilizedOccupancy)),0)</f>
        <v/>
      </c>
      <c r="GO71" s="218">
        <f>IF(193&gt;=DeliverStart,TotalUnits/12*(CapReservePerUnit+TaxPrepPerUnit)+AssetMgmtFeePct*((BaseMarketRentMo+BaseLowRentMo)*(LeaseUp!GO$10-LossToLeasePct-BadDebtPct-ConcessionsPct)+LeaseUp!GO$9*(ParkingPerUnitMo+UtilReimbPerUnitMo+OtherIncPerUnitMo)+RetailRentMo*MIN(1,LeaseUp!GO$10/StabilizedOccupancy)),0)</f>
        <v/>
      </c>
      <c r="GP71" s="218">
        <f>IF(194&gt;=DeliverStart,TotalUnits/12*(CapReservePerUnit+TaxPrepPerUnit)+AssetMgmtFeePct*((BaseMarketRentMo+BaseLowRentMo)*(LeaseUp!GP$10-LossToLeasePct-BadDebtPct-ConcessionsPct)+LeaseUp!GP$9*(ParkingPerUnitMo+UtilReimbPerUnitMo+OtherIncPerUnitMo)+RetailRentMo*MIN(1,LeaseUp!GP$10/StabilizedOccupancy)),0)</f>
        <v/>
      </c>
      <c r="GQ71" s="218">
        <f>IF(195&gt;=DeliverStart,TotalUnits/12*(CapReservePerUnit+TaxPrepPerUnit)+AssetMgmtFeePct*((BaseMarketRentMo+BaseLowRentMo)*(LeaseUp!GQ$10-LossToLeasePct-BadDebtPct-ConcessionsPct)+LeaseUp!GQ$9*(ParkingPerUnitMo+UtilReimbPerUnitMo+OtherIncPerUnitMo)+RetailRentMo*MIN(1,LeaseUp!GQ$10/StabilizedOccupancy)),0)</f>
        <v/>
      </c>
      <c r="GR71" s="218">
        <f>IF(196&gt;=DeliverStart,TotalUnits/12*(CapReservePerUnit+TaxPrepPerUnit)+AssetMgmtFeePct*((BaseMarketRentMo+BaseLowRentMo)*(LeaseUp!GR$10-LossToLeasePct-BadDebtPct-ConcessionsPct)+LeaseUp!GR$9*(ParkingPerUnitMo+UtilReimbPerUnitMo+OtherIncPerUnitMo)+RetailRentMo*MIN(1,LeaseUp!GR$10/StabilizedOccupancy)),0)</f>
        <v/>
      </c>
      <c r="GS71" s="218">
        <f>IF(197&gt;=DeliverStart,TotalUnits/12*(CapReservePerUnit+TaxPrepPerUnit)+AssetMgmtFeePct*((BaseMarketRentMo+BaseLowRentMo)*(LeaseUp!GS$10-LossToLeasePct-BadDebtPct-ConcessionsPct)+LeaseUp!GS$9*(ParkingPerUnitMo+UtilReimbPerUnitMo+OtherIncPerUnitMo)+RetailRentMo*MIN(1,LeaseUp!GS$10/StabilizedOccupancy)),0)</f>
        <v/>
      </c>
      <c r="GT71" s="218">
        <f>IF(198&gt;=DeliverStart,TotalUnits/12*(CapReservePerUnit+TaxPrepPerUnit)+AssetMgmtFeePct*((BaseMarketRentMo+BaseLowRentMo)*(LeaseUp!GT$10-LossToLeasePct-BadDebtPct-ConcessionsPct)+LeaseUp!GT$9*(ParkingPerUnitMo+UtilReimbPerUnitMo+OtherIncPerUnitMo)+RetailRentMo*MIN(1,LeaseUp!GT$10/StabilizedOccupancy)),0)</f>
        <v/>
      </c>
      <c r="GU71" s="218">
        <f>IF(199&gt;=DeliverStart,TotalUnits/12*(CapReservePerUnit+TaxPrepPerUnit)+AssetMgmtFeePct*((BaseMarketRentMo+BaseLowRentMo)*(LeaseUp!GU$10-LossToLeasePct-BadDebtPct-ConcessionsPct)+LeaseUp!GU$9*(ParkingPerUnitMo+UtilReimbPerUnitMo+OtherIncPerUnitMo)+RetailRentMo*MIN(1,LeaseUp!GU$10/StabilizedOccupancy)),0)</f>
        <v/>
      </c>
      <c r="GV71" s="218">
        <f>IF(200&gt;=DeliverStart,TotalUnits/12*(CapReservePerUnit+TaxPrepPerUnit)+AssetMgmtFeePct*((BaseMarketRentMo+BaseLowRentMo)*(LeaseUp!GV$10-LossToLeasePct-BadDebtPct-ConcessionsPct)+LeaseUp!GV$9*(ParkingPerUnitMo+UtilReimbPerUnitMo+OtherIncPerUnitMo)+RetailRentMo*MIN(1,LeaseUp!GV$10/StabilizedOccupancy)),0)</f>
        <v/>
      </c>
      <c r="GW71" s="218">
        <f>IF(201&gt;=DeliverStart,TotalUnits/12*(CapReservePerUnit+TaxPrepPerUnit)+AssetMgmtFeePct*((BaseMarketRentMo+BaseLowRentMo)*(LeaseUp!GW$10-LossToLeasePct-BadDebtPct-ConcessionsPct)+LeaseUp!GW$9*(ParkingPerUnitMo+UtilReimbPerUnitMo+OtherIncPerUnitMo)+RetailRentMo*MIN(1,LeaseUp!GW$10/StabilizedOccupancy)),0)</f>
        <v/>
      </c>
      <c r="GX71" s="218">
        <f>IF(202&gt;=DeliverStart,TotalUnits/12*(CapReservePerUnit+TaxPrepPerUnit)+AssetMgmtFeePct*((BaseMarketRentMo+BaseLowRentMo)*(LeaseUp!GX$10-LossToLeasePct-BadDebtPct-ConcessionsPct)+LeaseUp!GX$9*(ParkingPerUnitMo+UtilReimbPerUnitMo+OtherIncPerUnitMo)+RetailRentMo*MIN(1,LeaseUp!GX$10/StabilizedOccupancy)),0)</f>
        <v/>
      </c>
      <c r="GY71" s="218">
        <f>IF(203&gt;=DeliverStart,TotalUnits/12*(CapReservePerUnit+TaxPrepPerUnit)+AssetMgmtFeePct*((BaseMarketRentMo+BaseLowRentMo)*(LeaseUp!GY$10-LossToLeasePct-BadDebtPct-ConcessionsPct)+LeaseUp!GY$9*(ParkingPerUnitMo+UtilReimbPerUnitMo+OtherIncPerUnitMo)+RetailRentMo*MIN(1,LeaseUp!GY$10/StabilizedOccupancy)),0)</f>
        <v/>
      </c>
      <c r="GZ71" s="218">
        <f>IF(204&gt;=DeliverStart,TotalUnits/12*(CapReservePerUnit+TaxPrepPerUnit)+AssetMgmtFeePct*((BaseMarketRentMo+BaseLowRentMo)*(LeaseUp!GZ$10-LossToLeasePct-BadDebtPct-ConcessionsPct)+LeaseUp!GZ$9*(ParkingPerUnitMo+UtilReimbPerUnitMo+OtherIncPerUnitMo)+RetailRentMo*MIN(1,LeaseUp!GZ$10/StabilizedOccupancy)),0)</f>
        <v/>
      </c>
      <c r="HA71" s="218">
        <f>IF(205&gt;=DeliverStart,TotalUnits/12*(CapReservePerUnit+TaxPrepPerUnit)+AssetMgmtFeePct*((BaseMarketRentMo+BaseLowRentMo)*(LeaseUp!HA$10-LossToLeasePct-BadDebtPct-ConcessionsPct)+LeaseUp!HA$9*(ParkingPerUnitMo+UtilReimbPerUnitMo+OtherIncPerUnitMo)+RetailRentMo*MIN(1,LeaseUp!HA$10/StabilizedOccupancy)),0)</f>
        <v/>
      </c>
      <c r="HB71" s="218">
        <f>IF(206&gt;=DeliverStart,TotalUnits/12*(CapReservePerUnit+TaxPrepPerUnit)+AssetMgmtFeePct*((BaseMarketRentMo+BaseLowRentMo)*(LeaseUp!HB$10-LossToLeasePct-BadDebtPct-ConcessionsPct)+LeaseUp!HB$9*(ParkingPerUnitMo+UtilReimbPerUnitMo+OtherIncPerUnitMo)+RetailRentMo*MIN(1,LeaseUp!HB$10/StabilizedOccupancy)),0)</f>
        <v/>
      </c>
      <c r="HC71" s="218">
        <f>IF(207&gt;=DeliverStart,TotalUnits/12*(CapReservePerUnit+TaxPrepPerUnit)+AssetMgmtFeePct*((BaseMarketRentMo+BaseLowRentMo)*(LeaseUp!HC$10-LossToLeasePct-BadDebtPct-ConcessionsPct)+LeaseUp!HC$9*(ParkingPerUnitMo+UtilReimbPerUnitMo+OtherIncPerUnitMo)+RetailRentMo*MIN(1,LeaseUp!HC$10/StabilizedOccupancy)),0)</f>
        <v/>
      </c>
      <c r="HD71" s="218">
        <f>IF(208&gt;=DeliverStart,TotalUnits/12*(CapReservePerUnit+TaxPrepPerUnit)+AssetMgmtFeePct*((BaseMarketRentMo+BaseLowRentMo)*(LeaseUp!HD$10-LossToLeasePct-BadDebtPct-ConcessionsPct)+LeaseUp!HD$9*(ParkingPerUnitMo+UtilReimbPerUnitMo+OtherIncPerUnitMo)+RetailRentMo*MIN(1,LeaseUp!HD$10/StabilizedOccupancy)),0)</f>
        <v/>
      </c>
      <c r="HE71" s="218">
        <f>IF(209&gt;=DeliverStart,TotalUnits/12*(CapReservePerUnit+TaxPrepPerUnit)+AssetMgmtFeePct*((BaseMarketRentMo+BaseLowRentMo)*(LeaseUp!HE$10-LossToLeasePct-BadDebtPct-ConcessionsPct)+LeaseUp!HE$9*(ParkingPerUnitMo+UtilReimbPerUnitMo+OtherIncPerUnitMo)+RetailRentMo*MIN(1,LeaseUp!HE$10/StabilizedOccupancy)),0)</f>
        <v/>
      </c>
      <c r="HF71" s="218">
        <f>IF(210&gt;=DeliverStart,TotalUnits/12*(CapReservePerUnit+TaxPrepPerUnit)+AssetMgmtFeePct*((BaseMarketRentMo+BaseLowRentMo)*(LeaseUp!HF$10-LossToLeasePct-BadDebtPct-ConcessionsPct)+LeaseUp!HF$9*(ParkingPerUnitMo+UtilReimbPerUnitMo+OtherIncPerUnitMo)+RetailRentMo*MIN(1,LeaseUp!HF$10/StabilizedOccupancy)),0)</f>
        <v/>
      </c>
      <c r="HG71" s="218">
        <f>IF(211&gt;=DeliverStart,TotalUnits/12*(CapReservePerUnit+TaxPrepPerUnit)+AssetMgmtFeePct*((BaseMarketRentMo+BaseLowRentMo)*(LeaseUp!HG$10-LossToLeasePct-BadDebtPct-ConcessionsPct)+LeaseUp!HG$9*(ParkingPerUnitMo+UtilReimbPerUnitMo+OtherIncPerUnitMo)+RetailRentMo*MIN(1,LeaseUp!HG$10/StabilizedOccupancy)),0)</f>
        <v/>
      </c>
      <c r="HH71" s="218">
        <f>IF(212&gt;=DeliverStart,TotalUnits/12*(CapReservePerUnit+TaxPrepPerUnit)+AssetMgmtFeePct*((BaseMarketRentMo+BaseLowRentMo)*(LeaseUp!HH$10-LossToLeasePct-BadDebtPct-ConcessionsPct)+LeaseUp!HH$9*(ParkingPerUnitMo+UtilReimbPerUnitMo+OtherIncPerUnitMo)+RetailRentMo*MIN(1,LeaseUp!HH$10/StabilizedOccupancy)),0)</f>
        <v/>
      </c>
      <c r="HI71" s="218">
        <f>IF(213&gt;=DeliverStart,TotalUnits/12*(CapReservePerUnit+TaxPrepPerUnit)+AssetMgmtFeePct*((BaseMarketRentMo+BaseLowRentMo)*(LeaseUp!HI$10-LossToLeasePct-BadDebtPct-ConcessionsPct)+LeaseUp!HI$9*(ParkingPerUnitMo+UtilReimbPerUnitMo+OtherIncPerUnitMo)+RetailRentMo*MIN(1,LeaseUp!HI$10/StabilizedOccupancy)),0)</f>
        <v/>
      </c>
      <c r="HJ71" s="218">
        <f>IF(214&gt;=DeliverStart,TotalUnits/12*(CapReservePerUnit+TaxPrepPerUnit)+AssetMgmtFeePct*((BaseMarketRentMo+BaseLowRentMo)*(LeaseUp!HJ$10-LossToLeasePct-BadDebtPct-ConcessionsPct)+LeaseUp!HJ$9*(ParkingPerUnitMo+UtilReimbPerUnitMo+OtherIncPerUnitMo)+RetailRentMo*MIN(1,LeaseUp!HJ$10/StabilizedOccupancy)),0)</f>
        <v/>
      </c>
      <c r="HK71" s="218">
        <f>IF(215&gt;=DeliverStart,TotalUnits/12*(CapReservePerUnit+TaxPrepPerUnit)+AssetMgmtFeePct*((BaseMarketRentMo+BaseLowRentMo)*(LeaseUp!HK$10-LossToLeasePct-BadDebtPct-ConcessionsPct)+LeaseUp!HK$9*(ParkingPerUnitMo+UtilReimbPerUnitMo+OtherIncPerUnitMo)+RetailRentMo*MIN(1,LeaseUp!HK$10/StabilizedOccupancy)),0)</f>
        <v/>
      </c>
      <c r="HL71" s="218">
        <f>IF(216&gt;=DeliverStart,TotalUnits/12*(CapReservePerUnit+TaxPrepPerUnit)+AssetMgmtFeePct*((BaseMarketRentMo+BaseLowRentMo)*(LeaseUp!HL$10-LossToLeasePct-BadDebtPct-ConcessionsPct)+LeaseUp!HL$9*(ParkingPerUnitMo+UtilReimbPerUnitMo+OtherIncPerUnitMo)+RetailRentMo*MIN(1,LeaseUp!HL$10/StabilizedOccupancy)),0)</f>
        <v/>
      </c>
      <c r="HM71" s="218">
        <f>IF(217&gt;=DeliverStart,TotalUnits/12*(CapReservePerUnit+TaxPrepPerUnit)+AssetMgmtFeePct*((BaseMarketRentMo+BaseLowRentMo)*(LeaseUp!HM$10-LossToLeasePct-BadDebtPct-ConcessionsPct)+LeaseUp!HM$9*(ParkingPerUnitMo+UtilReimbPerUnitMo+OtherIncPerUnitMo)+RetailRentMo*MIN(1,LeaseUp!HM$10/StabilizedOccupancy)),0)</f>
        <v/>
      </c>
      <c r="HN71" s="218">
        <f>IF(218&gt;=DeliverStart,TotalUnits/12*(CapReservePerUnit+TaxPrepPerUnit)+AssetMgmtFeePct*((BaseMarketRentMo+BaseLowRentMo)*(LeaseUp!HN$10-LossToLeasePct-BadDebtPct-ConcessionsPct)+LeaseUp!HN$9*(ParkingPerUnitMo+UtilReimbPerUnitMo+OtherIncPerUnitMo)+RetailRentMo*MIN(1,LeaseUp!HN$10/StabilizedOccupancy)),0)</f>
        <v/>
      </c>
      <c r="HO71" s="218">
        <f>IF(219&gt;=DeliverStart,TotalUnits/12*(CapReservePerUnit+TaxPrepPerUnit)+AssetMgmtFeePct*((BaseMarketRentMo+BaseLowRentMo)*(LeaseUp!HO$10-LossToLeasePct-BadDebtPct-ConcessionsPct)+LeaseUp!HO$9*(ParkingPerUnitMo+UtilReimbPerUnitMo+OtherIncPerUnitMo)+RetailRentMo*MIN(1,LeaseUp!HO$10/StabilizedOccupancy)),0)</f>
        <v/>
      </c>
      <c r="HP71" s="218">
        <f>IF(220&gt;=DeliverStart,TotalUnits/12*(CapReservePerUnit+TaxPrepPerUnit)+AssetMgmtFeePct*((BaseMarketRentMo+BaseLowRentMo)*(LeaseUp!HP$10-LossToLeasePct-BadDebtPct-ConcessionsPct)+LeaseUp!HP$9*(ParkingPerUnitMo+UtilReimbPerUnitMo+OtherIncPerUnitMo)+RetailRentMo*MIN(1,LeaseUp!HP$10/StabilizedOccupancy)),0)</f>
        <v/>
      </c>
      <c r="HQ71" s="218">
        <f>IF(221&gt;=DeliverStart,TotalUnits/12*(CapReservePerUnit+TaxPrepPerUnit)+AssetMgmtFeePct*((BaseMarketRentMo+BaseLowRentMo)*(LeaseUp!HQ$10-LossToLeasePct-BadDebtPct-ConcessionsPct)+LeaseUp!HQ$9*(ParkingPerUnitMo+UtilReimbPerUnitMo+OtherIncPerUnitMo)+RetailRentMo*MIN(1,LeaseUp!HQ$10/StabilizedOccupancy)),0)</f>
        <v/>
      </c>
      <c r="HR71" s="218">
        <f>IF(222&gt;=DeliverStart,TotalUnits/12*(CapReservePerUnit+TaxPrepPerUnit)+AssetMgmtFeePct*((BaseMarketRentMo+BaseLowRentMo)*(LeaseUp!HR$10-LossToLeasePct-BadDebtPct-ConcessionsPct)+LeaseUp!HR$9*(ParkingPerUnitMo+UtilReimbPerUnitMo+OtherIncPerUnitMo)+RetailRentMo*MIN(1,LeaseUp!HR$10/StabilizedOccupancy)),0)</f>
        <v/>
      </c>
      <c r="HS71" s="218">
        <f>IF(223&gt;=DeliverStart,TotalUnits/12*(CapReservePerUnit+TaxPrepPerUnit)+AssetMgmtFeePct*((BaseMarketRentMo+BaseLowRentMo)*(LeaseUp!HS$10-LossToLeasePct-BadDebtPct-ConcessionsPct)+LeaseUp!HS$9*(ParkingPerUnitMo+UtilReimbPerUnitMo+OtherIncPerUnitMo)+RetailRentMo*MIN(1,LeaseUp!HS$10/StabilizedOccupancy)),0)</f>
        <v/>
      </c>
      <c r="HT71" s="218">
        <f>IF(224&gt;=DeliverStart,TotalUnits/12*(CapReservePerUnit+TaxPrepPerUnit)+AssetMgmtFeePct*((BaseMarketRentMo+BaseLowRentMo)*(LeaseUp!HT$10-LossToLeasePct-BadDebtPct-ConcessionsPct)+LeaseUp!HT$9*(ParkingPerUnitMo+UtilReimbPerUnitMo+OtherIncPerUnitMo)+RetailRentMo*MIN(1,LeaseUp!HT$10/StabilizedOccupancy)),0)</f>
        <v/>
      </c>
      <c r="HU71" s="218">
        <f>IF(225&gt;=DeliverStart,TotalUnits/12*(CapReservePerUnit+TaxPrepPerUnit)+AssetMgmtFeePct*((BaseMarketRentMo+BaseLowRentMo)*(LeaseUp!HU$10-LossToLeasePct-BadDebtPct-ConcessionsPct)+LeaseUp!HU$9*(ParkingPerUnitMo+UtilReimbPerUnitMo+OtherIncPerUnitMo)+RetailRentMo*MIN(1,LeaseUp!HU$10/StabilizedOccupancy)),0)</f>
        <v/>
      </c>
      <c r="HV71" s="218">
        <f>IF(226&gt;=DeliverStart,TotalUnits/12*(CapReservePerUnit+TaxPrepPerUnit)+AssetMgmtFeePct*((BaseMarketRentMo+BaseLowRentMo)*(LeaseUp!HV$10-LossToLeasePct-BadDebtPct-ConcessionsPct)+LeaseUp!HV$9*(ParkingPerUnitMo+UtilReimbPerUnitMo+OtherIncPerUnitMo)+RetailRentMo*MIN(1,LeaseUp!HV$10/StabilizedOccupancy)),0)</f>
        <v/>
      </c>
      <c r="HW71" s="218">
        <f>IF(227&gt;=DeliverStart,TotalUnits/12*(CapReservePerUnit+TaxPrepPerUnit)+AssetMgmtFeePct*((BaseMarketRentMo+BaseLowRentMo)*(LeaseUp!HW$10-LossToLeasePct-BadDebtPct-ConcessionsPct)+LeaseUp!HW$9*(ParkingPerUnitMo+UtilReimbPerUnitMo+OtherIncPerUnitMo)+RetailRentMo*MIN(1,LeaseUp!HW$10/StabilizedOccupancy)),0)</f>
        <v/>
      </c>
      <c r="HX71" s="218">
        <f>IF(228&gt;=DeliverStart,TotalUnits/12*(CapReservePerUnit+TaxPrepPerUnit)+AssetMgmtFeePct*((BaseMarketRentMo+BaseLowRentMo)*(LeaseUp!HX$10-LossToLeasePct-BadDebtPct-ConcessionsPct)+LeaseUp!HX$9*(ParkingPerUnitMo+UtilReimbPerUnitMo+OtherIncPerUnitMo)+RetailRentMo*MIN(1,LeaseUp!HX$10/StabilizedOccupancy)),0)</f>
        <v/>
      </c>
      <c r="HY71" s="218">
        <f>IF(229&gt;=DeliverStart,TotalUnits/12*(CapReservePerUnit+TaxPrepPerUnit)+AssetMgmtFeePct*((BaseMarketRentMo+BaseLowRentMo)*(LeaseUp!HY$10-LossToLeasePct-BadDebtPct-ConcessionsPct)+LeaseUp!HY$9*(ParkingPerUnitMo+UtilReimbPerUnitMo+OtherIncPerUnitMo)+RetailRentMo*MIN(1,LeaseUp!HY$10/StabilizedOccupancy)),0)</f>
        <v/>
      </c>
      <c r="HZ71" s="218">
        <f>IF(230&gt;=DeliverStart,TotalUnits/12*(CapReservePerUnit+TaxPrepPerUnit)+AssetMgmtFeePct*((BaseMarketRentMo+BaseLowRentMo)*(LeaseUp!HZ$10-LossToLeasePct-BadDebtPct-ConcessionsPct)+LeaseUp!HZ$9*(ParkingPerUnitMo+UtilReimbPerUnitMo+OtherIncPerUnitMo)+RetailRentMo*MIN(1,LeaseUp!HZ$10/StabilizedOccupancy)),0)</f>
        <v/>
      </c>
      <c r="IA71" s="218">
        <f>IF(231&gt;=DeliverStart,TotalUnits/12*(CapReservePerUnit+TaxPrepPerUnit)+AssetMgmtFeePct*((BaseMarketRentMo+BaseLowRentMo)*(LeaseUp!IA$10-LossToLeasePct-BadDebtPct-ConcessionsPct)+LeaseUp!IA$9*(ParkingPerUnitMo+UtilReimbPerUnitMo+OtherIncPerUnitMo)+RetailRentMo*MIN(1,LeaseUp!IA$10/StabilizedOccupancy)),0)</f>
        <v/>
      </c>
      <c r="IB71" s="218">
        <f>IF(232&gt;=DeliverStart,TotalUnits/12*(CapReservePerUnit+TaxPrepPerUnit)+AssetMgmtFeePct*((BaseMarketRentMo+BaseLowRentMo)*(LeaseUp!IB$10-LossToLeasePct-BadDebtPct-ConcessionsPct)+LeaseUp!IB$9*(ParkingPerUnitMo+UtilReimbPerUnitMo+OtherIncPerUnitMo)+RetailRentMo*MIN(1,LeaseUp!IB$10/StabilizedOccupancy)),0)</f>
        <v/>
      </c>
      <c r="IC71" s="218">
        <f>IF(233&gt;=DeliverStart,TotalUnits/12*(CapReservePerUnit+TaxPrepPerUnit)+AssetMgmtFeePct*((BaseMarketRentMo+BaseLowRentMo)*(LeaseUp!IC$10-LossToLeasePct-BadDebtPct-ConcessionsPct)+LeaseUp!IC$9*(ParkingPerUnitMo+UtilReimbPerUnitMo+OtherIncPerUnitMo)+RetailRentMo*MIN(1,LeaseUp!IC$10/StabilizedOccupancy)),0)</f>
        <v/>
      </c>
      <c r="ID71" s="218">
        <f>IF(234&gt;=DeliverStart,TotalUnits/12*(CapReservePerUnit+TaxPrepPerUnit)+AssetMgmtFeePct*((BaseMarketRentMo+BaseLowRentMo)*(LeaseUp!ID$10-LossToLeasePct-BadDebtPct-ConcessionsPct)+LeaseUp!ID$9*(ParkingPerUnitMo+UtilReimbPerUnitMo+OtherIncPerUnitMo)+RetailRentMo*MIN(1,LeaseUp!ID$10/StabilizedOccupancy)),0)</f>
        <v/>
      </c>
      <c r="IE71" s="218">
        <f>IF(235&gt;=DeliverStart,TotalUnits/12*(CapReservePerUnit+TaxPrepPerUnit)+AssetMgmtFeePct*((BaseMarketRentMo+BaseLowRentMo)*(LeaseUp!IE$10-LossToLeasePct-BadDebtPct-ConcessionsPct)+LeaseUp!IE$9*(ParkingPerUnitMo+UtilReimbPerUnitMo+OtherIncPerUnitMo)+RetailRentMo*MIN(1,LeaseUp!IE$10/StabilizedOccupancy)),0)</f>
        <v/>
      </c>
      <c r="IF71" s="218">
        <f>IF(236&gt;=DeliverStart,TotalUnits/12*(CapReservePerUnit+TaxPrepPerUnit)+AssetMgmtFeePct*((BaseMarketRentMo+BaseLowRentMo)*(LeaseUp!IF$10-LossToLeasePct-BadDebtPct-ConcessionsPct)+LeaseUp!IF$9*(ParkingPerUnitMo+UtilReimbPerUnitMo+OtherIncPerUnitMo)+RetailRentMo*MIN(1,LeaseUp!IF$10/StabilizedOccupancy)),0)</f>
        <v/>
      </c>
      <c r="IG71" s="218">
        <f>IF(237&gt;=DeliverStart,TotalUnits/12*(CapReservePerUnit+TaxPrepPerUnit)+AssetMgmtFeePct*((BaseMarketRentMo+BaseLowRentMo)*(LeaseUp!IG$10-LossToLeasePct-BadDebtPct-ConcessionsPct)+LeaseUp!IG$9*(ParkingPerUnitMo+UtilReimbPerUnitMo+OtherIncPerUnitMo)+RetailRentMo*MIN(1,LeaseUp!IG$10/StabilizedOccupancy)),0)</f>
        <v/>
      </c>
      <c r="IH71" s="218">
        <f>IF(238&gt;=DeliverStart,TotalUnits/12*(CapReservePerUnit+TaxPrepPerUnit)+AssetMgmtFeePct*((BaseMarketRentMo+BaseLowRentMo)*(LeaseUp!IH$10-LossToLeasePct-BadDebtPct-ConcessionsPct)+LeaseUp!IH$9*(ParkingPerUnitMo+UtilReimbPerUnitMo+OtherIncPerUnitMo)+RetailRentMo*MIN(1,LeaseUp!IH$10/StabilizedOccupancy)),0)</f>
        <v/>
      </c>
      <c r="II71" s="218">
        <f>IF(239&gt;=DeliverStart,TotalUnits/12*(CapReservePerUnit+TaxPrepPerUnit)+AssetMgmtFeePct*((BaseMarketRentMo+BaseLowRentMo)*(LeaseUp!II$10-LossToLeasePct-BadDebtPct-ConcessionsPct)+LeaseUp!II$9*(ParkingPerUnitMo+UtilReimbPerUnitMo+OtherIncPerUnitMo)+RetailRentMo*MIN(1,LeaseUp!II$10/StabilizedOccupancy)),0)</f>
        <v/>
      </c>
      <c r="IJ71" s="218">
        <f>IF(240&gt;=DeliverStart,TotalUnits/12*(CapReservePerUnit+TaxPrepPerUnit)+AssetMgmtFeePct*((BaseMarketRentMo+BaseLowRentMo)*(LeaseUp!IJ$10-LossToLeasePct-BadDebtPct-ConcessionsPct)+LeaseUp!IJ$9*(ParkingPerUnitMo+UtilReimbPerUnitMo+OtherIncPerUnitMo)+RetailRentMo*MIN(1,LeaseUp!IJ$10/StabilizedOccupancy)),0)</f>
        <v/>
      </c>
      <c r="IK71" s="218">
        <f>IF(241&gt;=DeliverStart,TotalUnits/12*(CapReservePerUnit+TaxPrepPerUnit)+AssetMgmtFeePct*((BaseMarketRentMo+BaseLowRentMo)*(LeaseUp!IK$10-LossToLeasePct-BadDebtPct-ConcessionsPct)+LeaseUp!IK$9*(ParkingPerUnitMo+UtilReimbPerUnitMo+OtherIncPerUnitMo)+RetailRentMo*MIN(1,LeaseUp!IK$10/StabilizedOccupancy)),0)</f>
        <v/>
      </c>
      <c r="IL71" s="218">
        <f>IF(242&gt;=DeliverStart,TotalUnits/12*(CapReservePerUnit+TaxPrepPerUnit)+AssetMgmtFeePct*((BaseMarketRentMo+BaseLowRentMo)*(LeaseUp!IL$10-LossToLeasePct-BadDebtPct-ConcessionsPct)+LeaseUp!IL$9*(ParkingPerUnitMo+UtilReimbPerUnitMo+OtherIncPerUnitMo)+RetailRentMo*MIN(1,LeaseUp!IL$10/StabilizedOccupancy)),0)</f>
        <v/>
      </c>
      <c r="IM71" s="218">
        <f>IF(243&gt;=DeliverStart,TotalUnits/12*(CapReservePerUnit+TaxPrepPerUnit)+AssetMgmtFeePct*((BaseMarketRentMo+BaseLowRentMo)*(LeaseUp!IM$10-LossToLeasePct-BadDebtPct-ConcessionsPct)+LeaseUp!IM$9*(ParkingPerUnitMo+UtilReimbPerUnitMo+OtherIncPerUnitMo)+RetailRentMo*MIN(1,LeaseUp!IM$10/StabilizedOccupancy)),0)</f>
        <v/>
      </c>
      <c r="IN71" s="218">
        <f>IF(244&gt;=DeliverStart,TotalUnits/12*(CapReservePerUnit+TaxPrepPerUnit)+AssetMgmtFeePct*((BaseMarketRentMo+BaseLowRentMo)*(LeaseUp!IN$10-LossToLeasePct-BadDebtPct-ConcessionsPct)+LeaseUp!IN$9*(ParkingPerUnitMo+UtilReimbPerUnitMo+OtherIncPerUnitMo)+RetailRentMo*MIN(1,LeaseUp!IN$10/StabilizedOccupancy)),0)</f>
        <v/>
      </c>
      <c r="IO71" s="218">
        <f>IF(245&gt;=DeliverStart,TotalUnits/12*(CapReservePerUnit+TaxPrepPerUnit)+AssetMgmtFeePct*((BaseMarketRentMo+BaseLowRentMo)*(LeaseUp!IO$10-LossToLeasePct-BadDebtPct-ConcessionsPct)+LeaseUp!IO$9*(ParkingPerUnitMo+UtilReimbPerUnitMo+OtherIncPerUnitMo)+RetailRentMo*MIN(1,LeaseUp!IO$10/StabilizedOccupancy)),0)</f>
        <v/>
      </c>
      <c r="IP71" s="218">
        <f>IF(246&gt;=DeliverStart,TotalUnits/12*(CapReservePerUnit+TaxPrepPerUnit)+AssetMgmtFeePct*((BaseMarketRentMo+BaseLowRentMo)*(LeaseUp!IP$10-LossToLeasePct-BadDebtPct-ConcessionsPct)+LeaseUp!IP$9*(ParkingPerUnitMo+UtilReimbPerUnitMo+OtherIncPerUnitMo)+RetailRentMo*MIN(1,LeaseUp!IP$10/StabilizedOccupancy)),0)</f>
        <v/>
      </c>
      <c r="IQ71" s="218">
        <f>IF(247&gt;=DeliverStart,TotalUnits/12*(CapReservePerUnit+TaxPrepPerUnit)+AssetMgmtFeePct*((BaseMarketRentMo+BaseLowRentMo)*(LeaseUp!IQ$10-LossToLeasePct-BadDebtPct-ConcessionsPct)+LeaseUp!IQ$9*(ParkingPerUnitMo+UtilReimbPerUnitMo+OtherIncPerUnitMo)+RetailRentMo*MIN(1,LeaseUp!IQ$10/StabilizedOccupancy)),0)</f>
        <v/>
      </c>
      <c r="IR71" s="218">
        <f>IF(248&gt;=DeliverStart,TotalUnits/12*(CapReservePerUnit+TaxPrepPerUnit)+AssetMgmtFeePct*((BaseMarketRentMo+BaseLowRentMo)*(LeaseUp!IR$10-LossToLeasePct-BadDebtPct-ConcessionsPct)+LeaseUp!IR$9*(ParkingPerUnitMo+UtilReimbPerUnitMo+OtherIncPerUnitMo)+RetailRentMo*MIN(1,LeaseUp!IR$10/StabilizedOccupancy)),0)</f>
        <v/>
      </c>
      <c r="IS71" s="218">
        <f>IF(249&gt;=DeliverStart,TotalUnits/12*(CapReservePerUnit+TaxPrepPerUnit)+AssetMgmtFeePct*((BaseMarketRentMo+BaseLowRentMo)*(LeaseUp!IS$10-LossToLeasePct-BadDebtPct-ConcessionsPct)+LeaseUp!IS$9*(ParkingPerUnitMo+UtilReimbPerUnitMo+OtherIncPerUnitMo)+RetailRentMo*MIN(1,LeaseUp!IS$10/StabilizedOccupancy)),0)</f>
        <v/>
      </c>
      <c r="IT71" s="218">
        <f>IF(250&gt;=DeliverStart,TotalUnits/12*(CapReservePerUnit+TaxPrepPerUnit)+AssetMgmtFeePct*((BaseMarketRentMo+BaseLowRentMo)*(LeaseUp!IT$10-LossToLeasePct-BadDebtPct-ConcessionsPct)+LeaseUp!IT$9*(ParkingPerUnitMo+UtilReimbPerUnitMo+OtherIncPerUnitMo)+RetailRentMo*MIN(1,LeaseUp!IT$10/StabilizedOccupancy)),0)</f>
        <v/>
      </c>
      <c r="IU71" s="218">
        <f>IF(251&gt;=DeliverStart,TotalUnits/12*(CapReservePerUnit+TaxPrepPerUnit)+AssetMgmtFeePct*((BaseMarketRentMo+BaseLowRentMo)*(LeaseUp!IU$10-LossToLeasePct-BadDebtPct-ConcessionsPct)+LeaseUp!IU$9*(ParkingPerUnitMo+UtilReimbPerUnitMo+OtherIncPerUnitMo)+RetailRentMo*MIN(1,LeaseUp!IU$10/StabilizedOccupancy)),0)</f>
        <v/>
      </c>
      <c r="IV71" s="218">
        <f>IF(252&gt;=DeliverStart,TotalUnits/12*(CapReservePerUnit+TaxPrepPerUnit)+AssetMgmtFeePct*((BaseMarketRentMo+BaseLowRentMo)*(LeaseUp!IV$10-LossToLeasePct-BadDebtPct-ConcessionsPct)+LeaseUp!IV$9*(ParkingPerUnitMo+UtilReimbPerUnitMo+OtherIncPerUnitMo)+RetailRentMo*MIN(1,LeaseUp!IV$10/StabilizedOccupancy)),0)</f>
        <v/>
      </c>
      <c r="IW71" s="218">
        <f>IF(253&gt;=DeliverStart,TotalUnits/12*(CapReservePerUnit+TaxPrepPerUnit)+AssetMgmtFeePct*((BaseMarketRentMo+BaseLowRentMo)*(LeaseUp!IW$10-LossToLeasePct-BadDebtPct-ConcessionsPct)+LeaseUp!IW$9*(ParkingPerUnitMo+UtilReimbPerUnitMo+OtherIncPerUnitMo)+RetailRentMo*MIN(1,LeaseUp!IW$10/StabilizedOccupancy)),0)</f>
        <v/>
      </c>
      <c r="IX71" s="218">
        <f>IF(254&gt;=DeliverStart,TotalUnits/12*(CapReservePerUnit+TaxPrepPerUnit)+AssetMgmtFeePct*((BaseMarketRentMo+BaseLowRentMo)*(LeaseUp!IX$10-LossToLeasePct-BadDebtPct-ConcessionsPct)+LeaseUp!IX$9*(ParkingPerUnitMo+UtilReimbPerUnitMo+OtherIncPerUnitMo)+RetailRentMo*MIN(1,LeaseUp!IX$10/StabilizedOccupancy)),0)</f>
        <v/>
      </c>
      <c r="IY71" s="218">
        <f>IF(255&gt;=DeliverStart,TotalUnits/12*(CapReservePerUnit+TaxPrepPerUnit)+AssetMgmtFeePct*((BaseMarketRentMo+BaseLowRentMo)*(LeaseUp!IY$10-LossToLeasePct-BadDebtPct-ConcessionsPct)+LeaseUp!IY$9*(ParkingPerUnitMo+UtilReimbPerUnitMo+OtherIncPerUnitMo)+RetailRentMo*MIN(1,LeaseUp!IY$10/StabilizedOccupancy)),0)</f>
        <v/>
      </c>
      <c r="IZ71" s="218">
        <f>IF(256&gt;=DeliverStart,TotalUnits/12*(CapReservePerUnit+TaxPrepPerUnit)+AssetMgmtFeePct*((BaseMarketRentMo+BaseLowRentMo)*(LeaseUp!IZ$10-LossToLeasePct-BadDebtPct-ConcessionsPct)+LeaseUp!IZ$9*(ParkingPerUnitMo+UtilReimbPerUnitMo+OtherIncPerUnitMo)+RetailRentMo*MIN(1,LeaseUp!IZ$10/StabilizedOccupancy)),0)</f>
        <v/>
      </c>
      <c r="JA71" s="218">
        <f>IF(257&gt;=DeliverStart,TotalUnits/12*(CapReservePerUnit+TaxPrepPerUnit)+AssetMgmtFeePct*((BaseMarketRentMo+BaseLowRentMo)*(LeaseUp!JA$10-LossToLeasePct-BadDebtPct-ConcessionsPct)+LeaseUp!JA$9*(ParkingPerUnitMo+UtilReimbPerUnitMo+OtherIncPerUnitMo)+RetailRentMo*MIN(1,LeaseUp!JA$10/StabilizedOccupancy)),0)</f>
        <v/>
      </c>
      <c r="JB71" s="218">
        <f>IF(258&gt;=DeliverStart,TotalUnits/12*(CapReservePerUnit+TaxPrepPerUnit)+AssetMgmtFeePct*((BaseMarketRentMo+BaseLowRentMo)*(LeaseUp!JB$10-LossToLeasePct-BadDebtPct-ConcessionsPct)+LeaseUp!JB$9*(ParkingPerUnitMo+UtilReimbPerUnitMo+OtherIncPerUnitMo)+RetailRentMo*MIN(1,LeaseUp!JB$10/StabilizedOccupancy)),0)</f>
        <v/>
      </c>
      <c r="JC71" s="218">
        <f>IF(259&gt;=DeliverStart,TotalUnits/12*(CapReservePerUnit+TaxPrepPerUnit)+AssetMgmtFeePct*((BaseMarketRentMo+BaseLowRentMo)*(LeaseUp!JC$10-LossToLeasePct-BadDebtPct-ConcessionsPct)+LeaseUp!JC$9*(ParkingPerUnitMo+UtilReimbPerUnitMo+OtherIncPerUnitMo)+RetailRentMo*MIN(1,LeaseUp!JC$10/StabilizedOccupancy)),0)</f>
        <v/>
      </c>
      <c r="JD71" s="218">
        <f>IF(260&gt;=DeliverStart,TotalUnits/12*(CapReservePerUnit+TaxPrepPerUnit)+AssetMgmtFeePct*((BaseMarketRentMo+BaseLowRentMo)*(LeaseUp!JD$10-LossToLeasePct-BadDebtPct-ConcessionsPct)+LeaseUp!JD$9*(ParkingPerUnitMo+UtilReimbPerUnitMo+OtherIncPerUnitMo)+RetailRentMo*MIN(1,LeaseUp!JD$10/StabilizedOccupancy)),0)</f>
        <v/>
      </c>
      <c r="JE71" s="218">
        <f>IF(261&gt;=DeliverStart,TotalUnits/12*(CapReservePerUnit+TaxPrepPerUnit)+AssetMgmtFeePct*((BaseMarketRentMo+BaseLowRentMo)*(LeaseUp!JE$10-LossToLeasePct-BadDebtPct-ConcessionsPct)+LeaseUp!JE$9*(ParkingPerUnitMo+UtilReimbPerUnitMo+OtherIncPerUnitMo)+RetailRentMo*MIN(1,LeaseUp!JE$10/StabilizedOccupancy)),0)</f>
        <v/>
      </c>
      <c r="JF71" s="218">
        <f>IF(262&gt;=DeliverStart,TotalUnits/12*(CapReservePerUnit+TaxPrepPerUnit)+AssetMgmtFeePct*((BaseMarketRentMo+BaseLowRentMo)*(LeaseUp!JF$10-LossToLeasePct-BadDebtPct-ConcessionsPct)+LeaseUp!JF$9*(ParkingPerUnitMo+UtilReimbPerUnitMo+OtherIncPerUnitMo)+RetailRentMo*MIN(1,LeaseUp!JF$10/StabilizedOccupancy)),0)</f>
        <v/>
      </c>
      <c r="JG71" s="218">
        <f>IF(263&gt;=DeliverStart,TotalUnits/12*(CapReservePerUnit+TaxPrepPerUnit)+AssetMgmtFeePct*((BaseMarketRentMo+BaseLowRentMo)*(LeaseUp!JG$10-LossToLeasePct-BadDebtPct-ConcessionsPct)+LeaseUp!JG$9*(ParkingPerUnitMo+UtilReimbPerUnitMo+OtherIncPerUnitMo)+RetailRentMo*MIN(1,LeaseUp!JG$10/StabilizedOccupancy)),0)</f>
        <v/>
      </c>
      <c r="JH71" s="218">
        <f>IF(264&gt;=DeliverStart,TotalUnits/12*(CapReservePerUnit+TaxPrepPerUnit)+AssetMgmtFeePct*((BaseMarketRentMo+BaseLowRentMo)*(LeaseUp!JH$10-LossToLeasePct-BadDebtPct-ConcessionsPct)+LeaseUp!JH$9*(ParkingPerUnitMo+UtilReimbPerUnitMo+OtherIncPerUnitMo)+RetailRentMo*MIN(1,LeaseUp!JH$10/StabilizedOccupancy)),0)</f>
        <v/>
      </c>
      <c r="JI71" s="218">
        <f>IF(265&gt;=DeliverStart,TotalUnits/12*(CapReservePerUnit+TaxPrepPerUnit)+AssetMgmtFeePct*((BaseMarketRentMo+BaseLowRentMo)*(LeaseUp!JI$10-LossToLeasePct-BadDebtPct-ConcessionsPct)+LeaseUp!JI$9*(ParkingPerUnitMo+UtilReimbPerUnitMo+OtherIncPerUnitMo)+RetailRentMo*MIN(1,LeaseUp!JI$10/StabilizedOccupancy)),0)</f>
        <v/>
      </c>
      <c r="JJ71" s="218">
        <f>IF(266&gt;=DeliverStart,TotalUnits/12*(CapReservePerUnit+TaxPrepPerUnit)+AssetMgmtFeePct*((BaseMarketRentMo+BaseLowRentMo)*(LeaseUp!JJ$10-LossToLeasePct-BadDebtPct-ConcessionsPct)+LeaseUp!JJ$9*(ParkingPerUnitMo+UtilReimbPerUnitMo+OtherIncPerUnitMo)+RetailRentMo*MIN(1,LeaseUp!JJ$10/StabilizedOccupancy)),0)</f>
        <v/>
      </c>
      <c r="JK71" s="218">
        <f>IF(267&gt;=DeliverStart,TotalUnits/12*(CapReservePerUnit+TaxPrepPerUnit)+AssetMgmtFeePct*((BaseMarketRentMo+BaseLowRentMo)*(LeaseUp!JK$10-LossToLeasePct-BadDebtPct-ConcessionsPct)+LeaseUp!JK$9*(ParkingPerUnitMo+UtilReimbPerUnitMo+OtherIncPerUnitMo)+RetailRentMo*MIN(1,LeaseUp!JK$10/StabilizedOccupancy)),0)</f>
        <v/>
      </c>
      <c r="JL71" s="218">
        <f>IF(268&gt;=DeliverStart,TotalUnits/12*(CapReservePerUnit+TaxPrepPerUnit)+AssetMgmtFeePct*((BaseMarketRentMo+BaseLowRentMo)*(LeaseUp!JL$10-LossToLeasePct-BadDebtPct-ConcessionsPct)+LeaseUp!JL$9*(ParkingPerUnitMo+UtilReimbPerUnitMo+OtherIncPerUnitMo)+RetailRentMo*MIN(1,LeaseUp!JL$10/StabilizedOccupancy)),0)</f>
        <v/>
      </c>
      <c r="JM71" s="218">
        <f>IF(269&gt;=DeliverStart,TotalUnits/12*(CapReservePerUnit+TaxPrepPerUnit)+AssetMgmtFeePct*((BaseMarketRentMo+BaseLowRentMo)*(LeaseUp!JM$10-LossToLeasePct-BadDebtPct-ConcessionsPct)+LeaseUp!JM$9*(ParkingPerUnitMo+UtilReimbPerUnitMo+OtherIncPerUnitMo)+RetailRentMo*MIN(1,LeaseUp!JM$10/StabilizedOccupancy)),0)</f>
        <v/>
      </c>
      <c r="JN71" s="218">
        <f>IF(270&gt;=DeliverStart,TotalUnits/12*(CapReservePerUnit+TaxPrepPerUnit)+AssetMgmtFeePct*((BaseMarketRentMo+BaseLowRentMo)*(LeaseUp!JN$10-LossToLeasePct-BadDebtPct-ConcessionsPct)+LeaseUp!JN$9*(ParkingPerUnitMo+UtilReimbPerUnitMo+OtherIncPerUnitMo)+RetailRentMo*MIN(1,LeaseUp!JN$10/StabilizedOccupancy)),0)</f>
        <v/>
      </c>
      <c r="JO71" s="218">
        <f>IF(271&gt;=DeliverStart,TotalUnits/12*(CapReservePerUnit+TaxPrepPerUnit)+AssetMgmtFeePct*((BaseMarketRentMo+BaseLowRentMo)*(LeaseUp!JO$10-LossToLeasePct-BadDebtPct-ConcessionsPct)+LeaseUp!JO$9*(ParkingPerUnitMo+UtilReimbPerUnitMo+OtherIncPerUnitMo)+RetailRentMo*MIN(1,LeaseUp!JO$10/StabilizedOccupancy)),0)</f>
        <v/>
      </c>
      <c r="JP71" s="218">
        <f>IF(272&gt;=DeliverStart,TotalUnits/12*(CapReservePerUnit+TaxPrepPerUnit)+AssetMgmtFeePct*((BaseMarketRentMo+BaseLowRentMo)*(LeaseUp!JP$10-LossToLeasePct-BadDebtPct-ConcessionsPct)+LeaseUp!JP$9*(ParkingPerUnitMo+UtilReimbPerUnitMo+OtherIncPerUnitMo)+RetailRentMo*MIN(1,LeaseUp!JP$10/StabilizedOccupancy)),0)</f>
        <v/>
      </c>
      <c r="JQ71" s="218">
        <f>IF(273&gt;=DeliverStart,TotalUnits/12*(CapReservePerUnit+TaxPrepPerUnit)+AssetMgmtFeePct*((BaseMarketRentMo+BaseLowRentMo)*(LeaseUp!JQ$10-LossToLeasePct-BadDebtPct-ConcessionsPct)+LeaseUp!JQ$9*(ParkingPerUnitMo+UtilReimbPerUnitMo+OtherIncPerUnitMo)+RetailRentMo*MIN(1,LeaseUp!JQ$10/StabilizedOccupancy)),0)</f>
        <v/>
      </c>
      <c r="JR71" s="218">
        <f>IF(274&gt;=DeliverStart,TotalUnits/12*(CapReservePerUnit+TaxPrepPerUnit)+AssetMgmtFeePct*((BaseMarketRentMo+BaseLowRentMo)*(LeaseUp!JR$10-LossToLeasePct-BadDebtPct-ConcessionsPct)+LeaseUp!JR$9*(ParkingPerUnitMo+UtilReimbPerUnitMo+OtherIncPerUnitMo)+RetailRentMo*MIN(1,LeaseUp!JR$10/StabilizedOccupancy)),0)</f>
        <v/>
      </c>
      <c r="JS71" s="218">
        <f>IF(275&gt;=DeliverStart,TotalUnits/12*(CapReservePerUnit+TaxPrepPerUnit)+AssetMgmtFeePct*((BaseMarketRentMo+BaseLowRentMo)*(LeaseUp!JS$10-LossToLeasePct-BadDebtPct-ConcessionsPct)+LeaseUp!JS$9*(ParkingPerUnitMo+UtilReimbPerUnitMo+OtherIncPerUnitMo)+RetailRentMo*MIN(1,LeaseUp!JS$10/StabilizedOccupancy)),0)</f>
        <v/>
      </c>
      <c r="JT71" s="218">
        <f>IF(276&gt;=DeliverStart,TotalUnits/12*(CapReservePerUnit+TaxPrepPerUnit)+AssetMgmtFeePct*((BaseMarketRentMo+BaseLowRentMo)*(LeaseUp!JT$10-LossToLeasePct-BadDebtPct-ConcessionsPct)+LeaseUp!JT$9*(ParkingPerUnitMo+UtilReimbPerUnitMo+OtherIncPerUnitMo)+RetailRentMo*MIN(1,LeaseUp!JT$10/StabilizedOccupancy)),0)</f>
        <v/>
      </c>
      <c r="JU71" s="218">
        <f>IF(277&gt;=DeliverStart,TotalUnits/12*(CapReservePerUnit+TaxPrepPerUnit)+AssetMgmtFeePct*((BaseMarketRentMo+BaseLowRentMo)*(LeaseUp!JU$10-LossToLeasePct-BadDebtPct-ConcessionsPct)+LeaseUp!JU$9*(ParkingPerUnitMo+UtilReimbPerUnitMo+OtherIncPerUnitMo)+RetailRentMo*MIN(1,LeaseUp!JU$10/StabilizedOccupancy)),0)</f>
        <v/>
      </c>
      <c r="JV71" s="218">
        <f>IF(278&gt;=DeliverStart,TotalUnits/12*(CapReservePerUnit+TaxPrepPerUnit)+AssetMgmtFeePct*((BaseMarketRentMo+BaseLowRentMo)*(LeaseUp!JV$10-LossToLeasePct-BadDebtPct-ConcessionsPct)+LeaseUp!JV$9*(ParkingPerUnitMo+UtilReimbPerUnitMo+OtherIncPerUnitMo)+RetailRentMo*MIN(1,LeaseUp!JV$10/StabilizedOccupancy)),0)</f>
        <v/>
      </c>
      <c r="JW71" s="218">
        <f>IF(279&gt;=DeliverStart,TotalUnits/12*(CapReservePerUnit+TaxPrepPerUnit)+AssetMgmtFeePct*((BaseMarketRentMo+BaseLowRentMo)*(LeaseUp!JW$10-LossToLeasePct-BadDebtPct-ConcessionsPct)+LeaseUp!JW$9*(ParkingPerUnitMo+UtilReimbPerUnitMo+OtherIncPerUnitMo)+RetailRentMo*MIN(1,LeaseUp!JW$10/StabilizedOccupancy)),0)</f>
        <v/>
      </c>
      <c r="JX71" s="218">
        <f>IF(280&gt;=DeliverStart,TotalUnits/12*(CapReservePerUnit+TaxPrepPerUnit)+AssetMgmtFeePct*((BaseMarketRentMo+BaseLowRentMo)*(LeaseUp!JX$10-LossToLeasePct-BadDebtPct-ConcessionsPct)+LeaseUp!JX$9*(ParkingPerUnitMo+UtilReimbPerUnitMo+OtherIncPerUnitMo)+RetailRentMo*MIN(1,LeaseUp!JX$10/StabilizedOccupancy)),0)</f>
        <v/>
      </c>
      <c r="JY71" s="218">
        <f>IF(281&gt;=DeliverStart,TotalUnits/12*(CapReservePerUnit+TaxPrepPerUnit)+AssetMgmtFeePct*((BaseMarketRentMo+BaseLowRentMo)*(LeaseUp!JY$10-LossToLeasePct-BadDebtPct-ConcessionsPct)+LeaseUp!JY$9*(ParkingPerUnitMo+UtilReimbPerUnitMo+OtherIncPerUnitMo)+RetailRentMo*MIN(1,LeaseUp!JY$10/StabilizedOccupancy)),0)</f>
        <v/>
      </c>
      <c r="JZ71" s="218">
        <f>IF(282&gt;=DeliverStart,TotalUnits/12*(CapReservePerUnit+TaxPrepPerUnit)+AssetMgmtFeePct*((BaseMarketRentMo+BaseLowRentMo)*(LeaseUp!JZ$10-LossToLeasePct-BadDebtPct-ConcessionsPct)+LeaseUp!JZ$9*(ParkingPerUnitMo+UtilReimbPerUnitMo+OtherIncPerUnitMo)+RetailRentMo*MIN(1,LeaseUp!JZ$10/StabilizedOccupancy)),0)</f>
        <v/>
      </c>
      <c r="KA71" s="218">
        <f>IF(283&gt;=DeliverStart,TotalUnits/12*(CapReservePerUnit+TaxPrepPerUnit)+AssetMgmtFeePct*((BaseMarketRentMo+BaseLowRentMo)*(LeaseUp!KA$10-LossToLeasePct-BadDebtPct-ConcessionsPct)+LeaseUp!KA$9*(ParkingPerUnitMo+UtilReimbPerUnitMo+OtherIncPerUnitMo)+RetailRentMo*MIN(1,LeaseUp!KA$10/StabilizedOccupancy)),0)</f>
        <v/>
      </c>
      <c r="KB71" s="218">
        <f>IF(284&gt;=DeliverStart,TotalUnits/12*(CapReservePerUnit+TaxPrepPerUnit)+AssetMgmtFeePct*((BaseMarketRentMo+BaseLowRentMo)*(LeaseUp!KB$10-LossToLeasePct-BadDebtPct-ConcessionsPct)+LeaseUp!KB$9*(ParkingPerUnitMo+UtilReimbPerUnitMo+OtherIncPerUnitMo)+RetailRentMo*MIN(1,LeaseUp!KB$10/StabilizedOccupancy)),0)</f>
        <v/>
      </c>
      <c r="KC71" s="218">
        <f>IF(285&gt;=DeliverStart,TotalUnits/12*(CapReservePerUnit+TaxPrepPerUnit)+AssetMgmtFeePct*((BaseMarketRentMo+BaseLowRentMo)*(LeaseUp!KC$10-LossToLeasePct-BadDebtPct-ConcessionsPct)+LeaseUp!KC$9*(ParkingPerUnitMo+UtilReimbPerUnitMo+OtherIncPerUnitMo)+RetailRentMo*MIN(1,LeaseUp!KC$10/StabilizedOccupancy)),0)</f>
        <v/>
      </c>
      <c r="KD71" s="218">
        <f>IF(286&gt;=DeliverStart,TotalUnits/12*(CapReservePerUnit+TaxPrepPerUnit)+AssetMgmtFeePct*((BaseMarketRentMo+BaseLowRentMo)*(LeaseUp!KD$10-LossToLeasePct-BadDebtPct-ConcessionsPct)+LeaseUp!KD$9*(ParkingPerUnitMo+UtilReimbPerUnitMo+OtherIncPerUnitMo)+RetailRentMo*MIN(1,LeaseUp!KD$10/StabilizedOccupancy)),0)</f>
        <v/>
      </c>
      <c r="KE71" s="218">
        <f>IF(287&gt;=DeliverStart,TotalUnits/12*(CapReservePerUnit+TaxPrepPerUnit)+AssetMgmtFeePct*((BaseMarketRentMo+BaseLowRentMo)*(LeaseUp!KE$10-LossToLeasePct-BadDebtPct-ConcessionsPct)+LeaseUp!KE$9*(ParkingPerUnitMo+UtilReimbPerUnitMo+OtherIncPerUnitMo)+RetailRentMo*MIN(1,LeaseUp!KE$10/StabilizedOccupancy)),0)</f>
        <v/>
      </c>
      <c r="KF71" s="218">
        <f>IF(288&gt;=DeliverStart,TotalUnits/12*(CapReservePerUnit+TaxPrepPerUnit)+AssetMgmtFeePct*((BaseMarketRentMo+BaseLowRentMo)*(LeaseUp!KF$10-LossToLeasePct-BadDebtPct-ConcessionsPct)+LeaseUp!KF$9*(ParkingPerUnitMo+UtilReimbPerUnitMo+OtherIncPerUnitMo)+RetailRentMo*MIN(1,LeaseUp!KF$10/StabilizedOccupancy)),0)</f>
        <v/>
      </c>
      <c r="KG71" s="218">
        <f>IF(289&gt;=DeliverStart,TotalUnits/12*(CapReservePerUnit+TaxPrepPerUnit)+AssetMgmtFeePct*((BaseMarketRentMo+BaseLowRentMo)*(LeaseUp!KG$10-LossToLeasePct-BadDebtPct-ConcessionsPct)+LeaseUp!KG$9*(ParkingPerUnitMo+UtilReimbPerUnitMo+OtherIncPerUnitMo)+RetailRentMo*MIN(1,LeaseUp!KG$10/StabilizedOccupancy)),0)</f>
        <v/>
      </c>
      <c r="KH71" s="218">
        <f>IF(290&gt;=DeliverStart,TotalUnits/12*(CapReservePerUnit+TaxPrepPerUnit)+AssetMgmtFeePct*((BaseMarketRentMo+BaseLowRentMo)*(LeaseUp!KH$10-LossToLeasePct-BadDebtPct-ConcessionsPct)+LeaseUp!KH$9*(ParkingPerUnitMo+UtilReimbPerUnitMo+OtherIncPerUnitMo)+RetailRentMo*MIN(1,LeaseUp!KH$10/StabilizedOccupancy)),0)</f>
        <v/>
      </c>
      <c r="KI71" s="218">
        <f>IF(291&gt;=DeliverStart,TotalUnits/12*(CapReservePerUnit+TaxPrepPerUnit)+AssetMgmtFeePct*((BaseMarketRentMo+BaseLowRentMo)*(LeaseUp!KI$10-LossToLeasePct-BadDebtPct-ConcessionsPct)+LeaseUp!KI$9*(ParkingPerUnitMo+UtilReimbPerUnitMo+OtherIncPerUnitMo)+RetailRentMo*MIN(1,LeaseUp!KI$10/StabilizedOccupancy)),0)</f>
        <v/>
      </c>
      <c r="KJ71" s="218">
        <f>IF(292&gt;=DeliverStart,TotalUnits/12*(CapReservePerUnit+TaxPrepPerUnit)+AssetMgmtFeePct*((BaseMarketRentMo+BaseLowRentMo)*(LeaseUp!KJ$10-LossToLeasePct-BadDebtPct-ConcessionsPct)+LeaseUp!KJ$9*(ParkingPerUnitMo+UtilReimbPerUnitMo+OtherIncPerUnitMo)+RetailRentMo*MIN(1,LeaseUp!KJ$10/StabilizedOccupancy)),0)</f>
        <v/>
      </c>
      <c r="KK71" s="218">
        <f>IF(293&gt;=DeliverStart,TotalUnits/12*(CapReservePerUnit+TaxPrepPerUnit)+AssetMgmtFeePct*((BaseMarketRentMo+BaseLowRentMo)*(LeaseUp!KK$10-LossToLeasePct-BadDebtPct-ConcessionsPct)+LeaseUp!KK$9*(ParkingPerUnitMo+UtilReimbPerUnitMo+OtherIncPerUnitMo)+RetailRentMo*MIN(1,LeaseUp!KK$10/StabilizedOccupancy)),0)</f>
        <v/>
      </c>
      <c r="KL71" s="218">
        <f>IF(294&gt;=DeliverStart,TotalUnits/12*(CapReservePerUnit+TaxPrepPerUnit)+AssetMgmtFeePct*((BaseMarketRentMo+BaseLowRentMo)*(LeaseUp!KL$10-LossToLeasePct-BadDebtPct-ConcessionsPct)+LeaseUp!KL$9*(ParkingPerUnitMo+UtilReimbPerUnitMo+OtherIncPerUnitMo)+RetailRentMo*MIN(1,LeaseUp!KL$10/StabilizedOccupancy)),0)</f>
        <v/>
      </c>
      <c r="KM71" s="218">
        <f>IF(295&gt;=DeliverStart,TotalUnits/12*(CapReservePerUnit+TaxPrepPerUnit)+AssetMgmtFeePct*((BaseMarketRentMo+BaseLowRentMo)*(LeaseUp!KM$10-LossToLeasePct-BadDebtPct-ConcessionsPct)+LeaseUp!KM$9*(ParkingPerUnitMo+UtilReimbPerUnitMo+OtherIncPerUnitMo)+RetailRentMo*MIN(1,LeaseUp!KM$10/StabilizedOccupancy)),0)</f>
        <v/>
      </c>
      <c r="KN71" s="218">
        <f>IF(296&gt;=DeliverStart,TotalUnits/12*(CapReservePerUnit+TaxPrepPerUnit)+AssetMgmtFeePct*((BaseMarketRentMo+BaseLowRentMo)*(LeaseUp!KN$10-LossToLeasePct-BadDebtPct-ConcessionsPct)+LeaseUp!KN$9*(ParkingPerUnitMo+UtilReimbPerUnitMo+OtherIncPerUnitMo)+RetailRentMo*MIN(1,LeaseUp!KN$10/StabilizedOccupancy)),0)</f>
        <v/>
      </c>
      <c r="KO71" s="218">
        <f>IF(297&gt;=DeliverStart,TotalUnits/12*(CapReservePerUnit+TaxPrepPerUnit)+AssetMgmtFeePct*((BaseMarketRentMo+BaseLowRentMo)*(LeaseUp!KO$10-LossToLeasePct-BadDebtPct-ConcessionsPct)+LeaseUp!KO$9*(ParkingPerUnitMo+UtilReimbPerUnitMo+OtherIncPerUnitMo)+RetailRentMo*MIN(1,LeaseUp!KO$10/StabilizedOccupancy)),0)</f>
        <v/>
      </c>
      <c r="KP71" s="218">
        <f>IF(298&gt;=DeliverStart,TotalUnits/12*(CapReservePerUnit+TaxPrepPerUnit)+AssetMgmtFeePct*((BaseMarketRentMo+BaseLowRentMo)*(LeaseUp!KP$10-LossToLeasePct-BadDebtPct-ConcessionsPct)+LeaseUp!KP$9*(ParkingPerUnitMo+UtilReimbPerUnitMo+OtherIncPerUnitMo)+RetailRentMo*MIN(1,LeaseUp!KP$10/StabilizedOccupancy)),0)</f>
        <v/>
      </c>
      <c r="KQ71" s="218">
        <f>IF(299&gt;=DeliverStart,TotalUnits/12*(CapReservePerUnit+TaxPrepPerUnit)+AssetMgmtFeePct*((BaseMarketRentMo+BaseLowRentMo)*(LeaseUp!KQ$10-LossToLeasePct-BadDebtPct-ConcessionsPct)+LeaseUp!KQ$9*(ParkingPerUnitMo+UtilReimbPerUnitMo+OtherIncPerUnitMo)+RetailRentMo*MIN(1,LeaseUp!KQ$10/StabilizedOccupancy)),0)</f>
        <v/>
      </c>
      <c r="KR71" s="218">
        <f>IF(300&gt;=DeliverStart,TotalUnits/12*(CapReservePerUnit+TaxPrepPerUnit)+AssetMgmtFeePct*((BaseMarketRentMo+BaseLowRentMo)*(LeaseUp!KR$10-LossToLeasePct-BadDebtPct-ConcessionsPct)+LeaseUp!KR$9*(ParkingPerUnitMo+UtilReimbPerUnitMo+OtherIncPerUnitMo)+RetailRentMo*MIN(1,LeaseUp!KR$10/StabilizedOccupancy)),0)</f>
        <v/>
      </c>
      <c r="KS71" s="218">
        <f>IF(301&gt;=DeliverStart,TotalUnits/12*(CapReservePerUnit+TaxPrepPerUnit)+AssetMgmtFeePct*((BaseMarketRentMo+BaseLowRentMo)*(LeaseUp!KS$10-LossToLeasePct-BadDebtPct-ConcessionsPct)+LeaseUp!KS$9*(ParkingPerUnitMo+UtilReimbPerUnitMo+OtherIncPerUnitMo)+RetailRentMo*MIN(1,LeaseUp!KS$10/StabilizedOccupancy)),0)</f>
        <v/>
      </c>
      <c r="KT71" s="218">
        <f>IF(302&gt;=DeliverStart,TotalUnits/12*(CapReservePerUnit+TaxPrepPerUnit)+AssetMgmtFeePct*((BaseMarketRentMo+BaseLowRentMo)*(LeaseUp!KT$10-LossToLeasePct-BadDebtPct-ConcessionsPct)+LeaseUp!KT$9*(ParkingPerUnitMo+UtilReimbPerUnitMo+OtherIncPerUnitMo)+RetailRentMo*MIN(1,LeaseUp!KT$10/StabilizedOccupancy)),0)</f>
        <v/>
      </c>
      <c r="KU71" s="218">
        <f>IF(303&gt;=DeliverStart,TotalUnits/12*(CapReservePerUnit+TaxPrepPerUnit)+AssetMgmtFeePct*((BaseMarketRentMo+BaseLowRentMo)*(LeaseUp!KU$10-LossToLeasePct-BadDebtPct-ConcessionsPct)+LeaseUp!KU$9*(ParkingPerUnitMo+UtilReimbPerUnitMo+OtherIncPerUnitMo)+RetailRentMo*MIN(1,LeaseUp!KU$10/StabilizedOccupancy)),0)</f>
        <v/>
      </c>
      <c r="KV71" s="218">
        <f>IF(304&gt;=DeliverStart,TotalUnits/12*(CapReservePerUnit+TaxPrepPerUnit)+AssetMgmtFeePct*((BaseMarketRentMo+BaseLowRentMo)*(LeaseUp!KV$10-LossToLeasePct-BadDebtPct-ConcessionsPct)+LeaseUp!KV$9*(ParkingPerUnitMo+UtilReimbPerUnitMo+OtherIncPerUnitMo)+RetailRentMo*MIN(1,LeaseUp!KV$10/StabilizedOccupancy)),0)</f>
        <v/>
      </c>
      <c r="KW71" s="218">
        <f>IF(305&gt;=DeliverStart,TotalUnits/12*(CapReservePerUnit+TaxPrepPerUnit)+AssetMgmtFeePct*((BaseMarketRentMo+BaseLowRentMo)*(LeaseUp!KW$10-LossToLeasePct-BadDebtPct-ConcessionsPct)+LeaseUp!KW$9*(ParkingPerUnitMo+UtilReimbPerUnitMo+OtherIncPerUnitMo)+RetailRentMo*MIN(1,LeaseUp!KW$10/StabilizedOccupancy)),0)</f>
        <v/>
      </c>
      <c r="KX71" s="218">
        <f>IF(306&gt;=DeliverStart,TotalUnits/12*(CapReservePerUnit+TaxPrepPerUnit)+AssetMgmtFeePct*((BaseMarketRentMo+BaseLowRentMo)*(LeaseUp!KX$10-LossToLeasePct-BadDebtPct-ConcessionsPct)+LeaseUp!KX$9*(ParkingPerUnitMo+UtilReimbPerUnitMo+OtherIncPerUnitMo)+RetailRentMo*MIN(1,LeaseUp!KX$10/StabilizedOccupancy)),0)</f>
        <v/>
      </c>
      <c r="KY71" s="218">
        <f>IF(307&gt;=DeliverStart,TotalUnits/12*(CapReservePerUnit+TaxPrepPerUnit)+AssetMgmtFeePct*((BaseMarketRentMo+BaseLowRentMo)*(LeaseUp!KY$10-LossToLeasePct-BadDebtPct-ConcessionsPct)+LeaseUp!KY$9*(ParkingPerUnitMo+UtilReimbPerUnitMo+OtherIncPerUnitMo)+RetailRentMo*MIN(1,LeaseUp!KY$10/StabilizedOccupancy)),0)</f>
        <v/>
      </c>
      <c r="KZ71" s="218">
        <f>IF(308&gt;=DeliverStart,TotalUnits/12*(CapReservePerUnit+TaxPrepPerUnit)+AssetMgmtFeePct*((BaseMarketRentMo+BaseLowRentMo)*(LeaseUp!KZ$10-LossToLeasePct-BadDebtPct-ConcessionsPct)+LeaseUp!KZ$9*(ParkingPerUnitMo+UtilReimbPerUnitMo+OtherIncPerUnitMo)+RetailRentMo*MIN(1,LeaseUp!KZ$10/StabilizedOccupancy)),0)</f>
        <v/>
      </c>
      <c r="LA71" s="218">
        <f>IF(309&gt;=DeliverStart,TotalUnits/12*(CapReservePerUnit+TaxPrepPerUnit)+AssetMgmtFeePct*((BaseMarketRentMo+BaseLowRentMo)*(LeaseUp!LA$10-LossToLeasePct-BadDebtPct-ConcessionsPct)+LeaseUp!LA$9*(ParkingPerUnitMo+UtilReimbPerUnitMo+OtherIncPerUnitMo)+RetailRentMo*MIN(1,LeaseUp!LA$10/StabilizedOccupancy)),0)</f>
        <v/>
      </c>
      <c r="LB71" s="218">
        <f>IF(310&gt;=DeliverStart,TotalUnits/12*(CapReservePerUnit+TaxPrepPerUnit)+AssetMgmtFeePct*((BaseMarketRentMo+BaseLowRentMo)*(LeaseUp!LB$10-LossToLeasePct-BadDebtPct-ConcessionsPct)+LeaseUp!LB$9*(ParkingPerUnitMo+UtilReimbPerUnitMo+OtherIncPerUnitMo)+RetailRentMo*MIN(1,LeaseUp!LB$10/StabilizedOccupancy)),0)</f>
        <v/>
      </c>
      <c r="LC71" s="218">
        <f>IF(311&gt;=DeliverStart,TotalUnits/12*(CapReservePerUnit+TaxPrepPerUnit)+AssetMgmtFeePct*((BaseMarketRentMo+BaseLowRentMo)*(LeaseUp!LC$10-LossToLeasePct-BadDebtPct-ConcessionsPct)+LeaseUp!LC$9*(ParkingPerUnitMo+UtilReimbPerUnitMo+OtherIncPerUnitMo)+RetailRentMo*MIN(1,LeaseUp!LC$10/StabilizedOccupancy)),0)</f>
        <v/>
      </c>
      <c r="LD71" s="218">
        <f>IF(312&gt;=DeliverStart,TotalUnits/12*(CapReservePerUnit+TaxPrepPerUnit)+AssetMgmtFeePct*((BaseMarketRentMo+BaseLowRentMo)*(LeaseUp!LD$10-LossToLeasePct-BadDebtPct-ConcessionsPct)+LeaseUp!LD$9*(ParkingPerUnitMo+UtilReimbPerUnitMo+OtherIncPerUnitMo)+RetailRentMo*MIN(1,LeaseUp!LD$10/StabilizedOccupancy)),0)</f>
        <v/>
      </c>
      <c r="LE71" s="218">
        <f>IF(313&gt;=DeliverStart,TotalUnits/12*(CapReservePerUnit+TaxPrepPerUnit)+AssetMgmtFeePct*((BaseMarketRentMo+BaseLowRentMo)*(LeaseUp!LE$10-LossToLeasePct-BadDebtPct-ConcessionsPct)+LeaseUp!LE$9*(ParkingPerUnitMo+UtilReimbPerUnitMo+OtherIncPerUnitMo)+RetailRentMo*MIN(1,LeaseUp!LE$10/StabilizedOccupancy)),0)</f>
        <v/>
      </c>
      <c r="LF71" s="218">
        <f>IF(314&gt;=DeliverStart,TotalUnits/12*(CapReservePerUnit+TaxPrepPerUnit)+AssetMgmtFeePct*((BaseMarketRentMo+BaseLowRentMo)*(LeaseUp!LF$10-LossToLeasePct-BadDebtPct-ConcessionsPct)+LeaseUp!LF$9*(ParkingPerUnitMo+UtilReimbPerUnitMo+OtherIncPerUnitMo)+RetailRentMo*MIN(1,LeaseUp!LF$10/StabilizedOccupancy)),0)</f>
        <v/>
      </c>
      <c r="LG71" s="218">
        <f>IF(315&gt;=DeliverStart,TotalUnits/12*(CapReservePerUnit+TaxPrepPerUnit)+AssetMgmtFeePct*((BaseMarketRentMo+BaseLowRentMo)*(LeaseUp!LG$10-LossToLeasePct-BadDebtPct-ConcessionsPct)+LeaseUp!LG$9*(ParkingPerUnitMo+UtilReimbPerUnitMo+OtherIncPerUnitMo)+RetailRentMo*MIN(1,LeaseUp!LG$10/StabilizedOccupancy)),0)</f>
        <v/>
      </c>
      <c r="LH71" s="218">
        <f>IF(316&gt;=DeliverStart,TotalUnits/12*(CapReservePerUnit+TaxPrepPerUnit)+AssetMgmtFeePct*((BaseMarketRentMo+BaseLowRentMo)*(LeaseUp!LH$10-LossToLeasePct-BadDebtPct-ConcessionsPct)+LeaseUp!LH$9*(ParkingPerUnitMo+UtilReimbPerUnitMo+OtherIncPerUnitMo)+RetailRentMo*MIN(1,LeaseUp!LH$10/StabilizedOccupancy)),0)</f>
        <v/>
      </c>
      <c r="LI71" s="218">
        <f>IF(317&gt;=DeliverStart,TotalUnits/12*(CapReservePerUnit+TaxPrepPerUnit)+AssetMgmtFeePct*((BaseMarketRentMo+BaseLowRentMo)*(LeaseUp!LI$10-LossToLeasePct-BadDebtPct-ConcessionsPct)+LeaseUp!LI$9*(ParkingPerUnitMo+UtilReimbPerUnitMo+OtherIncPerUnitMo)+RetailRentMo*MIN(1,LeaseUp!LI$10/StabilizedOccupancy)),0)</f>
        <v/>
      </c>
      <c r="LJ71" s="218">
        <f>IF(318&gt;=DeliverStart,TotalUnits/12*(CapReservePerUnit+TaxPrepPerUnit)+AssetMgmtFeePct*((BaseMarketRentMo+BaseLowRentMo)*(LeaseUp!LJ$10-LossToLeasePct-BadDebtPct-ConcessionsPct)+LeaseUp!LJ$9*(ParkingPerUnitMo+UtilReimbPerUnitMo+OtherIncPerUnitMo)+RetailRentMo*MIN(1,LeaseUp!LJ$10/StabilizedOccupancy)),0)</f>
        <v/>
      </c>
      <c r="LK71" s="218">
        <f>IF(319&gt;=DeliverStart,TotalUnits/12*(CapReservePerUnit+TaxPrepPerUnit)+AssetMgmtFeePct*((BaseMarketRentMo+BaseLowRentMo)*(LeaseUp!LK$10-LossToLeasePct-BadDebtPct-ConcessionsPct)+LeaseUp!LK$9*(ParkingPerUnitMo+UtilReimbPerUnitMo+OtherIncPerUnitMo)+RetailRentMo*MIN(1,LeaseUp!LK$10/StabilizedOccupancy)),0)</f>
        <v/>
      </c>
      <c r="LL71" s="218">
        <f>IF(320&gt;=DeliverStart,TotalUnits/12*(CapReservePerUnit+TaxPrepPerUnit)+AssetMgmtFeePct*((BaseMarketRentMo+BaseLowRentMo)*(LeaseUp!LL$10-LossToLeasePct-BadDebtPct-ConcessionsPct)+LeaseUp!LL$9*(ParkingPerUnitMo+UtilReimbPerUnitMo+OtherIncPerUnitMo)+RetailRentMo*MIN(1,LeaseUp!LL$10/StabilizedOccupancy)),0)</f>
        <v/>
      </c>
      <c r="LM71" s="218">
        <f>IF(321&gt;=DeliverStart,TotalUnits/12*(CapReservePerUnit+TaxPrepPerUnit)+AssetMgmtFeePct*((BaseMarketRentMo+BaseLowRentMo)*(LeaseUp!LM$10-LossToLeasePct-BadDebtPct-ConcessionsPct)+LeaseUp!LM$9*(ParkingPerUnitMo+UtilReimbPerUnitMo+OtherIncPerUnitMo)+RetailRentMo*MIN(1,LeaseUp!LM$10/StabilizedOccupancy)),0)</f>
        <v/>
      </c>
      <c r="LN71" s="218">
        <f>IF(322&gt;=DeliverStart,TotalUnits/12*(CapReservePerUnit+TaxPrepPerUnit)+AssetMgmtFeePct*((BaseMarketRentMo+BaseLowRentMo)*(LeaseUp!LN$10-LossToLeasePct-BadDebtPct-ConcessionsPct)+LeaseUp!LN$9*(ParkingPerUnitMo+UtilReimbPerUnitMo+OtherIncPerUnitMo)+RetailRentMo*MIN(1,LeaseUp!LN$10/StabilizedOccupancy)),0)</f>
        <v/>
      </c>
      <c r="LO71" s="218">
        <f>IF(323&gt;=DeliverStart,TotalUnits/12*(CapReservePerUnit+TaxPrepPerUnit)+AssetMgmtFeePct*((BaseMarketRentMo+BaseLowRentMo)*(LeaseUp!LO$10-LossToLeasePct-BadDebtPct-ConcessionsPct)+LeaseUp!LO$9*(ParkingPerUnitMo+UtilReimbPerUnitMo+OtherIncPerUnitMo)+RetailRentMo*MIN(1,LeaseUp!LO$10/StabilizedOccupancy)),0)</f>
        <v/>
      </c>
      <c r="LP71" s="218">
        <f>IF(324&gt;=DeliverStart,TotalUnits/12*(CapReservePerUnit+TaxPrepPerUnit)+AssetMgmtFeePct*((BaseMarketRentMo+BaseLowRentMo)*(LeaseUp!LP$10-LossToLeasePct-BadDebtPct-ConcessionsPct)+LeaseUp!LP$9*(ParkingPerUnitMo+UtilReimbPerUnitMo+OtherIncPerUnitMo)+RetailRentMo*MIN(1,LeaseUp!LP$10/StabilizedOccupancy)),0)</f>
        <v/>
      </c>
      <c r="LQ71" s="218">
        <f>IF(325&gt;=DeliverStart,TotalUnits/12*(CapReservePerUnit+TaxPrepPerUnit)+AssetMgmtFeePct*((BaseMarketRentMo+BaseLowRentMo)*(LeaseUp!LQ$10-LossToLeasePct-BadDebtPct-ConcessionsPct)+LeaseUp!LQ$9*(ParkingPerUnitMo+UtilReimbPerUnitMo+OtherIncPerUnitMo)+RetailRentMo*MIN(1,LeaseUp!LQ$10/StabilizedOccupancy)),0)</f>
        <v/>
      </c>
      <c r="LR71" s="218">
        <f>IF(326&gt;=DeliverStart,TotalUnits/12*(CapReservePerUnit+TaxPrepPerUnit)+AssetMgmtFeePct*((BaseMarketRentMo+BaseLowRentMo)*(LeaseUp!LR$10-LossToLeasePct-BadDebtPct-ConcessionsPct)+LeaseUp!LR$9*(ParkingPerUnitMo+UtilReimbPerUnitMo+OtherIncPerUnitMo)+RetailRentMo*MIN(1,LeaseUp!LR$10/StabilizedOccupancy)),0)</f>
        <v/>
      </c>
      <c r="LS71" s="218">
        <f>IF(327&gt;=DeliverStart,TotalUnits/12*(CapReservePerUnit+TaxPrepPerUnit)+AssetMgmtFeePct*((BaseMarketRentMo+BaseLowRentMo)*(LeaseUp!LS$10-LossToLeasePct-BadDebtPct-ConcessionsPct)+LeaseUp!LS$9*(ParkingPerUnitMo+UtilReimbPerUnitMo+OtherIncPerUnitMo)+RetailRentMo*MIN(1,LeaseUp!LS$10/StabilizedOccupancy)),0)</f>
        <v/>
      </c>
      <c r="LT71" s="218">
        <f>IF(328&gt;=DeliverStart,TotalUnits/12*(CapReservePerUnit+TaxPrepPerUnit)+AssetMgmtFeePct*((BaseMarketRentMo+BaseLowRentMo)*(LeaseUp!LT$10-LossToLeasePct-BadDebtPct-ConcessionsPct)+LeaseUp!LT$9*(ParkingPerUnitMo+UtilReimbPerUnitMo+OtherIncPerUnitMo)+RetailRentMo*MIN(1,LeaseUp!LT$10/StabilizedOccupancy)),0)</f>
        <v/>
      </c>
      <c r="LU71" s="218">
        <f>IF(329&gt;=DeliverStart,TotalUnits/12*(CapReservePerUnit+TaxPrepPerUnit)+AssetMgmtFeePct*((BaseMarketRentMo+BaseLowRentMo)*(LeaseUp!LU$10-LossToLeasePct-BadDebtPct-ConcessionsPct)+LeaseUp!LU$9*(ParkingPerUnitMo+UtilReimbPerUnitMo+OtherIncPerUnitMo)+RetailRentMo*MIN(1,LeaseUp!LU$10/StabilizedOccupancy)),0)</f>
        <v/>
      </c>
      <c r="LV71" s="218">
        <f>IF(330&gt;=DeliverStart,TotalUnits/12*(CapReservePerUnit+TaxPrepPerUnit)+AssetMgmtFeePct*((BaseMarketRentMo+BaseLowRentMo)*(LeaseUp!LV$10-LossToLeasePct-BadDebtPct-ConcessionsPct)+LeaseUp!LV$9*(ParkingPerUnitMo+UtilReimbPerUnitMo+OtherIncPerUnitMo)+RetailRentMo*MIN(1,LeaseUp!LV$10/StabilizedOccupancy)),0)</f>
        <v/>
      </c>
      <c r="LW71" s="218">
        <f>IF(331&gt;=DeliverStart,TotalUnits/12*(CapReservePerUnit+TaxPrepPerUnit)+AssetMgmtFeePct*((BaseMarketRentMo+BaseLowRentMo)*(LeaseUp!LW$10-LossToLeasePct-BadDebtPct-ConcessionsPct)+LeaseUp!LW$9*(ParkingPerUnitMo+UtilReimbPerUnitMo+OtherIncPerUnitMo)+RetailRentMo*MIN(1,LeaseUp!LW$10/StabilizedOccupancy)),0)</f>
        <v/>
      </c>
      <c r="LX71" s="218">
        <f>IF(332&gt;=DeliverStart,TotalUnits/12*(CapReservePerUnit+TaxPrepPerUnit)+AssetMgmtFeePct*((BaseMarketRentMo+BaseLowRentMo)*(LeaseUp!LX$10-LossToLeasePct-BadDebtPct-ConcessionsPct)+LeaseUp!LX$9*(ParkingPerUnitMo+UtilReimbPerUnitMo+OtherIncPerUnitMo)+RetailRentMo*MIN(1,LeaseUp!LX$10/StabilizedOccupancy)),0)</f>
        <v/>
      </c>
      <c r="LY71" s="218">
        <f>IF(333&gt;=DeliverStart,TotalUnits/12*(CapReservePerUnit+TaxPrepPerUnit)+AssetMgmtFeePct*((BaseMarketRentMo+BaseLowRentMo)*(LeaseUp!LY$10-LossToLeasePct-BadDebtPct-ConcessionsPct)+LeaseUp!LY$9*(ParkingPerUnitMo+UtilReimbPerUnitMo+OtherIncPerUnitMo)+RetailRentMo*MIN(1,LeaseUp!LY$10/StabilizedOccupancy)),0)</f>
        <v/>
      </c>
      <c r="LZ71" s="218">
        <f>IF(334&gt;=DeliverStart,TotalUnits/12*(CapReservePerUnit+TaxPrepPerUnit)+AssetMgmtFeePct*((BaseMarketRentMo+BaseLowRentMo)*(LeaseUp!LZ$10-LossToLeasePct-BadDebtPct-ConcessionsPct)+LeaseUp!LZ$9*(ParkingPerUnitMo+UtilReimbPerUnitMo+OtherIncPerUnitMo)+RetailRentMo*MIN(1,LeaseUp!LZ$10/StabilizedOccupancy)),0)</f>
        <v/>
      </c>
      <c r="MA71" s="218">
        <f>IF(335&gt;=DeliverStart,TotalUnits/12*(CapReservePerUnit+TaxPrepPerUnit)+AssetMgmtFeePct*((BaseMarketRentMo+BaseLowRentMo)*(LeaseUp!MA$10-LossToLeasePct-BadDebtPct-ConcessionsPct)+LeaseUp!MA$9*(ParkingPerUnitMo+UtilReimbPerUnitMo+OtherIncPerUnitMo)+RetailRentMo*MIN(1,LeaseUp!MA$10/StabilizedOccupancy)),0)</f>
        <v/>
      </c>
      <c r="MB71" s="218">
        <f>IF(336&gt;=DeliverStart,TotalUnits/12*(CapReservePerUnit+TaxPrepPerUnit)+AssetMgmtFeePct*((BaseMarketRentMo+BaseLowRentMo)*(LeaseUp!MB$10-LossToLeasePct-BadDebtPct-ConcessionsPct)+LeaseUp!MB$9*(ParkingPerUnitMo+UtilReimbPerUnitMo+OtherIncPerUnitMo)+RetailRentMo*MIN(1,LeaseUp!MB$10/StabilizedOccupancy)),0)</f>
        <v/>
      </c>
      <c r="MC71" s="218">
        <f>IF(337&gt;=DeliverStart,TotalUnits/12*(CapReservePerUnit+TaxPrepPerUnit)+AssetMgmtFeePct*((BaseMarketRentMo+BaseLowRentMo)*(LeaseUp!MC$10-LossToLeasePct-BadDebtPct-ConcessionsPct)+LeaseUp!MC$9*(ParkingPerUnitMo+UtilReimbPerUnitMo+OtherIncPerUnitMo)+RetailRentMo*MIN(1,LeaseUp!MC$10/StabilizedOccupancy)),0)</f>
        <v/>
      </c>
      <c r="MD71" s="218">
        <f>IF(338&gt;=DeliverStart,TotalUnits/12*(CapReservePerUnit+TaxPrepPerUnit)+AssetMgmtFeePct*((BaseMarketRentMo+BaseLowRentMo)*(LeaseUp!MD$10-LossToLeasePct-BadDebtPct-ConcessionsPct)+LeaseUp!MD$9*(ParkingPerUnitMo+UtilReimbPerUnitMo+OtherIncPerUnitMo)+RetailRentMo*MIN(1,LeaseUp!MD$10/StabilizedOccupancy)),0)</f>
        <v/>
      </c>
      <c r="ME71" s="218">
        <f>IF(339&gt;=DeliverStart,TotalUnits/12*(CapReservePerUnit+TaxPrepPerUnit)+AssetMgmtFeePct*((BaseMarketRentMo+BaseLowRentMo)*(LeaseUp!ME$10-LossToLeasePct-BadDebtPct-ConcessionsPct)+LeaseUp!ME$9*(ParkingPerUnitMo+UtilReimbPerUnitMo+OtherIncPerUnitMo)+RetailRentMo*MIN(1,LeaseUp!ME$10/StabilizedOccupancy)),0)</f>
        <v/>
      </c>
      <c r="MF71" s="218">
        <f>IF(340&gt;=DeliverStart,TotalUnits/12*(CapReservePerUnit+TaxPrepPerUnit)+AssetMgmtFeePct*((BaseMarketRentMo+BaseLowRentMo)*(LeaseUp!MF$10-LossToLeasePct-BadDebtPct-ConcessionsPct)+LeaseUp!MF$9*(ParkingPerUnitMo+UtilReimbPerUnitMo+OtherIncPerUnitMo)+RetailRentMo*MIN(1,LeaseUp!MF$10/StabilizedOccupancy)),0)</f>
        <v/>
      </c>
      <c r="MG71" s="218">
        <f>IF(341&gt;=DeliverStart,TotalUnits/12*(CapReservePerUnit+TaxPrepPerUnit)+AssetMgmtFeePct*((BaseMarketRentMo+BaseLowRentMo)*(LeaseUp!MG$10-LossToLeasePct-BadDebtPct-ConcessionsPct)+LeaseUp!MG$9*(ParkingPerUnitMo+UtilReimbPerUnitMo+OtherIncPerUnitMo)+RetailRentMo*MIN(1,LeaseUp!MG$10/StabilizedOccupancy)),0)</f>
        <v/>
      </c>
      <c r="MH71" s="218">
        <f>IF(342&gt;=DeliverStart,TotalUnits/12*(CapReservePerUnit+TaxPrepPerUnit)+AssetMgmtFeePct*((BaseMarketRentMo+BaseLowRentMo)*(LeaseUp!MH$10-LossToLeasePct-BadDebtPct-ConcessionsPct)+LeaseUp!MH$9*(ParkingPerUnitMo+UtilReimbPerUnitMo+OtherIncPerUnitMo)+RetailRentMo*MIN(1,LeaseUp!MH$10/StabilizedOccupancy)),0)</f>
        <v/>
      </c>
      <c r="MI71" s="218">
        <f>IF(343&gt;=DeliverStart,TotalUnits/12*(CapReservePerUnit+TaxPrepPerUnit)+AssetMgmtFeePct*((BaseMarketRentMo+BaseLowRentMo)*(LeaseUp!MI$10-LossToLeasePct-BadDebtPct-ConcessionsPct)+LeaseUp!MI$9*(ParkingPerUnitMo+UtilReimbPerUnitMo+OtherIncPerUnitMo)+RetailRentMo*MIN(1,LeaseUp!MI$10/StabilizedOccupancy)),0)</f>
        <v/>
      </c>
      <c r="MJ71" s="218">
        <f>IF(344&gt;=DeliverStart,TotalUnits/12*(CapReservePerUnit+TaxPrepPerUnit)+AssetMgmtFeePct*((BaseMarketRentMo+BaseLowRentMo)*(LeaseUp!MJ$10-LossToLeasePct-BadDebtPct-ConcessionsPct)+LeaseUp!MJ$9*(ParkingPerUnitMo+UtilReimbPerUnitMo+OtherIncPerUnitMo)+RetailRentMo*MIN(1,LeaseUp!MJ$10/StabilizedOccupancy)),0)</f>
        <v/>
      </c>
      <c r="MK71" s="218">
        <f>IF(345&gt;=DeliverStart,TotalUnits/12*(CapReservePerUnit+TaxPrepPerUnit)+AssetMgmtFeePct*((BaseMarketRentMo+BaseLowRentMo)*(LeaseUp!MK$10-LossToLeasePct-BadDebtPct-ConcessionsPct)+LeaseUp!MK$9*(ParkingPerUnitMo+UtilReimbPerUnitMo+OtherIncPerUnitMo)+RetailRentMo*MIN(1,LeaseUp!MK$10/StabilizedOccupancy)),0)</f>
        <v/>
      </c>
      <c r="ML71" s="218">
        <f>IF(346&gt;=DeliverStart,TotalUnits/12*(CapReservePerUnit+TaxPrepPerUnit)+AssetMgmtFeePct*((BaseMarketRentMo+BaseLowRentMo)*(LeaseUp!ML$10-LossToLeasePct-BadDebtPct-ConcessionsPct)+LeaseUp!ML$9*(ParkingPerUnitMo+UtilReimbPerUnitMo+OtherIncPerUnitMo)+RetailRentMo*MIN(1,LeaseUp!ML$10/StabilizedOccupancy)),0)</f>
        <v/>
      </c>
      <c r="MM71" s="218">
        <f>IF(347&gt;=DeliverStart,TotalUnits/12*(CapReservePerUnit+TaxPrepPerUnit)+AssetMgmtFeePct*((BaseMarketRentMo+BaseLowRentMo)*(LeaseUp!MM$10-LossToLeasePct-BadDebtPct-ConcessionsPct)+LeaseUp!MM$9*(ParkingPerUnitMo+UtilReimbPerUnitMo+OtherIncPerUnitMo)+RetailRentMo*MIN(1,LeaseUp!MM$10/StabilizedOccupancy)),0)</f>
        <v/>
      </c>
      <c r="MN71" s="218">
        <f>IF(348&gt;=DeliverStart,TotalUnits/12*(CapReservePerUnit+TaxPrepPerUnit)+AssetMgmtFeePct*((BaseMarketRentMo+BaseLowRentMo)*(LeaseUp!MN$10-LossToLeasePct-BadDebtPct-ConcessionsPct)+LeaseUp!MN$9*(ParkingPerUnitMo+UtilReimbPerUnitMo+OtherIncPerUnitMo)+RetailRentMo*MIN(1,LeaseUp!MN$10/StabilizedOccupancy)),0)</f>
        <v/>
      </c>
      <c r="MO71" s="218">
        <f>IF(349&gt;=DeliverStart,TotalUnits/12*(CapReservePerUnit+TaxPrepPerUnit)+AssetMgmtFeePct*((BaseMarketRentMo+BaseLowRentMo)*(LeaseUp!MO$10-LossToLeasePct-BadDebtPct-ConcessionsPct)+LeaseUp!MO$9*(ParkingPerUnitMo+UtilReimbPerUnitMo+OtherIncPerUnitMo)+RetailRentMo*MIN(1,LeaseUp!MO$10/StabilizedOccupancy)),0)</f>
        <v/>
      </c>
      <c r="MP71" s="218">
        <f>IF(350&gt;=DeliverStart,TotalUnits/12*(CapReservePerUnit+TaxPrepPerUnit)+AssetMgmtFeePct*((BaseMarketRentMo+BaseLowRentMo)*(LeaseUp!MP$10-LossToLeasePct-BadDebtPct-ConcessionsPct)+LeaseUp!MP$9*(ParkingPerUnitMo+UtilReimbPerUnitMo+OtherIncPerUnitMo)+RetailRentMo*MIN(1,LeaseUp!MP$10/StabilizedOccupancy)),0)</f>
        <v/>
      </c>
      <c r="MQ71" s="218">
        <f>IF(351&gt;=DeliverStart,TotalUnits/12*(CapReservePerUnit+TaxPrepPerUnit)+AssetMgmtFeePct*((BaseMarketRentMo+BaseLowRentMo)*(LeaseUp!MQ$10-LossToLeasePct-BadDebtPct-ConcessionsPct)+LeaseUp!MQ$9*(ParkingPerUnitMo+UtilReimbPerUnitMo+OtherIncPerUnitMo)+RetailRentMo*MIN(1,LeaseUp!MQ$10/StabilizedOccupancy)),0)</f>
        <v/>
      </c>
      <c r="MR71" s="218">
        <f>IF(352&gt;=DeliverStart,TotalUnits/12*(CapReservePerUnit+TaxPrepPerUnit)+AssetMgmtFeePct*((BaseMarketRentMo+BaseLowRentMo)*(LeaseUp!MR$10-LossToLeasePct-BadDebtPct-ConcessionsPct)+LeaseUp!MR$9*(ParkingPerUnitMo+UtilReimbPerUnitMo+OtherIncPerUnitMo)+RetailRentMo*MIN(1,LeaseUp!MR$10/StabilizedOccupancy)),0)</f>
        <v/>
      </c>
      <c r="MS71" s="218">
        <f>IF(353&gt;=DeliverStart,TotalUnits/12*(CapReservePerUnit+TaxPrepPerUnit)+AssetMgmtFeePct*((BaseMarketRentMo+BaseLowRentMo)*(LeaseUp!MS$10-LossToLeasePct-BadDebtPct-ConcessionsPct)+LeaseUp!MS$9*(ParkingPerUnitMo+UtilReimbPerUnitMo+OtherIncPerUnitMo)+RetailRentMo*MIN(1,LeaseUp!MS$10/StabilizedOccupancy)),0)</f>
        <v/>
      </c>
      <c r="MT71" s="218">
        <f>IF(354&gt;=DeliverStart,TotalUnits/12*(CapReservePerUnit+TaxPrepPerUnit)+AssetMgmtFeePct*((BaseMarketRentMo+BaseLowRentMo)*(LeaseUp!MT$10-LossToLeasePct-BadDebtPct-ConcessionsPct)+LeaseUp!MT$9*(ParkingPerUnitMo+UtilReimbPerUnitMo+OtherIncPerUnitMo)+RetailRentMo*MIN(1,LeaseUp!MT$10/StabilizedOccupancy)),0)</f>
        <v/>
      </c>
      <c r="MU71" s="218">
        <f>IF(355&gt;=DeliverStart,TotalUnits/12*(CapReservePerUnit+TaxPrepPerUnit)+AssetMgmtFeePct*((BaseMarketRentMo+BaseLowRentMo)*(LeaseUp!MU$10-LossToLeasePct-BadDebtPct-ConcessionsPct)+LeaseUp!MU$9*(ParkingPerUnitMo+UtilReimbPerUnitMo+OtherIncPerUnitMo)+RetailRentMo*MIN(1,LeaseUp!MU$10/StabilizedOccupancy)),0)</f>
        <v/>
      </c>
      <c r="MV71" s="218">
        <f>IF(356&gt;=DeliverStart,TotalUnits/12*(CapReservePerUnit+TaxPrepPerUnit)+AssetMgmtFeePct*((BaseMarketRentMo+BaseLowRentMo)*(LeaseUp!MV$10-LossToLeasePct-BadDebtPct-ConcessionsPct)+LeaseUp!MV$9*(ParkingPerUnitMo+UtilReimbPerUnitMo+OtherIncPerUnitMo)+RetailRentMo*MIN(1,LeaseUp!MV$10/StabilizedOccupancy)),0)</f>
        <v/>
      </c>
      <c r="MW71" s="218">
        <f>IF(357&gt;=DeliverStart,TotalUnits/12*(CapReservePerUnit+TaxPrepPerUnit)+AssetMgmtFeePct*((BaseMarketRentMo+BaseLowRentMo)*(LeaseUp!MW$10-LossToLeasePct-BadDebtPct-ConcessionsPct)+LeaseUp!MW$9*(ParkingPerUnitMo+UtilReimbPerUnitMo+OtherIncPerUnitMo)+RetailRentMo*MIN(1,LeaseUp!MW$10/StabilizedOccupancy)),0)</f>
        <v/>
      </c>
      <c r="MX71" s="218">
        <f>IF(358&gt;=DeliverStart,TotalUnits/12*(CapReservePerUnit+TaxPrepPerUnit)+AssetMgmtFeePct*((BaseMarketRentMo+BaseLowRentMo)*(LeaseUp!MX$10-LossToLeasePct-BadDebtPct-ConcessionsPct)+LeaseUp!MX$9*(ParkingPerUnitMo+UtilReimbPerUnitMo+OtherIncPerUnitMo)+RetailRentMo*MIN(1,LeaseUp!MX$10/StabilizedOccupancy)),0)</f>
        <v/>
      </c>
      <c r="MY71" s="218">
        <f>IF(359&gt;=DeliverStart,TotalUnits/12*(CapReservePerUnit+TaxPrepPerUnit)+AssetMgmtFeePct*((BaseMarketRentMo+BaseLowRentMo)*(LeaseUp!MY$10-LossToLeasePct-BadDebtPct-ConcessionsPct)+LeaseUp!MY$9*(ParkingPerUnitMo+UtilReimbPerUnitMo+OtherIncPerUnitMo)+RetailRentMo*MIN(1,LeaseUp!MY$10/StabilizedOccupancy)),0)</f>
        <v/>
      </c>
      <c r="MZ71" s="218">
        <f>IF(360&gt;=DeliverStart,TotalUnits/12*(CapReservePerUnit+TaxPrepPerUnit)+AssetMgmtFeePct*((BaseMarketRentMo+BaseLowRentMo)*(LeaseUp!MZ$10-LossToLeasePct-BadDebtPct-ConcessionsPct)+LeaseUp!MZ$9*(ParkingPerUnitMo+UtilReimbPerUnitMo+OtherIncPerUnitMo)+RetailRentMo*MIN(1,LeaseUp!MZ$10/StabilizedOccupancy)),0)</f>
        <v/>
      </c>
      <c r="NA71" s="218">
        <f>IF(361&gt;=DeliverStart,TotalUnits/12*(CapReservePerUnit+TaxPrepPerUnit)+AssetMgmtFeePct*((BaseMarketRentMo+BaseLowRentMo)*(LeaseUp!NA$10-LossToLeasePct-BadDebtPct-ConcessionsPct)+LeaseUp!NA$9*(ParkingPerUnitMo+UtilReimbPerUnitMo+OtherIncPerUnitMo)+RetailRentMo*MIN(1,LeaseUp!NA$10/StabilizedOccupancy)),0)</f>
        <v/>
      </c>
      <c r="NB71" s="218">
        <f>IF(362&gt;=DeliverStart,TotalUnits/12*(CapReservePerUnit+TaxPrepPerUnit)+AssetMgmtFeePct*((BaseMarketRentMo+BaseLowRentMo)*(LeaseUp!NB$10-LossToLeasePct-BadDebtPct-ConcessionsPct)+LeaseUp!NB$9*(ParkingPerUnitMo+UtilReimbPerUnitMo+OtherIncPerUnitMo)+RetailRentMo*MIN(1,LeaseUp!NB$10/StabilizedOccupancy)),0)</f>
        <v/>
      </c>
      <c r="NC71" s="218">
        <f>IF(363&gt;=DeliverStart,TotalUnits/12*(CapReservePerUnit+TaxPrepPerUnit)+AssetMgmtFeePct*((BaseMarketRentMo+BaseLowRentMo)*(LeaseUp!NC$10-LossToLeasePct-BadDebtPct-ConcessionsPct)+LeaseUp!NC$9*(ParkingPerUnitMo+UtilReimbPerUnitMo+OtherIncPerUnitMo)+RetailRentMo*MIN(1,LeaseUp!NC$10/StabilizedOccupancy)),0)</f>
        <v/>
      </c>
      <c r="ND71" s="218">
        <f>IF(364&gt;=DeliverStart,TotalUnits/12*(CapReservePerUnit+TaxPrepPerUnit)+AssetMgmtFeePct*((BaseMarketRentMo+BaseLowRentMo)*(LeaseUp!ND$10-LossToLeasePct-BadDebtPct-ConcessionsPct)+LeaseUp!ND$9*(ParkingPerUnitMo+UtilReimbPerUnitMo+OtherIncPerUnitMo)+RetailRentMo*MIN(1,LeaseUp!ND$10/StabilizedOccupancy)),0)</f>
        <v/>
      </c>
      <c r="NE71" s="218">
        <f>IF(365&gt;=DeliverStart,TotalUnits/12*(CapReservePerUnit+TaxPrepPerUnit)+AssetMgmtFeePct*((BaseMarketRentMo+BaseLowRentMo)*(LeaseUp!NE$10-LossToLeasePct-BadDebtPct-ConcessionsPct)+LeaseUp!NE$9*(ParkingPerUnitMo+UtilReimbPerUnitMo+OtherIncPerUnitMo)+RetailRentMo*MIN(1,LeaseUp!NE$10/StabilizedOccupancy)),0)</f>
        <v/>
      </c>
      <c r="NF71" s="218">
        <f>IF(366&gt;=DeliverStart,TotalUnits/12*(CapReservePerUnit+TaxPrepPerUnit)+AssetMgmtFeePct*((BaseMarketRentMo+BaseLowRentMo)*(LeaseUp!NF$10-LossToLeasePct-BadDebtPct-ConcessionsPct)+LeaseUp!NF$9*(ParkingPerUnitMo+UtilReimbPerUnitMo+OtherIncPerUnitMo)+RetailRentMo*MIN(1,LeaseUp!NF$10/StabilizedOccupancy)),0)</f>
        <v/>
      </c>
      <c r="NG71" s="218">
        <f>IF(367&gt;=DeliverStart,TotalUnits/12*(CapReservePerUnit+TaxPrepPerUnit)+AssetMgmtFeePct*((BaseMarketRentMo+BaseLowRentMo)*(LeaseUp!NG$10-LossToLeasePct-BadDebtPct-ConcessionsPct)+LeaseUp!NG$9*(ParkingPerUnitMo+UtilReimbPerUnitMo+OtherIncPerUnitMo)+RetailRentMo*MIN(1,LeaseUp!NG$10/StabilizedOccupancy)),0)</f>
        <v/>
      </c>
      <c r="NH71" s="218">
        <f>IF(368&gt;=DeliverStart,TotalUnits/12*(CapReservePerUnit+TaxPrepPerUnit)+AssetMgmtFeePct*((BaseMarketRentMo+BaseLowRentMo)*(LeaseUp!NH$10-LossToLeasePct-BadDebtPct-ConcessionsPct)+LeaseUp!NH$9*(ParkingPerUnitMo+UtilReimbPerUnitMo+OtherIncPerUnitMo)+RetailRentMo*MIN(1,LeaseUp!NH$10/StabilizedOccupancy)),0)</f>
        <v/>
      </c>
      <c r="NI71" s="218">
        <f>IF(369&gt;=DeliverStart,TotalUnits/12*(CapReservePerUnit+TaxPrepPerUnit)+AssetMgmtFeePct*((BaseMarketRentMo+BaseLowRentMo)*(LeaseUp!NI$10-LossToLeasePct-BadDebtPct-ConcessionsPct)+LeaseUp!NI$9*(ParkingPerUnitMo+UtilReimbPerUnitMo+OtherIncPerUnitMo)+RetailRentMo*MIN(1,LeaseUp!NI$10/StabilizedOccupancy)),0)</f>
        <v/>
      </c>
      <c r="NJ71" s="218">
        <f>IF(370&gt;=DeliverStart,TotalUnits/12*(CapReservePerUnit+TaxPrepPerUnit)+AssetMgmtFeePct*((BaseMarketRentMo+BaseLowRentMo)*(LeaseUp!NJ$10-LossToLeasePct-BadDebtPct-ConcessionsPct)+LeaseUp!NJ$9*(ParkingPerUnitMo+UtilReimbPerUnitMo+OtherIncPerUnitMo)+RetailRentMo*MIN(1,LeaseUp!NJ$10/StabilizedOccupancy)),0)</f>
        <v/>
      </c>
      <c r="NK71" s="218">
        <f>IF(371&gt;=DeliverStart,TotalUnits/12*(CapReservePerUnit+TaxPrepPerUnit)+AssetMgmtFeePct*((BaseMarketRentMo+BaseLowRentMo)*(LeaseUp!NK$10-LossToLeasePct-BadDebtPct-ConcessionsPct)+LeaseUp!NK$9*(ParkingPerUnitMo+UtilReimbPerUnitMo+OtherIncPerUnitMo)+RetailRentMo*MIN(1,LeaseUp!NK$10/StabilizedOccupancy)),0)</f>
        <v/>
      </c>
      <c r="NL71" s="218">
        <f>IF(372&gt;=DeliverStart,TotalUnits/12*(CapReservePerUnit+TaxPrepPerUnit)+AssetMgmtFeePct*((BaseMarketRentMo+BaseLowRentMo)*(LeaseUp!NL$10-LossToLeasePct-BadDebtPct-ConcessionsPct)+LeaseUp!NL$9*(ParkingPerUnitMo+UtilReimbPerUnitMo+OtherIncPerUnitMo)+RetailRentMo*MIN(1,LeaseUp!NL$10/StabilizedOccupancy)),0)</f>
        <v/>
      </c>
    </row>
    <row r="72">
      <c r="B72" s="84" t="inlineStr">
        <is>
          <t>Static Unlevered Operating CF</t>
        </is>
      </c>
      <c r="D72" s="266">
        <f>SUM(E72:NL72)</f>
        <v/>
      </c>
      <c r="E72" s="218">
        <f>IF(Timeline!E$41=1,E$70-E$71,0)</f>
        <v/>
      </c>
      <c r="F72" s="218">
        <f>IF(Timeline!F$41=1,F$70-F$71,0)</f>
        <v/>
      </c>
      <c r="G72" s="218">
        <f>IF(Timeline!G$41=1,G$70-G$71,0)</f>
        <v/>
      </c>
      <c r="H72" s="218">
        <f>IF(Timeline!H$41=1,H$70-H$71,0)</f>
        <v/>
      </c>
      <c r="I72" s="218">
        <f>IF(Timeline!I$41=1,I$70-I$71,0)</f>
        <v/>
      </c>
      <c r="J72" s="218">
        <f>IF(Timeline!J$41=1,J$70-J$71,0)</f>
        <v/>
      </c>
      <c r="K72" s="218">
        <f>IF(Timeline!K$41=1,K$70-K$71,0)</f>
        <v/>
      </c>
      <c r="L72" s="218">
        <f>IF(Timeline!L$41=1,L$70-L$71,0)</f>
        <v/>
      </c>
      <c r="M72" s="218">
        <f>IF(Timeline!M$41=1,M$70-M$71,0)</f>
        <v/>
      </c>
      <c r="N72" s="218">
        <f>IF(Timeline!N$41=1,N$70-N$71,0)</f>
        <v/>
      </c>
      <c r="O72" s="218">
        <f>IF(Timeline!O$41=1,O$70-O$71,0)</f>
        <v/>
      </c>
      <c r="P72" s="218">
        <f>IF(Timeline!P$41=1,P$70-P$71,0)</f>
        <v/>
      </c>
      <c r="Q72" s="218">
        <f>IF(Timeline!Q$41=1,Q$70-Q$71,0)</f>
        <v/>
      </c>
      <c r="R72" s="218">
        <f>IF(Timeline!R$41=1,R$70-R$71,0)</f>
        <v/>
      </c>
      <c r="S72" s="218">
        <f>IF(Timeline!S$41=1,S$70-S$71,0)</f>
        <v/>
      </c>
      <c r="T72" s="218">
        <f>IF(Timeline!T$41=1,T$70-T$71,0)</f>
        <v/>
      </c>
      <c r="U72" s="218">
        <f>IF(Timeline!U$41=1,U$70-U$71,0)</f>
        <v/>
      </c>
      <c r="V72" s="218">
        <f>IF(Timeline!V$41=1,V$70-V$71,0)</f>
        <v/>
      </c>
      <c r="W72" s="218">
        <f>IF(Timeline!W$41=1,W$70-W$71,0)</f>
        <v/>
      </c>
      <c r="X72" s="218">
        <f>IF(Timeline!X$41=1,X$70-X$71,0)</f>
        <v/>
      </c>
      <c r="Y72" s="218">
        <f>IF(Timeline!Y$41=1,Y$70-Y$71,0)</f>
        <v/>
      </c>
      <c r="Z72" s="218">
        <f>IF(Timeline!Z$41=1,Z$70-Z$71,0)</f>
        <v/>
      </c>
      <c r="AA72" s="218">
        <f>IF(Timeline!AA$41=1,AA$70-AA$71,0)</f>
        <v/>
      </c>
      <c r="AB72" s="218">
        <f>IF(Timeline!AB$41=1,AB$70-AB$71,0)</f>
        <v/>
      </c>
      <c r="AC72" s="218">
        <f>IF(Timeline!AC$41=1,AC$70-AC$71,0)</f>
        <v/>
      </c>
      <c r="AD72" s="218">
        <f>IF(Timeline!AD$41=1,AD$70-AD$71,0)</f>
        <v/>
      </c>
      <c r="AE72" s="218">
        <f>IF(Timeline!AE$41=1,AE$70-AE$71,0)</f>
        <v/>
      </c>
      <c r="AF72" s="218">
        <f>IF(Timeline!AF$41=1,AF$70-AF$71,0)</f>
        <v/>
      </c>
      <c r="AG72" s="218">
        <f>IF(Timeline!AG$41=1,AG$70-AG$71,0)</f>
        <v/>
      </c>
      <c r="AH72" s="218">
        <f>IF(Timeline!AH$41=1,AH$70-AH$71,0)</f>
        <v/>
      </c>
      <c r="AI72" s="218">
        <f>IF(Timeline!AI$41=1,AI$70-AI$71,0)</f>
        <v/>
      </c>
      <c r="AJ72" s="218">
        <f>IF(Timeline!AJ$41=1,AJ$70-AJ$71,0)</f>
        <v/>
      </c>
      <c r="AK72" s="218">
        <f>IF(Timeline!AK$41=1,AK$70-AK$71,0)</f>
        <v/>
      </c>
      <c r="AL72" s="218">
        <f>IF(Timeline!AL$41=1,AL$70-AL$71,0)</f>
        <v/>
      </c>
      <c r="AM72" s="218">
        <f>IF(Timeline!AM$41=1,AM$70-AM$71,0)</f>
        <v/>
      </c>
      <c r="AN72" s="218">
        <f>IF(Timeline!AN$41=1,AN$70-AN$71,0)</f>
        <v/>
      </c>
      <c r="AO72" s="218">
        <f>IF(Timeline!AO$41=1,AO$70-AO$71,0)</f>
        <v/>
      </c>
      <c r="AP72" s="218">
        <f>IF(Timeline!AP$41=1,AP$70-AP$71,0)</f>
        <v/>
      </c>
      <c r="AQ72" s="218">
        <f>IF(Timeline!AQ$41=1,AQ$70-AQ$71,0)</f>
        <v/>
      </c>
      <c r="AR72" s="218">
        <f>IF(Timeline!AR$41=1,AR$70-AR$71,0)</f>
        <v/>
      </c>
      <c r="AS72" s="218">
        <f>IF(Timeline!AS$41=1,AS$70-AS$71,0)</f>
        <v/>
      </c>
      <c r="AT72" s="218">
        <f>IF(Timeline!AT$41=1,AT$70-AT$71,0)</f>
        <v/>
      </c>
      <c r="AU72" s="218">
        <f>IF(Timeline!AU$41=1,AU$70-AU$71,0)</f>
        <v/>
      </c>
      <c r="AV72" s="218">
        <f>IF(Timeline!AV$41=1,AV$70-AV$71,0)</f>
        <v/>
      </c>
      <c r="AW72" s="218">
        <f>IF(Timeline!AW$41=1,AW$70-AW$71,0)</f>
        <v/>
      </c>
      <c r="AX72" s="218">
        <f>IF(Timeline!AX$41=1,AX$70-AX$71,0)</f>
        <v/>
      </c>
      <c r="AY72" s="218">
        <f>IF(Timeline!AY$41=1,AY$70-AY$71,0)</f>
        <v/>
      </c>
      <c r="AZ72" s="218">
        <f>IF(Timeline!AZ$41=1,AZ$70-AZ$71,0)</f>
        <v/>
      </c>
      <c r="BA72" s="218">
        <f>IF(Timeline!BA$41=1,BA$70-BA$71,0)</f>
        <v/>
      </c>
      <c r="BB72" s="218">
        <f>IF(Timeline!BB$41=1,BB$70-BB$71,0)</f>
        <v/>
      </c>
      <c r="BC72" s="218">
        <f>IF(Timeline!BC$41=1,BC$70-BC$71,0)</f>
        <v/>
      </c>
      <c r="BD72" s="218">
        <f>IF(Timeline!BD$41=1,BD$70-BD$71,0)</f>
        <v/>
      </c>
      <c r="BE72" s="218">
        <f>IF(Timeline!BE$41=1,BE$70-BE$71,0)</f>
        <v/>
      </c>
      <c r="BF72" s="218">
        <f>IF(Timeline!BF$41=1,BF$70-BF$71,0)</f>
        <v/>
      </c>
      <c r="BG72" s="218">
        <f>IF(Timeline!BG$41=1,BG$70-BG$71,0)</f>
        <v/>
      </c>
      <c r="BH72" s="218">
        <f>IF(Timeline!BH$41=1,BH$70-BH$71,0)</f>
        <v/>
      </c>
      <c r="BI72" s="218">
        <f>IF(Timeline!BI$41=1,BI$70-BI$71,0)</f>
        <v/>
      </c>
      <c r="BJ72" s="218">
        <f>IF(Timeline!BJ$41=1,BJ$70-BJ$71,0)</f>
        <v/>
      </c>
      <c r="BK72" s="218">
        <f>IF(Timeline!BK$41=1,BK$70-BK$71,0)</f>
        <v/>
      </c>
      <c r="BL72" s="218">
        <f>IF(Timeline!BL$41=1,BL$70-BL$71,0)</f>
        <v/>
      </c>
      <c r="BM72" s="218">
        <f>IF(Timeline!BM$41=1,BM$70-BM$71,0)</f>
        <v/>
      </c>
      <c r="BN72" s="218">
        <f>IF(Timeline!BN$41=1,BN$70-BN$71,0)</f>
        <v/>
      </c>
      <c r="BO72" s="218">
        <f>IF(Timeline!BO$41=1,BO$70-BO$71,0)</f>
        <v/>
      </c>
      <c r="BP72" s="218">
        <f>IF(Timeline!BP$41=1,BP$70-BP$71,0)</f>
        <v/>
      </c>
      <c r="BQ72" s="218">
        <f>IF(Timeline!BQ$41=1,BQ$70-BQ$71,0)</f>
        <v/>
      </c>
      <c r="BR72" s="218">
        <f>IF(Timeline!BR$41=1,BR$70-BR$71,0)</f>
        <v/>
      </c>
      <c r="BS72" s="218">
        <f>IF(Timeline!BS$41=1,BS$70-BS$71,0)</f>
        <v/>
      </c>
      <c r="BT72" s="218">
        <f>IF(Timeline!BT$41=1,BT$70-BT$71,0)</f>
        <v/>
      </c>
      <c r="BU72" s="218">
        <f>IF(Timeline!BU$41=1,BU$70-BU$71,0)</f>
        <v/>
      </c>
      <c r="BV72" s="218">
        <f>IF(Timeline!BV$41=1,BV$70-BV$71,0)</f>
        <v/>
      </c>
      <c r="BW72" s="218">
        <f>IF(Timeline!BW$41=1,BW$70-BW$71,0)</f>
        <v/>
      </c>
      <c r="BX72" s="218">
        <f>IF(Timeline!BX$41=1,BX$70-BX$71,0)</f>
        <v/>
      </c>
      <c r="BY72" s="218">
        <f>IF(Timeline!BY$41=1,BY$70-BY$71,0)</f>
        <v/>
      </c>
      <c r="BZ72" s="218">
        <f>IF(Timeline!BZ$41=1,BZ$70-BZ$71,0)</f>
        <v/>
      </c>
      <c r="CA72" s="218">
        <f>IF(Timeline!CA$41=1,CA$70-CA$71,0)</f>
        <v/>
      </c>
      <c r="CB72" s="218">
        <f>IF(Timeline!CB$41=1,CB$70-CB$71,0)</f>
        <v/>
      </c>
      <c r="CC72" s="218">
        <f>IF(Timeline!CC$41=1,CC$70-CC$71,0)</f>
        <v/>
      </c>
      <c r="CD72" s="218">
        <f>IF(Timeline!CD$41=1,CD$70-CD$71,0)</f>
        <v/>
      </c>
      <c r="CE72" s="218">
        <f>IF(Timeline!CE$41=1,CE$70-CE$71,0)</f>
        <v/>
      </c>
      <c r="CF72" s="218">
        <f>IF(Timeline!CF$41=1,CF$70-CF$71,0)</f>
        <v/>
      </c>
      <c r="CG72" s="218">
        <f>IF(Timeline!CG$41=1,CG$70-CG$71,0)</f>
        <v/>
      </c>
      <c r="CH72" s="218">
        <f>IF(Timeline!CH$41=1,CH$70-CH$71,0)</f>
        <v/>
      </c>
      <c r="CI72" s="218">
        <f>IF(Timeline!CI$41=1,CI$70-CI$71,0)</f>
        <v/>
      </c>
      <c r="CJ72" s="218">
        <f>IF(Timeline!CJ$41=1,CJ$70-CJ$71,0)</f>
        <v/>
      </c>
      <c r="CK72" s="218">
        <f>IF(Timeline!CK$41=1,CK$70-CK$71,0)</f>
        <v/>
      </c>
      <c r="CL72" s="218">
        <f>IF(Timeline!CL$41=1,CL$70-CL$71,0)</f>
        <v/>
      </c>
      <c r="CM72" s="218">
        <f>IF(Timeline!CM$41=1,CM$70-CM$71,0)</f>
        <v/>
      </c>
      <c r="CN72" s="218">
        <f>IF(Timeline!CN$41=1,CN$70-CN$71,0)</f>
        <v/>
      </c>
      <c r="CO72" s="218">
        <f>IF(Timeline!CO$41=1,CO$70-CO$71,0)</f>
        <v/>
      </c>
      <c r="CP72" s="218">
        <f>IF(Timeline!CP$41=1,CP$70-CP$71,0)</f>
        <v/>
      </c>
      <c r="CQ72" s="218">
        <f>IF(Timeline!CQ$41=1,CQ$70-CQ$71,0)</f>
        <v/>
      </c>
      <c r="CR72" s="218">
        <f>IF(Timeline!CR$41=1,CR$70-CR$71,0)</f>
        <v/>
      </c>
      <c r="CS72" s="218">
        <f>IF(Timeline!CS$41=1,CS$70-CS$71,0)</f>
        <v/>
      </c>
      <c r="CT72" s="218">
        <f>IF(Timeline!CT$41=1,CT$70-CT$71,0)</f>
        <v/>
      </c>
      <c r="CU72" s="218">
        <f>IF(Timeline!CU$41=1,CU$70-CU$71,0)</f>
        <v/>
      </c>
      <c r="CV72" s="218">
        <f>IF(Timeline!CV$41=1,CV$70-CV$71,0)</f>
        <v/>
      </c>
      <c r="CW72" s="218">
        <f>IF(Timeline!CW$41=1,CW$70-CW$71,0)</f>
        <v/>
      </c>
      <c r="CX72" s="218">
        <f>IF(Timeline!CX$41=1,CX$70-CX$71,0)</f>
        <v/>
      </c>
      <c r="CY72" s="218">
        <f>IF(Timeline!CY$41=1,CY$70-CY$71,0)</f>
        <v/>
      </c>
      <c r="CZ72" s="218">
        <f>IF(Timeline!CZ$41=1,CZ$70-CZ$71,0)</f>
        <v/>
      </c>
      <c r="DA72" s="218">
        <f>IF(Timeline!DA$41=1,DA$70-DA$71,0)</f>
        <v/>
      </c>
      <c r="DB72" s="218">
        <f>IF(Timeline!DB$41=1,DB$70-DB$71,0)</f>
        <v/>
      </c>
      <c r="DC72" s="218">
        <f>IF(Timeline!DC$41=1,DC$70-DC$71,0)</f>
        <v/>
      </c>
      <c r="DD72" s="218">
        <f>IF(Timeline!DD$41=1,DD$70-DD$71,0)</f>
        <v/>
      </c>
      <c r="DE72" s="218">
        <f>IF(Timeline!DE$41=1,DE$70-DE$71,0)</f>
        <v/>
      </c>
      <c r="DF72" s="218">
        <f>IF(Timeline!DF$41=1,DF$70-DF$71,0)</f>
        <v/>
      </c>
      <c r="DG72" s="218">
        <f>IF(Timeline!DG$41=1,DG$70-DG$71,0)</f>
        <v/>
      </c>
      <c r="DH72" s="218">
        <f>IF(Timeline!DH$41=1,DH$70-DH$71,0)</f>
        <v/>
      </c>
      <c r="DI72" s="218">
        <f>IF(Timeline!DI$41=1,DI$70-DI$71,0)</f>
        <v/>
      </c>
      <c r="DJ72" s="218">
        <f>IF(Timeline!DJ$41=1,DJ$70-DJ$71,0)</f>
        <v/>
      </c>
      <c r="DK72" s="218">
        <f>IF(Timeline!DK$41=1,DK$70-DK$71,0)</f>
        <v/>
      </c>
      <c r="DL72" s="218">
        <f>IF(Timeline!DL$41=1,DL$70-DL$71,0)</f>
        <v/>
      </c>
      <c r="DM72" s="218">
        <f>IF(Timeline!DM$41=1,DM$70-DM$71,0)</f>
        <v/>
      </c>
      <c r="DN72" s="218">
        <f>IF(Timeline!DN$41=1,DN$70-DN$71,0)</f>
        <v/>
      </c>
      <c r="DO72" s="218">
        <f>IF(Timeline!DO$41=1,DO$70-DO$71,0)</f>
        <v/>
      </c>
      <c r="DP72" s="218">
        <f>IF(Timeline!DP$41=1,DP$70-DP$71,0)</f>
        <v/>
      </c>
      <c r="DQ72" s="218">
        <f>IF(Timeline!DQ$41=1,DQ$70-DQ$71,0)</f>
        <v/>
      </c>
      <c r="DR72" s="218">
        <f>IF(Timeline!DR$41=1,DR$70-DR$71,0)</f>
        <v/>
      </c>
      <c r="DS72" s="218">
        <f>IF(Timeline!DS$41=1,DS$70-DS$71,0)</f>
        <v/>
      </c>
      <c r="DT72" s="218">
        <f>IF(Timeline!DT$41=1,DT$70-DT$71,0)</f>
        <v/>
      </c>
      <c r="DU72" s="218">
        <f>IF(Timeline!DU$41=1,DU$70-DU$71,0)</f>
        <v/>
      </c>
      <c r="DV72" s="218">
        <f>IF(Timeline!DV$41=1,DV$70-DV$71,0)</f>
        <v/>
      </c>
      <c r="DW72" s="218">
        <f>IF(Timeline!DW$41=1,DW$70-DW$71,0)</f>
        <v/>
      </c>
      <c r="DX72" s="218">
        <f>IF(Timeline!DX$41=1,DX$70-DX$71,0)</f>
        <v/>
      </c>
      <c r="DY72" s="218">
        <f>IF(Timeline!DY$41=1,DY$70-DY$71,0)</f>
        <v/>
      </c>
      <c r="DZ72" s="218">
        <f>IF(Timeline!DZ$41=1,DZ$70-DZ$71,0)</f>
        <v/>
      </c>
      <c r="EA72" s="218">
        <f>IF(Timeline!EA$41=1,EA$70-EA$71,0)</f>
        <v/>
      </c>
      <c r="EB72" s="218">
        <f>IF(Timeline!EB$41=1,EB$70-EB$71,0)</f>
        <v/>
      </c>
      <c r="EC72" s="218">
        <f>IF(Timeline!EC$41=1,EC$70-EC$71,0)</f>
        <v/>
      </c>
      <c r="ED72" s="218">
        <f>IF(Timeline!ED$41=1,ED$70-ED$71,0)</f>
        <v/>
      </c>
      <c r="EE72" s="218">
        <f>IF(Timeline!EE$41=1,EE$70-EE$71,0)</f>
        <v/>
      </c>
      <c r="EF72" s="218">
        <f>IF(Timeline!EF$41=1,EF$70-EF$71,0)</f>
        <v/>
      </c>
      <c r="EG72" s="218">
        <f>IF(Timeline!EG$41=1,EG$70-EG$71,0)</f>
        <v/>
      </c>
      <c r="EH72" s="218">
        <f>IF(Timeline!EH$41=1,EH$70-EH$71,0)</f>
        <v/>
      </c>
      <c r="EI72" s="218">
        <f>IF(Timeline!EI$41=1,EI$70-EI$71,0)</f>
        <v/>
      </c>
      <c r="EJ72" s="218">
        <f>IF(Timeline!EJ$41=1,EJ$70-EJ$71,0)</f>
        <v/>
      </c>
      <c r="EK72" s="218">
        <f>IF(Timeline!EK$41=1,EK$70-EK$71,0)</f>
        <v/>
      </c>
      <c r="EL72" s="218">
        <f>IF(Timeline!EL$41=1,EL$70-EL$71,0)</f>
        <v/>
      </c>
      <c r="EM72" s="218">
        <f>IF(Timeline!EM$41=1,EM$70-EM$71,0)</f>
        <v/>
      </c>
      <c r="EN72" s="218">
        <f>IF(Timeline!EN$41=1,EN$70-EN$71,0)</f>
        <v/>
      </c>
      <c r="EO72" s="218">
        <f>IF(Timeline!EO$41=1,EO$70-EO$71,0)</f>
        <v/>
      </c>
      <c r="EP72" s="218">
        <f>IF(Timeline!EP$41=1,EP$70-EP$71,0)</f>
        <v/>
      </c>
      <c r="EQ72" s="218">
        <f>IF(Timeline!EQ$41=1,EQ$70-EQ$71,0)</f>
        <v/>
      </c>
      <c r="ER72" s="218">
        <f>IF(Timeline!ER$41=1,ER$70-ER$71,0)</f>
        <v/>
      </c>
      <c r="ES72" s="218">
        <f>IF(Timeline!ES$41=1,ES$70-ES$71,0)</f>
        <v/>
      </c>
      <c r="ET72" s="218">
        <f>IF(Timeline!ET$41=1,ET$70-ET$71,0)</f>
        <v/>
      </c>
      <c r="EU72" s="218">
        <f>IF(Timeline!EU$41=1,EU$70-EU$71,0)</f>
        <v/>
      </c>
      <c r="EV72" s="218">
        <f>IF(Timeline!EV$41=1,EV$70-EV$71,0)</f>
        <v/>
      </c>
      <c r="EW72" s="218">
        <f>IF(Timeline!EW$41=1,EW$70-EW$71,0)</f>
        <v/>
      </c>
      <c r="EX72" s="218">
        <f>IF(Timeline!EX$41=1,EX$70-EX$71,0)</f>
        <v/>
      </c>
      <c r="EY72" s="218">
        <f>IF(Timeline!EY$41=1,EY$70-EY$71,0)</f>
        <v/>
      </c>
      <c r="EZ72" s="218">
        <f>IF(Timeline!EZ$41=1,EZ$70-EZ$71,0)</f>
        <v/>
      </c>
      <c r="FA72" s="218">
        <f>IF(Timeline!FA$41=1,FA$70-FA$71,0)</f>
        <v/>
      </c>
      <c r="FB72" s="218">
        <f>IF(Timeline!FB$41=1,FB$70-FB$71,0)</f>
        <v/>
      </c>
      <c r="FC72" s="218">
        <f>IF(Timeline!FC$41=1,FC$70-FC$71,0)</f>
        <v/>
      </c>
      <c r="FD72" s="218">
        <f>IF(Timeline!FD$41=1,FD$70-FD$71,0)</f>
        <v/>
      </c>
      <c r="FE72" s="218">
        <f>IF(Timeline!FE$41=1,FE$70-FE$71,0)</f>
        <v/>
      </c>
      <c r="FF72" s="218">
        <f>IF(Timeline!FF$41=1,FF$70-FF$71,0)</f>
        <v/>
      </c>
      <c r="FG72" s="218">
        <f>IF(Timeline!FG$41=1,FG$70-FG$71,0)</f>
        <v/>
      </c>
      <c r="FH72" s="218">
        <f>IF(Timeline!FH$41=1,FH$70-FH$71,0)</f>
        <v/>
      </c>
      <c r="FI72" s="218">
        <f>IF(Timeline!FI$41=1,FI$70-FI$71,0)</f>
        <v/>
      </c>
      <c r="FJ72" s="218">
        <f>IF(Timeline!FJ$41=1,FJ$70-FJ$71,0)</f>
        <v/>
      </c>
      <c r="FK72" s="218">
        <f>IF(Timeline!FK$41=1,FK$70-FK$71,0)</f>
        <v/>
      </c>
      <c r="FL72" s="218">
        <f>IF(Timeline!FL$41=1,FL$70-FL$71,0)</f>
        <v/>
      </c>
      <c r="FM72" s="218">
        <f>IF(Timeline!FM$41=1,FM$70-FM$71,0)</f>
        <v/>
      </c>
      <c r="FN72" s="218">
        <f>IF(Timeline!FN$41=1,FN$70-FN$71,0)</f>
        <v/>
      </c>
      <c r="FO72" s="218">
        <f>IF(Timeline!FO$41=1,FO$70-FO$71,0)</f>
        <v/>
      </c>
      <c r="FP72" s="218">
        <f>IF(Timeline!FP$41=1,FP$70-FP$71,0)</f>
        <v/>
      </c>
      <c r="FQ72" s="218">
        <f>IF(Timeline!FQ$41=1,FQ$70-FQ$71,0)</f>
        <v/>
      </c>
      <c r="FR72" s="218">
        <f>IF(Timeline!FR$41=1,FR$70-FR$71,0)</f>
        <v/>
      </c>
      <c r="FS72" s="218">
        <f>IF(Timeline!FS$41=1,FS$70-FS$71,0)</f>
        <v/>
      </c>
      <c r="FT72" s="218">
        <f>IF(Timeline!FT$41=1,FT$70-FT$71,0)</f>
        <v/>
      </c>
      <c r="FU72" s="218">
        <f>IF(Timeline!FU$41=1,FU$70-FU$71,0)</f>
        <v/>
      </c>
      <c r="FV72" s="218">
        <f>IF(Timeline!FV$41=1,FV$70-FV$71,0)</f>
        <v/>
      </c>
      <c r="FW72" s="218">
        <f>IF(Timeline!FW$41=1,FW$70-FW$71,0)</f>
        <v/>
      </c>
      <c r="FX72" s="218">
        <f>IF(Timeline!FX$41=1,FX$70-FX$71,0)</f>
        <v/>
      </c>
      <c r="FY72" s="218">
        <f>IF(Timeline!FY$41=1,FY$70-FY$71,0)</f>
        <v/>
      </c>
      <c r="FZ72" s="218">
        <f>IF(Timeline!FZ$41=1,FZ$70-FZ$71,0)</f>
        <v/>
      </c>
      <c r="GA72" s="218">
        <f>IF(Timeline!GA$41=1,GA$70-GA$71,0)</f>
        <v/>
      </c>
      <c r="GB72" s="218">
        <f>IF(Timeline!GB$41=1,GB$70-GB$71,0)</f>
        <v/>
      </c>
      <c r="GC72" s="218">
        <f>IF(Timeline!GC$41=1,GC$70-GC$71,0)</f>
        <v/>
      </c>
      <c r="GD72" s="218">
        <f>IF(Timeline!GD$41=1,GD$70-GD$71,0)</f>
        <v/>
      </c>
      <c r="GE72" s="218">
        <f>IF(Timeline!GE$41=1,GE$70-GE$71,0)</f>
        <v/>
      </c>
      <c r="GF72" s="218">
        <f>IF(Timeline!GF$41=1,GF$70-GF$71,0)</f>
        <v/>
      </c>
      <c r="GG72" s="218">
        <f>IF(Timeline!GG$41=1,GG$70-GG$71,0)</f>
        <v/>
      </c>
      <c r="GH72" s="218">
        <f>IF(Timeline!GH$41=1,GH$70-GH$71,0)</f>
        <v/>
      </c>
      <c r="GI72" s="218">
        <f>IF(Timeline!GI$41=1,GI$70-GI$71,0)</f>
        <v/>
      </c>
      <c r="GJ72" s="218">
        <f>IF(Timeline!GJ$41=1,GJ$70-GJ$71,0)</f>
        <v/>
      </c>
      <c r="GK72" s="218">
        <f>IF(Timeline!GK$41=1,GK$70-GK$71,0)</f>
        <v/>
      </c>
      <c r="GL72" s="218">
        <f>IF(Timeline!GL$41=1,GL$70-GL$71,0)</f>
        <v/>
      </c>
      <c r="GM72" s="218">
        <f>IF(Timeline!GM$41=1,GM$70-GM$71,0)</f>
        <v/>
      </c>
      <c r="GN72" s="218">
        <f>IF(Timeline!GN$41=1,GN$70-GN$71,0)</f>
        <v/>
      </c>
      <c r="GO72" s="218">
        <f>IF(Timeline!GO$41=1,GO$70-GO$71,0)</f>
        <v/>
      </c>
      <c r="GP72" s="218">
        <f>IF(Timeline!GP$41=1,GP$70-GP$71,0)</f>
        <v/>
      </c>
      <c r="GQ72" s="218">
        <f>IF(Timeline!GQ$41=1,GQ$70-GQ$71,0)</f>
        <v/>
      </c>
      <c r="GR72" s="218">
        <f>IF(Timeline!GR$41=1,GR$70-GR$71,0)</f>
        <v/>
      </c>
      <c r="GS72" s="218">
        <f>IF(Timeline!GS$41=1,GS$70-GS$71,0)</f>
        <v/>
      </c>
      <c r="GT72" s="218">
        <f>IF(Timeline!GT$41=1,GT$70-GT$71,0)</f>
        <v/>
      </c>
      <c r="GU72" s="218">
        <f>IF(Timeline!GU$41=1,GU$70-GU$71,0)</f>
        <v/>
      </c>
      <c r="GV72" s="218">
        <f>IF(Timeline!GV$41=1,GV$70-GV$71,0)</f>
        <v/>
      </c>
      <c r="GW72" s="218">
        <f>IF(Timeline!GW$41=1,GW$70-GW$71,0)</f>
        <v/>
      </c>
      <c r="GX72" s="218">
        <f>IF(Timeline!GX$41=1,GX$70-GX$71,0)</f>
        <v/>
      </c>
      <c r="GY72" s="218">
        <f>IF(Timeline!GY$41=1,GY$70-GY$71,0)</f>
        <v/>
      </c>
      <c r="GZ72" s="218">
        <f>IF(Timeline!GZ$41=1,GZ$70-GZ$71,0)</f>
        <v/>
      </c>
      <c r="HA72" s="218">
        <f>IF(Timeline!HA$41=1,HA$70-HA$71,0)</f>
        <v/>
      </c>
      <c r="HB72" s="218">
        <f>IF(Timeline!HB$41=1,HB$70-HB$71,0)</f>
        <v/>
      </c>
      <c r="HC72" s="218">
        <f>IF(Timeline!HC$41=1,HC$70-HC$71,0)</f>
        <v/>
      </c>
      <c r="HD72" s="218">
        <f>IF(Timeline!HD$41=1,HD$70-HD$71,0)</f>
        <v/>
      </c>
      <c r="HE72" s="218">
        <f>IF(Timeline!HE$41=1,HE$70-HE$71,0)</f>
        <v/>
      </c>
      <c r="HF72" s="218">
        <f>IF(Timeline!HF$41=1,HF$70-HF$71,0)</f>
        <v/>
      </c>
      <c r="HG72" s="218">
        <f>IF(Timeline!HG$41=1,HG$70-HG$71,0)</f>
        <v/>
      </c>
      <c r="HH72" s="218">
        <f>IF(Timeline!HH$41=1,HH$70-HH$71,0)</f>
        <v/>
      </c>
      <c r="HI72" s="218">
        <f>IF(Timeline!HI$41=1,HI$70-HI$71,0)</f>
        <v/>
      </c>
      <c r="HJ72" s="218">
        <f>IF(Timeline!HJ$41=1,HJ$70-HJ$71,0)</f>
        <v/>
      </c>
      <c r="HK72" s="218">
        <f>IF(Timeline!HK$41=1,HK$70-HK$71,0)</f>
        <v/>
      </c>
      <c r="HL72" s="218">
        <f>IF(Timeline!HL$41=1,HL$70-HL$71,0)</f>
        <v/>
      </c>
      <c r="HM72" s="218">
        <f>IF(Timeline!HM$41=1,HM$70-HM$71,0)</f>
        <v/>
      </c>
      <c r="HN72" s="218">
        <f>IF(Timeline!HN$41=1,HN$70-HN$71,0)</f>
        <v/>
      </c>
      <c r="HO72" s="218">
        <f>IF(Timeline!HO$41=1,HO$70-HO$71,0)</f>
        <v/>
      </c>
      <c r="HP72" s="218">
        <f>IF(Timeline!HP$41=1,HP$70-HP$71,0)</f>
        <v/>
      </c>
      <c r="HQ72" s="218">
        <f>IF(Timeline!HQ$41=1,HQ$70-HQ$71,0)</f>
        <v/>
      </c>
      <c r="HR72" s="218">
        <f>IF(Timeline!HR$41=1,HR$70-HR$71,0)</f>
        <v/>
      </c>
      <c r="HS72" s="218">
        <f>IF(Timeline!HS$41=1,HS$70-HS$71,0)</f>
        <v/>
      </c>
      <c r="HT72" s="218">
        <f>IF(Timeline!HT$41=1,HT$70-HT$71,0)</f>
        <v/>
      </c>
      <c r="HU72" s="218">
        <f>IF(Timeline!HU$41=1,HU$70-HU$71,0)</f>
        <v/>
      </c>
      <c r="HV72" s="218">
        <f>IF(Timeline!HV$41=1,HV$70-HV$71,0)</f>
        <v/>
      </c>
      <c r="HW72" s="218">
        <f>IF(Timeline!HW$41=1,HW$70-HW$71,0)</f>
        <v/>
      </c>
      <c r="HX72" s="218">
        <f>IF(Timeline!HX$41=1,HX$70-HX$71,0)</f>
        <v/>
      </c>
      <c r="HY72" s="218">
        <f>IF(Timeline!HY$41=1,HY$70-HY$71,0)</f>
        <v/>
      </c>
      <c r="HZ72" s="218">
        <f>IF(Timeline!HZ$41=1,HZ$70-HZ$71,0)</f>
        <v/>
      </c>
      <c r="IA72" s="218">
        <f>IF(Timeline!IA$41=1,IA$70-IA$71,0)</f>
        <v/>
      </c>
      <c r="IB72" s="218">
        <f>IF(Timeline!IB$41=1,IB$70-IB$71,0)</f>
        <v/>
      </c>
      <c r="IC72" s="218">
        <f>IF(Timeline!IC$41=1,IC$70-IC$71,0)</f>
        <v/>
      </c>
      <c r="ID72" s="218">
        <f>IF(Timeline!ID$41=1,ID$70-ID$71,0)</f>
        <v/>
      </c>
      <c r="IE72" s="218">
        <f>IF(Timeline!IE$41=1,IE$70-IE$71,0)</f>
        <v/>
      </c>
      <c r="IF72" s="218">
        <f>IF(Timeline!IF$41=1,IF$70-IF$71,0)</f>
        <v/>
      </c>
      <c r="IG72" s="218">
        <f>IF(Timeline!IG$41=1,IG$70-IG$71,0)</f>
        <v/>
      </c>
      <c r="IH72" s="218">
        <f>IF(Timeline!IH$41=1,IH$70-IH$71,0)</f>
        <v/>
      </c>
      <c r="II72" s="218">
        <f>IF(Timeline!II$41=1,II$70-II$71,0)</f>
        <v/>
      </c>
      <c r="IJ72" s="218">
        <f>IF(Timeline!IJ$41=1,IJ$70-IJ$71,0)</f>
        <v/>
      </c>
      <c r="IK72" s="218">
        <f>IF(Timeline!IK$41=1,IK$70-IK$71,0)</f>
        <v/>
      </c>
      <c r="IL72" s="218">
        <f>IF(Timeline!IL$41=1,IL$70-IL$71,0)</f>
        <v/>
      </c>
      <c r="IM72" s="218">
        <f>IF(Timeline!IM$41=1,IM$70-IM$71,0)</f>
        <v/>
      </c>
      <c r="IN72" s="218">
        <f>IF(Timeline!IN$41=1,IN$70-IN$71,0)</f>
        <v/>
      </c>
      <c r="IO72" s="218">
        <f>IF(Timeline!IO$41=1,IO$70-IO$71,0)</f>
        <v/>
      </c>
      <c r="IP72" s="218">
        <f>IF(Timeline!IP$41=1,IP$70-IP$71,0)</f>
        <v/>
      </c>
      <c r="IQ72" s="218">
        <f>IF(Timeline!IQ$41=1,IQ$70-IQ$71,0)</f>
        <v/>
      </c>
      <c r="IR72" s="218">
        <f>IF(Timeline!IR$41=1,IR$70-IR$71,0)</f>
        <v/>
      </c>
      <c r="IS72" s="218">
        <f>IF(Timeline!IS$41=1,IS$70-IS$71,0)</f>
        <v/>
      </c>
      <c r="IT72" s="218">
        <f>IF(Timeline!IT$41=1,IT$70-IT$71,0)</f>
        <v/>
      </c>
      <c r="IU72" s="218">
        <f>IF(Timeline!IU$41=1,IU$70-IU$71,0)</f>
        <v/>
      </c>
      <c r="IV72" s="218">
        <f>IF(Timeline!IV$41=1,IV$70-IV$71,0)</f>
        <v/>
      </c>
      <c r="IW72" s="218">
        <f>IF(Timeline!IW$41=1,IW$70-IW$71,0)</f>
        <v/>
      </c>
      <c r="IX72" s="218">
        <f>IF(Timeline!IX$41=1,IX$70-IX$71,0)</f>
        <v/>
      </c>
      <c r="IY72" s="218">
        <f>IF(Timeline!IY$41=1,IY$70-IY$71,0)</f>
        <v/>
      </c>
      <c r="IZ72" s="218">
        <f>IF(Timeline!IZ$41=1,IZ$70-IZ$71,0)</f>
        <v/>
      </c>
      <c r="JA72" s="218">
        <f>IF(Timeline!JA$41=1,JA$70-JA$71,0)</f>
        <v/>
      </c>
      <c r="JB72" s="218">
        <f>IF(Timeline!JB$41=1,JB$70-JB$71,0)</f>
        <v/>
      </c>
      <c r="JC72" s="218">
        <f>IF(Timeline!JC$41=1,JC$70-JC$71,0)</f>
        <v/>
      </c>
      <c r="JD72" s="218">
        <f>IF(Timeline!JD$41=1,JD$70-JD$71,0)</f>
        <v/>
      </c>
      <c r="JE72" s="218">
        <f>IF(Timeline!JE$41=1,JE$70-JE$71,0)</f>
        <v/>
      </c>
      <c r="JF72" s="218">
        <f>IF(Timeline!JF$41=1,JF$70-JF$71,0)</f>
        <v/>
      </c>
      <c r="JG72" s="218">
        <f>IF(Timeline!JG$41=1,JG$70-JG$71,0)</f>
        <v/>
      </c>
      <c r="JH72" s="218">
        <f>IF(Timeline!JH$41=1,JH$70-JH$71,0)</f>
        <v/>
      </c>
      <c r="JI72" s="218">
        <f>IF(Timeline!JI$41=1,JI$70-JI$71,0)</f>
        <v/>
      </c>
      <c r="JJ72" s="218">
        <f>IF(Timeline!JJ$41=1,JJ$70-JJ$71,0)</f>
        <v/>
      </c>
      <c r="JK72" s="218">
        <f>IF(Timeline!JK$41=1,JK$70-JK$71,0)</f>
        <v/>
      </c>
      <c r="JL72" s="218">
        <f>IF(Timeline!JL$41=1,JL$70-JL$71,0)</f>
        <v/>
      </c>
      <c r="JM72" s="218">
        <f>IF(Timeline!JM$41=1,JM$70-JM$71,0)</f>
        <v/>
      </c>
      <c r="JN72" s="218">
        <f>IF(Timeline!JN$41=1,JN$70-JN$71,0)</f>
        <v/>
      </c>
      <c r="JO72" s="218">
        <f>IF(Timeline!JO$41=1,JO$70-JO$71,0)</f>
        <v/>
      </c>
      <c r="JP72" s="218">
        <f>IF(Timeline!JP$41=1,JP$70-JP$71,0)</f>
        <v/>
      </c>
      <c r="JQ72" s="218">
        <f>IF(Timeline!JQ$41=1,JQ$70-JQ$71,0)</f>
        <v/>
      </c>
      <c r="JR72" s="218">
        <f>IF(Timeline!JR$41=1,JR$70-JR$71,0)</f>
        <v/>
      </c>
      <c r="JS72" s="218">
        <f>IF(Timeline!JS$41=1,JS$70-JS$71,0)</f>
        <v/>
      </c>
      <c r="JT72" s="218">
        <f>IF(Timeline!JT$41=1,JT$70-JT$71,0)</f>
        <v/>
      </c>
      <c r="JU72" s="218">
        <f>IF(Timeline!JU$41=1,JU$70-JU$71,0)</f>
        <v/>
      </c>
      <c r="JV72" s="218">
        <f>IF(Timeline!JV$41=1,JV$70-JV$71,0)</f>
        <v/>
      </c>
      <c r="JW72" s="218">
        <f>IF(Timeline!JW$41=1,JW$70-JW$71,0)</f>
        <v/>
      </c>
      <c r="JX72" s="218">
        <f>IF(Timeline!JX$41=1,JX$70-JX$71,0)</f>
        <v/>
      </c>
      <c r="JY72" s="218">
        <f>IF(Timeline!JY$41=1,JY$70-JY$71,0)</f>
        <v/>
      </c>
      <c r="JZ72" s="218">
        <f>IF(Timeline!JZ$41=1,JZ$70-JZ$71,0)</f>
        <v/>
      </c>
      <c r="KA72" s="218">
        <f>IF(Timeline!KA$41=1,KA$70-KA$71,0)</f>
        <v/>
      </c>
      <c r="KB72" s="218">
        <f>IF(Timeline!KB$41=1,KB$70-KB$71,0)</f>
        <v/>
      </c>
      <c r="KC72" s="218">
        <f>IF(Timeline!KC$41=1,KC$70-KC$71,0)</f>
        <v/>
      </c>
      <c r="KD72" s="218">
        <f>IF(Timeline!KD$41=1,KD$70-KD$71,0)</f>
        <v/>
      </c>
      <c r="KE72" s="218">
        <f>IF(Timeline!KE$41=1,KE$70-KE$71,0)</f>
        <v/>
      </c>
      <c r="KF72" s="218">
        <f>IF(Timeline!KF$41=1,KF$70-KF$71,0)</f>
        <v/>
      </c>
      <c r="KG72" s="218">
        <f>IF(Timeline!KG$41=1,KG$70-KG$71,0)</f>
        <v/>
      </c>
      <c r="KH72" s="218">
        <f>IF(Timeline!KH$41=1,KH$70-KH$71,0)</f>
        <v/>
      </c>
      <c r="KI72" s="218">
        <f>IF(Timeline!KI$41=1,KI$70-KI$71,0)</f>
        <v/>
      </c>
      <c r="KJ72" s="218">
        <f>IF(Timeline!KJ$41=1,KJ$70-KJ$71,0)</f>
        <v/>
      </c>
      <c r="KK72" s="218">
        <f>IF(Timeline!KK$41=1,KK$70-KK$71,0)</f>
        <v/>
      </c>
      <c r="KL72" s="218">
        <f>IF(Timeline!KL$41=1,KL$70-KL$71,0)</f>
        <v/>
      </c>
      <c r="KM72" s="218">
        <f>IF(Timeline!KM$41=1,KM$70-KM$71,0)</f>
        <v/>
      </c>
      <c r="KN72" s="218">
        <f>IF(Timeline!KN$41=1,KN$70-KN$71,0)</f>
        <v/>
      </c>
      <c r="KO72" s="218">
        <f>IF(Timeline!KO$41=1,KO$70-KO$71,0)</f>
        <v/>
      </c>
      <c r="KP72" s="218">
        <f>IF(Timeline!KP$41=1,KP$70-KP$71,0)</f>
        <v/>
      </c>
      <c r="KQ72" s="218">
        <f>IF(Timeline!KQ$41=1,KQ$70-KQ$71,0)</f>
        <v/>
      </c>
      <c r="KR72" s="218">
        <f>IF(Timeline!KR$41=1,KR$70-KR$71,0)</f>
        <v/>
      </c>
      <c r="KS72" s="218">
        <f>IF(Timeline!KS$41=1,KS$70-KS$71,0)</f>
        <v/>
      </c>
      <c r="KT72" s="218">
        <f>IF(Timeline!KT$41=1,KT$70-KT$71,0)</f>
        <v/>
      </c>
      <c r="KU72" s="218">
        <f>IF(Timeline!KU$41=1,KU$70-KU$71,0)</f>
        <v/>
      </c>
      <c r="KV72" s="218">
        <f>IF(Timeline!KV$41=1,KV$70-KV$71,0)</f>
        <v/>
      </c>
      <c r="KW72" s="218">
        <f>IF(Timeline!KW$41=1,KW$70-KW$71,0)</f>
        <v/>
      </c>
      <c r="KX72" s="218">
        <f>IF(Timeline!KX$41=1,KX$70-KX$71,0)</f>
        <v/>
      </c>
      <c r="KY72" s="218">
        <f>IF(Timeline!KY$41=1,KY$70-KY$71,0)</f>
        <v/>
      </c>
      <c r="KZ72" s="218">
        <f>IF(Timeline!KZ$41=1,KZ$70-KZ$71,0)</f>
        <v/>
      </c>
      <c r="LA72" s="218">
        <f>IF(Timeline!LA$41=1,LA$70-LA$71,0)</f>
        <v/>
      </c>
      <c r="LB72" s="218">
        <f>IF(Timeline!LB$41=1,LB$70-LB$71,0)</f>
        <v/>
      </c>
      <c r="LC72" s="218">
        <f>IF(Timeline!LC$41=1,LC$70-LC$71,0)</f>
        <v/>
      </c>
      <c r="LD72" s="218">
        <f>IF(Timeline!LD$41=1,LD$70-LD$71,0)</f>
        <v/>
      </c>
      <c r="LE72" s="218">
        <f>IF(Timeline!LE$41=1,LE$70-LE$71,0)</f>
        <v/>
      </c>
      <c r="LF72" s="218">
        <f>IF(Timeline!LF$41=1,LF$70-LF$71,0)</f>
        <v/>
      </c>
      <c r="LG72" s="218">
        <f>IF(Timeline!LG$41=1,LG$70-LG$71,0)</f>
        <v/>
      </c>
      <c r="LH72" s="218">
        <f>IF(Timeline!LH$41=1,LH$70-LH$71,0)</f>
        <v/>
      </c>
      <c r="LI72" s="218">
        <f>IF(Timeline!LI$41=1,LI$70-LI$71,0)</f>
        <v/>
      </c>
      <c r="LJ72" s="218">
        <f>IF(Timeline!LJ$41=1,LJ$70-LJ$71,0)</f>
        <v/>
      </c>
      <c r="LK72" s="218">
        <f>IF(Timeline!LK$41=1,LK$70-LK$71,0)</f>
        <v/>
      </c>
      <c r="LL72" s="218">
        <f>IF(Timeline!LL$41=1,LL$70-LL$71,0)</f>
        <v/>
      </c>
      <c r="LM72" s="218">
        <f>IF(Timeline!LM$41=1,LM$70-LM$71,0)</f>
        <v/>
      </c>
      <c r="LN72" s="218">
        <f>IF(Timeline!LN$41=1,LN$70-LN$71,0)</f>
        <v/>
      </c>
      <c r="LO72" s="218">
        <f>IF(Timeline!LO$41=1,LO$70-LO$71,0)</f>
        <v/>
      </c>
      <c r="LP72" s="218">
        <f>IF(Timeline!LP$41=1,LP$70-LP$71,0)</f>
        <v/>
      </c>
      <c r="LQ72" s="218">
        <f>IF(Timeline!LQ$41=1,LQ$70-LQ$71,0)</f>
        <v/>
      </c>
      <c r="LR72" s="218">
        <f>IF(Timeline!LR$41=1,LR$70-LR$71,0)</f>
        <v/>
      </c>
      <c r="LS72" s="218">
        <f>IF(Timeline!LS$41=1,LS$70-LS$71,0)</f>
        <v/>
      </c>
      <c r="LT72" s="218">
        <f>IF(Timeline!LT$41=1,LT$70-LT$71,0)</f>
        <v/>
      </c>
      <c r="LU72" s="218">
        <f>IF(Timeline!LU$41=1,LU$70-LU$71,0)</f>
        <v/>
      </c>
      <c r="LV72" s="218">
        <f>IF(Timeline!LV$41=1,LV$70-LV$71,0)</f>
        <v/>
      </c>
      <c r="LW72" s="218">
        <f>IF(Timeline!LW$41=1,LW$70-LW$71,0)</f>
        <v/>
      </c>
      <c r="LX72" s="218">
        <f>IF(Timeline!LX$41=1,LX$70-LX$71,0)</f>
        <v/>
      </c>
      <c r="LY72" s="218">
        <f>IF(Timeline!LY$41=1,LY$70-LY$71,0)</f>
        <v/>
      </c>
      <c r="LZ72" s="218">
        <f>IF(Timeline!LZ$41=1,LZ$70-LZ$71,0)</f>
        <v/>
      </c>
      <c r="MA72" s="218">
        <f>IF(Timeline!MA$41=1,MA$70-MA$71,0)</f>
        <v/>
      </c>
      <c r="MB72" s="218">
        <f>IF(Timeline!MB$41=1,MB$70-MB$71,0)</f>
        <v/>
      </c>
      <c r="MC72" s="218">
        <f>IF(Timeline!MC$41=1,MC$70-MC$71,0)</f>
        <v/>
      </c>
      <c r="MD72" s="218">
        <f>IF(Timeline!MD$41=1,MD$70-MD$71,0)</f>
        <v/>
      </c>
      <c r="ME72" s="218">
        <f>IF(Timeline!ME$41=1,ME$70-ME$71,0)</f>
        <v/>
      </c>
      <c r="MF72" s="218">
        <f>IF(Timeline!MF$41=1,MF$70-MF$71,0)</f>
        <v/>
      </c>
      <c r="MG72" s="218">
        <f>IF(Timeline!MG$41=1,MG$70-MG$71,0)</f>
        <v/>
      </c>
      <c r="MH72" s="218">
        <f>IF(Timeline!MH$41=1,MH$70-MH$71,0)</f>
        <v/>
      </c>
      <c r="MI72" s="218">
        <f>IF(Timeline!MI$41=1,MI$70-MI$71,0)</f>
        <v/>
      </c>
      <c r="MJ72" s="218">
        <f>IF(Timeline!MJ$41=1,MJ$70-MJ$71,0)</f>
        <v/>
      </c>
      <c r="MK72" s="218">
        <f>IF(Timeline!MK$41=1,MK$70-MK$71,0)</f>
        <v/>
      </c>
      <c r="ML72" s="218">
        <f>IF(Timeline!ML$41=1,ML$70-ML$71,0)</f>
        <v/>
      </c>
      <c r="MM72" s="218">
        <f>IF(Timeline!MM$41=1,MM$70-MM$71,0)</f>
        <v/>
      </c>
      <c r="MN72" s="218">
        <f>IF(Timeline!MN$41=1,MN$70-MN$71,0)</f>
        <v/>
      </c>
      <c r="MO72" s="218">
        <f>IF(Timeline!MO$41=1,MO$70-MO$71,0)</f>
        <v/>
      </c>
      <c r="MP72" s="218">
        <f>IF(Timeline!MP$41=1,MP$70-MP$71,0)</f>
        <v/>
      </c>
      <c r="MQ72" s="218">
        <f>IF(Timeline!MQ$41=1,MQ$70-MQ$71,0)</f>
        <v/>
      </c>
      <c r="MR72" s="218">
        <f>IF(Timeline!MR$41=1,MR$70-MR$71,0)</f>
        <v/>
      </c>
      <c r="MS72" s="218">
        <f>IF(Timeline!MS$41=1,MS$70-MS$71,0)</f>
        <v/>
      </c>
      <c r="MT72" s="218">
        <f>IF(Timeline!MT$41=1,MT$70-MT$71,0)</f>
        <v/>
      </c>
      <c r="MU72" s="218">
        <f>IF(Timeline!MU$41=1,MU$70-MU$71,0)</f>
        <v/>
      </c>
      <c r="MV72" s="218">
        <f>IF(Timeline!MV$41=1,MV$70-MV$71,0)</f>
        <v/>
      </c>
      <c r="MW72" s="218">
        <f>IF(Timeline!MW$41=1,MW$70-MW$71,0)</f>
        <v/>
      </c>
      <c r="MX72" s="218">
        <f>IF(Timeline!MX$41=1,MX$70-MX$71,0)</f>
        <v/>
      </c>
      <c r="MY72" s="218">
        <f>IF(Timeline!MY$41=1,MY$70-MY$71,0)</f>
        <v/>
      </c>
      <c r="MZ72" s="218">
        <f>IF(Timeline!MZ$41=1,MZ$70-MZ$71,0)</f>
        <v/>
      </c>
      <c r="NA72" s="218">
        <f>IF(Timeline!NA$41=1,NA$70-NA$71,0)</f>
        <v/>
      </c>
      <c r="NB72" s="218">
        <f>IF(Timeline!NB$41=1,NB$70-NB$71,0)</f>
        <v/>
      </c>
      <c r="NC72" s="218">
        <f>IF(Timeline!NC$41=1,NC$70-NC$71,0)</f>
        <v/>
      </c>
      <c r="ND72" s="218">
        <f>IF(Timeline!ND$41=1,ND$70-ND$71,0)</f>
        <v/>
      </c>
      <c r="NE72" s="218">
        <f>IF(Timeline!NE$41=1,NE$70-NE$71,0)</f>
        <v/>
      </c>
      <c r="NF72" s="218">
        <f>IF(Timeline!NF$41=1,NF$70-NF$71,0)</f>
        <v/>
      </c>
      <c r="NG72" s="218">
        <f>IF(Timeline!NG$41=1,NG$70-NG$71,0)</f>
        <v/>
      </c>
      <c r="NH72" s="218">
        <f>IF(Timeline!NH$41=1,NH$70-NH$71,0)</f>
        <v/>
      </c>
      <c r="NI72" s="218">
        <f>IF(Timeline!NI$41=1,NI$70-NI$71,0)</f>
        <v/>
      </c>
      <c r="NJ72" s="218">
        <f>IF(Timeline!NJ$41=1,NJ$70-NJ$71,0)</f>
        <v/>
      </c>
      <c r="NK72" s="218">
        <f>IF(Timeline!NK$41=1,NK$70-NK$71,0)</f>
        <v/>
      </c>
      <c r="NL72" s="218">
        <f>IF(Timeline!NL$41=1,NL$70-NL$71,0)</f>
        <v/>
      </c>
    </row>
    <row r="74">
      <c r="B74" s="327" t="inlineStr">
        <is>
          <t>Static (No-Growth) Property-Tax Basis</t>
        </is>
      </c>
    </row>
    <row r="75">
      <c r="B75" s="316" t="inlineStr">
        <is>
          <t>Static Stabilized NOI before Tax (fwd 12mo)</t>
        </is>
      </c>
      <c r="C75" s="280">
        <f>SUM(INDEX(E$68:NL$68,StabMonth):INDEX(E$68:NL$68,StabMonth+11))</f>
        <v/>
      </c>
    </row>
    <row r="76">
      <c r="B76" s="316" t="inlineStr">
        <is>
          <t>Static Assessed Value (growth-free)</t>
        </is>
      </c>
      <c r="C76" s="280">
        <f>IF((EntryCapRate+EffTaxRateOnValue)=0,0,C75/(EntryCapRate+EffTaxRateOnValue))</f>
        <v/>
      </c>
    </row>
    <row r="77">
      <c r="B77" s="316" t="inlineStr">
        <is>
          <t>Static Year-1 Tax (growth-free)</t>
        </is>
      </c>
      <c r="C77" s="280">
        <f>IF(TaxYear1Override&gt;0,TaxYear1Override,C76*EffTaxRateOnValue)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F7F7F"/>
    <outlinePr summaryBelow="1" summaryRight="1"/>
    <pageSetUpPr/>
  </sheetPr>
  <dimension ref="B1:NL33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3.7109375" customWidth="1" style="97" min="1" max="1"/>
    <col width="34" customWidth="1" style="97" min="2" max="2"/>
    <col width="18" customWidth="1" style="97" min="3" max="3"/>
    <col width="16" customWidth="1" style="97" min="4" max="4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Permanent Loan / Refinance Engine</t>
        </is>
      </c>
    </row>
    <row r="3">
      <c r="B3" s="71" t="inlineStr">
        <is>
          <t>Refinance Sizing (min of LTV / Debt Yield / DSCR)</t>
        </is>
      </c>
      <c r="C3" s="72" t="n"/>
      <c r="D3" s="80" t="n"/>
    </row>
    <row r="4">
      <c r="B4" s="36" t="inlineStr">
        <is>
          <t>Refi Forward NOI (12mo)</t>
        </is>
      </c>
      <c r="C4" s="255">
        <f>RefiFlag*SUM(INDEX(Operating!E$38:'Operating'!NL$38,MAX(1,RefiMonth)):INDEX(Operating!E$38:'Operating'!NL$38,MAX(1,RefiMonth)+11))</f>
        <v/>
      </c>
      <c r="D4" s="53" t="n"/>
    </row>
    <row r="5">
      <c r="B5" s="36" t="inlineStr">
        <is>
          <t>Property Value at Refi</t>
        </is>
      </c>
      <c r="C5" s="255">
        <f>IF(EntryCapRate=0,0,StabNOIrefi/EntryCapRate)</f>
        <v/>
      </c>
      <c r="D5" s="53" t="n"/>
    </row>
    <row r="6">
      <c r="B6" s="36" t="inlineStr">
        <is>
          <t>Mortgage Constant (annual)</t>
        </is>
      </c>
      <c r="C6" s="140">
        <f>IF(PermRate=0,12/PermAmortMonths,(PermRate/12)/(1-(1+PermRate/12)^(-PermAmortMonths))*12)</f>
        <v/>
      </c>
      <c r="D6" s="53" t="n"/>
    </row>
    <row r="7">
      <c r="B7" s="36" t="inlineStr">
        <is>
          <t>Max Loan by LTV</t>
        </is>
      </c>
      <c r="C7" s="255">
        <f>PermMaxLTV*ValueAtRefi</f>
        <v/>
      </c>
      <c r="D7" s="53" t="n"/>
    </row>
    <row r="8">
      <c r="B8" s="36" t="inlineStr">
        <is>
          <t>Max Loan by Debt Yield</t>
        </is>
      </c>
      <c r="C8" s="255">
        <f>IF(PermMinDebtYield=0,0,StabNOIrefi/PermMinDebtYield)</f>
        <v/>
      </c>
      <c r="D8" s="53" t="n"/>
    </row>
    <row r="9">
      <c r="B9" s="36" t="inlineStr">
        <is>
          <t>Max Loan by DSCR</t>
        </is>
      </c>
      <c r="C9" s="255">
        <f>IF(MortConst=0,0,StabNOIrefi/(PermMinDSCR*MortConst))</f>
        <v/>
      </c>
      <c r="D9" s="53" t="n"/>
    </row>
    <row r="10">
      <c r="B10" s="36" t="inlineStr">
        <is>
          <t>Perm Loan — Max Sized</t>
        </is>
      </c>
      <c r="C10" s="255">
        <f>MIN(MaxLTVperm,MaxDYperm,MaxDSCRperm)</f>
        <v/>
      </c>
      <c r="D10" s="53" t="n"/>
    </row>
    <row r="11">
      <c r="B11" s="36" t="inlineStr">
        <is>
          <t>Perm Loan — No-Cash-Out Need</t>
        </is>
      </c>
      <c r="C11" s="255">
        <f>ConPayoffBal/(1-PermPointsPct)</f>
        <v/>
      </c>
      <c r="D11" s="53" t="n"/>
    </row>
    <row r="12">
      <c r="B12" s="36" t="inlineStr">
        <is>
          <t>Permanent Loan Amount</t>
        </is>
      </c>
      <c r="C12" s="255">
        <f>RefiFlag*IF(NoCashOut&gt;=1,MIN(PermSized,PermNeedNCO),PermSized)</f>
        <v/>
      </c>
      <c r="D12" s="53" t="n"/>
    </row>
    <row r="13">
      <c r="B13" s="36" t="inlineStr">
        <is>
          <t>Permanent Loan Points</t>
        </is>
      </c>
      <c r="C13" s="255">
        <f>PermPointsPct*PermLoan</f>
        <v/>
      </c>
      <c r="D13" s="53" t="n"/>
    </row>
    <row r="14">
      <c r="B14" s="36" t="inlineStr">
        <is>
          <t>Net Cash Distribution at Refi</t>
        </is>
      </c>
      <c r="C14" s="255">
        <f>RefiFlag*(PermLoan-ConPayoffBal-PermPoints)</f>
        <v/>
      </c>
      <c r="D14" s="53" t="n"/>
    </row>
    <row r="15">
      <c r="B15" s="40" t="inlineStr">
        <is>
          <t>Level Monthly Payment</t>
        </is>
      </c>
      <c r="C15" s="256">
        <f>PermLoan*MortConst/12</f>
        <v/>
      </c>
      <c r="D15" s="66" t="n"/>
    </row>
    <row r="17">
      <c r="B17" s="71" t="inlineStr">
        <is>
          <t>Permanent Sizing Tests</t>
        </is>
      </c>
      <c r="C17" s="72" t="n"/>
      <c r="D17" s="80" t="n"/>
    </row>
    <row r="18">
      <c r="B18" s="36" t="inlineStr">
        <is>
          <t>LTV at Loan</t>
        </is>
      </c>
      <c r="C18" s="142">
        <f>IF(ValueAtRefi=0,0,PermLoan/ValueAtRefi)</f>
        <v/>
      </c>
      <c r="D18" s="53" t="n"/>
    </row>
    <row r="19">
      <c r="B19" s="36" t="inlineStr">
        <is>
          <t>Debt Yield at Loan</t>
        </is>
      </c>
      <c r="C19" s="142">
        <f>IF(PermLoan=0,0,StabNOIrefi/PermLoan)</f>
        <v/>
      </c>
      <c r="D19" s="53" t="n"/>
    </row>
    <row r="20">
      <c r="B20" s="40" t="inlineStr">
        <is>
          <t>DSCR at Loan</t>
        </is>
      </c>
      <c r="C20" s="270">
        <f>IF(PermLoan=0,0,StabNOIrefi/(PermPmt*12))</f>
        <v/>
      </c>
      <c r="D20" s="66" t="n"/>
    </row>
    <row r="21">
      <c r="B21" s="316" t="inlineStr">
        <is>
          <t>Binding Constraint</t>
        </is>
      </c>
      <c r="C21" s="338">
        <f>IF(RefiFlag=0,"n/a (sell)",IF(PermSized=MaxLTVperm,"LTV",IF(PermSized=MaxDYperm,"Debt Yield","DSCR")))</f>
        <v/>
      </c>
    </row>
    <row r="22">
      <c r="B22" s="34" t="inlineStr">
        <is>
          <t>Monthly Amortization Schedule</t>
        </is>
      </c>
      <c r="C22" s="60" t="n"/>
      <c r="D22" s="35" t="n"/>
    </row>
    <row r="23">
      <c r="B23" s="122" t="inlineStr">
        <is>
          <t>Period →</t>
        </is>
      </c>
      <c r="D23" s="75" t="inlineStr">
        <is>
          <t>Total</t>
        </is>
      </c>
      <c r="E23" s="27" t="n">
        <v>1</v>
      </c>
      <c r="F23" s="27" t="n">
        <v>2</v>
      </c>
      <c r="G23" s="27" t="n">
        <v>3</v>
      </c>
      <c r="H23" s="27" t="n">
        <v>4</v>
      </c>
      <c r="I23" s="27" t="n">
        <v>5</v>
      </c>
      <c r="J23" s="27" t="n">
        <v>6</v>
      </c>
      <c r="K23" s="27" t="n">
        <v>7</v>
      </c>
      <c r="L23" s="27" t="n">
        <v>8</v>
      </c>
      <c r="M23" s="27" t="n">
        <v>9</v>
      </c>
      <c r="N23" s="27" t="n">
        <v>10</v>
      </c>
      <c r="O23" s="27" t="n">
        <v>11</v>
      </c>
      <c r="P23" s="27" t="n">
        <v>12</v>
      </c>
      <c r="Q23" s="27" t="n">
        <v>13</v>
      </c>
      <c r="R23" s="27" t="n">
        <v>14</v>
      </c>
      <c r="S23" s="27" t="n">
        <v>15</v>
      </c>
      <c r="T23" s="27" t="n">
        <v>16</v>
      </c>
      <c r="U23" s="27" t="n">
        <v>17</v>
      </c>
      <c r="V23" s="27" t="n">
        <v>18</v>
      </c>
      <c r="W23" s="27" t="n">
        <v>19</v>
      </c>
      <c r="X23" s="27" t="n">
        <v>20</v>
      </c>
      <c r="Y23" s="27" t="n">
        <v>21</v>
      </c>
      <c r="Z23" s="27" t="n">
        <v>22</v>
      </c>
      <c r="AA23" s="27" t="n">
        <v>23</v>
      </c>
      <c r="AB23" s="27" t="n">
        <v>24</v>
      </c>
      <c r="AC23" s="27" t="n">
        <v>25</v>
      </c>
      <c r="AD23" s="27" t="n">
        <v>26</v>
      </c>
      <c r="AE23" s="27" t="n">
        <v>27</v>
      </c>
      <c r="AF23" s="27" t="n">
        <v>28</v>
      </c>
      <c r="AG23" s="27" t="n">
        <v>29</v>
      </c>
      <c r="AH23" s="27" t="n">
        <v>30</v>
      </c>
      <c r="AI23" s="27" t="n">
        <v>31</v>
      </c>
      <c r="AJ23" s="27" t="n">
        <v>32</v>
      </c>
      <c r="AK23" s="27" t="n">
        <v>33</v>
      </c>
      <c r="AL23" s="27" t="n">
        <v>34</v>
      </c>
      <c r="AM23" s="27" t="n">
        <v>35</v>
      </c>
      <c r="AN23" s="27" t="n">
        <v>36</v>
      </c>
      <c r="AO23" s="27" t="n">
        <v>37</v>
      </c>
      <c r="AP23" s="27" t="n">
        <v>38</v>
      </c>
      <c r="AQ23" s="27" t="n">
        <v>39</v>
      </c>
      <c r="AR23" s="27" t="n">
        <v>40</v>
      </c>
      <c r="AS23" s="27" t="n">
        <v>41</v>
      </c>
      <c r="AT23" s="27" t="n">
        <v>42</v>
      </c>
      <c r="AU23" s="27" t="n">
        <v>43</v>
      </c>
      <c r="AV23" s="27" t="n">
        <v>44</v>
      </c>
      <c r="AW23" s="27" t="n">
        <v>45</v>
      </c>
      <c r="AX23" s="27" t="n">
        <v>46</v>
      </c>
      <c r="AY23" s="27" t="n">
        <v>47</v>
      </c>
      <c r="AZ23" s="27" t="n">
        <v>48</v>
      </c>
      <c r="BA23" s="27" t="n">
        <v>49</v>
      </c>
      <c r="BB23" s="27" t="n">
        <v>50</v>
      </c>
      <c r="BC23" s="27" t="n">
        <v>51</v>
      </c>
      <c r="BD23" s="27" t="n">
        <v>52</v>
      </c>
      <c r="BE23" s="27" t="n">
        <v>53</v>
      </c>
      <c r="BF23" s="27" t="n">
        <v>54</v>
      </c>
      <c r="BG23" s="27" t="n">
        <v>55</v>
      </c>
      <c r="BH23" s="27" t="n">
        <v>56</v>
      </c>
      <c r="BI23" s="27" t="n">
        <v>57</v>
      </c>
      <c r="BJ23" s="27" t="n">
        <v>58</v>
      </c>
      <c r="BK23" s="27" t="n">
        <v>59</v>
      </c>
      <c r="BL23" s="27" t="n">
        <v>60</v>
      </c>
      <c r="BM23" s="27" t="n">
        <v>61</v>
      </c>
      <c r="BN23" s="27" t="n">
        <v>62</v>
      </c>
      <c r="BO23" s="27" t="n">
        <v>63</v>
      </c>
      <c r="BP23" s="27" t="n">
        <v>64</v>
      </c>
      <c r="BQ23" s="27" t="n">
        <v>65</v>
      </c>
      <c r="BR23" s="27" t="n">
        <v>66</v>
      </c>
      <c r="BS23" s="27" t="n">
        <v>67</v>
      </c>
      <c r="BT23" s="27" t="n">
        <v>68</v>
      </c>
      <c r="BU23" s="27" t="n">
        <v>69</v>
      </c>
      <c r="BV23" s="27" t="n">
        <v>70</v>
      </c>
      <c r="BW23" s="27" t="n">
        <v>71</v>
      </c>
      <c r="BX23" s="27" t="n">
        <v>72</v>
      </c>
      <c r="BY23" s="27" t="n">
        <v>73</v>
      </c>
      <c r="BZ23" s="27" t="n">
        <v>74</v>
      </c>
      <c r="CA23" s="27" t="n">
        <v>75</v>
      </c>
      <c r="CB23" s="27" t="n">
        <v>76</v>
      </c>
      <c r="CC23" s="27" t="n">
        <v>77</v>
      </c>
      <c r="CD23" s="27" t="n">
        <v>78</v>
      </c>
      <c r="CE23" s="27" t="n">
        <v>79</v>
      </c>
      <c r="CF23" s="27" t="n">
        <v>80</v>
      </c>
      <c r="CG23" s="27" t="n">
        <v>81</v>
      </c>
      <c r="CH23" s="27" t="n">
        <v>82</v>
      </c>
      <c r="CI23" s="27" t="n">
        <v>83</v>
      </c>
      <c r="CJ23" s="27" t="n">
        <v>84</v>
      </c>
      <c r="CK23" s="27" t="n">
        <v>85</v>
      </c>
      <c r="CL23" s="27" t="n">
        <v>86</v>
      </c>
      <c r="CM23" s="27" t="n">
        <v>87</v>
      </c>
      <c r="CN23" s="27" t="n">
        <v>88</v>
      </c>
      <c r="CO23" s="27" t="n">
        <v>89</v>
      </c>
      <c r="CP23" s="27" t="n">
        <v>90</v>
      </c>
      <c r="CQ23" s="27" t="n">
        <v>91</v>
      </c>
      <c r="CR23" s="27" t="n">
        <v>92</v>
      </c>
      <c r="CS23" s="27" t="n">
        <v>93</v>
      </c>
      <c r="CT23" s="27" t="n">
        <v>94</v>
      </c>
      <c r="CU23" s="27" t="n">
        <v>95</v>
      </c>
      <c r="CV23" s="27" t="n">
        <v>96</v>
      </c>
      <c r="CW23" s="27" t="n">
        <v>97</v>
      </c>
      <c r="CX23" s="27" t="n">
        <v>98</v>
      </c>
      <c r="CY23" s="27" t="n">
        <v>99</v>
      </c>
      <c r="CZ23" s="27" t="n">
        <v>100</v>
      </c>
      <c r="DA23" s="27" t="n">
        <v>101</v>
      </c>
      <c r="DB23" s="27" t="n">
        <v>102</v>
      </c>
      <c r="DC23" s="27" t="n">
        <v>103</v>
      </c>
      <c r="DD23" s="27" t="n">
        <v>104</v>
      </c>
      <c r="DE23" s="27" t="n">
        <v>105</v>
      </c>
      <c r="DF23" s="27" t="n">
        <v>106</v>
      </c>
      <c r="DG23" s="27" t="n">
        <v>107</v>
      </c>
      <c r="DH23" s="27" t="n">
        <v>108</v>
      </c>
      <c r="DI23" s="27" t="n">
        <v>109</v>
      </c>
      <c r="DJ23" s="27" t="n">
        <v>110</v>
      </c>
      <c r="DK23" s="27" t="n">
        <v>111</v>
      </c>
      <c r="DL23" s="27" t="n">
        <v>112</v>
      </c>
      <c r="DM23" s="27" t="n">
        <v>113</v>
      </c>
      <c r="DN23" s="27" t="n">
        <v>114</v>
      </c>
      <c r="DO23" s="27" t="n">
        <v>115</v>
      </c>
      <c r="DP23" s="27" t="n">
        <v>116</v>
      </c>
      <c r="DQ23" s="27" t="n">
        <v>117</v>
      </c>
      <c r="DR23" s="27" t="n">
        <v>118</v>
      </c>
      <c r="DS23" s="27" t="n">
        <v>119</v>
      </c>
      <c r="DT23" s="27" t="n">
        <v>120</v>
      </c>
      <c r="DU23" s="27" t="n">
        <v>121</v>
      </c>
      <c r="DV23" s="27" t="n">
        <v>122</v>
      </c>
      <c r="DW23" s="27" t="n">
        <v>123</v>
      </c>
      <c r="DX23" s="27" t="n">
        <v>124</v>
      </c>
      <c r="DY23" s="27" t="n">
        <v>125</v>
      </c>
      <c r="DZ23" s="27" t="n">
        <v>126</v>
      </c>
      <c r="EA23" s="27" t="n">
        <v>127</v>
      </c>
      <c r="EB23" s="27" t="n">
        <v>128</v>
      </c>
      <c r="EC23" s="27" t="n">
        <v>129</v>
      </c>
      <c r="ED23" s="27" t="n">
        <v>130</v>
      </c>
      <c r="EE23" s="27" t="n">
        <v>131</v>
      </c>
      <c r="EF23" s="27" t="n">
        <v>132</v>
      </c>
      <c r="EG23" s="27" t="n">
        <v>133</v>
      </c>
      <c r="EH23" s="27" t="n">
        <v>134</v>
      </c>
      <c r="EI23" s="27" t="n">
        <v>135</v>
      </c>
      <c r="EJ23" s="27" t="n">
        <v>136</v>
      </c>
      <c r="EK23" s="27" t="n">
        <v>137</v>
      </c>
      <c r="EL23" s="27" t="n">
        <v>138</v>
      </c>
      <c r="EM23" s="27" t="n">
        <v>139</v>
      </c>
      <c r="EN23" s="27" t="n">
        <v>140</v>
      </c>
      <c r="EO23" s="27" t="n">
        <v>141</v>
      </c>
      <c r="EP23" s="27" t="n">
        <v>142</v>
      </c>
      <c r="EQ23" s="27" t="n">
        <v>143</v>
      </c>
      <c r="ER23" s="27" t="n">
        <v>144</v>
      </c>
      <c r="ES23" s="27" t="n">
        <v>145</v>
      </c>
      <c r="ET23" s="27" t="n">
        <v>146</v>
      </c>
      <c r="EU23" s="27" t="n">
        <v>147</v>
      </c>
      <c r="EV23" s="27" t="n">
        <v>148</v>
      </c>
      <c r="EW23" s="27" t="n">
        <v>149</v>
      </c>
      <c r="EX23" s="27" t="n">
        <v>150</v>
      </c>
      <c r="EY23" s="27" t="n">
        <v>151</v>
      </c>
      <c r="EZ23" s="27" t="n">
        <v>152</v>
      </c>
      <c r="FA23" s="27" t="n">
        <v>153</v>
      </c>
      <c r="FB23" s="27" t="n">
        <v>154</v>
      </c>
      <c r="FC23" s="27" t="n">
        <v>155</v>
      </c>
      <c r="FD23" s="27" t="n">
        <v>156</v>
      </c>
      <c r="FE23" s="27" t="n">
        <v>157</v>
      </c>
      <c r="FF23" s="27" t="n">
        <v>158</v>
      </c>
      <c r="FG23" s="27" t="n">
        <v>159</v>
      </c>
      <c r="FH23" s="27" t="n">
        <v>160</v>
      </c>
      <c r="FI23" s="27" t="n">
        <v>161</v>
      </c>
      <c r="FJ23" s="27" t="n">
        <v>162</v>
      </c>
      <c r="FK23" s="27" t="n">
        <v>163</v>
      </c>
      <c r="FL23" s="27" t="n">
        <v>164</v>
      </c>
      <c r="FM23" s="27" t="n">
        <v>165</v>
      </c>
      <c r="FN23" s="27" t="n">
        <v>166</v>
      </c>
      <c r="FO23" s="27" t="n">
        <v>167</v>
      </c>
      <c r="FP23" s="27" t="n">
        <v>168</v>
      </c>
      <c r="FQ23" s="27" t="n">
        <v>169</v>
      </c>
      <c r="FR23" s="27" t="n">
        <v>170</v>
      </c>
      <c r="FS23" s="27" t="n">
        <v>171</v>
      </c>
      <c r="FT23" s="27" t="n">
        <v>172</v>
      </c>
      <c r="FU23" s="27" t="n">
        <v>173</v>
      </c>
      <c r="FV23" s="27" t="n">
        <v>174</v>
      </c>
      <c r="FW23" s="27" t="n">
        <v>175</v>
      </c>
      <c r="FX23" s="27" t="n">
        <v>176</v>
      </c>
      <c r="FY23" s="27" t="n">
        <v>177</v>
      </c>
      <c r="FZ23" s="27" t="n">
        <v>178</v>
      </c>
      <c r="GA23" s="27" t="n">
        <v>179</v>
      </c>
      <c r="GB23" s="27" t="n">
        <v>180</v>
      </c>
      <c r="GC23" s="27" t="n">
        <v>181</v>
      </c>
      <c r="GD23" s="27" t="n">
        <v>182</v>
      </c>
      <c r="GE23" s="27" t="n">
        <v>183</v>
      </c>
      <c r="GF23" s="27" t="n">
        <v>184</v>
      </c>
      <c r="GG23" s="27" t="n">
        <v>185</v>
      </c>
      <c r="GH23" s="27" t="n">
        <v>186</v>
      </c>
      <c r="GI23" s="27" t="n">
        <v>187</v>
      </c>
      <c r="GJ23" s="27" t="n">
        <v>188</v>
      </c>
      <c r="GK23" s="27" t="n">
        <v>189</v>
      </c>
      <c r="GL23" s="27" t="n">
        <v>190</v>
      </c>
      <c r="GM23" s="27" t="n">
        <v>191</v>
      </c>
      <c r="GN23" s="27" t="n">
        <v>192</v>
      </c>
      <c r="GO23" s="27" t="n">
        <v>193</v>
      </c>
      <c r="GP23" s="27" t="n">
        <v>194</v>
      </c>
      <c r="GQ23" s="27" t="n">
        <v>195</v>
      </c>
      <c r="GR23" s="27" t="n">
        <v>196</v>
      </c>
      <c r="GS23" s="27" t="n">
        <v>197</v>
      </c>
      <c r="GT23" s="27" t="n">
        <v>198</v>
      </c>
      <c r="GU23" s="27" t="n">
        <v>199</v>
      </c>
      <c r="GV23" s="27" t="n">
        <v>200</v>
      </c>
      <c r="GW23" s="27" t="n">
        <v>201</v>
      </c>
      <c r="GX23" s="27" t="n">
        <v>202</v>
      </c>
      <c r="GY23" s="27" t="n">
        <v>203</v>
      </c>
      <c r="GZ23" s="27" t="n">
        <v>204</v>
      </c>
      <c r="HA23" s="27" t="n">
        <v>205</v>
      </c>
      <c r="HB23" s="27" t="n">
        <v>206</v>
      </c>
      <c r="HC23" s="27" t="n">
        <v>207</v>
      </c>
      <c r="HD23" s="27" t="n">
        <v>208</v>
      </c>
      <c r="HE23" s="27" t="n">
        <v>209</v>
      </c>
      <c r="HF23" s="27" t="n">
        <v>210</v>
      </c>
      <c r="HG23" s="27" t="n">
        <v>211</v>
      </c>
      <c r="HH23" s="27" t="n">
        <v>212</v>
      </c>
      <c r="HI23" s="27" t="n">
        <v>213</v>
      </c>
      <c r="HJ23" s="27" t="n">
        <v>214</v>
      </c>
      <c r="HK23" s="27" t="n">
        <v>215</v>
      </c>
      <c r="HL23" s="27" t="n">
        <v>216</v>
      </c>
      <c r="HM23" s="27" t="n">
        <v>217</v>
      </c>
      <c r="HN23" s="27" t="n">
        <v>218</v>
      </c>
      <c r="HO23" s="27" t="n">
        <v>219</v>
      </c>
      <c r="HP23" s="27" t="n">
        <v>220</v>
      </c>
      <c r="HQ23" s="27" t="n">
        <v>221</v>
      </c>
      <c r="HR23" s="27" t="n">
        <v>222</v>
      </c>
      <c r="HS23" s="27" t="n">
        <v>223</v>
      </c>
      <c r="HT23" s="27" t="n">
        <v>224</v>
      </c>
      <c r="HU23" s="27" t="n">
        <v>225</v>
      </c>
      <c r="HV23" s="27" t="n">
        <v>226</v>
      </c>
      <c r="HW23" s="27" t="n">
        <v>227</v>
      </c>
      <c r="HX23" s="27" t="n">
        <v>228</v>
      </c>
      <c r="HY23" s="27" t="n">
        <v>229</v>
      </c>
      <c r="HZ23" s="27" t="n">
        <v>230</v>
      </c>
      <c r="IA23" s="27" t="n">
        <v>231</v>
      </c>
      <c r="IB23" s="27" t="n">
        <v>232</v>
      </c>
      <c r="IC23" s="27" t="n">
        <v>233</v>
      </c>
      <c r="ID23" s="27" t="n">
        <v>234</v>
      </c>
      <c r="IE23" s="27" t="n">
        <v>235</v>
      </c>
      <c r="IF23" s="27" t="n">
        <v>236</v>
      </c>
      <c r="IG23" s="27" t="n">
        <v>237</v>
      </c>
      <c r="IH23" s="27" t="n">
        <v>238</v>
      </c>
      <c r="II23" s="27" t="n">
        <v>239</v>
      </c>
      <c r="IJ23" s="27" t="n">
        <v>240</v>
      </c>
      <c r="IK23" s="27" t="n">
        <v>241</v>
      </c>
      <c r="IL23" s="27" t="n">
        <v>242</v>
      </c>
      <c r="IM23" s="27" t="n">
        <v>243</v>
      </c>
      <c r="IN23" s="27" t="n">
        <v>244</v>
      </c>
      <c r="IO23" s="27" t="n">
        <v>245</v>
      </c>
      <c r="IP23" s="27" t="n">
        <v>246</v>
      </c>
      <c r="IQ23" s="27" t="n">
        <v>247</v>
      </c>
      <c r="IR23" s="27" t="n">
        <v>248</v>
      </c>
      <c r="IS23" s="27" t="n">
        <v>249</v>
      </c>
      <c r="IT23" s="27" t="n">
        <v>250</v>
      </c>
      <c r="IU23" s="27" t="n">
        <v>251</v>
      </c>
      <c r="IV23" s="27" t="n">
        <v>252</v>
      </c>
      <c r="IW23" s="27" t="n">
        <v>253</v>
      </c>
      <c r="IX23" s="27" t="n">
        <v>254</v>
      </c>
      <c r="IY23" s="27" t="n">
        <v>255</v>
      </c>
      <c r="IZ23" s="27" t="n">
        <v>256</v>
      </c>
      <c r="JA23" s="27" t="n">
        <v>257</v>
      </c>
      <c r="JB23" s="27" t="n">
        <v>258</v>
      </c>
      <c r="JC23" s="27" t="n">
        <v>259</v>
      </c>
      <c r="JD23" s="27" t="n">
        <v>260</v>
      </c>
      <c r="JE23" s="27" t="n">
        <v>261</v>
      </c>
      <c r="JF23" s="27" t="n">
        <v>262</v>
      </c>
      <c r="JG23" s="27" t="n">
        <v>263</v>
      </c>
      <c r="JH23" s="27" t="n">
        <v>264</v>
      </c>
      <c r="JI23" s="27" t="n">
        <v>265</v>
      </c>
      <c r="JJ23" s="27" t="n">
        <v>266</v>
      </c>
      <c r="JK23" s="27" t="n">
        <v>267</v>
      </c>
      <c r="JL23" s="27" t="n">
        <v>268</v>
      </c>
      <c r="JM23" s="27" t="n">
        <v>269</v>
      </c>
      <c r="JN23" s="27" t="n">
        <v>270</v>
      </c>
      <c r="JO23" s="27" t="n">
        <v>271</v>
      </c>
      <c r="JP23" s="27" t="n">
        <v>272</v>
      </c>
      <c r="JQ23" s="27" t="n">
        <v>273</v>
      </c>
      <c r="JR23" s="27" t="n">
        <v>274</v>
      </c>
      <c r="JS23" s="27" t="n">
        <v>275</v>
      </c>
      <c r="JT23" s="27" t="n">
        <v>276</v>
      </c>
      <c r="JU23" s="27" t="n">
        <v>277</v>
      </c>
      <c r="JV23" s="27" t="n">
        <v>278</v>
      </c>
      <c r="JW23" s="27" t="n">
        <v>279</v>
      </c>
      <c r="JX23" s="27" t="n">
        <v>280</v>
      </c>
      <c r="JY23" s="27" t="n">
        <v>281</v>
      </c>
      <c r="JZ23" s="27" t="n">
        <v>282</v>
      </c>
      <c r="KA23" s="27" t="n">
        <v>283</v>
      </c>
      <c r="KB23" s="27" t="n">
        <v>284</v>
      </c>
      <c r="KC23" s="27" t="n">
        <v>285</v>
      </c>
      <c r="KD23" s="27" t="n">
        <v>286</v>
      </c>
      <c r="KE23" s="27" t="n">
        <v>287</v>
      </c>
      <c r="KF23" s="27" t="n">
        <v>288</v>
      </c>
      <c r="KG23" s="27" t="n">
        <v>289</v>
      </c>
      <c r="KH23" s="27" t="n">
        <v>290</v>
      </c>
      <c r="KI23" s="27" t="n">
        <v>291</v>
      </c>
      <c r="KJ23" s="27" t="n">
        <v>292</v>
      </c>
      <c r="KK23" s="27" t="n">
        <v>293</v>
      </c>
      <c r="KL23" s="27" t="n">
        <v>294</v>
      </c>
      <c r="KM23" s="27" t="n">
        <v>295</v>
      </c>
      <c r="KN23" s="27" t="n">
        <v>296</v>
      </c>
      <c r="KO23" s="27" t="n">
        <v>297</v>
      </c>
      <c r="KP23" s="27" t="n">
        <v>298</v>
      </c>
      <c r="KQ23" s="27" t="n">
        <v>299</v>
      </c>
      <c r="KR23" s="27" t="n">
        <v>300</v>
      </c>
      <c r="KS23" s="27" t="n">
        <v>301</v>
      </c>
      <c r="KT23" s="27" t="n">
        <v>302</v>
      </c>
      <c r="KU23" s="27" t="n">
        <v>303</v>
      </c>
      <c r="KV23" s="27" t="n">
        <v>304</v>
      </c>
      <c r="KW23" s="27" t="n">
        <v>305</v>
      </c>
      <c r="KX23" s="27" t="n">
        <v>306</v>
      </c>
      <c r="KY23" s="27" t="n">
        <v>307</v>
      </c>
      <c r="KZ23" s="27" t="n">
        <v>308</v>
      </c>
      <c r="LA23" s="27" t="n">
        <v>309</v>
      </c>
      <c r="LB23" s="27" t="n">
        <v>310</v>
      </c>
      <c r="LC23" s="27" t="n">
        <v>311</v>
      </c>
      <c r="LD23" s="27" t="n">
        <v>312</v>
      </c>
      <c r="LE23" s="27" t="n">
        <v>313</v>
      </c>
      <c r="LF23" s="27" t="n">
        <v>314</v>
      </c>
      <c r="LG23" s="27" t="n">
        <v>315</v>
      </c>
      <c r="LH23" s="27" t="n">
        <v>316</v>
      </c>
      <c r="LI23" s="27" t="n">
        <v>317</v>
      </c>
      <c r="LJ23" s="27" t="n">
        <v>318</v>
      </c>
      <c r="LK23" s="27" t="n">
        <v>319</v>
      </c>
      <c r="LL23" s="27" t="n">
        <v>320</v>
      </c>
      <c r="LM23" s="27" t="n">
        <v>321</v>
      </c>
      <c r="LN23" s="27" t="n">
        <v>322</v>
      </c>
      <c r="LO23" s="27" t="n">
        <v>323</v>
      </c>
      <c r="LP23" s="27" t="n">
        <v>324</v>
      </c>
      <c r="LQ23" s="27" t="n">
        <v>325</v>
      </c>
      <c r="LR23" s="27" t="n">
        <v>326</v>
      </c>
      <c r="LS23" s="27" t="n">
        <v>327</v>
      </c>
      <c r="LT23" s="27" t="n">
        <v>328</v>
      </c>
      <c r="LU23" s="27" t="n">
        <v>329</v>
      </c>
      <c r="LV23" s="27" t="n">
        <v>330</v>
      </c>
      <c r="LW23" s="27" t="n">
        <v>331</v>
      </c>
      <c r="LX23" s="27" t="n">
        <v>332</v>
      </c>
      <c r="LY23" s="27" t="n">
        <v>333</v>
      </c>
      <c r="LZ23" s="27" t="n">
        <v>334</v>
      </c>
      <c r="MA23" s="27" t="n">
        <v>335</v>
      </c>
      <c r="MB23" s="27" t="n">
        <v>336</v>
      </c>
      <c r="MC23" s="27" t="n">
        <v>337</v>
      </c>
      <c r="MD23" s="27" t="n">
        <v>338</v>
      </c>
      <c r="ME23" s="27" t="n">
        <v>339</v>
      </c>
      <c r="MF23" s="27" t="n">
        <v>340</v>
      </c>
      <c r="MG23" s="27" t="n">
        <v>341</v>
      </c>
      <c r="MH23" s="27" t="n">
        <v>342</v>
      </c>
      <c r="MI23" s="27" t="n">
        <v>343</v>
      </c>
      <c r="MJ23" s="27" t="n">
        <v>344</v>
      </c>
      <c r="MK23" s="27" t="n">
        <v>345</v>
      </c>
      <c r="ML23" s="27" t="n">
        <v>346</v>
      </c>
      <c r="MM23" s="27" t="n">
        <v>347</v>
      </c>
      <c r="MN23" s="27" t="n">
        <v>348</v>
      </c>
      <c r="MO23" s="27" t="n">
        <v>349</v>
      </c>
      <c r="MP23" s="27" t="n">
        <v>350</v>
      </c>
      <c r="MQ23" s="27" t="n">
        <v>351</v>
      </c>
      <c r="MR23" s="27" t="n">
        <v>352</v>
      </c>
      <c r="MS23" s="27" t="n">
        <v>353</v>
      </c>
      <c r="MT23" s="27" t="n">
        <v>354</v>
      </c>
      <c r="MU23" s="27" t="n">
        <v>355</v>
      </c>
      <c r="MV23" s="27" t="n">
        <v>356</v>
      </c>
      <c r="MW23" s="27" t="n">
        <v>357</v>
      </c>
      <c r="MX23" s="27" t="n">
        <v>358</v>
      </c>
      <c r="MY23" s="27" t="n">
        <v>359</v>
      </c>
      <c r="MZ23" s="27" t="n">
        <v>360</v>
      </c>
      <c r="NA23" s="27" t="n">
        <v>361</v>
      </c>
      <c r="NB23" s="27" t="n">
        <v>362</v>
      </c>
      <c r="NC23" s="27" t="n">
        <v>363</v>
      </c>
      <c r="ND23" s="27" t="n">
        <v>364</v>
      </c>
      <c r="NE23" s="27" t="n">
        <v>365</v>
      </c>
      <c r="NF23" s="27" t="n">
        <v>366</v>
      </c>
      <c r="NG23" s="27" t="n">
        <v>367</v>
      </c>
      <c r="NH23" s="27" t="n">
        <v>368</v>
      </c>
      <c r="NI23" s="27" t="n">
        <v>369</v>
      </c>
      <c r="NJ23" s="27" t="n">
        <v>370</v>
      </c>
      <c r="NK23" s="27" t="n">
        <v>371</v>
      </c>
      <c r="NL23" s="27" t="n">
        <v>372</v>
      </c>
    </row>
    <row r="24">
      <c r="B24" s="123" t="inlineStr">
        <is>
          <t>Month Start</t>
        </is>
      </c>
      <c r="D24" s="53" t="n"/>
      <c r="E24" s="128">
        <f>EDATE(InceptionDate,0)</f>
        <v/>
      </c>
      <c r="F24" s="128">
        <f>EDATE(InceptionDate,1)</f>
        <v/>
      </c>
      <c r="G24" s="128">
        <f>EDATE(InceptionDate,2)</f>
        <v/>
      </c>
      <c r="H24" s="128">
        <f>EDATE(InceptionDate,3)</f>
        <v/>
      </c>
      <c r="I24" s="128">
        <f>EDATE(InceptionDate,4)</f>
        <v/>
      </c>
      <c r="J24" s="128">
        <f>EDATE(InceptionDate,5)</f>
        <v/>
      </c>
      <c r="K24" s="128">
        <f>EDATE(InceptionDate,6)</f>
        <v/>
      </c>
      <c r="L24" s="128">
        <f>EDATE(InceptionDate,7)</f>
        <v/>
      </c>
      <c r="M24" s="128">
        <f>EDATE(InceptionDate,8)</f>
        <v/>
      </c>
      <c r="N24" s="128">
        <f>EDATE(InceptionDate,9)</f>
        <v/>
      </c>
      <c r="O24" s="128">
        <f>EDATE(InceptionDate,10)</f>
        <v/>
      </c>
      <c r="P24" s="128">
        <f>EDATE(InceptionDate,11)</f>
        <v/>
      </c>
      <c r="Q24" s="128">
        <f>EDATE(InceptionDate,12)</f>
        <v/>
      </c>
      <c r="R24" s="128">
        <f>EDATE(InceptionDate,13)</f>
        <v/>
      </c>
      <c r="S24" s="128">
        <f>EDATE(InceptionDate,14)</f>
        <v/>
      </c>
      <c r="T24" s="128">
        <f>EDATE(InceptionDate,15)</f>
        <v/>
      </c>
      <c r="U24" s="128">
        <f>EDATE(InceptionDate,16)</f>
        <v/>
      </c>
      <c r="V24" s="128">
        <f>EDATE(InceptionDate,17)</f>
        <v/>
      </c>
      <c r="W24" s="128">
        <f>EDATE(InceptionDate,18)</f>
        <v/>
      </c>
      <c r="X24" s="128">
        <f>EDATE(InceptionDate,19)</f>
        <v/>
      </c>
      <c r="Y24" s="128">
        <f>EDATE(InceptionDate,20)</f>
        <v/>
      </c>
      <c r="Z24" s="128">
        <f>EDATE(InceptionDate,21)</f>
        <v/>
      </c>
      <c r="AA24" s="128">
        <f>EDATE(InceptionDate,22)</f>
        <v/>
      </c>
      <c r="AB24" s="128">
        <f>EDATE(InceptionDate,23)</f>
        <v/>
      </c>
      <c r="AC24" s="128">
        <f>EDATE(InceptionDate,24)</f>
        <v/>
      </c>
      <c r="AD24" s="128">
        <f>EDATE(InceptionDate,25)</f>
        <v/>
      </c>
      <c r="AE24" s="128">
        <f>EDATE(InceptionDate,26)</f>
        <v/>
      </c>
      <c r="AF24" s="128">
        <f>EDATE(InceptionDate,27)</f>
        <v/>
      </c>
      <c r="AG24" s="128">
        <f>EDATE(InceptionDate,28)</f>
        <v/>
      </c>
      <c r="AH24" s="128">
        <f>EDATE(InceptionDate,29)</f>
        <v/>
      </c>
      <c r="AI24" s="128">
        <f>EDATE(InceptionDate,30)</f>
        <v/>
      </c>
      <c r="AJ24" s="128">
        <f>EDATE(InceptionDate,31)</f>
        <v/>
      </c>
      <c r="AK24" s="128">
        <f>EDATE(InceptionDate,32)</f>
        <v/>
      </c>
      <c r="AL24" s="128">
        <f>EDATE(InceptionDate,33)</f>
        <v/>
      </c>
      <c r="AM24" s="128">
        <f>EDATE(InceptionDate,34)</f>
        <v/>
      </c>
      <c r="AN24" s="128">
        <f>EDATE(InceptionDate,35)</f>
        <v/>
      </c>
      <c r="AO24" s="128">
        <f>EDATE(InceptionDate,36)</f>
        <v/>
      </c>
      <c r="AP24" s="128">
        <f>EDATE(InceptionDate,37)</f>
        <v/>
      </c>
      <c r="AQ24" s="128">
        <f>EDATE(InceptionDate,38)</f>
        <v/>
      </c>
      <c r="AR24" s="128">
        <f>EDATE(InceptionDate,39)</f>
        <v/>
      </c>
      <c r="AS24" s="128">
        <f>EDATE(InceptionDate,40)</f>
        <v/>
      </c>
      <c r="AT24" s="128">
        <f>EDATE(InceptionDate,41)</f>
        <v/>
      </c>
      <c r="AU24" s="128">
        <f>EDATE(InceptionDate,42)</f>
        <v/>
      </c>
      <c r="AV24" s="128">
        <f>EDATE(InceptionDate,43)</f>
        <v/>
      </c>
      <c r="AW24" s="128">
        <f>EDATE(InceptionDate,44)</f>
        <v/>
      </c>
      <c r="AX24" s="128">
        <f>EDATE(InceptionDate,45)</f>
        <v/>
      </c>
      <c r="AY24" s="128">
        <f>EDATE(InceptionDate,46)</f>
        <v/>
      </c>
      <c r="AZ24" s="128">
        <f>EDATE(InceptionDate,47)</f>
        <v/>
      </c>
      <c r="BA24" s="128">
        <f>EDATE(InceptionDate,48)</f>
        <v/>
      </c>
      <c r="BB24" s="128">
        <f>EDATE(InceptionDate,49)</f>
        <v/>
      </c>
      <c r="BC24" s="128">
        <f>EDATE(InceptionDate,50)</f>
        <v/>
      </c>
      <c r="BD24" s="128">
        <f>EDATE(InceptionDate,51)</f>
        <v/>
      </c>
      <c r="BE24" s="128">
        <f>EDATE(InceptionDate,52)</f>
        <v/>
      </c>
      <c r="BF24" s="128">
        <f>EDATE(InceptionDate,53)</f>
        <v/>
      </c>
      <c r="BG24" s="128">
        <f>EDATE(InceptionDate,54)</f>
        <v/>
      </c>
      <c r="BH24" s="128">
        <f>EDATE(InceptionDate,55)</f>
        <v/>
      </c>
      <c r="BI24" s="128">
        <f>EDATE(InceptionDate,56)</f>
        <v/>
      </c>
      <c r="BJ24" s="128">
        <f>EDATE(InceptionDate,57)</f>
        <v/>
      </c>
      <c r="BK24" s="128">
        <f>EDATE(InceptionDate,58)</f>
        <v/>
      </c>
      <c r="BL24" s="128">
        <f>EDATE(InceptionDate,59)</f>
        <v/>
      </c>
      <c r="BM24" s="128">
        <f>EDATE(InceptionDate,60)</f>
        <v/>
      </c>
      <c r="BN24" s="128">
        <f>EDATE(InceptionDate,61)</f>
        <v/>
      </c>
      <c r="BO24" s="128">
        <f>EDATE(InceptionDate,62)</f>
        <v/>
      </c>
      <c r="BP24" s="128">
        <f>EDATE(InceptionDate,63)</f>
        <v/>
      </c>
      <c r="BQ24" s="128">
        <f>EDATE(InceptionDate,64)</f>
        <v/>
      </c>
      <c r="BR24" s="128">
        <f>EDATE(InceptionDate,65)</f>
        <v/>
      </c>
      <c r="BS24" s="128">
        <f>EDATE(InceptionDate,66)</f>
        <v/>
      </c>
      <c r="BT24" s="128">
        <f>EDATE(InceptionDate,67)</f>
        <v/>
      </c>
      <c r="BU24" s="128">
        <f>EDATE(InceptionDate,68)</f>
        <v/>
      </c>
      <c r="BV24" s="128">
        <f>EDATE(InceptionDate,69)</f>
        <v/>
      </c>
      <c r="BW24" s="128">
        <f>EDATE(InceptionDate,70)</f>
        <v/>
      </c>
      <c r="BX24" s="128">
        <f>EDATE(InceptionDate,71)</f>
        <v/>
      </c>
      <c r="BY24" s="128">
        <f>EDATE(InceptionDate,72)</f>
        <v/>
      </c>
      <c r="BZ24" s="128">
        <f>EDATE(InceptionDate,73)</f>
        <v/>
      </c>
      <c r="CA24" s="128">
        <f>EDATE(InceptionDate,74)</f>
        <v/>
      </c>
      <c r="CB24" s="128">
        <f>EDATE(InceptionDate,75)</f>
        <v/>
      </c>
      <c r="CC24" s="128">
        <f>EDATE(InceptionDate,76)</f>
        <v/>
      </c>
      <c r="CD24" s="128">
        <f>EDATE(InceptionDate,77)</f>
        <v/>
      </c>
      <c r="CE24" s="128">
        <f>EDATE(InceptionDate,78)</f>
        <v/>
      </c>
      <c r="CF24" s="128">
        <f>EDATE(InceptionDate,79)</f>
        <v/>
      </c>
      <c r="CG24" s="128">
        <f>EDATE(InceptionDate,80)</f>
        <v/>
      </c>
      <c r="CH24" s="128">
        <f>EDATE(InceptionDate,81)</f>
        <v/>
      </c>
      <c r="CI24" s="128">
        <f>EDATE(InceptionDate,82)</f>
        <v/>
      </c>
      <c r="CJ24" s="128">
        <f>EDATE(InceptionDate,83)</f>
        <v/>
      </c>
      <c r="CK24" s="128">
        <f>EDATE(InceptionDate,84)</f>
        <v/>
      </c>
      <c r="CL24" s="128">
        <f>EDATE(InceptionDate,85)</f>
        <v/>
      </c>
      <c r="CM24" s="128">
        <f>EDATE(InceptionDate,86)</f>
        <v/>
      </c>
      <c r="CN24" s="128">
        <f>EDATE(InceptionDate,87)</f>
        <v/>
      </c>
      <c r="CO24" s="128">
        <f>EDATE(InceptionDate,88)</f>
        <v/>
      </c>
      <c r="CP24" s="128">
        <f>EDATE(InceptionDate,89)</f>
        <v/>
      </c>
      <c r="CQ24" s="128">
        <f>EDATE(InceptionDate,90)</f>
        <v/>
      </c>
      <c r="CR24" s="128">
        <f>EDATE(InceptionDate,91)</f>
        <v/>
      </c>
      <c r="CS24" s="128">
        <f>EDATE(InceptionDate,92)</f>
        <v/>
      </c>
      <c r="CT24" s="128">
        <f>EDATE(InceptionDate,93)</f>
        <v/>
      </c>
      <c r="CU24" s="128">
        <f>EDATE(InceptionDate,94)</f>
        <v/>
      </c>
      <c r="CV24" s="128">
        <f>EDATE(InceptionDate,95)</f>
        <v/>
      </c>
      <c r="CW24" s="128">
        <f>EDATE(InceptionDate,96)</f>
        <v/>
      </c>
      <c r="CX24" s="128">
        <f>EDATE(InceptionDate,97)</f>
        <v/>
      </c>
      <c r="CY24" s="128">
        <f>EDATE(InceptionDate,98)</f>
        <v/>
      </c>
      <c r="CZ24" s="128">
        <f>EDATE(InceptionDate,99)</f>
        <v/>
      </c>
      <c r="DA24" s="128">
        <f>EDATE(InceptionDate,100)</f>
        <v/>
      </c>
      <c r="DB24" s="128">
        <f>EDATE(InceptionDate,101)</f>
        <v/>
      </c>
      <c r="DC24" s="128">
        <f>EDATE(InceptionDate,102)</f>
        <v/>
      </c>
      <c r="DD24" s="128">
        <f>EDATE(InceptionDate,103)</f>
        <v/>
      </c>
      <c r="DE24" s="128">
        <f>EDATE(InceptionDate,104)</f>
        <v/>
      </c>
      <c r="DF24" s="128">
        <f>EDATE(InceptionDate,105)</f>
        <v/>
      </c>
      <c r="DG24" s="128">
        <f>EDATE(InceptionDate,106)</f>
        <v/>
      </c>
      <c r="DH24" s="128">
        <f>EDATE(InceptionDate,107)</f>
        <v/>
      </c>
      <c r="DI24" s="128">
        <f>EDATE(InceptionDate,108)</f>
        <v/>
      </c>
      <c r="DJ24" s="128">
        <f>EDATE(InceptionDate,109)</f>
        <v/>
      </c>
      <c r="DK24" s="128">
        <f>EDATE(InceptionDate,110)</f>
        <v/>
      </c>
      <c r="DL24" s="128">
        <f>EDATE(InceptionDate,111)</f>
        <v/>
      </c>
      <c r="DM24" s="128">
        <f>EDATE(InceptionDate,112)</f>
        <v/>
      </c>
      <c r="DN24" s="128">
        <f>EDATE(InceptionDate,113)</f>
        <v/>
      </c>
      <c r="DO24" s="128">
        <f>EDATE(InceptionDate,114)</f>
        <v/>
      </c>
      <c r="DP24" s="128">
        <f>EDATE(InceptionDate,115)</f>
        <v/>
      </c>
      <c r="DQ24" s="128">
        <f>EDATE(InceptionDate,116)</f>
        <v/>
      </c>
      <c r="DR24" s="128">
        <f>EDATE(InceptionDate,117)</f>
        <v/>
      </c>
      <c r="DS24" s="128">
        <f>EDATE(InceptionDate,118)</f>
        <v/>
      </c>
      <c r="DT24" s="128">
        <f>EDATE(InceptionDate,119)</f>
        <v/>
      </c>
      <c r="DU24" s="128">
        <f>EDATE(InceptionDate,120)</f>
        <v/>
      </c>
      <c r="DV24" s="128">
        <f>EDATE(InceptionDate,121)</f>
        <v/>
      </c>
      <c r="DW24" s="128">
        <f>EDATE(InceptionDate,122)</f>
        <v/>
      </c>
      <c r="DX24" s="128">
        <f>EDATE(InceptionDate,123)</f>
        <v/>
      </c>
      <c r="DY24" s="128">
        <f>EDATE(InceptionDate,124)</f>
        <v/>
      </c>
      <c r="DZ24" s="128">
        <f>EDATE(InceptionDate,125)</f>
        <v/>
      </c>
      <c r="EA24" s="128">
        <f>EDATE(InceptionDate,126)</f>
        <v/>
      </c>
      <c r="EB24" s="128">
        <f>EDATE(InceptionDate,127)</f>
        <v/>
      </c>
      <c r="EC24" s="128">
        <f>EDATE(InceptionDate,128)</f>
        <v/>
      </c>
      <c r="ED24" s="128">
        <f>EDATE(InceptionDate,129)</f>
        <v/>
      </c>
      <c r="EE24" s="128">
        <f>EDATE(InceptionDate,130)</f>
        <v/>
      </c>
      <c r="EF24" s="128">
        <f>EDATE(InceptionDate,131)</f>
        <v/>
      </c>
      <c r="EG24" s="128">
        <f>EDATE(InceptionDate,132)</f>
        <v/>
      </c>
      <c r="EH24" s="128">
        <f>EDATE(InceptionDate,133)</f>
        <v/>
      </c>
      <c r="EI24" s="128">
        <f>EDATE(InceptionDate,134)</f>
        <v/>
      </c>
      <c r="EJ24" s="128">
        <f>EDATE(InceptionDate,135)</f>
        <v/>
      </c>
      <c r="EK24" s="128">
        <f>EDATE(InceptionDate,136)</f>
        <v/>
      </c>
      <c r="EL24" s="128">
        <f>EDATE(InceptionDate,137)</f>
        <v/>
      </c>
      <c r="EM24" s="128">
        <f>EDATE(InceptionDate,138)</f>
        <v/>
      </c>
      <c r="EN24" s="128">
        <f>EDATE(InceptionDate,139)</f>
        <v/>
      </c>
      <c r="EO24" s="128">
        <f>EDATE(InceptionDate,140)</f>
        <v/>
      </c>
      <c r="EP24" s="128">
        <f>EDATE(InceptionDate,141)</f>
        <v/>
      </c>
      <c r="EQ24" s="128">
        <f>EDATE(InceptionDate,142)</f>
        <v/>
      </c>
      <c r="ER24" s="128">
        <f>EDATE(InceptionDate,143)</f>
        <v/>
      </c>
      <c r="ES24" s="128">
        <f>EDATE(InceptionDate,144)</f>
        <v/>
      </c>
      <c r="ET24" s="128">
        <f>EDATE(InceptionDate,145)</f>
        <v/>
      </c>
      <c r="EU24" s="128">
        <f>EDATE(InceptionDate,146)</f>
        <v/>
      </c>
      <c r="EV24" s="128">
        <f>EDATE(InceptionDate,147)</f>
        <v/>
      </c>
      <c r="EW24" s="128">
        <f>EDATE(InceptionDate,148)</f>
        <v/>
      </c>
      <c r="EX24" s="128">
        <f>EDATE(InceptionDate,149)</f>
        <v/>
      </c>
      <c r="EY24" s="128">
        <f>EDATE(InceptionDate,150)</f>
        <v/>
      </c>
      <c r="EZ24" s="128">
        <f>EDATE(InceptionDate,151)</f>
        <v/>
      </c>
      <c r="FA24" s="128">
        <f>EDATE(InceptionDate,152)</f>
        <v/>
      </c>
      <c r="FB24" s="128">
        <f>EDATE(InceptionDate,153)</f>
        <v/>
      </c>
      <c r="FC24" s="128">
        <f>EDATE(InceptionDate,154)</f>
        <v/>
      </c>
      <c r="FD24" s="128">
        <f>EDATE(InceptionDate,155)</f>
        <v/>
      </c>
      <c r="FE24" s="128">
        <f>EDATE(InceptionDate,156)</f>
        <v/>
      </c>
      <c r="FF24" s="128">
        <f>EDATE(InceptionDate,157)</f>
        <v/>
      </c>
      <c r="FG24" s="128">
        <f>EDATE(InceptionDate,158)</f>
        <v/>
      </c>
      <c r="FH24" s="128">
        <f>EDATE(InceptionDate,159)</f>
        <v/>
      </c>
      <c r="FI24" s="128">
        <f>EDATE(InceptionDate,160)</f>
        <v/>
      </c>
      <c r="FJ24" s="128">
        <f>EDATE(InceptionDate,161)</f>
        <v/>
      </c>
      <c r="FK24" s="128">
        <f>EDATE(InceptionDate,162)</f>
        <v/>
      </c>
      <c r="FL24" s="128">
        <f>EDATE(InceptionDate,163)</f>
        <v/>
      </c>
      <c r="FM24" s="128">
        <f>EDATE(InceptionDate,164)</f>
        <v/>
      </c>
      <c r="FN24" s="128">
        <f>EDATE(InceptionDate,165)</f>
        <v/>
      </c>
      <c r="FO24" s="128">
        <f>EDATE(InceptionDate,166)</f>
        <v/>
      </c>
      <c r="FP24" s="128">
        <f>EDATE(InceptionDate,167)</f>
        <v/>
      </c>
      <c r="FQ24" s="128">
        <f>EDATE(InceptionDate,168)</f>
        <v/>
      </c>
      <c r="FR24" s="128">
        <f>EDATE(InceptionDate,169)</f>
        <v/>
      </c>
      <c r="FS24" s="128">
        <f>EDATE(InceptionDate,170)</f>
        <v/>
      </c>
      <c r="FT24" s="128">
        <f>EDATE(InceptionDate,171)</f>
        <v/>
      </c>
      <c r="FU24" s="128">
        <f>EDATE(InceptionDate,172)</f>
        <v/>
      </c>
      <c r="FV24" s="128">
        <f>EDATE(InceptionDate,173)</f>
        <v/>
      </c>
      <c r="FW24" s="128">
        <f>EDATE(InceptionDate,174)</f>
        <v/>
      </c>
      <c r="FX24" s="128">
        <f>EDATE(InceptionDate,175)</f>
        <v/>
      </c>
      <c r="FY24" s="128">
        <f>EDATE(InceptionDate,176)</f>
        <v/>
      </c>
      <c r="FZ24" s="128">
        <f>EDATE(InceptionDate,177)</f>
        <v/>
      </c>
      <c r="GA24" s="128">
        <f>EDATE(InceptionDate,178)</f>
        <v/>
      </c>
      <c r="GB24" s="128">
        <f>EDATE(InceptionDate,179)</f>
        <v/>
      </c>
      <c r="GC24" s="128">
        <f>EDATE(InceptionDate,180)</f>
        <v/>
      </c>
      <c r="GD24" s="128">
        <f>EDATE(InceptionDate,181)</f>
        <v/>
      </c>
      <c r="GE24" s="128">
        <f>EDATE(InceptionDate,182)</f>
        <v/>
      </c>
      <c r="GF24" s="128">
        <f>EDATE(InceptionDate,183)</f>
        <v/>
      </c>
      <c r="GG24" s="128">
        <f>EDATE(InceptionDate,184)</f>
        <v/>
      </c>
      <c r="GH24" s="128">
        <f>EDATE(InceptionDate,185)</f>
        <v/>
      </c>
      <c r="GI24" s="128">
        <f>EDATE(InceptionDate,186)</f>
        <v/>
      </c>
      <c r="GJ24" s="128">
        <f>EDATE(InceptionDate,187)</f>
        <v/>
      </c>
      <c r="GK24" s="128">
        <f>EDATE(InceptionDate,188)</f>
        <v/>
      </c>
      <c r="GL24" s="128">
        <f>EDATE(InceptionDate,189)</f>
        <v/>
      </c>
      <c r="GM24" s="128">
        <f>EDATE(InceptionDate,190)</f>
        <v/>
      </c>
      <c r="GN24" s="128">
        <f>EDATE(InceptionDate,191)</f>
        <v/>
      </c>
      <c r="GO24" s="128">
        <f>EDATE(InceptionDate,192)</f>
        <v/>
      </c>
      <c r="GP24" s="128">
        <f>EDATE(InceptionDate,193)</f>
        <v/>
      </c>
      <c r="GQ24" s="128">
        <f>EDATE(InceptionDate,194)</f>
        <v/>
      </c>
      <c r="GR24" s="128">
        <f>EDATE(InceptionDate,195)</f>
        <v/>
      </c>
      <c r="GS24" s="128">
        <f>EDATE(InceptionDate,196)</f>
        <v/>
      </c>
      <c r="GT24" s="128">
        <f>EDATE(InceptionDate,197)</f>
        <v/>
      </c>
      <c r="GU24" s="128">
        <f>EDATE(InceptionDate,198)</f>
        <v/>
      </c>
      <c r="GV24" s="128">
        <f>EDATE(InceptionDate,199)</f>
        <v/>
      </c>
      <c r="GW24" s="128">
        <f>EDATE(InceptionDate,200)</f>
        <v/>
      </c>
      <c r="GX24" s="128">
        <f>EDATE(InceptionDate,201)</f>
        <v/>
      </c>
      <c r="GY24" s="128">
        <f>EDATE(InceptionDate,202)</f>
        <v/>
      </c>
      <c r="GZ24" s="128">
        <f>EDATE(InceptionDate,203)</f>
        <v/>
      </c>
      <c r="HA24" s="128">
        <f>EDATE(InceptionDate,204)</f>
        <v/>
      </c>
      <c r="HB24" s="128">
        <f>EDATE(InceptionDate,205)</f>
        <v/>
      </c>
      <c r="HC24" s="128">
        <f>EDATE(InceptionDate,206)</f>
        <v/>
      </c>
      <c r="HD24" s="128">
        <f>EDATE(InceptionDate,207)</f>
        <v/>
      </c>
      <c r="HE24" s="128">
        <f>EDATE(InceptionDate,208)</f>
        <v/>
      </c>
      <c r="HF24" s="128">
        <f>EDATE(InceptionDate,209)</f>
        <v/>
      </c>
      <c r="HG24" s="128">
        <f>EDATE(InceptionDate,210)</f>
        <v/>
      </c>
      <c r="HH24" s="128">
        <f>EDATE(InceptionDate,211)</f>
        <v/>
      </c>
      <c r="HI24" s="128">
        <f>EDATE(InceptionDate,212)</f>
        <v/>
      </c>
      <c r="HJ24" s="128">
        <f>EDATE(InceptionDate,213)</f>
        <v/>
      </c>
      <c r="HK24" s="128">
        <f>EDATE(InceptionDate,214)</f>
        <v/>
      </c>
      <c r="HL24" s="128">
        <f>EDATE(InceptionDate,215)</f>
        <v/>
      </c>
      <c r="HM24" s="128">
        <f>EDATE(InceptionDate,216)</f>
        <v/>
      </c>
      <c r="HN24" s="128">
        <f>EDATE(InceptionDate,217)</f>
        <v/>
      </c>
      <c r="HO24" s="128">
        <f>EDATE(InceptionDate,218)</f>
        <v/>
      </c>
      <c r="HP24" s="128">
        <f>EDATE(InceptionDate,219)</f>
        <v/>
      </c>
      <c r="HQ24" s="128">
        <f>EDATE(InceptionDate,220)</f>
        <v/>
      </c>
      <c r="HR24" s="128">
        <f>EDATE(InceptionDate,221)</f>
        <v/>
      </c>
      <c r="HS24" s="128">
        <f>EDATE(InceptionDate,222)</f>
        <v/>
      </c>
      <c r="HT24" s="128">
        <f>EDATE(InceptionDate,223)</f>
        <v/>
      </c>
      <c r="HU24" s="128">
        <f>EDATE(InceptionDate,224)</f>
        <v/>
      </c>
      <c r="HV24" s="128">
        <f>EDATE(InceptionDate,225)</f>
        <v/>
      </c>
      <c r="HW24" s="128">
        <f>EDATE(InceptionDate,226)</f>
        <v/>
      </c>
      <c r="HX24" s="128">
        <f>EDATE(InceptionDate,227)</f>
        <v/>
      </c>
      <c r="HY24" s="128">
        <f>EDATE(InceptionDate,228)</f>
        <v/>
      </c>
      <c r="HZ24" s="128">
        <f>EDATE(InceptionDate,229)</f>
        <v/>
      </c>
      <c r="IA24" s="128">
        <f>EDATE(InceptionDate,230)</f>
        <v/>
      </c>
      <c r="IB24" s="128">
        <f>EDATE(InceptionDate,231)</f>
        <v/>
      </c>
      <c r="IC24" s="128">
        <f>EDATE(InceptionDate,232)</f>
        <v/>
      </c>
      <c r="ID24" s="128">
        <f>EDATE(InceptionDate,233)</f>
        <v/>
      </c>
      <c r="IE24" s="128">
        <f>EDATE(InceptionDate,234)</f>
        <v/>
      </c>
      <c r="IF24" s="128">
        <f>EDATE(InceptionDate,235)</f>
        <v/>
      </c>
      <c r="IG24" s="128">
        <f>EDATE(InceptionDate,236)</f>
        <v/>
      </c>
      <c r="IH24" s="128">
        <f>EDATE(InceptionDate,237)</f>
        <v/>
      </c>
      <c r="II24" s="128">
        <f>EDATE(InceptionDate,238)</f>
        <v/>
      </c>
      <c r="IJ24" s="128">
        <f>EDATE(InceptionDate,239)</f>
        <v/>
      </c>
      <c r="IK24" s="128">
        <f>EDATE(InceptionDate,240)</f>
        <v/>
      </c>
      <c r="IL24" s="128">
        <f>EDATE(InceptionDate,241)</f>
        <v/>
      </c>
      <c r="IM24" s="128">
        <f>EDATE(InceptionDate,242)</f>
        <v/>
      </c>
      <c r="IN24" s="128">
        <f>EDATE(InceptionDate,243)</f>
        <v/>
      </c>
      <c r="IO24" s="128">
        <f>EDATE(InceptionDate,244)</f>
        <v/>
      </c>
      <c r="IP24" s="128">
        <f>EDATE(InceptionDate,245)</f>
        <v/>
      </c>
      <c r="IQ24" s="128">
        <f>EDATE(InceptionDate,246)</f>
        <v/>
      </c>
      <c r="IR24" s="128">
        <f>EDATE(InceptionDate,247)</f>
        <v/>
      </c>
      <c r="IS24" s="128">
        <f>EDATE(InceptionDate,248)</f>
        <v/>
      </c>
      <c r="IT24" s="128">
        <f>EDATE(InceptionDate,249)</f>
        <v/>
      </c>
      <c r="IU24" s="128">
        <f>EDATE(InceptionDate,250)</f>
        <v/>
      </c>
      <c r="IV24" s="128">
        <f>EDATE(InceptionDate,251)</f>
        <v/>
      </c>
      <c r="IW24" s="128">
        <f>EDATE(InceptionDate,252)</f>
        <v/>
      </c>
      <c r="IX24" s="128">
        <f>EDATE(InceptionDate,253)</f>
        <v/>
      </c>
      <c r="IY24" s="128">
        <f>EDATE(InceptionDate,254)</f>
        <v/>
      </c>
      <c r="IZ24" s="128">
        <f>EDATE(InceptionDate,255)</f>
        <v/>
      </c>
      <c r="JA24" s="128">
        <f>EDATE(InceptionDate,256)</f>
        <v/>
      </c>
      <c r="JB24" s="128">
        <f>EDATE(InceptionDate,257)</f>
        <v/>
      </c>
      <c r="JC24" s="128">
        <f>EDATE(InceptionDate,258)</f>
        <v/>
      </c>
      <c r="JD24" s="128">
        <f>EDATE(InceptionDate,259)</f>
        <v/>
      </c>
      <c r="JE24" s="128">
        <f>EDATE(InceptionDate,260)</f>
        <v/>
      </c>
      <c r="JF24" s="128">
        <f>EDATE(InceptionDate,261)</f>
        <v/>
      </c>
      <c r="JG24" s="128">
        <f>EDATE(InceptionDate,262)</f>
        <v/>
      </c>
      <c r="JH24" s="128">
        <f>EDATE(InceptionDate,263)</f>
        <v/>
      </c>
      <c r="JI24" s="128">
        <f>EDATE(InceptionDate,264)</f>
        <v/>
      </c>
      <c r="JJ24" s="128">
        <f>EDATE(InceptionDate,265)</f>
        <v/>
      </c>
      <c r="JK24" s="128">
        <f>EDATE(InceptionDate,266)</f>
        <v/>
      </c>
      <c r="JL24" s="128">
        <f>EDATE(InceptionDate,267)</f>
        <v/>
      </c>
      <c r="JM24" s="128">
        <f>EDATE(InceptionDate,268)</f>
        <v/>
      </c>
      <c r="JN24" s="128">
        <f>EDATE(InceptionDate,269)</f>
        <v/>
      </c>
      <c r="JO24" s="128">
        <f>EDATE(InceptionDate,270)</f>
        <v/>
      </c>
      <c r="JP24" s="128">
        <f>EDATE(InceptionDate,271)</f>
        <v/>
      </c>
      <c r="JQ24" s="128">
        <f>EDATE(InceptionDate,272)</f>
        <v/>
      </c>
      <c r="JR24" s="128">
        <f>EDATE(InceptionDate,273)</f>
        <v/>
      </c>
      <c r="JS24" s="128">
        <f>EDATE(InceptionDate,274)</f>
        <v/>
      </c>
      <c r="JT24" s="128">
        <f>EDATE(InceptionDate,275)</f>
        <v/>
      </c>
      <c r="JU24" s="128">
        <f>EDATE(InceptionDate,276)</f>
        <v/>
      </c>
      <c r="JV24" s="128">
        <f>EDATE(InceptionDate,277)</f>
        <v/>
      </c>
      <c r="JW24" s="128">
        <f>EDATE(InceptionDate,278)</f>
        <v/>
      </c>
      <c r="JX24" s="128">
        <f>EDATE(InceptionDate,279)</f>
        <v/>
      </c>
      <c r="JY24" s="128">
        <f>EDATE(InceptionDate,280)</f>
        <v/>
      </c>
      <c r="JZ24" s="128">
        <f>EDATE(InceptionDate,281)</f>
        <v/>
      </c>
      <c r="KA24" s="128">
        <f>EDATE(InceptionDate,282)</f>
        <v/>
      </c>
      <c r="KB24" s="128">
        <f>EDATE(InceptionDate,283)</f>
        <v/>
      </c>
      <c r="KC24" s="128">
        <f>EDATE(InceptionDate,284)</f>
        <v/>
      </c>
      <c r="KD24" s="128">
        <f>EDATE(InceptionDate,285)</f>
        <v/>
      </c>
      <c r="KE24" s="128">
        <f>EDATE(InceptionDate,286)</f>
        <v/>
      </c>
      <c r="KF24" s="128">
        <f>EDATE(InceptionDate,287)</f>
        <v/>
      </c>
      <c r="KG24" s="128">
        <f>EDATE(InceptionDate,288)</f>
        <v/>
      </c>
      <c r="KH24" s="128">
        <f>EDATE(InceptionDate,289)</f>
        <v/>
      </c>
      <c r="KI24" s="128">
        <f>EDATE(InceptionDate,290)</f>
        <v/>
      </c>
      <c r="KJ24" s="128">
        <f>EDATE(InceptionDate,291)</f>
        <v/>
      </c>
      <c r="KK24" s="128">
        <f>EDATE(InceptionDate,292)</f>
        <v/>
      </c>
      <c r="KL24" s="128">
        <f>EDATE(InceptionDate,293)</f>
        <v/>
      </c>
      <c r="KM24" s="128">
        <f>EDATE(InceptionDate,294)</f>
        <v/>
      </c>
      <c r="KN24" s="128">
        <f>EDATE(InceptionDate,295)</f>
        <v/>
      </c>
      <c r="KO24" s="128">
        <f>EDATE(InceptionDate,296)</f>
        <v/>
      </c>
      <c r="KP24" s="128">
        <f>EDATE(InceptionDate,297)</f>
        <v/>
      </c>
      <c r="KQ24" s="128">
        <f>EDATE(InceptionDate,298)</f>
        <v/>
      </c>
      <c r="KR24" s="128">
        <f>EDATE(InceptionDate,299)</f>
        <v/>
      </c>
      <c r="KS24" s="128">
        <f>EDATE(InceptionDate,300)</f>
        <v/>
      </c>
      <c r="KT24" s="128">
        <f>EDATE(InceptionDate,301)</f>
        <v/>
      </c>
      <c r="KU24" s="128">
        <f>EDATE(InceptionDate,302)</f>
        <v/>
      </c>
      <c r="KV24" s="128">
        <f>EDATE(InceptionDate,303)</f>
        <v/>
      </c>
      <c r="KW24" s="128">
        <f>EDATE(InceptionDate,304)</f>
        <v/>
      </c>
      <c r="KX24" s="128">
        <f>EDATE(InceptionDate,305)</f>
        <v/>
      </c>
      <c r="KY24" s="128">
        <f>EDATE(InceptionDate,306)</f>
        <v/>
      </c>
      <c r="KZ24" s="128">
        <f>EDATE(InceptionDate,307)</f>
        <v/>
      </c>
      <c r="LA24" s="128">
        <f>EDATE(InceptionDate,308)</f>
        <v/>
      </c>
      <c r="LB24" s="128">
        <f>EDATE(InceptionDate,309)</f>
        <v/>
      </c>
      <c r="LC24" s="128">
        <f>EDATE(InceptionDate,310)</f>
        <v/>
      </c>
      <c r="LD24" s="128">
        <f>EDATE(InceptionDate,311)</f>
        <v/>
      </c>
      <c r="LE24" s="128">
        <f>EDATE(InceptionDate,312)</f>
        <v/>
      </c>
      <c r="LF24" s="128">
        <f>EDATE(InceptionDate,313)</f>
        <v/>
      </c>
      <c r="LG24" s="128">
        <f>EDATE(InceptionDate,314)</f>
        <v/>
      </c>
      <c r="LH24" s="128">
        <f>EDATE(InceptionDate,315)</f>
        <v/>
      </c>
      <c r="LI24" s="128">
        <f>EDATE(InceptionDate,316)</f>
        <v/>
      </c>
      <c r="LJ24" s="128">
        <f>EDATE(InceptionDate,317)</f>
        <v/>
      </c>
      <c r="LK24" s="128">
        <f>EDATE(InceptionDate,318)</f>
        <v/>
      </c>
      <c r="LL24" s="128">
        <f>EDATE(InceptionDate,319)</f>
        <v/>
      </c>
      <c r="LM24" s="128">
        <f>EDATE(InceptionDate,320)</f>
        <v/>
      </c>
      <c r="LN24" s="128">
        <f>EDATE(InceptionDate,321)</f>
        <v/>
      </c>
      <c r="LO24" s="128">
        <f>EDATE(InceptionDate,322)</f>
        <v/>
      </c>
      <c r="LP24" s="128">
        <f>EDATE(InceptionDate,323)</f>
        <v/>
      </c>
      <c r="LQ24" s="128">
        <f>EDATE(InceptionDate,324)</f>
        <v/>
      </c>
      <c r="LR24" s="128">
        <f>EDATE(InceptionDate,325)</f>
        <v/>
      </c>
      <c r="LS24" s="128">
        <f>EDATE(InceptionDate,326)</f>
        <v/>
      </c>
      <c r="LT24" s="128">
        <f>EDATE(InceptionDate,327)</f>
        <v/>
      </c>
      <c r="LU24" s="128">
        <f>EDATE(InceptionDate,328)</f>
        <v/>
      </c>
      <c r="LV24" s="128">
        <f>EDATE(InceptionDate,329)</f>
        <v/>
      </c>
      <c r="LW24" s="128">
        <f>EDATE(InceptionDate,330)</f>
        <v/>
      </c>
      <c r="LX24" s="128">
        <f>EDATE(InceptionDate,331)</f>
        <v/>
      </c>
      <c r="LY24" s="128">
        <f>EDATE(InceptionDate,332)</f>
        <v/>
      </c>
      <c r="LZ24" s="128">
        <f>EDATE(InceptionDate,333)</f>
        <v/>
      </c>
      <c r="MA24" s="128">
        <f>EDATE(InceptionDate,334)</f>
        <v/>
      </c>
      <c r="MB24" s="128">
        <f>EDATE(InceptionDate,335)</f>
        <v/>
      </c>
      <c r="MC24" s="128">
        <f>EDATE(InceptionDate,336)</f>
        <v/>
      </c>
      <c r="MD24" s="128">
        <f>EDATE(InceptionDate,337)</f>
        <v/>
      </c>
      <c r="ME24" s="128">
        <f>EDATE(InceptionDate,338)</f>
        <v/>
      </c>
      <c r="MF24" s="128">
        <f>EDATE(InceptionDate,339)</f>
        <v/>
      </c>
      <c r="MG24" s="128">
        <f>EDATE(InceptionDate,340)</f>
        <v/>
      </c>
      <c r="MH24" s="128">
        <f>EDATE(InceptionDate,341)</f>
        <v/>
      </c>
      <c r="MI24" s="128">
        <f>EDATE(InceptionDate,342)</f>
        <v/>
      </c>
      <c r="MJ24" s="128">
        <f>EDATE(InceptionDate,343)</f>
        <v/>
      </c>
      <c r="MK24" s="128">
        <f>EDATE(InceptionDate,344)</f>
        <v/>
      </c>
      <c r="ML24" s="128">
        <f>EDATE(InceptionDate,345)</f>
        <v/>
      </c>
      <c r="MM24" s="128">
        <f>EDATE(InceptionDate,346)</f>
        <v/>
      </c>
      <c r="MN24" s="128">
        <f>EDATE(InceptionDate,347)</f>
        <v/>
      </c>
      <c r="MO24" s="128">
        <f>EDATE(InceptionDate,348)</f>
        <v/>
      </c>
      <c r="MP24" s="128">
        <f>EDATE(InceptionDate,349)</f>
        <v/>
      </c>
      <c r="MQ24" s="128">
        <f>EDATE(InceptionDate,350)</f>
        <v/>
      </c>
      <c r="MR24" s="128">
        <f>EDATE(InceptionDate,351)</f>
        <v/>
      </c>
      <c r="MS24" s="128">
        <f>EDATE(InceptionDate,352)</f>
        <v/>
      </c>
      <c r="MT24" s="128">
        <f>EDATE(InceptionDate,353)</f>
        <v/>
      </c>
      <c r="MU24" s="128">
        <f>EDATE(InceptionDate,354)</f>
        <v/>
      </c>
      <c r="MV24" s="128">
        <f>EDATE(InceptionDate,355)</f>
        <v/>
      </c>
      <c r="MW24" s="128">
        <f>EDATE(InceptionDate,356)</f>
        <v/>
      </c>
      <c r="MX24" s="128">
        <f>EDATE(InceptionDate,357)</f>
        <v/>
      </c>
      <c r="MY24" s="128">
        <f>EDATE(InceptionDate,358)</f>
        <v/>
      </c>
      <c r="MZ24" s="128">
        <f>EDATE(InceptionDate,359)</f>
        <v/>
      </c>
      <c r="NA24" s="128">
        <f>EDATE(InceptionDate,360)</f>
        <v/>
      </c>
      <c r="NB24" s="128">
        <f>EDATE(InceptionDate,361)</f>
        <v/>
      </c>
      <c r="NC24" s="128">
        <f>EDATE(InceptionDate,362)</f>
        <v/>
      </c>
      <c r="ND24" s="128">
        <f>EDATE(InceptionDate,363)</f>
        <v/>
      </c>
      <c r="NE24" s="128">
        <f>EDATE(InceptionDate,364)</f>
        <v/>
      </c>
      <c r="NF24" s="128">
        <f>EDATE(InceptionDate,365)</f>
        <v/>
      </c>
      <c r="NG24" s="128">
        <f>EDATE(InceptionDate,366)</f>
        <v/>
      </c>
      <c r="NH24" s="128">
        <f>EDATE(InceptionDate,367)</f>
        <v/>
      </c>
      <c r="NI24" s="128">
        <f>EDATE(InceptionDate,368)</f>
        <v/>
      </c>
      <c r="NJ24" s="128">
        <f>EDATE(InceptionDate,369)</f>
        <v/>
      </c>
      <c r="NK24" s="128">
        <f>EDATE(InceptionDate,370)</f>
        <v/>
      </c>
      <c r="NL24" s="128">
        <f>EDATE(InceptionDate,371)</f>
        <v/>
      </c>
    </row>
    <row r="25">
      <c r="B25" s="36" t="inlineStr">
        <is>
          <t>Days in Month</t>
        </is>
      </c>
      <c r="D25" s="124" t="n"/>
      <c r="E25" s="85">
        <f>DAY(EOMONTH(EDATE(InceptionDate,1-1),0))</f>
        <v/>
      </c>
      <c r="F25" s="85">
        <f>DAY(EOMONTH(EDATE(InceptionDate,2-1),0))</f>
        <v/>
      </c>
      <c r="G25" s="85">
        <f>DAY(EOMONTH(EDATE(InceptionDate,3-1),0))</f>
        <v/>
      </c>
      <c r="H25" s="85">
        <f>DAY(EOMONTH(EDATE(InceptionDate,4-1),0))</f>
        <v/>
      </c>
      <c r="I25" s="85">
        <f>DAY(EOMONTH(EDATE(InceptionDate,5-1),0))</f>
        <v/>
      </c>
      <c r="J25" s="85">
        <f>DAY(EOMONTH(EDATE(InceptionDate,6-1),0))</f>
        <v/>
      </c>
      <c r="K25" s="85">
        <f>DAY(EOMONTH(EDATE(InceptionDate,7-1),0))</f>
        <v/>
      </c>
      <c r="L25" s="85">
        <f>DAY(EOMONTH(EDATE(InceptionDate,8-1),0))</f>
        <v/>
      </c>
      <c r="M25" s="85">
        <f>DAY(EOMONTH(EDATE(InceptionDate,9-1),0))</f>
        <v/>
      </c>
      <c r="N25" s="85">
        <f>DAY(EOMONTH(EDATE(InceptionDate,10-1),0))</f>
        <v/>
      </c>
      <c r="O25" s="85">
        <f>DAY(EOMONTH(EDATE(InceptionDate,11-1),0))</f>
        <v/>
      </c>
      <c r="P25" s="85">
        <f>DAY(EOMONTH(EDATE(InceptionDate,12-1),0))</f>
        <v/>
      </c>
      <c r="Q25" s="85">
        <f>DAY(EOMONTH(EDATE(InceptionDate,13-1),0))</f>
        <v/>
      </c>
      <c r="R25" s="85">
        <f>DAY(EOMONTH(EDATE(InceptionDate,14-1),0))</f>
        <v/>
      </c>
      <c r="S25" s="85">
        <f>DAY(EOMONTH(EDATE(InceptionDate,15-1),0))</f>
        <v/>
      </c>
      <c r="T25" s="85">
        <f>DAY(EOMONTH(EDATE(InceptionDate,16-1),0))</f>
        <v/>
      </c>
      <c r="U25" s="85">
        <f>DAY(EOMONTH(EDATE(InceptionDate,17-1),0))</f>
        <v/>
      </c>
      <c r="V25" s="85">
        <f>DAY(EOMONTH(EDATE(InceptionDate,18-1),0))</f>
        <v/>
      </c>
      <c r="W25" s="85">
        <f>DAY(EOMONTH(EDATE(InceptionDate,19-1),0))</f>
        <v/>
      </c>
      <c r="X25" s="85">
        <f>DAY(EOMONTH(EDATE(InceptionDate,20-1),0))</f>
        <v/>
      </c>
      <c r="Y25" s="85">
        <f>DAY(EOMONTH(EDATE(InceptionDate,21-1),0))</f>
        <v/>
      </c>
      <c r="Z25" s="85">
        <f>DAY(EOMONTH(EDATE(InceptionDate,22-1),0))</f>
        <v/>
      </c>
      <c r="AA25" s="85">
        <f>DAY(EOMONTH(EDATE(InceptionDate,23-1),0))</f>
        <v/>
      </c>
      <c r="AB25" s="85">
        <f>DAY(EOMONTH(EDATE(InceptionDate,24-1),0))</f>
        <v/>
      </c>
      <c r="AC25" s="85">
        <f>DAY(EOMONTH(EDATE(InceptionDate,25-1),0))</f>
        <v/>
      </c>
      <c r="AD25" s="85">
        <f>DAY(EOMONTH(EDATE(InceptionDate,26-1),0))</f>
        <v/>
      </c>
      <c r="AE25" s="85">
        <f>DAY(EOMONTH(EDATE(InceptionDate,27-1),0))</f>
        <v/>
      </c>
      <c r="AF25" s="85">
        <f>DAY(EOMONTH(EDATE(InceptionDate,28-1),0))</f>
        <v/>
      </c>
      <c r="AG25" s="85">
        <f>DAY(EOMONTH(EDATE(InceptionDate,29-1),0))</f>
        <v/>
      </c>
      <c r="AH25" s="85">
        <f>DAY(EOMONTH(EDATE(InceptionDate,30-1),0))</f>
        <v/>
      </c>
      <c r="AI25" s="85">
        <f>DAY(EOMONTH(EDATE(InceptionDate,31-1),0))</f>
        <v/>
      </c>
      <c r="AJ25" s="85">
        <f>DAY(EOMONTH(EDATE(InceptionDate,32-1),0))</f>
        <v/>
      </c>
      <c r="AK25" s="85">
        <f>DAY(EOMONTH(EDATE(InceptionDate,33-1),0))</f>
        <v/>
      </c>
      <c r="AL25" s="85">
        <f>DAY(EOMONTH(EDATE(InceptionDate,34-1),0))</f>
        <v/>
      </c>
      <c r="AM25" s="85">
        <f>DAY(EOMONTH(EDATE(InceptionDate,35-1),0))</f>
        <v/>
      </c>
      <c r="AN25" s="85">
        <f>DAY(EOMONTH(EDATE(InceptionDate,36-1),0))</f>
        <v/>
      </c>
      <c r="AO25" s="85">
        <f>DAY(EOMONTH(EDATE(InceptionDate,37-1),0))</f>
        <v/>
      </c>
      <c r="AP25" s="85">
        <f>DAY(EOMONTH(EDATE(InceptionDate,38-1),0))</f>
        <v/>
      </c>
      <c r="AQ25" s="85">
        <f>DAY(EOMONTH(EDATE(InceptionDate,39-1),0))</f>
        <v/>
      </c>
      <c r="AR25" s="85">
        <f>DAY(EOMONTH(EDATE(InceptionDate,40-1),0))</f>
        <v/>
      </c>
      <c r="AS25" s="85">
        <f>DAY(EOMONTH(EDATE(InceptionDate,41-1),0))</f>
        <v/>
      </c>
      <c r="AT25" s="85">
        <f>DAY(EOMONTH(EDATE(InceptionDate,42-1),0))</f>
        <v/>
      </c>
      <c r="AU25" s="85">
        <f>DAY(EOMONTH(EDATE(InceptionDate,43-1),0))</f>
        <v/>
      </c>
      <c r="AV25" s="85">
        <f>DAY(EOMONTH(EDATE(InceptionDate,44-1),0))</f>
        <v/>
      </c>
      <c r="AW25" s="85">
        <f>DAY(EOMONTH(EDATE(InceptionDate,45-1),0))</f>
        <v/>
      </c>
      <c r="AX25" s="85">
        <f>DAY(EOMONTH(EDATE(InceptionDate,46-1),0))</f>
        <v/>
      </c>
      <c r="AY25" s="85">
        <f>DAY(EOMONTH(EDATE(InceptionDate,47-1),0))</f>
        <v/>
      </c>
      <c r="AZ25" s="85">
        <f>DAY(EOMONTH(EDATE(InceptionDate,48-1),0))</f>
        <v/>
      </c>
      <c r="BA25" s="85">
        <f>DAY(EOMONTH(EDATE(InceptionDate,49-1),0))</f>
        <v/>
      </c>
      <c r="BB25" s="85">
        <f>DAY(EOMONTH(EDATE(InceptionDate,50-1),0))</f>
        <v/>
      </c>
      <c r="BC25" s="85">
        <f>DAY(EOMONTH(EDATE(InceptionDate,51-1),0))</f>
        <v/>
      </c>
      <c r="BD25" s="85">
        <f>DAY(EOMONTH(EDATE(InceptionDate,52-1),0))</f>
        <v/>
      </c>
      <c r="BE25" s="85">
        <f>DAY(EOMONTH(EDATE(InceptionDate,53-1),0))</f>
        <v/>
      </c>
      <c r="BF25" s="85">
        <f>DAY(EOMONTH(EDATE(InceptionDate,54-1),0))</f>
        <v/>
      </c>
      <c r="BG25" s="85">
        <f>DAY(EOMONTH(EDATE(InceptionDate,55-1),0))</f>
        <v/>
      </c>
      <c r="BH25" s="85">
        <f>DAY(EOMONTH(EDATE(InceptionDate,56-1),0))</f>
        <v/>
      </c>
      <c r="BI25" s="85">
        <f>DAY(EOMONTH(EDATE(InceptionDate,57-1),0))</f>
        <v/>
      </c>
      <c r="BJ25" s="85">
        <f>DAY(EOMONTH(EDATE(InceptionDate,58-1),0))</f>
        <v/>
      </c>
      <c r="BK25" s="85">
        <f>DAY(EOMONTH(EDATE(InceptionDate,59-1),0))</f>
        <v/>
      </c>
      <c r="BL25" s="85">
        <f>DAY(EOMONTH(EDATE(InceptionDate,60-1),0))</f>
        <v/>
      </c>
      <c r="BM25" s="85">
        <f>DAY(EOMONTH(EDATE(InceptionDate,61-1),0))</f>
        <v/>
      </c>
      <c r="BN25" s="85">
        <f>DAY(EOMONTH(EDATE(InceptionDate,62-1),0))</f>
        <v/>
      </c>
      <c r="BO25" s="85">
        <f>DAY(EOMONTH(EDATE(InceptionDate,63-1),0))</f>
        <v/>
      </c>
      <c r="BP25" s="85">
        <f>DAY(EOMONTH(EDATE(InceptionDate,64-1),0))</f>
        <v/>
      </c>
      <c r="BQ25" s="85">
        <f>DAY(EOMONTH(EDATE(InceptionDate,65-1),0))</f>
        <v/>
      </c>
      <c r="BR25" s="85">
        <f>DAY(EOMONTH(EDATE(InceptionDate,66-1),0))</f>
        <v/>
      </c>
      <c r="BS25" s="85">
        <f>DAY(EOMONTH(EDATE(InceptionDate,67-1),0))</f>
        <v/>
      </c>
      <c r="BT25" s="85">
        <f>DAY(EOMONTH(EDATE(InceptionDate,68-1),0))</f>
        <v/>
      </c>
      <c r="BU25" s="85">
        <f>DAY(EOMONTH(EDATE(InceptionDate,69-1),0))</f>
        <v/>
      </c>
      <c r="BV25" s="85">
        <f>DAY(EOMONTH(EDATE(InceptionDate,70-1),0))</f>
        <v/>
      </c>
      <c r="BW25" s="85">
        <f>DAY(EOMONTH(EDATE(InceptionDate,71-1),0))</f>
        <v/>
      </c>
      <c r="BX25" s="85">
        <f>DAY(EOMONTH(EDATE(InceptionDate,72-1),0))</f>
        <v/>
      </c>
      <c r="BY25" s="85">
        <f>DAY(EOMONTH(EDATE(InceptionDate,73-1),0))</f>
        <v/>
      </c>
      <c r="BZ25" s="85">
        <f>DAY(EOMONTH(EDATE(InceptionDate,74-1),0))</f>
        <v/>
      </c>
      <c r="CA25" s="85">
        <f>DAY(EOMONTH(EDATE(InceptionDate,75-1),0))</f>
        <v/>
      </c>
      <c r="CB25" s="85">
        <f>DAY(EOMONTH(EDATE(InceptionDate,76-1),0))</f>
        <v/>
      </c>
      <c r="CC25" s="85">
        <f>DAY(EOMONTH(EDATE(InceptionDate,77-1),0))</f>
        <v/>
      </c>
      <c r="CD25" s="85">
        <f>DAY(EOMONTH(EDATE(InceptionDate,78-1),0))</f>
        <v/>
      </c>
      <c r="CE25" s="85">
        <f>DAY(EOMONTH(EDATE(InceptionDate,79-1),0))</f>
        <v/>
      </c>
      <c r="CF25" s="85">
        <f>DAY(EOMONTH(EDATE(InceptionDate,80-1),0))</f>
        <v/>
      </c>
      <c r="CG25" s="85">
        <f>DAY(EOMONTH(EDATE(InceptionDate,81-1),0))</f>
        <v/>
      </c>
      <c r="CH25" s="85">
        <f>DAY(EOMONTH(EDATE(InceptionDate,82-1),0))</f>
        <v/>
      </c>
      <c r="CI25" s="85">
        <f>DAY(EOMONTH(EDATE(InceptionDate,83-1),0))</f>
        <v/>
      </c>
      <c r="CJ25" s="85">
        <f>DAY(EOMONTH(EDATE(InceptionDate,84-1),0))</f>
        <v/>
      </c>
      <c r="CK25" s="85">
        <f>DAY(EOMONTH(EDATE(InceptionDate,85-1),0))</f>
        <v/>
      </c>
      <c r="CL25" s="85">
        <f>DAY(EOMONTH(EDATE(InceptionDate,86-1),0))</f>
        <v/>
      </c>
      <c r="CM25" s="85">
        <f>DAY(EOMONTH(EDATE(InceptionDate,87-1),0))</f>
        <v/>
      </c>
      <c r="CN25" s="85">
        <f>DAY(EOMONTH(EDATE(InceptionDate,88-1),0))</f>
        <v/>
      </c>
      <c r="CO25" s="85">
        <f>DAY(EOMONTH(EDATE(InceptionDate,89-1),0))</f>
        <v/>
      </c>
      <c r="CP25" s="85">
        <f>DAY(EOMONTH(EDATE(InceptionDate,90-1),0))</f>
        <v/>
      </c>
      <c r="CQ25" s="85">
        <f>DAY(EOMONTH(EDATE(InceptionDate,91-1),0))</f>
        <v/>
      </c>
      <c r="CR25" s="85">
        <f>DAY(EOMONTH(EDATE(InceptionDate,92-1),0))</f>
        <v/>
      </c>
      <c r="CS25" s="85">
        <f>DAY(EOMONTH(EDATE(InceptionDate,93-1),0))</f>
        <v/>
      </c>
      <c r="CT25" s="85">
        <f>DAY(EOMONTH(EDATE(InceptionDate,94-1),0))</f>
        <v/>
      </c>
      <c r="CU25" s="85">
        <f>DAY(EOMONTH(EDATE(InceptionDate,95-1),0))</f>
        <v/>
      </c>
      <c r="CV25" s="85">
        <f>DAY(EOMONTH(EDATE(InceptionDate,96-1),0))</f>
        <v/>
      </c>
      <c r="CW25" s="85">
        <f>DAY(EOMONTH(EDATE(InceptionDate,97-1),0))</f>
        <v/>
      </c>
      <c r="CX25" s="85">
        <f>DAY(EOMONTH(EDATE(InceptionDate,98-1),0))</f>
        <v/>
      </c>
      <c r="CY25" s="85">
        <f>DAY(EOMONTH(EDATE(InceptionDate,99-1),0))</f>
        <v/>
      </c>
      <c r="CZ25" s="85">
        <f>DAY(EOMONTH(EDATE(InceptionDate,100-1),0))</f>
        <v/>
      </c>
      <c r="DA25" s="85">
        <f>DAY(EOMONTH(EDATE(InceptionDate,101-1),0))</f>
        <v/>
      </c>
      <c r="DB25" s="85">
        <f>DAY(EOMONTH(EDATE(InceptionDate,102-1),0))</f>
        <v/>
      </c>
      <c r="DC25" s="85">
        <f>DAY(EOMONTH(EDATE(InceptionDate,103-1),0))</f>
        <v/>
      </c>
      <c r="DD25" s="85">
        <f>DAY(EOMONTH(EDATE(InceptionDate,104-1),0))</f>
        <v/>
      </c>
      <c r="DE25" s="85">
        <f>DAY(EOMONTH(EDATE(InceptionDate,105-1),0))</f>
        <v/>
      </c>
      <c r="DF25" s="85">
        <f>DAY(EOMONTH(EDATE(InceptionDate,106-1),0))</f>
        <v/>
      </c>
      <c r="DG25" s="85">
        <f>DAY(EOMONTH(EDATE(InceptionDate,107-1),0))</f>
        <v/>
      </c>
      <c r="DH25" s="85">
        <f>DAY(EOMONTH(EDATE(InceptionDate,108-1),0))</f>
        <v/>
      </c>
      <c r="DI25" s="85">
        <f>DAY(EOMONTH(EDATE(InceptionDate,109-1),0))</f>
        <v/>
      </c>
      <c r="DJ25" s="85">
        <f>DAY(EOMONTH(EDATE(InceptionDate,110-1),0))</f>
        <v/>
      </c>
      <c r="DK25" s="85">
        <f>DAY(EOMONTH(EDATE(InceptionDate,111-1),0))</f>
        <v/>
      </c>
      <c r="DL25" s="85">
        <f>DAY(EOMONTH(EDATE(InceptionDate,112-1),0))</f>
        <v/>
      </c>
      <c r="DM25" s="85">
        <f>DAY(EOMONTH(EDATE(InceptionDate,113-1),0))</f>
        <v/>
      </c>
      <c r="DN25" s="85">
        <f>DAY(EOMONTH(EDATE(InceptionDate,114-1),0))</f>
        <v/>
      </c>
      <c r="DO25" s="85">
        <f>DAY(EOMONTH(EDATE(InceptionDate,115-1),0))</f>
        <v/>
      </c>
      <c r="DP25" s="85">
        <f>DAY(EOMONTH(EDATE(InceptionDate,116-1),0))</f>
        <v/>
      </c>
      <c r="DQ25" s="85">
        <f>DAY(EOMONTH(EDATE(InceptionDate,117-1),0))</f>
        <v/>
      </c>
      <c r="DR25" s="85">
        <f>DAY(EOMONTH(EDATE(InceptionDate,118-1),0))</f>
        <v/>
      </c>
      <c r="DS25" s="85">
        <f>DAY(EOMONTH(EDATE(InceptionDate,119-1),0))</f>
        <v/>
      </c>
      <c r="DT25" s="85">
        <f>DAY(EOMONTH(EDATE(InceptionDate,120-1),0))</f>
        <v/>
      </c>
      <c r="DU25" s="85">
        <f>DAY(EOMONTH(EDATE(InceptionDate,121-1),0))</f>
        <v/>
      </c>
      <c r="DV25" s="85">
        <f>DAY(EOMONTH(EDATE(InceptionDate,122-1),0))</f>
        <v/>
      </c>
      <c r="DW25" s="85">
        <f>DAY(EOMONTH(EDATE(InceptionDate,123-1),0))</f>
        <v/>
      </c>
      <c r="DX25" s="85">
        <f>DAY(EOMONTH(EDATE(InceptionDate,124-1),0))</f>
        <v/>
      </c>
      <c r="DY25" s="85">
        <f>DAY(EOMONTH(EDATE(InceptionDate,125-1),0))</f>
        <v/>
      </c>
      <c r="DZ25" s="85">
        <f>DAY(EOMONTH(EDATE(InceptionDate,126-1),0))</f>
        <v/>
      </c>
      <c r="EA25" s="85">
        <f>DAY(EOMONTH(EDATE(InceptionDate,127-1),0))</f>
        <v/>
      </c>
      <c r="EB25" s="85">
        <f>DAY(EOMONTH(EDATE(InceptionDate,128-1),0))</f>
        <v/>
      </c>
      <c r="EC25" s="85">
        <f>DAY(EOMONTH(EDATE(InceptionDate,129-1),0))</f>
        <v/>
      </c>
      <c r="ED25" s="85">
        <f>DAY(EOMONTH(EDATE(InceptionDate,130-1),0))</f>
        <v/>
      </c>
      <c r="EE25" s="85">
        <f>DAY(EOMONTH(EDATE(InceptionDate,131-1),0))</f>
        <v/>
      </c>
      <c r="EF25" s="85">
        <f>DAY(EOMONTH(EDATE(InceptionDate,132-1),0))</f>
        <v/>
      </c>
      <c r="EG25" s="85">
        <f>DAY(EOMONTH(EDATE(InceptionDate,133-1),0))</f>
        <v/>
      </c>
      <c r="EH25" s="85">
        <f>DAY(EOMONTH(EDATE(InceptionDate,134-1),0))</f>
        <v/>
      </c>
      <c r="EI25" s="85">
        <f>DAY(EOMONTH(EDATE(InceptionDate,135-1),0))</f>
        <v/>
      </c>
      <c r="EJ25" s="85">
        <f>DAY(EOMONTH(EDATE(InceptionDate,136-1),0))</f>
        <v/>
      </c>
      <c r="EK25" s="85">
        <f>DAY(EOMONTH(EDATE(InceptionDate,137-1),0))</f>
        <v/>
      </c>
      <c r="EL25" s="85">
        <f>DAY(EOMONTH(EDATE(InceptionDate,138-1),0))</f>
        <v/>
      </c>
      <c r="EM25" s="85">
        <f>DAY(EOMONTH(EDATE(InceptionDate,139-1),0))</f>
        <v/>
      </c>
      <c r="EN25" s="85">
        <f>DAY(EOMONTH(EDATE(InceptionDate,140-1),0))</f>
        <v/>
      </c>
      <c r="EO25" s="85">
        <f>DAY(EOMONTH(EDATE(InceptionDate,141-1),0))</f>
        <v/>
      </c>
      <c r="EP25" s="85">
        <f>DAY(EOMONTH(EDATE(InceptionDate,142-1),0))</f>
        <v/>
      </c>
      <c r="EQ25" s="85">
        <f>DAY(EOMONTH(EDATE(InceptionDate,143-1),0))</f>
        <v/>
      </c>
      <c r="ER25" s="85">
        <f>DAY(EOMONTH(EDATE(InceptionDate,144-1),0))</f>
        <v/>
      </c>
      <c r="ES25" s="85">
        <f>DAY(EOMONTH(EDATE(InceptionDate,145-1),0))</f>
        <v/>
      </c>
      <c r="ET25" s="85">
        <f>DAY(EOMONTH(EDATE(InceptionDate,146-1),0))</f>
        <v/>
      </c>
      <c r="EU25" s="85">
        <f>DAY(EOMONTH(EDATE(InceptionDate,147-1),0))</f>
        <v/>
      </c>
      <c r="EV25" s="85">
        <f>DAY(EOMONTH(EDATE(InceptionDate,148-1),0))</f>
        <v/>
      </c>
      <c r="EW25" s="85">
        <f>DAY(EOMONTH(EDATE(InceptionDate,149-1),0))</f>
        <v/>
      </c>
      <c r="EX25" s="85">
        <f>DAY(EOMONTH(EDATE(InceptionDate,150-1),0))</f>
        <v/>
      </c>
      <c r="EY25" s="85">
        <f>DAY(EOMONTH(EDATE(InceptionDate,151-1),0))</f>
        <v/>
      </c>
      <c r="EZ25" s="85">
        <f>DAY(EOMONTH(EDATE(InceptionDate,152-1),0))</f>
        <v/>
      </c>
      <c r="FA25" s="85">
        <f>DAY(EOMONTH(EDATE(InceptionDate,153-1),0))</f>
        <v/>
      </c>
      <c r="FB25" s="85">
        <f>DAY(EOMONTH(EDATE(InceptionDate,154-1),0))</f>
        <v/>
      </c>
      <c r="FC25" s="85">
        <f>DAY(EOMONTH(EDATE(InceptionDate,155-1),0))</f>
        <v/>
      </c>
      <c r="FD25" s="85">
        <f>DAY(EOMONTH(EDATE(InceptionDate,156-1),0))</f>
        <v/>
      </c>
      <c r="FE25" s="85">
        <f>DAY(EOMONTH(EDATE(InceptionDate,157-1),0))</f>
        <v/>
      </c>
      <c r="FF25" s="85">
        <f>DAY(EOMONTH(EDATE(InceptionDate,158-1),0))</f>
        <v/>
      </c>
      <c r="FG25" s="85">
        <f>DAY(EOMONTH(EDATE(InceptionDate,159-1),0))</f>
        <v/>
      </c>
      <c r="FH25" s="85">
        <f>DAY(EOMONTH(EDATE(InceptionDate,160-1),0))</f>
        <v/>
      </c>
      <c r="FI25" s="85">
        <f>DAY(EOMONTH(EDATE(InceptionDate,161-1),0))</f>
        <v/>
      </c>
      <c r="FJ25" s="85">
        <f>DAY(EOMONTH(EDATE(InceptionDate,162-1),0))</f>
        <v/>
      </c>
      <c r="FK25" s="85">
        <f>DAY(EOMONTH(EDATE(InceptionDate,163-1),0))</f>
        <v/>
      </c>
      <c r="FL25" s="85">
        <f>DAY(EOMONTH(EDATE(InceptionDate,164-1),0))</f>
        <v/>
      </c>
      <c r="FM25" s="85">
        <f>DAY(EOMONTH(EDATE(InceptionDate,165-1),0))</f>
        <v/>
      </c>
      <c r="FN25" s="85">
        <f>DAY(EOMONTH(EDATE(InceptionDate,166-1),0))</f>
        <v/>
      </c>
      <c r="FO25" s="85">
        <f>DAY(EOMONTH(EDATE(InceptionDate,167-1),0))</f>
        <v/>
      </c>
      <c r="FP25" s="85">
        <f>DAY(EOMONTH(EDATE(InceptionDate,168-1),0))</f>
        <v/>
      </c>
      <c r="FQ25" s="85">
        <f>DAY(EOMONTH(EDATE(InceptionDate,169-1),0))</f>
        <v/>
      </c>
      <c r="FR25" s="85">
        <f>DAY(EOMONTH(EDATE(InceptionDate,170-1),0))</f>
        <v/>
      </c>
      <c r="FS25" s="85">
        <f>DAY(EOMONTH(EDATE(InceptionDate,171-1),0))</f>
        <v/>
      </c>
      <c r="FT25" s="85">
        <f>DAY(EOMONTH(EDATE(InceptionDate,172-1),0))</f>
        <v/>
      </c>
      <c r="FU25" s="85">
        <f>DAY(EOMONTH(EDATE(InceptionDate,173-1),0))</f>
        <v/>
      </c>
      <c r="FV25" s="85">
        <f>DAY(EOMONTH(EDATE(InceptionDate,174-1),0))</f>
        <v/>
      </c>
      <c r="FW25" s="85">
        <f>DAY(EOMONTH(EDATE(InceptionDate,175-1),0))</f>
        <v/>
      </c>
      <c r="FX25" s="85">
        <f>DAY(EOMONTH(EDATE(InceptionDate,176-1),0))</f>
        <v/>
      </c>
      <c r="FY25" s="85">
        <f>DAY(EOMONTH(EDATE(InceptionDate,177-1),0))</f>
        <v/>
      </c>
      <c r="FZ25" s="85">
        <f>DAY(EOMONTH(EDATE(InceptionDate,178-1),0))</f>
        <v/>
      </c>
      <c r="GA25" s="85">
        <f>DAY(EOMONTH(EDATE(InceptionDate,179-1),0))</f>
        <v/>
      </c>
      <c r="GB25" s="85">
        <f>DAY(EOMONTH(EDATE(InceptionDate,180-1),0))</f>
        <v/>
      </c>
      <c r="GC25" s="85">
        <f>DAY(EOMONTH(EDATE(InceptionDate,181-1),0))</f>
        <v/>
      </c>
      <c r="GD25" s="85">
        <f>DAY(EOMONTH(EDATE(InceptionDate,182-1),0))</f>
        <v/>
      </c>
      <c r="GE25" s="85">
        <f>DAY(EOMONTH(EDATE(InceptionDate,183-1),0))</f>
        <v/>
      </c>
      <c r="GF25" s="85">
        <f>DAY(EOMONTH(EDATE(InceptionDate,184-1),0))</f>
        <v/>
      </c>
      <c r="GG25" s="85">
        <f>DAY(EOMONTH(EDATE(InceptionDate,185-1),0))</f>
        <v/>
      </c>
      <c r="GH25" s="85">
        <f>DAY(EOMONTH(EDATE(InceptionDate,186-1),0))</f>
        <v/>
      </c>
      <c r="GI25" s="85">
        <f>DAY(EOMONTH(EDATE(InceptionDate,187-1),0))</f>
        <v/>
      </c>
      <c r="GJ25" s="85">
        <f>DAY(EOMONTH(EDATE(InceptionDate,188-1),0))</f>
        <v/>
      </c>
      <c r="GK25" s="85">
        <f>DAY(EOMONTH(EDATE(InceptionDate,189-1),0))</f>
        <v/>
      </c>
      <c r="GL25" s="85">
        <f>DAY(EOMONTH(EDATE(InceptionDate,190-1),0))</f>
        <v/>
      </c>
      <c r="GM25" s="85">
        <f>DAY(EOMONTH(EDATE(InceptionDate,191-1),0))</f>
        <v/>
      </c>
      <c r="GN25" s="85">
        <f>DAY(EOMONTH(EDATE(InceptionDate,192-1),0))</f>
        <v/>
      </c>
      <c r="GO25" s="85">
        <f>DAY(EOMONTH(EDATE(InceptionDate,193-1),0))</f>
        <v/>
      </c>
      <c r="GP25" s="85">
        <f>DAY(EOMONTH(EDATE(InceptionDate,194-1),0))</f>
        <v/>
      </c>
      <c r="GQ25" s="85">
        <f>DAY(EOMONTH(EDATE(InceptionDate,195-1),0))</f>
        <v/>
      </c>
      <c r="GR25" s="85">
        <f>DAY(EOMONTH(EDATE(InceptionDate,196-1),0))</f>
        <v/>
      </c>
      <c r="GS25" s="85">
        <f>DAY(EOMONTH(EDATE(InceptionDate,197-1),0))</f>
        <v/>
      </c>
      <c r="GT25" s="85">
        <f>DAY(EOMONTH(EDATE(InceptionDate,198-1),0))</f>
        <v/>
      </c>
      <c r="GU25" s="85">
        <f>DAY(EOMONTH(EDATE(InceptionDate,199-1),0))</f>
        <v/>
      </c>
      <c r="GV25" s="85">
        <f>DAY(EOMONTH(EDATE(InceptionDate,200-1),0))</f>
        <v/>
      </c>
      <c r="GW25" s="85">
        <f>DAY(EOMONTH(EDATE(InceptionDate,201-1),0))</f>
        <v/>
      </c>
      <c r="GX25" s="85">
        <f>DAY(EOMONTH(EDATE(InceptionDate,202-1),0))</f>
        <v/>
      </c>
      <c r="GY25" s="85">
        <f>DAY(EOMONTH(EDATE(InceptionDate,203-1),0))</f>
        <v/>
      </c>
      <c r="GZ25" s="85">
        <f>DAY(EOMONTH(EDATE(InceptionDate,204-1),0))</f>
        <v/>
      </c>
      <c r="HA25" s="85">
        <f>DAY(EOMONTH(EDATE(InceptionDate,205-1),0))</f>
        <v/>
      </c>
      <c r="HB25" s="85">
        <f>DAY(EOMONTH(EDATE(InceptionDate,206-1),0))</f>
        <v/>
      </c>
      <c r="HC25" s="85">
        <f>DAY(EOMONTH(EDATE(InceptionDate,207-1),0))</f>
        <v/>
      </c>
      <c r="HD25" s="85">
        <f>DAY(EOMONTH(EDATE(InceptionDate,208-1),0))</f>
        <v/>
      </c>
      <c r="HE25" s="85">
        <f>DAY(EOMONTH(EDATE(InceptionDate,209-1),0))</f>
        <v/>
      </c>
      <c r="HF25" s="85">
        <f>DAY(EOMONTH(EDATE(InceptionDate,210-1),0))</f>
        <v/>
      </c>
      <c r="HG25" s="85">
        <f>DAY(EOMONTH(EDATE(InceptionDate,211-1),0))</f>
        <v/>
      </c>
      <c r="HH25" s="85">
        <f>DAY(EOMONTH(EDATE(InceptionDate,212-1),0))</f>
        <v/>
      </c>
      <c r="HI25" s="85">
        <f>DAY(EOMONTH(EDATE(InceptionDate,213-1),0))</f>
        <v/>
      </c>
      <c r="HJ25" s="85">
        <f>DAY(EOMONTH(EDATE(InceptionDate,214-1),0))</f>
        <v/>
      </c>
      <c r="HK25" s="85">
        <f>DAY(EOMONTH(EDATE(InceptionDate,215-1),0))</f>
        <v/>
      </c>
      <c r="HL25" s="85">
        <f>DAY(EOMONTH(EDATE(InceptionDate,216-1),0))</f>
        <v/>
      </c>
      <c r="HM25" s="85">
        <f>DAY(EOMONTH(EDATE(InceptionDate,217-1),0))</f>
        <v/>
      </c>
      <c r="HN25" s="85">
        <f>DAY(EOMONTH(EDATE(InceptionDate,218-1),0))</f>
        <v/>
      </c>
      <c r="HO25" s="85">
        <f>DAY(EOMONTH(EDATE(InceptionDate,219-1),0))</f>
        <v/>
      </c>
      <c r="HP25" s="85">
        <f>DAY(EOMONTH(EDATE(InceptionDate,220-1),0))</f>
        <v/>
      </c>
      <c r="HQ25" s="85">
        <f>DAY(EOMONTH(EDATE(InceptionDate,221-1),0))</f>
        <v/>
      </c>
      <c r="HR25" s="85">
        <f>DAY(EOMONTH(EDATE(InceptionDate,222-1),0))</f>
        <v/>
      </c>
      <c r="HS25" s="85">
        <f>DAY(EOMONTH(EDATE(InceptionDate,223-1),0))</f>
        <v/>
      </c>
      <c r="HT25" s="85">
        <f>DAY(EOMONTH(EDATE(InceptionDate,224-1),0))</f>
        <v/>
      </c>
      <c r="HU25" s="85">
        <f>DAY(EOMONTH(EDATE(InceptionDate,225-1),0))</f>
        <v/>
      </c>
      <c r="HV25" s="85">
        <f>DAY(EOMONTH(EDATE(InceptionDate,226-1),0))</f>
        <v/>
      </c>
      <c r="HW25" s="85">
        <f>DAY(EOMONTH(EDATE(InceptionDate,227-1),0))</f>
        <v/>
      </c>
      <c r="HX25" s="85">
        <f>DAY(EOMONTH(EDATE(InceptionDate,228-1),0))</f>
        <v/>
      </c>
      <c r="HY25" s="85">
        <f>DAY(EOMONTH(EDATE(InceptionDate,229-1),0))</f>
        <v/>
      </c>
      <c r="HZ25" s="85">
        <f>DAY(EOMONTH(EDATE(InceptionDate,230-1),0))</f>
        <v/>
      </c>
      <c r="IA25" s="85">
        <f>DAY(EOMONTH(EDATE(InceptionDate,231-1),0))</f>
        <v/>
      </c>
      <c r="IB25" s="85">
        <f>DAY(EOMONTH(EDATE(InceptionDate,232-1),0))</f>
        <v/>
      </c>
      <c r="IC25" s="85">
        <f>DAY(EOMONTH(EDATE(InceptionDate,233-1),0))</f>
        <v/>
      </c>
      <c r="ID25" s="85">
        <f>DAY(EOMONTH(EDATE(InceptionDate,234-1),0))</f>
        <v/>
      </c>
      <c r="IE25" s="85">
        <f>DAY(EOMONTH(EDATE(InceptionDate,235-1),0))</f>
        <v/>
      </c>
      <c r="IF25" s="85">
        <f>DAY(EOMONTH(EDATE(InceptionDate,236-1),0))</f>
        <v/>
      </c>
      <c r="IG25" s="85">
        <f>DAY(EOMONTH(EDATE(InceptionDate,237-1),0))</f>
        <v/>
      </c>
      <c r="IH25" s="85">
        <f>DAY(EOMONTH(EDATE(InceptionDate,238-1),0))</f>
        <v/>
      </c>
      <c r="II25" s="85">
        <f>DAY(EOMONTH(EDATE(InceptionDate,239-1),0))</f>
        <v/>
      </c>
      <c r="IJ25" s="85">
        <f>DAY(EOMONTH(EDATE(InceptionDate,240-1),0))</f>
        <v/>
      </c>
      <c r="IK25" s="85">
        <f>DAY(EOMONTH(EDATE(InceptionDate,241-1),0))</f>
        <v/>
      </c>
      <c r="IL25" s="85">
        <f>DAY(EOMONTH(EDATE(InceptionDate,242-1),0))</f>
        <v/>
      </c>
      <c r="IM25" s="85">
        <f>DAY(EOMONTH(EDATE(InceptionDate,243-1),0))</f>
        <v/>
      </c>
      <c r="IN25" s="85">
        <f>DAY(EOMONTH(EDATE(InceptionDate,244-1),0))</f>
        <v/>
      </c>
      <c r="IO25" s="85">
        <f>DAY(EOMONTH(EDATE(InceptionDate,245-1),0))</f>
        <v/>
      </c>
      <c r="IP25" s="85">
        <f>DAY(EOMONTH(EDATE(InceptionDate,246-1),0))</f>
        <v/>
      </c>
      <c r="IQ25" s="85">
        <f>DAY(EOMONTH(EDATE(InceptionDate,247-1),0))</f>
        <v/>
      </c>
      <c r="IR25" s="85">
        <f>DAY(EOMONTH(EDATE(InceptionDate,248-1),0))</f>
        <v/>
      </c>
      <c r="IS25" s="85">
        <f>DAY(EOMONTH(EDATE(InceptionDate,249-1),0))</f>
        <v/>
      </c>
      <c r="IT25" s="85">
        <f>DAY(EOMONTH(EDATE(InceptionDate,250-1),0))</f>
        <v/>
      </c>
      <c r="IU25" s="85">
        <f>DAY(EOMONTH(EDATE(InceptionDate,251-1),0))</f>
        <v/>
      </c>
      <c r="IV25" s="85">
        <f>DAY(EOMONTH(EDATE(InceptionDate,252-1),0))</f>
        <v/>
      </c>
      <c r="IW25" s="85">
        <f>DAY(EOMONTH(EDATE(InceptionDate,253-1),0))</f>
        <v/>
      </c>
      <c r="IX25" s="85">
        <f>DAY(EOMONTH(EDATE(InceptionDate,254-1),0))</f>
        <v/>
      </c>
      <c r="IY25" s="85">
        <f>DAY(EOMONTH(EDATE(InceptionDate,255-1),0))</f>
        <v/>
      </c>
      <c r="IZ25" s="85">
        <f>DAY(EOMONTH(EDATE(InceptionDate,256-1),0))</f>
        <v/>
      </c>
      <c r="JA25" s="85">
        <f>DAY(EOMONTH(EDATE(InceptionDate,257-1),0))</f>
        <v/>
      </c>
      <c r="JB25" s="85">
        <f>DAY(EOMONTH(EDATE(InceptionDate,258-1),0))</f>
        <v/>
      </c>
      <c r="JC25" s="85">
        <f>DAY(EOMONTH(EDATE(InceptionDate,259-1),0))</f>
        <v/>
      </c>
      <c r="JD25" s="85">
        <f>DAY(EOMONTH(EDATE(InceptionDate,260-1),0))</f>
        <v/>
      </c>
      <c r="JE25" s="85">
        <f>DAY(EOMONTH(EDATE(InceptionDate,261-1),0))</f>
        <v/>
      </c>
      <c r="JF25" s="85">
        <f>DAY(EOMONTH(EDATE(InceptionDate,262-1),0))</f>
        <v/>
      </c>
      <c r="JG25" s="85">
        <f>DAY(EOMONTH(EDATE(InceptionDate,263-1),0))</f>
        <v/>
      </c>
      <c r="JH25" s="85">
        <f>DAY(EOMONTH(EDATE(InceptionDate,264-1),0))</f>
        <v/>
      </c>
      <c r="JI25" s="85">
        <f>DAY(EOMONTH(EDATE(InceptionDate,265-1),0))</f>
        <v/>
      </c>
      <c r="JJ25" s="85">
        <f>DAY(EOMONTH(EDATE(InceptionDate,266-1),0))</f>
        <v/>
      </c>
      <c r="JK25" s="85">
        <f>DAY(EOMONTH(EDATE(InceptionDate,267-1),0))</f>
        <v/>
      </c>
      <c r="JL25" s="85">
        <f>DAY(EOMONTH(EDATE(InceptionDate,268-1),0))</f>
        <v/>
      </c>
      <c r="JM25" s="85">
        <f>DAY(EOMONTH(EDATE(InceptionDate,269-1),0))</f>
        <v/>
      </c>
      <c r="JN25" s="85">
        <f>DAY(EOMONTH(EDATE(InceptionDate,270-1),0))</f>
        <v/>
      </c>
      <c r="JO25" s="85">
        <f>DAY(EOMONTH(EDATE(InceptionDate,271-1),0))</f>
        <v/>
      </c>
      <c r="JP25" s="85">
        <f>DAY(EOMONTH(EDATE(InceptionDate,272-1),0))</f>
        <v/>
      </c>
      <c r="JQ25" s="85">
        <f>DAY(EOMONTH(EDATE(InceptionDate,273-1),0))</f>
        <v/>
      </c>
      <c r="JR25" s="85">
        <f>DAY(EOMONTH(EDATE(InceptionDate,274-1),0))</f>
        <v/>
      </c>
      <c r="JS25" s="85">
        <f>DAY(EOMONTH(EDATE(InceptionDate,275-1),0))</f>
        <v/>
      </c>
      <c r="JT25" s="85">
        <f>DAY(EOMONTH(EDATE(InceptionDate,276-1),0))</f>
        <v/>
      </c>
      <c r="JU25" s="85">
        <f>DAY(EOMONTH(EDATE(InceptionDate,277-1),0))</f>
        <v/>
      </c>
      <c r="JV25" s="85">
        <f>DAY(EOMONTH(EDATE(InceptionDate,278-1),0))</f>
        <v/>
      </c>
      <c r="JW25" s="85">
        <f>DAY(EOMONTH(EDATE(InceptionDate,279-1),0))</f>
        <v/>
      </c>
      <c r="JX25" s="85">
        <f>DAY(EOMONTH(EDATE(InceptionDate,280-1),0))</f>
        <v/>
      </c>
      <c r="JY25" s="85">
        <f>DAY(EOMONTH(EDATE(InceptionDate,281-1),0))</f>
        <v/>
      </c>
      <c r="JZ25" s="85">
        <f>DAY(EOMONTH(EDATE(InceptionDate,282-1),0))</f>
        <v/>
      </c>
      <c r="KA25" s="85">
        <f>DAY(EOMONTH(EDATE(InceptionDate,283-1),0))</f>
        <v/>
      </c>
      <c r="KB25" s="85">
        <f>DAY(EOMONTH(EDATE(InceptionDate,284-1),0))</f>
        <v/>
      </c>
      <c r="KC25" s="85">
        <f>DAY(EOMONTH(EDATE(InceptionDate,285-1),0))</f>
        <v/>
      </c>
      <c r="KD25" s="85">
        <f>DAY(EOMONTH(EDATE(InceptionDate,286-1),0))</f>
        <v/>
      </c>
      <c r="KE25" s="85">
        <f>DAY(EOMONTH(EDATE(InceptionDate,287-1),0))</f>
        <v/>
      </c>
      <c r="KF25" s="85">
        <f>DAY(EOMONTH(EDATE(InceptionDate,288-1),0))</f>
        <v/>
      </c>
      <c r="KG25" s="85">
        <f>DAY(EOMONTH(EDATE(InceptionDate,289-1),0))</f>
        <v/>
      </c>
      <c r="KH25" s="85">
        <f>DAY(EOMONTH(EDATE(InceptionDate,290-1),0))</f>
        <v/>
      </c>
      <c r="KI25" s="85">
        <f>DAY(EOMONTH(EDATE(InceptionDate,291-1),0))</f>
        <v/>
      </c>
      <c r="KJ25" s="85">
        <f>DAY(EOMONTH(EDATE(InceptionDate,292-1),0))</f>
        <v/>
      </c>
      <c r="KK25" s="85">
        <f>DAY(EOMONTH(EDATE(InceptionDate,293-1),0))</f>
        <v/>
      </c>
      <c r="KL25" s="85">
        <f>DAY(EOMONTH(EDATE(InceptionDate,294-1),0))</f>
        <v/>
      </c>
      <c r="KM25" s="85">
        <f>DAY(EOMONTH(EDATE(InceptionDate,295-1),0))</f>
        <v/>
      </c>
      <c r="KN25" s="85">
        <f>DAY(EOMONTH(EDATE(InceptionDate,296-1),0))</f>
        <v/>
      </c>
      <c r="KO25" s="85">
        <f>DAY(EOMONTH(EDATE(InceptionDate,297-1),0))</f>
        <v/>
      </c>
      <c r="KP25" s="85">
        <f>DAY(EOMONTH(EDATE(InceptionDate,298-1),0))</f>
        <v/>
      </c>
      <c r="KQ25" s="85">
        <f>DAY(EOMONTH(EDATE(InceptionDate,299-1),0))</f>
        <v/>
      </c>
      <c r="KR25" s="85">
        <f>DAY(EOMONTH(EDATE(InceptionDate,300-1),0))</f>
        <v/>
      </c>
      <c r="KS25" s="85">
        <f>DAY(EOMONTH(EDATE(InceptionDate,301-1),0))</f>
        <v/>
      </c>
      <c r="KT25" s="85">
        <f>DAY(EOMONTH(EDATE(InceptionDate,302-1),0))</f>
        <v/>
      </c>
      <c r="KU25" s="85">
        <f>DAY(EOMONTH(EDATE(InceptionDate,303-1),0))</f>
        <v/>
      </c>
      <c r="KV25" s="85">
        <f>DAY(EOMONTH(EDATE(InceptionDate,304-1),0))</f>
        <v/>
      </c>
      <c r="KW25" s="85">
        <f>DAY(EOMONTH(EDATE(InceptionDate,305-1),0))</f>
        <v/>
      </c>
      <c r="KX25" s="85">
        <f>DAY(EOMONTH(EDATE(InceptionDate,306-1),0))</f>
        <v/>
      </c>
      <c r="KY25" s="85">
        <f>DAY(EOMONTH(EDATE(InceptionDate,307-1),0))</f>
        <v/>
      </c>
      <c r="KZ25" s="85">
        <f>DAY(EOMONTH(EDATE(InceptionDate,308-1),0))</f>
        <v/>
      </c>
      <c r="LA25" s="85">
        <f>DAY(EOMONTH(EDATE(InceptionDate,309-1),0))</f>
        <v/>
      </c>
      <c r="LB25" s="85">
        <f>DAY(EOMONTH(EDATE(InceptionDate,310-1),0))</f>
        <v/>
      </c>
      <c r="LC25" s="85">
        <f>DAY(EOMONTH(EDATE(InceptionDate,311-1),0))</f>
        <v/>
      </c>
      <c r="LD25" s="85">
        <f>DAY(EOMONTH(EDATE(InceptionDate,312-1),0))</f>
        <v/>
      </c>
      <c r="LE25" s="85">
        <f>DAY(EOMONTH(EDATE(InceptionDate,313-1),0))</f>
        <v/>
      </c>
      <c r="LF25" s="85">
        <f>DAY(EOMONTH(EDATE(InceptionDate,314-1),0))</f>
        <v/>
      </c>
      <c r="LG25" s="85">
        <f>DAY(EOMONTH(EDATE(InceptionDate,315-1),0))</f>
        <v/>
      </c>
      <c r="LH25" s="85">
        <f>DAY(EOMONTH(EDATE(InceptionDate,316-1),0))</f>
        <v/>
      </c>
      <c r="LI25" s="85">
        <f>DAY(EOMONTH(EDATE(InceptionDate,317-1),0))</f>
        <v/>
      </c>
      <c r="LJ25" s="85">
        <f>DAY(EOMONTH(EDATE(InceptionDate,318-1),0))</f>
        <v/>
      </c>
      <c r="LK25" s="85">
        <f>DAY(EOMONTH(EDATE(InceptionDate,319-1),0))</f>
        <v/>
      </c>
      <c r="LL25" s="85">
        <f>DAY(EOMONTH(EDATE(InceptionDate,320-1),0))</f>
        <v/>
      </c>
      <c r="LM25" s="85">
        <f>DAY(EOMONTH(EDATE(InceptionDate,321-1),0))</f>
        <v/>
      </c>
      <c r="LN25" s="85">
        <f>DAY(EOMONTH(EDATE(InceptionDate,322-1),0))</f>
        <v/>
      </c>
      <c r="LO25" s="85">
        <f>DAY(EOMONTH(EDATE(InceptionDate,323-1),0))</f>
        <v/>
      </c>
      <c r="LP25" s="85">
        <f>DAY(EOMONTH(EDATE(InceptionDate,324-1),0))</f>
        <v/>
      </c>
      <c r="LQ25" s="85">
        <f>DAY(EOMONTH(EDATE(InceptionDate,325-1),0))</f>
        <v/>
      </c>
      <c r="LR25" s="85">
        <f>DAY(EOMONTH(EDATE(InceptionDate,326-1),0))</f>
        <v/>
      </c>
      <c r="LS25" s="85">
        <f>DAY(EOMONTH(EDATE(InceptionDate,327-1),0))</f>
        <v/>
      </c>
      <c r="LT25" s="85">
        <f>DAY(EOMONTH(EDATE(InceptionDate,328-1),0))</f>
        <v/>
      </c>
      <c r="LU25" s="85">
        <f>DAY(EOMONTH(EDATE(InceptionDate,329-1),0))</f>
        <v/>
      </c>
      <c r="LV25" s="85">
        <f>DAY(EOMONTH(EDATE(InceptionDate,330-1),0))</f>
        <v/>
      </c>
      <c r="LW25" s="85">
        <f>DAY(EOMONTH(EDATE(InceptionDate,331-1),0))</f>
        <v/>
      </c>
      <c r="LX25" s="85">
        <f>DAY(EOMONTH(EDATE(InceptionDate,332-1),0))</f>
        <v/>
      </c>
      <c r="LY25" s="85">
        <f>DAY(EOMONTH(EDATE(InceptionDate,333-1),0))</f>
        <v/>
      </c>
      <c r="LZ25" s="85">
        <f>DAY(EOMONTH(EDATE(InceptionDate,334-1),0))</f>
        <v/>
      </c>
      <c r="MA25" s="85">
        <f>DAY(EOMONTH(EDATE(InceptionDate,335-1),0))</f>
        <v/>
      </c>
      <c r="MB25" s="85">
        <f>DAY(EOMONTH(EDATE(InceptionDate,336-1),0))</f>
        <v/>
      </c>
      <c r="MC25" s="85">
        <f>DAY(EOMONTH(EDATE(InceptionDate,337-1),0))</f>
        <v/>
      </c>
      <c r="MD25" s="85">
        <f>DAY(EOMONTH(EDATE(InceptionDate,338-1),0))</f>
        <v/>
      </c>
      <c r="ME25" s="85">
        <f>DAY(EOMONTH(EDATE(InceptionDate,339-1),0))</f>
        <v/>
      </c>
      <c r="MF25" s="85">
        <f>DAY(EOMONTH(EDATE(InceptionDate,340-1),0))</f>
        <v/>
      </c>
      <c r="MG25" s="85">
        <f>DAY(EOMONTH(EDATE(InceptionDate,341-1),0))</f>
        <v/>
      </c>
      <c r="MH25" s="85">
        <f>DAY(EOMONTH(EDATE(InceptionDate,342-1),0))</f>
        <v/>
      </c>
      <c r="MI25" s="85">
        <f>DAY(EOMONTH(EDATE(InceptionDate,343-1),0))</f>
        <v/>
      </c>
      <c r="MJ25" s="85">
        <f>DAY(EOMONTH(EDATE(InceptionDate,344-1),0))</f>
        <v/>
      </c>
      <c r="MK25" s="85">
        <f>DAY(EOMONTH(EDATE(InceptionDate,345-1),0))</f>
        <v/>
      </c>
      <c r="ML25" s="85">
        <f>DAY(EOMONTH(EDATE(InceptionDate,346-1),0))</f>
        <v/>
      </c>
      <c r="MM25" s="85">
        <f>DAY(EOMONTH(EDATE(InceptionDate,347-1),0))</f>
        <v/>
      </c>
      <c r="MN25" s="85">
        <f>DAY(EOMONTH(EDATE(InceptionDate,348-1),0))</f>
        <v/>
      </c>
      <c r="MO25" s="85">
        <f>DAY(EOMONTH(EDATE(InceptionDate,349-1),0))</f>
        <v/>
      </c>
      <c r="MP25" s="85">
        <f>DAY(EOMONTH(EDATE(InceptionDate,350-1),0))</f>
        <v/>
      </c>
      <c r="MQ25" s="85">
        <f>DAY(EOMONTH(EDATE(InceptionDate,351-1),0))</f>
        <v/>
      </c>
      <c r="MR25" s="85">
        <f>DAY(EOMONTH(EDATE(InceptionDate,352-1),0))</f>
        <v/>
      </c>
      <c r="MS25" s="85">
        <f>DAY(EOMONTH(EDATE(InceptionDate,353-1),0))</f>
        <v/>
      </c>
      <c r="MT25" s="85">
        <f>DAY(EOMONTH(EDATE(InceptionDate,354-1),0))</f>
        <v/>
      </c>
      <c r="MU25" s="85">
        <f>DAY(EOMONTH(EDATE(InceptionDate,355-1),0))</f>
        <v/>
      </c>
      <c r="MV25" s="85">
        <f>DAY(EOMONTH(EDATE(InceptionDate,356-1),0))</f>
        <v/>
      </c>
      <c r="MW25" s="85">
        <f>DAY(EOMONTH(EDATE(InceptionDate,357-1),0))</f>
        <v/>
      </c>
      <c r="MX25" s="85">
        <f>DAY(EOMONTH(EDATE(InceptionDate,358-1),0))</f>
        <v/>
      </c>
      <c r="MY25" s="85">
        <f>DAY(EOMONTH(EDATE(InceptionDate,359-1),0))</f>
        <v/>
      </c>
      <c r="MZ25" s="85">
        <f>DAY(EOMONTH(EDATE(InceptionDate,360-1),0))</f>
        <v/>
      </c>
      <c r="NA25" s="85">
        <f>DAY(EOMONTH(EDATE(InceptionDate,361-1),0))</f>
        <v/>
      </c>
      <c r="NB25" s="85">
        <f>DAY(EOMONTH(EDATE(InceptionDate,362-1),0))</f>
        <v/>
      </c>
      <c r="NC25" s="85">
        <f>DAY(EOMONTH(EDATE(InceptionDate,363-1),0))</f>
        <v/>
      </c>
      <c r="ND25" s="85">
        <f>DAY(EOMONTH(EDATE(InceptionDate,364-1),0))</f>
        <v/>
      </c>
      <c r="NE25" s="85">
        <f>DAY(EOMONTH(EDATE(InceptionDate,365-1),0))</f>
        <v/>
      </c>
      <c r="NF25" s="85">
        <f>DAY(EOMONTH(EDATE(InceptionDate,366-1),0))</f>
        <v/>
      </c>
      <c r="NG25" s="85">
        <f>DAY(EOMONTH(EDATE(InceptionDate,367-1),0))</f>
        <v/>
      </c>
      <c r="NH25" s="85">
        <f>DAY(EOMONTH(EDATE(InceptionDate,368-1),0))</f>
        <v/>
      </c>
      <c r="NI25" s="85">
        <f>DAY(EOMONTH(EDATE(InceptionDate,369-1),0))</f>
        <v/>
      </c>
      <c r="NJ25" s="85">
        <f>DAY(EOMONTH(EDATE(InceptionDate,370-1),0))</f>
        <v/>
      </c>
      <c r="NK25" s="85">
        <f>DAY(EOMONTH(EDATE(InceptionDate,371-1),0))</f>
        <v/>
      </c>
      <c r="NL25" s="85">
        <f>DAY(EOMONTH(EDATE(InceptionDate,372-1),0))</f>
        <v/>
      </c>
    </row>
    <row r="26">
      <c r="B26" s="36" t="inlineStr">
        <is>
          <t>Monthly Interest Rate</t>
        </is>
      </c>
      <c r="D26" s="259" t="n"/>
      <c r="E26" s="260">
        <f>IF(Timeline!E$43=1,IF(PermActual360=1,PermRate*E$25/360,PermRate/12),0)</f>
        <v/>
      </c>
      <c r="F26" s="260">
        <f>IF(Timeline!F$43=1,IF(PermActual360=1,PermRate*F$25/360,PermRate/12),0)</f>
        <v/>
      </c>
      <c r="G26" s="260">
        <f>IF(Timeline!G$43=1,IF(PermActual360=1,PermRate*G$25/360,PermRate/12),0)</f>
        <v/>
      </c>
      <c r="H26" s="260">
        <f>IF(Timeline!H$43=1,IF(PermActual360=1,PermRate*H$25/360,PermRate/12),0)</f>
        <v/>
      </c>
      <c r="I26" s="260">
        <f>IF(Timeline!I$43=1,IF(PermActual360=1,PermRate*I$25/360,PermRate/12),0)</f>
        <v/>
      </c>
      <c r="J26" s="260">
        <f>IF(Timeline!J$43=1,IF(PermActual360=1,PermRate*J$25/360,PermRate/12),0)</f>
        <v/>
      </c>
      <c r="K26" s="260">
        <f>IF(Timeline!K$43=1,IF(PermActual360=1,PermRate*K$25/360,PermRate/12),0)</f>
        <v/>
      </c>
      <c r="L26" s="260">
        <f>IF(Timeline!L$43=1,IF(PermActual360=1,PermRate*L$25/360,PermRate/12),0)</f>
        <v/>
      </c>
      <c r="M26" s="260">
        <f>IF(Timeline!M$43=1,IF(PermActual360=1,PermRate*M$25/360,PermRate/12),0)</f>
        <v/>
      </c>
      <c r="N26" s="260">
        <f>IF(Timeline!N$43=1,IF(PermActual360=1,PermRate*N$25/360,PermRate/12),0)</f>
        <v/>
      </c>
      <c r="O26" s="260">
        <f>IF(Timeline!O$43=1,IF(PermActual360=1,PermRate*O$25/360,PermRate/12),0)</f>
        <v/>
      </c>
      <c r="P26" s="260">
        <f>IF(Timeline!P$43=1,IF(PermActual360=1,PermRate*P$25/360,PermRate/12),0)</f>
        <v/>
      </c>
      <c r="Q26" s="260">
        <f>IF(Timeline!Q$43=1,IF(PermActual360=1,PermRate*Q$25/360,PermRate/12),0)</f>
        <v/>
      </c>
      <c r="R26" s="260">
        <f>IF(Timeline!R$43=1,IF(PermActual360=1,PermRate*R$25/360,PermRate/12),0)</f>
        <v/>
      </c>
      <c r="S26" s="260">
        <f>IF(Timeline!S$43=1,IF(PermActual360=1,PermRate*S$25/360,PermRate/12),0)</f>
        <v/>
      </c>
      <c r="T26" s="260">
        <f>IF(Timeline!T$43=1,IF(PermActual360=1,PermRate*T$25/360,PermRate/12),0)</f>
        <v/>
      </c>
      <c r="U26" s="260">
        <f>IF(Timeline!U$43=1,IF(PermActual360=1,PermRate*U$25/360,PermRate/12),0)</f>
        <v/>
      </c>
      <c r="V26" s="260">
        <f>IF(Timeline!V$43=1,IF(PermActual360=1,PermRate*V$25/360,PermRate/12),0)</f>
        <v/>
      </c>
      <c r="W26" s="260">
        <f>IF(Timeline!W$43=1,IF(PermActual360=1,PermRate*W$25/360,PermRate/12),0)</f>
        <v/>
      </c>
      <c r="X26" s="260">
        <f>IF(Timeline!X$43=1,IF(PermActual360=1,PermRate*X$25/360,PermRate/12),0)</f>
        <v/>
      </c>
      <c r="Y26" s="260">
        <f>IF(Timeline!Y$43=1,IF(PermActual360=1,PermRate*Y$25/360,PermRate/12),0)</f>
        <v/>
      </c>
      <c r="Z26" s="260">
        <f>IF(Timeline!Z$43=1,IF(PermActual360=1,PermRate*Z$25/360,PermRate/12),0)</f>
        <v/>
      </c>
      <c r="AA26" s="260">
        <f>IF(Timeline!AA$43=1,IF(PermActual360=1,PermRate*AA$25/360,PermRate/12),0)</f>
        <v/>
      </c>
      <c r="AB26" s="260">
        <f>IF(Timeline!AB$43=1,IF(PermActual360=1,PermRate*AB$25/360,PermRate/12),0)</f>
        <v/>
      </c>
      <c r="AC26" s="260">
        <f>IF(Timeline!AC$43=1,IF(PermActual360=1,PermRate*AC$25/360,PermRate/12),0)</f>
        <v/>
      </c>
      <c r="AD26" s="260">
        <f>IF(Timeline!AD$43=1,IF(PermActual360=1,PermRate*AD$25/360,PermRate/12),0)</f>
        <v/>
      </c>
      <c r="AE26" s="260">
        <f>IF(Timeline!AE$43=1,IF(PermActual360=1,PermRate*AE$25/360,PermRate/12),0)</f>
        <v/>
      </c>
      <c r="AF26" s="260">
        <f>IF(Timeline!AF$43=1,IF(PermActual360=1,PermRate*AF$25/360,PermRate/12),0)</f>
        <v/>
      </c>
      <c r="AG26" s="260">
        <f>IF(Timeline!AG$43=1,IF(PermActual360=1,PermRate*AG$25/360,PermRate/12),0)</f>
        <v/>
      </c>
      <c r="AH26" s="260">
        <f>IF(Timeline!AH$43=1,IF(PermActual360=1,PermRate*AH$25/360,PermRate/12),0)</f>
        <v/>
      </c>
      <c r="AI26" s="260">
        <f>IF(Timeline!AI$43=1,IF(PermActual360=1,PermRate*AI$25/360,PermRate/12),0)</f>
        <v/>
      </c>
      <c r="AJ26" s="260">
        <f>IF(Timeline!AJ$43=1,IF(PermActual360=1,PermRate*AJ$25/360,PermRate/12),0)</f>
        <v/>
      </c>
      <c r="AK26" s="260">
        <f>IF(Timeline!AK$43=1,IF(PermActual360=1,PermRate*AK$25/360,PermRate/12),0)</f>
        <v/>
      </c>
      <c r="AL26" s="260">
        <f>IF(Timeline!AL$43=1,IF(PermActual360=1,PermRate*AL$25/360,PermRate/12),0)</f>
        <v/>
      </c>
      <c r="AM26" s="260">
        <f>IF(Timeline!AM$43=1,IF(PermActual360=1,PermRate*AM$25/360,PermRate/12),0)</f>
        <v/>
      </c>
      <c r="AN26" s="260">
        <f>IF(Timeline!AN$43=1,IF(PermActual360=1,PermRate*AN$25/360,PermRate/12),0)</f>
        <v/>
      </c>
      <c r="AO26" s="260">
        <f>IF(Timeline!AO$43=1,IF(PermActual360=1,PermRate*AO$25/360,PermRate/12),0)</f>
        <v/>
      </c>
      <c r="AP26" s="260">
        <f>IF(Timeline!AP$43=1,IF(PermActual360=1,PermRate*AP$25/360,PermRate/12),0)</f>
        <v/>
      </c>
      <c r="AQ26" s="260">
        <f>IF(Timeline!AQ$43=1,IF(PermActual360=1,PermRate*AQ$25/360,PermRate/12),0)</f>
        <v/>
      </c>
      <c r="AR26" s="260">
        <f>IF(Timeline!AR$43=1,IF(PermActual360=1,PermRate*AR$25/360,PermRate/12),0)</f>
        <v/>
      </c>
      <c r="AS26" s="260">
        <f>IF(Timeline!AS$43=1,IF(PermActual360=1,PermRate*AS$25/360,PermRate/12),0)</f>
        <v/>
      </c>
      <c r="AT26" s="260">
        <f>IF(Timeline!AT$43=1,IF(PermActual360=1,PermRate*AT$25/360,PermRate/12),0)</f>
        <v/>
      </c>
      <c r="AU26" s="260">
        <f>IF(Timeline!AU$43=1,IF(PermActual360=1,PermRate*AU$25/360,PermRate/12),0)</f>
        <v/>
      </c>
      <c r="AV26" s="260">
        <f>IF(Timeline!AV$43=1,IF(PermActual360=1,PermRate*AV$25/360,PermRate/12),0)</f>
        <v/>
      </c>
      <c r="AW26" s="260">
        <f>IF(Timeline!AW$43=1,IF(PermActual360=1,PermRate*AW$25/360,PermRate/12),0)</f>
        <v/>
      </c>
      <c r="AX26" s="260">
        <f>IF(Timeline!AX$43=1,IF(PermActual360=1,PermRate*AX$25/360,PermRate/12),0)</f>
        <v/>
      </c>
      <c r="AY26" s="260">
        <f>IF(Timeline!AY$43=1,IF(PermActual360=1,PermRate*AY$25/360,PermRate/12),0)</f>
        <v/>
      </c>
      <c r="AZ26" s="260">
        <f>IF(Timeline!AZ$43=1,IF(PermActual360=1,PermRate*AZ$25/360,PermRate/12),0)</f>
        <v/>
      </c>
      <c r="BA26" s="260">
        <f>IF(Timeline!BA$43=1,IF(PermActual360=1,PermRate*BA$25/360,PermRate/12),0)</f>
        <v/>
      </c>
      <c r="BB26" s="260">
        <f>IF(Timeline!BB$43=1,IF(PermActual360=1,PermRate*BB$25/360,PermRate/12),0)</f>
        <v/>
      </c>
      <c r="BC26" s="260">
        <f>IF(Timeline!BC$43=1,IF(PermActual360=1,PermRate*BC$25/360,PermRate/12),0)</f>
        <v/>
      </c>
      <c r="BD26" s="260">
        <f>IF(Timeline!BD$43=1,IF(PermActual360=1,PermRate*BD$25/360,PermRate/12),0)</f>
        <v/>
      </c>
      <c r="BE26" s="260">
        <f>IF(Timeline!BE$43=1,IF(PermActual360=1,PermRate*BE$25/360,PermRate/12),0)</f>
        <v/>
      </c>
      <c r="BF26" s="260">
        <f>IF(Timeline!BF$43=1,IF(PermActual360=1,PermRate*BF$25/360,PermRate/12),0)</f>
        <v/>
      </c>
      <c r="BG26" s="260">
        <f>IF(Timeline!BG$43=1,IF(PermActual360=1,PermRate*BG$25/360,PermRate/12),0)</f>
        <v/>
      </c>
      <c r="BH26" s="260">
        <f>IF(Timeline!BH$43=1,IF(PermActual360=1,PermRate*BH$25/360,PermRate/12),0)</f>
        <v/>
      </c>
      <c r="BI26" s="260">
        <f>IF(Timeline!BI$43=1,IF(PermActual360=1,PermRate*BI$25/360,PermRate/12),0)</f>
        <v/>
      </c>
      <c r="BJ26" s="260">
        <f>IF(Timeline!BJ$43=1,IF(PermActual360=1,PermRate*BJ$25/360,PermRate/12),0)</f>
        <v/>
      </c>
      <c r="BK26" s="260">
        <f>IF(Timeline!BK$43=1,IF(PermActual360=1,PermRate*BK$25/360,PermRate/12),0)</f>
        <v/>
      </c>
      <c r="BL26" s="260">
        <f>IF(Timeline!BL$43=1,IF(PermActual360=1,PermRate*BL$25/360,PermRate/12),0)</f>
        <v/>
      </c>
      <c r="BM26" s="260">
        <f>IF(Timeline!BM$43=1,IF(PermActual360=1,PermRate*BM$25/360,PermRate/12),0)</f>
        <v/>
      </c>
      <c r="BN26" s="260">
        <f>IF(Timeline!BN$43=1,IF(PermActual360=1,PermRate*BN$25/360,PermRate/12),0)</f>
        <v/>
      </c>
      <c r="BO26" s="260">
        <f>IF(Timeline!BO$43=1,IF(PermActual360=1,PermRate*BO$25/360,PermRate/12),0)</f>
        <v/>
      </c>
      <c r="BP26" s="260">
        <f>IF(Timeline!BP$43=1,IF(PermActual360=1,PermRate*BP$25/360,PermRate/12),0)</f>
        <v/>
      </c>
      <c r="BQ26" s="260">
        <f>IF(Timeline!BQ$43=1,IF(PermActual360=1,PermRate*BQ$25/360,PermRate/12),0)</f>
        <v/>
      </c>
      <c r="BR26" s="260">
        <f>IF(Timeline!BR$43=1,IF(PermActual360=1,PermRate*BR$25/360,PermRate/12),0)</f>
        <v/>
      </c>
      <c r="BS26" s="260">
        <f>IF(Timeline!BS$43=1,IF(PermActual360=1,PermRate*BS$25/360,PermRate/12),0)</f>
        <v/>
      </c>
      <c r="BT26" s="260">
        <f>IF(Timeline!BT$43=1,IF(PermActual360=1,PermRate*BT$25/360,PermRate/12),0)</f>
        <v/>
      </c>
      <c r="BU26" s="260">
        <f>IF(Timeline!BU$43=1,IF(PermActual360=1,PermRate*BU$25/360,PermRate/12),0)</f>
        <v/>
      </c>
      <c r="BV26" s="260">
        <f>IF(Timeline!BV$43=1,IF(PermActual360=1,PermRate*BV$25/360,PermRate/12),0)</f>
        <v/>
      </c>
      <c r="BW26" s="260">
        <f>IF(Timeline!BW$43=1,IF(PermActual360=1,PermRate*BW$25/360,PermRate/12),0)</f>
        <v/>
      </c>
      <c r="BX26" s="260">
        <f>IF(Timeline!BX$43=1,IF(PermActual360=1,PermRate*BX$25/360,PermRate/12),0)</f>
        <v/>
      </c>
      <c r="BY26" s="260">
        <f>IF(Timeline!BY$43=1,IF(PermActual360=1,PermRate*BY$25/360,PermRate/12),0)</f>
        <v/>
      </c>
      <c r="BZ26" s="260">
        <f>IF(Timeline!BZ$43=1,IF(PermActual360=1,PermRate*BZ$25/360,PermRate/12),0)</f>
        <v/>
      </c>
      <c r="CA26" s="260">
        <f>IF(Timeline!CA$43=1,IF(PermActual360=1,PermRate*CA$25/360,PermRate/12),0)</f>
        <v/>
      </c>
      <c r="CB26" s="260">
        <f>IF(Timeline!CB$43=1,IF(PermActual360=1,PermRate*CB$25/360,PermRate/12),0)</f>
        <v/>
      </c>
      <c r="CC26" s="260">
        <f>IF(Timeline!CC$43=1,IF(PermActual360=1,PermRate*CC$25/360,PermRate/12),0)</f>
        <v/>
      </c>
      <c r="CD26" s="260">
        <f>IF(Timeline!CD$43=1,IF(PermActual360=1,PermRate*CD$25/360,PermRate/12),0)</f>
        <v/>
      </c>
      <c r="CE26" s="260">
        <f>IF(Timeline!CE$43=1,IF(PermActual360=1,PermRate*CE$25/360,PermRate/12),0)</f>
        <v/>
      </c>
      <c r="CF26" s="260">
        <f>IF(Timeline!CF$43=1,IF(PermActual360=1,PermRate*CF$25/360,PermRate/12),0)</f>
        <v/>
      </c>
      <c r="CG26" s="260">
        <f>IF(Timeline!CG$43=1,IF(PermActual360=1,PermRate*CG$25/360,PermRate/12),0)</f>
        <v/>
      </c>
      <c r="CH26" s="260">
        <f>IF(Timeline!CH$43=1,IF(PermActual360=1,PermRate*CH$25/360,PermRate/12),0)</f>
        <v/>
      </c>
      <c r="CI26" s="260">
        <f>IF(Timeline!CI$43=1,IF(PermActual360=1,PermRate*CI$25/360,PermRate/12),0)</f>
        <v/>
      </c>
      <c r="CJ26" s="260">
        <f>IF(Timeline!CJ$43=1,IF(PermActual360=1,PermRate*CJ$25/360,PermRate/12),0)</f>
        <v/>
      </c>
      <c r="CK26" s="260">
        <f>IF(Timeline!CK$43=1,IF(PermActual360=1,PermRate*CK$25/360,PermRate/12),0)</f>
        <v/>
      </c>
      <c r="CL26" s="260">
        <f>IF(Timeline!CL$43=1,IF(PermActual360=1,PermRate*CL$25/360,PermRate/12),0)</f>
        <v/>
      </c>
      <c r="CM26" s="260">
        <f>IF(Timeline!CM$43=1,IF(PermActual360=1,PermRate*CM$25/360,PermRate/12),0)</f>
        <v/>
      </c>
      <c r="CN26" s="260">
        <f>IF(Timeline!CN$43=1,IF(PermActual360=1,PermRate*CN$25/360,PermRate/12),0)</f>
        <v/>
      </c>
      <c r="CO26" s="260">
        <f>IF(Timeline!CO$43=1,IF(PermActual360=1,PermRate*CO$25/360,PermRate/12),0)</f>
        <v/>
      </c>
      <c r="CP26" s="260">
        <f>IF(Timeline!CP$43=1,IF(PermActual360=1,PermRate*CP$25/360,PermRate/12),0)</f>
        <v/>
      </c>
      <c r="CQ26" s="260">
        <f>IF(Timeline!CQ$43=1,IF(PermActual360=1,PermRate*CQ$25/360,PermRate/12),0)</f>
        <v/>
      </c>
      <c r="CR26" s="260">
        <f>IF(Timeline!CR$43=1,IF(PermActual360=1,PermRate*CR$25/360,PermRate/12),0)</f>
        <v/>
      </c>
      <c r="CS26" s="260">
        <f>IF(Timeline!CS$43=1,IF(PermActual360=1,PermRate*CS$25/360,PermRate/12),0)</f>
        <v/>
      </c>
      <c r="CT26" s="260">
        <f>IF(Timeline!CT$43=1,IF(PermActual360=1,PermRate*CT$25/360,PermRate/12),0)</f>
        <v/>
      </c>
      <c r="CU26" s="260">
        <f>IF(Timeline!CU$43=1,IF(PermActual360=1,PermRate*CU$25/360,PermRate/12),0)</f>
        <v/>
      </c>
      <c r="CV26" s="260">
        <f>IF(Timeline!CV$43=1,IF(PermActual360=1,PermRate*CV$25/360,PermRate/12),0)</f>
        <v/>
      </c>
      <c r="CW26" s="260">
        <f>IF(Timeline!CW$43=1,IF(PermActual360=1,PermRate*CW$25/360,PermRate/12),0)</f>
        <v/>
      </c>
      <c r="CX26" s="260">
        <f>IF(Timeline!CX$43=1,IF(PermActual360=1,PermRate*CX$25/360,PermRate/12),0)</f>
        <v/>
      </c>
      <c r="CY26" s="260">
        <f>IF(Timeline!CY$43=1,IF(PermActual360=1,PermRate*CY$25/360,PermRate/12),0)</f>
        <v/>
      </c>
      <c r="CZ26" s="260">
        <f>IF(Timeline!CZ$43=1,IF(PermActual360=1,PermRate*CZ$25/360,PermRate/12),0)</f>
        <v/>
      </c>
      <c r="DA26" s="260">
        <f>IF(Timeline!DA$43=1,IF(PermActual360=1,PermRate*DA$25/360,PermRate/12),0)</f>
        <v/>
      </c>
      <c r="DB26" s="260">
        <f>IF(Timeline!DB$43=1,IF(PermActual360=1,PermRate*DB$25/360,PermRate/12),0)</f>
        <v/>
      </c>
      <c r="DC26" s="260">
        <f>IF(Timeline!DC$43=1,IF(PermActual360=1,PermRate*DC$25/360,PermRate/12),0)</f>
        <v/>
      </c>
      <c r="DD26" s="260">
        <f>IF(Timeline!DD$43=1,IF(PermActual360=1,PermRate*DD$25/360,PermRate/12),0)</f>
        <v/>
      </c>
      <c r="DE26" s="260">
        <f>IF(Timeline!DE$43=1,IF(PermActual360=1,PermRate*DE$25/360,PermRate/12),0)</f>
        <v/>
      </c>
      <c r="DF26" s="260">
        <f>IF(Timeline!DF$43=1,IF(PermActual360=1,PermRate*DF$25/360,PermRate/12),0)</f>
        <v/>
      </c>
      <c r="DG26" s="260">
        <f>IF(Timeline!DG$43=1,IF(PermActual360=1,PermRate*DG$25/360,PermRate/12),0)</f>
        <v/>
      </c>
      <c r="DH26" s="260">
        <f>IF(Timeline!DH$43=1,IF(PermActual360=1,PermRate*DH$25/360,PermRate/12),0)</f>
        <v/>
      </c>
      <c r="DI26" s="260">
        <f>IF(Timeline!DI$43=1,IF(PermActual360=1,PermRate*DI$25/360,PermRate/12),0)</f>
        <v/>
      </c>
      <c r="DJ26" s="260">
        <f>IF(Timeline!DJ$43=1,IF(PermActual360=1,PermRate*DJ$25/360,PermRate/12),0)</f>
        <v/>
      </c>
      <c r="DK26" s="260">
        <f>IF(Timeline!DK$43=1,IF(PermActual360=1,PermRate*DK$25/360,PermRate/12),0)</f>
        <v/>
      </c>
      <c r="DL26" s="260">
        <f>IF(Timeline!DL$43=1,IF(PermActual360=1,PermRate*DL$25/360,PermRate/12),0)</f>
        <v/>
      </c>
      <c r="DM26" s="260">
        <f>IF(Timeline!DM$43=1,IF(PermActual360=1,PermRate*DM$25/360,PermRate/12),0)</f>
        <v/>
      </c>
      <c r="DN26" s="260">
        <f>IF(Timeline!DN$43=1,IF(PermActual360=1,PermRate*DN$25/360,PermRate/12),0)</f>
        <v/>
      </c>
      <c r="DO26" s="260">
        <f>IF(Timeline!DO$43=1,IF(PermActual360=1,PermRate*DO$25/360,PermRate/12),0)</f>
        <v/>
      </c>
      <c r="DP26" s="260">
        <f>IF(Timeline!DP$43=1,IF(PermActual360=1,PermRate*DP$25/360,PermRate/12),0)</f>
        <v/>
      </c>
      <c r="DQ26" s="260">
        <f>IF(Timeline!DQ$43=1,IF(PermActual360=1,PermRate*DQ$25/360,PermRate/12),0)</f>
        <v/>
      </c>
      <c r="DR26" s="260">
        <f>IF(Timeline!DR$43=1,IF(PermActual360=1,PermRate*DR$25/360,PermRate/12),0)</f>
        <v/>
      </c>
      <c r="DS26" s="260">
        <f>IF(Timeline!DS$43=1,IF(PermActual360=1,PermRate*DS$25/360,PermRate/12),0)</f>
        <v/>
      </c>
      <c r="DT26" s="260">
        <f>IF(Timeline!DT$43=1,IF(PermActual360=1,PermRate*DT$25/360,PermRate/12),0)</f>
        <v/>
      </c>
      <c r="DU26" s="260">
        <f>IF(Timeline!DU$43=1,IF(PermActual360=1,PermRate*DU$25/360,PermRate/12),0)</f>
        <v/>
      </c>
      <c r="DV26" s="260">
        <f>IF(Timeline!DV$43=1,IF(PermActual360=1,PermRate*DV$25/360,PermRate/12),0)</f>
        <v/>
      </c>
      <c r="DW26" s="260">
        <f>IF(Timeline!DW$43=1,IF(PermActual360=1,PermRate*DW$25/360,PermRate/12),0)</f>
        <v/>
      </c>
      <c r="DX26" s="260">
        <f>IF(Timeline!DX$43=1,IF(PermActual360=1,PermRate*DX$25/360,PermRate/12),0)</f>
        <v/>
      </c>
      <c r="DY26" s="260">
        <f>IF(Timeline!DY$43=1,IF(PermActual360=1,PermRate*DY$25/360,PermRate/12),0)</f>
        <v/>
      </c>
      <c r="DZ26" s="260">
        <f>IF(Timeline!DZ$43=1,IF(PermActual360=1,PermRate*DZ$25/360,PermRate/12),0)</f>
        <v/>
      </c>
      <c r="EA26" s="260">
        <f>IF(Timeline!EA$43=1,IF(PermActual360=1,PermRate*EA$25/360,PermRate/12),0)</f>
        <v/>
      </c>
      <c r="EB26" s="260">
        <f>IF(Timeline!EB$43=1,IF(PermActual360=1,PermRate*EB$25/360,PermRate/12),0)</f>
        <v/>
      </c>
      <c r="EC26" s="260">
        <f>IF(Timeline!EC$43=1,IF(PermActual360=1,PermRate*EC$25/360,PermRate/12),0)</f>
        <v/>
      </c>
      <c r="ED26" s="260">
        <f>IF(Timeline!ED$43=1,IF(PermActual360=1,PermRate*ED$25/360,PermRate/12),0)</f>
        <v/>
      </c>
      <c r="EE26" s="260">
        <f>IF(Timeline!EE$43=1,IF(PermActual360=1,PermRate*EE$25/360,PermRate/12),0)</f>
        <v/>
      </c>
      <c r="EF26" s="260">
        <f>IF(Timeline!EF$43=1,IF(PermActual360=1,PermRate*EF$25/360,PermRate/12),0)</f>
        <v/>
      </c>
      <c r="EG26" s="260">
        <f>IF(Timeline!EG$43=1,IF(PermActual360=1,PermRate*EG$25/360,PermRate/12),0)</f>
        <v/>
      </c>
      <c r="EH26" s="260">
        <f>IF(Timeline!EH$43=1,IF(PermActual360=1,PermRate*EH$25/360,PermRate/12),0)</f>
        <v/>
      </c>
      <c r="EI26" s="260">
        <f>IF(Timeline!EI$43=1,IF(PermActual360=1,PermRate*EI$25/360,PermRate/12),0)</f>
        <v/>
      </c>
      <c r="EJ26" s="260">
        <f>IF(Timeline!EJ$43=1,IF(PermActual360=1,PermRate*EJ$25/360,PermRate/12),0)</f>
        <v/>
      </c>
      <c r="EK26" s="260">
        <f>IF(Timeline!EK$43=1,IF(PermActual360=1,PermRate*EK$25/360,PermRate/12),0)</f>
        <v/>
      </c>
      <c r="EL26" s="260">
        <f>IF(Timeline!EL$43=1,IF(PermActual360=1,PermRate*EL$25/360,PermRate/12),0)</f>
        <v/>
      </c>
      <c r="EM26" s="260">
        <f>IF(Timeline!EM$43=1,IF(PermActual360=1,PermRate*EM$25/360,PermRate/12),0)</f>
        <v/>
      </c>
      <c r="EN26" s="260">
        <f>IF(Timeline!EN$43=1,IF(PermActual360=1,PermRate*EN$25/360,PermRate/12),0)</f>
        <v/>
      </c>
      <c r="EO26" s="260">
        <f>IF(Timeline!EO$43=1,IF(PermActual360=1,PermRate*EO$25/360,PermRate/12),0)</f>
        <v/>
      </c>
      <c r="EP26" s="260">
        <f>IF(Timeline!EP$43=1,IF(PermActual360=1,PermRate*EP$25/360,PermRate/12),0)</f>
        <v/>
      </c>
      <c r="EQ26" s="260">
        <f>IF(Timeline!EQ$43=1,IF(PermActual360=1,PermRate*EQ$25/360,PermRate/12),0)</f>
        <v/>
      </c>
      <c r="ER26" s="260">
        <f>IF(Timeline!ER$43=1,IF(PermActual360=1,PermRate*ER$25/360,PermRate/12),0)</f>
        <v/>
      </c>
      <c r="ES26" s="260">
        <f>IF(Timeline!ES$43=1,IF(PermActual360=1,PermRate*ES$25/360,PermRate/12),0)</f>
        <v/>
      </c>
      <c r="ET26" s="260">
        <f>IF(Timeline!ET$43=1,IF(PermActual360=1,PermRate*ET$25/360,PermRate/12),0)</f>
        <v/>
      </c>
      <c r="EU26" s="260">
        <f>IF(Timeline!EU$43=1,IF(PermActual360=1,PermRate*EU$25/360,PermRate/12),0)</f>
        <v/>
      </c>
      <c r="EV26" s="260">
        <f>IF(Timeline!EV$43=1,IF(PermActual360=1,PermRate*EV$25/360,PermRate/12),0)</f>
        <v/>
      </c>
      <c r="EW26" s="260">
        <f>IF(Timeline!EW$43=1,IF(PermActual360=1,PermRate*EW$25/360,PermRate/12),0)</f>
        <v/>
      </c>
      <c r="EX26" s="260">
        <f>IF(Timeline!EX$43=1,IF(PermActual360=1,PermRate*EX$25/360,PermRate/12),0)</f>
        <v/>
      </c>
      <c r="EY26" s="260">
        <f>IF(Timeline!EY$43=1,IF(PermActual360=1,PermRate*EY$25/360,PermRate/12),0)</f>
        <v/>
      </c>
      <c r="EZ26" s="260">
        <f>IF(Timeline!EZ$43=1,IF(PermActual360=1,PermRate*EZ$25/360,PermRate/12),0)</f>
        <v/>
      </c>
      <c r="FA26" s="260">
        <f>IF(Timeline!FA$43=1,IF(PermActual360=1,PermRate*FA$25/360,PermRate/12),0)</f>
        <v/>
      </c>
      <c r="FB26" s="260">
        <f>IF(Timeline!FB$43=1,IF(PermActual360=1,PermRate*FB$25/360,PermRate/12),0)</f>
        <v/>
      </c>
      <c r="FC26" s="260">
        <f>IF(Timeline!FC$43=1,IF(PermActual360=1,PermRate*FC$25/360,PermRate/12),0)</f>
        <v/>
      </c>
      <c r="FD26" s="260">
        <f>IF(Timeline!FD$43=1,IF(PermActual360=1,PermRate*FD$25/360,PermRate/12),0)</f>
        <v/>
      </c>
      <c r="FE26" s="260">
        <f>IF(Timeline!FE$43=1,IF(PermActual360=1,PermRate*FE$25/360,PermRate/12),0)</f>
        <v/>
      </c>
      <c r="FF26" s="260">
        <f>IF(Timeline!FF$43=1,IF(PermActual360=1,PermRate*FF$25/360,PermRate/12),0)</f>
        <v/>
      </c>
      <c r="FG26" s="260">
        <f>IF(Timeline!FG$43=1,IF(PermActual360=1,PermRate*FG$25/360,PermRate/12),0)</f>
        <v/>
      </c>
      <c r="FH26" s="260">
        <f>IF(Timeline!FH$43=1,IF(PermActual360=1,PermRate*FH$25/360,PermRate/12),0)</f>
        <v/>
      </c>
      <c r="FI26" s="260">
        <f>IF(Timeline!FI$43=1,IF(PermActual360=1,PermRate*FI$25/360,PermRate/12),0)</f>
        <v/>
      </c>
      <c r="FJ26" s="260">
        <f>IF(Timeline!FJ$43=1,IF(PermActual360=1,PermRate*FJ$25/360,PermRate/12),0)</f>
        <v/>
      </c>
      <c r="FK26" s="260">
        <f>IF(Timeline!FK$43=1,IF(PermActual360=1,PermRate*FK$25/360,PermRate/12),0)</f>
        <v/>
      </c>
      <c r="FL26" s="260">
        <f>IF(Timeline!FL$43=1,IF(PermActual360=1,PermRate*FL$25/360,PermRate/12),0)</f>
        <v/>
      </c>
      <c r="FM26" s="260">
        <f>IF(Timeline!FM$43=1,IF(PermActual360=1,PermRate*FM$25/360,PermRate/12),0)</f>
        <v/>
      </c>
      <c r="FN26" s="260">
        <f>IF(Timeline!FN$43=1,IF(PermActual360=1,PermRate*FN$25/360,PermRate/12),0)</f>
        <v/>
      </c>
      <c r="FO26" s="260">
        <f>IF(Timeline!FO$43=1,IF(PermActual360=1,PermRate*FO$25/360,PermRate/12),0)</f>
        <v/>
      </c>
      <c r="FP26" s="260">
        <f>IF(Timeline!FP$43=1,IF(PermActual360=1,PermRate*FP$25/360,PermRate/12),0)</f>
        <v/>
      </c>
      <c r="FQ26" s="260">
        <f>IF(Timeline!FQ$43=1,IF(PermActual360=1,PermRate*FQ$25/360,PermRate/12),0)</f>
        <v/>
      </c>
      <c r="FR26" s="260">
        <f>IF(Timeline!FR$43=1,IF(PermActual360=1,PermRate*FR$25/360,PermRate/12),0)</f>
        <v/>
      </c>
      <c r="FS26" s="260">
        <f>IF(Timeline!FS$43=1,IF(PermActual360=1,PermRate*FS$25/360,PermRate/12),0)</f>
        <v/>
      </c>
      <c r="FT26" s="260">
        <f>IF(Timeline!FT$43=1,IF(PermActual360=1,PermRate*FT$25/360,PermRate/12),0)</f>
        <v/>
      </c>
      <c r="FU26" s="260">
        <f>IF(Timeline!FU$43=1,IF(PermActual360=1,PermRate*FU$25/360,PermRate/12),0)</f>
        <v/>
      </c>
      <c r="FV26" s="260">
        <f>IF(Timeline!FV$43=1,IF(PermActual360=1,PermRate*FV$25/360,PermRate/12),0)</f>
        <v/>
      </c>
      <c r="FW26" s="260">
        <f>IF(Timeline!FW$43=1,IF(PermActual360=1,PermRate*FW$25/360,PermRate/12),0)</f>
        <v/>
      </c>
      <c r="FX26" s="260">
        <f>IF(Timeline!FX$43=1,IF(PermActual360=1,PermRate*FX$25/360,PermRate/12),0)</f>
        <v/>
      </c>
      <c r="FY26" s="260">
        <f>IF(Timeline!FY$43=1,IF(PermActual360=1,PermRate*FY$25/360,PermRate/12),0)</f>
        <v/>
      </c>
      <c r="FZ26" s="260">
        <f>IF(Timeline!FZ$43=1,IF(PermActual360=1,PermRate*FZ$25/360,PermRate/12),0)</f>
        <v/>
      </c>
      <c r="GA26" s="260">
        <f>IF(Timeline!GA$43=1,IF(PermActual360=1,PermRate*GA$25/360,PermRate/12),0)</f>
        <v/>
      </c>
      <c r="GB26" s="260">
        <f>IF(Timeline!GB$43=1,IF(PermActual360=1,PermRate*GB$25/360,PermRate/12),0)</f>
        <v/>
      </c>
      <c r="GC26" s="260">
        <f>IF(Timeline!GC$43=1,IF(PermActual360=1,PermRate*GC$25/360,PermRate/12),0)</f>
        <v/>
      </c>
      <c r="GD26" s="260">
        <f>IF(Timeline!GD$43=1,IF(PermActual360=1,PermRate*GD$25/360,PermRate/12),0)</f>
        <v/>
      </c>
      <c r="GE26" s="260">
        <f>IF(Timeline!GE$43=1,IF(PermActual360=1,PermRate*GE$25/360,PermRate/12),0)</f>
        <v/>
      </c>
      <c r="GF26" s="260">
        <f>IF(Timeline!GF$43=1,IF(PermActual360=1,PermRate*GF$25/360,PermRate/12),0)</f>
        <v/>
      </c>
      <c r="GG26" s="260">
        <f>IF(Timeline!GG$43=1,IF(PermActual360=1,PermRate*GG$25/360,PermRate/12),0)</f>
        <v/>
      </c>
      <c r="GH26" s="260">
        <f>IF(Timeline!GH$43=1,IF(PermActual360=1,PermRate*GH$25/360,PermRate/12),0)</f>
        <v/>
      </c>
      <c r="GI26" s="260">
        <f>IF(Timeline!GI$43=1,IF(PermActual360=1,PermRate*GI$25/360,PermRate/12),0)</f>
        <v/>
      </c>
      <c r="GJ26" s="260">
        <f>IF(Timeline!GJ$43=1,IF(PermActual360=1,PermRate*GJ$25/360,PermRate/12),0)</f>
        <v/>
      </c>
      <c r="GK26" s="260">
        <f>IF(Timeline!GK$43=1,IF(PermActual360=1,PermRate*GK$25/360,PermRate/12),0)</f>
        <v/>
      </c>
      <c r="GL26" s="260">
        <f>IF(Timeline!GL$43=1,IF(PermActual360=1,PermRate*GL$25/360,PermRate/12),0)</f>
        <v/>
      </c>
      <c r="GM26" s="260">
        <f>IF(Timeline!GM$43=1,IF(PermActual360=1,PermRate*GM$25/360,PermRate/12),0)</f>
        <v/>
      </c>
      <c r="GN26" s="260">
        <f>IF(Timeline!GN$43=1,IF(PermActual360=1,PermRate*GN$25/360,PermRate/12),0)</f>
        <v/>
      </c>
      <c r="GO26" s="260">
        <f>IF(Timeline!GO$43=1,IF(PermActual360=1,PermRate*GO$25/360,PermRate/12),0)</f>
        <v/>
      </c>
      <c r="GP26" s="260">
        <f>IF(Timeline!GP$43=1,IF(PermActual360=1,PermRate*GP$25/360,PermRate/12),0)</f>
        <v/>
      </c>
      <c r="GQ26" s="260">
        <f>IF(Timeline!GQ$43=1,IF(PermActual360=1,PermRate*GQ$25/360,PermRate/12),0)</f>
        <v/>
      </c>
      <c r="GR26" s="260">
        <f>IF(Timeline!GR$43=1,IF(PermActual360=1,PermRate*GR$25/360,PermRate/12),0)</f>
        <v/>
      </c>
      <c r="GS26" s="260">
        <f>IF(Timeline!GS$43=1,IF(PermActual360=1,PermRate*GS$25/360,PermRate/12),0)</f>
        <v/>
      </c>
      <c r="GT26" s="260">
        <f>IF(Timeline!GT$43=1,IF(PermActual360=1,PermRate*GT$25/360,PermRate/12),0)</f>
        <v/>
      </c>
      <c r="GU26" s="260">
        <f>IF(Timeline!GU$43=1,IF(PermActual360=1,PermRate*GU$25/360,PermRate/12),0)</f>
        <v/>
      </c>
      <c r="GV26" s="260">
        <f>IF(Timeline!GV$43=1,IF(PermActual360=1,PermRate*GV$25/360,PermRate/12),0)</f>
        <v/>
      </c>
      <c r="GW26" s="260">
        <f>IF(Timeline!GW$43=1,IF(PermActual360=1,PermRate*GW$25/360,PermRate/12),0)</f>
        <v/>
      </c>
      <c r="GX26" s="260">
        <f>IF(Timeline!GX$43=1,IF(PermActual360=1,PermRate*GX$25/360,PermRate/12),0)</f>
        <v/>
      </c>
      <c r="GY26" s="260">
        <f>IF(Timeline!GY$43=1,IF(PermActual360=1,PermRate*GY$25/360,PermRate/12),0)</f>
        <v/>
      </c>
      <c r="GZ26" s="260">
        <f>IF(Timeline!GZ$43=1,IF(PermActual360=1,PermRate*GZ$25/360,PermRate/12),0)</f>
        <v/>
      </c>
      <c r="HA26" s="260">
        <f>IF(Timeline!HA$43=1,IF(PermActual360=1,PermRate*HA$25/360,PermRate/12),0)</f>
        <v/>
      </c>
      <c r="HB26" s="260">
        <f>IF(Timeline!HB$43=1,IF(PermActual360=1,PermRate*HB$25/360,PermRate/12),0)</f>
        <v/>
      </c>
      <c r="HC26" s="260">
        <f>IF(Timeline!HC$43=1,IF(PermActual360=1,PermRate*HC$25/360,PermRate/12),0)</f>
        <v/>
      </c>
      <c r="HD26" s="260">
        <f>IF(Timeline!HD$43=1,IF(PermActual360=1,PermRate*HD$25/360,PermRate/12),0)</f>
        <v/>
      </c>
      <c r="HE26" s="260">
        <f>IF(Timeline!HE$43=1,IF(PermActual360=1,PermRate*HE$25/360,PermRate/12),0)</f>
        <v/>
      </c>
      <c r="HF26" s="260">
        <f>IF(Timeline!HF$43=1,IF(PermActual360=1,PermRate*HF$25/360,PermRate/12),0)</f>
        <v/>
      </c>
      <c r="HG26" s="260">
        <f>IF(Timeline!HG$43=1,IF(PermActual360=1,PermRate*HG$25/360,PermRate/12),0)</f>
        <v/>
      </c>
      <c r="HH26" s="260">
        <f>IF(Timeline!HH$43=1,IF(PermActual360=1,PermRate*HH$25/360,PermRate/12),0)</f>
        <v/>
      </c>
      <c r="HI26" s="260">
        <f>IF(Timeline!HI$43=1,IF(PermActual360=1,PermRate*HI$25/360,PermRate/12),0)</f>
        <v/>
      </c>
      <c r="HJ26" s="260">
        <f>IF(Timeline!HJ$43=1,IF(PermActual360=1,PermRate*HJ$25/360,PermRate/12),0)</f>
        <v/>
      </c>
      <c r="HK26" s="260">
        <f>IF(Timeline!HK$43=1,IF(PermActual360=1,PermRate*HK$25/360,PermRate/12),0)</f>
        <v/>
      </c>
      <c r="HL26" s="260">
        <f>IF(Timeline!HL$43=1,IF(PermActual360=1,PermRate*HL$25/360,PermRate/12),0)</f>
        <v/>
      </c>
      <c r="HM26" s="260">
        <f>IF(Timeline!HM$43=1,IF(PermActual360=1,PermRate*HM$25/360,PermRate/12),0)</f>
        <v/>
      </c>
      <c r="HN26" s="260">
        <f>IF(Timeline!HN$43=1,IF(PermActual360=1,PermRate*HN$25/360,PermRate/12),0)</f>
        <v/>
      </c>
      <c r="HO26" s="260">
        <f>IF(Timeline!HO$43=1,IF(PermActual360=1,PermRate*HO$25/360,PermRate/12),0)</f>
        <v/>
      </c>
      <c r="HP26" s="260">
        <f>IF(Timeline!HP$43=1,IF(PermActual360=1,PermRate*HP$25/360,PermRate/12),0)</f>
        <v/>
      </c>
      <c r="HQ26" s="260">
        <f>IF(Timeline!HQ$43=1,IF(PermActual360=1,PermRate*HQ$25/360,PermRate/12),0)</f>
        <v/>
      </c>
      <c r="HR26" s="260">
        <f>IF(Timeline!HR$43=1,IF(PermActual360=1,PermRate*HR$25/360,PermRate/12),0)</f>
        <v/>
      </c>
      <c r="HS26" s="260">
        <f>IF(Timeline!HS$43=1,IF(PermActual360=1,PermRate*HS$25/360,PermRate/12),0)</f>
        <v/>
      </c>
      <c r="HT26" s="260">
        <f>IF(Timeline!HT$43=1,IF(PermActual360=1,PermRate*HT$25/360,PermRate/12),0)</f>
        <v/>
      </c>
      <c r="HU26" s="260">
        <f>IF(Timeline!HU$43=1,IF(PermActual360=1,PermRate*HU$25/360,PermRate/12),0)</f>
        <v/>
      </c>
      <c r="HV26" s="260">
        <f>IF(Timeline!HV$43=1,IF(PermActual360=1,PermRate*HV$25/360,PermRate/12),0)</f>
        <v/>
      </c>
      <c r="HW26" s="260">
        <f>IF(Timeline!HW$43=1,IF(PermActual360=1,PermRate*HW$25/360,PermRate/12),0)</f>
        <v/>
      </c>
      <c r="HX26" s="260">
        <f>IF(Timeline!HX$43=1,IF(PermActual360=1,PermRate*HX$25/360,PermRate/12),0)</f>
        <v/>
      </c>
      <c r="HY26" s="260">
        <f>IF(Timeline!HY$43=1,IF(PermActual360=1,PermRate*HY$25/360,PermRate/12),0)</f>
        <v/>
      </c>
      <c r="HZ26" s="260">
        <f>IF(Timeline!HZ$43=1,IF(PermActual360=1,PermRate*HZ$25/360,PermRate/12),0)</f>
        <v/>
      </c>
      <c r="IA26" s="260">
        <f>IF(Timeline!IA$43=1,IF(PermActual360=1,PermRate*IA$25/360,PermRate/12),0)</f>
        <v/>
      </c>
      <c r="IB26" s="260">
        <f>IF(Timeline!IB$43=1,IF(PermActual360=1,PermRate*IB$25/360,PermRate/12),0)</f>
        <v/>
      </c>
      <c r="IC26" s="260">
        <f>IF(Timeline!IC$43=1,IF(PermActual360=1,PermRate*IC$25/360,PermRate/12),0)</f>
        <v/>
      </c>
      <c r="ID26" s="260">
        <f>IF(Timeline!ID$43=1,IF(PermActual360=1,PermRate*ID$25/360,PermRate/12),0)</f>
        <v/>
      </c>
      <c r="IE26" s="260">
        <f>IF(Timeline!IE$43=1,IF(PermActual360=1,PermRate*IE$25/360,PermRate/12),0)</f>
        <v/>
      </c>
      <c r="IF26" s="260">
        <f>IF(Timeline!IF$43=1,IF(PermActual360=1,PermRate*IF$25/360,PermRate/12),0)</f>
        <v/>
      </c>
      <c r="IG26" s="260">
        <f>IF(Timeline!IG$43=1,IF(PermActual360=1,PermRate*IG$25/360,PermRate/12),0)</f>
        <v/>
      </c>
      <c r="IH26" s="260">
        <f>IF(Timeline!IH$43=1,IF(PermActual360=1,PermRate*IH$25/360,PermRate/12),0)</f>
        <v/>
      </c>
      <c r="II26" s="260">
        <f>IF(Timeline!II$43=1,IF(PermActual360=1,PermRate*II$25/360,PermRate/12),0)</f>
        <v/>
      </c>
      <c r="IJ26" s="260">
        <f>IF(Timeline!IJ$43=1,IF(PermActual360=1,PermRate*IJ$25/360,PermRate/12),0)</f>
        <v/>
      </c>
      <c r="IK26" s="260">
        <f>IF(Timeline!IK$43=1,IF(PermActual360=1,PermRate*IK$25/360,PermRate/12),0)</f>
        <v/>
      </c>
      <c r="IL26" s="260">
        <f>IF(Timeline!IL$43=1,IF(PermActual360=1,PermRate*IL$25/360,PermRate/12),0)</f>
        <v/>
      </c>
      <c r="IM26" s="260">
        <f>IF(Timeline!IM$43=1,IF(PermActual360=1,PermRate*IM$25/360,PermRate/12),0)</f>
        <v/>
      </c>
      <c r="IN26" s="260">
        <f>IF(Timeline!IN$43=1,IF(PermActual360=1,PermRate*IN$25/360,PermRate/12),0)</f>
        <v/>
      </c>
      <c r="IO26" s="260">
        <f>IF(Timeline!IO$43=1,IF(PermActual360=1,PermRate*IO$25/360,PermRate/12),0)</f>
        <v/>
      </c>
      <c r="IP26" s="260">
        <f>IF(Timeline!IP$43=1,IF(PermActual360=1,PermRate*IP$25/360,PermRate/12),0)</f>
        <v/>
      </c>
      <c r="IQ26" s="260">
        <f>IF(Timeline!IQ$43=1,IF(PermActual360=1,PermRate*IQ$25/360,PermRate/12),0)</f>
        <v/>
      </c>
      <c r="IR26" s="260">
        <f>IF(Timeline!IR$43=1,IF(PermActual360=1,PermRate*IR$25/360,PermRate/12),0)</f>
        <v/>
      </c>
      <c r="IS26" s="260">
        <f>IF(Timeline!IS$43=1,IF(PermActual360=1,PermRate*IS$25/360,PermRate/12),0)</f>
        <v/>
      </c>
      <c r="IT26" s="260">
        <f>IF(Timeline!IT$43=1,IF(PermActual360=1,PermRate*IT$25/360,PermRate/12),0)</f>
        <v/>
      </c>
      <c r="IU26" s="260">
        <f>IF(Timeline!IU$43=1,IF(PermActual360=1,PermRate*IU$25/360,PermRate/12),0)</f>
        <v/>
      </c>
      <c r="IV26" s="260">
        <f>IF(Timeline!IV$43=1,IF(PermActual360=1,PermRate*IV$25/360,PermRate/12),0)</f>
        <v/>
      </c>
      <c r="IW26" s="260">
        <f>IF(Timeline!IW$43=1,IF(PermActual360=1,PermRate*IW$25/360,PermRate/12),0)</f>
        <v/>
      </c>
      <c r="IX26" s="260">
        <f>IF(Timeline!IX$43=1,IF(PermActual360=1,PermRate*IX$25/360,PermRate/12),0)</f>
        <v/>
      </c>
      <c r="IY26" s="260">
        <f>IF(Timeline!IY$43=1,IF(PermActual360=1,PermRate*IY$25/360,PermRate/12),0)</f>
        <v/>
      </c>
      <c r="IZ26" s="260">
        <f>IF(Timeline!IZ$43=1,IF(PermActual360=1,PermRate*IZ$25/360,PermRate/12),0)</f>
        <v/>
      </c>
      <c r="JA26" s="260">
        <f>IF(Timeline!JA$43=1,IF(PermActual360=1,PermRate*JA$25/360,PermRate/12),0)</f>
        <v/>
      </c>
      <c r="JB26" s="260">
        <f>IF(Timeline!JB$43=1,IF(PermActual360=1,PermRate*JB$25/360,PermRate/12),0)</f>
        <v/>
      </c>
      <c r="JC26" s="260">
        <f>IF(Timeline!JC$43=1,IF(PermActual360=1,PermRate*JC$25/360,PermRate/12),0)</f>
        <v/>
      </c>
      <c r="JD26" s="260">
        <f>IF(Timeline!JD$43=1,IF(PermActual360=1,PermRate*JD$25/360,PermRate/12),0)</f>
        <v/>
      </c>
      <c r="JE26" s="260">
        <f>IF(Timeline!JE$43=1,IF(PermActual360=1,PermRate*JE$25/360,PermRate/12),0)</f>
        <v/>
      </c>
      <c r="JF26" s="260">
        <f>IF(Timeline!JF$43=1,IF(PermActual360=1,PermRate*JF$25/360,PermRate/12),0)</f>
        <v/>
      </c>
      <c r="JG26" s="260">
        <f>IF(Timeline!JG$43=1,IF(PermActual360=1,PermRate*JG$25/360,PermRate/12),0)</f>
        <v/>
      </c>
      <c r="JH26" s="260">
        <f>IF(Timeline!JH$43=1,IF(PermActual360=1,PermRate*JH$25/360,PermRate/12),0)</f>
        <v/>
      </c>
      <c r="JI26" s="260">
        <f>IF(Timeline!JI$43=1,IF(PermActual360=1,PermRate*JI$25/360,PermRate/12),0)</f>
        <v/>
      </c>
      <c r="JJ26" s="260">
        <f>IF(Timeline!JJ$43=1,IF(PermActual360=1,PermRate*JJ$25/360,PermRate/12),0)</f>
        <v/>
      </c>
      <c r="JK26" s="260">
        <f>IF(Timeline!JK$43=1,IF(PermActual360=1,PermRate*JK$25/360,PermRate/12),0)</f>
        <v/>
      </c>
      <c r="JL26" s="260">
        <f>IF(Timeline!JL$43=1,IF(PermActual360=1,PermRate*JL$25/360,PermRate/12),0)</f>
        <v/>
      </c>
      <c r="JM26" s="260">
        <f>IF(Timeline!JM$43=1,IF(PermActual360=1,PermRate*JM$25/360,PermRate/12),0)</f>
        <v/>
      </c>
      <c r="JN26" s="260">
        <f>IF(Timeline!JN$43=1,IF(PermActual360=1,PermRate*JN$25/360,PermRate/12),0)</f>
        <v/>
      </c>
      <c r="JO26" s="260">
        <f>IF(Timeline!JO$43=1,IF(PermActual360=1,PermRate*JO$25/360,PermRate/12),0)</f>
        <v/>
      </c>
      <c r="JP26" s="260">
        <f>IF(Timeline!JP$43=1,IF(PermActual360=1,PermRate*JP$25/360,PermRate/12),0)</f>
        <v/>
      </c>
      <c r="JQ26" s="260">
        <f>IF(Timeline!JQ$43=1,IF(PermActual360=1,PermRate*JQ$25/360,PermRate/12),0)</f>
        <v/>
      </c>
      <c r="JR26" s="260">
        <f>IF(Timeline!JR$43=1,IF(PermActual360=1,PermRate*JR$25/360,PermRate/12),0)</f>
        <v/>
      </c>
      <c r="JS26" s="260">
        <f>IF(Timeline!JS$43=1,IF(PermActual360=1,PermRate*JS$25/360,PermRate/12),0)</f>
        <v/>
      </c>
      <c r="JT26" s="260">
        <f>IF(Timeline!JT$43=1,IF(PermActual360=1,PermRate*JT$25/360,PermRate/12),0)</f>
        <v/>
      </c>
      <c r="JU26" s="260">
        <f>IF(Timeline!JU$43=1,IF(PermActual360=1,PermRate*JU$25/360,PermRate/12),0)</f>
        <v/>
      </c>
      <c r="JV26" s="260">
        <f>IF(Timeline!JV$43=1,IF(PermActual360=1,PermRate*JV$25/360,PermRate/12),0)</f>
        <v/>
      </c>
      <c r="JW26" s="260">
        <f>IF(Timeline!JW$43=1,IF(PermActual360=1,PermRate*JW$25/360,PermRate/12),0)</f>
        <v/>
      </c>
      <c r="JX26" s="260">
        <f>IF(Timeline!JX$43=1,IF(PermActual360=1,PermRate*JX$25/360,PermRate/12),0)</f>
        <v/>
      </c>
      <c r="JY26" s="260">
        <f>IF(Timeline!JY$43=1,IF(PermActual360=1,PermRate*JY$25/360,PermRate/12),0)</f>
        <v/>
      </c>
      <c r="JZ26" s="260">
        <f>IF(Timeline!JZ$43=1,IF(PermActual360=1,PermRate*JZ$25/360,PermRate/12),0)</f>
        <v/>
      </c>
      <c r="KA26" s="260">
        <f>IF(Timeline!KA$43=1,IF(PermActual360=1,PermRate*KA$25/360,PermRate/12),0)</f>
        <v/>
      </c>
      <c r="KB26" s="260">
        <f>IF(Timeline!KB$43=1,IF(PermActual360=1,PermRate*KB$25/360,PermRate/12),0)</f>
        <v/>
      </c>
      <c r="KC26" s="260">
        <f>IF(Timeline!KC$43=1,IF(PermActual360=1,PermRate*KC$25/360,PermRate/12),0)</f>
        <v/>
      </c>
      <c r="KD26" s="260">
        <f>IF(Timeline!KD$43=1,IF(PermActual360=1,PermRate*KD$25/360,PermRate/12),0)</f>
        <v/>
      </c>
      <c r="KE26" s="260">
        <f>IF(Timeline!KE$43=1,IF(PermActual360=1,PermRate*KE$25/360,PermRate/12),0)</f>
        <v/>
      </c>
      <c r="KF26" s="260">
        <f>IF(Timeline!KF$43=1,IF(PermActual360=1,PermRate*KF$25/360,PermRate/12),0)</f>
        <v/>
      </c>
      <c r="KG26" s="260">
        <f>IF(Timeline!KG$43=1,IF(PermActual360=1,PermRate*KG$25/360,PermRate/12),0)</f>
        <v/>
      </c>
      <c r="KH26" s="260">
        <f>IF(Timeline!KH$43=1,IF(PermActual360=1,PermRate*KH$25/360,PermRate/12),0)</f>
        <v/>
      </c>
      <c r="KI26" s="260">
        <f>IF(Timeline!KI$43=1,IF(PermActual360=1,PermRate*KI$25/360,PermRate/12),0)</f>
        <v/>
      </c>
      <c r="KJ26" s="260">
        <f>IF(Timeline!KJ$43=1,IF(PermActual360=1,PermRate*KJ$25/360,PermRate/12),0)</f>
        <v/>
      </c>
      <c r="KK26" s="260">
        <f>IF(Timeline!KK$43=1,IF(PermActual360=1,PermRate*KK$25/360,PermRate/12),0)</f>
        <v/>
      </c>
      <c r="KL26" s="260">
        <f>IF(Timeline!KL$43=1,IF(PermActual360=1,PermRate*KL$25/360,PermRate/12),0)</f>
        <v/>
      </c>
      <c r="KM26" s="260">
        <f>IF(Timeline!KM$43=1,IF(PermActual360=1,PermRate*KM$25/360,PermRate/12),0)</f>
        <v/>
      </c>
      <c r="KN26" s="260">
        <f>IF(Timeline!KN$43=1,IF(PermActual360=1,PermRate*KN$25/360,PermRate/12),0)</f>
        <v/>
      </c>
      <c r="KO26" s="260">
        <f>IF(Timeline!KO$43=1,IF(PermActual360=1,PermRate*KO$25/360,PermRate/12),0)</f>
        <v/>
      </c>
      <c r="KP26" s="260">
        <f>IF(Timeline!KP$43=1,IF(PermActual360=1,PermRate*KP$25/360,PermRate/12),0)</f>
        <v/>
      </c>
      <c r="KQ26" s="260">
        <f>IF(Timeline!KQ$43=1,IF(PermActual360=1,PermRate*KQ$25/360,PermRate/12),0)</f>
        <v/>
      </c>
      <c r="KR26" s="260">
        <f>IF(Timeline!KR$43=1,IF(PermActual360=1,PermRate*KR$25/360,PermRate/12),0)</f>
        <v/>
      </c>
      <c r="KS26" s="260">
        <f>IF(Timeline!KS$43=1,IF(PermActual360=1,PermRate*KS$25/360,PermRate/12),0)</f>
        <v/>
      </c>
      <c r="KT26" s="260">
        <f>IF(Timeline!KT$43=1,IF(PermActual360=1,PermRate*KT$25/360,PermRate/12),0)</f>
        <v/>
      </c>
      <c r="KU26" s="260">
        <f>IF(Timeline!KU$43=1,IF(PermActual360=1,PermRate*KU$25/360,PermRate/12),0)</f>
        <v/>
      </c>
      <c r="KV26" s="260">
        <f>IF(Timeline!KV$43=1,IF(PermActual360=1,PermRate*KV$25/360,PermRate/12),0)</f>
        <v/>
      </c>
      <c r="KW26" s="260">
        <f>IF(Timeline!KW$43=1,IF(PermActual360=1,PermRate*KW$25/360,PermRate/12),0)</f>
        <v/>
      </c>
      <c r="KX26" s="260">
        <f>IF(Timeline!KX$43=1,IF(PermActual360=1,PermRate*KX$25/360,PermRate/12),0)</f>
        <v/>
      </c>
      <c r="KY26" s="260">
        <f>IF(Timeline!KY$43=1,IF(PermActual360=1,PermRate*KY$25/360,PermRate/12),0)</f>
        <v/>
      </c>
      <c r="KZ26" s="260">
        <f>IF(Timeline!KZ$43=1,IF(PermActual360=1,PermRate*KZ$25/360,PermRate/12),0)</f>
        <v/>
      </c>
      <c r="LA26" s="260">
        <f>IF(Timeline!LA$43=1,IF(PermActual360=1,PermRate*LA$25/360,PermRate/12),0)</f>
        <v/>
      </c>
      <c r="LB26" s="260">
        <f>IF(Timeline!LB$43=1,IF(PermActual360=1,PermRate*LB$25/360,PermRate/12),0)</f>
        <v/>
      </c>
      <c r="LC26" s="260">
        <f>IF(Timeline!LC$43=1,IF(PermActual360=1,PermRate*LC$25/360,PermRate/12),0)</f>
        <v/>
      </c>
      <c r="LD26" s="260">
        <f>IF(Timeline!LD$43=1,IF(PermActual360=1,PermRate*LD$25/360,PermRate/12),0)</f>
        <v/>
      </c>
      <c r="LE26" s="260">
        <f>IF(Timeline!LE$43=1,IF(PermActual360=1,PermRate*LE$25/360,PermRate/12),0)</f>
        <v/>
      </c>
      <c r="LF26" s="260">
        <f>IF(Timeline!LF$43=1,IF(PermActual360=1,PermRate*LF$25/360,PermRate/12),0)</f>
        <v/>
      </c>
      <c r="LG26" s="260">
        <f>IF(Timeline!LG$43=1,IF(PermActual360=1,PermRate*LG$25/360,PermRate/12),0)</f>
        <v/>
      </c>
      <c r="LH26" s="260">
        <f>IF(Timeline!LH$43=1,IF(PermActual360=1,PermRate*LH$25/360,PermRate/12),0)</f>
        <v/>
      </c>
      <c r="LI26" s="260">
        <f>IF(Timeline!LI$43=1,IF(PermActual360=1,PermRate*LI$25/360,PermRate/12),0)</f>
        <v/>
      </c>
      <c r="LJ26" s="260">
        <f>IF(Timeline!LJ$43=1,IF(PermActual360=1,PermRate*LJ$25/360,PermRate/12),0)</f>
        <v/>
      </c>
      <c r="LK26" s="260">
        <f>IF(Timeline!LK$43=1,IF(PermActual360=1,PermRate*LK$25/360,PermRate/12),0)</f>
        <v/>
      </c>
      <c r="LL26" s="260">
        <f>IF(Timeline!LL$43=1,IF(PermActual360=1,PermRate*LL$25/360,PermRate/12),0)</f>
        <v/>
      </c>
      <c r="LM26" s="260">
        <f>IF(Timeline!LM$43=1,IF(PermActual360=1,PermRate*LM$25/360,PermRate/12),0)</f>
        <v/>
      </c>
      <c r="LN26" s="260">
        <f>IF(Timeline!LN$43=1,IF(PermActual360=1,PermRate*LN$25/360,PermRate/12),0)</f>
        <v/>
      </c>
      <c r="LO26" s="260">
        <f>IF(Timeline!LO$43=1,IF(PermActual360=1,PermRate*LO$25/360,PermRate/12),0)</f>
        <v/>
      </c>
      <c r="LP26" s="260">
        <f>IF(Timeline!LP$43=1,IF(PermActual360=1,PermRate*LP$25/360,PermRate/12),0)</f>
        <v/>
      </c>
      <c r="LQ26" s="260">
        <f>IF(Timeline!LQ$43=1,IF(PermActual360=1,PermRate*LQ$25/360,PermRate/12),0)</f>
        <v/>
      </c>
      <c r="LR26" s="260">
        <f>IF(Timeline!LR$43=1,IF(PermActual360=1,PermRate*LR$25/360,PermRate/12),0)</f>
        <v/>
      </c>
      <c r="LS26" s="260">
        <f>IF(Timeline!LS$43=1,IF(PermActual360=1,PermRate*LS$25/360,PermRate/12),0)</f>
        <v/>
      </c>
      <c r="LT26" s="260">
        <f>IF(Timeline!LT$43=1,IF(PermActual360=1,PermRate*LT$25/360,PermRate/12),0)</f>
        <v/>
      </c>
      <c r="LU26" s="260">
        <f>IF(Timeline!LU$43=1,IF(PermActual360=1,PermRate*LU$25/360,PermRate/12),0)</f>
        <v/>
      </c>
      <c r="LV26" s="260">
        <f>IF(Timeline!LV$43=1,IF(PermActual360=1,PermRate*LV$25/360,PermRate/12),0)</f>
        <v/>
      </c>
      <c r="LW26" s="260">
        <f>IF(Timeline!LW$43=1,IF(PermActual360=1,PermRate*LW$25/360,PermRate/12),0)</f>
        <v/>
      </c>
      <c r="LX26" s="260">
        <f>IF(Timeline!LX$43=1,IF(PermActual360=1,PermRate*LX$25/360,PermRate/12),0)</f>
        <v/>
      </c>
      <c r="LY26" s="260">
        <f>IF(Timeline!LY$43=1,IF(PermActual360=1,PermRate*LY$25/360,PermRate/12),0)</f>
        <v/>
      </c>
      <c r="LZ26" s="260">
        <f>IF(Timeline!LZ$43=1,IF(PermActual360=1,PermRate*LZ$25/360,PermRate/12),0)</f>
        <v/>
      </c>
      <c r="MA26" s="260">
        <f>IF(Timeline!MA$43=1,IF(PermActual360=1,PermRate*MA$25/360,PermRate/12),0)</f>
        <v/>
      </c>
      <c r="MB26" s="260">
        <f>IF(Timeline!MB$43=1,IF(PermActual360=1,PermRate*MB$25/360,PermRate/12),0)</f>
        <v/>
      </c>
      <c r="MC26" s="260">
        <f>IF(Timeline!MC$43=1,IF(PermActual360=1,PermRate*MC$25/360,PermRate/12),0)</f>
        <v/>
      </c>
      <c r="MD26" s="260">
        <f>IF(Timeline!MD$43=1,IF(PermActual360=1,PermRate*MD$25/360,PermRate/12),0)</f>
        <v/>
      </c>
      <c r="ME26" s="260">
        <f>IF(Timeline!ME$43=1,IF(PermActual360=1,PermRate*ME$25/360,PermRate/12),0)</f>
        <v/>
      </c>
      <c r="MF26" s="260">
        <f>IF(Timeline!MF$43=1,IF(PermActual360=1,PermRate*MF$25/360,PermRate/12),0)</f>
        <v/>
      </c>
      <c r="MG26" s="260">
        <f>IF(Timeline!MG$43=1,IF(PermActual360=1,PermRate*MG$25/360,PermRate/12),0)</f>
        <v/>
      </c>
      <c r="MH26" s="260">
        <f>IF(Timeline!MH$43=1,IF(PermActual360=1,PermRate*MH$25/360,PermRate/12),0)</f>
        <v/>
      </c>
      <c r="MI26" s="260">
        <f>IF(Timeline!MI$43=1,IF(PermActual360=1,PermRate*MI$25/360,PermRate/12),0)</f>
        <v/>
      </c>
      <c r="MJ26" s="260">
        <f>IF(Timeline!MJ$43=1,IF(PermActual360=1,PermRate*MJ$25/360,PermRate/12),0)</f>
        <v/>
      </c>
      <c r="MK26" s="260">
        <f>IF(Timeline!MK$43=1,IF(PermActual360=1,PermRate*MK$25/360,PermRate/12),0)</f>
        <v/>
      </c>
      <c r="ML26" s="260">
        <f>IF(Timeline!ML$43=1,IF(PermActual360=1,PermRate*ML$25/360,PermRate/12),0)</f>
        <v/>
      </c>
      <c r="MM26" s="260">
        <f>IF(Timeline!MM$43=1,IF(PermActual360=1,PermRate*MM$25/360,PermRate/12),0)</f>
        <v/>
      </c>
      <c r="MN26" s="260">
        <f>IF(Timeline!MN$43=1,IF(PermActual360=1,PermRate*MN$25/360,PermRate/12),0)</f>
        <v/>
      </c>
      <c r="MO26" s="260">
        <f>IF(Timeline!MO$43=1,IF(PermActual360=1,PermRate*MO$25/360,PermRate/12),0)</f>
        <v/>
      </c>
      <c r="MP26" s="260">
        <f>IF(Timeline!MP$43=1,IF(PermActual360=1,PermRate*MP$25/360,PermRate/12),0)</f>
        <v/>
      </c>
      <c r="MQ26" s="260">
        <f>IF(Timeline!MQ$43=1,IF(PermActual360=1,PermRate*MQ$25/360,PermRate/12),0)</f>
        <v/>
      </c>
      <c r="MR26" s="260">
        <f>IF(Timeline!MR$43=1,IF(PermActual360=1,PermRate*MR$25/360,PermRate/12),0)</f>
        <v/>
      </c>
      <c r="MS26" s="260">
        <f>IF(Timeline!MS$43=1,IF(PermActual360=1,PermRate*MS$25/360,PermRate/12),0)</f>
        <v/>
      </c>
      <c r="MT26" s="260">
        <f>IF(Timeline!MT$43=1,IF(PermActual360=1,PermRate*MT$25/360,PermRate/12),0)</f>
        <v/>
      </c>
      <c r="MU26" s="260">
        <f>IF(Timeline!MU$43=1,IF(PermActual360=1,PermRate*MU$25/360,PermRate/12),0)</f>
        <v/>
      </c>
      <c r="MV26" s="260">
        <f>IF(Timeline!MV$43=1,IF(PermActual360=1,PermRate*MV$25/360,PermRate/12),0)</f>
        <v/>
      </c>
      <c r="MW26" s="260">
        <f>IF(Timeline!MW$43=1,IF(PermActual360=1,PermRate*MW$25/360,PermRate/12),0)</f>
        <v/>
      </c>
      <c r="MX26" s="260">
        <f>IF(Timeline!MX$43=1,IF(PermActual360=1,PermRate*MX$25/360,PermRate/12),0)</f>
        <v/>
      </c>
      <c r="MY26" s="260">
        <f>IF(Timeline!MY$43=1,IF(PermActual360=1,PermRate*MY$25/360,PermRate/12),0)</f>
        <v/>
      </c>
      <c r="MZ26" s="260">
        <f>IF(Timeline!MZ$43=1,IF(PermActual360=1,PermRate*MZ$25/360,PermRate/12),0)</f>
        <v/>
      </c>
      <c r="NA26" s="260">
        <f>IF(Timeline!NA$43=1,IF(PermActual360=1,PermRate*NA$25/360,PermRate/12),0)</f>
        <v/>
      </c>
      <c r="NB26" s="260">
        <f>IF(Timeline!NB$43=1,IF(PermActual360=1,PermRate*NB$25/360,PermRate/12),0)</f>
        <v/>
      </c>
      <c r="NC26" s="260">
        <f>IF(Timeline!NC$43=1,IF(PermActual360=1,PermRate*NC$25/360,PermRate/12),0)</f>
        <v/>
      </c>
      <c r="ND26" s="260">
        <f>IF(Timeline!ND$43=1,IF(PermActual360=1,PermRate*ND$25/360,PermRate/12),0)</f>
        <v/>
      </c>
      <c r="NE26" s="260">
        <f>IF(Timeline!NE$43=1,IF(PermActual360=1,PermRate*NE$25/360,PermRate/12),0)</f>
        <v/>
      </c>
      <c r="NF26" s="260">
        <f>IF(Timeline!NF$43=1,IF(PermActual360=1,PermRate*NF$25/360,PermRate/12),0)</f>
        <v/>
      </c>
      <c r="NG26" s="260">
        <f>IF(Timeline!NG$43=1,IF(PermActual360=1,PermRate*NG$25/360,PermRate/12),0)</f>
        <v/>
      </c>
      <c r="NH26" s="260">
        <f>IF(Timeline!NH$43=1,IF(PermActual360=1,PermRate*NH$25/360,PermRate/12),0)</f>
        <v/>
      </c>
      <c r="NI26" s="260">
        <f>IF(Timeline!NI$43=1,IF(PermActual360=1,PermRate*NI$25/360,PermRate/12),0)</f>
        <v/>
      </c>
      <c r="NJ26" s="260">
        <f>IF(Timeline!NJ$43=1,IF(PermActual360=1,PermRate*NJ$25/360,PermRate/12),0)</f>
        <v/>
      </c>
      <c r="NK26" s="260">
        <f>IF(Timeline!NK$43=1,IF(PermActual360=1,PermRate*NK$25/360,PermRate/12),0)</f>
        <v/>
      </c>
      <c r="NL26" s="260">
        <f>IF(Timeline!NL$43=1,IF(PermActual360=1,PermRate*NL$25/360,PermRate/12),0)</f>
        <v/>
      </c>
    </row>
    <row r="27">
      <c r="B27" s="36" t="inlineStr">
        <is>
          <t>Interest</t>
        </is>
      </c>
      <c r="D27" s="258">
        <f>SUM(E27:NL27)</f>
        <v/>
      </c>
      <c r="E27" s="218">
        <f>E$26*(0)</f>
        <v/>
      </c>
      <c r="F27" s="218">
        <f>F$26*(E$30)</f>
        <v/>
      </c>
      <c r="G27" s="218">
        <f>G$26*(F$30)</f>
        <v/>
      </c>
      <c r="H27" s="218">
        <f>H$26*(G$30)</f>
        <v/>
      </c>
      <c r="I27" s="218">
        <f>I$26*(H$30)</f>
        <v/>
      </c>
      <c r="J27" s="218">
        <f>J$26*(I$30)</f>
        <v/>
      </c>
      <c r="K27" s="218">
        <f>K$26*(J$30)</f>
        <v/>
      </c>
      <c r="L27" s="218">
        <f>L$26*(K$30)</f>
        <v/>
      </c>
      <c r="M27" s="218">
        <f>M$26*(L$30)</f>
        <v/>
      </c>
      <c r="N27" s="218">
        <f>N$26*(M$30)</f>
        <v/>
      </c>
      <c r="O27" s="218">
        <f>O$26*(N$30)</f>
        <v/>
      </c>
      <c r="P27" s="218">
        <f>P$26*(O$30)</f>
        <v/>
      </c>
      <c r="Q27" s="218">
        <f>Q$26*(P$30)</f>
        <v/>
      </c>
      <c r="R27" s="218">
        <f>R$26*(Q$30)</f>
        <v/>
      </c>
      <c r="S27" s="218">
        <f>S$26*(R$30)</f>
        <v/>
      </c>
      <c r="T27" s="218">
        <f>T$26*(S$30)</f>
        <v/>
      </c>
      <c r="U27" s="218">
        <f>U$26*(T$30)</f>
        <v/>
      </c>
      <c r="V27" s="218">
        <f>V$26*(U$30)</f>
        <v/>
      </c>
      <c r="W27" s="218">
        <f>W$26*(V$30)</f>
        <v/>
      </c>
      <c r="X27" s="218">
        <f>X$26*(W$30)</f>
        <v/>
      </c>
      <c r="Y27" s="218">
        <f>Y$26*(X$30)</f>
        <v/>
      </c>
      <c r="Z27" s="218">
        <f>Z$26*(Y$30)</f>
        <v/>
      </c>
      <c r="AA27" s="218">
        <f>AA$26*(Z$30)</f>
        <v/>
      </c>
      <c r="AB27" s="218">
        <f>AB$26*(AA$30)</f>
        <v/>
      </c>
      <c r="AC27" s="218">
        <f>AC$26*(AB$30)</f>
        <v/>
      </c>
      <c r="AD27" s="218">
        <f>AD$26*(AC$30)</f>
        <v/>
      </c>
      <c r="AE27" s="218">
        <f>AE$26*(AD$30)</f>
        <v/>
      </c>
      <c r="AF27" s="218">
        <f>AF$26*(AE$30)</f>
        <v/>
      </c>
      <c r="AG27" s="218">
        <f>AG$26*(AF$30)</f>
        <v/>
      </c>
      <c r="AH27" s="218">
        <f>AH$26*(AG$30)</f>
        <v/>
      </c>
      <c r="AI27" s="218">
        <f>AI$26*(AH$30)</f>
        <v/>
      </c>
      <c r="AJ27" s="218">
        <f>AJ$26*(AI$30)</f>
        <v/>
      </c>
      <c r="AK27" s="218">
        <f>AK$26*(AJ$30)</f>
        <v/>
      </c>
      <c r="AL27" s="218">
        <f>AL$26*(AK$30)</f>
        <v/>
      </c>
      <c r="AM27" s="218">
        <f>AM$26*(AL$30)</f>
        <v/>
      </c>
      <c r="AN27" s="218">
        <f>AN$26*(AM$30)</f>
        <v/>
      </c>
      <c r="AO27" s="218">
        <f>AO$26*(AN$30)</f>
        <v/>
      </c>
      <c r="AP27" s="218">
        <f>AP$26*(AO$30)</f>
        <v/>
      </c>
      <c r="AQ27" s="218">
        <f>AQ$26*(AP$30)</f>
        <v/>
      </c>
      <c r="AR27" s="218">
        <f>AR$26*(AQ$30)</f>
        <v/>
      </c>
      <c r="AS27" s="218">
        <f>AS$26*(AR$30)</f>
        <v/>
      </c>
      <c r="AT27" s="218">
        <f>AT$26*(AS$30)</f>
        <v/>
      </c>
      <c r="AU27" s="218">
        <f>AU$26*(AT$30)</f>
        <v/>
      </c>
      <c r="AV27" s="218">
        <f>AV$26*(AU$30)</f>
        <v/>
      </c>
      <c r="AW27" s="218">
        <f>AW$26*(AV$30)</f>
        <v/>
      </c>
      <c r="AX27" s="218">
        <f>AX$26*(AW$30)</f>
        <v/>
      </c>
      <c r="AY27" s="218">
        <f>AY$26*(AX$30)</f>
        <v/>
      </c>
      <c r="AZ27" s="218">
        <f>AZ$26*(AY$30)</f>
        <v/>
      </c>
      <c r="BA27" s="218">
        <f>BA$26*(AZ$30)</f>
        <v/>
      </c>
      <c r="BB27" s="218">
        <f>BB$26*(BA$30)</f>
        <v/>
      </c>
      <c r="BC27" s="218">
        <f>BC$26*(BB$30)</f>
        <v/>
      </c>
      <c r="BD27" s="218">
        <f>BD$26*(BC$30)</f>
        <v/>
      </c>
      <c r="BE27" s="218">
        <f>BE$26*(BD$30)</f>
        <v/>
      </c>
      <c r="BF27" s="218">
        <f>BF$26*(BE$30)</f>
        <v/>
      </c>
      <c r="BG27" s="218">
        <f>BG$26*(BF$30)</f>
        <v/>
      </c>
      <c r="BH27" s="218">
        <f>BH$26*(BG$30)</f>
        <v/>
      </c>
      <c r="BI27" s="218">
        <f>BI$26*(BH$30)</f>
        <v/>
      </c>
      <c r="BJ27" s="218">
        <f>BJ$26*(BI$30)</f>
        <v/>
      </c>
      <c r="BK27" s="218">
        <f>BK$26*(BJ$30)</f>
        <v/>
      </c>
      <c r="BL27" s="218">
        <f>BL$26*(BK$30)</f>
        <v/>
      </c>
      <c r="BM27" s="218">
        <f>BM$26*(BL$30)</f>
        <v/>
      </c>
      <c r="BN27" s="218">
        <f>BN$26*(BM$30)</f>
        <v/>
      </c>
      <c r="BO27" s="218">
        <f>BO$26*(BN$30)</f>
        <v/>
      </c>
      <c r="BP27" s="218">
        <f>BP$26*(BO$30)</f>
        <v/>
      </c>
      <c r="BQ27" s="218">
        <f>BQ$26*(BP$30)</f>
        <v/>
      </c>
      <c r="BR27" s="218">
        <f>BR$26*(BQ$30)</f>
        <v/>
      </c>
      <c r="BS27" s="218">
        <f>BS$26*(BR$30)</f>
        <v/>
      </c>
      <c r="BT27" s="218">
        <f>BT$26*(BS$30)</f>
        <v/>
      </c>
      <c r="BU27" s="218">
        <f>BU$26*(BT$30)</f>
        <v/>
      </c>
      <c r="BV27" s="218">
        <f>BV$26*(BU$30)</f>
        <v/>
      </c>
      <c r="BW27" s="218">
        <f>BW$26*(BV$30)</f>
        <v/>
      </c>
      <c r="BX27" s="218">
        <f>BX$26*(BW$30)</f>
        <v/>
      </c>
      <c r="BY27" s="218">
        <f>BY$26*(BX$30)</f>
        <v/>
      </c>
      <c r="BZ27" s="218">
        <f>BZ$26*(BY$30)</f>
        <v/>
      </c>
      <c r="CA27" s="218">
        <f>CA$26*(BZ$30)</f>
        <v/>
      </c>
      <c r="CB27" s="218">
        <f>CB$26*(CA$30)</f>
        <v/>
      </c>
      <c r="CC27" s="218">
        <f>CC$26*(CB$30)</f>
        <v/>
      </c>
      <c r="CD27" s="218">
        <f>CD$26*(CC$30)</f>
        <v/>
      </c>
      <c r="CE27" s="218">
        <f>CE$26*(CD$30)</f>
        <v/>
      </c>
      <c r="CF27" s="218">
        <f>CF$26*(CE$30)</f>
        <v/>
      </c>
      <c r="CG27" s="218">
        <f>CG$26*(CF$30)</f>
        <v/>
      </c>
      <c r="CH27" s="218">
        <f>CH$26*(CG$30)</f>
        <v/>
      </c>
      <c r="CI27" s="218">
        <f>CI$26*(CH$30)</f>
        <v/>
      </c>
      <c r="CJ27" s="218">
        <f>CJ$26*(CI$30)</f>
        <v/>
      </c>
      <c r="CK27" s="218">
        <f>CK$26*(CJ$30)</f>
        <v/>
      </c>
      <c r="CL27" s="218">
        <f>CL$26*(CK$30)</f>
        <v/>
      </c>
      <c r="CM27" s="218">
        <f>CM$26*(CL$30)</f>
        <v/>
      </c>
      <c r="CN27" s="218">
        <f>CN$26*(CM$30)</f>
        <v/>
      </c>
      <c r="CO27" s="218">
        <f>CO$26*(CN$30)</f>
        <v/>
      </c>
      <c r="CP27" s="218">
        <f>CP$26*(CO$30)</f>
        <v/>
      </c>
      <c r="CQ27" s="218">
        <f>CQ$26*(CP$30)</f>
        <v/>
      </c>
      <c r="CR27" s="218">
        <f>CR$26*(CQ$30)</f>
        <v/>
      </c>
      <c r="CS27" s="218">
        <f>CS$26*(CR$30)</f>
        <v/>
      </c>
      <c r="CT27" s="218">
        <f>CT$26*(CS$30)</f>
        <v/>
      </c>
      <c r="CU27" s="218">
        <f>CU$26*(CT$30)</f>
        <v/>
      </c>
      <c r="CV27" s="218">
        <f>CV$26*(CU$30)</f>
        <v/>
      </c>
      <c r="CW27" s="218">
        <f>CW$26*(CV$30)</f>
        <v/>
      </c>
      <c r="CX27" s="218">
        <f>CX$26*(CW$30)</f>
        <v/>
      </c>
      <c r="CY27" s="218">
        <f>CY$26*(CX$30)</f>
        <v/>
      </c>
      <c r="CZ27" s="218">
        <f>CZ$26*(CY$30)</f>
        <v/>
      </c>
      <c r="DA27" s="218">
        <f>DA$26*(CZ$30)</f>
        <v/>
      </c>
      <c r="DB27" s="218">
        <f>DB$26*(DA$30)</f>
        <v/>
      </c>
      <c r="DC27" s="218">
        <f>DC$26*(DB$30)</f>
        <v/>
      </c>
      <c r="DD27" s="218">
        <f>DD$26*(DC$30)</f>
        <v/>
      </c>
      <c r="DE27" s="218">
        <f>DE$26*(DD$30)</f>
        <v/>
      </c>
      <c r="DF27" s="218">
        <f>DF$26*(DE$30)</f>
        <v/>
      </c>
      <c r="DG27" s="218">
        <f>DG$26*(DF$30)</f>
        <v/>
      </c>
      <c r="DH27" s="218">
        <f>DH$26*(DG$30)</f>
        <v/>
      </c>
      <c r="DI27" s="218">
        <f>DI$26*(DH$30)</f>
        <v/>
      </c>
      <c r="DJ27" s="218">
        <f>DJ$26*(DI$30)</f>
        <v/>
      </c>
      <c r="DK27" s="218">
        <f>DK$26*(DJ$30)</f>
        <v/>
      </c>
      <c r="DL27" s="218">
        <f>DL$26*(DK$30)</f>
        <v/>
      </c>
      <c r="DM27" s="218">
        <f>DM$26*(DL$30)</f>
        <v/>
      </c>
      <c r="DN27" s="218">
        <f>DN$26*(DM$30)</f>
        <v/>
      </c>
      <c r="DO27" s="218">
        <f>DO$26*(DN$30)</f>
        <v/>
      </c>
      <c r="DP27" s="218">
        <f>DP$26*(DO$30)</f>
        <v/>
      </c>
      <c r="DQ27" s="218">
        <f>DQ$26*(DP$30)</f>
        <v/>
      </c>
      <c r="DR27" s="218">
        <f>DR$26*(DQ$30)</f>
        <v/>
      </c>
      <c r="DS27" s="218">
        <f>DS$26*(DR$30)</f>
        <v/>
      </c>
      <c r="DT27" s="218">
        <f>DT$26*(DS$30)</f>
        <v/>
      </c>
      <c r="DU27" s="218">
        <f>DU$26*(DT$30)</f>
        <v/>
      </c>
      <c r="DV27" s="218">
        <f>DV$26*(DU$30)</f>
        <v/>
      </c>
      <c r="DW27" s="218">
        <f>DW$26*(DV$30)</f>
        <v/>
      </c>
      <c r="DX27" s="218">
        <f>DX$26*(DW$30)</f>
        <v/>
      </c>
      <c r="DY27" s="218">
        <f>DY$26*(DX$30)</f>
        <v/>
      </c>
      <c r="DZ27" s="218">
        <f>DZ$26*(DY$30)</f>
        <v/>
      </c>
      <c r="EA27" s="218">
        <f>EA$26*(DZ$30)</f>
        <v/>
      </c>
      <c r="EB27" s="218">
        <f>EB$26*(EA$30)</f>
        <v/>
      </c>
      <c r="EC27" s="218">
        <f>EC$26*(EB$30)</f>
        <v/>
      </c>
      <c r="ED27" s="218">
        <f>ED$26*(EC$30)</f>
        <v/>
      </c>
      <c r="EE27" s="218">
        <f>EE$26*(ED$30)</f>
        <v/>
      </c>
      <c r="EF27" s="218">
        <f>EF$26*(EE$30)</f>
        <v/>
      </c>
      <c r="EG27" s="218">
        <f>EG$26*(EF$30)</f>
        <v/>
      </c>
      <c r="EH27" s="218">
        <f>EH$26*(EG$30)</f>
        <v/>
      </c>
      <c r="EI27" s="218">
        <f>EI$26*(EH$30)</f>
        <v/>
      </c>
      <c r="EJ27" s="218">
        <f>EJ$26*(EI$30)</f>
        <v/>
      </c>
      <c r="EK27" s="218">
        <f>EK$26*(EJ$30)</f>
        <v/>
      </c>
      <c r="EL27" s="218">
        <f>EL$26*(EK$30)</f>
        <v/>
      </c>
      <c r="EM27" s="218">
        <f>EM$26*(EL$30)</f>
        <v/>
      </c>
      <c r="EN27" s="218">
        <f>EN$26*(EM$30)</f>
        <v/>
      </c>
      <c r="EO27" s="218">
        <f>EO$26*(EN$30)</f>
        <v/>
      </c>
      <c r="EP27" s="218">
        <f>EP$26*(EO$30)</f>
        <v/>
      </c>
      <c r="EQ27" s="218">
        <f>EQ$26*(EP$30)</f>
        <v/>
      </c>
      <c r="ER27" s="218">
        <f>ER$26*(EQ$30)</f>
        <v/>
      </c>
      <c r="ES27" s="218">
        <f>ES$26*(ER$30)</f>
        <v/>
      </c>
      <c r="ET27" s="218">
        <f>ET$26*(ES$30)</f>
        <v/>
      </c>
      <c r="EU27" s="218">
        <f>EU$26*(ET$30)</f>
        <v/>
      </c>
      <c r="EV27" s="218">
        <f>EV$26*(EU$30)</f>
        <v/>
      </c>
      <c r="EW27" s="218">
        <f>EW$26*(EV$30)</f>
        <v/>
      </c>
      <c r="EX27" s="218">
        <f>EX$26*(EW$30)</f>
        <v/>
      </c>
      <c r="EY27" s="218">
        <f>EY$26*(EX$30)</f>
        <v/>
      </c>
      <c r="EZ27" s="218">
        <f>EZ$26*(EY$30)</f>
        <v/>
      </c>
      <c r="FA27" s="218">
        <f>FA$26*(EZ$30)</f>
        <v/>
      </c>
      <c r="FB27" s="218">
        <f>FB$26*(FA$30)</f>
        <v/>
      </c>
      <c r="FC27" s="218">
        <f>FC$26*(FB$30)</f>
        <v/>
      </c>
      <c r="FD27" s="218">
        <f>FD$26*(FC$30)</f>
        <v/>
      </c>
      <c r="FE27" s="218">
        <f>FE$26*(FD$30)</f>
        <v/>
      </c>
      <c r="FF27" s="218">
        <f>FF$26*(FE$30)</f>
        <v/>
      </c>
      <c r="FG27" s="218">
        <f>FG$26*(FF$30)</f>
        <v/>
      </c>
      <c r="FH27" s="218">
        <f>FH$26*(FG$30)</f>
        <v/>
      </c>
      <c r="FI27" s="218">
        <f>FI$26*(FH$30)</f>
        <v/>
      </c>
      <c r="FJ27" s="218">
        <f>FJ$26*(FI$30)</f>
        <v/>
      </c>
      <c r="FK27" s="218">
        <f>FK$26*(FJ$30)</f>
        <v/>
      </c>
      <c r="FL27" s="218">
        <f>FL$26*(FK$30)</f>
        <v/>
      </c>
      <c r="FM27" s="218">
        <f>FM$26*(FL$30)</f>
        <v/>
      </c>
      <c r="FN27" s="218">
        <f>FN$26*(FM$30)</f>
        <v/>
      </c>
      <c r="FO27" s="218">
        <f>FO$26*(FN$30)</f>
        <v/>
      </c>
      <c r="FP27" s="218">
        <f>FP$26*(FO$30)</f>
        <v/>
      </c>
      <c r="FQ27" s="218">
        <f>FQ$26*(FP$30)</f>
        <v/>
      </c>
      <c r="FR27" s="218">
        <f>FR$26*(FQ$30)</f>
        <v/>
      </c>
      <c r="FS27" s="218">
        <f>FS$26*(FR$30)</f>
        <v/>
      </c>
      <c r="FT27" s="218">
        <f>FT$26*(FS$30)</f>
        <v/>
      </c>
      <c r="FU27" s="218">
        <f>FU$26*(FT$30)</f>
        <v/>
      </c>
      <c r="FV27" s="218">
        <f>FV$26*(FU$30)</f>
        <v/>
      </c>
      <c r="FW27" s="218">
        <f>FW$26*(FV$30)</f>
        <v/>
      </c>
      <c r="FX27" s="218">
        <f>FX$26*(FW$30)</f>
        <v/>
      </c>
      <c r="FY27" s="218">
        <f>FY$26*(FX$30)</f>
        <v/>
      </c>
      <c r="FZ27" s="218">
        <f>FZ$26*(FY$30)</f>
        <v/>
      </c>
      <c r="GA27" s="218">
        <f>GA$26*(FZ$30)</f>
        <v/>
      </c>
      <c r="GB27" s="218">
        <f>GB$26*(GA$30)</f>
        <v/>
      </c>
      <c r="GC27" s="218">
        <f>GC$26*(GB$30)</f>
        <v/>
      </c>
      <c r="GD27" s="218">
        <f>GD$26*(GC$30)</f>
        <v/>
      </c>
      <c r="GE27" s="218">
        <f>GE$26*(GD$30)</f>
        <v/>
      </c>
      <c r="GF27" s="218">
        <f>GF$26*(GE$30)</f>
        <v/>
      </c>
      <c r="GG27" s="218">
        <f>GG$26*(GF$30)</f>
        <v/>
      </c>
      <c r="GH27" s="218">
        <f>GH$26*(GG$30)</f>
        <v/>
      </c>
      <c r="GI27" s="218">
        <f>GI$26*(GH$30)</f>
        <v/>
      </c>
      <c r="GJ27" s="218">
        <f>GJ$26*(GI$30)</f>
        <v/>
      </c>
      <c r="GK27" s="218">
        <f>GK$26*(GJ$30)</f>
        <v/>
      </c>
      <c r="GL27" s="218">
        <f>GL$26*(GK$30)</f>
        <v/>
      </c>
      <c r="GM27" s="218">
        <f>GM$26*(GL$30)</f>
        <v/>
      </c>
      <c r="GN27" s="218">
        <f>GN$26*(GM$30)</f>
        <v/>
      </c>
      <c r="GO27" s="218">
        <f>GO$26*(GN$30)</f>
        <v/>
      </c>
      <c r="GP27" s="218">
        <f>GP$26*(GO$30)</f>
        <v/>
      </c>
      <c r="GQ27" s="218">
        <f>GQ$26*(GP$30)</f>
        <v/>
      </c>
      <c r="GR27" s="218">
        <f>GR$26*(GQ$30)</f>
        <v/>
      </c>
      <c r="GS27" s="218">
        <f>GS$26*(GR$30)</f>
        <v/>
      </c>
      <c r="GT27" s="218">
        <f>GT$26*(GS$30)</f>
        <v/>
      </c>
      <c r="GU27" s="218">
        <f>GU$26*(GT$30)</f>
        <v/>
      </c>
      <c r="GV27" s="218">
        <f>GV$26*(GU$30)</f>
        <v/>
      </c>
      <c r="GW27" s="218">
        <f>GW$26*(GV$30)</f>
        <v/>
      </c>
      <c r="GX27" s="218">
        <f>GX$26*(GW$30)</f>
        <v/>
      </c>
      <c r="GY27" s="218">
        <f>GY$26*(GX$30)</f>
        <v/>
      </c>
      <c r="GZ27" s="218">
        <f>GZ$26*(GY$30)</f>
        <v/>
      </c>
      <c r="HA27" s="218">
        <f>HA$26*(GZ$30)</f>
        <v/>
      </c>
      <c r="HB27" s="218">
        <f>HB$26*(HA$30)</f>
        <v/>
      </c>
      <c r="HC27" s="218">
        <f>HC$26*(HB$30)</f>
        <v/>
      </c>
      <c r="HD27" s="218">
        <f>HD$26*(HC$30)</f>
        <v/>
      </c>
      <c r="HE27" s="218">
        <f>HE$26*(HD$30)</f>
        <v/>
      </c>
      <c r="HF27" s="218">
        <f>HF$26*(HE$30)</f>
        <v/>
      </c>
      <c r="HG27" s="218">
        <f>HG$26*(HF$30)</f>
        <v/>
      </c>
      <c r="HH27" s="218">
        <f>HH$26*(HG$30)</f>
        <v/>
      </c>
      <c r="HI27" s="218">
        <f>HI$26*(HH$30)</f>
        <v/>
      </c>
      <c r="HJ27" s="218">
        <f>HJ$26*(HI$30)</f>
        <v/>
      </c>
      <c r="HK27" s="218">
        <f>HK$26*(HJ$30)</f>
        <v/>
      </c>
      <c r="HL27" s="218">
        <f>HL$26*(HK$30)</f>
        <v/>
      </c>
      <c r="HM27" s="218">
        <f>HM$26*(HL$30)</f>
        <v/>
      </c>
      <c r="HN27" s="218">
        <f>HN$26*(HM$30)</f>
        <v/>
      </c>
      <c r="HO27" s="218">
        <f>HO$26*(HN$30)</f>
        <v/>
      </c>
      <c r="HP27" s="218">
        <f>HP$26*(HO$30)</f>
        <v/>
      </c>
      <c r="HQ27" s="218">
        <f>HQ$26*(HP$30)</f>
        <v/>
      </c>
      <c r="HR27" s="218">
        <f>HR$26*(HQ$30)</f>
        <v/>
      </c>
      <c r="HS27" s="218">
        <f>HS$26*(HR$30)</f>
        <v/>
      </c>
      <c r="HT27" s="218">
        <f>HT$26*(HS$30)</f>
        <v/>
      </c>
      <c r="HU27" s="218">
        <f>HU$26*(HT$30)</f>
        <v/>
      </c>
      <c r="HV27" s="218">
        <f>HV$26*(HU$30)</f>
        <v/>
      </c>
      <c r="HW27" s="218">
        <f>HW$26*(HV$30)</f>
        <v/>
      </c>
      <c r="HX27" s="218">
        <f>HX$26*(HW$30)</f>
        <v/>
      </c>
      <c r="HY27" s="218">
        <f>HY$26*(HX$30)</f>
        <v/>
      </c>
      <c r="HZ27" s="218">
        <f>HZ$26*(HY$30)</f>
        <v/>
      </c>
      <c r="IA27" s="218">
        <f>IA$26*(HZ$30)</f>
        <v/>
      </c>
      <c r="IB27" s="218">
        <f>IB$26*(IA$30)</f>
        <v/>
      </c>
      <c r="IC27" s="218">
        <f>IC$26*(IB$30)</f>
        <v/>
      </c>
      <c r="ID27" s="218">
        <f>ID$26*(IC$30)</f>
        <v/>
      </c>
      <c r="IE27" s="218">
        <f>IE$26*(ID$30)</f>
        <v/>
      </c>
      <c r="IF27" s="218">
        <f>IF$26*(IE$30)</f>
        <v/>
      </c>
      <c r="IG27" s="218">
        <f>IG$26*(IF$30)</f>
        <v/>
      </c>
      <c r="IH27" s="218">
        <f>IH$26*(IG$30)</f>
        <v/>
      </c>
      <c r="II27" s="218">
        <f>II$26*(IH$30)</f>
        <v/>
      </c>
      <c r="IJ27" s="218">
        <f>IJ$26*(II$30)</f>
        <v/>
      </c>
      <c r="IK27" s="218">
        <f>IK$26*(IJ$30)</f>
        <v/>
      </c>
      <c r="IL27" s="218">
        <f>IL$26*(IK$30)</f>
        <v/>
      </c>
      <c r="IM27" s="218">
        <f>IM$26*(IL$30)</f>
        <v/>
      </c>
      <c r="IN27" s="218">
        <f>IN$26*(IM$30)</f>
        <v/>
      </c>
      <c r="IO27" s="218">
        <f>IO$26*(IN$30)</f>
        <v/>
      </c>
      <c r="IP27" s="218">
        <f>IP$26*(IO$30)</f>
        <v/>
      </c>
      <c r="IQ27" s="218">
        <f>IQ$26*(IP$30)</f>
        <v/>
      </c>
      <c r="IR27" s="218">
        <f>IR$26*(IQ$30)</f>
        <v/>
      </c>
      <c r="IS27" s="218">
        <f>IS$26*(IR$30)</f>
        <v/>
      </c>
      <c r="IT27" s="218">
        <f>IT$26*(IS$30)</f>
        <v/>
      </c>
      <c r="IU27" s="218">
        <f>IU$26*(IT$30)</f>
        <v/>
      </c>
      <c r="IV27" s="218">
        <f>IV$26*(IU$30)</f>
        <v/>
      </c>
      <c r="IW27" s="218">
        <f>IW$26*(IV$30)</f>
        <v/>
      </c>
      <c r="IX27" s="218">
        <f>IX$26*(IW$30)</f>
        <v/>
      </c>
      <c r="IY27" s="218">
        <f>IY$26*(IX$30)</f>
        <v/>
      </c>
      <c r="IZ27" s="218">
        <f>IZ$26*(IY$30)</f>
        <v/>
      </c>
      <c r="JA27" s="218">
        <f>JA$26*(IZ$30)</f>
        <v/>
      </c>
      <c r="JB27" s="218">
        <f>JB$26*(JA$30)</f>
        <v/>
      </c>
      <c r="JC27" s="218">
        <f>JC$26*(JB$30)</f>
        <v/>
      </c>
      <c r="JD27" s="218">
        <f>JD$26*(JC$30)</f>
        <v/>
      </c>
      <c r="JE27" s="218">
        <f>JE$26*(JD$30)</f>
        <v/>
      </c>
      <c r="JF27" s="218">
        <f>JF$26*(JE$30)</f>
        <v/>
      </c>
      <c r="JG27" s="218">
        <f>JG$26*(JF$30)</f>
        <v/>
      </c>
      <c r="JH27" s="218">
        <f>JH$26*(JG$30)</f>
        <v/>
      </c>
      <c r="JI27" s="218">
        <f>JI$26*(JH$30)</f>
        <v/>
      </c>
      <c r="JJ27" s="218">
        <f>JJ$26*(JI$30)</f>
        <v/>
      </c>
      <c r="JK27" s="218">
        <f>JK$26*(JJ$30)</f>
        <v/>
      </c>
      <c r="JL27" s="218">
        <f>JL$26*(JK$30)</f>
        <v/>
      </c>
      <c r="JM27" s="218">
        <f>JM$26*(JL$30)</f>
        <v/>
      </c>
      <c r="JN27" s="218">
        <f>JN$26*(JM$30)</f>
        <v/>
      </c>
      <c r="JO27" s="218">
        <f>JO$26*(JN$30)</f>
        <v/>
      </c>
      <c r="JP27" s="218">
        <f>JP$26*(JO$30)</f>
        <v/>
      </c>
      <c r="JQ27" s="218">
        <f>JQ$26*(JP$30)</f>
        <v/>
      </c>
      <c r="JR27" s="218">
        <f>JR$26*(JQ$30)</f>
        <v/>
      </c>
      <c r="JS27" s="218">
        <f>JS$26*(JR$30)</f>
        <v/>
      </c>
      <c r="JT27" s="218">
        <f>JT$26*(JS$30)</f>
        <v/>
      </c>
      <c r="JU27" s="218">
        <f>JU$26*(JT$30)</f>
        <v/>
      </c>
      <c r="JV27" s="218">
        <f>JV$26*(JU$30)</f>
        <v/>
      </c>
      <c r="JW27" s="218">
        <f>JW$26*(JV$30)</f>
        <v/>
      </c>
      <c r="JX27" s="218">
        <f>JX$26*(JW$30)</f>
        <v/>
      </c>
      <c r="JY27" s="218">
        <f>JY$26*(JX$30)</f>
        <v/>
      </c>
      <c r="JZ27" s="218">
        <f>JZ$26*(JY$30)</f>
        <v/>
      </c>
      <c r="KA27" s="218">
        <f>KA$26*(JZ$30)</f>
        <v/>
      </c>
      <c r="KB27" s="218">
        <f>KB$26*(KA$30)</f>
        <v/>
      </c>
      <c r="KC27" s="218">
        <f>KC$26*(KB$30)</f>
        <v/>
      </c>
      <c r="KD27" s="218">
        <f>KD$26*(KC$30)</f>
        <v/>
      </c>
      <c r="KE27" s="218">
        <f>KE$26*(KD$30)</f>
        <v/>
      </c>
      <c r="KF27" s="218">
        <f>KF$26*(KE$30)</f>
        <v/>
      </c>
      <c r="KG27" s="218">
        <f>KG$26*(KF$30)</f>
        <v/>
      </c>
      <c r="KH27" s="218">
        <f>KH$26*(KG$30)</f>
        <v/>
      </c>
      <c r="KI27" s="218">
        <f>KI$26*(KH$30)</f>
        <v/>
      </c>
      <c r="KJ27" s="218">
        <f>KJ$26*(KI$30)</f>
        <v/>
      </c>
      <c r="KK27" s="218">
        <f>KK$26*(KJ$30)</f>
        <v/>
      </c>
      <c r="KL27" s="218">
        <f>KL$26*(KK$30)</f>
        <v/>
      </c>
      <c r="KM27" s="218">
        <f>KM$26*(KL$30)</f>
        <v/>
      </c>
      <c r="KN27" s="218">
        <f>KN$26*(KM$30)</f>
        <v/>
      </c>
      <c r="KO27" s="218">
        <f>KO$26*(KN$30)</f>
        <v/>
      </c>
      <c r="KP27" s="218">
        <f>KP$26*(KO$30)</f>
        <v/>
      </c>
      <c r="KQ27" s="218">
        <f>KQ$26*(KP$30)</f>
        <v/>
      </c>
      <c r="KR27" s="218">
        <f>KR$26*(KQ$30)</f>
        <v/>
      </c>
      <c r="KS27" s="218">
        <f>KS$26*(KR$30)</f>
        <v/>
      </c>
      <c r="KT27" s="218">
        <f>KT$26*(KS$30)</f>
        <v/>
      </c>
      <c r="KU27" s="218">
        <f>KU$26*(KT$30)</f>
        <v/>
      </c>
      <c r="KV27" s="218">
        <f>KV$26*(KU$30)</f>
        <v/>
      </c>
      <c r="KW27" s="218">
        <f>KW$26*(KV$30)</f>
        <v/>
      </c>
      <c r="KX27" s="218">
        <f>KX$26*(KW$30)</f>
        <v/>
      </c>
      <c r="KY27" s="218">
        <f>KY$26*(KX$30)</f>
        <v/>
      </c>
      <c r="KZ27" s="218">
        <f>KZ$26*(KY$30)</f>
        <v/>
      </c>
      <c r="LA27" s="218">
        <f>LA$26*(KZ$30)</f>
        <v/>
      </c>
      <c r="LB27" s="218">
        <f>LB$26*(LA$30)</f>
        <v/>
      </c>
      <c r="LC27" s="218">
        <f>LC$26*(LB$30)</f>
        <v/>
      </c>
      <c r="LD27" s="218">
        <f>LD$26*(LC$30)</f>
        <v/>
      </c>
      <c r="LE27" s="218">
        <f>LE$26*(LD$30)</f>
        <v/>
      </c>
      <c r="LF27" s="218">
        <f>LF$26*(LE$30)</f>
        <v/>
      </c>
      <c r="LG27" s="218">
        <f>LG$26*(LF$30)</f>
        <v/>
      </c>
      <c r="LH27" s="218">
        <f>LH$26*(LG$30)</f>
        <v/>
      </c>
      <c r="LI27" s="218">
        <f>LI$26*(LH$30)</f>
        <v/>
      </c>
      <c r="LJ27" s="218">
        <f>LJ$26*(LI$30)</f>
        <v/>
      </c>
      <c r="LK27" s="218">
        <f>LK$26*(LJ$30)</f>
        <v/>
      </c>
      <c r="LL27" s="218">
        <f>LL$26*(LK$30)</f>
        <v/>
      </c>
      <c r="LM27" s="218">
        <f>LM$26*(LL$30)</f>
        <v/>
      </c>
      <c r="LN27" s="218">
        <f>LN$26*(LM$30)</f>
        <v/>
      </c>
      <c r="LO27" s="218">
        <f>LO$26*(LN$30)</f>
        <v/>
      </c>
      <c r="LP27" s="218">
        <f>LP$26*(LO$30)</f>
        <v/>
      </c>
      <c r="LQ27" s="218">
        <f>LQ$26*(LP$30)</f>
        <v/>
      </c>
      <c r="LR27" s="218">
        <f>LR$26*(LQ$30)</f>
        <v/>
      </c>
      <c r="LS27" s="218">
        <f>LS$26*(LR$30)</f>
        <v/>
      </c>
      <c r="LT27" s="218">
        <f>LT$26*(LS$30)</f>
        <v/>
      </c>
      <c r="LU27" s="218">
        <f>LU$26*(LT$30)</f>
        <v/>
      </c>
      <c r="LV27" s="218">
        <f>LV$26*(LU$30)</f>
        <v/>
      </c>
      <c r="LW27" s="218">
        <f>LW$26*(LV$30)</f>
        <v/>
      </c>
      <c r="LX27" s="218">
        <f>LX$26*(LW$30)</f>
        <v/>
      </c>
      <c r="LY27" s="218">
        <f>LY$26*(LX$30)</f>
        <v/>
      </c>
      <c r="LZ27" s="218">
        <f>LZ$26*(LY$30)</f>
        <v/>
      </c>
      <c r="MA27" s="218">
        <f>MA$26*(LZ$30)</f>
        <v/>
      </c>
      <c r="MB27" s="218">
        <f>MB$26*(MA$30)</f>
        <v/>
      </c>
      <c r="MC27" s="218">
        <f>MC$26*(MB$30)</f>
        <v/>
      </c>
      <c r="MD27" s="218">
        <f>MD$26*(MC$30)</f>
        <v/>
      </c>
      <c r="ME27" s="218">
        <f>ME$26*(MD$30)</f>
        <v/>
      </c>
      <c r="MF27" s="218">
        <f>MF$26*(ME$30)</f>
        <v/>
      </c>
      <c r="MG27" s="218">
        <f>MG$26*(MF$30)</f>
        <v/>
      </c>
      <c r="MH27" s="218">
        <f>MH$26*(MG$30)</f>
        <v/>
      </c>
      <c r="MI27" s="218">
        <f>MI$26*(MH$30)</f>
        <v/>
      </c>
      <c r="MJ27" s="218">
        <f>MJ$26*(MI$30)</f>
        <v/>
      </c>
      <c r="MK27" s="218">
        <f>MK$26*(MJ$30)</f>
        <v/>
      </c>
      <c r="ML27" s="218">
        <f>ML$26*(MK$30)</f>
        <v/>
      </c>
      <c r="MM27" s="218">
        <f>MM$26*(ML$30)</f>
        <v/>
      </c>
      <c r="MN27" s="218">
        <f>MN$26*(MM$30)</f>
        <v/>
      </c>
      <c r="MO27" s="218">
        <f>MO$26*(MN$30)</f>
        <v/>
      </c>
      <c r="MP27" s="218">
        <f>MP$26*(MO$30)</f>
        <v/>
      </c>
      <c r="MQ27" s="218">
        <f>MQ$26*(MP$30)</f>
        <v/>
      </c>
      <c r="MR27" s="218">
        <f>MR$26*(MQ$30)</f>
        <v/>
      </c>
      <c r="MS27" s="218">
        <f>MS$26*(MR$30)</f>
        <v/>
      </c>
      <c r="MT27" s="218">
        <f>MT$26*(MS$30)</f>
        <v/>
      </c>
      <c r="MU27" s="218">
        <f>MU$26*(MT$30)</f>
        <v/>
      </c>
      <c r="MV27" s="218">
        <f>MV$26*(MU$30)</f>
        <v/>
      </c>
      <c r="MW27" s="218">
        <f>MW$26*(MV$30)</f>
        <v/>
      </c>
      <c r="MX27" s="218">
        <f>MX$26*(MW$30)</f>
        <v/>
      </c>
      <c r="MY27" s="218">
        <f>MY$26*(MX$30)</f>
        <v/>
      </c>
      <c r="MZ27" s="218">
        <f>MZ$26*(MY$30)</f>
        <v/>
      </c>
      <c r="NA27" s="218">
        <f>NA$26*(MZ$30)</f>
        <v/>
      </c>
      <c r="NB27" s="218">
        <f>NB$26*(NA$30)</f>
        <v/>
      </c>
      <c r="NC27" s="218">
        <f>NC$26*(NB$30)</f>
        <v/>
      </c>
      <c r="ND27" s="218">
        <f>ND$26*(NC$30)</f>
        <v/>
      </c>
      <c r="NE27" s="218">
        <f>NE$26*(ND$30)</f>
        <v/>
      </c>
      <c r="NF27" s="218">
        <f>NF$26*(NE$30)</f>
        <v/>
      </c>
      <c r="NG27" s="218">
        <f>NG$26*(NF$30)</f>
        <v/>
      </c>
      <c r="NH27" s="218">
        <f>NH$26*(NG$30)</f>
        <v/>
      </c>
      <c r="NI27" s="218">
        <f>NI$26*(NH$30)</f>
        <v/>
      </c>
      <c r="NJ27" s="218">
        <f>NJ$26*(NI$30)</f>
        <v/>
      </c>
      <c r="NK27" s="218">
        <f>NK$26*(NJ$30)</f>
        <v/>
      </c>
      <c r="NL27" s="218">
        <f>NL$26*(NK$30)</f>
        <v/>
      </c>
    </row>
    <row r="28">
      <c r="B28" s="36" t="inlineStr">
        <is>
          <t>Principal</t>
        </is>
      </c>
      <c r="D28" s="258">
        <f>SUM(E28:NL28)</f>
        <v/>
      </c>
      <c r="E28" s="218">
        <f>IF(OR(1&lt;=RefiMonth+PermIOMonths,Timeline!E$43=0),0,MIN(0,PermPmt-E$27))</f>
        <v/>
      </c>
      <c r="F28" s="218">
        <f>IF(OR(2&lt;=RefiMonth+PermIOMonths,Timeline!F$43=0),0,MIN(E$30,PermPmt-F$27))</f>
        <v/>
      </c>
      <c r="G28" s="218">
        <f>IF(OR(3&lt;=RefiMonth+PermIOMonths,Timeline!G$43=0),0,MIN(F$30,PermPmt-G$27))</f>
        <v/>
      </c>
      <c r="H28" s="218">
        <f>IF(OR(4&lt;=RefiMonth+PermIOMonths,Timeline!H$43=0),0,MIN(G$30,PermPmt-H$27))</f>
        <v/>
      </c>
      <c r="I28" s="218">
        <f>IF(OR(5&lt;=RefiMonth+PermIOMonths,Timeline!I$43=0),0,MIN(H$30,PermPmt-I$27))</f>
        <v/>
      </c>
      <c r="J28" s="218">
        <f>IF(OR(6&lt;=RefiMonth+PermIOMonths,Timeline!J$43=0),0,MIN(I$30,PermPmt-J$27))</f>
        <v/>
      </c>
      <c r="K28" s="218">
        <f>IF(OR(7&lt;=RefiMonth+PermIOMonths,Timeline!K$43=0),0,MIN(J$30,PermPmt-K$27))</f>
        <v/>
      </c>
      <c r="L28" s="218">
        <f>IF(OR(8&lt;=RefiMonth+PermIOMonths,Timeline!L$43=0),0,MIN(K$30,PermPmt-L$27))</f>
        <v/>
      </c>
      <c r="M28" s="218">
        <f>IF(OR(9&lt;=RefiMonth+PermIOMonths,Timeline!M$43=0),0,MIN(L$30,PermPmt-M$27))</f>
        <v/>
      </c>
      <c r="N28" s="218">
        <f>IF(OR(10&lt;=RefiMonth+PermIOMonths,Timeline!N$43=0),0,MIN(M$30,PermPmt-N$27))</f>
        <v/>
      </c>
      <c r="O28" s="218">
        <f>IF(OR(11&lt;=RefiMonth+PermIOMonths,Timeline!O$43=0),0,MIN(N$30,PermPmt-O$27))</f>
        <v/>
      </c>
      <c r="P28" s="218">
        <f>IF(OR(12&lt;=RefiMonth+PermIOMonths,Timeline!P$43=0),0,MIN(O$30,PermPmt-P$27))</f>
        <v/>
      </c>
      <c r="Q28" s="218">
        <f>IF(OR(13&lt;=RefiMonth+PermIOMonths,Timeline!Q$43=0),0,MIN(P$30,PermPmt-Q$27))</f>
        <v/>
      </c>
      <c r="R28" s="218">
        <f>IF(OR(14&lt;=RefiMonth+PermIOMonths,Timeline!R$43=0),0,MIN(Q$30,PermPmt-R$27))</f>
        <v/>
      </c>
      <c r="S28" s="218">
        <f>IF(OR(15&lt;=RefiMonth+PermIOMonths,Timeline!S$43=0),0,MIN(R$30,PermPmt-S$27))</f>
        <v/>
      </c>
      <c r="T28" s="218">
        <f>IF(OR(16&lt;=RefiMonth+PermIOMonths,Timeline!T$43=0),0,MIN(S$30,PermPmt-T$27))</f>
        <v/>
      </c>
      <c r="U28" s="218">
        <f>IF(OR(17&lt;=RefiMonth+PermIOMonths,Timeline!U$43=0),0,MIN(T$30,PermPmt-U$27))</f>
        <v/>
      </c>
      <c r="V28" s="218">
        <f>IF(OR(18&lt;=RefiMonth+PermIOMonths,Timeline!V$43=0),0,MIN(U$30,PermPmt-V$27))</f>
        <v/>
      </c>
      <c r="W28" s="218">
        <f>IF(OR(19&lt;=RefiMonth+PermIOMonths,Timeline!W$43=0),0,MIN(V$30,PermPmt-W$27))</f>
        <v/>
      </c>
      <c r="X28" s="218">
        <f>IF(OR(20&lt;=RefiMonth+PermIOMonths,Timeline!X$43=0),0,MIN(W$30,PermPmt-X$27))</f>
        <v/>
      </c>
      <c r="Y28" s="218">
        <f>IF(OR(21&lt;=RefiMonth+PermIOMonths,Timeline!Y$43=0),0,MIN(X$30,PermPmt-Y$27))</f>
        <v/>
      </c>
      <c r="Z28" s="218">
        <f>IF(OR(22&lt;=RefiMonth+PermIOMonths,Timeline!Z$43=0),0,MIN(Y$30,PermPmt-Z$27))</f>
        <v/>
      </c>
      <c r="AA28" s="218">
        <f>IF(OR(23&lt;=RefiMonth+PermIOMonths,Timeline!AA$43=0),0,MIN(Z$30,PermPmt-AA$27))</f>
        <v/>
      </c>
      <c r="AB28" s="218">
        <f>IF(OR(24&lt;=RefiMonth+PermIOMonths,Timeline!AB$43=0),0,MIN(AA$30,PermPmt-AB$27))</f>
        <v/>
      </c>
      <c r="AC28" s="218">
        <f>IF(OR(25&lt;=RefiMonth+PermIOMonths,Timeline!AC$43=0),0,MIN(AB$30,PermPmt-AC$27))</f>
        <v/>
      </c>
      <c r="AD28" s="218">
        <f>IF(OR(26&lt;=RefiMonth+PermIOMonths,Timeline!AD$43=0),0,MIN(AC$30,PermPmt-AD$27))</f>
        <v/>
      </c>
      <c r="AE28" s="218">
        <f>IF(OR(27&lt;=RefiMonth+PermIOMonths,Timeline!AE$43=0),0,MIN(AD$30,PermPmt-AE$27))</f>
        <v/>
      </c>
      <c r="AF28" s="218">
        <f>IF(OR(28&lt;=RefiMonth+PermIOMonths,Timeline!AF$43=0),0,MIN(AE$30,PermPmt-AF$27))</f>
        <v/>
      </c>
      <c r="AG28" s="218">
        <f>IF(OR(29&lt;=RefiMonth+PermIOMonths,Timeline!AG$43=0),0,MIN(AF$30,PermPmt-AG$27))</f>
        <v/>
      </c>
      <c r="AH28" s="218">
        <f>IF(OR(30&lt;=RefiMonth+PermIOMonths,Timeline!AH$43=0),0,MIN(AG$30,PermPmt-AH$27))</f>
        <v/>
      </c>
      <c r="AI28" s="218">
        <f>IF(OR(31&lt;=RefiMonth+PermIOMonths,Timeline!AI$43=0),0,MIN(AH$30,PermPmt-AI$27))</f>
        <v/>
      </c>
      <c r="AJ28" s="218">
        <f>IF(OR(32&lt;=RefiMonth+PermIOMonths,Timeline!AJ$43=0),0,MIN(AI$30,PermPmt-AJ$27))</f>
        <v/>
      </c>
      <c r="AK28" s="218">
        <f>IF(OR(33&lt;=RefiMonth+PermIOMonths,Timeline!AK$43=0),0,MIN(AJ$30,PermPmt-AK$27))</f>
        <v/>
      </c>
      <c r="AL28" s="218">
        <f>IF(OR(34&lt;=RefiMonth+PermIOMonths,Timeline!AL$43=0),0,MIN(AK$30,PermPmt-AL$27))</f>
        <v/>
      </c>
      <c r="AM28" s="218">
        <f>IF(OR(35&lt;=RefiMonth+PermIOMonths,Timeline!AM$43=0),0,MIN(AL$30,PermPmt-AM$27))</f>
        <v/>
      </c>
      <c r="AN28" s="218">
        <f>IF(OR(36&lt;=RefiMonth+PermIOMonths,Timeline!AN$43=0),0,MIN(AM$30,PermPmt-AN$27))</f>
        <v/>
      </c>
      <c r="AO28" s="218">
        <f>IF(OR(37&lt;=RefiMonth+PermIOMonths,Timeline!AO$43=0),0,MIN(AN$30,PermPmt-AO$27))</f>
        <v/>
      </c>
      <c r="AP28" s="218">
        <f>IF(OR(38&lt;=RefiMonth+PermIOMonths,Timeline!AP$43=0),0,MIN(AO$30,PermPmt-AP$27))</f>
        <v/>
      </c>
      <c r="AQ28" s="218">
        <f>IF(OR(39&lt;=RefiMonth+PermIOMonths,Timeline!AQ$43=0),0,MIN(AP$30,PermPmt-AQ$27))</f>
        <v/>
      </c>
      <c r="AR28" s="218">
        <f>IF(OR(40&lt;=RefiMonth+PermIOMonths,Timeline!AR$43=0),0,MIN(AQ$30,PermPmt-AR$27))</f>
        <v/>
      </c>
      <c r="AS28" s="218">
        <f>IF(OR(41&lt;=RefiMonth+PermIOMonths,Timeline!AS$43=0),0,MIN(AR$30,PermPmt-AS$27))</f>
        <v/>
      </c>
      <c r="AT28" s="218">
        <f>IF(OR(42&lt;=RefiMonth+PermIOMonths,Timeline!AT$43=0),0,MIN(AS$30,PermPmt-AT$27))</f>
        <v/>
      </c>
      <c r="AU28" s="218">
        <f>IF(OR(43&lt;=RefiMonth+PermIOMonths,Timeline!AU$43=0),0,MIN(AT$30,PermPmt-AU$27))</f>
        <v/>
      </c>
      <c r="AV28" s="218">
        <f>IF(OR(44&lt;=RefiMonth+PermIOMonths,Timeline!AV$43=0),0,MIN(AU$30,PermPmt-AV$27))</f>
        <v/>
      </c>
      <c r="AW28" s="218">
        <f>IF(OR(45&lt;=RefiMonth+PermIOMonths,Timeline!AW$43=0),0,MIN(AV$30,PermPmt-AW$27))</f>
        <v/>
      </c>
      <c r="AX28" s="218">
        <f>IF(OR(46&lt;=RefiMonth+PermIOMonths,Timeline!AX$43=0),0,MIN(AW$30,PermPmt-AX$27))</f>
        <v/>
      </c>
      <c r="AY28" s="218">
        <f>IF(OR(47&lt;=RefiMonth+PermIOMonths,Timeline!AY$43=0),0,MIN(AX$30,PermPmt-AY$27))</f>
        <v/>
      </c>
      <c r="AZ28" s="218">
        <f>IF(OR(48&lt;=RefiMonth+PermIOMonths,Timeline!AZ$43=0),0,MIN(AY$30,PermPmt-AZ$27))</f>
        <v/>
      </c>
      <c r="BA28" s="218">
        <f>IF(OR(49&lt;=RefiMonth+PermIOMonths,Timeline!BA$43=0),0,MIN(AZ$30,PermPmt-BA$27))</f>
        <v/>
      </c>
      <c r="BB28" s="218">
        <f>IF(OR(50&lt;=RefiMonth+PermIOMonths,Timeline!BB$43=0),0,MIN(BA$30,PermPmt-BB$27))</f>
        <v/>
      </c>
      <c r="BC28" s="218">
        <f>IF(OR(51&lt;=RefiMonth+PermIOMonths,Timeline!BC$43=0),0,MIN(BB$30,PermPmt-BC$27))</f>
        <v/>
      </c>
      <c r="BD28" s="218">
        <f>IF(OR(52&lt;=RefiMonth+PermIOMonths,Timeline!BD$43=0),0,MIN(BC$30,PermPmt-BD$27))</f>
        <v/>
      </c>
      <c r="BE28" s="218">
        <f>IF(OR(53&lt;=RefiMonth+PermIOMonths,Timeline!BE$43=0),0,MIN(BD$30,PermPmt-BE$27))</f>
        <v/>
      </c>
      <c r="BF28" s="218">
        <f>IF(OR(54&lt;=RefiMonth+PermIOMonths,Timeline!BF$43=0),0,MIN(BE$30,PermPmt-BF$27))</f>
        <v/>
      </c>
      <c r="BG28" s="218">
        <f>IF(OR(55&lt;=RefiMonth+PermIOMonths,Timeline!BG$43=0),0,MIN(BF$30,PermPmt-BG$27))</f>
        <v/>
      </c>
      <c r="BH28" s="218">
        <f>IF(OR(56&lt;=RefiMonth+PermIOMonths,Timeline!BH$43=0),0,MIN(BG$30,PermPmt-BH$27))</f>
        <v/>
      </c>
      <c r="BI28" s="218">
        <f>IF(OR(57&lt;=RefiMonth+PermIOMonths,Timeline!BI$43=0),0,MIN(BH$30,PermPmt-BI$27))</f>
        <v/>
      </c>
      <c r="BJ28" s="218">
        <f>IF(OR(58&lt;=RefiMonth+PermIOMonths,Timeline!BJ$43=0),0,MIN(BI$30,PermPmt-BJ$27))</f>
        <v/>
      </c>
      <c r="BK28" s="218">
        <f>IF(OR(59&lt;=RefiMonth+PermIOMonths,Timeline!BK$43=0),0,MIN(BJ$30,PermPmt-BK$27))</f>
        <v/>
      </c>
      <c r="BL28" s="218">
        <f>IF(OR(60&lt;=RefiMonth+PermIOMonths,Timeline!BL$43=0),0,MIN(BK$30,PermPmt-BL$27))</f>
        <v/>
      </c>
      <c r="BM28" s="218">
        <f>IF(OR(61&lt;=RefiMonth+PermIOMonths,Timeline!BM$43=0),0,MIN(BL$30,PermPmt-BM$27))</f>
        <v/>
      </c>
      <c r="BN28" s="218">
        <f>IF(OR(62&lt;=RefiMonth+PermIOMonths,Timeline!BN$43=0),0,MIN(BM$30,PermPmt-BN$27))</f>
        <v/>
      </c>
      <c r="BO28" s="218">
        <f>IF(OR(63&lt;=RefiMonth+PermIOMonths,Timeline!BO$43=0),0,MIN(BN$30,PermPmt-BO$27))</f>
        <v/>
      </c>
      <c r="BP28" s="218">
        <f>IF(OR(64&lt;=RefiMonth+PermIOMonths,Timeline!BP$43=0),0,MIN(BO$30,PermPmt-BP$27))</f>
        <v/>
      </c>
      <c r="BQ28" s="218">
        <f>IF(OR(65&lt;=RefiMonth+PermIOMonths,Timeline!BQ$43=0),0,MIN(BP$30,PermPmt-BQ$27))</f>
        <v/>
      </c>
      <c r="BR28" s="218">
        <f>IF(OR(66&lt;=RefiMonth+PermIOMonths,Timeline!BR$43=0),0,MIN(BQ$30,PermPmt-BR$27))</f>
        <v/>
      </c>
      <c r="BS28" s="218">
        <f>IF(OR(67&lt;=RefiMonth+PermIOMonths,Timeline!BS$43=0),0,MIN(BR$30,PermPmt-BS$27))</f>
        <v/>
      </c>
      <c r="BT28" s="218">
        <f>IF(OR(68&lt;=RefiMonth+PermIOMonths,Timeline!BT$43=0),0,MIN(BS$30,PermPmt-BT$27))</f>
        <v/>
      </c>
      <c r="BU28" s="218">
        <f>IF(OR(69&lt;=RefiMonth+PermIOMonths,Timeline!BU$43=0),0,MIN(BT$30,PermPmt-BU$27))</f>
        <v/>
      </c>
      <c r="BV28" s="218">
        <f>IF(OR(70&lt;=RefiMonth+PermIOMonths,Timeline!BV$43=0),0,MIN(BU$30,PermPmt-BV$27))</f>
        <v/>
      </c>
      <c r="BW28" s="218">
        <f>IF(OR(71&lt;=RefiMonth+PermIOMonths,Timeline!BW$43=0),0,MIN(BV$30,PermPmt-BW$27))</f>
        <v/>
      </c>
      <c r="BX28" s="218">
        <f>IF(OR(72&lt;=RefiMonth+PermIOMonths,Timeline!BX$43=0),0,MIN(BW$30,PermPmt-BX$27))</f>
        <v/>
      </c>
      <c r="BY28" s="218">
        <f>IF(OR(73&lt;=RefiMonth+PermIOMonths,Timeline!BY$43=0),0,MIN(BX$30,PermPmt-BY$27))</f>
        <v/>
      </c>
      <c r="BZ28" s="218">
        <f>IF(OR(74&lt;=RefiMonth+PermIOMonths,Timeline!BZ$43=0),0,MIN(BY$30,PermPmt-BZ$27))</f>
        <v/>
      </c>
      <c r="CA28" s="218">
        <f>IF(OR(75&lt;=RefiMonth+PermIOMonths,Timeline!CA$43=0),0,MIN(BZ$30,PermPmt-CA$27))</f>
        <v/>
      </c>
      <c r="CB28" s="218">
        <f>IF(OR(76&lt;=RefiMonth+PermIOMonths,Timeline!CB$43=0),0,MIN(CA$30,PermPmt-CB$27))</f>
        <v/>
      </c>
      <c r="CC28" s="218">
        <f>IF(OR(77&lt;=RefiMonth+PermIOMonths,Timeline!CC$43=0),0,MIN(CB$30,PermPmt-CC$27))</f>
        <v/>
      </c>
      <c r="CD28" s="218">
        <f>IF(OR(78&lt;=RefiMonth+PermIOMonths,Timeline!CD$43=0),0,MIN(CC$30,PermPmt-CD$27))</f>
        <v/>
      </c>
      <c r="CE28" s="218">
        <f>IF(OR(79&lt;=RefiMonth+PermIOMonths,Timeline!CE$43=0),0,MIN(CD$30,PermPmt-CE$27))</f>
        <v/>
      </c>
      <c r="CF28" s="218">
        <f>IF(OR(80&lt;=RefiMonth+PermIOMonths,Timeline!CF$43=0),0,MIN(CE$30,PermPmt-CF$27))</f>
        <v/>
      </c>
      <c r="CG28" s="218">
        <f>IF(OR(81&lt;=RefiMonth+PermIOMonths,Timeline!CG$43=0),0,MIN(CF$30,PermPmt-CG$27))</f>
        <v/>
      </c>
      <c r="CH28" s="218">
        <f>IF(OR(82&lt;=RefiMonth+PermIOMonths,Timeline!CH$43=0),0,MIN(CG$30,PermPmt-CH$27))</f>
        <v/>
      </c>
      <c r="CI28" s="218">
        <f>IF(OR(83&lt;=RefiMonth+PermIOMonths,Timeline!CI$43=0),0,MIN(CH$30,PermPmt-CI$27))</f>
        <v/>
      </c>
      <c r="CJ28" s="218">
        <f>IF(OR(84&lt;=RefiMonth+PermIOMonths,Timeline!CJ$43=0),0,MIN(CI$30,PermPmt-CJ$27))</f>
        <v/>
      </c>
      <c r="CK28" s="218">
        <f>IF(OR(85&lt;=RefiMonth+PermIOMonths,Timeline!CK$43=0),0,MIN(CJ$30,PermPmt-CK$27))</f>
        <v/>
      </c>
      <c r="CL28" s="218">
        <f>IF(OR(86&lt;=RefiMonth+PermIOMonths,Timeline!CL$43=0),0,MIN(CK$30,PermPmt-CL$27))</f>
        <v/>
      </c>
      <c r="CM28" s="218">
        <f>IF(OR(87&lt;=RefiMonth+PermIOMonths,Timeline!CM$43=0),0,MIN(CL$30,PermPmt-CM$27))</f>
        <v/>
      </c>
      <c r="CN28" s="218">
        <f>IF(OR(88&lt;=RefiMonth+PermIOMonths,Timeline!CN$43=0),0,MIN(CM$30,PermPmt-CN$27))</f>
        <v/>
      </c>
      <c r="CO28" s="218">
        <f>IF(OR(89&lt;=RefiMonth+PermIOMonths,Timeline!CO$43=0),0,MIN(CN$30,PermPmt-CO$27))</f>
        <v/>
      </c>
      <c r="CP28" s="218">
        <f>IF(OR(90&lt;=RefiMonth+PermIOMonths,Timeline!CP$43=0),0,MIN(CO$30,PermPmt-CP$27))</f>
        <v/>
      </c>
      <c r="CQ28" s="218">
        <f>IF(OR(91&lt;=RefiMonth+PermIOMonths,Timeline!CQ$43=0),0,MIN(CP$30,PermPmt-CQ$27))</f>
        <v/>
      </c>
      <c r="CR28" s="218">
        <f>IF(OR(92&lt;=RefiMonth+PermIOMonths,Timeline!CR$43=0),0,MIN(CQ$30,PermPmt-CR$27))</f>
        <v/>
      </c>
      <c r="CS28" s="218">
        <f>IF(OR(93&lt;=RefiMonth+PermIOMonths,Timeline!CS$43=0),0,MIN(CR$30,PermPmt-CS$27))</f>
        <v/>
      </c>
      <c r="CT28" s="218">
        <f>IF(OR(94&lt;=RefiMonth+PermIOMonths,Timeline!CT$43=0),0,MIN(CS$30,PermPmt-CT$27))</f>
        <v/>
      </c>
      <c r="CU28" s="218">
        <f>IF(OR(95&lt;=RefiMonth+PermIOMonths,Timeline!CU$43=0),0,MIN(CT$30,PermPmt-CU$27))</f>
        <v/>
      </c>
      <c r="CV28" s="218">
        <f>IF(OR(96&lt;=RefiMonth+PermIOMonths,Timeline!CV$43=0),0,MIN(CU$30,PermPmt-CV$27))</f>
        <v/>
      </c>
      <c r="CW28" s="218">
        <f>IF(OR(97&lt;=RefiMonth+PermIOMonths,Timeline!CW$43=0),0,MIN(CV$30,PermPmt-CW$27))</f>
        <v/>
      </c>
      <c r="CX28" s="218">
        <f>IF(OR(98&lt;=RefiMonth+PermIOMonths,Timeline!CX$43=0),0,MIN(CW$30,PermPmt-CX$27))</f>
        <v/>
      </c>
      <c r="CY28" s="218">
        <f>IF(OR(99&lt;=RefiMonth+PermIOMonths,Timeline!CY$43=0),0,MIN(CX$30,PermPmt-CY$27))</f>
        <v/>
      </c>
      <c r="CZ28" s="218">
        <f>IF(OR(100&lt;=RefiMonth+PermIOMonths,Timeline!CZ$43=0),0,MIN(CY$30,PermPmt-CZ$27))</f>
        <v/>
      </c>
      <c r="DA28" s="218">
        <f>IF(OR(101&lt;=RefiMonth+PermIOMonths,Timeline!DA$43=0),0,MIN(CZ$30,PermPmt-DA$27))</f>
        <v/>
      </c>
      <c r="DB28" s="218">
        <f>IF(OR(102&lt;=RefiMonth+PermIOMonths,Timeline!DB$43=0),0,MIN(DA$30,PermPmt-DB$27))</f>
        <v/>
      </c>
      <c r="DC28" s="218">
        <f>IF(OR(103&lt;=RefiMonth+PermIOMonths,Timeline!DC$43=0),0,MIN(DB$30,PermPmt-DC$27))</f>
        <v/>
      </c>
      <c r="DD28" s="218">
        <f>IF(OR(104&lt;=RefiMonth+PermIOMonths,Timeline!DD$43=0),0,MIN(DC$30,PermPmt-DD$27))</f>
        <v/>
      </c>
      <c r="DE28" s="218">
        <f>IF(OR(105&lt;=RefiMonth+PermIOMonths,Timeline!DE$43=0),0,MIN(DD$30,PermPmt-DE$27))</f>
        <v/>
      </c>
      <c r="DF28" s="218">
        <f>IF(OR(106&lt;=RefiMonth+PermIOMonths,Timeline!DF$43=0),0,MIN(DE$30,PermPmt-DF$27))</f>
        <v/>
      </c>
      <c r="DG28" s="218">
        <f>IF(OR(107&lt;=RefiMonth+PermIOMonths,Timeline!DG$43=0),0,MIN(DF$30,PermPmt-DG$27))</f>
        <v/>
      </c>
      <c r="DH28" s="218">
        <f>IF(OR(108&lt;=RefiMonth+PermIOMonths,Timeline!DH$43=0),0,MIN(DG$30,PermPmt-DH$27))</f>
        <v/>
      </c>
      <c r="DI28" s="218">
        <f>IF(OR(109&lt;=RefiMonth+PermIOMonths,Timeline!DI$43=0),0,MIN(DH$30,PermPmt-DI$27))</f>
        <v/>
      </c>
      <c r="DJ28" s="218">
        <f>IF(OR(110&lt;=RefiMonth+PermIOMonths,Timeline!DJ$43=0),0,MIN(DI$30,PermPmt-DJ$27))</f>
        <v/>
      </c>
      <c r="DK28" s="218">
        <f>IF(OR(111&lt;=RefiMonth+PermIOMonths,Timeline!DK$43=0),0,MIN(DJ$30,PermPmt-DK$27))</f>
        <v/>
      </c>
      <c r="DL28" s="218">
        <f>IF(OR(112&lt;=RefiMonth+PermIOMonths,Timeline!DL$43=0),0,MIN(DK$30,PermPmt-DL$27))</f>
        <v/>
      </c>
      <c r="DM28" s="218">
        <f>IF(OR(113&lt;=RefiMonth+PermIOMonths,Timeline!DM$43=0),0,MIN(DL$30,PermPmt-DM$27))</f>
        <v/>
      </c>
      <c r="DN28" s="218">
        <f>IF(OR(114&lt;=RefiMonth+PermIOMonths,Timeline!DN$43=0),0,MIN(DM$30,PermPmt-DN$27))</f>
        <v/>
      </c>
      <c r="DO28" s="218">
        <f>IF(OR(115&lt;=RefiMonth+PermIOMonths,Timeline!DO$43=0),0,MIN(DN$30,PermPmt-DO$27))</f>
        <v/>
      </c>
      <c r="DP28" s="218">
        <f>IF(OR(116&lt;=RefiMonth+PermIOMonths,Timeline!DP$43=0),0,MIN(DO$30,PermPmt-DP$27))</f>
        <v/>
      </c>
      <c r="DQ28" s="218">
        <f>IF(OR(117&lt;=RefiMonth+PermIOMonths,Timeline!DQ$43=0),0,MIN(DP$30,PermPmt-DQ$27))</f>
        <v/>
      </c>
      <c r="DR28" s="218">
        <f>IF(OR(118&lt;=RefiMonth+PermIOMonths,Timeline!DR$43=0),0,MIN(DQ$30,PermPmt-DR$27))</f>
        <v/>
      </c>
      <c r="DS28" s="218">
        <f>IF(OR(119&lt;=RefiMonth+PermIOMonths,Timeline!DS$43=0),0,MIN(DR$30,PermPmt-DS$27))</f>
        <v/>
      </c>
      <c r="DT28" s="218">
        <f>IF(OR(120&lt;=RefiMonth+PermIOMonths,Timeline!DT$43=0),0,MIN(DS$30,PermPmt-DT$27))</f>
        <v/>
      </c>
      <c r="DU28" s="218">
        <f>IF(OR(121&lt;=RefiMonth+PermIOMonths,Timeline!DU$43=0),0,MIN(DT$30,PermPmt-DU$27))</f>
        <v/>
      </c>
      <c r="DV28" s="218">
        <f>IF(OR(122&lt;=RefiMonth+PermIOMonths,Timeline!DV$43=0),0,MIN(DU$30,PermPmt-DV$27))</f>
        <v/>
      </c>
      <c r="DW28" s="218">
        <f>IF(OR(123&lt;=RefiMonth+PermIOMonths,Timeline!DW$43=0),0,MIN(DV$30,PermPmt-DW$27))</f>
        <v/>
      </c>
      <c r="DX28" s="218">
        <f>IF(OR(124&lt;=RefiMonth+PermIOMonths,Timeline!DX$43=0),0,MIN(DW$30,PermPmt-DX$27))</f>
        <v/>
      </c>
      <c r="DY28" s="218">
        <f>IF(OR(125&lt;=RefiMonth+PermIOMonths,Timeline!DY$43=0),0,MIN(DX$30,PermPmt-DY$27))</f>
        <v/>
      </c>
      <c r="DZ28" s="218">
        <f>IF(OR(126&lt;=RefiMonth+PermIOMonths,Timeline!DZ$43=0),0,MIN(DY$30,PermPmt-DZ$27))</f>
        <v/>
      </c>
      <c r="EA28" s="218">
        <f>IF(OR(127&lt;=RefiMonth+PermIOMonths,Timeline!EA$43=0),0,MIN(DZ$30,PermPmt-EA$27))</f>
        <v/>
      </c>
      <c r="EB28" s="218">
        <f>IF(OR(128&lt;=RefiMonth+PermIOMonths,Timeline!EB$43=0),0,MIN(EA$30,PermPmt-EB$27))</f>
        <v/>
      </c>
      <c r="EC28" s="218">
        <f>IF(OR(129&lt;=RefiMonth+PermIOMonths,Timeline!EC$43=0),0,MIN(EB$30,PermPmt-EC$27))</f>
        <v/>
      </c>
      <c r="ED28" s="218">
        <f>IF(OR(130&lt;=RefiMonth+PermIOMonths,Timeline!ED$43=0),0,MIN(EC$30,PermPmt-ED$27))</f>
        <v/>
      </c>
      <c r="EE28" s="218">
        <f>IF(OR(131&lt;=RefiMonth+PermIOMonths,Timeline!EE$43=0),0,MIN(ED$30,PermPmt-EE$27))</f>
        <v/>
      </c>
      <c r="EF28" s="218">
        <f>IF(OR(132&lt;=RefiMonth+PermIOMonths,Timeline!EF$43=0),0,MIN(EE$30,PermPmt-EF$27))</f>
        <v/>
      </c>
      <c r="EG28" s="218">
        <f>IF(OR(133&lt;=RefiMonth+PermIOMonths,Timeline!EG$43=0),0,MIN(EF$30,PermPmt-EG$27))</f>
        <v/>
      </c>
      <c r="EH28" s="218">
        <f>IF(OR(134&lt;=RefiMonth+PermIOMonths,Timeline!EH$43=0),0,MIN(EG$30,PermPmt-EH$27))</f>
        <v/>
      </c>
      <c r="EI28" s="218">
        <f>IF(OR(135&lt;=RefiMonth+PermIOMonths,Timeline!EI$43=0),0,MIN(EH$30,PermPmt-EI$27))</f>
        <v/>
      </c>
      <c r="EJ28" s="218">
        <f>IF(OR(136&lt;=RefiMonth+PermIOMonths,Timeline!EJ$43=0),0,MIN(EI$30,PermPmt-EJ$27))</f>
        <v/>
      </c>
      <c r="EK28" s="218">
        <f>IF(OR(137&lt;=RefiMonth+PermIOMonths,Timeline!EK$43=0),0,MIN(EJ$30,PermPmt-EK$27))</f>
        <v/>
      </c>
      <c r="EL28" s="218">
        <f>IF(OR(138&lt;=RefiMonth+PermIOMonths,Timeline!EL$43=0),0,MIN(EK$30,PermPmt-EL$27))</f>
        <v/>
      </c>
      <c r="EM28" s="218">
        <f>IF(OR(139&lt;=RefiMonth+PermIOMonths,Timeline!EM$43=0),0,MIN(EL$30,PermPmt-EM$27))</f>
        <v/>
      </c>
      <c r="EN28" s="218">
        <f>IF(OR(140&lt;=RefiMonth+PermIOMonths,Timeline!EN$43=0),0,MIN(EM$30,PermPmt-EN$27))</f>
        <v/>
      </c>
      <c r="EO28" s="218">
        <f>IF(OR(141&lt;=RefiMonth+PermIOMonths,Timeline!EO$43=0),0,MIN(EN$30,PermPmt-EO$27))</f>
        <v/>
      </c>
      <c r="EP28" s="218">
        <f>IF(OR(142&lt;=RefiMonth+PermIOMonths,Timeline!EP$43=0),0,MIN(EO$30,PermPmt-EP$27))</f>
        <v/>
      </c>
      <c r="EQ28" s="218">
        <f>IF(OR(143&lt;=RefiMonth+PermIOMonths,Timeline!EQ$43=0),0,MIN(EP$30,PermPmt-EQ$27))</f>
        <v/>
      </c>
      <c r="ER28" s="218">
        <f>IF(OR(144&lt;=RefiMonth+PermIOMonths,Timeline!ER$43=0),0,MIN(EQ$30,PermPmt-ER$27))</f>
        <v/>
      </c>
      <c r="ES28" s="218">
        <f>IF(OR(145&lt;=RefiMonth+PermIOMonths,Timeline!ES$43=0),0,MIN(ER$30,PermPmt-ES$27))</f>
        <v/>
      </c>
      <c r="ET28" s="218">
        <f>IF(OR(146&lt;=RefiMonth+PermIOMonths,Timeline!ET$43=0),0,MIN(ES$30,PermPmt-ET$27))</f>
        <v/>
      </c>
      <c r="EU28" s="218">
        <f>IF(OR(147&lt;=RefiMonth+PermIOMonths,Timeline!EU$43=0),0,MIN(ET$30,PermPmt-EU$27))</f>
        <v/>
      </c>
      <c r="EV28" s="218">
        <f>IF(OR(148&lt;=RefiMonth+PermIOMonths,Timeline!EV$43=0),0,MIN(EU$30,PermPmt-EV$27))</f>
        <v/>
      </c>
      <c r="EW28" s="218">
        <f>IF(OR(149&lt;=RefiMonth+PermIOMonths,Timeline!EW$43=0),0,MIN(EV$30,PermPmt-EW$27))</f>
        <v/>
      </c>
      <c r="EX28" s="218">
        <f>IF(OR(150&lt;=RefiMonth+PermIOMonths,Timeline!EX$43=0),0,MIN(EW$30,PermPmt-EX$27))</f>
        <v/>
      </c>
      <c r="EY28" s="218">
        <f>IF(OR(151&lt;=RefiMonth+PermIOMonths,Timeline!EY$43=0),0,MIN(EX$30,PermPmt-EY$27))</f>
        <v/>
      </c>
      <c r="EZ28" s="218">
        <f>IF(OR(152&lt;=RefiMonth+PermIOMonths,Timeline!EZ$43=0),0,MIN(EY$30,PermPmt-EZ$27))</f>
        <v/>
      </c>
      <c r="FA28" s="218">
        <f>IF(OR(153&lt;=RefiMonth+PermIOMonths,Timeline!FA$43=0),0,MIN(EZ$30,PermPmt-FA$27))</f>
        <v/>
      </c>
      <c r="FB28" s="218">
        <f>IF(OR(154&lt;=RefiMonth+PermIOMonths,Timeline!FB$43=0),0,MIN(FA$30,PermPmt-FB$27))</f>
        <v/>
      </c>
      <c r="FC28" s="218">
        <f>IF(OR(155&lt;=RefiMonth+PermIOMonths,Timeline!FC$43=0),0,MIN(FB$30,PermPmt-FC$27))</f>
        <v/>
      </c>
      <c r="FD28" s="218">
        <f>IF(OR(156&lt;=RefiMonth+PermIOMonths,Timeline!FD$43=0),0,MIN(FC$30,PermPmt-FD$27))</f>
        <v/>
      </c>
      <c r="FE28" s="218">
        <f>IF(OR(157&lt;=RefiMonth+PermIOMonths,Timeline!FE$43=0),0,MIN(FD$30,PermPmt-FE$27))</f>
        <v/>
      </c>
      <c r="FF28" s="218">
        <f>IF(OR(158&lt;=RefiMonth+PermIOMonths,Timeline!FF$43=0),0,MIN(FE$30,PermPmt-FF$27))</f>
        <v/>
      </c>
      <c r="FG28" s="218">
        <f>IF(OR(159&lt;=RefiMonth+PermIOMonths,Timeline!FG$43=0),0,MIN(FF$30,PermPmt-FG$27))</f>
        <v/>
      </c>
      <c r="FH28" s="218">
        <f>IF(OR(160&lt;=RefiMonth+PermIOMonths,Timeline!FH$43=0),0,MIN(FG$30,PermPmt-FH$27))</f>
        <v/>
      </c>
      <c r="FI28" s="218">
        <f>IF(OR(161&lt;=RefiMonth+PermIOMonths,Timeline!FI$43=0),0,MIN(FH$30,PermPmt-FI$27))</f>
        <v/>
      </c>
      <c r="FJ28" s="218">
        <f>IF(OR(162&lt;=RefiMonth+PermIOMonths,Timeline!FJ$43=0),0,MIN(FI$30,PermPmt-FJ$27))</f>
        <v/>
      </c>
      <c r="FK28" s="218">
        <f>IF(OR(163&lt;=RefiMonth+PermIOMonths,Timeline!FK$43=0),0,MIN(FJ$30,PermPmt-FK$27))</f>
        <v/>
      </c>
      <c r="FL28" s="218">
        <f>IF(OR(164&lt;=RefiMonth+PermIOMonths,Timeline!FL$43=0),0,MIN(FK$30,PermPmt-FL$27))</f>
        <v/>
      </c>
      <c r="FM28" s="218">
        <f>IF(OR(165&lt;=RefiMonth+PermIOMonths,Timeline!FM$43=0),0,MIN(FL$30,PermPmt-FM$27))</f>
        <v/>
      </c>
      <c r="FN28" s="218">
        <f>IF(OR(166&lt;=RefiMonth+PermIOMonths,Timeline!FN$43=0),0,MIN(FM$30,PermPmt-FN$27))</f>
        <v/>
      </c>
      <c r="FO28" s="218">
        <f>IF(OR(167&lt;=RefiMonth+PermIOMonths,Timeline!FO$43=0),0,MIN(FN$30,PermPmt-FO$27))</f>
        <v/>
      </c>
      <c r="FP28" s="218">
        <f>IF(OR(168&lt;=RefiMonth+PermIOMonths,Timeline!FP$43=0),0,MIN(FO$30,PermPmt-FP$27))</f>
        <v/>
      </c>
      <c r="FQ28" s="218">
        <f>IF(OR(169&lt;=RefiMonth+PermIOMonths,Timeline!FQ$43=0),0,MIN(FP$30,PermPmt-FQ$27))</f>
        <v/>
      </c>
      <c r="FR28" s="218">
        <f>IF(OR(170&lt;=RefiMonth+PermIOMonths,Timeline!FR$43=0),0,MIN(FQ$30,PermPmt-FR$27))</f>
        <v/>
      </c>
      <c r="FS28" s="218">
        <f>IF(OR(171&lt;=RefiMonth+PermIOMonths,Timeline!FS$43=0),0,MIN(FR$30,PermPmt-FS$27))</f>
        <v/>
      </c>
      <c r="FT28" s="218">
        <f>IF(OR(172&lt;=RefiMonth+PermIOMonths,Timeline!FT$43=0),0,MIN(FS$30,PermPmt-FT$27))</f>
        <v/>
      </c>
      <c r="FU28" s="218">
        <f>IF(OR(173&lt;=RefiMonth+PermIOMonths,Timeline!FU$43=0),0,MIN(FT$30,PermPmt-FU$27))</f>
        <v/>
      </c>
      <c r="FV28" s="218">
        <f>IF(OR(174&lt;=RefiMonth+PermIOMonths,Timeline!FV$43=0),0,MIN(FU$30,PermPmt-FV$27))</f>
        <v/>
      </c>
      <c r="FW28" s="218">
        <f>IF(OR(175&lt;=RefiMonth+PermIOMonths,Timeline!FW$43=0),0,MIN(FV$30,PermPmt-FW$27))</f>
        <v/>
      </c>
      <c r="FX28" s="218">
        <f>IF(OR(176&lt;=RefiMonth+PermIOMonths,Timeline!FX$43=0),0,MIN(FW$30,PermPmt-FX$27))</f>
        <v/>
      </c>
      <c r="FY28" s="218">
        <f>IF(OR(177&lt;=RefiMonth+PermIOMonths,Timeline!FY$43=0),0,MIN(FX$30,PermPmt-FY$27))</f>
        <v/>
      </c>
      <c r="FZ28" s="218">
        <f>IF(OR(178&lt;=RefiMonth+PermIOMonths,Timeline!FZ$43=0),0,MIN(FY$30,PermPmt-FZ$27))</f>
        <v/>
      </c>
      <c r="GA28" s="218">
        <f>IF(OR(179&lt;=RefiMonth+PermIOMonths,Timeline!GA$43=0),0,MIN(FZ$30,PermPmt-GA$27))</f>
        <v/>
      </c>
      <c r="GB28" s="218">
        <f>IF(OR(180&lt;=RefiMonth+PermIOMonths,Timeline!GB$43=0),0,MIN(GA$30,PermPmt-GB$27))</f>
        <v/>
      </c>
      <c r="GC28" s="218">
        <f>IF(OR(181&lt;=RefiMonth+PermIOMonths,Timeline!GC$43=0),0,MIN(GB$30,PermPmt-GC$27))</f>
        <v/>
      </c>
      <c r="GD28" s="218">
        <f>IF(OR(182&lt;=RefiMonth+PermIOMonths,Timeline!GD$43=0),0,MIN(GC$30,PermPmt-GD$27))</f>
        <v/>
      </c>
      <c r="GE28" s="218">
        <f>IF(OR(183&lt;=RefiMonth+PermIOMonths,Timeline!GE$43=0),0,MIN(GD$30,PermPmt-GE$27))</f>
        <v/>
      </c>
      <c r="GF28" s="218">
        <f>IF(OR(184&lt;=RefiMonth+PermIOMonths,Timeline!GF$43=0),0,MIN(GE$30,PermPmt-GF$27))</f>
        <v/>
      </c>
      <c r="GG28" s="218">
        <f>IF(OR(185&lt;=RefiMonth+PermIOMonths,Timeline!GG$43=0),0,MIN(GF$30,PermPmt-GG$27))</f>
        <v/>
      </c>
      <c r="GH28" s="218">
        <f>IF(OR(186&lt;=RefiMonth+PermIOMonths,Timeline!GH$43=0),0,MIN(GG$30,PermPmt-GH$27))</f>
        <v/>
      </c>
      <c r="GI28" s="218">
        <f>IF(OR(187&lt;=RefiMonth+PermIOMonths,Timeline!GI$43=0),0,MIN(GH$30,PermPmt-GI$27))</f>
        <v/>
      </c>
      <c r="GJ28" s="218">
        <f>IF(OR(188&lt;=RefiMonth+PermIOMonths,Timeline!GJ$43=0),0,MIN(GI$30,PermPmt-GJ$27))</f>
        <v/>
      </c>
      <c r="GK28" s="218">
        <f>IF(OR(189&lt;=RefiMonth+PermIOMonths,Timeline!GK$43=0),0,MIN(GJ$30,PermPmt-GK$27))</f>
        <v/>
      </c>
      <c r="GL28" s="218">
        <f>IF(OR(190&lt;=RefiMonth+PermIOMonths,Timeline!GL$43=0),0,MIN(GK$30,PermPmt-GL$27))</f>
        <v/>
      </c>
      <c r="GM28" s="218">
        <f>IF(OR(191&lt;=RefiMonth+PermIOMonths,Timeline!GM$43=0),0,MIN(GL$30,PermPmt-GM$27))</f>
        <v/>
      </c>
      <c r="GN28" s="218">
        <f>IF(OR(192&lt;=RefiMonth+PermIOMonths,Timeline!GN$43=0),0,MIN(GM$30,PermPmt-GN$27))</f>
        <v/>
      </c>
      <c r="GO28" s="218">
        <f>IF(OR(193&lt;=RefiMonth+PermIOMonths,Timeline!GO$43=0),0,MIN(GN$30,PermPmt-GO$27))</f>
        <v/>
      </c>
      <c r="GP28" s="218">
        <f>IF(OR(194&lt;=RefiMonth+PermIOMonths,Timeline!GP$43=0),0,MIN(GO$30,PermPmt-GP$27))</f>
        <v/>
      </c>
      <c r="GQ28" s="218">
        <f>IF(OR(195&lt;=RefiMonth+PermIOMonths,Timeline!GQ$43=0),0,MIN(GP$30,PermPmt-GQ$27))</f>
        <v/>
      </c>
      <c r="GR28" s="218">
        <f>IF(OR(196&lt;=RefiMonth+PermIOMonths,Timeline!GR$43=0),0,MIN(GQ$30,PermPmt-GR$27))</f>
        <v/>
      </c>
      <c r="GS28" s="218">
        <f>IF(OR(197&lt;=RefiMonth+PermIOMonths,Timeline!GS$43=0),0,MIN(GR$30,PermPmt-GS$27))</f>
        <v/>
      </c>
      <c r="GT28" s="218">
        <f>IF(OR(198&lt;=RefiMonth+PermIOMonths,Timeline!GT$43=0),0,MIN(GS$30,PermPmt-GT$27))</f>
        <v/>
      </c>
      <c r="GU28" s="218">
        <f>IF(OR(199&lt;=RefiMonth+PermIOMonths,Timeline!GU$43=0),0,MIN(GT$30,PermPmt-GU$27))</f>
        <v/>
      </c>
      <c r="GV28" s="218">
        <f>IF(OR(200&lt;=RefiMonth+PermIOMonths,Timeline!GV$43=0),0,MIN(GU$30,PermPmt-GV$27))</f>
        <v/>
      </c>
      <c r="GW28" s="218">
        <f>IF(OR(201&lt;=RefiMonth+PermIOMonths,Timeline!GW$43=0),0,MIN(GV$30,PermPmt-GW$27))</f>
        <v/>
      </c>
      <c r="GX28" s="218">
        <f>IF(OR(202&lt;=RefiMonth+PermIOMonths,Timeline!GX$43=0),0,MIN(GW$30,PermPmt-GX$27))</f>
        <v/>
      </c>
      <c r="GY28" s="218">
        <f>IF(OR(203&lt;=RefiMonth+PermIOMonths,Timeline!GY$43=0),0,MIN(GX$30,PermPmt-GY$27))</f>
        <v/>
      </c>
      <c r="GZ28" s="218">
        <f>IF(OR(204&lt;=RefiMonth+PermIOMonths,Timeline!GZ$43=0),0,MIN(GY$30,PermPmt-GZ$27))</f>
        <v/>
      </c>
      <c r="HA28" s="218">
        <f>IF(OR(205&lt;=RefiMonth+PermIOMonths,Timeline!HA$43=0),0,MIN(GZ$30,PermPmt-HA$27))</f>
        <v/>
      </c>
      <c r="HB28" s="218">
        <f>IF(OR(206&lt;=RefiMonth+PermIOMonths,Timeline!HB$43=0),0,MIN(HA$30,PermPmt-HB$27))</f>
        <v/>
      </c>
      <c r="HC28" s="218">
        <f>IF(OR(207&lt;=RefiMonth+PermIOMonths,Timeline!HC$43=0),0,MIN(HB$30,PermPmt-HC$27))</f>
        <v/>
      </c>
      <c r="HD28" s="218">
        <f>IF(OR(208&lt;=RefiMonth+PermIOMonths,Timeline!HD$43=0),0,MIN(HC$30,PermPmt-HD$27))</f>
        <v/>
      </c>
      <c r="HE28" s="218">
        <f>IF(OR(209&lt;=RefiMonth+PermIOMonths,Timeline!HE$43=0),0,MIN(HD$30,PermPmt-HE$27))</f>
        <v/>
      </c>
      <c r="HF28" s="218">
        <f>IF(OR(210&lt;=RefiMonth+PermIOMonths,Timeline!HF$43=0),0,MIN(HE$30,PermPmt-HF$27))</f>
        <v/>
      </c>
      <c r="HG28" s="218">
        <f>IF(OR(211&lt;=RefiMonth+PermIOMonths,Timeline!HG$43=0),0,MIN(HF$30,PermPmt-HG$27))</f>
        <v/>
      </c>
      <c r="HH28" s="218">
        <f>IF(OR(212&lt;=RefiMonth+PermIOMonths,Timeline!HH$43=0),0,MIN(HG$30,PermPmt-HH$27))</f>
        <v/>
      </c>
      <c r="HI28" s="218">
        <f>IF(OR(213&lt;=RefiMonth+PermIOMonths,Timeline!HI$43=0),0,MIN(HH$30,PermPmt-HI$27))</f>
        <v/>
      </c>
      <c r="HJ28" s="218">
        <f>IF(OR(214&lt;=RefiMonth+PermIOMonths,Timeline!HJ$43=0),0,MIN(HI$30,PermPmt-HJ$27))</f>
        <v/>
      </c>
      <c r="HK28" s="218">
        <f>IF(OR(215&lt;=RefiMonth+PermIOMonths,Timeline!HK$43=0),0,MIN(HJ$30,PermPmt-HK$27))</f>
        <v/>
      </c>
      <c r="HL28" s="218">
        <f>IF(OR(216&lt;=RefiMonth+PermIOMonths,Timeline!HL$43=0),0,MIN(HK$30,PermPmt-HL$27))</f>
        <v/>
      </c>
      <c r="HM28" s="218">
        <f>IF(OR(217&lt;=RefiMonth+PermIOMonths,Timeline!HM$43=0),0,MIN(HL$30,PermPmt-HM$27))</f>
        <v/>
      </c>
      <c r="HN28" s="218">
        <f>IF(OR(218&lt;=RefiMonth+PermIOMonths,Timeline!HN$43=0),0,MIN(HM$30,PermPmt-HN$27))</f>
        <v/>
      </c>
      <c r="HO28" s="218">
        <f>IF(OR(219&lt;=RefiMonth+PermIOMonths,Timeline!HO$43=0),0,MIN(HN$30,PermPmt-HO$27))</f>
        <v/>
      </c>
      <c r="HP28" s="218">
        <f>IF(OR(220&lt;=RefiMonth+PermIOMonths,Timeline!HP$43=0),0,MIN(HO$30,PermPmt-HP$27))</f>
        <v/>
      </c>
      <c r="HQ28" s="218">
        <f>IF(OR(221&lt;=RefiMonth+PermIOMonths,Timeline!HQ$43=0),0,MIN(HP$30,PermPmt-HQ$27))</f>
        <v/>
      </c>
      <c r="HR28" s="218">
        <f>IF(OR(222&lt;=RefiMonth+PermIOMonths,Timeline!HR$43=0),0,MIN(HQ$30,PermPmt-HR$27))</f>
        <v/>
      </c>
      <c r="HS28" s="218">
        <f>IF(OR(223&lt;=RefiMonth+PermIOMonths,Timeline!HS$43=0),0,MIN(HR$30,PermPmt-HS$27))</f>
        <v/>
      </c>
      <c r="HT28" s="218">
        <f>IF(OR(224&lt;=RefiMonth+PermIOMonths,Timeline!HT$43=0),0,MIN(HS$30,PermPmt-HT$27))</f>
        <v/>
      </c>
      <c r="HU28" s="218">
        <f>IF(OR(225&lt;=RefiMonth+PermIOMonths,Timeline!HU$43=0),0,MIN(HT$30,PermPmt-HU$27))</f>
        <v/>
      </c>
      <c r="HV28" s="218">
        <f>IF(OR(226&lt;=RefiMonth+PermIOMonths,Timeline!HV$43=0),0,MIN(HU$30,PermPmt-HV$27))</f>
        <v/>
      </c>
      <c r="HW28" s="218">
        <f>IF(OR(227&lt;=RefiMonth+PermIOMonths,Timeline!HW$43=0),0,MIN(HV$30,PermPmt-HW$27))</f>
        <v/>
      </c>
      <c r="HX28" s="218">
        <f>IF(OR(228&lt;=RefiMonth+PermIOMonths,Timeline!HX$43=0),0,MIN(HW$30,PermPmt-HX$27))</f>
        <v/>
      </c>
      <c r="HY28" s="218">
        <f>IF(OR(229&lt;=RefiMonth+PermIOMonths,Timeline!HY$43=0),0,MIN(HX$30,PermPmt-HY$27))</f>
        <v/>
      </c>
      <c r="HZ28" s="218">
        <f>IF(OR(230&lt;=RefiMonth+PermIOMonths,Timeline!HZ$43=0),0,MIN(HY$30,PermPmt-HZ$27))</f>
        <v/>
      </c>
      <c r="IA28" s="218">
        <f>IF(OR(231&lt;=RefiMonth+PermIOMonths,Timeline!IA$43=0),0,MIN(HZ$30,PermPmt-IA$27))</f>
        <v/>
      </c>
      <c r="IB28" s="218">
        <f>IF(OR(232&lt;=RefiMonth+PermIOMonths,Timeline!IB$43=0),0,MIN(IA$30,PermPmt-IB$27))</f>
        <v/>
      </c>
      <c r="IC28" s="218">
        <f>IF(OR(233&lt;=RefiMonth+PermIOMonths,Timeline!IC$43=0),0,MIN(IB$30,PermPmt-IC$27))</f>
        <v/>
      </c>
      <c r="ID28" s="218">
        <f>IF(OR(234&lt;=RefiMonth+PermIOMonths,Timeline!ID$43=0),0,MIN(IC$30,PermPmt-ID$27))</f>
        <v/>
      </c>
      <c r="IE28" s="218">
        <f>IF(OR(235&lt;=RefiMonth+PermIOMonths,Timeline!IE$43=0),0,MIN(ID$30,PermPmt-IE$27))</f>
        <v/>
      </c>
      <c r="IF28" s="218">
        <f>IF(OR(236&lt;=RefiMonth+PermIOMonths,Timeline!IF$43=0),0,MIN(IE$30,PermPmt-IF$27))</f>
        <v/>
      </c>
      <c r="IG28" s="218">
        <f>IF(OR(237&lt;=RefiMonth+PermIOMonths,Timeline!IG$43=0),0,MIN(IF$30,PermPmt-IG$27))</f>
        <v/>
      </c>
      <c r="IH28" s="218">
        <f>IF(OR(238&lt;=RefiMonth+PermIOMonths,Timeline!IH$43=0),0,MIN(IG$30,PermPmt-IH$27))</f>
        <v/>
      </c>
      <c r="II28" s="218">
        <f>IF(OR(239&lt;=RefiMonth+PermIOMonths,Timeline!II$43=0),0,MIN(IH$30,PermPmt-II$27))</f>
        <v/>
      </c>
      <c r="IJ28" s="218">
        <f>IF(OR(240&lt;=RefiMonth+PermIOMonths,Timeline!IJ$43=0),0,MIN(II$30,PermPmt-IJ$27))</f>
        <v/>
      </c>
      <c r="IK28" s="218">
        <f>IF(OR(241&lt;=RefiMonth+PermIOMonths,Timeline!IK$43=0),0,MIN(IJ$30,PermPmt-IK$27))</f>
        <v/>
      </c>
      <c r="IL28" s="218">
        <f>IF(OR(242&lt;=RefiMonth+PermIOMonths,Timeline!IL$43=0),0,MIN(IK$30,PermPmt-IL$27))</f>
        <v/>
      </c>
      <c r="IM28" s="218">
        <f>IF(OR(243&lt;=RefiMonth+PermIOMonths,Timeline!IM$43=0),0,MIN(IL$30,PermPmt-IM$27))</f>
        <v/>
      </c>
      <c r="IN28" s="218">
        <f>IF(OR(244&lt;=RefiMonth+PermIOMonths,Timeline!IN$43=0),0,MIN(IM$30,PermPmt-IN$27))</f>
        <v/>
      </c>
      <c r="IO28" s="218">
        <f>IF(OR(245&lt;=RefiMonth+PermIOMonths,Timeline!IO$43=0),0,MIN(IN$30,PermPmt-IO$27))</f>
        <v/>
      </c>
      <c r="IP28" s="218">
        <f>IF(OR(246&lt;=RefiMonth+PermIOMonths,Timeline!IP$43=0),0,MIN(IO$30,PermPmt-IP$27))</f>
        <v/>
      </c>
      <c r="IQ28" s="218">
        <f>IF(OR(247&lt;=RefiMonth+PermIOMonths,Timeline!IQ$43=0),0,MIN(IP$30,PermPmt-IQ$27))</f>
        <v/>
      </c>
      <c r="IR28" s="218">
        <f>IF(OR(248&lt;=RefiMonth+PermIOMonths,Timeline!IR$43=0),0,MIN(IQ$30,PermPmt-IR$27))</f>
        <v/>
      </c>
      <c r="IS28" s="218">
        <f>IF(OR(249&lt;=RefiMonth+PermIOMonths,Timeline!IS$43=0),0,MIN(IR$30,PermPmt-IS$27))</f>
        <v/>
      </c>
      <c r="IT28" s="218">
        <f>IF(OR(250&lt;=RefiMonth+PermIOMonths,Timeline!IT$43=0),0,MIN(IS$30,PermPmt-IT$27))</f>
        <v/>
      </c>
      <c r="IU28" s="218">
        <f>IF(OR(251&lt;=RefiMonth+PermIOMonths,Timeline!IU$43=0),0,MIN(IT$30,PermPmt-IU$27))</f>
        <v/>
      </c>
      <c r="IV28" s="218">
        <f>IF(OR(252&lt;=RefiMonth+PermIOMonths,Timeline!IV$43=0),0,MIN(IU$30,PermPmt-IV$27))</f>
        <v/>
      </c>
      <c r="IW28" s="218">
        <f>IF(OR(253&lt;=RefiMonth+PermIOMonths,Timeline!IW$43=0),0,MIN(IV$30,PermPmt-IW$27))</f>
        <v/>
      </c>
      <c r="IX28" s="218">
        <f>IF(OR(254&lt;=RefiMonth+PermIOMonths,Timeline!IX$43=0),0,MIN(IW$30,PermPmt-IX$27))</f>
        <v/>
      </c>
      <c r="IY28" s="218">
        <f>IF(OR(255&lt;=RefiMonth+PermIOMonths,Timeline!IY$43=0),0,MIN(IX$30,PermPmt-IY$27))</f>
        <v/>
      </c>
      <c r="IZ28" s="218">
        <f>IF(OR(256&lt;=RefiMonth+PermIOMonths,Timeline!IZ$43=0),0,MIN(IY$30,PermPmt-IZ$27))</f>
        <v/>
      </c>
      <c r="JA28" s="218">
        <f>IF(OR(257&lt;=RefiMonth+PermIOMonths,Timeline!JA$43=0),0,MIN(IZ$30,PermPmt-JA$27))</f>
        <v/>
      </c>
      <c r="JB28" s="218">
        <f>IF(OR(258&lt;=RefiMonth+PermIOMonths,Timeline!JB$43=0),0,MIN(JA$30,PermPmt-JB$27))</f>
        <v/>
      </c>
      <c r="JC28" s="218">
        <f>IF(OR(259&lt;=RefiMonth+PermIOMonths,Timeline!JC$43=0),0,MIN(JB$30,PermPmt-JC$27))</f>
        <v/>
      </c>
      <c r="JD28" s="218">
        <f>IF(OR(260&lt;=RefiMonth+PermIOMonths,Timeline!JD$43=0),0,MIN(JC$30,PermPmt-JD$27))</f>
        <v/>
      </c>
      <c r="JE28" s="218">
        <f>IF(OR(261&lt;=RefiMonth+PermIOMonths,Timeline!JE$43=0),0,MIN(JD$30,PermPmt-JE$27))</f>
        <v/>
      </c>
      <c r="JF28" s="218">
        <f>IF(OR(262&lt;=RefiMonth+PermIOMonths,Timeline!JF$43=0),0,MIN(JE$30,PermPmt-JF$27))</f>
        <v/>
      </c>
      <c r="JG28" s="218">
        <f>IF(OR(263&lt;=RefiMonth+PermIOMonths,Timeline!JG$43=0),0,MIN(JF$30,PermPmt-JG$27))</f>
        <v/>
      </c>
      <c r="JH28" s="218">
        <f>IF(OR(264&lt;=RefiMonth+PermIOMonths,Timeline!JH$43=0),0,MIN(JG$30,PermPmt-JH$27))</f>
        <v/>
      </c>
      <c r="JI28" s="218">
        <f>IF(OR(265&lt;=RefiMonth+PermIOMonths,Timeline!JI$43=0),0,MIN(JH$30,PermPmt-JI$27))</f>
        <v/>
      </c>
      <c r="JJ28" s="218">
        <f>IF(OR(266&lt;=RefiMonth+PermIOMonths,Timeline!JJ$43=0),0,MIN(JI$30,PermPmt-JJ$27))</f>
        <v/>
      </c>
      <c r="JK28" s="218">
        <f>IF(OR(267&lt;=RefiMonth+PermIOMonths,Timeline!JK$43=0),0,MIN(JJ$30,PermPmt-JK$27))</f>
        <v/>
      </c>
      <c r="JL28" s="218">
        <f>IF(OR(268&lt;=RefiMonth+PermIOMonths,Timeline!JL$43=0),0,MIN(JK$30,PermPmt-JL$27))</f>
        <v/>
      </c>
      <c r="JM28" s="218">
        <f>IF(OR(269&lt;=RefiMonth+PermIOMonths,Timeline!JM$43=0),0,MIN(JL$30,PermPmt-JM$27))</f>
        <v/>
      </c>
      <c r="JN28" s="218">
        <f>IF(OR(270&lt;=RefiMonth+PermIOMonths,Timeline!JN$43=0),0,MIN(JM$30,PermPmt-JN$27))</f>
        <v/>
      </c>
      <c r="JO28" s="218">
        <f>IF(OR(271&lt;=RefiMonth+PermIOMonths,Timeline!JO$43=0),0,MIN(JN$30,PermPmt-JO$27))</f>
        <v/>
      </c>
      <c r="JP28" s="218">
        <f>IF(OR(272&lt;=RefiMonth+PermIOMonths,Timeline!JP$43=0),0,MIN(JO$30,PermPmt-JP$27))</f>
        <v/>
      </c>
      <c r="JQ28" s="218">
        <f>IF(OR(273&lt;=RefiMonth+PermIOMonths,Timeline!JQ$43=0),0,MIN(JP$30,PermPmt-JQ$27))</f>
        <v/>
      </c>
      <c r="JR28" s="218">
        <f>IF(OR(274&lt;=RefiMonth+PermIOMonths,Timeline!JR$43=0),0,MIN(JQ$30,PermPmt-JR$27))</f>
        <v/>
      </c>
      <c r="JS28" s="218">
        <f>IF(OR(275&lt;=RefiMonth+PermIOMonths,Timeline!JS$43=0),0,MIN(JR$30,PermPmt-JS$27))</f>
        <v/>
      </c>
      <c r="JT28" s="218">
        <f>IF(OR(276&lt;=RefiMonth+PermIOMonths,Timeline!JT$43=0),0,MIN(JS$30,PermPmt-JT$27))</f>
        <v/>
      </c>
      <c r="JU28" s="218">
        <f>IF(OR(277&lt;=RefiMonth+PermIOMonths,Timeline!JU$43=0),0,MIN(JT$30,PermPmt-JU$27))</f>
        <v/>
      </c>
      <c r="JV28" s="218">
        <f>IF(OR(278&lt;=RefiMonth+PermIOMonths,Timeline!JV$43=0),0,MIN(JU$30,PermPmt-JV$27))</f>
        <v/>
      </c>
      <c r="JW28" s="218">
        <f>IF(OR(279&lt;=RefiMonth+PermIOMonths,Timeline!JW$43=0),0,MIN(JV$30,PermPmt-JW$27))</f>
        <v/>
      </c>
      <c r="JX28" s="218">
        <f>IF(OR(280&lt;=RefiMonth+PermIOMonths,Timeline!JX$43=0),0,MIN(JW$30,PermPmt-JX$27))</f>
        <v/>
      </c>
      <c r="JY28" s="218">
        <f>IF(OR(281&lt;=RefiMonth+PermIOMonths,Timeline!JY$43=0),0,MIN(JX$30,PermPmt-JY$27))</f>
        <v/>
      </c>
      <c r="JZ28" s="218">
        <f>IF(OR(282&lt;=RefiMonth+PermIOMonths,Timeline!JZ$43=0),0,MIN(JY$30,PermPmt-JZ$27))</f>
        <v/>
      </c>
      <c r="KA28" s="218">
        <f>IF(OR(283&lt;=RefiMonth+PermIOMonths,Timeline!KA$43=0),0,MIN(JZ$30,PermPmt-KA$27))</f>
        <v/>
      </c>
      <c r="KB28" s="218">
        <f>IF(OR(284&lt;=RefiMonth+PermIOMonths,Timeline!KB$43=0),0,MIN(KA$30,PermPmt-KB$27))</f>
        <v/>
      </c>
      <c r="KC28" s="218">
        <f>IF(OR(285&lt;=RefiMonth+PermIOMonths,Timeline!KC$43=0),0,MIN(KB$30,PermPmt-KC$27))</f>
        <v/>
      </c>
      <c r="KD28" s="218">
        <f>IF(OR(286&lt;=RefiMonth+PermIOMonths,Timeline!KD$43=0),0,MIN(KC$30,PermPmt-KD$27))</f>
        <v/>
      </c>
      <c r="KE28" s="218">
        <f>IF(OR(287&lt;=RefiMonth+PermIOMonths,Timeline!KE$43=0),0,MIN(KD$30,PermPmt-KE$27))</f>
        <v/>
      </c>
      <c r="KF28" s="218">
        <f>IF(OR(288&lt;=RefiMonth+PermIOMonths,Timeline!KF$43=0),0,MIN(KE$30,PermPmt-KF$27))</f>
        <v/>
      </c>
      <c r="KG28" s="218">
        <f>IF(OR(289&lt;=RefiMonth+PermIOMonths,Timeline!KG$43=0),0,MIN(KF$30,PermPmt-KG$27))</f>
        <v/>
      </c>
      <c r="KH28" s="218">
        <f>IF(OR(290&lt;=RefiMonth+PermIOMonths,Timeline!KH$43=0),0,MIN(KG$30,PermPmt-KH$27))</f>
        <v/>
      </c>
      <c r="KI28" s="218">
        <f>IF(OR(291&lt;=RefiMonth+PermIOMonths,Timeline!KI$43=0),0,MIN(KH$30,PermPmt-KI$27))</f>
        <v/>
      </c>
      <c r="KJ28" s="218">
        <f>IF(OR(292&lt;=RefiMonth+PermIOMonths,Timeline!KJ$43=0),0,MIN(KI$30,PermPmt-KJ$27))</f>
        <v/>
      </c>
      <c r="KK28" s="218">
        <f>IF(OR(293&lt;=RefiMonth+PermIOMonths,Timeline!KK$43=0),0,MIN(KJ$30,PermPmt-KK$27))</f>
        <v/>
      </c>
      <c r="KL28" s="218">
        <f>IF(OR(294&lt;=RefiMonth+PermIOMonths,Timeline!KL$43=0),0,MIN(KK$30,PermPmt-KL$27))</f>
        <v/>
      </c>
      <c r="KM28" s="218">
        <f>IF(OR(295&lt;=RefiMonth+PermIOMonths,Timeline!KM$43=0),0,MIN(KL$30,PermPmt-KM$27))</f>
        <v/>
      </c>
      <c r="KN28" s="218">
        <f>IF(OR(296&lt;=RefiMonth+PermIOMonths,Timeline!KN$43=0),0,MIN(KM$30,PermPmt-KN$27))</f>
        <v/>
      </c>
      <c r="KO28" s="218">
        <f>IF(OR(297&lt;=RefiMonth+PermIOMonths,Timeline!KO$43=0),0,MIN(KN$30,PermPmt-KO$27))</f>
        <v/>
      </c>
      <c r="KP28" s="218">
        <f>IF(OR(298&lt;=RefiMonth+PermIOMonths,Timeline!KP$43=0),0,MIN(KO$30,PermPmt-KP$27))</f>
        <v/>
      </c>
      <c r="KQ28" s="218">
        <f>IF(OR(299&lt;=RefiMonth+PermIOMonths,Timeline!KQ$43=0),0,MIN(KP$30,PermPmt-KQ$27))</f>
        <v/>
      </c>
      <c r="KR28" s="218">
        <f>IF(OR(300&lt;=RefiMonth+PermIOMonths,Timeline!KR$43=0),0,MIN(KQ$30,PermPmt-KR$27))</f>
        <v/>
      </c>
      <c r="KS28" s="218">
        <f>IF(OR(301&lt;=RefiMonth+PermIOMonths,Timeline!KS$43=0),0,MIN(KR$30,PermPmt-KS$27))</f>
        <v/>
      </c>
      <c r="KT28" s="218">
        <f>IF(OR(302&lt;=RefiMonth+PermIOMonths,Timeline!KT$43=0),0,MIN(KS$30,PermPmt-KT$27))</f>
        <v/>
      </c>
      <c r="KU28" s="218">
        <f>IF(OR(303&lt;=RefiMonth+PermIOMonths,Timeline!KU$43=0),0,MIN(KT$30,PermPmt-KU$27))</f>
        <v/>
      </c>
      <c r="KV28" s="218">
        <f>IF(OR(304&lt;=RefiMonth+PermIOMonths,Timeline!KV$43=0),0,MIN(KU$30,PermPmt-KV$27))</f>
        <v/>
      </c>
      <c r="KW28" s="218">
        <f>IF(OR(305&lt;=RefiMonth+PermIOMonths,Timeline!KW$43=0),0,MIN(KV$30,PermPmt-KW$27))</f>
        <v/>
      </c>
      <c r="KX28" s="218">
        <f>IF(OR(306&lt;=RefiMonth+PermIOMonths,Timeline!KX$43=0),0,MIN(KW$30,PermPmt-KX$27))</f>
        <v/>
      </c>
      <c r="KY28" s="218">
        <f>IF(OR(307&lt;=RefiMonth+PermIOMonths,Timeline!KY$43=0),0,MIN(KX$30,PermPmt-KY$27))</f>
        <v/>
      </c>
      <c r="KZ28" s="218">
        <f>IF(OR(308&lt;=RefiMonth+PermIOMonths,Timeline!KZ$43=0),0,MIN(KY$30,PermPmt-KZ$27))</f>
        <v/>
      </c>
      <c r="LA28" s="218">
        <f>IF(OR(309&lt;=RefiMonth+PermIOMonths,Timeline!LA$43=0),0,MIN(KZ$30,PermPmt-LA$27))</f>
        <v/>
      </c>
      <c r="LB28" s="218">
        <f>IF(OR(310&lt;=RefiMonth+PermIOMonths,Timeline!LB$43=0),0,MIN(LA$30,PermPmt-LB$27))</f>
        <v/>
      </c>
      <c r="LC28" s="218">
        <f>IF(OR(311&lt;=RefiMonth+PermIOMonths,Timeline!LC$43=0),0,MIN(LB$30,PermPmt-LC$27))</f>
        <v/>
      </c>
      <c r="LD28" s="218">
        <f>IF(OR(312&lt;=RefiMonth+PermIOMonths,Timeline!LD$43=0),0,MIN(LC$30,PermPmt-LD$27))</f>
        <v/>
      </c>
      <c r="LE28" s="218">
        <f>IF(OR(313&lt;=RefiMonth+PermIOMonths,Timeline!LE$43=0),0,MIN(LD$30,PermPmt-LE$27))</f>
        <v/>
      </c>
      <c r="LF28" s="218">
        <f>IF(OR(314&lt;=RefiMonth+PermIOMonths,Timeline!LF$43=0),0,MIN(LE$30,PermPmt-LF$27))</f>
        <v/>
      </c>
      <c r="LG28" s="218">
        <f>IF(OR(315&lt;=RefiMonth+PermIOMonths,Timeline!LG$43=0),0,MIN(LF$30,PermPmt-LG$27))</f>
        <v/>
      </c>
      <c r="LH28" s="218">
        <f>IF(OR(316&lt;=RefiMonth+PermIOMonths,Timeline!LH$43=0),0,MIN(LG$30,PermPmt-LH$27))</f>
        <v/>
      </c>
      <c r="LI28" s="218">
        <f>IF(OR(317&lt;=RefiMonth+PermIOMonths,Timeline!LI$43=0),0,MIN(LH$30,PermPmt-LI$27))</f>
        <v/>
      </c>
      <c r="LJ28" s="218">
        <f>IF(OR(318&lt;=RefiMonth+PermIOMonths,Timeline!LJ$43=0),0,MIN(LI$30,PermPmt-LJ$27))</f>
        <v/>
      </c>
      <c r="LK28" s="218">
        <f>IF(OR(319&lt;=RefiMonth+PermIOMonths,Timeline!LK$43=0),0,MIN(LJ$30,PermPmt-LK$27))</f>
        <v/>
      </c>
      <c r="LL28" s="218">
        <f>IF(OR(320&lt;=RefiMonth+PermIOMonths,Timeline!LL$43=0),0,MIN(LK$30,PermPmt-LL$27))</f>
        <v/>
      </c>
      <c r="LM28" s="218">
        <f>IF(OR(321&lt;=RefiMonth+PermIOMonths,Timeline!LM$43=0),0,MIN(LL$30,PermPmt-LM$27))</f>
        <v/>
      </c>
      <c r="LN28" s="218">
        <f>IF(OR(322&lt;=RefiMonth+PermIOMonths,Timeline!LN$43=0),0,MIN(LM$30,PermPmt-LN$27))</f>
        <v/>
      </c>
      <c r="LO28" s="218">
        <f>IF(OR(323&lt;=RefiMonth+PermIOMonths,Timeline!LO$43=0),0,MIN(LN$30,PermPmt-LO$27))</f>
        <v/>
      </c>
      <c r="LP28" s="218">
        <f>IF(OR(324&lt;=RefiMonth+PermIOMonths,Timeline!LP$43=0),0,MIN(LO$30,PermPmt-LP$27))</f>
        <v/>
      </c>
      <c r="LQ28" s="218">
        <f>IF(OR(325&lt;=RefiMonth+PermIOMonths,Timeline!LQ$43=0),0,MIN(LP$30,PermPmt-LQ$27))</f>
        <v/>
      </c>
      <c r="LR28" s="218">
        <f>IF(OR(326&lt;=RefiMonth+PermIOMonths,Timeline!LR$43=0),0,MIN(LQ$30,PermPmt-LR$27))</f>
        <v/>
      </c>
      <c r="LS28" s="218">
        <f>IF(OR(327&lt;=RefiMonth+PermIOMonths,Timeline!LS$43=0),0,MIN(LR$30,PermPmt-LS$27))</f>
        <v/>
      </c>
      <c r="LT28" s="218">
        <f>IF(OR(328&lt;=RefiMonth+PermIOMonths,Timeline!LT$43=0),0,MIN(LS$30,PermPmt-LT$27))</f>
        <v/>
      </c>
      <c r="LU28" s="218">
        <f>IF(OR(329&lt;=RefiMonth+PermIOMonths,Timeline!LU$43=0),0,MIN(LT$30,PermPmt-LU$27))</f>
        <v/>
      </c>
      <c r="LV28" s="218">
        <f>IF(OR(330&lt;=RefiMonth+PermIOMonths,Timeline!LV$43=0),0,MIN(LU$30,PermPmt-LV$27))</f>
        <v/>
      </c>
      <c r="LW28" s="218">
        <f>IF(OR(331&lt;=RefiMonth+PermIOMonths,Timeline!LW$43=0),0,MIN(LV$30,PermPmt-LW$27))</f>
        <v/>
      </c>
      <c r="LX28" s="218">
        <f>IF(OR(332&lt;=RefiMonth+PermIOMonths,Timeline!LX$43=0),0,MIN(LW$30,PermPmt-LX$27))</f>
        <v/>
      </c>
      <c r="LY28" s="218">
        <f>IF(OR(333&lt;=RefiMonth+PermIOMonths,Timeline!LY$43=0),0,MIN(LX$30,PermPmt-LY$27))</f>
        <v/>
      </c>
      <c r="LZ28" s="218">
        <f>IF(OR(334&lt;=RefiMonth+PermIOMonths,Timeline!LZ$43=0),0,MIN(LY$30,PermPmt-LZ$27))</f>
        <v/>
      </c>
      <c r="MA28" s="218">
        <f>IF(OR(335&lt;=RefiMonth+PermIOMonths,Timeline!MA$43=0),0,MIN(LZ$30,PermPmt-MA$27))</f>
        <v/>
      </c>
      <c r="MB28" s="218">
        <f>IF(OR(336&lt;=RefiMonth+PermIOMonths,Timeline!MB$43=0),0,MIN(MA$30,PermPmt-MB$27))</f>
        <v/>
      </c>
      <c r="MC28" s="218">
        <f>IF(OR(337&lt;=RefiMonth+PermIOMonths,Timeline!MC$43=0),0,MIN(MB$30,PermPmt-MC$27))</f>
        <v/>
      </c>
      <c r="MD28" s="218">
        <f>IF(OR(338&lt;=RefiMonth+PermIOMonths,Timeline!MD$43=0),0,MIN(MC$30,PermPmt-MD$27))</f>
        <v/>
      </c>
      <c r="ME28" s="218">
        <f>IF(OR(339&lt;=RefiMonth+PermIOMonths,Timeline!ME$43=0),0,MIN(MD$30,PermPmt-ME$27))</f>
        <v/>
      </c>
      <c r="MF28" s="218">
        <f>IF(OR(340&lt;=RefiMonth+PermIOMonths,Timeline!MF$43=0),0,MIN(ME$30,PermPmt-MF$27))</f>
        <v/>
      </c>
      <c r="MG28" s="218">
        <f>IF(OR(341&lt;=RefiMonth+PermIOMonths,Timeline!MG$43=0),0,MIN(MF$30,PermPmt-MG$27))</f>
        <v/>
      </c>
      <c r="MH28" s="218">
        <f>IF(OR(342&lt;=RefiMonth+PermIOMonths,Timeline!MH$43=0),0,MIN(MG$30,PermPmt-MH$27))</f>
        <v/>
      </c>
      <c r="MI28" s="218">
        <f>IF(OR(343&lt;=RefiMonth+PermIOMonths,Timeline!MI$43=0),0,MIN(MH$30,PermPmt-MI$27))</f>
        <v/>
      </c>
      <c r="MJ28" s="218">
        <f>IF(OR(344&lt;=RefiMonth+PermIOMonths,Timeline!MJ$43=0),0,MIN(MI$30,PermPmt-MJ$27))</f>
        <v/>
      </c>
      <c r="MK28" s="218">
        <f>IF(OR(345&lt;=RefiMonth+PermIOMonths,Timeline!MK$43=0),0,MIN(MJ$30,PermPmt-MK$27))</f>
        <v/>
      </c>
      <c r="ML28" s="218">
        <f>IF(OR(346&lt;=RefiMonth+PermIOMonths,Timeline!ML$43=0),0,MIN(MK$30,PermPmt-ML$27))</f>
        <v/>
      </c>
      <c r="MM28" s="218">
        <f>IF(OR(347&lt;=RefiMonth+PermIOMonths,Timeline!MM$43=0),0,MIN(ML$30,PermPmt-MM$27))</f>
        <v/>
      </c>
      <c r="MN28" s="218">
        <f>IF(OR(348&lt;=RefiMonth+PermIOMonths,Timeline!MN$43=0),0,MIN(MM$30,PermPmt-MN$27))</f>
        <v/>
      </c>
      <c r="MO28" s="218">
        <f>IF(OR(349&lt;=RefiMonth+PermIOMonths,Timeline!MO$43=0),0,MIN(MN$30,PermPmt-MO$27))</f>
        <v/>
      </c>
      <c r="MP28" s="218">
        <f>IF(OR(350&lt;=RefiMonth+PermIOMonths,Timeline!MP$43=0),0,MIN(MO$30,PermPmt-MP$27))</f>
        <v/>
      </c>
      <c r="MQ28" s="218">
        <f>IF(OR(351&lt;=RefiMonth+PermIOMonths,Timeline!MQ$43=0),0,MIN(MP$30,PermPmt-MQ$27))</f>
        <v/>
      </c>
      <c r="MR28" s="218">
        <f>IF(OR(352&lt;=RefiMonth+PermIOMonths,Timeline!MR$43=0),0,MIN(MQ$30,PermPmt-MR$27))</f>
        <v/>
      </c>
      <c r="MS28" s="218">
        <f>IF(OR(353&lt;=RefiMonth+PermIOMonths,Timeline!MS$43=0),0,MIN(MR$30,PermPmt-MS$27))</f>
        <v/>
      </c>
      <c r="MT28" s="218">
        <f>IF(OR(354&lt;=RefiMonth+PermIOMonths,Timeline!MT$43=0),0,MIN(MS$30,PermPmt-MT$27))</f>
        <v/>
      </c>
      <c r="MU28" s="218">
        <f>IF(OR(355&lt;=RefiMonth+PermIOMonths,Timeline!MU$43=0),0,MIN(MT$30,PermPmt-MU$27))</f>
        <v/>
      </c>
      <c r="MV28" s="218">
        <f>IF(OR(356&lt;=RefiMonth+PermIOMonths,Timeline!MV$43=0),0,MIN(MU$30,PermPmt-MV$27))</f>
        <v/>
      </c>
      <c r="MW28" s="218">
        <f>IF(OR(357&lt;=RefiMonth+PermIOMonths,Timeline!MW$43=0),0,MIN(MV$30,PermPmt-MW$27))</f>
        <v/>
      </c>
      <c r="MX28" s="218">
        <f>IF(OR(358&lt;=RefiMonth+PermIOMonths,Timeline!MX$43=0),0,MIN(MW$30,PermPmt-MX$27))</f>
        <v/>
      </c>
      <c r="MY28" s="218">
        <f>IF(OR(359&lt;=RefiMonth+PermIOMonths,Timeline!MY$43=0),0,MIN(MX$30,PermPmt-MY$27))</f>
        <v/>
      </c>
      <c r="MZ28" s="218">
        <f>IF(OR(360&lt;=RefiMonth+PermIOMonths,Timeline!MZ$43=0),0,MIN(MY$30,PermPmt-MZ$27))</f>
        <v/>
      </c>
      <c r="NA28" s="218">
        <f>IF(OR(361&lt;=RefiMonth+PermIOMonths,Timeline!NA$43=0),0,MIN(MZ$30,PermPmt-NA$27))</f>
        <v/>
      </c>
      <c r="NB28" s="218">
        <f>IF(OR(362&lt;=RefiMonth+PermIOMonths,Timeline!NB$43=0),0,MIN(NA$30,PermPmt-NB$27))</f>
        <v/>
      </c>
      <c r="NC28" s="218">
        <f>IF(OR(363&lt;=RefiMonth+PermIOMonths,Timeline!NC$43=0),0,MIN(NB$30,PermPmt-NC$27))</f>
        <v/>
      </c>
      <c r="ND28" s="218">
        <f>IF(OR(364&lt;=RefiMonth+PermIOMonths,Timeline!ND$43=0),0,MIN(NC$30,PermPmt-ND$27))</f>
        <v/>
      </c>
      <c r="NE28" s="218">
        <f>IF(OR(365&lt;=RefiMonth+PermIOMonths,Timeline!NE$43=0),0,MIN(ND$30,PermPmt-NE$27))</f>
        <v/>
      </c>
      <c r="NF28" s="218">
        <f>IF(OR(366&lt;=RefiMonth+PermIOMonths,Timeline!NF$43=0),0,MIN(NE$30,PermPmt-NF$27))</f>
        <v/>
      </c>
      <c r="NG28" s="218">
        <f>IF(OR(367&lt;=RefiMonth+PermIOMonths,Timeline!NG$43=0),0,MIN(NF$30,PermPmt-NG$27))</f>
        <v/>
      </c>
      <c r="NH28" s="218">
        <f>IF(OR(368&lt;=RefiMonth+PermIOMonths,Timeline!NH$43=0),0,MIN(NG$30,PermPmt-NH$27))</f>
        <v/>
      </c>
      <c r="NI28" s="218">
        <f>IF(OR(369&lt;=RefiMonth+PermIOMonths,Timeline!NI$43=0),0,MIN(NH$30,PermPmt-NI$27))</f>
        <v/>
      </c>
      <c r="NJ28" s="218">
        <f>IF(OR(370&lt;=RefiMonth+PermIOMonths,Timeline!NJ$43=0),0,MIN(NI$30,PermPmt-NJ$27))</f>
        <v/>
      </c>
      <c r="NK28" s="218">
        <f>IF(OR(371&lt;=RefiMonth+PermIOMonths,Timeline!NK$43=0),0,MIN(NJ$30,PermPmt-NK$27))</f>
        <v/>
      </c>
      <c r="NL28" s="218">
        <f>IF(OR(372&lt;=RefiMonth+PermIOMonths,Timeline!NL$43=0),0,MIN(NK$30,PermPmt-NL$27))</f>
        <v/>
      </c>
    </row>
    <row r="29">
      <c r="B29" s="36" t="inlineStr">
        <is>
          <t>Debt Service</t>
        </is>
      </c>
      <c r="D29" s="258">
        <f>SUM(E29:NL29)</f>
        <v/>
      </c>
      <c r="E29" s="218">
        <f>IF(Timeline!E$43=1,E$27+E$28,0)</f>
        <v/>
      </c>
      <c r="F29" s="218">
        <f>IF(Timeline!F$43=1,F$27+F$28,0)</f>
        <v/>
      </c>
      <c r="G29" s="218">
        <f>IF(Timeline!G$43=1,G$27+G$28,0)</f>
        <v/>
      </c>
      <c r="H29" s="218">
        <f>IF(Timeline!H$43=1,H$27+H$28,0)</f>
        <v/>
      </c>
      <c r="I29" s="218">
        <f>IF(Timeline!I$43=1,I$27+I$28,0)</f>
        <v/>
      </c>
      <c r="J29" s="218">
        <f>IF(Timeline!J$43=1,J$27+J$28,0)</f>
        <v/>
      </c>
      <c r="K29" s="218">
        <f>IF(Timeline!K$43=1,K$27+K$28,0)</f>
        <v/>
      </c>
      <c r="L29" s="218">
        <f>IF(Timeline!L$43=1,L$27+L$28,0)</f>
        <v/>
      </c>
      <c r="M29" s="218">
        <f>IF(Timeline!M$43=1,M$27+M$28,0)</f>
        <v/>
      </c>
      <c r="N29" s="218">
        <f>IF(Timeline!N$43=1,N$27+N$28,0)</f>
        <v/>
      </c>
      <c r="O29" s="218">
        <f>IF(Timeline!O$43=1,O$27+O$28,0)</f>
        <v/>
      </c>
      <c r="P29" s="218">
        <f>IF(Timeline!P$43=1,P$27+P$28,0)</f>
        <v/>
      </c>
      <c r="Q29" s="218">
        <f>IF(Timeline!Q$43=1,Q$27+Q$28,0)</f>
        <v/>
      </c>
      <c r="R29" s="218">
        <f>IF(Timeline!R$43=1,R$27+R$28,0)</f>
        <v/>
      </c>
      <c r="S29" s="218">
        <f>IF(Timeline!S$43=1,S$27+S$28,0)</f>
        <v/>
      </c>
      <c r="T29" s="218">
        <f>IF(Timeline!T$43=1,T$27+T$28,0)</f>
        <v/>
      </c>
      <c r="U29" s="218">
        <f>IF(Timeline!U$43=1,U$27+U$28,0)</f>
        <v/>
      </c>
      <c r="V29" s="218">
        <f>IF(Timeline!V$43=1,V$27+V$28,0)</f>
        <v/>
      </c>
      <c r="W29" s="218">
        <f>IF(Timeline!W$43=1,W$27+W$28,0)</f>
        <v/>
      </c>
      <c r="X29" s="218">
        <f>IF(Timeline!X$43=1,X$27+X$28,0)</f>
        <v/>
      </c>
      <c r="Y29" s="218">
        <f>IF(Timeline!Y$43=1,Y$27+Y$28,0)</f>
        <v/>
      </c>
      <c r="Z29" s="218">
        <f>IF(Timeline!Z$43=1,Z$27+Z$28,0)</f>
        <v/>
      </c>
      <c r="AA29" s="218">
        <f>IF(Timeline!AA$43=1,AA$27+AA$28,0)</f>
        <v/>
      </c>
      <c r="AB29" s="218">
        <f>IF(Timeline!AB$43=1,AB$27+AB$28,0)</f>
        <v/>
      </c>
      <c r="AC29" s="218">
        <f>IF(Timeline!AC$43=1,AC$27+AC$28,0)</f>
        <v/>
      </c>
      <c r="AD29" s="218">
        <f>IF(Timeline!AD$43=1,AD$27+AD$28,0)</f>
        <v/>
      </c>
      <c r="AE29" s="218">
        <f>IF(Timeline!AE$43=1,AE$27+AE$28,0)</f>
        <v/>
      </c>
      <c r="AF29" s="218">
        <f>IF(Timeline!AF$43=1,AF$27+AF$28,0)</f>
        <v/>
      </c>
      <c r="AG29" s="218">
        <f>IF(Timeline!AG$43=1,AG$27+AG$28,0)</f>
        <v/>
      </c>
      <c r="AH29" s="218">
        <f>IF(Timeline!AH$43=1,AH$27+AH$28,0)</f>
        <v/>
      </c>
      <c r="AI29" s="218">
        <f>IF(Timeline!AI$43=1,AI$27+AI$28,0)</f>
        <v/>
      </c>
      <c r="AJ29" s="218">
        <f>IF(Timeline!AJ$43=1,AJ$27+AJ$28,0)</f>
        <v/>
      </c>
      <c r="AK29" s="218">
        <f>IF(Timeline!AK$43=1,AK$27+AK$28,0)</f>
        <v/>
      </c>
      <c r="AL29" s="218">
        <f>IF(Timeline!AL$43=1,AL$27+AL$28,0)</f>
        <v/>
      </c>
      <c r="AM29" s="218">
        <f>IF(Timeline!AM$43=1,AM$27+AM$28,0)</f>
        <v/>
      </c>
      <c r="AN29" s="218">
        <f>IF(Timeline!AN$43=1,AN$27+AN$28,0)</f>
        <v/>
      </c>
      <c r="AO29" s="218">
        <f>IF(Timeline!AO$43=1,AO$27+AO$28,0)</f>
        <v/>
      </c>
      <c r="AP29" s="218">
        <f>IF(Timeline!AP$43=1,AP$27+AP$28,0)</f>
        <v/>
      </c>
      <c r="AQ29" s="218">
        <f>IF(Timeline!AQ$43=1,AQ$27+AQ$28,0)</f>
        <v/>
      </c>
      <c r="AR29" s="218">
        <f>IF(Timeline!AR$43=1,AR$27+AR$28,0)</f>
        <v/>
      </c>
      <c r="AS29" s="218">
        <f>IF(Timeline!AS$43=1,AS$27+AS$28,0)</f>
        <v/>
      </c>
      <c r="AT29" s="218">
        <f>IF(Timeline!AT$43=1,AT$27+AT$28,0)</f>
        <v/>
      </c>
      <c r="AU29" s="218">
        <f>IF(Timeline!AU$43=1,AU$27+AU$28,0)</f>
        <v/>
      </c>
      <c r="AV29" s="218">
        <f>IF(Timeline!AV$43=1,AV$27+AV$28,0)</f>
        <v/>
      </c>
      <c r="AW29" s="218">
        <f>IF(Timeline!AW$43=1,AW$27+AW$28,0)</f>
        <v/>
      </c>
      <c r="AX29" s="218">
        <f>IF(Timeline!AX$43=1,AX$27+AX$28,0)</f>
        <v/>
      </c>
      <c r="AY29" s="218">
        <f>IF(Timeline!AY$43=1,AY$27+AY$28,0)</f>
        <v/>
      </c>
      <c r="AZ29" s="218">
        <f>IF(Timeline!AZ$43=1,AZ$27+AZ$28,0)</f>
        <v/>
      </c>
      <c r="BA29" s="218">
        <f>IF(Timeline!BA$43=1,BA$27+BA$28,0)</f>
        <v/>
      </c>
      <c r="BB29" s="218">
        <f>IF(Timeline!BB$43=1,BB$27+BB$28,0)</f>
        <v/>
      </c>
      <c r="BC29" s="218">
        <f>IF(Timeline!BC$43=1,BC$27+BC$28,0)</f>
        <v/>
      </c>
      <c r="BD29" s="218">
        <f>IF(Timeline!BD$43=1,BD$27+BD$28,0)</f>
        <v/>
      </c>
      <c r="BE29" s="218">
        <f>IF(Timeline!BE$43=1,BE$27+BE$28,0)</f>
        <v/>
      </c>
      <c r="BF29" s="218">
        <f>IF(Timeline!BF$43=1,BF$27+BF$28,0)</f>
        <v/>
      </c>
      <c r="BG29" s="218">
        <f>IF(Timeline!BG$43=1,BG$27+BG$28,0)</f>
        <v/>
      </c>
      <c r="BH29" s="218">
        <f>IF(Timeline!BH$43=1,BH$27+BH$28,0)</f>
        <v/>
      </c>
      <c r="BI29" s="218">
        <f>IF(Timeline!BI$43=1,BI$27+BI$28,0)</f>
        <v/>
      </c>
      <c r="BJ29" s="218">
        <f>IF(Timeline!BJ$43=1,BJ$27+BJ$28,0)</f>
        <v/>
      </c>
      <c r="BK29" s="218">
        <f>IF(Timeline!BK$43=1,BK$27+BK$28,0)</f>
        <v/>
      </c>
      <c r="BL29" s="218">
        <f>IF(Timeline!BL$43=1,BL$27+BL$28,0)</f>
        <v/>
      </c>
      <c r="BM29" s="218">
        <f>IF(Timeline!BM$43=1,BM$27+BM$28,0)</f>
        <v/>
      </c>
      <c r="BN29" s="218">
        <f>IF(Timeline!BN$43=1,BN$27+BN$28,0)</f>
        <v/>
      </c>
      <c r="BO29" s="218">
        <f>IF(Timeline!BO$43=1,BO$27+BO$28,0)</f>
        <v/>
      </c>
      <c r="BP29" s="218">
        <f>IF(Timeline!BP$43=1,BP$27+BP$28,0)</f>
        <v/>
      </c>
      <c r="BQ29" s="218">
        <f>IF(Timeline!BQ$43=1,BQ$27+BQ$28,0)</f>
        <v/>
      </c>
      <c r="BR29" s="218">
        <f>IF(Timeline!BR$43=1,BR$27+BR$28,0)</f>
        <v/>
      </c>
      <c r="BS29" s="218">
        <f>IF(Timeline!BS$43=1,BS$27+BS$28,0)</f>
        <v/>
      </c>
      <c r="BT29" s="218">
        <f>IF(Timeline!BT$43=1,BT$27+BT$28,0)</f>
        <v/>
      </c>
      <c r="BU29" s="218">
        <f>IF(Timeline!BU$43=1,BU$27+BU$28,0)</f>
        <v/>
      </c>
      <c r="BV29" s="218">
        <f>IF(Timeline!BV$43=1,BV$27+BV$28,0)</f>
        <v/>
      </c>
      <c r="BW29" s="218">
        <f>IF(Timeline!BW$43=1,BW$27+BW$28,0)</f>
        <v/>
      </c>
      <c r="BX29" s="218">
        <f>IF(Timeline!BX$43=1,BX$27+BX$28,0)</f>
        <v/>
      </c>
      <c r="BY29" s="218">
        <f>IF(Timeline!BY$43=1,BY$27+BY$28,0)</f>
        <v/>
      </c>
      <c r="BZ29" s="218">
        <f>IF(Timeline!BZ$43=1,BZ$27+BZ$28,0)</f>
        <v/>
      </c>
      <c r="CA29" s="218">
        <f>IF(Timeline!CA$43=1,CA$27+CA$28,0)</f>
        <v/>
      </c>
      <c r="CB29" s="218">
        <f>IF(Timeline!CB$43=1,CB$27+CB$28,0)</f>
        <v/>
      </c>
      <c r="CC29" s="218">
        <f>IF(Timeline!CC$43=1,CC$27+CC$28,0)</f>
        <v/>
      </c>
      <c r="CD29" s="218">
        <f>IF(Timeline!CD$43=1,CD$27+CD$28,0)</f>
        <v/>
      </c>
      <c r="CE29" s="218">
        <f>IF(Timeline!CE$43=1,CE$27+CE$28,0)</f>
        <v/>
      </c>
      <c r="CF29" s="218">
        <f>IF(Timeline!CF$43=1,CF$27+CF$28,0)</f>
        <v/>
      </c>
      <c r="CG29" s="218">
        <f>IF(Timeline!CG$43=1,CG$27+CG$28,0)</f>
        <v/>
      </c>
      <c r="CH29" s="218">
        <f>IF(Timeline!CH$43=1,CH$27+CH$28,0)</f>
        <v/>
      </c>
      <c r="CI29" s="218">
        <f>IF(Timeline!CI$43=1,CI$27+CI$28,0)</f>
        <v/>
      </c>
      <c r="CJ29" s="218">
        <f>IF(Timeline!CJ$43=1,CJ$27+CJ$28,0)</f>
        <v/>
      </c>
      <c r="CK29" s="218">
        <f>IF(Timeline!CK$43=1,CK$27+CK$28,0)</f>
        <v/>
      </c>
      <c r="CL29" s="218">
        <f>IF(Timeline!CL$43=1,CL$27+CL$28,0)</f>
        <v/>
      </c>
      <c r="CM29" s="218">
        <f>IF(Timeline!CM$43=1,CM$27+CM$28,0)</f>
        <v/>
      </c>
      <c r="CN29" s="218">
        <f>IF(Timeline!CN$43=1,CN$27+CN$28,0)</f>
        <v/>
      </c>
      <c r="CO29" s="218">
        <f>IF(Timeline!CO$43=1,CO$27+CO$28,0)</f>
        <v/>
      </c>
      <c r="CP29" s="218">
        <f>IF(Timeline!CP$43=1,CP$27+CP$28,0)</f>
        <v/>
      </c>
      <c r="CQ29" s="218">
        <f>IF(Timeline!CQ$43=1,CQ$27+CQ$28,0)</f>
        <v/>
      </c>
      <c r="CR29" s="218">
        <f>IF(Timeline!CR$43=1,CR$27+CR$28,0)</f>
        <v/>
      </c>
      <c r="CS29" s="218">
        <f>IF(Timeline!CS$43=1,CS$27+CS$28,0)</f>
        <v/>
      </c>
      <c r="CT29" s="218">
        <f>IF(Timeline!CT$43=1,CT$27+CT$28,0)</f>
        <v/>
      </c>
      <c r="CU29" s="218">
        <f>IF(Timeline!CU$43=1,CU$27+CU$28,0)</f>
        <v/>
      </c>
      <c r="CV29" s="218">
        <f>IF(Timeline!CV$43=1,CV$27+CV$28,0)</f>
        <v/>
      </c>
      <c r="CW29" s="218">
        <f>IF(Timeline!CW$43=1,CW$27+CW$28,0)</f>
        <v/>
      </c>
      <c r="CX29" s="218">
        <f>IF(Timeline!CX$43=1,CX$27+CX$28,0)</f>
        <v/>
      </c>
      <c r="CY29" s="218">
        <f>IF(Timeline!CY$43=1,CY$27+CY$28,0)</f>
        <v/>
      </c>
      <c r="CZ29" s="218">
        <f>IF(Timeline!CZ$43=1,CZ$27+CZ$28,0)</f>
        <v/>
      </c>
      <c r="DA29" s="218">
        <f>IF(Timeline!DA$43=1,DA$27+DA$28,0)</f>
        <v/>
      </c>
      <c r="DB29" s="218">
        <f>IF(Timeline!DB$43=1,DB$27+DB$28,0)</f>
        <v/>
      </c>
      <c r="DC29" s="218">
        <f>IF(Timeline!DC$43=1,DC$27+DC$28,0)</f>
        <v/>
      </c>
      <c r="DD29" s="218">
        <f>IF(Timeline!DD$43=1,DD$27+DD$28,0)</f>
        <v/>
      </c>
      <c r="DE29" s="218">
        <f>IF(Timeline!DE$43=1,DE$27+DE$28,0)</f>
        <v/>
      </c>
      <c r="DF29" s="218">
        <f>IF(Timeline!DF$43=1,DF$27+DF$28,0)</f>
        <v/>
      </c>
      <c r="DG29" s="218">
        <f>IF(Timeline!DG$43=1,DG$27+DG$28,0)</f>
        <v/>
      </c>
      <c r="DH29" s="218">
        <f>IF(Timeline!DH$43=1,DH$27+DH$28,0)</f>
        <v/>
      </c>
      <c r="DI29" s="218">
        <f>IF(Timeline!DI$43=1,DI$27+DI$28,0)</f>
        <v/>
      </c>
      <c r="DJ29" s="218">
        <f>IF(Timeline!DJ$43=1,DJ$27+DJ$28,0)</f>
        <v/>
      </c>
      <c r="DK29" s="218">
        <f>IF(Timeline!DK$43=1,DK$27+DK$28,0)</f>
        <v/>
      </c>
      <c r="DL29" s="218">
        <f>IF(Timeline!DL$43=1,DL$27+DL$28,0)</f>
        <v/>
      </c>
      <c r="DM29" s="218">
        <f>IF(Timeline!DM$43=1,DM$27+DM$28,0)</f>
        <v/>
      </c>
      <c r="DN29" s="218">
        <f>IF(Timeline!DN$43=1,DN$27+DN$28,0)</f>
        <v/>
      </c>
      <c r="DO29" s="218">
        <f>IF(Timeline!DO$43=1,DO$27+DO$28,0)</f>
        <v/>
      </c>
      <c r="DP29" s="218">
        <f>IF(Timeline!DP$43=1,DP$27+DP$28,0)</f>
        <v/>
      </c>
      <c r="DQ29" s="218">
        <f>IF(Timeline!DQ$43=1,DQ$27+DQ$28,0)</f>
        <v/>
      </c>
      <c r="DR29" s="218">
        <f>IF(Timeline!DR$43=1,DR$27+DR$28,0)</f>
        <v/>
      </c>
      <c r="DS29" s="218">
        <f>IF(Timeline!DS$43=1,DS$27+DS$28,0)</f>
        <v/>
      </c>
      <c r="DT29" s="218">
        <f>IF(Timeline!DT$43=1,DT$27+DT$28,0)</f>
        <v/>
      </c>
      <c r="DU29" s="218">
        <f>IF(Timeline!DU$43=1,DU$27+DU$28,0)</f>
        <v/>
      </c>
      <c r="DV29" s="218">
        <f>IF(Timeline!DV$43=1,DV$27+DV$28,0)</f>
        <v/>
      </c>
      <c r="DW29" s="218">
        <f>IF(Timeline!DW$43=1,DW$27+DW$28,0)</f>
        <v/>
      </c>
      <c r="DX29" s="218">
        <f>IF(Timeline!DX$43=1,DX$27+DX$28,0)</f>
        <v/>
      </c>
      <c r="DY29" s="218">
        <f>IF(Timeline!DY$43=1,DY$27+DY$28,0)</f>
        <v/>
      </c>
      <c r="DZ29" s="218">
        <f>IF(Timeline!DZ$43=1,DZ$27+DZ$28,0)</f>
        <v/>
      </c>
      <c r="EA29" s="218">
        <f>IF(Timeline!EA$43=1,EA$27+EA$28,0)</f>
        <v/>
      </c>
      <c r="EB29" s="218">
        <f>IF(Timeline!EB$43=1,EB$27+EB$28,0)</f>
        <v/>
      </c>
      <c r="EC29" s="218">
        <f>IF(Timeline!EC$43=1,EC$27+EC$28,0)</f>
        <v/>
      </c>
      <c r="ED29" s="218">
        <f>IF(Timeline!ED$43=1,ED$27+ED$28,0)</f>
        <v/>
      </c>
      <c r="EE29" s="218">
        <f>IF(Timeline!EE$43=1,EE$27+EE$28,0)</f>
        <v/>
      </c>
      <c r="EF29" s="218">
        <f>IF(Timeline!EF$43=1,EF$27+EF$28,0)</f>
        <v/>
      </c>
      <c r="EG29" s="218">
        <f>IF(Timeline!EG$43=1,EG$27+EG$28,0)</f>
        <v/>
      </c>
      <c r="EH29" s="218">
        <f>IF(Timeline!EH$43=1,EH$27+EH$28,0)</f>
        <v/>
      </c>
      <c r="EI29" s="218">
        <f>IF(Timeline!EI$43=1,EI$27+EI$28,0)</f>
        <v/>
      </c>
      <c r="EJ29" s="218">
        <f>IF(Timeline!EJ$43=1,EJ$27+EJ$28,0)</f>
        <v/>
      </c>
      <c r="EK29" s="218">
        <f>IF(Timeline!EK$43=1,EK$27+EK$28,0)</f>
        <v/>
      </c>
      <c r="EL29" s="218">
        <f>IF(Timeline!EL$43=1,EL$27+EL$28,0)</f>
        <v/>
      </c>
      <c r="EM29" s="218">
        <f>IF(Timeline!EM$43=1,EM$27+EM$28,0)</f>
        <v/>
      </c>
      <c r="EN29" s="218">
        <f>IF(Timeline!EN$43=1,EN$27+EN$28,0)</f>
        <v/>
      </c>
      <c r="EO29" s="218">
        <f>IF(Timeline!EO$43=1,EO$27+EO$28,0)</f>
        <v/>
      </c>
      <c r="EP29" s="218">
        <f>IF(Timeline!EP$43=1,EP$27+EP$28,0)</f>
        <v/>
      </c>
      <c r="EQ29" s="218">
        <f>IF(Timeline!EQ$43=1,EQ$27+EQ$28,0)</f>
        <v/>
      </c>
      <c r="ER29" s="218">
        <f>IF(Timeline!ER$43=1,ER$27+ER$28,0)</f>
        <v/>
      </c>
      <c r="ES29" s="218">
        <f>IF(Timeline!ES$43=1,ES$27+ES$28,0)</f>
        <v/>
      </c>
      <c r="ET29" s="218">
        <f>IF(Timeline!ET$43=1,ET$27+ET$28,0)</f>
        <v/>
      </c>
      <c r="EU29" s="218">
        <f>IF(Timeline!EU$43=1,EU$27+EU$28,0)</f>
        <v/>
      </c>
      <c r="EV29" s="218">
        <f>IF(Timeline!EV$43=1,EV$27+EV$28,0)</f>
        <v/>
      </c>
      <c r="EW29" s="218">
        <f>IF(Timeline!EW$43=1,EW$27+EW$28,0)</f>
        <v/>
      </c>
      <c r="EX29" s="218">
        <f>IF(Timeline!EX$43=1,EX$27+EX$28,0)</f>
        <v/>
      </c>
      <c r="EY29" s="218">
        <f>IF(Timeline!EY$43=1,EY$27+EY$28,0)</f>
        <v/>
      </c>
      <c r="EZ29" s="218">
        <f>IF(Timeline!EZ$43=1,EZ$27+EZ$28,0)</f>
        <v/>
      </c>
      <c r="FA29" s="218">
        <f>IF(Timeline!FA$43=1,FA$27+FA$28,0)</f>
        <v/>
      </c>
      <c r="FB29" s="218">
        <f>IF(Timeline!FB$43=1,FB$27+FB$28,0)</f>
        <v/>
      </c>
      <c r="FC29" s="218">
        <f>IF(Timeline!FC$43=1,FC$27+FC$28,0)</f>
        <v/>
      </c>
      <c r="FD29" s="218">
        <f>IF(Timeline!FD$43=1,FD$27+FD$28,0)</f>
        <v/>
      </c>
      <c r="FE29" s="218">
        <f>IF(Timeline!FE$43=1,FE$27+FE$28,0)</f>
        <v/>
      </c>
      <c r="FF29" s="218">
        <f>IF(Timeline!FF$43=1,FF$27+FF$28,0)</f>
        <v/>
      </c>
      <c r="FG29" s="218">
        <f>IF(Timeline!FG$43=1,FG$27+FG$28,0)</f>
        <v/>
      </c>
      <c r="FH29" s="218">
        <f>IF(Timeline!FH$43=1,FH$27+FH$28,0)</f>
        <v/>
      </c>
      <c r="FI29" s="218">
        <f>IF(Timeline!FI$43=1,FI$27+FI$28,0)</f>
        <v/>
      </c>
      <c r="FJ29" s="218">
        <f>IF(Timeline!FJ$43=1,FJ$27+FJ$28,0)</f>
        <v/>
      </c>
      <c r="FK29" s="218">
        <f>IF(Timeline!FK$43=1,FK$27+FK$28,0)</f>
        <v/>
      </c>
      <c r="FL29" s="218">
        <f>IF(Timeline!FL$43=1,FL$27+FL$28,0)</f>
        <v/>
      </c>
      <c r="FM29" s="218">
        <f>IF(Timeline!FM$43=1,FM$27+FM$28,0)</f>
        <v/>
      </c>
      <c r="FN29" s="218">
        <f>IF(Timeline!FN$43=1,FN$27+FN$28,0)</f>
        <v/>
      </c>
      <c r="FO29" s="218">
        <f>IF(Timeline!FO$43=1,FO$27+FO$28,0)</f>
        <v/>
      </c>
      <c r="FP29" s="218">
        <f>IF(Timeline!FP$43=1,FP$27+FP$28,0)</f>
        <v/>
      </c>
      <c r="FQ29" s="218">
        <f>IF(Timeline!FQ$43=1,FQ$27+FQ$28,0)</f>
        <v/>
      </c>
      <c r="FR29" s="218">
        <f>IF(Timeline!FR$43=1,FR$27+FR$28,0)</f>
        <v/>
      </c>
      <c r="FS29" s="218">
        <f>IF(Timeline!FS$43=1,FS$27+FS$28,0)</f>
        <v/>
      </c>
      <c r="FT29" s="218">
        <f>IF(Timeline!FT$43=1,FT$27+FT$28,0)</f>
        <v/>
      </c>
      <c r="FU29" s="218">
        <f>IF(Timeline!FU$43=1,FU$27+FU$28,0)</f>
        <v/>
      </c>
      <c r="FV29" s="218">
        <f>IF(Timeline!FV$43=1,FV$27+FV$28,0)</f>
        <v/>
      </c>
      <c r="FW29" s="218">
        <f>IF(Timeline!FW$43=1,FW$27+FW$28,0)</f>
        <v/>
      </c>
      <c r="FX29" s="218">
        <f>IF(Timeline!FX$43=1,FX$27+FX$28,0)</f>
        <v/>
      </c>
      <c r="FY29" s="218">
        <f>IF(Timeline!FY$43=1,FY$27+FY$28,0)</f>
        <v/>
      </c>
      <c r="FZ29" s="218">
        <f>IF(Timeline!FZ$43=1,FZ$27+FZ$28,0)</f>
        <v/>
      </c>
      <c r="GA29" s="218">
        <f>IF(Timeline!GA$43=1,GA$27+GA$28,0)</f>
        <v/>
      </c>
      <c r="GB29" s="218">
        <f>IF(Timeline!GB$43=1,GB$27+GB$28,0)</f>
        <v/>
      </c>
      <c r="GC29" s="218">
        <f>IF(Timeline!GC$43=1,GC$27+GC$28,0)</f>
        <v/>
      </c>
      <c r="GD29" s="218">
        <f>IF(Timeline!GD$43=1,GD$27+GD$28,0)</f>
        <v/>
      </c>
      <c r="GE29" s="218">
        <f>IF(Timeline!GE$43=1,GE$27+GE$28,0)</f>
        <v/>
      </c>
      <c r="GF29" s="218">
        <f>IF(Timeline!GF$43=1,GF$27+GF$28,0)</f>
        <v/>
      </c>
      <c r="GG29" s="218">
        <f>IF(Timeline!GG$43=1,GG$27+GG$28,0)</f>
        <v/>
      </c>
      <c r="GH29" s="218">
        <f>IF(Timeline!GH$43=1,GH$27+GH$28,0)</f>
        <v/>
      </c>
      <c r="GI29" s="218">
        <f>IF(Timeline!GI$43=1,GI$27+GI$28,0)</f>
        <v/>
      </c>
      <c r="GJ29" s="218">
        <f>IF(Timeline!GJ$43=1,GJ$27+GJ$28,0)</f>
        <v/>
      </c>
      <c r="GK29" s="218">
        <f>IF(Timeline!GK$43=1,GK$27+GK$28,0)</f>
        <v/>
      </c>
      <c r="GL29" s="218">
        <f>IF(Timeline!GL$43=1,GL$27+GL$28,0)</f>
        <v/>
      </c>
      <c r="GM29" s="218">
        <f>IF(Timeline!GM$43=1,GM$27+GM$28,0)</f>
        <v/>
      </c>
      <c r="GN29" s="218">
        <f>IF(Timeline!GN$43=1,GN$27+GN$28,0)</f>
        <v/>
      </c>
      <c r="GO29" s="218">
        <f>IF(Timeline!GO$43=1,GO$27+GO$28,0)</f>
        <v/>
      </c>
      <c r="GP29" s="218">
        <f>IF(Timeline!GP$43=1,GP$27+GP$28,0)</f>
        <v/>
      </c>
      <c r="GQ29" s="218">
        <f>IF(Timeline!GQ$43=1,GQ$27+GQ$28,0)</f>
        <v/>
      </c>
      <c r="GR29" s="218">
        <f>IF(Timeline!GR$43=1,GR$27+GR$28,0)</f>
        <v/>
      </c>
      <c r="GS29" s="218">
        <f>IF(Timeline!GS$43=1,GS$27+GS$28,0)</f>
        <v/>
      </c>
      <c r="GT29" s="218">
        <f>IF(Timeline!GT$43=1,GT$27+GT$28,0)</f>
        <v/>
      </c>
      <c r="GU29" s="218">
        <f>IF(Timeline!GU$43=1,GU$27+GU$28,0)</f>
        <v/>
      </c>
      <c r="GV29" s="218">
        <f>IF(Timeline!GV$43=1,GV$27+GV$28,0)</f>
        <v/>
      </c>
      <c r="GW29" s="218">
        <f>IF(Timeline!GW$43=1,GW$27+GW$28,0)</f>
        <v/>
      </c>
      <c r="GX29" s="218">
        <f>IF(Timeline!GX$43=1,GX$27+GX$28,0)</f>
        <v/>
      </c>
      <c r="GY29" s="218">
        <f>IF(Timeline!GY$43=1,GY$27+GY$28,0)</f>
        <v/>
      </c>
      <c r="GZ29" s="218">
        <f>IF(Timeline!GZ$43=1,GZ$27+GZ$28,0)</f>
        <v/>
      </c>
      <c r="HA29" s="218">
        <f>IF(Timeline!HA$43=1,HA$27+HA$28,0)</f>
        <v/>
      </c>
      <c r="HB29" s="218">
        <f>IF(Timeline!HB$43=1,HB$27+HB$28,0)</f>
        <v/>
      </c>
      <c r="HC29" s="218">
        <f>IF(Timeline!HC$43=1,HC$27+HC$28,0)</f>
        <v/>
      </c>
      <c r="HD29" s="218">
        <f>IF(Timeline!HD$43=1,HD$27+HD$28,0)</f>
        <v/>
      </c>
      <c r="HE29" s="218">
        <f>IF(Timeline!HE$43=1,HE$27+HE$28,0)</f>
        <v/>
      </c>
      <c r="HF29" s="218">
        <f>IF(Timeline!HF$43=1,HF$27+HF$28,0)</f>
        <v/>
      </c>
      <c r="HG29" s="218">
        <f>IF(Timeline!HG$43=1,HG$27+HG$28,0)</f>
        <v/>
      </c>
      <c r="HH29" s="218">
        <f>IF(Timeline!HH$43=1,HH$27+HH$28,0)</f>
        <v/>
      </c>
      <c r="HI29" s="218">
        <f>IF(Timeline!HI$43=1,HI$27+HI$28,0)</f>
        <v/>
      </c>
      <c r="HJ29" s="218">
        <f>IF(Timeline!HJ$43=1,HJ$27+HJ$28,0)</f>
        <v/>
      </c>
      <c r="HK29" s="218">
        <f>IF(Timeline!HK$43=1,HK$27+HK$28,0)</f>
        <v/>
      </c>
      <c r="HL29" s="218">
        <f>IF(Timeline!HL$43=1,HL$27+HL$28,0)</f>
        <v/>
      </c>
      <c r="HM29" s="218">
        <f>IF(Timeline!HM$43=1,HM$27+HM$28,0)</f>
        <v/>
      </c>
      <c r="HN29" s="218">
        <f>IF(Timeline!HN$43=1,HN$27+HN$28,0)</f>
        <v/>
      </c>
      <c r="HO29" s="218">
        <f>IF(Timeline!HO$43=1,HO$27+HO$28,0)</f>
        <v/>
      </c>
      <c r="HP29" s="218">
        <f>IF(Timeline!HP$43=1,HP$27+HP$28,0)</f>
        <v/>
      </c>
      <c r="HQ29" s="218">
        <f>IF(Timeline!HQ$43=1,HQ$27+HQ$28,0)</f>
        <v/>
      </c>
      <c r="HR29" s="218">
        <f>IF(Timeline!HR$43=1,HR$27+HR$28,0)</f>
        <v/>
      </c>
      <c r="HS29" s="218">
        <f>IF(Timeline!HS$43=1,HS$27+HS$28,0)</f>
        <v/>
      </c>
      <c r="HT29" s="218">
        <f>IF(Timeline!HT$43=1,HT$27+HT$28,0)</f>
        <v/>
      </c>
      <c r="HU29" s="218">
        <f>IF(Timeline!HU$43=1,HU$27+HU$28,0)</f>
        <v/>
      </c>
      <c r="HV29" s="218">
        <f>IF(Timeline!HV$43=1,HV$27+HV$28,0)</f>
        <v/>
      </c>
      <c r="HW29" s="218">
        <f>IF(Timeline!HW$43=1,HW$27+HW$28,0)</f>
        <v/>
      </c>
      <c r="HX29" s="218">
        <f>IF(Timeline!HX$43=1,HX$27+HX$28,0)</f>
        <v/>
      </c>
      <c r="HY29" s="218">
        <f>IF(Timeline!HY$43=1,HY$27+HY$28,0)</f>
        <v/>
      </c>
      <c r="HZ29" s="218">
        <f>IF(Timeline!HZ$43=1,HZ$27+HZ$28,0)</f>
        <v/>
      </c>
      <c r="IA29" s="218">
        <f>IF(Timeline!IA$43=1,IA$27+IA$28,0)</f>
        <v/>
      </c>
      <c r="IB29" s="218">
        <f>IF(Timeline!IB$43=1,IB$27+IB$28,0)</f>
        <v/>
      </c>
      <c r="IC29" s="218">
        <f>IF(Timeline!IC$43=1,IC$27+IC$28,0)</f>
        <v/>
      </c>
      <c r="ID29" s="218">
        <f>IF(Timeline!ID$43=1,ID$27+ID$28,0)</f>
        <v/>
      </c>
      <c r="IE29" s="218">
        <f>IF(Timeline!IE$43=1,IE$27+IE$28,0)</f>
        <v/>
      </c>
      <c r="IF29" s="218">
        <f>IF(Timeline!IF$43=1,IF$27+IF$28,0)</f>
        <v/>
      </c>
      <c r="IG29" s="218">
        <f>IF(Timeline!IG$43=1,IG$27+IG$28,0)</f>
        <v/>
      </c>
      <c r="IH29" s="218">
        <f>IF(Timeline!IH$43=1,IH$27+IH$28,0)</f>
        <v/>
      </c>
      <c r="II29" s="218">
        <f>IF(Timeline!II$43=1,II$27+II$28,0)</f>
        <v/>
      </c>
      <c r="IJ29" s="218">
        <f>IF(Timeline!IJ$43=1,IJ$27+IJ$28,0)</f>
        <v/>
      </c>
      <c r="IK29" s="218">
        <f>IF(Timeline!IK$43=1,IK$27+IK$28,0)</f>
        <v/>
      </c>
      <c r="IL29" s="218">
        <f>IF(Timeline!IL$43=1,IL$27+IL$28,0)</f>
        <v/>
      </c>
      <c r="IM29" s="218">
        <f>IF(Timeline!IM$43=1,IM$27+IM$28,0)</f>
        <v/>
      </c>
      <c r="IN29" s="218">
        <f>IF(Timeline!IN$43=1,IN$27+IN$28,0)</f>
        <v/>
      </c>
      <c r="IO29" s="218">
        <f>IF(Timeline!IO$43=1,IO$27+IO$28,0)</f>
        <v/>
      </c>
      <c r="IP29" s="218">
        <f>IF(Timeline!IP$43=1,IP$27+IP$28,0)</f>
        <v/>
      </c>
      <c r="IQ29" s="218">
        <f>IF(Timeline!IQ$43=1,IQ$27+IQ$28,0)</f>
        <v/>
      </c>
      <c r="IR29" s="218">
        <f>IF(Timeline!IR$43=1,IR$27+IR$28,0)</f>
        <v/>
      </c>
      <c r="IS29" s="218">
        <f>IF(Timeline!IS$43=1,IS$27+IS$28,0)</f>
        <v/>
      </c>
      <c r="IT29" s="218">
        <f>IF(Timeline!IT$43=1,IT$27+IT$28,0)</f>
        <v/>
      </c>
      <c r="IU29" s="218">
        <f>IF(Timeline!IU$43=1,IU$27+IU$28,0)</f>
        <v/>
      </c>
      <c r="IV29" s="218">
        <f>IF(Timeline!IV$43=1,IV$27+IV$28,0)</f>
        <v/>
      </c>
      <c r="IW29" s="218">
        <f>IF(Timeline!IW$43=1,IW$27+IW$28,0)</f>
        <v/>
      </c>
      <c r="IX29" s="218">
        <f>IF(Timeline!IX$43=1,IX$27+IX$28,0)</f>
        <v/>
      </c>
      <c r="IY29" s="218">
        <f>IF(Timeline!IY$43=1,IY$27+IY$28,0)</f>
        <v/>
      </c>
      <c r="IZ29" s="218">
        <f>IF(Timeline!IZ$43=1,IZ$27+IZ$28,0)</f>
        <v/>
      </c>
      <c r="JA29" s="218">
        <f>IF(Timeline!JA$43=1,JA$27+JA$28,0)</f>
        <v/>
      </c>
      <c r="JB29" s="218">
        <f>IF(Timeline!JB$43=1,JB$27+JB$28,0)</f>
        <v/>
      </c>
      <c r="JC29" s="218">
        <f>IF(Timeline!JC$43=1,JC$27+JC$28,0)</f>
        <v/>
      </c>
      <c r="JD29" s="218">
        <f>IF(Timeline!JD$43=1,JD$27+JD$28,0)</f>
        <v/>
      </c>
      <c r="JE29" s="218">
        <f>IF(Timeline!JE$43=1,JE$27+JE$28,0)</f>
        <v/>
      </c>
      <c r="JF29" s="218">
        <f>IF(Timeline!JF$43=1,JF$27+JF$28,0)</f>
        <v/>
      </c>
      <c r="JG29" s="218">
        <f>IF(Timeline!JG$43=1,JG$27+JG$28,0)</f>
        <v/>
      </c>
      <c r="JH29" s="218">
        <f>IF(Timeline!JH$43=1,JH$27+JH$28,0)</f>
        <v/>
      </c>
      <c r="JI29" s="218">
        <f>IF(Timeline!JI$43=1,JI$27+JI$28,0)</f>
        <v/>
      </c>
      <c r="JJ29" s="218">
        <f>IF(Timeline!JJ$43=1,JJ$27+JJ$28,0)</f>
        <v/>
      </c>
      <c r="JK29" s="218">
        <f>IF(Timeline!JK$43=1,JK$27+JK$28,0)</f>
        <v/>
      </c>
      <c r="JL29" s="218">
        <f>IF(Timeline!JL$43=1,JL$27+JL$28,0)</f>
        <v/>
      </c>
      <c r="JM29" s="218">
        <f>IF(Timeline!JM$43=1,JM$27+JM$28,0)</f>
        <v/>
      </c>
      <c r="JN29" s="218">
        <f>IF(Timeline!JN$43=1,JN$27+JN$28,0)</f>
        <v/>
      </c>
      <c r="JO29" s="218">
        <f>IF(Timeline!JO$43=1,JO$27+JO$28,0)</f>
        <v/>
      </c>
      <c r="JP29" s="218">
        <f>IF(Timeline!JP$43=1,JP$27+JP$28,0)</f>
        <v/>
      </c>
      <c r="JQ29" s="218">
        <f>IF(Timeline!JQ$43=1,JQ$27+JQ$28,0)</f>
        <v/>
      </c>
      <c r="JR29" s="218">
        <f>IF(Timeline!JR$43=1,JR$27+JR$28,0)</f>
        <v/>
      </c>
      <c r="JS29" s="218">
        <f>IF(Timeline!JS$43=1,JS$27+JS$28,0)</f>
        <v/>
      </c>
      <c r="JT29" s="218">
        <f>IF(Timeline!JT$43=1,JT$27+JT$28,0)</f>
        <v/>
      </c>
      <c r="JU29" s="218">
        <f>IF(Timeline!JU$43=1,JU$27+JU$28,0)</f>
        <v/>
      </c>
      <c r="JV29" s="218">
        <f>IF(Timeline!JV$43=1,JV$27+JV$28,0)</f>
        <v/>
      </c>
      <c r="JW29" s="218">
        <f>IF(Timeline!JW$43=1,JW$27+JW$28,0)</f>
        <v/>
      </c>
      <c r="JX29" s="218">
        <f>IF(Timeline!JX$43=1,JX$27+JX$28,0)</f>
        <v/>
      </c>
      <c r="JY29" s="218">
        <f>IF(Timeline!JY$43=1,JY$27+JY$28,0)</f>
        <v/>
      </c>
      <c r="JZ29" s="218">
        <f>IF(Timeline!JZ$43=1,JZ$27+JZ$28,0)</f>
        <v/>
      </c>
      <c r="KA29" s="218">
        <f>IF(Timeline!KA$43=1,KA$27+KA$28,0)</f>
        <v/>
      </c>
      <c r="KB29" s="218">
        <f>IF(Timeline!KB$43=1,KB$27+KB$28,0)</f>
        <v/>
      </c>
      <c r="KC29" s="218">
        <f>IF(Timeline!KC$43=1,KC$27+KC$28,0)</f>
        <v/>
      </c>
      <c r="KD29" s="218">
        <f>IF(Timeline!KD$43=1,KD$27+KD$28,0)</f>
        <v/>
      </c>
      <c r="KE29" s="218">
        <f>IF(Timeline!KE$43=1,KE$27+KE$28,0)</f>
        <v/>
      </c>
      <c r="KF29" s="218">
        <f>IF(Timeline!KF$43=1,KF$27+KF$28,0)</f>
        <v/>
      </c>
      <c r="KG29" s="218">
        <f>IF(Timeline!KG$43=1,KG$27+KG$28,0)</f>
        <v/>
      </c>
      <c r="KH29" s="218">
        <f>IF(Timeline!KH$43=1,KH$27+KH$28,0)</f>
        <v/>
      </c>
      <c r="KI29" s="218">
        <f>IF(Timeline!KI$43=1,KI$27+KI$28,0)</f>
        <v/>
      </c>
      <c r="KJ29" s="218">
        <f>IF(Timeline!KJ$43=1,KJ$27+KJ$28,0)</f>
        <v/>
      </c>
      <c r="KK29" s="218">
        <f>IF(Timeline!KK$43=1,KK$27+KK$28,0)</f>
        <v/>
      </c>
      <c r="KL29" s="218">
        <f>IF(Timeline!KL$43=1,KL$27+KL$28,0)</f>
        <v/>
      </c>
      <c r="KM29" s="218">
        <f>IF(Timeline!KM$43=1,KM$27+KM$28,0)</f>
        <v/>
      </c>
      <c r="KN29" s="218">
        <f>IF(Timeline!KN$43=1,KN$27+KN$28,0)</f>
        <v/>
      </c>
      <c r="KO29" s="218">
        <f>IF(Timeline!KO$43=1,KO$27+KO$28,0)</f>
        <v/>
      </c>
      <c r="KP29" s="218">
        <f>IF(Timeline!KP$43=1,KP$27+KP$28,0)</f>
        <v/>
      </c>
      <c r="KQ29" s="218">
        <f>IF(Timeline!KQ$43=1,KQ$27+KQ$28,0)</f>
        <v/>
      </c>
      <c r="KR29" s="218">
        <f>IF(Timeline!KR$43=1,KR$27+KR$28,0)</f>
        <v/>
      </c>
      <c r="KS29" s="218">
        <f>IF(Timeline!KS$43=1,KS$27+KS$28,0)</f>
        <v/>
      </c>
      <c r="KT29" s="218">
        <f>IF(Timeline!KT$43=1,KT$27+KT$28,0)</f>
        <v/>
      </c>
      <c r="KU29" s="218">
        <f>IF(Timeline!KU$43=1,KU$27+KU$28,0)</f>
        <v/>
      </c>
      <c r="KV29" s="218">
        <f>IF(Timeline!KV$43=1,KV$27+KV$28,0)</f>
        <v/>
      </c>
      <c r="KW29" s="218">
        <f>IF(Timeline!KW$43=1,KW$27+KW$28,0)</f>
        <v/>
      </c>
      <c r="KX29" s="218">
        <f>IF(Timeline!KX$43=1,KX$27+KX$28,0)</f>
        <v/>
      </c>
      <c r="KY29" s="218">
        <f>IF(Timeline!KY$43=1,KY$27+KY$28,0)</f>
        <v/>
      </c>
      <c r="KZ29" s="218">
        <f>IF(Timeline!KZ$43=1,KZ$27+KZ$28,0)</f>
        <v/>
      </c>
      <c r="LA29" s="218">
        <f>IF(Timeline!LA$43=1,LA$27+LA$28,0)</f>
        <v/>
      </c>
      <c r="LB29" s="218">
        <f>IF(Timeline!LB$43=1,LB$27+LB$28,0)</f>
        <v/>
      </c>
      <c r="LC29" s="218">
        <f>IF(Timeline!LC$43=1,LC$27+LC$28,0)</f>
        <v/>
      </c>
      <c r="LD29" s="218">
        <f>IF(Timeline!LD$43=1,LD$27+LD$28,0)</f>
        <v/>
      </c>
      <c r="LE29" s="218">
        <f>IF(Timeline!LE$43=1,LE$27+LE$28,0)</f>
        <v/>
      </c>
      <c r="LF29" s="218">
        <f>IF(Timeline!LF$43=1,LF$27+LF$28,0)</f>
        <v/>
      </c>
      <c r="LG29" s="218">
        <f>IF(Timeline!LG$43=1,LG$27+LG$28,0)</f>
        <v/>
      </c>
      <c r="LH29" s="218">
        <f>IF(Timeline!LH$43=1,LH$27+LH$28,0)</f>
        <v/>
      </c>
      <c r="LI29" s="218">
        <f>IF(Timeline!LI$43=1,LI$27+LI$28,0)</f>
        <v/>
      </c>
      <c r="LJ29" s="218">
        <f>IF(Timeline!LJ$43=1,LJ$27+LJ$28,0)</f>
        <v/>
      </c>
      <c r="LK29" s="218">
        <f>IF(Timeline!LK$43=1,LK$27+LK$28,0)</f>
        <v/>
      </c>
      <c r="LL29" s="218">
        <f>IF(Timeline!LL$43=1,LL$27+LL$28,0)</f>
        <v/>
      </c>
      <c r="LM29" s="218">
        <f>IF(Timeline!LM$43=1,LM$27+LM$28,0)</f>
        <v/>
      </c>
      <c r="LN29" s="218">
        <f>IF(Timeline!LN$43=1,LN$27+LN$28,0)</f>
        <v/>
      </c>
      <c r="LO29" s="218">
        <f>IF(Timeline!LO$43=1,LO$27+LO$28,0)</f>
        <v/>
      </c>
      <c r="LP29" s="218">
        <f>IF(Timeline!LP$43=1,LP$27+LP$28,0)</f>
        <v/>
      </c>
      <c r="LQ29" s="218">
        <f>IF(Timeline!LQ$43=1,LQ$27+LQ$28,0)</f>
        <v/>
      </c>
      <c r="LR29" s="218">
        <f>IF(Timeline!LR$43=1,LR$27+LR$28,0)</f>
        <v/>
      </c>
      <c r="LS29" s="218">
        <f>IF(Timeline!LS$43=1,LS$27+LS$28,0)</f>
        <v/>
      </c>
      <c r="LT29" s="218">
        <f>IF(Timeline!LT$43=1,LT$27+LT$28,0)</f>
        <v/>
      </c>
      <c r="LU29" s="218">
        <f>IF(Timeline!LU$43=1,LU$27+LU$28,0)</f>
        <v/>
      </c>
      <c r="LV29" s="218">
        <f>IF(Timeline!LV$43=1,LV$27+LV$28,0)</f>
        <v/>
      </c>
      <c r="LW29" s="218">
        <f>IF(Timeline!LW$43=1,LW$27+LW$28,0)</f>
        <v/>
      </c>
      <c r="LX29" s="218">
        <f>IF(Timeline!LX$43=1,LX$27+LX$28,0)</f>
        <v/>
      </c>
      <c r="LY29" s="218">
        <f>IF(Timeline!LY$43=1,LY$27+LY$28,0)</f>
        <v/>
      </c>
      <c r="LZ29" s="218">
        <f>IF(Timeline!LZ$43=1,LZ$27+LZ$28,0)</f>
        <v/>
      </c>
      <c r="MA29" s="218">
        <f>IF(Timeline!MA$43=1,MA$27+MA$28,0)</f>
        <v/>
      </c>
      <c r="MB29" s="218">
        <f>IF(Timeline!MB$43=1,MB$27+MB$28,0)</f>
        <v/>
      </c>
      <c r="MC29" s="218">
        <f>IF(Timeline!MC$43=1,MC$27+MC$28,0)</f>
        <v/>
      </c>
      <c r="MD29" s="218">
        <f>IF(Timeline!MD$43=1,MD$27+MD$28,0)</f>
        <v/>
      </c>
      <c r="ME29" s="218">
        <f>IF(Timeline!ME$43=1,ME$27+ME$28,0)</f>
        <v/>
      </c>
      <c r="MF29" s="218">
        <f>IF(Timeline!MF$43=1,MF$27+MF$28,0)</f>
        <v/>
      </c>
      <c r="MG29" s="218">
        <f>IF(Timeline!MG$43=1,MG$27+MG$28,0)</f>
        <v/>
      </c>
      <c r="MH29" s="218">
        <f>IF(Timeline!MH$43=1,MH$27+MH$28,0)</f>
        <v/>
      </c>
      <c r="MI29" s="218">
        <f>IF(Timeline!MI$43=1,MI$27+MI$28,0)</f>
        <v/>
      </c>
      <c r="MJ29" s="218">
        <f>IF(Timeline!MJ$43=1,MJ$27+MJ$28,0)</f>
        <v/>
      </c>
      <c r="MK29" s="218">
        <f>IF(Timeline!MK$43=1,MK$27+MK$28,0)</f>
        <v/>
      </c>
      <c r="ML29" s="218">
        <f>IF(Timeline!ML$43=1,ML$27+ML$28,0)</f>
        <v/>
      </c>
      <c r="MM29" s="218">
        <f>IF(Timeline!MM$43=1,MM$27+MM$28,0)</f>
        <v/>
      </c>
      <c r="MN29" s="218">
        <f>IF(Timeline!MN$43=1,MN$27+MN$28,0)</f>
        <v/>
      </c>
      <c r="MO29" s="218">
        <f>IF(Timeline!MO$43=1,MO$27+MO$28,0)</f>
        <v/>
      </c>
      <c r="MP29" s="218">
        <f>IF(Timeline!MP$43=1,MP$27+MP$28,0)</f>
        <v/>
      </c>
      <c r="MQ29" s="218">
        <f>IF(Timeline!MQ$43=1,MQ$27+MQ$28,0)</f>
        <v/>
      </c>
      <c r="MR29" s="218">
        <f>IF(Timeline!MR$43=1,MR$27+MR$28,0)</f>
        <v/>
      </c>
      <c r="MS29" s="218">
        <f>IF(Timeline!MS$43=1,MS$27+MS$28,0)</f>
        <v/>
      </c>
      <c r="MT29" s="218">
        <f>IF(Timeline!MT$43=1,MT$27+MT$28,0)</f>
        <v/>
      </c>
      <c r="MU29" s="218">
        <f>IF(Timeline!MU$43=1,MU$27+MU$28,0)</f>
        <v/>
      </c>
      <c r="MV29" s="218">
        <f>IF(Timeline!MV$43=1,MV$27+MV$28,0)</f>
        <v/>
      </c>
      <c r="MW29" s="218">
        <f>IF(Timeline!MW$43=1,MW$27+MW$28,0)</f>
        <v/>
      </c>
      <c r="MX29" s="218">
        <f>IF(Timeline!MX$43=1,MX$27+MX$28,0)</f>
        <v/>
      </c>
      <c r="MY29" s="218">
        <f>IF(Timeline!MY$43=1,MY$27+MY$28,0)</f>
        <v/>
      </c>
      <c r="MZ29" s="218">
        <f>IF(Timeline!MZ$43=1,MZ$27+MZ$28,0)</f>
        <v/>
      </c>
      <c r="NA29" s="218">
        <f>IF(Timeline!NA$43=1,NA$27+NA$28,0)</f>
        <v/>
      </c>
      <c r="NB29" s="218">
        <f>IF(Timeline!NB$43=1,NB$27+NB$28,0)</f>
        <v/>
      </c>
      <c r="NC29" s="218">
        <f>IF(Timeline!NC$43=1,NC$27+NC$28,0)</f>
        <v/>
      </c>
      <c r="ND29" s="218">
        <f>IF(Timeline!ND$43=1,ND$27+ND$28,0)</f>
        <v/>
      </c>
      <c r="NE29" s="218">
        <f>IF(Timeline!NE$43=1,NE$27+NE$28,0)</f>
        <v/>
      </c>
      <c r="NF29" s="218">
        <f>IF(Timeline!NF$43=1,NF$27+NF$28,0)</f>
        <v/>
      </c>
      <c r="NG29" s="218">
        <f>IF(Timeline!NG$43=1,NG$27+NG$28,0)</f>
        <v/>
      </c>
      <c r="NH29" s="218">
        <f>IF(Timeline!NH$43=1,NH$27+NH$28,0)</f>
        <v/>
      </c>
      <c r="NI29" s="218">
        <f>IF(Timeline!NI$43=1,NI$27+NI$28,0)</f>
        <v/>
      </c>
      <c r="NJ29" s="218">
        <f>IF(Timeline!NJ$43=1,NJ$27+NJ$28,0)</f>
        <v/>
      </c>
      <c r="NK29" s="218">
        <f>IF(Timeline!NK$43=1,NK$27+NK$28,0)</f>
        <v/>
      </c>
      <c r="NL29" s="218">
        <f>IF(Timeline!NL$43=1,NL$27+NL$28,0)</f>
        <v/>
      </c>
    </row>
    <row r="30">
      <c r="B30" s="36" t="inlineStr">
        <is>
          <t>Permanent Loan Balance</t>
        </is>
      </c>
      <c r="D30" s="253" t="n"/>
      <c r="E30" s="218">
        <f>IF(RefiFlag=0,0,IF(1&lt;RefiMonth,0,IF(1=RefiMonth,PermLoan,IF(1&gt;DispoMonth,0,0-E$28))))</f>
        <v/>
      </c>
      <c r="F30" s="218">
        <f>IF(RefiFlag=0,0,IF(2&lt;RefiMonth,0,IF(2=RefiMonth,PermLoan,IF(2&gt;DispoMonth,0,E$30-F$28))))</f>
        <v/>
      </c>
      <c r="G30" s="218">
        <f>IF(RefiFlag=0,0,IF(3&lt;RefiMonth,0,IF(3=RefiMonth,PermLoan,IF(3&gt;DispoMonth,0,F$30-G$28))))</f>
        <v/>
      </c>
      <c r="H30" s="218">
        <f>IF(RefiFlag=0,0,IF(4&lt;RefiMonth,0,IF(4=RefiMonth,PermLoan,IF(4&gt;DispoMonth,0,G$30-H$28))))</f>
        <v/>
      </c>
      <c r="I30" s="218">
        <f>IF(RefiFlag=0,0,IF(5&lt;RefiMonth,0,IF(5=RefiMonth,PermLoan,IF(5&gt;DispoMonth,0,H$30-I$28))))</f>
        <v/>
      </c>
      <c r="J30" s="218">
        <f>IF(RefiFlag=0,0,IF(6&lt;RefiMonth,0,IF(6=RefiMonth,PermLoan,IF(6&gt;DispoMonth,0,I$30-J$28))))</f>
        <v/>
      </c>
      <c r="K30" s="218">
        <f>IF(RefiFlag=0,0,IF(7&lt;RefiMonth,0,IF(7=RefiMonth,PermLoan,IF(7&gt;DispoMonth,0,J$30-K$28))))</f>
        <v/>
      </c>
      <c r="L30" s="218">
        <f>IF(RefiFlag=0,0,IF(8&lt;RefiMonth,0,IF(8=RefiMonth,PermLoan,IF(8&gt;DispoMonth,0,K$30-L$28))))</f>
        <v/>
      </c>
      <c r="M30" s="218">
        <f>IF(RefiFlag=0,0,IF(9&lt;RefiMonth,0,IF(9=RefiMonth,PermLoan,IF(9&gt;DispoMonth,0,L$30-M$28))))</f>
        <v/>
      </c>
      <c r="N30" s="218">
        <f>IF(RefiFlag=0,0,IF(10&lt;RefiMonth,0,IF(10=RefiMonth,PermLoan,IF(10&gt;DispoMonth,0,M$30-N$28))))</f>
        <v/>
      </c>
      <c r="O30" s="218">
        <f>IF(RefiFlag=0,0,IF(11&lt;RefiMonth,0,IF(11=RefiMonth,PermLoan,IF(11&gt;DispoMonth,0,N$30-O$28))))</f>
        <v/>
      </c>
      <c r="P30" s="218">
        <f>IF(RefiFlag=0,0,IF(12&lt;RefiMonth,0,IF(12=RefiMonth,PermLoan,IF(12&gt;DispoMonth,0,O$30-P$28))))</f>
        <v/>
      </c>
      <c r="Q30" s="218">
        <f>IF(RefiFlag=0,0,IF(13&lt;RefiMonth,0,IF(13=RefiMonth,PermLoan,IF(13&gt;DispoMonth,0,P$30-Q$28))))</f>
        <v/>
      </c>
      <c r="R30" s="218">
        <f>IF(RefiFlag=0,0,IF(14&lt;RefiMonth,0,IF(14=RefiMonth,PermLoan,IF(14&gt;DispoMonth,0,Q$30-R$28))))</f>
        <v/>
      </c>
      <c r="S30" s="218">
        <f>IF(RefiFlag=0,0,IF(15&lt;RefiMonth,0,IF(15=RefiMonth,PermLoan,IF(15&gt;DispoMonth,0,R$30-S$28))))</f>
        <v/>
      </c>
      <c r="T30" s="218">
        <f>IF(RefiFlag=0,0,IF(16&lt;RefiMonth,0,IF(16=RefiMonth,PermLoan,IF(16&gt;DispoMonth,0,S$30-T$28))))</f>
        <v/>
      </c>
      <c r="U30" s="218">
        <f>IF(RefiFlag=0,0,IF(17&lt;RefiMonth,0,IF(17=RefiMonth,PermLoan,IF(17&gt;DispoMonth,0,T$30-U$28))))</f>
        <v/>
      </c>
      <c r="V30" s="218">
        <f>IF(RefiFlag=0,0,IF(18&lt;RefiMonth,0,IF(18=RefiMonth,PermLoan,IF(18&gt;DispoMonth,0,U$30-V$28))))</f>
        <v/>
      </c>
      <c r="W30" s="218">
        <f>IF(RefiFlag=0,0,IF(19&lt;RefiMonth,0,IF(19=RefiMonth,PermLoan,IF(19&gt;DispoMonth,0,V$30-W$28))))</f>
        <v/>
      </c>
      <c r="X30" s="218">
        <f>IF(RefiFlag=0,0,IF(20&lt;RefiMonth,0,IF(20=RefiMonth,PermLoan,IF(20&gt;DispoMonth,0,W$30-X$28))))</f>
        <v/>
      </c>
      <c r="Y30" s="218">
        <f>IF(RefiFlag=0,0,IF(21&lt;RefiMonth,0,IF(21=RefiMonth,PermLoan,IF(21&gt;DispoMonth,0,X$30-Y$28))))</f>
        <v/>
      </c>
      <c r="Z30" s="218">
        <f>IF(RefiFlag=0,0,IF(22&lt;RefiMonth,0,IF(22=RefiMonth,PermLoan,IF(22&gt;DispoMonth,0,Y$30-Z$28))))</f>
        <v/>
      </c>
      <c r="AA30" s="218">
        <f>IF(RefiFlag=0,0,IF(23&lt;RefiMonth,0,IF(23=RefiMonth,PermLoan,IF(23&gt;DispoMonth,0,Z$30-AA$28))))</f>
        <v/>
      </c>
      <c r="AB30" s="218">
        <f>IF(RefiFlag=0,0,IF(24&lt;RefiMonth,0,IF(24=RefiMonth,PermLoan,IF(24&gt;DispoMonth,0,AA$30-AB$28))))</f>
        <v/>
      </c>
      <c r="AC30" s="218">
        <f>IF(RefiFlag=0,0,IF(25&lt;RefiMonth,0,IF(25=RefiMonth,PermLoan,IF(25&gt;DispoMonth,0,AB$30-AC$28))))</f>
        <v/>
      </c>
      <c r="AD30" s="218">
        <f>IF(RefiFlag=0,0,IF(26&lt;RefiMonth,0,IF(26=RefiMonth,PermLoan,IF(26&gt;DispoMonth,0,AC$30-AD$28))))</f>
        <v/>
      </c>
      <c r="AE30" s="218">
        <f>IF(RefiFlag=0,0,IF(27&lt;RefiMonth,0,IF(27=RefiMonth,PermLoan,IF(27&gt;DispoMonth,0,AD$30-AE$28))))</f>
        <v/>
      </c>
      <c r="AF30" s="218">
        <f>IF(RefiFlag=0,0,IF(28&lt;RefiMonth,0,IF(28=RefiMonth,PermLoan,IF(28&gt;DispoMonth,0,AE$30-AF$28))))</f>
        <v/>
      </c>
      <c r="AG30" s="218">
        <f>IF(RefiFlag=0,0,IF(29&lt;RefiMonth,0,IF(29=RefiMonth,PermLoan,IF(29&gt;DispoMonth,0,AF$30-AG$28))))</f>
        <v/>
      </c>
      <c r="AH30" s="218">
        <f>IF(RefiFlag=0,0,IF(30&lt;RefiMonth,0,IF(30=RefiMonth,PermLoan,IF(30&gt;DispoMonth,0,AG$30-AH$28))))</f>
        <v/>
      </c>
      <c r="AI30" s="218">
        <f>IF(RefiFlag=0,0,IF(31&lt;RefiMonth,0,IF(31=RefiMonth,PermLoan,IF(31&gt;DispoMonth,0,AH$30-AI$28))))</f>
        <v/>
      </c>
      <c r="AJ30" s="218">
        <f>IF(RefiFlag=0,0,IF(32&lt;RefiMonth,0,IF(32=RefiMonth,PermLoan,IF(32&gt;DispoMonth,0,AI$30-AJ$28))))</f>
        <v/>
      </c>
      <c r="AK30" s="218">
        <f>IF(RefiFlag=0,0,IF(33&lt;RefiMonth,0,IF(33=RefiMonth,PermLoan,IF(33&gt;DispoMonth,0,AJ$30-AK$28))))</f>
        <v/>
      </c>
      <c r="AL30" s="218">
        <f>IF(RefiFlag=0,0,IF(34&lt;RefiMonth,0,IF(34=RefiMonth,PermLoan,IF(34&gt;DispoMonth,0,AK$30-AL$28))))</f>
        <v/>
      </c>
      <c r="AM30" s="218">
        <f>IF(RefiFlag=0,0,IF(35&lt;RefiMonth,0,IF(35=RefiMonth,PermLoan,IF(35&gt;DispoMonth,0,AL$30-AM$28))))</f>
        <v/>
      </c>
      <c r="AN30" s="218">
        <f>IF(RefiFlag=0,0,IF(36&lt;RefiMonth,0,IF(36=RefiMonth,PermLoan,IF(36&gt;DispoMonth,0,AM$30-AN$28))))</f>
        <v/>
      </c>
      <c r="AO30" s="218">
        <f>IF(RefiFlag=0,0,IF(37&lt;RefiMonth,0,IF(37=RefiMonth,PermLoan,IF(37&gt;DispoMonth,0,AN$30-AO$28))))</f>
        <v/>
      </c>
      <c r="AP30" s="218">
        <f>IF(RefiFlag=0,0,IF(38&lt;RefiMonth,0,IF(38=RefiMonth,PermLoan,IF(38&gt;DispoMonth,0,AO$30-AP$28))))</f>
        <v/>
      </c>
      <c r="AQ30" s="218">
        <f>IF(RefiFlag=0,0,IF(39&lt;RefiMonth,0,IF(39=RefiMonth,PermLoan,IF(39&gt;DispoMonth,0,AP$30-AQ$28))))</f>
        <v/>
      </c>
      <c r="AR30" s="218">
        <f>IF(RefiFlag=0,0,IF(40&lt;RefiMonth,0,IF(40=RefiMonth,PermLoan,IF(40&gt;DispoMonth,0,AQ$30-AR$28))))</f>
        <v/>
      </c>
      <c r="AS30" s="218">
        <f>IF(RefiFlag=0,0,IF(41&lt;RefiMonth,0,IF(41=RefiMonth,PermLoan,IF(41&gt;DispoMonth,0,AR$30-AS$28))))</f>
        <v/>
      </c>
      <c r="AT30" s="218">
        <f>IF(RefiFlag=0,0,IF(42&lt;RefiMonth,0,IF(42=RefiMonth,PermLoan,IF(42&gt;DispoMonth,0,AS$30-AT$28))))</f>
        <v/>
      </c>
      <c r="AU30" s="218">
        <f>IF(RefiFlag=0,0,IF(43&lt;RefiMonth,0,IF(43=RefiMonth,PermLoan,IF(43&gt;DispoMonth,0,AT$30-AU$28))))</f>
        <v/>
      </c>
      <c r="AV30" s="218">
        <f>IF(RefiFlag=0,0,IF(44&lt;RefiMonth,0,IF(44=RefiMonth,PermLoan,IF(44&gt;DispoMonth,0,AU$30-AV$28))))</f>
        <v/>
      </c>
      <c r="AW30" s="218">
        <f>IF(RefiFlag=0,0,IF(45&lt;RefiMonth,0,IF(45=RefiMonth,PermLoan,IF(45&gt;DispoMonth,0,AV$30-AW$28))))</f>
        <v/>
      </c>
      <c r="AX30" s="218">
        <f>IF(RefiFlag=0,0,IF(46&lt;RefiMonth,0,IF(46=RefiMonth,PermLoan,IF(46&gt;DispoMonth,0,AW$30-AX$28))))</f>
        <v/>
      </c>
      <c r="AY30" s="218">
        <f>IF(RefiFlag=0,0,IF(47&lt;RefiMonth,0,IF(47=RefiMonth,PermLoan,IF(47&gt;DispoMonth,0,AX$30-AY$28))))</f>
        <v/>
      </c>
      <c r="AZ30" s="218">
        <f>IF(RefiFlag=0,0,IF(48&lt;RefiMonth,0,IF(48=RefiMonth,PermLoan,IF(48&gt;DispoMonth,0,AY$30-AZ$28))))</f>
        <v/>
      </c>
      <c r="BA30" s="218">
        <f>IF(RefiFlag=0,0,IF(49&lt;RefiMonth,0,IF(49=RefiMonth,PermLoan,IF(49&gt;DispoMonth,0,AZ$30-BA$28))))</f>
        <v/>
      </c>
      <c r="BB30" s="218">
        <f>IF(RefiFlag=0,0,IF(50&lt;RefiMonth,0,IF(50=RefiMonth,PermLoan,IF(50&gt;DispoMonth,0,BA$30-BB$28))))</f>
        <v/>
      </c>
      <c r="BC30" s="218">
        <f>IF(RefiFlag=0,0,IF(51&lt;RefiMonth,0,IF(51=RefiMonth,PermLoan,IF(51&gt;DispoMonth,0,BB$30-BC$28))))</f>
        <v/>
      </c>
      <c r="BD30" s="218">
        <f>IF(RefiFlag=0,0,IF(52&lt;RefiMonth,0,IF(52=RefiMonth,PermLoan,IF(52&gt;DispoMonth,0,BC$30-BD$28))))</f>
        <v/>
      </c>
      <c r="BE30" s="218">
        <f>IF(RefiFlag=0,0,IF(53&lt;RefiMonth,0,IF(53=RefiMonth,PermLoan,IF(53&gt;DispoMonth,0,BD$30-BE$28))))</f>
        <v/>
      </c>
      <c r="BF30" s="218">
        <f>IF(RefiFlag=0,0,IF(54&lt;RefiMonth,0,IF(54=RefiMonth,PermLoan,IF(54&gt;DispoMonth,0,BE$30-BF$28))))</f>
        <v/>
      </c>
      <c r="BG30" s="218">
        <f>IF(RefiFlag=0,0,IF(55&lt;RefiMonth,0,IF(55=RefiMonth,PermLoan,IF(55&gt;DispoMonth,0,BF$30-BG$28))))</f>
        <v/>
      </c>
      <c r="BH30" s="218">
        <f>IF(RefiFlag=0,0,IF(56&lt;RefiMonth,0,IF(56=RefiMonth,PermLoan,IF(56&gt;DispoMonth,0,BG$30-BH$28))))</f>
        <v/>
      </c>
      <c r="BI30" s="218">
        <f>IF(RefiFlag=0,0,IF(57&lt;RefiMonth,0,IF(57=RefiMonth,PermLoan,IF(57&gt;DispoMonth,0,BH$30-BI$28))))</f>
        <v/>
      </c>
      <c r="BJ30" s="218">
        <f>IF(RefiFlag=0,0,IF(58&lt;RefiMonth,0,IF(58=RefiMonth,PermLoan,IF(58&gt;DispoMonth,0,BI$30-BJ$28))))</f>
        <v/>
      </c>
      <c r="BK30" s="218">
        <f>IF(RefiFlag=0,0,IF(59&lt;RefiMonth,0,IF(59=RefiMonth,PermLoan,IF(59&gt;DispoMonth,0,BJ$30-BK$28))))</f>
        <v/>
      </c>
      <c r="BL30" s="218">
        <f>IF(RefiFlag=0,0,IF(60&lt;RefiMonth,0,IF(60=RefiMonth,PermLoan,IF(60&gt;DispoMonth,0,BK$30-BL$28))))</f>
        <v/>
      </c>
      <c r="BM30" s="218">
        <f>IF(RefiFlag=0,0,IF(61&lt;RefiMonth,0,IF(61=RefiMonth,PermLoan,IF(61&gt;DispoMonth,0,BL$30-BM$28))))</f>
        <v/>
      </c>
      <c r="BN30" s="218">
        <f>IF(RefiFlag=0,0,IF(62&lt;RefiMonth,0,IF(62=RefiMonth,PermLoan,IF(62&gt;DispoMonth,0,BM$30-BN$28))))</f>
        <v/>
      </c>
      <c r="BO30" s="218">
        <f>IF(RefiFlag=0,0,IF(63&lt;RefiMonth,0,IF(63=RefiMonth,PermLoan,IF(63&gt;DispoMonth,0,BN$30-BO$28))))</f>
        <v/>
      </c>
      <c r="BP30" s="218">
        <f>IF(RefiFlag=0,0,IF(64&lt;RefiMonth,0,IF(64=RefiMonth,PermLoan,IF(64&gt;DispoMonth,0,BO$30-BP$28))))</f>
        <v/>
      </c>
      <c r="BQ30" s="218">
        <f>IF(RefiFlag=0,0,IF(65&lt;RefiMonth,0,IF(65=RefiMonth,PermLoan,IF(65&gt;DispoMonth,0,BP$30-BQ$28))))</f>
        <v/>
      </c>
      <c r="BR30" s="218">
        <f>IF(RefiFlag=0,0,IF(66&lt;RefiMonth,0,IF(66=RefiMonth,PermLoan,IF(66&gt;DispoMonth,0,BQ$30-BR$28))))</f>
        <v/>
      </c>
      <c r="BS30" s="218">
        <f>IF(RefiFlag=0,0,IF(67&lt;RefiMonth,0,IF(67=RefiMonth,PermLoan,IF(67&gt;DispoMonth,0,BR$30-BS$28))))</f>
        <v/>
      </c>
      <c r="BT30" s="218">
        <f>IF(RefiFlag=0,0,IF(68&lt;RefiMonth,0,IF(68=RefiMonth,PermLoan,IF(68&gt;DispoMonth,0,BS$30-BT$28))))</f>
        <v/>
      </c>
      <c r="BU30" s="218">
        <f>IF(RefiFlag=0,0,IF(69&lt;RefiMonth,0,IF(69=RefiMonth,PermLoan,IF(69&gt;DispoMonth,0,BT$30-BU$28))))</f>
        <v/>
      </c>
      <c r="BV30" s="218">
        <f>IF(RefiFlag=0,0,IF(70&lt;RefiMonth,0,IF(70=RefiMonth,PermLoan,IF(70&gt;DispoMonth,0,BU$30-BV$28))))</f>
        <v/>
      </c>
      <c r="BW30" s="218">
        <f>IF(RefiFlag=0,0,IF(71&lt;RefiMonth,0,IF(71=RefiMonth,PermLoan,IF(71&gt;DispoMonth,0,BV$30-BW$28))))</f>
        <v/>
      </c>
      <c r="BX30" s="218">
        <f>IF(RefiFlag=0,0,IF(72&lt;RefiMonth,0,IF(72=RefiMonth,PermLoan,IF(72&gt;DispoMonth,0,BW$30-BX$28))))</f>
        <v/>
      </c>
      <c r="BY30" s="218">
        <f>IF(RefiFlag=0,0,IF(73&lt;RefiMonth,0,IF(73=RefiMonth,PermLoan,IF(73&gt;DispoMonth,0,BX$30-BY$28))))</f>
        <v/>
      </c>
      <c r="BZ30" s="218">
        <f>IF(RefiFlag=0,0,IF(74&lt;RefiMonth,0,IF(74=RefiMonth,PermLoan,IF(74&gt;DispoMonth,0,BY$30-BZ$28))))</f>
        <v/>
      </c>
      <c r="CA30" s="218">
        <f>IF(RefiFlag=0,0,IF(75&lt;RefiMonth,0,IF(75=RefiMonth,PermLoan,IF(75&gt;DispoMonth,0,BZ$30-CA$28))))</f>
        <v/>
      </c>
      <c r="CB30" s="218">
        <f>IF(RefiFlag=0,0,IF(76&lt;RefiMonth,0,IF(76=RefiMonth,PermLoan,IF(76&gt;DispoMonth,0,CA$30-CB$28))))</f>
        <v/>
      </c>
      <c r="CC30" s="218">
        <f>IF(RefiFlag=0,0,IF(77&lt;RefiMonth,0,IF(77=RefiMonth,PermLoan,IF(77&gt;DispoMonth,0,CB$30-CC$28))))</f>
        <v/>
      </c>
      <c r="CD30" s="218">
        <f>IF(RefiFlag=0,0,IF(78&lt;RefiMonth,0,IF(78=RefiMonth,PermLoan,IF(78&gt;DispoMonth,0,CC$30-CD$28))))</f>
        <v/>
      </c>
      <c r="CE30" s="218">
        <f>IF(RefiFlag=0,0,IF(79&lt;RefiMonth,0,IF(79=RefiMonth,PermLoan,IF(79&gt;DispoMonth,0,CD$30-CE$28))))</f>
        <v/>
      </c>
      <c r="CF30" s="218">
        <f>IF(RefiFlag=0,0,IF(80&lt;RefiMonth,0,IF(80=RefiMonth,PermLoan,IF(80&gt;DispoMonth,0,CE$30-CF$28))))</f>
        <v/>
      </c>
      <c r="CG30" s="218">
        <f>IF(RefiFlag=0,0,IF(81&lt;RefiMonth,0,IF(81=RefiMonth,PermLoan,IF(81&gt;DispoMonth,0,CF$30-CG$28))))</f>
        <v/>
      </c>
      <c r="CH30" s="218">
        <f>IF(RefiFlag=0,0,IF(82&lt;RefiMonth,0,IF(82=RefiMonth,PermLoan,IF(82&gt;DispoMonth,0,CG$30-CH$28))))</f>
        <v/>
      </c>
      <c r="CI30" s="218">
        <f>IF(RefiFlag=0,0,IF(83&lt;RefiMonth,0,IF(83=RefiMonth,PermLoan,IF(83&gt;DispoMonth,0,CH$30-CI$28))))</f>
        <v/>
      </c>
      <c r="CJ30" s="218">
        <f>IF(RefiFlag=0,0,IF(84&lt;RefiMonth,0,IF(84=RefiMonth,PermLoan,IF(84&gt;DispoMonth,0,CI$30-CJ$28))))</f>
        <v/>
      </c>
      <c r="CK30" s="218">
        <f>IF(RefiFlag=0,0,IF(85&lt;RefiMonth,0,IF(85=RefiMonth,PermLoan,IF(85&gt;DispoMonth,0,CJ$30-CK$28))))</f>
        <v/>
      </c>
      <c r="CL30" s="218">
        <f>IF(RefiFlag=0,0,IF(86&lt;RefiMonth,0,IF(86=RefiMonth,PermLoan,IF(86&gt;DispoMonth,0,CK$30-CL$28))))</f>
        <v/>
      </c>
      <c r="CM30" s="218">
        <f>IF(RefiFlag=0,0,IF(87&lt;RefiMonth,0,IF(87=RefiMonth,PermLoan,IF(87&gt;DispoMonth,0,CL$30-CM$28))))</f>
        <v/>
      </c>
      <c r="CN30" s="218">
        <f>IF(RefiFlag=0,0,IF(88&lt;RefiMonth,0,IF(88=RefiMonth,PermLoan,IF(88&gt;DispoMonth,0,CM$30-CN$28))))</f>
        <v/>
      </c>
      <c r="CO30" s="218">
        <f>IF(RefiFlag=0,0,IF(89&lt;RefiMonth,0,IF(89=RefiMonth,PermLoan,IF(89&gt;DispoMonth,0,CN$30-CO$28))))</f>
        <v/>
      </c>
      <c r="CP30" s="218">
        <f>IF(RefiFlag=0,0,IF(90&lt;RefiMonth,0,IF(90=RefiMonth,PermLoan,IF(90&gt;DispoMonth,0,CO$30-CP$28))))</f>
        <v/>
      </c>
      <c r="CQ30" s="218">
        <f>IF(RefiFlag=0,0,IF(91&lt;RefiMonth,0,IF(91=RefiMonth,PermLoan,IF(91&gt;DispoMonth,0,CP$30-CQ$28))))</f>
        <v/>
      </c>
      <c r="CR30" s="218">
        <f>IF(RefiFlag=0,0,IF(92&lt;RefiMonth,0,IF(92=RefiMonth,PermLoan,IF(92&gt;DispoMonth,0,CQ$30-CR$28))))</f>
        <v/>
      </c>
      <c r="CS30" s="218">
        <f>IF(RefiFlag=0,0,IF(93&lt;RefiMonth,0,IF(93=RefiMonth,PermLoan,IF(93&gt;DispoMonth,0,CR$30-CS$28))))</f>
        <v/>
      </c>
      <c r="CT30" s="218">
        <f>IF(RefiFlag=0,0,IF(94&lt;RefiMonth,0,IF(94=RefiMonth,PermLoan,IF(94&gt;DispoMonth,0,CS$30-CT$28))))</f>
        <v/>
      </c>
      <c r="CU30" s="218">
        <f>IF(RefiFlag=0,0,IF(95&lt;RefiMonth,0,IF(95=RefiMonth,PermLoan,IF(95&gt;DispoMonth,0,CT$30-CU$28))))</f>
        <v/>
      </c>
      <c r="CV30" s="218">
        <f>IF(RefiFlag=0,0,IF(96&lt;RefiMonth,0,IF(96=RefiMonth,PermLoan,IF(96&gt;DispoMonth,0,CU$30-CV$28))))</f>
        <v/>
      </c>
      <c r="CW30" s="218">
        <f>IF(RefiFlag=0,0,IF(97&lt;RefiMonth,0,IF(97=RefiMonth,PermLoan,IF(97&gt;DispoMonth,0,CV$30-CW$28))))</f>
        <v/>
      </c>
      <c r="CX30" s="218">
        <f>IF(RefiFlag=0,0,IF(98&lt;RefiMonth,0,IF(98=RefiMonth,PermLoan,IF(98&gt;DispoMonth,0,CW$30-CX$28))))</f>
        <v/>
      </c>
      <c r="CY30" s="218">
        <f>IF(RefiFlag=0,0,IF(99&lt;RefiMonth,0,IF(99=RefiMonth,PermLoan,IF(99&gt;DispoMonth,0,CX$30-CY$28))))</f>
        <v/>
      </c>
      <c r="CZ30" s="218">
        <f>IF(RefiFlag=0,0,IF(100&lt;RefiMonth,0,IF(100=RefiMonth,PermLoan,IF(100&gt;DispoMonth,0,CY$30-CZ$28))))</f>
        <v/>
      </c>
      <c r="DA30" s="218">
        <f>IF(RefiFlag=0,0,IF(101&lt;RefiMonth,0,IF(101=RefiMonth,PermLoan,IF(101&gt;DispoMonth,0,CZ$30-DA$28))))</f>
        <v/>
      </c>
      <c r="DB30" s="218">
        <f>IF(RefiFlag=0,0,IF(102&lt;RefiMonth,0,IF(102=RefiMonth,PermLoan,IF(102&gt;DispoMonth,0,DA$30-DB$28))))</f>
        <v/>
      </c>
      <c r="DC30" s="218">
        <f>IF(RefiFlag=0,0,IF(103&lt;RefiMonth,0,IF(103=RefiMonth,PermLoan,IF(103&gt;DispoMonth,0,DB$30-DC$28))))</f>
        <v/>
      </c>
      <c r="DD30" s="218">
        <f>IF(RefiFlag=0,0,IF(104&lt;RefiMonth,0,IF(104=RefiMonth,PermLoan,IF(104&gt;DispoMonth,0,DC$30-DD$28))))</f>
        <v/>
      </c>
      <c r="DE30" s="218">
        <f>IF(RefiFlag=0,0,IF(105&lt;RefiMonth,0,IF(105=RefiMonth,PermLoan,IF(105&gt;DispoMonth,0,DD$30-DE$28))))</f>
        <v/>
      </c>
      <c r="DF30" s="218">
        <f>IF(RefiFlag=0,0,IF(106&lt;RefiMonth,0,IF(106=RefiMonth,PermLoan,IF(106&gt;DispoMonth,0,DE$30-DF$28))))</f>
        <v/>
      </c>
      <c r="DG30" s="218">
        <f>IF(RefiFlag=0,0,IF(107&lt;RefiMonth,0,IF(107=RefiMonth,PermLoan,IF(107&gt;DispoMonth,0,DF$30-DG$28))))</f>
        <v/>
      </c>
      <c r="DH30" s="218">
        <f>IF(RefiFlag=0,0,IF(108&lt;RefiMonth,0,IF(108=RefiMonth,PermLoan,IF(108&gt;DispoMonth,0,DG$30-DH$28))))</f>
        <v/>
      </c>
      <c r="DI30" s="218">
        <f>IF(RefiFlag=0,0,IF(109&lt;RefiMonth,0,IF(109=RefiMonth,PermLoan,IF(109&gt;DispoMonth,0,DH$30-DI$28))))</f>
        <v/>
      </c>
      <c r="DJ30" s="218">
        <f>IF(RefiFlag=0,0,IF(110&lt;RefiMonth,0,IF(110=RefiMonth,PermLoan,IF(110&gt;DispoMonth,0,DI$30-DJ$28))))</f>
        <v/>
      </c>
      <c r="DK30" s="218">
        <f>IF(RefiFlag=0,0,IF(111&lt;RefiMonth,0,IF(111=RefiMonth,PermLoan,IF(111&gt;DispoMonth,0,DJ$30-DK$28))))</f>
        <v/>
      </c>
      <c r="DL30" s="218">
        <f>IF(RefiFlag=0,0,IF(112&lt;RefiMonth,0,IF(112=RefiMonth,PermLoan,IF(112&gt;DispoMonth,0,DK$30-DL$28))))</f>
        <v/>
      </c>
      <c r="DM30" s="218">
        <f>IF(RefiFlag=0,0,IF(113&lt;RefiMonth,0,IF(113=RefiMonth,PermLoan,IF(113&gt;DispoMonth,0,DL$30-DM$28))))</f>
        <v/>
      </c>
      <c r="DN30" s="218">
        <f>IF(RefiFlag=0,0,IF(114&lt;RefiMonth,0,IF(114=RefiMonth,PermLoan,IF(114&gt;DispoMonth,0,DM$30-DN$28))))</f>
        <v/>
      </c>
      <c r="DO30" s="218">
        <f>IF(RefiFlag=0,0,IF(115&lt;RefiMonth,0,IF(115=RefiMonth,PermLoan,IF(115&gt;DispoMonth,0,DN$30-DO$28))))</f>
        <v/>
      </c>
      <c r="DP30" s="218">
        <f>IF(RefiFlag=0,0,IF(116&lt;RefiMonth,0,IF(116=RefiMonth,PermLoan,IF(116&gt;DispoMonth,0,DO$30-DP$28))))</f>
        <v/>
      </c>
      <c r="DQ30" s="218">
        <f>IF(RefiFlag=0,0,IF(117&lt;RefiMonth,0,IF(117=RefiMonth,PermLoan,IF(117&gt;DispoMonth,0,DP$30-DQ$28))))</f>
        <v/>
      </c>
      <c r="DR30" s="218">
        <f>IF(RefiFlag=0,0,IF(118&lt;RefiMonth,0,IF(118=RefiMonth,PermLoan,IF(118&gt;DispoMonth,0,DQ$30-DR$28))))</f>
        <v/>
      </c>
      <c r="DS30" s="218">
        <f>IF(RefiFlag=0,0,IF(119&lt;RefiMonth,0,IF(119=RefiMonth,PermLoan,IF(119&gt;DispoMonth,0,DR$30-DS$28))))</f>
        <v/>
      </c>
      <c r="DT30" s="218">
        <f>IF(RefiFlag=0,0,IF(120&lt;RefiMonth,0,IF(120=RefiMonth,PermLoan,IF(120&gt;DispoMonth,0,DS$30-DT$28))))</f>
        <v/>
      </c>
      <c r="DU30" s="218">
        <f>IF(RefiFlag=0,0,IF(121&lt;RefiMonth,0,IF(121=RefiMonth,PermLoan,IF(121&gt;DispoMonth,0,DT$30-DU$28))))</f>
        <v/>
      </c>
      <c r="DV30" s="218">
        <f>IF(RefiFlag=0,0,IF(122&lt;RefiMonth,0,IF(122=RefiMonth,PermLoan,IF(122&gt;DispoMonth,0,DU$30-DV$28))))</f>
        <v/>
      </c>
      <c r="DW30" s="218">
        <f>IF(RefiFlag=0,0,IF(123&lt;RefiMonth,0,IF(123=RefiMonth,PermLoan,IF(123&gt;DispoMonth,0,DV$30-DW$28))))</f>
        <v/>
      </c>
      <c r="DX30" s="218">
        <f>IF(RefiFlag=0,0,IF(124&lt;RefiMonth,0,IF(124=RefiMonth,PermLoan,IF(124&gt;DispoMonth,0,DW$30-DX$28))))</f>
        <v/>
      </c>
      <c r="DY30" s="218">
        <f>IF(RefiFlag=0,0,IF(125&lt;RefiMonth,0,IF(125=RefiMonth,PermLoan,IF(125&gt;DispoMonth,0,DX$30-DY$28))))</f>
        <v/>
      </c>
      <c r="DZ30" s="218">
        <f>IF(RefiFlag=0,0,IF(126&lt;RefiMonth,0,IF(126=RefiMonth,PermLoan,IF(126&gt;DispoMonth,0,DY$30-DZ$28))))</f>
        <v/>
      </c>
      <c r="EA30" s="218">
        <f>IF(RefiFlag=0,0,IF(127&lt;RefiMonth,0,IF(127=RefiMonth,PermLoan,IF(127&gt;DispoMonth,0,DZ$30-EA$28))))</f>
        <v/>
      </c>
      <c r="EB30" s="218">
        <f>IF(RefiFlag=0,0,IF(128&lt;RefiMonth,0,IF(128=RefiMonth,PermLoan,IF(128&gt;DispoMonth,0,EA$30-EB$28))))</f>
        <v/>
      </c>
      <c r="EC30" s="218">
        <f>IF(RefiFlag=0,0,IF(129&lt;RefiMonth,0,IF(129=RefiMonth,PermLoan,IF(129&gt;DispoMonth,0,EB$30-EC$28))))</f>
        <v/>
      </c>
      <c r="ED30" s="218">
        <f>IF(RefiFlag=0,0,IF(130&lt;RefiMonth,0,IF(130=RefiMonth,PermLoan,IF(130&gt;DispoMonth,0,EC$30-ED$28))))</f>
        <v/>
      </c>
      <c r="EE30" s="218">
        <f>IF(RefiFlag=0,0,IF(131&lt;RefiMonth,0,IF(131=RefiMonth,PermLoan,IF(131&gt;DispoMonth,0,ED$30-EE$28))))</f>
        <v/>
      </c>
      <c r="EF30" s="218">
        <f>IF(RefiFlag=0,0,IF(132&lt;RefiMonth,0,IF(132=RefiMonth,PermLoan,IF(132&gt;DispoMonth,0,EE$30-EF$28))))</f>
        <v/>
      </c>
      <c r="EG30" s="218">
        <f>IF(RefiFlag=0,0,IF(133&lt;RefiMonth,0,IF(133=RefiMonth,PermLoan,IF(133&gt;DispoMonth,0,EF$30-EG$28))))</f>
        <v/>
      </c>
      <c r="EH30" s="218">
        <f>IF(RefiFlag=0,0,IF(134&lt;RefiMonth,0,IF(134=RefiMonth,PermLoan,IF(134&gt;DispoMonth,0,EG$30-EH$28))))</f>
        <v/>
      </c>
      <c r="EI30" s="218">
        <f>IF(RefiFlag=0,0,IF(135&lt;RefiMonth,0,IF(135=RefiMonth,PermLoan,IF(135&gt;DispoMonth,0,EH$30-EI$28))))</f>
        <v/>
      </c>
      <c r="EJ30" s="218">
        <f>IF(RefiFlag=0,0,IF(136&lt;RefiMonth,0,IF(136=RefiMonth,PermLoan,IF(136&gt;DispoMonth,0,EI$30-EJ$28))))</f>
        <v/>
      </c>
      <c r="EK30" s="218">
        <f>IF(RefiFlag=0,0,IF(137&lt;RefiMonth,0,IF(137=RefiMonth,PermLoan,IF(137&gt;DispoMonth,0,EJ$30-EK$28))))</f>
        <v/>
      </c>
      <c r="EL30" s="218">
        <f>IF(RefiFlag=0,0,IF(138&lt;RefiMonth,0,IF(138=RefiMonth,PermLoan,IF(138&gt;DispoMonth,0,EK$30-EL$28))))</f>
        <v/>
      </c>
      <c r="EM30" s="218">
        <f>IF(RefiFlag=0,0,IF(139&lt;RefiMonth,0,IF(139=RefiMonth,PermLoan,IF(139&gt;DispoMonth,0,EL$30-EM$28))))</f>
        <v/>
      </c>
      <c r="EN30" s="218">
        <f>IF(RefiFlag=0,0,IF(140&lt;RefiMonth,0,IF(140=RefiMonth,PermLoan,IF(140&gt;DispoMonth,0,EM$30-EN$28))))</f>
        <v/>
      </c>
      <c r="EO30" s="218">
        <f>IF(RefiFlag=0,0,IF(141&lt;RefiMonth,0,IF(141=RefiMonth,PermLoan,IF(141&gt;DispoMonth,0,EN$30-EO$28))))</f>
        <v/>
      </c>
      <c r="EP30" s="218">
        <f>IF(RefiFlag=0,0,IF(142&lt;RefiMonth,0,IF(142=RefiMonth,PermLoan,IF(142&gt;DispoMonth,0,EO$30-EP$28))))</f>
        <v/>
      </c>
      <c r="EQ30" s="218">
        <f>IF(RefiFlag=0,0,IF(143&lt;RefiMonth,0,IF(143=RefiMonth,PermLoan,IF(143&gt;DispoMonth,0,EP$30-EQ$28))))</f>
        <v/>
      </c>
      <c r="ER30" s="218">
        <f>IF(RefiFlag=0,0,IF(144&lt;RefiMonth,0,IF(144=RefiMonth,PermLoan,IF(144&gt;DispoMonth,0,EQ$30-ER$28))))</f>
        <v/>
      </c>
      <c r="ES30" s="218">
        <f>IF(RefiFlag=0,0,IF(145&lt;RefiMonth,0,IF(145=RefiMonth,PermLoan,IF(145&gt;DispoMonth,0,ER$30-ES$28))))</f>
        <v/>
      </c>
      <c r="ET30" s="218">
        <f>IF(RefiFlag=0,0,IF(146&lt;RefiMonth,0,IF(146=RefiMonth,PermLoan,IF(146&gt;DispoMonth,0,ES$30-ET$28))))</f>
        <v/>
      </c>
      <c r="EU30" s="218">
        <f>IF(RefiFlag=0,0,IF(147&lt;RefiMonth,0,IF(147=RefiMonth,PermLoan,IF(147&gt;DispoMonth,0,ET$30-EU$28))))</f>
        <v/>
      </c>
      <c r="EV30" s="218">
        <f>IF(RefiFlag=0,0,IF(148&lt;RefiMonth,0,IF(148=RefiMonth,PermLoan,IF(148&gt;DispoMonth,0,EU$30-EV$28))))</f>
        <v/>
      </c>
      <c r="EW30" s="218">
        <f>IF(RefiFlag=0,0,IF(149&lt;RefiMonth,0,IF(149=RefiMonth,PermLoan,IF(149&gt;DispoMonth,0,EV$30-EW$28))))</f>
        <v/>
      </c>
      <c r="EX30" s="218">
        <f>IF(RefiFlag=0,0,IF(150&lt;RefiMonth,0,IF(150=RefiMonth,PermLoan,IF(150&gt;DispoMonth,0,EW$30-EX$28))))</f>
        <v/>
      </c>
      <c r="EY30" s="218">
        <f>IF(RefiFlag=0,0,IF(151&lt;RefiMonth,0,IF(151=RefiMonth,PermLoan,IF(151&gt;DispoMonth,0,EX$30-EY$28))))</f>
        <v/>
      </c>
      <c r="EZ30" s="218">
        <f>IF(RefiFlag=0,0,IF(152&lt;RefiMonth,0,IF(152=RefiMonth,PermLoan,IF(152&gt;DispoMonth,0,EY$30-EZ$28))))</f>
        <v/>
      </c>
      <c r="FA30" s="218">
        <f>IF(RefiFlag=0,0,IF(153&lt;RefiMonth,0,IF(153=RefiMonth,PermLoan,IF(153&gt;DispoMonth,0,EZ$30-FA$28))))</f>
        <v/>
      </c>
      <c r="FB30" s="218">
        <f>IF(RefiFlag=0,0,IF(154&lt;RefiMonth,0,IF(154=RefiMonth,PermLoan,IF(154&gt;DispoMonth,0,FA$30-FB$28))))</f>
        <v/>
      </c>
      <c r="FC30" s="218">
        <f>IF(RefiFlag=0,0,IF(155&lt;RefiMonth,0,IF(155=RefiMonth,PermLoan,IF(155&gt;DispoMonth,0,FB$30-FC$28))))</f>
        <v/>
      </c>
      <c r="FD30" s="218">
        <f>IF(RefiFlag=0,0,IF(156&lt;RefiMonth,0,IF(156=RefiMonth,PermLoan,IF(156&gt;DispoMonth,0,FC$30-FD$28))))</f>
        <v/>
      </c>
      <c r="FE30" s="218">
        <f>IF(RefiFlag=0,0,IF(157&lt;RefiMonth,0,IF(157=RefiMonth,PermLoan,IF(157&gt;DispoMonth,0,FD$30-FE$28))))</f>
        <v/>
      </c>
      <c r="FF30" s="218">
        <f>IF(RefiFlag=0,0,IF(158&lt;RefiMonth,0,IF(158=RefiMonth,PermLoan,IF(158&gt;DispoMonth,0,FE$30-FF$28))))</f>
        <v/>
      </c>
      <c r="FG30" s="218">
        <f>IF(RefiFlag=0,0,IF(159&lt;RefiMonth,0,IF(159=RefiMonth,PermLoan,IF(159&gt;DispoMonth,0,FF$30-FG$28))))</f>
        <v/>
      </c>
      <c r="FH30" s="218">
        <f>IF(RefiFlag=0,0,IF(160&lt;RefiMonth,0,IF(160=RefiMonth,PermLoan,IF(160&gt;DispoMonth,0,FG$30-FH$28))))</f>
        <v/>
      </c>
      <c r="FI30" s="218">
        <f>IF(RefiFlag=0,0,IF(161&lt;RefiMonth,0,IF(161=RefiMonth,PermLoan,IF(161&gt;DispoMonth,0,FH$30-FI$28))))</f>
        <v/>
      </c>
      <c r="FJ30" s="218">
        <f>IF(RefiFlag=0,0,IF(162&lt;RefiMonth,0,IF(162=RefiMonth,PermLoan,IF(162&gt;DispoMonth,0,FI$30-FJ$28))))</f>
        <v/>
      </c>
      <c r="FK30" s="218">
        <f>IF(RefiFlag=0,0,IF(163&lt;RefiMonth,0,IF(163=RefiMonth,PermLoan,IF(163&gt;DispoMonth,0,FJ$30-FK$28))))</f>
        <v/>
      </c>
      <c r="FL30" s="218">
        <f>IF(RefiFlag=0,0,IF(164&lt;RefiMonth,0,IF(164=RefiMonth,PermLoan,IF(164&gt;DispoMonth,0,FK$30-FL$28))))</f>
        <v/>
      </c>
      <c r="FM30" s="218">
        <f>IF(RefiFlag=0,0,IF(165&lt;RefiMonth,0,IF(165=RefiMonth,PermLoan,IF(165&gt;DispoMonth,0,FL$30-FM$28))))</f>
        <v/>
      </c>
      <c r="FN30" s="218">
        <f>IF(RefiFlag=0,0,IF(166&lt;RefiMonth,0,IF(166=RefiMonth,PermLoan,IF(166&gt;DispoMonth,0,FM$30-FN$28))))</f>
        <v/>
      </c>
      <c r="FO30" s="218">
        <f>IF(RefiFlag=0,0,IF(167&lt;RefiMonth,0,IF(167=RefiMonth,PermLoan,IF(167&gt;DispoMonth,0,FN$30-FO$28))))</f>
        <v/>
      </c>
      <c r="FP30" s="218">
        <f>IF(RefiFlag=0,0,IF(168&lt;RefiMonth,0,IF(168=RefiMonth,PermLoan,IF(168&gt;DispoMonth,0,FO$30-FP$28))))</f>
        <v/>
      </c>
      <c r="FQ30" s="218">
        <f>IF(RefiFlag=0,0,IF(169&lt;RefiMonth,0,IF(169=RefiMonth,PermLoan,IF(169&gt;DispoMonth,0,FP$30-FQ$28))))</f>
        <v/>
      </c>
      <c r="FR30" s="218">
        <f>IF(RefiFlag=0,0,IF(170&lt;RefiMonth,0,IF(170=RefiMonth,PermLoan,IF(170&gt;DispoMonth,0,FQ$30-FR$28))))</f>
        <v/>
      </c>
      <c r="FS30" s="218">
        <f>IF(RefiFlag=0,0,IF(171&lt;RefiMonth,0,IF(171=RefiMonth,PermLoan,IF(171&gt;DispoMonth,0,FR$30-FS$28))))</f>
        <v/>
      </c>
      <c r="FT30" s="218">
        <f>IF(RefiFlag=0,0,IF(172&lt;RefiMonth,0,IF(172=RefiMonth,PermLoan,IF(172&gt;DispoMonth,0,FS$30-FT$28))))</f>
        <v/>
      </c>
      <c r="FU30" s="218">
        <f>IF(RefiFlag=0,0,IF(173&lt;RefiMonth,0,IF(173=RefiMonth,PermLoan,IF(173&gt;DispoMonth,0,FT$30-FU$28))))</f>
        <v/>
      </c>
      <c r="FV30" s="218">
        <f>IF(RefiFlag=0,0,IF(174&lt;RefiMonth,0,IF(174=RefiMonth,PermLoan,IF(174&gt;DispoMonth,0,FU$30-FV$28))))</f>
        <v/>
      </c>
      <c r="FW30" s="218">
        <f>IF(RefiFlag=0,0,IF(175&lt;RefiMonth,0,IF(175=RefiMonth,PermLoan,IF(175&gt;DispoMonth,0,FV$30-FW$28))))</f>
        <v/>
      </c>
      <c r="FX30" s="218">
        <f>IF(RefiFlag=0,0,IF(176&lt;RefiMonth,0,IF(176=RefiMonth,PermLoan,IF(176&gt;DispoMonth,0,FW$30-FX$28))))</f>
        <v/>
      </c>
      <c r="FY30" s="218">
        <f>IF(RefiFlag=0,0,IF(177&lt;RefiMonth,0,IF(177=RefiMonth,PermLoan,IF(177&gt;DispoMonth,0,FX$30-FY$28))))</f>
        <v/>
      </c>
      <c r="FZ30" s="218">
        <f>IF(RefiFlag=0,0,IF(178&lt;RefiMonth,0,IF(178=RefiMonth,PermLoan,IF(178&gt;DispoMonth,0,FY$30-FZ$28))))</f>
        <v/>
      </c>
      <c r="GA30" s="218">
        <f>IF(RefiFlag=0,0,IF(179&lt;RefiMonth,0,IF(179=RefiMonth,PermLoan,IF(179&gt;DispoMonth,0,FZ$30-GA$28))))</f>
        <v/>
      </c>
      <c r="GB30" s="218">
        <f>IF(RefiFlag=0,0,IF(180&lt;RefiMonth,0,IF(180=RefiMonth,PermLoan,IF(180&gt;DispoMonth,0,GA$30-GB$28))))</f>
        <v/>
      </c>
      <c r="GC30" s="218">
        <f>IF(RefiFlag=0,0,IF(181&lt;RefiMonth,0,IF(181=RefiMonth,PermLoan,IF(181&gt;DispoMonth,0,GB$30-GC$28))))</f>
        <v/>
      </c>
      <c r="GD30" s="218">
        <f>IF(RefiFlag=0,0,IF(182&lt;RefiMonth,0,IF(182=RefiMonth,PermLoan,IF(182&gt;DispoMonth,0,GC$30-GD$28))))</f>
        <v/>
      </c>
      <c r="GE30" s="218">
        <f>IF(RefiFlag=0,0,IF(183&lt;RefiMonth,0,IF(183=RefiMonth,PermLoan,IF(183&gt;DispoMonth,0,GD$30-GE$28))))</f>
        <v/>
      </c>
      <c r="GF30" s="218">
        <f>IF(RefiFlag=0,0,IF(184&lt;RefiMonth,0,IF(184=RefiMonth,PermLoan,IF(184&gt;DispoMonth,0,GE$30-GF$28))))</f>
        <v/>
      </c>
      <c r="GG30" s="218">
        <f>IF(RefiFlag=0,0,IF(185&lt;RefiMonth,0,IF(185=RefiMonth,PermLoan,IF(185&gt;DispoMonth,0,GF$30-GG$28))))</f>
        <v/>
      </c>
      <c r="GH30" s="218">
        <f>IF(RefiFlag=0,0,IF(186&lt;RefiMonth,0,IF(186=RefiMonth,PermLoan,IF(186&gt;DispoMonth,0,GG$30-GH$28))))</f>
        <v/>
      </c>
      <c r="GI30" s="218">
        <f>IF(RefiFlag=0,0,IF(187&lt;RefiMonth,0,IF(187=RefiMonth,PermLoan,IF(187&gt;DispoMonth,0,GH$30-GI$28))))</f>
        <v/>
      </c>
      <c r="GJ30" s="218">
        <f>IF(RefiFlag=0,0,IF(188&lt;RefiMonth,0,IF(188=RefiMonth,PermLoan,IF(188&gt;DispoMonth,0,GI$30-GJ$28))))</f>
        <v/>
      </c>
      <c r="GK30" s="218">
        <f>IF(RefiFlag=0,0,IF(189&lt;RefiMonth,0,IF(189=RefiMonth,PermLoan,IF(189&gt;DispoMonth,0,GJ$30-GK$28))))</f>
        <v/>
      </c>
      <c r="GL30" s="218">
        <f>IF(RefiFlag=0,0,IF(190&lt;RefiMonth,0,IF(190=RefiMonth,PermLoan,IF(190&gt;DispoMonth,0,GK$30-GL$28))))</f>
        <v/>
      </c>
      <c r="GM30" s="218">
        <f>IF(RefiFlag=0,0,IF(191&lt;RefiMonth,0,IF(191=RefiMonth,PermLoan,IF(191&gt;DispoMonth,0,GL$30-GM$28))))</f>
        <v/>
      </c>
      <c r="GN30" s="218">
        <f>IF(RefiFlag=0,0,IF(192&lt;RefiMonth,0,IF(192=RefiMonth,PermLoan,IF(192&gt;DispoMonth,0,GM$30-GN$28))))</f>
        <v/>
      </c>
      <c r="GO30" s="218">
        <f>IF(RefiFlag=0,0,IF(193&lt;RefiMonth,0,IF(193=RefiMonth,PermLoan,IF(193&gt;DispoMonth,0,GN$30-GO$28))))</f>
        <v/>
      </c>
      <c r="GP30" s="218">
        <f>IF(RefiFlag=0,0,IF(194&lt;RefiMonth,0,IF(194=RefiMonth,PermLoan,IF(194&gt;DispoMonth,0,GO$30-GP$28))))</f>
        <v/>
      </c>
      <c r="GQ30" s="218">
        <f>IF(RefiFlag=0,0,IF(195&lt;RefiMonth,0,IF(195=RefiMonth,PermLoan,IF(195&gt;DispoMonth,0,GP$30-GQ$28))))</f>
        <v/>
      </c>
      <c r="GR30" s="218">
        <f>IF(RefiFlag=0,0,IF(196&lt;RefiMonth,0,IF(196=RefiMonth,PermLoan,IF(196&gt;DispoMonth,0,GQ$30-GR$28))))</f>
        <v/>
      </c>
      <c r="GS30" s="218">
        <f>IF(RefiFlag=0,0,IF(197&lt;RefiMonth,0,IF(197=RefiMonth,PermLoan,IF(197&gt;DispoMonth,0,GR$30-GS$28))))</f>
        <v/>
      </c>
      <c r="GT30" s="218">
        <f>IF(RefiFlag=0,0,IF(198&lt;RefiMonth,0,IF(198=RefiMonth,PermLoan,IF(198&gt;DispoMonth,0,GS$30-GT$28))))</f>
        <v/>
      </c>
      <c r="GU30" s="218">
        <f>IF(RefiFlag=0,0,IF(199&lt;RefiMonth,0,IF(199=RefiMonth,PermLoan,IF(199&gt;DispoMonth,0,GT$30-GU$28))))</f>
        <v/>
      </c>
      <c r="GV30" s="218">
        <f>IF(RefiFlag=0,0,IF(200&lt;RefiMonth,0,IF(200=RefiMonth,PermLoan,IF(200&gt;DispoMonth,0,GU$30-GV$28))))</f>
        <v/>
      </c>
      <c r="GW30" s="218">
        <f>IF(RefiFlag=0,0,IF(201&lt;RefiMonth,0,IF(201=RefiMonth,PermLoan,IF(201&gt;DispoMonth,0,GV$30-GW$28))))</f>
        <v/>
      </c>
      <c r="GX30" s="218">
        <f>IF(RefiFlag=0,0,IF(202&lt;RefiMonth,0,IF(202=RefiMonth,PermLoan,IF(202&gt;DispoMonth,0,GW$30-GX$28))))</f>
        <v/>
      </c>
      <c r="GY30" s="218">
        <f>IF(RefiFlag=0,0,IF(203&lt;RefiMonth,0,IF(203=RefiMonth,PermLoan,IF(203&gt;DispoMonth,0,GX$30-GY$28))))</f>
        <v/>
      </c>
      <c r="GZ30" s="218">
        <f>IF(RefiFlag=0,0,IF(204&lt;RefiMonth,0,IF(204=RefiMonth,PermLoan,IF(204&gt;DispoMonth,0,GY$30-GZ$28))))</f>
        <v/>
      </c>
      <c r="HA30" s="218">
        <f>IF(RefiFlag=0,0,IF(205&lt;RefiMonth,0,IF(205=RefiMonth,PermLoan,IF(205&gt;DispoMonth,0,GZ$30-HA$28))))</f>
        <v/>
      </c>
      <c r="HB30" s="218">
        <f>IF(RefiFlag=0,0,IF(206&lt;RefiMonth,0,IF(206=RefiMonth,PermLoan,IF(206&gt;DispoMonth,0,HA$30-HB$28))))</f>
        <v/>
      </c>
      <c r="HC30" s="218">
        <f>IF(RefiFlag=0,0,IF(207&lt;RefiMonth,0,IF(207=RefiMonth,PermLoan,IF(207&gt;DispoMonth,0,HB$30-HC$28))))</f>
        <v/>
      </c>
      <c r="HD30" s="218">
        <f>IF(RefiFlag=0,0,IF(208&lt;RefiMonth,0,IF(208=RefiMonth,PermLoan,IF(208&gt;DispoMonth,0,HC$30-HD$28))))</f>
        <v/>
      </c>
      <c r="HE30" s="218">
        <f>IF(RefiFlag=0,0,IF(209&lt;RefiMonth,0,IF(209=RefiMonth,PermLoan,IF(209&gt;DispoMonth,0,HD$30-HE$28))))</f>
        <v/>
      </c>
      <c r="HF30" s="218">
        <f>IF(RefiFlag=0,0,IF(210&lt;RefiMonth,0,IF(210=RefiMonth,PermLoan,IF(210&gt;DispoMonth,0,HE$30-HF$28))))</f>
        <v/>
      </c>
      <c r="HG30" s="218">
        <f>IF(RefiFlag=0,0,IF(211&lt;RefiMonth,0,IF(211=RefiMonth,PermLoan,IF(211&gt;DispoMonth,0,HF$30-HG$28))))</f>
        <v/>
      </c>
      <c r="HH30" s="218">
        <f>IF(RefiFlag=0,0,IF(212&lt;RefiMonth,0,IF(212=RefiMonth,PermLoan,IF(212&gt;DispoMonth,0,HG$30-HH$28))))</f>
        <v/>
      </c>
      <c r="HI30" s="218">
        <f>IF(RefiFlag=0,0,IF(213&lt;RefiMonth,0,IF(213=RefiMonth,PermLoan,IF(213&gt;DispoMonth,0,HH$30-HI$28))))</f>
        <v/>
      </c>
      <c r="HJ30" s="218">
        <f>IF(RefiFlag=0,0,IF(214&lt;RefiMonth,0,IF(214=RefiMonth,PermLoan,IF(214&gt;DispoMonth,0,HI$30-HJ$28))))</f>
        <v/>
      </c>
      <c r="HK30" s="218">
        <f>IF(RefiFlag=0,0,IF(215&lt;RefiMonth,0,IF(215=RefiMonth,PermLoan,IF(215&gt;DispoMonth,0,HJ$30-HK$28))))</f>
        <v/>
      </c>
      <c r="HL30" s="218">
        <f>IF(RefiFlag=0,0,IF(216&lt;RefiMonth,0,IF(216=RefiMonth,PermLoan,IF(216&gt;DispoMonth,0,HK$30-HL$28))))</f>
        <v/>
      </c>
      <c r="HM30" s="218">
        <f>IF(RefiFlag=0,0,IF(217&lt;RefiMonth,0,IF(217=RefiMonth,PermLoan,IF(217&gt;DispoMonth,0,HL$30-HM$28))))</f>
        <v/>
      </c>
      <c r="HN30" s="218">
        <f>IF(RefiFlag=0,0,IF(218&lt;RefiMonth,0,IF(218=RefiMonth,PermLoan,IF(218&gt;DispoMonth,0,HM$30-HN$28))))</f>
        <v/>
      </c>
      <c r="HO30" s="218">
        <f>IF(RefiFlag=0,0,IF(219&lt;RefiMonth,0,IF(219=RefiMonth,PermLoan,IF(219&gt;DispoMonth,0,HN$30-HO$28))))</f>
        <v/>
      </c>
      <c r="HP30" s="218">
        <f>IF(RefiFlag=0,0,IF(220&lt;RefiMonth,0,IF(220=RefiMonth,PermLoan,IF(220&gt;DispoMonth,0,HO$30-HP$28))))</f>
        <v/>
      </c>
      <c r="HQ30" s="218">
        <f>IF(RefiFlag=0,0,IF(221&lt;RefiMonth,0,IF(221=RefiMonth,PermLoan,IF(221&gt;DispoMonth,0,HP$30-HQ$28))))</f>
        <v/>
      </c>
      <c r="HR30" s="218">
        <f>IF(RefiFlag=0,0,IF(222&lt;RefiMonth,0,IF(222=RefiMonth,PermLoan,IF(222&gt;DispoMonth,0,HQ$30-HR$28))))</f>
        <v/>
      </c>
      <c r="HS30" s="218">
        <f>IF(RefiFlag=0,0,IF(223&lt;RefiMonth,0,IF(223=RefiMonth,PermLoan,IF(223&gt;DispoMonth,0,HR$30-HS$28))))</f>
        <v/>
      </c>
      <c r="HT30" s="218">
        <f>IF(RefiFlag=0,0,IF(224&lt;RefiMonth,0,IF(224=RefiMonth,PermLoan,IF(224&gt;DispoMonth,0,HS$30-HT$28))))</f>
        <v/>
      </c>
      <c r="HU30" s="218">
        <f>IF(RefiFlag=0,0,IF(225&lt;RefiMonth,0,IF(225=RefiMonth,PermLoan,IF(225&gt;DispoMonth,0,HT$30-HU$28))))</f>
        <v/>
      </c>
      <c r="HV30" s="218">
        <f>IF(RefiFlag=0,0,IF(226&lt;RefiMonth,0,IF(226=RefiMonth,PermLoan,IF(226&gt;DispoMonth,0,HU$30-HV$28))))</f>
        <v/>
      </c>
      <c r="HW30" s="218">
        <f>IF(RefiFlag=0,0,IF(227&lt;RefiMonth,0,IF(227=RefiMonth,PermLoan,IF(227&gt;DispoMonth,0,HV$30-HW$28))))</f>
        <v/>
      </c>
      <c r="HX30" s="218">
        <f>IF(RefiFlag=0,0,IF(228&lt;RefiMonth,0,IF(228=RefiMonth,PermLoan,IF(228&gt;DispoMonth,0,HW$30-HX$28))))</f>
        <v/>
      </c>
      <c r="HY30" s="218">
        <f>IF(RefiFlag=0,0,IF(229&lt;RefiMonth,0,IF(229=RefiMonth,PermLoan,IF(229&gt;DispoMonth,0,HX$30-HY$28))))</f>
        <v/>
      </c>
      <c r="HZ30" s="218">
        <f>IF(RefiFlag=0,0,IF(230&lt;RefiMonth,0,IF(230=RefiMonth,PermLoan,IF(230&gt;DispoMonth,0,HY$30-HZ$28))))</f>
        <v/>
      </c>
      <c r="IA30" s="218">
        <f>IF(RefiFlag=0,0,IF(231&lt;RefiMonth,0,IF(231=RefiMonth,PermLoan,IF(231&gt;DispoMonth,0,HZ$30-IA$28))))</f>
        <v/>
      </c>
      <c r="IB30" s="218">
        <f>IF(RefiFlag=0,0,IF(232&lt;RefiMonth,0,IF(232=RefiMonth,PermLoan,IF(232&gt;DispoMonth,0,IA$30-IB$28))))</f>
        <v/>
      </c>
      <c r="IC30" s="218">
        <f>IF(RefiFlag=0,0,IF(233&lt;RefiMonth,0,IF(233=RefiMonth,PermLoan,IF(233&gt;DispoMonth,0,IB$30-IC$28))))</f>
        <v/>
      </c>
      <c r="ID30" s="218">
        <f>IF(RefiFlag=0,0,IF(234&lt;RefiMonth,0,IF(234=RefiMonth,PermLoan,IF(234&gt;DispoMonth,0,IC$30-ID$28))))</f>
        <v/>
      </c>
      <c r="IE30" s="218">
        <f>IF(RefiFlag=0,0,IF(235&lt;RefiMonth,0,IF(235=RefiMonth,PermLoan,IF(235&gt;DispoMonth,0,ID$30-IE$28))))</f>
        <v/>
      </c>
      <c r="IF30" s="218">
        <f>IF(RefiFlag=0,0,IF(236&lt;RefiMonth,0,IF(236=RefiMonth,PermLoan,IF(236&gt;DispoMonth,0,IE$30-IF$28))))</f>
        <v/>
      </c>
      <c r="IG30" s="218">
        <f>IF(RefiFlag=0,0,IF(237&lt;RefiMonth,0,IF(237=RefiMonth,PermLoan,IF(237&gt;DispoMonth,0,IF$30-IG$28))))</f>
        <v/>
      </c>
      <c r="IH30" s="218">
        <f>IF(RefiFlag=0,0,IF(238&lt;RefiMonth,0,IF(238=RefiMonth,PermLoan,IF(238&gt;DispoMonth,0,IG$30-IH$28))))</f>
        <v/>
      </c>
      <c r="II30" s="218">
        <f>IF(RefiFlag=0,0,IF(239&lt;RefiMonth,0,IF(239=RefiMonth,PermLoan,IF(239&gt;DispoMonth,0,IH$30-II$28))))</f>
        <v/>
      </c>
      <c r="IJ30" s="218">
        <f>IF(RefiFlag=0,0,IF(240&lt;RefiMonth,0,IF(240=RefiMonth,PermLoan,IF(240&gt;DispoMonth,0,II$30-IJ$28))))</f>
        <v/>
      </c>
      <c r="IK30" s="218">
        <f>IF(RefiFlag=0,0,IF(241&lt;RefiMonth,0,IF(241=RefiMonth,PermLoan,IF(241&gt;DispoMonth,0,IJ$30-IK$28))))</f>
        <v/>
      </c>
      <c r="IL30" s="218">
        <f>IF(RefiFlag=0,0,IF(242&lt;RefiMonth,0,IF(242=RefiMonth,PermLoan,IF(242&gt;DispoMonth,0,IK$30-IL$28))))</f>
        <v/>
      </c>
      <c r="IM30" s="218">
        <f>IF(RefiFlag=0,0,IF(243&lt;RefiMonth,0,IF(243=RefiMonth,PermLoan,IF(243&gt;DispoMonth,0,IL$30-IM$28))))</f>
        <v/>
      </c>
      <c r="IN30" s="218">
        <f>IF(RefiFlag=0,0,IF(244&lt;RefiMonth,0,IF(244=RefiMonth,PermLoan,IF(244&gt;DispoMonth,0,IM$30-IN$28))))</f>
        <v/>
      </c>
      <c r="IO30" s="218">
        <f>IF(RefiFlag=0,0,IF(245&lt;RefiMonth,0,IF(245=RefiMonth,PermLoan,IF(245&gt;DispoMonth,0,IN$30-IO$28))))</f>
        <v/>
      </c>
      <c r="IP30" s="218">
        <f>IF(RefiFlag=0,0,IF(246&lt;RefiMonth,0,IF(246=RefiMonth,PermLoan,IF(246&gt;DispoMonth,0,IO$30-IP$28))))</f>
        <v/>
      </c>
      <c r="IQ30" s="218">
        <f>IF(RefiFlag=0,0,IF(247&lt;RefiMonth,0,IF(247=RefiMonth,PermLoan,IF(247&gt;DispoMonth,0,IP$30-IQ$28))))</f>
        <v/>
      </c>
      <c r="IR30" s="218">
        <f>IF(RefiFlag=0,0,IF(248&lt;RefiMonth,0,IF(248=RefiMonth,PermLoan,IF(248&gt;DispoMonth,0,IQ$30-IR$28))))</f>
        <v/>
      </c>
      <c r="IS30" s="218">
        <f>IF(RefiFlag=0,0,IF(249&lt;RefiMonth,0,IF(249=RefiMonth,PermLoan,IF(249&gt;DispoMonth,0,IR$30-IS$28))))</f>
        <v/>
      </c>
      <c r="IT30" s="218">
        <f>IF(RefiFlag=0,0,IF(250&lt;RefiMonth,0,IF(250=RefiMonth,PermLoan,IF(250&gt;DispoMonth,0,IS$30-IT$28))))</f>
        <v/>
      </c>
      <c r="IU30" s="218">
        <f>IF(RefiFlag=0,0,IF(251&lt;RefiMonth,0,IF(251=RefiMonth,PermLoan,IF(251&gt;DispoMonth,0,IT$30-IU$28))))</f>
        <v/>
      </c>
      <c r="IV30" s="218">
        <f>IF(RefiFlag=0,0,IF(252&lt;RefiMonth,0,IF(252=RefiMonth,PermLoan,IF(252&gt;DispoMonth,0,IU$30-IV$28))))</f>
        <v/>
      </c>
      <c r="IW30" s="218">
        <f>IF(RefiFlag=0,0,IF(253&lt;RefiMonth,0,IF(253=RefiMonth,PermLoan,IF(253&gt;DispoMonth,0,IV$30-IW$28))))</f>
        <v/>
      </c>
      <c r="IX30" s="218">
        <f>IF(RefiFlag=0,0,IF(254&lt;RefiMonth,0,IF(254=RefiMonth,PermLoan,IF(254&gt;DispoMonth,0,IW$30-IX$28))))</f>
        <v/>
      </c>
      <c r="IY30" s="218">
        <f>IF(RefiFlag=0,0,IF(255&lt;RefiMonth,0,IF(255=RefiMonth,PermLoan,IF(255&gt;DispoMonth,0,IX$30-IY$28))))</f>
        <v/>
      </c>
      <c r="IZ30" s="218">
        <f>IF(RefiFlag=0,0,IF(256&lt;RefiMonth,0,IF(256=RefiMonth,PermLoan,IF(256&gt;DispoMonth,0,IY$30-IZ$28))))</f>
        <v/>
      </c>
      <c r="JA30" s="218">
        <f>IF(RefiFlag=0,0,IF(257&lt;RefiMonth,0,IF(257=RefiMonth,PermLoan,IF(257&gt;DispoMonth,0,IZ$30-JA$28))))</f>
        <v/>
      </c>
      <c r="JB30" s="218">
        <f>IF(RefiFlag=0,0,IF(258&lt;RefiMonth,0,IF(258=RefiMonth,PermLoan,IF(258&gt;DispoMonth,0,JA$30-JB$28))))</f>
        <v/>
      </c>
      <c r="JC30" s="218">
        <f>IF(RefiFlag=0,0,IF(259&lt;RefiMonth,0,IF(259=RefiMonth,PermLoan,IF(259&gt;DispoMonth,0,JB$30-JC$28))))</f>
        <v/>
      </c>
      <c r="JD30" s="218">
        <f>IF(RefiFlag=0,0,IF(260&lt;RefiMonth,0,IF(260=RefiMonth,PermLoan,IF(260&gt;DispoMonth,0,JC$30-JD$28))))</f>
        <v/>
      </c>
      <c r="JE30" s="218">
        <f>IF(RefiFlag=0,0,IF(261&lt;RefiMonth,0,IF(261=RefiMonth,PermLoan,IF(261&gt;DispoMonth,0,JD$30-JE$28))))</f>
        <v/>
      </c>
      <c r="JF30" s="218">
        <f>IF(RefiFlag=0,0,IF(262&lt;RefiMonth,0,IF(262=RefiMonth,PermLoan,IF(262&gt;DispoMonth,0,JE$30-JF$28))))</f>
        <v/>
      </c>
      <c r="JG30" s="218">
        <f>IF(RefiFlag=0,0,IF(263&lt;RefiMonth,0,IF(263=RefiMonth,PermLoan,IF(263&gt;DispoMonth,0,JF$30-JG$28))))</f>
        <v/>
      </c>
      <c r="JH30" s="218">
        <f>IF(RefiFlag=0,0,IF(264&lt;RefiMonth,0,IF(264=RefiMonth,PermLoan,IF(264&gt;DispoMonth,0,JG$30-JH$28))))</f>
        <v/>
      </c>
      <c r="JI30" s="218">
        <f>IF(RefiFlag=0,0,IF(265&lt;RefiMonth,0,IF(265=RefiMonth,PermLoan,IF(265&gt;DispoMonth,0,JH$30-JI$28))))</f>
        <v/>
      </c>
      <c r="JJ30" s="218">
        <f>IF(RefiFlag=0,0,IF(266&lt;RefiMonth,0,IF(266=RefiMonth,PermLoan,IF(266&gt;DispoMonth,0,JI$30-JJ$28))))</f>
        <v/>
      </c>
      <c r="JK30" s="218">
        <f>IF(RefiFlag=0,0,IF(267&lt;RefiMonth,0,IF(267=RefiMonth,PermLoan,IF(267&gt;DispoMonth,0,JJ$30-JK$28))))</f>
        <v/>
      </c>
      <c r="JL30" s="218">
        <f>IF(RefiFlag=0,0,IF(268&lt;RefiMonth,0,IF(268=RefiMonth,PermLoan,IF(268&gt;DispoMonth,0,JK$30-JL$28))))</f>
        <v/>
      </c>
      <c r="JM30" s="218">
        <f>IF(RefiFlag=0,0,IF(269&lt;RefiMonth,0,IF(269=RefiMonth,PermLoan,IF(269&gt;DispoMonth,0,JL$30-JM$28))))</f>
        <v/>
      </c>
      <c r="JN30" s="218">
        <f>IF(RefiFlag=0,0,IF(270&lt;RefiMonth,0,IF(270=RefiMonth,PermLoan,IF(270&gt;DispoMonth,0,JM$30-JN$28))))</f>
        <v/>
      </c>
      <c r="JO30" s="218">
        <f>IF(RefiFlag=0,0,IF(271&lt;RefiMonth,0,IF(271=RefiMonth,PermLoan,IF(271&gt;DispoMonth,0,JN$30-JO$28))))</f>
        <v/>
      </c>
      <c r="JP30" s="218">
        <f>IF(RefiFlag=0,0,IF(272&lt;RefiMonth,0,IF(272=RefiMonth,PermLoan,IF(272&gt;DispoMonth,0,JO$30-JP$28))))</f>
        <v/>
      </c>
      <c r="JQ30" s="218">
        <f>IF(RefiFlag=0,0,IF(273&lt;RefiMonth,0,IF(273=RefiMonth,PermLoan,IF(273&gt;DispoMonth,0,JP$30-JQ$28))))</f>
        <v/>
      </c>
      <c r="JR30" s="218">
        <f>IF(RefiFlag=0,0,IF(274&lt;RefiMonth,0,IF(274=RefiMonth,PermLoan,IF(274&gt;DispoMonth,0,JQ$30-JR$28))))</f>
        <v/>
      </c>
      <c r="JS30" s="218">
        <f>IF(RefiFlag=0,0,IF(275&lt;RefiMonth,0,IF(275=RefiMonth,PermLoan,IF(275&gt;DispoMonth,0,JR$30-JS$28))))</f>
        <v/>
      </c>
      <c r="JT30" s="218">
        <f>IF(RefiFlag=0,0,IF(276&lt;RefiMonth,0,IF(276=RefiMonth,PermLoan,IF(276&gt;DispoMonth,0,JS$30-JT$28))))</f>
        <v/>
      </c>
      <c r="JU30" s="218">
        <f>IF(RefiFlag=0,0,IF(277&lt;RefiMonth,0,IF(277=RefiMonth,PermLoan,IF(277&gt;DispoMonth,0,JT$30-JU$28))))</f>
        <v/>
      </c>
      <c r="JV30" s="218">
        <f>IF(RefiFlag=0,0,IF(278&lt;RefiMonth,0,IF(278=RefiMonth,PermLoan,IF(278&gt;DispoMonth,0,JU$30-JV$28))))</f>
        <v/>
      </c>
      <c r="JW30" s="218">
        <f>IF(RefiFlag=0,0,IF(279&lt;RefiMonth,0,IF(279=RefiMonth,PermLoan,IF(279&gt;DispoMonth,0,JV$30-JW$28))))</f>
        <v/>
      </c>
      <c r="JX30" s="218">
        <f>IF(RefiFlag=0,0,IF(280&lt;RefiMonth,0,IF(280=RefiMonth,PermLoan,IF(280&gt;DispoMonth,0,JW$30-JX$28))))</f>
        <v/>
      </c>
      <c r="JY30" s="218">
        <f>IF(RefiFlag=0,0,IF(281&lt;RefiMonth,0,IF(281=RefiMonth,PermLoan,IF(281&gt;DispoMonth,0,JX$30-JY$28))))</f>
        <v/>
      </c>
      <c r="JZ30" s="218">
        <f>IF(RefiFlag=0,0,IF(282&lt;RefiMonth,0,IF(282=RefiMonth,PermLoan,IF(282&gt;DispoMonth,0,JY$30-JZ$28))))</f>
        <v/>
      </c>
      <c r="KA30" s="218">
        <f>IF(RefiFlag=0,0,IF(283&lt;RefiMonth,0,IF(283=RefiMonth,PermLoan,IF(283&gt;DispoMonth,0,JZ$30-KA$28))))</f>
        <v/>
      </c>
      <c r="KB30" s="218">
        <f>IF(RefiFlag=0,0,IF(284&lt;RefiMonth,0,IF(284=RefiMonth,PermLoan,IF(284&gt;DispoMonth,0,KA$30-KB$28))))</f>
        <v/>
      </c>
      <c r="KC30" s="218">
        <f>IF(RefiFlag=0,0,IF(285&lt;RefiMonth,0,IF(285=RefiMonth,PermLoan,IF(285&gt;DispoMonth,0,KB$30-KC$28))))</f>
        <v/>
      </c>
      <c r="KD30" s="218">
        <f>IF(RefiFlag=0,0,IF(286&lt;RefiMonth,0,IF(286=RefiMonth,PermLoan,IF(286&gt;DispoMonth,0,KC$30-KD$28))))</f>
        <v/>
      </c>
      <c r="KE30" s="218">
        <f>IF(RefiFlag=0,0,IF(287&lt;RefiMonth,0,IF(287=RefiMonth,PermLoan,IF(287&gt;DispoMonth,0,KD$30-KE$28))))</f>
        <v/>
      </c>
      <c r="KF30" s="218">
        <f>IF(RefiFlag=0,0,IF(288&lt;RefiMonth,0,IF(288=RefiMonth,PermLoan,IF(288&gt;DispoMonth,0,KE$30-KF$28))))</f>
        <v/>
      </c>
      <c r="KG30" s="218">
        <f>IF(RefiFlag=0,0,IF(289&lt;RefiMonth,0,IF(289=RefiMonth,PermLoan,IF(289&gt;DispoMonth,0,KF$30-KG$28))))</f>
        <v/>
      </c>
      <c r="KH30" s="218">
        <f>IF(RefiFlag=0,0,IF(290&lt;RefiMonth,0,IF(290=RefiMonth,PermLoan,IF(290&gt;DispoMonth,0,KG$30-KH$28))))</f>
        <v/>
      </c>
      <c r="KI30" s="218">
        <f>IF(RefiFlag=0,0,IF(291&lt;RefiMonth,0,IF(291=RefiMonth,PermLoan,IF(291&gt;DispoMonth,0,KH$30-KI$28))))</f>
        <v/>
      </c>
      <c r="KJ30" s="218">
        <f>IF(RefiFlag=0,0,IF(292&lt;RefiMonth,0,IF(292=RefiMonth,PermLoan,IF(292&gt;DispoMonth,0,KI$30-KJ$28))))</f>
        <v/>
      </c>
      <c r="KK30" s="218">
        <f>IF(RefiFlag=0,0,IF(293&lt;RefiMonth,0,IF(293=RefiMonth,PermLoan,IF(293&gt;DispoMonth,0,KJ$30-KK$28))))</f>
        <v/>
      </c>
      <c r="KL30" s="218">
        <f>IF(RefiFlag=0,0,IF(294&lt;RefiMonth,0,IF(294=RefiMonth,PermLoan,IF(294&gt;DispoMonth,0,KK$30-KL$28))))</f>
        <v/>
      </c>
      <c r="KM30" s="218">
        <f>IF(RefiFlag=0,0,IF(295&lt;RefiMonth,0,IF(295=RefiMonth,PermLoan,IF(295&gt;DispoMonth,0,KL$30-KM$28))))</f>
        <v/>
      </c>
      <c r="KN30" s="218">
        <f>IF(RefiFlag=0,0,IF(296&lt;RefiMonth,0,IF(296=RefiMonth,PermLoan,IF(296&gt;DispoMonth,0,KM$30-KN$28))))</f>
        <v/>
      </c>
      <c r="KO30" s="218">
        <f>IF(RefiFlag=0,0,IF(297&lt;RefiMonth,0,IF(297=RefiMonth,PermLoan,IF(297&gt;DispoMonth,0,KN$30-KO$28))))</f>
        <v/>
      </c>
      <c r="KP30" s="218">
        <f>IF(RefiFlag=0,0,IF(298&lt;RefiMonth,0,IF(298=RefiMonth,PermLoan,IF(298&gt;DispoMonth,0,KO$30-KP$28))))</f>
        <v/>
      </c>
      <c r="KQ30" s="218">
        <f>IF(RefiFlag=0,0,IF(299&lt;RefiMonth,0,IF(299=RefiMonth,PermLoan,IF(299&gt;DispoMonth,0,KP$30-KQ$28))))</f>
        <v/>
      </c>
      <c r="KR30" s="218">
        <f>IF(RefiFlag=0,0,IF(300&lt;RefiMonth,0,IF(300=RefiMonth,PermLoan,IF(300&gt;DispoMonth,0,KQ$30-KR$28))))</f>
        <v/>
      </c>
      <c r="KS30" s="218">
        <f>IF(RefiFlag=0,0,IF(301&lt;RefiMonth,0,IF(301=RefiMonth,PermLoan,IF(301&gt;DispoMonth,0,KR$30-KS$28))))</f>
        <v/>
      </c>
      <c r="KT30" s="218">
        <f>IF(RefiFlag=0,0,IF(302&lt;RefiMonth,0,IF(302=RefiMonth,PermLoan,IF(302&gt;DispoMonth,0,KS$30-KT$28))))</f>
        <v/>
      </c>
      <c r="KU30" s="218">
        <f>IF(RefiFlag=0,0,IF(303&lt;RefiMonth,0,IF(303=RefiMonth,PermLoan,IF(303&gt;DispoMonth,0,KT$30-KU$28))))</f>
        <v/>
      </c>
      <c r="KV30" s="218">
        <f>IF(RefiFlag=0,0,IF(304&lt;RefiMonth,0,IF(304=RefiMonth,PermLoan,IF(304&gt;DispoMonth,0,KU$30-KV$28))))</f>
        <v/>
      </c>
      <c r="KW30" s="218">
        <f>IF(RefiFlag=0,0,IF(305&lt;RefiMonth,0,IF(305=RefiMonth,PermLoan,IF(305&gt;DispoMonth,0,KV$30-KW$28))))</f>
        <v/>
      </c>
      <c r="KX30" s="218">
        <f>IF(RefiFlag=0,0,IF(306&lt;RefiMonth,0,IF(306=RefiMonth,PermLoan,IF(306&gt;DispoMonth,0,KW$30-KX$28))))</f>
        <v/>
      </c>
      <c r="KY30" s="218">
        <f>IF(RefiFlag=0,0,IF(307&lt;RefiMonth,0,IF(307=RefiMonth,PermLoan,IF(307&gt;DispoMonth,0,KX$30-KY$28))))</f>
        <v/>
      </c>
      <c r="KZ30" s="218">
        <f>IF(RefiFlag=0,0,IF(308&lt;RefiMonth,0,IF(308=RefiMonth,PermLoan,IF(308&gt;DispoMonth,0,KY$30-KZ$28))))</f>
        <v/>
      </c>
      <c r="LA30" s="218">
        <f>IF(RefiFlag=0,0,IF(309&lt;RefiMonth,0,IF(309=RefiMonth,PermLoan,IF(309&gt;DispoMonth,0,KZ$30-LA$28))))</f>
        <v/>
      </c>
      <c r="LB30" s="218">
        <f>IF(RefiFlag=0,0,IF(310&lt;RefiMonth,0,IF(310=RefiMonth,PermLoan,IF(310&gt;DispoMonth,0,LA$30-LB$28))))</f>
        <v/>
      </c>
      <c r="LC30" s="218">
        <f>IF(RefiFlag=0,0,IF(311&lt;RefiMonth,0,IF(311=RefiMonth,PermLoan,IF(311&gt;DispoMonth,0,LB$30-LC$28))))</f>
        <v/>
      </c>
      <c r="LD30" s="218">
        <f>IF(RefiFlag=0,0,IF(312&lt;RefiMonth,0,IF(312=RefiMonth,PermLoan,IF(312&gt;DispoMonth,0,LC$30-LD$28))))</f>
        <v/>
      </c>
      <c r="LE30" s="218">
        <f>IF(RefiFlag=0,0,IF(313&lt;RefiMonth,0,IF(313=RefiMonth,PermLoan,IF(313&gt;DispoMonth,0,LD$30-LE$28))))</f>
        <v/>
      </c>
      <c r="LF30" s="218">
        <f>IF(RefiFlag=0,0,IF(314&lt;RefiMonth,0,IF(314=RefiMonth,PermLoan,IF(314&gt;DispoMonth,0,LE$30-LF$28))))</f>
        <v/>
      </c>
      <c r="LG30" s="218">
        <f>IF(RefiFlag=0,0,IF(315&lt;RefiMonth,0,IF(315=RefiMonth,PermLoan,IF(315&gt;DispoMonth,0,LF$30-LG$28))))</f>
        <v/>
      </c>
      <c r="LH30" s="218">
        <f>IF(RefiFlag=0,0,IF(316&lt;RefiMonth,0,IF(316=RefiMonth,PermLoan,IF(316&gt;DispoMonth,0,LG$30-LH$28))))</f>
        <v/>
      </c>
      <c r="LI30" s="218">
        <f>IF(RefiFlag=0,0,IF(317&lt;RefiMonth,0,IF(317=RefiMonth,PermLoan,IF(317&gt;DispoMonth,0,LH$30-LI$28))))</f>
        <v/>
      </c>
      <c r="LJ30" s="218">
        <f>IF(RefiFlag=0,0,IF(318&lt;RefiMonth,0,IF(318=RefiMonth,PermLoan,IF(318&gt;DispoMonth,0,LI$30-LJ$28))))</f>
        <v/>
      </c>
      <c r="LK30" s="218">
        <f>IF(RefiFlag=0,0,IF(319&lt;RefiMonth,0,IF(319=RefiMonth,PermLoan,IF(319&gt;DispoMonth,0,LJ$30-LK$28))))</f>
        <v/>
      </c>
      <c r="LL30" s="218">
        <f>IF(RefiFlag=0,0,IF(320&lt;RefiMonth,0,IF(320=RefiMonth,PermLoan,IF(320&gt;DispoMonth,0,LK$30-LL$28))))</f>
        <v/>
      </c>
      <c r="LM30" s="218">
        <f>IF(RefiFlag=0,0,IF(321&lt;RefiMonth,0,IF(321=RefiMonth,PermLoan,IF(321&gt;DispoMonth,0,LL$30-LM$28))))</f>
        <v/>
      </c>
      <c r="LN30" s="218">
        <f>IF(RefiFlag=0,0,IF(322&lt;RefiMonth,0,IF(322=RefiMonth,PermLoan,IF(322&gt;DispoMonth,0,LM$30-LN$28))))</f>
        <v/>
      </c>
      <c r="LO30" s="218">
        <f>IF(RefiFlag=0,0,IF(323&lt;RefiMonth,0,IF(323=RefiMonth,PermLoan,IF(323&gt;DispoMonth,0,LN$30-LO$28))))</f>
        <v/>
      </c>
      <c r="LP30" s="218">
        <f>IF(RefiFlag=0,0,IF(324&lt;RefiMonth,0,IF(324=RefiMonth,PermLoan,IF(324&gt;DispoMonth,0,LO$30-LP$28))))</f>
        <v/>
      </c>
      <c r="LQ30" s="218">
        <f>IF(RefiFlag=0,0,IF(325&lt;RefiMonth,0,IF(325=RefiMonth,PermLoan,IF(325&gt;DispoMonth,0,LP$30-LQ$28))))</f>
        <v/>
      </c>
      <c r="LR30" s="218">
        <f>IF(RefiFlag=0,0,IF(326&lt;RefiMonth,0,IF(326=RefiMonth,PermLoan,IF(326&gt;DispoMonth,0,LQ$30-LR$28))))</f>
        <v/>
      </c>
      <c r="LS30" s="218">
        <f>IF(RefiFlag=0,0,IF(327&lt;RefiMonth,0,IF(327=RefiMonth,PermLoan,IF(327&gt;DispoMonth,0,LR$30-LS$28))))</f>
        <v/>
      </c>
      <c r="LT30" s="218">
        <f>IF(RefiFlag=0,0,IF(328&lt;RefiMonth,0,IF(328=RefiMonth,PermLoan,IF(328&gt;DispoMonth,0,LS$30-LT$28))))</f>
        <v/>
      </c>
      <c r="LU30" s="218">
        <f>IF(RefiFlag=0,0,IF(329&lt;RefiMonth,0,IF(329=RefiMonth,PermLoan,IF(329&gt;DispoMonth,0,LT$30-LU$28))))</f>
        <v/>
      </c>
      <c r="LV30" s="218">
        <f>IF(RefiFlag=0,0,IF(330&lt;RefiMonth,0,IF(330=RefiMonth,PermLoan,IF(330&gt;DispoMonth,0,LU$30-LV$28))))</f>
        <v/>
      </c>
      <c r="LW30" s="218">
        <f>IF(RefiFlag=0,0,IF(331&lt;RefiMonth,0,IF(331=RefiMonth,PermLoan,IF(331&gt;DispoMonth,0,LV$30-LW$28))))</f>
        <v/>
      </c>
      <c r="LX30" s="218">
        <f>IF(RefiFlag=0,0,IF(332&lt;RefiMonth,0,IF(332=RefiMonth,PermLoan,IF(332&gt;DispoMonth,0,LW$30-LX$28))))</f>
        <v/>
      </c>
      <c r="LY30" s="218">
        <f>IF(RefiFlag=0,0,IF(333&lt;RefiMonth,0,IF(333=RefiMonth,PermLoan,IF(333&gt;DispoMonth,0,LX$30-LY$28))))</f>
        <v/>
      </c>
      <c r="LZ30" s="218">
        <f>IF(RefiFlag=0,0,IF(334&lt;RefiMonth,0,IF(334=RefiMonth,PermLoan,IF(334&gt;DispoMonth,0,LY$30-LZ$28))))</f>
        <v/>
      </c>
      <c r="MA30" s="218">
        <f>IF(RefiFlag=0,0,IF(335&lt;RefiMonth,0,IF(335=RefiMonth,PermLoan,IF(335&gt;DispoMonth,0,LZ$30-MA$28))))</f>
        <v/>
      </c>
      <c r="MB30" s="218">
        <f>IF(RefiFlag=0,0,IF(336&lt;RefiMonth,0,IF(336=RefiMonth,PermLoan,IF(336&gt;DispoMonth,0,MA$30-MB$28))))</f>
        <v/>
      </c>
      <c r="MC30" s="218">
        <f>IF(RefiFlag=0,0,IF(337&lt;RefiMonth,0,IF(337=RefiMonth,PermLoan,IF(337&gt;DispoMonth,0,MB$30-MC$28))))</f>
        <v/>
      </c>
      <c r="MD30" s="218">
        <f>IF(RefiFlag=0,0,IF(338&lt;RefiMonth,0,IF(338=RefiMonth,PermLoan,IF(338&gt;DispoMonth,0,MC$30-MD$28))))</f>
        <v/>
      </c>
      <c r="ME30" s="218">
        <f>IF(RefiFlag=0,0,IF(339&lt;RefiMonth,0,IF(339=RefiMonth,PermLoan,IF(339&gt;DispoMonth,0,MD$30-ME$28))))</f>
        <v/>
      </c>
      <c r="MF30" s="218">
        <f>IF(RefiFlag=0,0,IF(340&lt;RefiMonth,0,IF(340=RefiMonth,PermLoan,IF(340&gt;DispoMonth,0,ME$30-MF$28))))</f>
        <v/>
      </c>
      <c r="MG30" s="218">
        <f>IF(RefiFlag=0,0,IF(341&lt;RefiMonth,0,IF(341=RefiMonth,PermLoan,IF(341&gt;DispoMonth,0,MF$30-MG$28))))</f>
        <v/>
      </c>
      <c r="MH30" s="218">
        <f>IF(RefiFlag=0,0,IF(342&lt;RefiMonth,0,IF(342=RefiMonth,PermLoan,IF(342&gt;DispoMonth,0,MG$30-MH$28))))</f>
        <v/>
      </c>
      <c r="MI30" s="218">
        <f>IF(RefiFlag=0,0,IF(343&lt;RefiMonth,0,IF(343=RefiMonth,PermLoan,IF(343&gt;DispoMonth,0,MH$30-MI$28))))</f>
        <v/>
      </c>
      <c r="MJ30" s="218">
        <f>IF(RefiFlag=0,0,IF(344&lt;RefiMonth,0,IF(344=RefiMonth,PermLoan,IF(344&gt;DispoMonth,0,MI$30-MJ$28))))</f>
        <v/>
      </c>
      <c r="MK30" s="218">
        <f>IF(RefiFlag=0,0,IF(345&lt;RefiMonth,0,IF(345=RefiMonth,PermLoan,IF(345&gt;DispoMonth,0,MJ$30-MK$28))))</f>
        <v/>
      </c>
      <c r="ML30" s="218">
        <f>IF(RefiFlag=0,0,IF(346&lt;RefiMonth,0,IF(346=RefiMonth,PermLoan,IF(346&gt;DispoMonth,0,MK$30-ML$28))))</f>
        <v/>
      </c>
      <c r="MM30" s="218">
        <f>IF(RefiFlag=0,0,IF(347&lt;RefiMonth,0,IF(347=RefiMonth,PermLoan,IF(347&gt;DispoMonth,0,ML$30-MM$28))))</f>
        <v/>
      </c>
      <c r="MN30" s="218">
        <f>IF(RefiFlag=0,0,IF(348&lt;RefiMonth,0,IF(348=RefiMonth,PermLoan,IF(348&gt;DispoMonth,0,MM$30-MN$28))))</f>
        <v/>
      </c>
      <c r="MO30" s="218">
        <f>IF(RefiFlag=0,0,IF(349&lt;RefiMonth,0,IF(349=RefiMonth,PermLoan,IF(349&gt;DispoMonth,0,MN$30-MO$28))))</f>
        <v/>
      </c>
      <c r="MP30" s="218">
        <f>IF(RefiFlag=0,0,IF(350&lt;RefiMonth,0,IF(350=RefiMonth,PermLoan,IF(350&gt;DispoMonth,0,MO$30-MP$28))))</f>
        <v/>
      </c>
      <c r="MQ30" s="218">
        <f>IF(RefiFlag=0,0,IF(351&lt;RefiMonth,0,IF(351=RefiMonth,PermLoan,IF(351&gt;DispoMonth,0,MP$30-MQ$28))))</f>
        <v/>
      </c>
      <c r="MR30" s="218">
        <f>IF(RefiFlag=0,0,IF(352&lt;RefiMonth,0,IF(352=RefiMonth,PermLoan,IF(352&gt;DispoMonth,0,MQ$30-MR$28))))</f>
        <v/>
      </c>
      <c r="MS30" s="218">
        <f>IF(RefiFlag=0,0,IF(353&lt;RefiMonth,0,IF(353=RefiMonth,PermLoan,IF(353&gt;DispoMonth,0,MR$30-MS$28))))</f>
        <v/>
      </c>
      <c r="MT30" s="218">
        <f>IF(RefiFlag=0,0,IF(354&lt;RefiMonth,0,IF(354=RefiMonth,PermLoan,IF(354&gt;DispoMonth,0,MS$30-MT$28))))</f>
        <v/>
      </c>
      <c r="MU30" s="218">
        <f>IF(RefiFlag=0,0,IF(355&lt;RefiMonth,0,IF(355=RefiMonth,PermLoan,IF(355&gt;DispoMonth,0,MT$30-MU$28))))</f>
        <v/>
      </c>
      <c r="MV30" s="218">
        <f>IF(RefiFlag=0,0,IF(356&lt;RefiMonth,0,IF(356=RefiMonth,PermLoan,IF(356&gt;DispoMonth,0,MU$30-MV$28))))</f>
        <v/>
      </c>
      <c r="MW30" s="218">
        <f>IF(RefiFlag=0,0,IF(357&lt;RefiMonth,0,IF(357=RefiMonth,PermLoan,IF(357&gt;DispoMonth,0,MV$30-MW$28))))</f>
        <v/>
      </c>
      <c r="MX30" s="218">
        <f>IF(RefiFlag=0,0,IF(358&lt;RefiMonth,0,IF(358=RefiMonth,PermLoan,IF(358&gt;DispoMonth,0,MW$30-MX$28))))</f>
        <v/>
      </c>
      <c r="MY30" s="218">
        <f>IF(RefiFlag=0,0,IF(359&lt;RefiMonth,0,IF(359=RefiMonth,PermLoan,IF(359&gt;DispoMonth,0,MX$30-MY$28))))</f>
        <v/>
      </c>
      <c r="MZ30" s="218">
        <f>IF(RefiFlag=0,0,IF(360&lt;RefiMonth,0,IF(360=RefiMonth,PermLoan,IF(360&gt;DispoMonth,0,MY$30-MZ$28))))</f>
        <v/>
      </c>
      <c r="NA30" s="218">
        <f>IF(RefiFlag=0,0,IF(361&lt;RefiMonth,0,IF(361=RefiMonth,PermLoan,IF(361&gt;DispoMonth,0,MZ$30-NA$28))))</f>
        <v/>
      </c>
      <c r="NB30" s="218">
        <f>IF(RefiFlag=0,0,IF(362&lt;RefiMonth,0,IF(362=RefiMonth,PermLoan,IF(362&gt;DispoMonth,0,NA$30-NB$28))))</f>
        <v/>
      </c>
      <c r="NC30" s="218">
        <f>IF(RefiFlag=0,0,IF(363&lt;RefiMonth,0,IF(363=RefiMonth,PermLoan,IF(363&gt;DispoMonth,0,NB$30-NC$28))))</f>
        <v/>
      </c>
      <c r="ND30" s="218">
        <f>IF(RefiFlag=0,0,IF(364&lt;RefiMonth,0,IF(364=RefiMonth,PermLoan,IF(364&gt;DispoMonth,0,NC$30-ND$28))))</f>
        <v/>
      </c>
      <c r="NE30" s="218">
        <f>IF(RefiFlag=0,0,IF(365&lt;RefiMonth,0,IF(365=RefiMonth,PermLoan,IF(365&gt;DispoMonth,0,ND$30-NE$28))))</f>
        <v/>
      </c>
      <c r="NF30" s="218">
        <f>IF(RefiFlag=0,0,IF(366&lt;RefiMonth,0,IF(366=RefiMonth,PermLoan,IF(366&gt;DispoMonth,0,NE$30-NF$28))))</f>
        <v/>
      </c>
      <c r="NG30" s="218">
        <f>IF(RefiFlag=0,0,IF(367&lt;RefiMonth,0,IF(367=RefiMonth,PermLoan,IF(367&gt;DispoMonth,0,NF$30-NG$28))))</f>
        <v/>
      </c>
      <c r="NH30" s="218">
        <f>IF(RefiFlag=0,0,IF(368&lt;RefiMonth,0,IF(368=RefiMonth,PermLoan,IF(368&gt;DispoMonth,0,NG$30-NH$28))))</f>
        <v/>
      </c>
      <c r="NI30" s="218">
        <f>IF(RefiFlag=0,0,IF(369&lt;RefiMonth,0,IF(369=RefiMonth,PermLoan,IF(369&gt;DispoMonth,0,NH$30-NI$28))))</f>
        <v/>
      </c>
      <c r="NJ30" s="218">
        <f>IF(RefiFlag=0,0,IF(370&lt;RefiMonth,0,IF(370=RefiMonth,PermLoan,IF(370&gt;DispoMonth,0,NI$30-NJ$28))))</f>
        <v/>
      </c>
      <c r="NK30" s="218">
        <f>IF(RefiFlag=0,0,IF(371&lt;RefiMonth,0,IF(371=RefiMonth,PermLoan,IF(371&gt;DispoMonth,0,NJ$30-NK$28))))</f>
        <v/>
      </c>
      <c r="NL30" s="218">
        <f>IF(RefiFlag=0,0,IF(372&lt;RefiMonth,0,IF(372=RefiMonth,PermLoan,IF(372&gt;DispoMonth,0,NK$30-NL$28))))</f>
        <v/>
      </c>
    </row>
    <row r="31">
      <c r="B31" s="52" t="n"/>
      <c r="D31" s="53" t="n"/>
    </row>
    <row r="32">
      <c r="B32" s="36" t="inlineStr">
        <is>
          <t>Permanent Loan Payoff at Disposition</t>
        </is>
      </c>
      <c r="C32" s="262">
        <f>RefiFlag*INDEX(E30:NL30,DispoMonth)</f>
        <v/>
      </c>
      <c r="D32" s="53" t="n"/>
    </row>
    <row r="33">
      <c r="B33" s="40" t="inlineStr">
        <is>
          <t>Refi sources − uses (must reconcile)</t>
        </is>
      </c>
      <c r="C33" s="263">
        <f>RefiFlag*(PermLoan-PermPoints-RefiCashOut-ConPayoffBal)</f>
        <v/>
      </c>
      <c r="D33" s="66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7F7F7F"/>
    <outlinePr summaryBelow="1" summaryRight="1"/>
    <pageSetUpPr/>
  </sheetPr>
  <dimension ref="B1:NL41"/>
  <sheetViews>
    <sheetView showGridLines="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style="97" min="1" max="1"/>
    <col width="36" customWidth="1" style="97" min="2" max="2"/>
    <col width="2" customWidth="1" style="97" min="3" max="3"/>
    <col width="15" customWidth="1" style="97" min="4" max="4"/>
    <col width="12" customWidth="1" style="97" min="5" max="5"/>
    <col outlineLevel="1" width="12" customWidth="1" style="97" min="6" max="16"/>
    <col width="12" customWidth="1" style="97" min="17" max="17"/>
    <col outlineLevel="1" width="12" customWidth="1" style="97" min="18" max="28"/>
    <col width="12" customWidth="1" style="97" min="29" max="29"/>
    <col outlineLevel="1" width="12" customWidth="1" style="97" min="30" max="40"/>
    <col width="12" customWidth="1" style="97" min="41" max="41"/>
    <col outlineLevel="1" width="12" customWidth="1" style="97" min="42" max="52"/>
    <col width="12" customWidth="1" style="97" min="53" max="53"/>
    <col outlineLevel="1" width="12" customWidth="1" style="97" min="54" max="64"/>
    <col width="12" customWidth="1" style="97" min="65" max="65"/>
    <col outlineLevel="1" width="12" customWidth="1" style="97" min="66" max="76"/>
    <col width="12" customWidth="1" style="97" min="77" max="77"/>
    <col outlineLevel="1" width="12" customWidth="1" style="97" min="78" max="88"/>
    <col width="12" customWidth="1" style="97" min="89" max="89"/>
    <col outlineLevel="1" width="12" customWidth="1" style="97" min="90" max="100"/>
    <col width="12" customWidth="1" style="97" min="101" max="101"/>
    <col outlineLevel="1" width="12" customWidth="1" style="97" min="102" max="112"/>
    <col width="12" customWidth="1" style="97" min="113" max="113"/>
    <col outlineLevel="1" width="12" customWidth="1" style="97" min="114" max="124"/>
    <col width="12" customWidth="1" style="97" min="125" max="125"/>
    <col outlineLevel="1" width="12" customWidth="1" style="97" min="126" max="136"/>
    <col width="12" customWidth="1" style="97" min="137" max="137"/>
    <col outlineLevel="1" width="12" customWidth="1" style="97" min="138" max="148"/>
    <col width="12" customWidth="1" style="97" min="149" max="149"/>
    <col outlineLevel="1" width="12" customWidth="1" style="97" min="150" max="160"/>
    <col width="12" customWidth="1" style="97" min="161" max="161"/>
    <col outlineLevel="1" width="12" customWidth="1" style="97" min="162" max="172"/>
    <col width="12" customWidth="1" style="97" min="173" max="173"/>
    <col outlineLevel="1" width="12" customWidth="1" style="97" min="174" max="184"/>
    <col width="12" customWidth="1" style="97" min="185" max="185"/>
    <col outlineLevel="1" width="12" customWidth="1" style="97" min="186" max="196"/>
    <col width="12" customWidth="1" style="97" min="197" max="197"/>
    <col outlineLevel="1" width="12" customWidth="1" style="97" min="198" max="208"/>
    <col width="12" customWidth="1" style="97" min="209" max="209"/>
    <col outlineLevel="1" width="12" customWidth="1" style="97" min="210" max="220"/>
    <col width="12" customWidth="1" style="97" min="221" max="221"/>
    <col outlineLevel="1" width="12" customWidth="1" style="97" min="222" max="232"/>
    <col width="12" customWidth="1" style="97" min="233" max="233"/>
    <col outlineLevel="1" width="12" customWidth="1" style="97" min="234" max="244"/>
    <col width="12" customWidth="1" style="97" min="245" max="245"/>
    <col outlineLevel="1" width="12" customWidth="1" style="97" min="246" max="256"/>
    <col width="12" customWidth="1" style="97" min="257" max="257"/>
    <col outlineLevel="1" width="12" customWidth="1" style="97" min="258" max="268"/>
    <col width="12" customWidth="1" style="97" min="269" max="269"/>
    <col outlineLevel="1" width="12" customWidth="1" style="97" min="270" max="280"/>
    <col width="12" customWidth="1" style="97" min="281" max="281"/>
    <col outlineLevel="1" width="12" customWidth="1" style="97" min="282" max="292"/>
    <col width="12" customWidth="1" style="97" min="293" max="293"/>
    <col outlineLevel="1" width="12" customWidth="1" style="97" min="294" max="304"/>
    <col width="12" customWidth="1" style="97" min="305" max="305"/>
    <col outlineLevel="1" width="12" customWidth="1" style="97" min="306" max="316"/>
    <col width="12" customWidth="1" style="97" min="317" max="317"/>
    <col outlineLevel="1" width="12" customWidth="1" style="97" min="318" max="328"/>
    <col width="12" customWidth="1" style="97" min="329" max="329"/>
    <col outlineLevel="1" width="12" customWidth="1" style="97" min="330" max="340"/>
    <col width="12" customWidth="1" style="97" min="341" max="341"/>
    <col outlineLevel="1" width="12" customWidth="1" style="97" min="342" max="352"/>
    <col width="12" customWidth="1" style="97" min="353" max="353"/>
    <col outlineLevel="1" width="12" customWidth="1" style="97" min="354" max="364"/>
    <col width="12" customWidth="1" style="97" min="365" max="365"/>
    <col outlineLevel="1" width="12" customWidth="1" style="97" min="366" max="376"/>
  </cols>
  <sheetData>
    <row r="1">
      <c r="B1" s="405" t="inlineStr">
        <is>
          <t>Monthly Cash Flow — Consolidated</t>
        </is>
      </c>
    </row>
    <row r="2">
      <c r="B2" s="188">
        <f>"All flows by month  •  "&amp;PropertyName&amp;"  •  hold "&amp;HoldPeriodMonths&amp;" months"</f>
        <v/>
      </c>
    </row>
    <row r="3">
      <c r="B3" s="319" t="inlineStr">
        <is>
          <t>Period →</t>
        </is>
      </c>
      <c r="D3" s="196" t="inlineStr">
        <is>
          <t>Total</t>
        </is>
      </c>
      <c r="E3" s="332" t="n">
        <v>1</v>
      </c>
      <c r="F3" s="332" t="n">
        <v>2</v>
      </c>
      <c r="G3" s="332" t="n">
        <v>3</v>
      </c>
      <c r="H3" s="332" t="n">
        <v>4</v>
      </c>
      <c r="I3" s="332" t="n">
        <v>5</v>
      </c>
      <c r="J3" s="332" t="n">
        <v>6</v>
      </c>
      <c r="K3" s="332" t="n">
        <v>7</v>
      </c>
      <c r="L3" s="332" t="n">
        <v>8</v>
      </c>
      <c r="M3" s="332" t="n">
        <v>9</v>
      </c>
      <c r="N3" s="332" t="n">
        <v>10</v>
      </c>
      <c r="O3" s="332" t="n">
        <v>11</v>
      </c>
      <c r="P3" s="332" t="n">
        <v>12</v>
      </c>
      <c r="Q3" s="332" t="n">
        <v>13</v>
      </c>
      <c r="R3" s="332" t="n">
        <v>14</v>
      </c>
      <c r="S3" s="332" t="n">
        <v>15</v>
      </c>
      <c r="T3" s="332" t="n">
        <v>16</v>
      </c>
      <c r="U3" s="332" t="n">
        <v>17</v>
      </c>
      <c r="V3" s="332" t="n">
        <v>18</v>
      </c>
      <c r="W3" s="332" t="n">
        <v>19</v>
      </c>
      <c r="X3" s="332" t="n">
        <v>20</v>
      </c>
      <c r="Y3" s="332" t="n">
        <v>21</v>
      </c>
      <c r="Z3" s="332" t="n">
        <v>22</v>
      </c>
      <c r="AA3" s="332" t="n">
        <v>23</v>
      </c>
      <c r="AB3" s="332" t="n">
        <v>24</v>
      </c>
      <c r="AC3" s="332" t="n">
        <v>25</v>
      </c>
      <c r="AD3" s="332" t="n">
        <v>26</v>
      </c>
      <c r="AE3" s="332" t="n">
        <v>27</v>
      </c>
      <c r="AF3" s="332" t="n">
        <v>28</v>
      </c>
      <c r="AG3" s="332" t="n">
        <v>29</v>
      </c>
      <c r="AH3" s="332" t="n">
        <v>30</v>
      </c>
      <c r="AI3" s="332" t="n">
        <v>31</v>
      </c>
      <c r="AJ3" s="332" t="n">
        <v>32</v>
      </c>
      <c r="AK3" s="332" t="n">
        <v>33</v>
      </c>
      <c r="AL3" s="332" t="n">
        <v>34</v>
      </c>
      <c r="AM3" s="332" t="n">
        <v>35</v>
      </c>
      <c r="AN3" s="332" t="n">
        <v>36</v>
      </c>
      <c r="AO3" s="332" t="n">
        <v>37</v>
      </c>
      <c r="AP3" s="332" t="n">
        <v>38</v>
      </c>
      <c r="AQ3" s="332" t="n">
        <v>39</v>
      </c>
      <c r="AR3" s="332" t="n">
        <v>40</v>
      </c>
      <c r="AS3" s="332" t="n">
        <v>41</v>
      </c>
      <c r="AT3" s="332" t="n">
        <v>42</v>
      </c>
      <c r="AU3" s="332" t="n">
        <v>43</v>
      </c>
      <c r="AV3" s="332" t="n">
        <v>44</v>
      </c>
      <c r="AW3" s="332" t="n">
        <v>45</v>
      </c>
      <c r="AX3" s="332" t="n">
        <v>46</v>
      </c>
      <c r="AY3" s="332" t="n">
        <v>47</v>
      </c>
      <c r="AZ3" s="332" t="n">
        <v>48</v>
      </c>
      <c r="BA3" s="332" t="n">
        <v>49</v>
      </c>
      <c r="BB3" s="332" t="n">
        <v>50</v>
      </c>
      <c r="BC3" s="332" t="n">
        <v>51</v>
      </c>
      <c r="BD3" s="332" t="n">
        <v>52</v>
      </c>
      <c r="BE3" s="332" t="n">
        <v>53</v>
      </c>
      <c r="BF3" s="332" t="n">
        <v>54</v>
      </c>
      <c r="BG3" s="332" t="n">
        <v>55</v>
      </c>
      <c r="BH3" s="332" t="n">
        <v>56</v>
      </c>
      <c r="BI3" s="332" t="n">
        <v>57</v>
      </c>
      <c r="BJ3" s="332" t="n">
        <v>58</v>
      </c>
      <c r="BK3" s="332" t="n">
        <v>59</v>
      </c>
      <c r="BL3" s="332" t="n">
        <v>60</v>
      </c>
      <c r="BM3" s="332" t="n">
        <v>61</v>
      </c>
      <c r="BN3" s="332" t="n">
        <v>62</v>
      </c>
      <c r="BO3" s="332" t="n">
        <v>63</v>
      </c>
      <c r="BP3" s="332" t="n">
        <v>64</v>
      </c>
      <c r="BQ3" s="332" t="n">
        <v>65</v>
      </c>
      <c r="BR3" s="332" t="n">
        <v>66</v>
      </c>
      <c r="BS3" s="332" t="n">
        <v>67</v>
      </c>
      <c r="BT3" s="332" t="n">
        <v>68</v>
      </c>
      <c r="BU3" s="332" t="n">
        <v>69</v>
      </c>
      <c r="BV3" s="332" t="n">
        <v>70</v>
      </c>
      <c r="BW3" s="332" t="n">
        <v>71</v>
      </c>
      <c r="BX3" s="332" t="n">
        <v>72</v>
      </c>
      <c r="BY3" s="332" t="n">
        <v>73</v>
      </c>
      <c r="BZ3" s="332" t="n">
        <v>74</v>
      </c>
      <c r="CA3" s="332" t="n">
        <v>75</v>
      </c>
      <c r="CB3" s="332" t="n">
        <v>76</v>
      </c>
      <c r="CC3" s="332" t="n">
        <v>77</v>
      </c>
      <c r="CD3" s="332" t="n">
        <v>78</v>
      </c>
      <c r="CE3" s="332" t="n">
        <v>79</v>
      </c>
      <c r="CF3" s="332" t="n">
        <v>80</v>
      </c>
      <c r="CG3" s="332" t="n">
        <v>81</v>
      </c>
      <c r="CH3" s="332" t="n">
        <v>82</v>
      </c>
      <c r="CI3" s="332" t="n">
        <v>83</v>
      </c>
      <c r="CJ3" s="332" t="n">
        <v>84</v>
      </c>
      <c r="CK3" s="332" t="n">
        <v>85</v>
      </c>
      <c r="CL3" s="332" t="n">
        <v>86</v>
      </c>
      <c r="CM3" s="332" t="n">
        <v>87</v>
      </c>
      <c r="CN3" s="332" t="n">
        <v>88</v>
      </c>
      <c r="CO3" s="332" t="n">
        <v>89</v>
      </c>
      <c r="CP3" s="332" t="n">
        <v>90</v>
      </c>
      <c r="CQ3" s="332" t="n">
        <v>91</v>
      </c>
      <c r="CR3" s="332" t="n">
        <v>92</v>
      </c>
      <c r="CS3" s="332" t="n">
        <v>93</v>
      </c>
      <c r="CT3" s="332" t="n">
        <v>94</v>
      </c>
      <c r="CU3" s="332" t="n">
        <v>95</v>
      </c>
      <c r="CV3" s="332" t="n">
        <v>96</v>
      </c>
      <c r="CW3" s="332" t="n">
        <v>97</v>
      </c>
      <c r="CX3" s="332" t="n">
        <v>98</v>
      </c>
      <c r="CY3" s="332" t="n">
        <v>99</v>
      </c>
      <c r="CZ3" s="332" t="n">
        <v>100</v>
      </c>
      <c r="DA3" s="332" t="n">
        <v>101</v>
      </c>
      <c r="DB3" s="332" t="n">
        <v>102</v>
      </c>
      <c r="DC3" s="332" t="n">
        <v>103</v>
      </c>
      <c r="DD3" s="332" t="n">
        <v>104</v>
      </c>
      <c r="DE3" s="332" t="n">
        <v>105</v>
      </c>
      <c r="DF3" s="332" t="n">
        <v>106</v>
      </c>
      <c r="DG3" s="332" t="n">
        <v>107</v>
      </c>
      <c r="DH3" s="332" t="n">
        <v>108</v>
      </c>
      <c r="DI3" s="332" t="n">
        <v>109</v>
      </c>
      <c r="DJ3" s="332" t="n">
        <v>110</v>
      </c>
      <c r="DK3" s="332" t="n">
        <v>111</v>
      </c>
      <c r="DL3" s="332" t="n">
        <v>112</v>
      </c>
      <c r="DM3" s="332" t="n">
        <v>113</v>
      </c>
      <c r="DN3" s="332" t="n">
        <v>114</v>
      </c>
      <c r="DO3" s="332" t="n">
        <v>115</v>
      </c>
      <c r="DP3" s="332" t="n">
        <v>116</v>
      </c>
      <c r="DQ3" s="332" t="n">
        <v>117</v>
      </c>
      <c r="DR3" s="332" t="n">
        <v>118</v>
      </c>
      <c r="DS3" s="332" t="n">
        <v>119</v>
      </c>
      <c r="DT3" s="332" t="n">
        <v>120</v>
      </c>
      <c r="DU3" s="332" t="n">
        <v>121</v>
      </c>
      <c r="DV3" s="332" t="n">
        <v>122</v>
      </c>
      <c r="DW3" s="332" t="n">
        <v>123</v>
      </c>
      <c r="DX3" s="332" t="n">
        <v>124</v>
      </c>
      <c r="DY3" s="332" t="n">
        <v>125</v>
      </c>
      <c r="DZ3" s="332" t="n">
        <v>126</v>
      </c>
      <c r="EA3" s="332" t="n">
        <v>127</v>
      </c>
      <c r="EB3" s="332" t="n">
        <v>128</v>
      </c>
      <c r="EC3" s="332" t="n">
        <v>129</v>
      </c>
      <c r="ED3" s="332" t="n">
        <v>130</v>
      </c>
      <c r="EE3" s="332" t="n">
        <v>131</v>
      </c>
      <c r="EF3" s="332" t="n">
        <v>132</v>
      </c>
      <c r="EG3" s="332" t="n">
        <v>133</v>
      </c>
      <c r="EH3" s="332" t="n">
        <v>134</v>
      </c>
      <c r="EI3" s="332" t="n">
        <v>135</v>
      </c>
      <c r="EJ3" s="332" t="n">
        <v>136</v>
      </c>
      <c r="EK3" s="332" t="n">
        <v>137</v>
      </c>
      <c r="EL3" s="332" t="n">
        <v>138</v>
      </c>
      <c r="EM3" s="332" t="n">
        <v>139</v>
      </c>
      <c r="EN3" s="332" t="n">
        <v>140</v>
      </c>
      <c r="EO3" s="332" t="n">
        <v>141</v>
      </c>
      <c r="EP3" s="332" t="n">
        <v>142</v>
      </c>
      <c r="EQ3" s="332" t="n">
        <v>143</v>
      </c>
      <c r="ER3" s="332" t="n">
        <v>144</v>
      </c>
      <c r="ES3" s="332" t="n">
        <v>145</v>
      </c>
      <c r="ET3" s="332" t="n">
        <v>146</v>
      </c>
      <c r="EU3" s="332" t="n">
        <v>147</v>
      </c>
      <c r="EV3" s="332" t="n">
        <v>148</v>
      </c>
      <c r="EW3" s="332" t="n">
        <v>149</v>
      </c>
      <c r="EX3" s="332" t="n">
        <v>150</v>
      </c>
      <c r="EY3" s="332" t="n">
        <v>151</v>
      </c>
      <c r="EZ3" s="332" t="n">
        <v>152</v>
      </c>
      <c r="FA3" s="332" t="n">
        <v>153</v>
      </c>
      <c r="FB3" s="332" t="n">
        <v>154</v>
      </c>
      <c r="FC3" s="332" t="n">
        <v>155</v>
      </c>
      <c r="FD3" s="332" t="n">
        <v>156</v>
      </c>
      <c r="FE3" s="332" t="n">
        <v>157</v>
      </c>
      <c r="FF3" s="332" t="n">
        <v>158</v>
      </c>
      <c r="FG3" s="332" t="n">
        <v>159</v>
      </c>
      <c r="FH3" s="332" t="n">
        <v>160</v>
      </c>
      <c r="FI3" s="332" t="n">
        <v>161</v>
      </c>
      <c r="FJ3" s="332" t="n">
        <v>162</v>
      </c>
      <c r="FK3" s="332" t="n">
        <v>163</v>
      </c>
      <c r="FL3" s="332" t="n">
        <v>164</v>
      </c>
      <c r="FM3" s="332" t="n">
        <v>165</v>
      </c>
      <c r="FN3" s="332" t="n">
        <v>166</v>
      </c>
      <c r="FO3" s="332" t="n">
        <v>167</v>
      </c>
      <c r="FP3" s="332" t="n">
        <v>168</v>
      </c>
      <c r="FQ3" s="332" t="n">
        <v>169</v>
      </c>
      <c r="FR3" s="332" t="n">
        <v>170</v>
      </c>
      <c r="FS3" s="332" t="n">
        <v>171</v>
      </c>
      <c r="FT3" s="332" t="n">
        <v>172</v>
      </c>
      <c r="FU3" s="332" t="n">
        <v>173</v>
      </c>
      <c r="FV3" s="332" t="n">
        <v>174</v>
      </c>
      <c r="FW3" s="332" t="n">
        <v>175</v>
      </c>
      <c r="FX3" s="332" t="n">
        <v>176</v>
      </c>
      <c r="FY3" s="332" t="n">
        <v>177</v>
      </c>
      <c r="FZ3" s="332" t="n">
        <v>178</v>
      </c>
      <c r="GA3" s="332" t="n">
        <v>179</v>
      </c>
      <c r="GB3" s="332" t="n">
        <v>180</v>
      </c>
      <c r="GC3" s="332" t="n">
        <v>181</v>
      </c>
      <c r="GD3" s="332" t="n">
        <v>182</v>
      </c>
      <c r="GE3" s="332" t="n">
        <v>183</v>
      </c>
      <c r="GF3" s="332" t="n">
        <v>184</v>
      </c>
      <c r="GG3" s="332" t="n">
        <v>185</v>
      </c>
      <c r="GH3" s="332" t="n">
        <v>186</v>
      </c>
      <c r="GI3" s="332" t="n">
        <v>187</v>
      </c>
      <c r="GJ3" s="332" t="n">
        <v>188</v>
      </c>
      <c r="GK3" s="332" t="n">
        <v>189</v>
      </c>
      <c r="GL3" s="332" t="n">
        <v>190</v>
      </c>
      <c r="GM3" s="332" t="n">
        <v>191</v>
      </c>
      <c r="GN3" s="332" t="n">
        <v>192</v>
      </c>
      <c r="GO3" s="332" t="n">
        <v>193</v>
      </c>
      <c r="GP3" s="332" t="n">
        <v>194</v>
      </c>
      <c r="GQ3" s="332" t="n">
        <v>195</v>
      </c>
      <c r="GR3" s="332" t="n">
        <v>196</v>
      </c>
      <c r="GS3" s="332" t="n">
        <v>197</v>
      </c>
      <c r="GT3" s="332" t="n">
        <v>198</v>
      </c>
      <c r="GU3" s="332" t="n">
        <v>199</v>
      </c>
      <c r="GV3" s="332" t="n">
        <v>200</v>
      </c>
      <c r="GW3" s="332" t="n">
        <v>201</v>
      </c>
      <c r="GX3" s="332" t="n">
        <v>202</v>
      </c>
      <c r="GY3" s="332" t="n">
        <v>203</v>
      </c>
      <c r="GZ3" s="332" t="n">
        <v>204</v>
      </c>
      <c r="HA3" s="332" t="n">
        <v>205</v>
      </c>
      <c r="HB3" s="332" t="n">
        <v>206</v>
      </c>
      <c r="HC3" s="332" t="n">
        <v>207</v>
      </c>
      <c r="HD3" s="332" t="n">
        <v>208</v>
      </c>
      <c r="HE3" s="332" t="n">
        <v>209</v>
      </c>
      <c r="HF3" s="332" t="n">
        <v>210</v>
      </c>
      <c r="HG3" s="332" t="n">
        <v>211</v>
      </c>
      <c r="HH3" s="332" t="n">
        <v>212</v>
      </c>
      <c r="HI3" s="332" t="n">
        <v>213</v>
      </c>
      <c r="HJ3" s="332" t="n">
        <v>214</v>
      </c>
      <c r="HK3" s="332" t="n">
        <v>215</v>
      </c>
      <c r="HL3" s="332" t="n">
        <v>216</v>
      </c>
      <c r="HM3" s="332" t="n">
        <v>217</v>
      </c>
      <c r="HN3" s="332" t="n">
        <v>218</v>
      </c>
      <c r="HO3" s="332" t="n">
        <v>219</v>
      </c>
      <c r="HP3" s="332" t="n">
        <v>220</v>
      </c>
      <c r="HQ3" s="332" t="n">
        <v>221</v>
      </c>
      <c r="HR3" s="332" t="n">
        <v>222</v>
      </c>
      <c r="HS3" s="332" t="n">
        <v>223</v>
      </c>
      <c r="HT3" s="332" t="n">
        <v>224</v>
      </c>
      <c r="HU3" s="332" t="n">
        <v>225</v>
      </c>
      <c r="HV3" s="332" t="n">
        <v>226</v>
      </c>
      <c r="HW3" s="332" t="n">
        <v>227</v>
      </c>
      <c r="HX3" s="332" t="n">
        <v>228</v>
      </c>
      <c r="HY3" s="332" t="n">
        <v>229</v>
      </c>
      <c r="HZ3" s="332" t="n">
        <v>230</v>
      </c>
      <c r="IA3" s="332" t="n">
        <v>231</v>
      </c>
      <c r="IB3" s="332" t="n">
        <v>232</v>
      </c>
      <c r="IC3" s="332" t="n">
        <v>233</v>
      </c>
      <c r="ID3" s="332" t="n">
        <v>234</v>
      </c>
      <c r="IE3" s="332" t="n">
        <v>235</v>
      </c>
      <c r="IF3" s="332" t="n">
        <v>236</v>
      </c>
      <c r="IG3" s="332" t="n">
        <v>237</v>
      </c>
      <c r="IH3" s="332" t="n">
        <v>238</v>
      </c>
      <c r="II3" s="332" t="n">
        <v>239</v>
      </c>
      <c r="IJ3" s="332" t="n">
        <v>240</v>
      </c>
      <c r="IK3" s="332" t="n">
        <v>241</v>
      </c>
      <c r="IL3" s="332" t="n">
        <v>242</v>
      </c>
      <c r="IM3" s="332" t="n">
        <v>243</v>
      </c>
      <c r="IN3" s="332" t="n">
        <v>244</v>
      </c>
      <c r="IO3" s="332" t="n">
        <v>245</v>
      </c>
      <c r="IP3" s="332" t="n">
        <v>246</v>
      </c>
      <c r="IQ3" s="332" t="n">
        <v>247</v>
      </c>
      <c r="IR3" s="332" t="n">
        <v>248</v>
      </c>
      <c r="IS3" s="332" t="n">
        <v>249</v>
      </c>
      <c r="IT3" s="332" t="n">
        <v>250</v>
      </c>
      <c r="IU3" s="332" t="n">
        <v>251</v>
      </c>
      <c r="IV3" s="332" t="n">
        <v>252</v>
      </c>
      <c r="IW3" s="332" t="n">
        <v>253</v>
      </c>
      <c r="IX3" s="332" t="n">
        <v>254</v>
      </c>
      <c r="IY3" s="332" t="n">
        <v>255</v>
      </c>
      <c r="IZ3" s="332" t="n">
        <v>256</v>
      </c>
      <c r="JA3" s="332" t="n">
        <v>257</v>
      </c>
      <c r="JB3" s="332" t="n">
        <v>258</v>
      </c>
      <c r="JC3" s="332" t="n">
        <v>259</v>
      </c>
      <c r="JD3" s="332" t="n">
        <v>260</v>
      </c>
      <c r="JE3" s="332" t="n">
        <v>261</v>
      </c>
      <c r="JF3" s="332" t="n">
        <v>262</v>
      </c>
      <c r="JG3" s="332" t="n">
        <v>263</v>
      </c>
      <c r="JH3" s="332" t="n">
        <v>264</v>
      </c>
      <c r="JI3" s="332" t="n">
        <v>265</v>
      </c>
      <c r="JJ3" s="332" t="n">
        <v>266</v>
      </c>
      <c r="JK3" s="332" t="n">
        <v>267</v>
      </c>
      <c r="JL3" s="332" t="n">
        <v>268</v>
      </c>
      <c r="JM3" s="332" t="n">
        <v>269</v>
      </c>
      <c r="JN3" s="332" t="n">
        <v>270</v>
      </c>
      <c r="JO3" s="332" t="n">
        <v>271</v>
      </c>
      <c r="JP3" s="332" t="n">
        <v>272</v>
      </c>
      <c r="JQ3" s="332" t="n">
        <v>273</v>
      </c>
      <c r="JR3" s="332" t="n">
        <v>274</v>
      </c>
      <c r="JS3" s="332" t="n">
        <v>275</v>
      </c>
      <c r="JT3" s="332" t="n">
        <v>276</v>
      </c>
      <c r="JU3" s="332" t="n">
        <v>277</v>
      </c>
      <c r="JV3" s="332" t="n">
        <v>278</v>
      </c>
      <c r="JW3" s="332" t="n">
        <v>279</v>
      </c>
      <c r="JX3" s="332" t="n">
        <v>280</v>
      </c>
      <c r="JY3" s="332" t="n">
        <v>281</v>
      </c>
      <c r="JZ3" s="332" t="n">
        <v>282</v>
      </c>
      <c r="KA3" s="332" t="n">
        <v>283</v>
      </c>
      <c r="KB3" s="332" t="n">
        <v>284</v>
      </c>
      <c r="KC3" s="332" t="n">
        <v>285</v>
      </c>
      <c r="KD3" s="332" t="n">
        <v>286</v>
      </c>
      <c r="KE3" s="332" t="n">
        <v>287</v>
      </c>
      <c r="KF3" s="332" t="n">
        <v>288</v>
      </c>
      <c r="KG3" s="332" t="n">
        <v>289</v>
      </c>
      <c r="KH3" s="332" t="n">
        <v>290</v>
      </c>
      <c r="KI3" s="332" t="n">
        <v>291</v>
      </c>
      <c r="KJ3" s="332" t="n">
        <v>292</v>
      </c>
      <c r="KK3" s="332" t="n">
        <v>293</v>
      </c>
      <c r="KL3" s="332" t="n">
        <v>294</v>
      </c>
      <c r="KM3" s="332" t="n">
        <v>295</v>
      </c>
      <c r="KN3" s="332" t="n">
        <v>296</v>
      </c>
      <c r="KO3" s="332" t="n">
        <v>297</v>
      </c>
      <c r="KP3" s="332" t="n">
        <v>298</v>
      </c>
      <c r="KQ3" s="332" t="n">
        <v>299</v>
      </c>
      <c r="KR3" s="332" t="n">
        <v>300</v>
      </c>
      <c r="KS3" s="332" t="n">
        <v>301</v>
      </c>
      <c r="KT3" s="332" t="n">
        <v>302</v>
      </c>
      <c r="KU3" s="332" t="n">
        <v>303</v>
      </c>
      <c r="KV3" s="332" t="n">
        <v>304</v>
      </c>
      <c r="KW3" s="332" t="n">
        <v>305</v>
      </c>
      <c r="KX3" s="332" t="n">
        <v>306</v>
      </c>
      <c r="KY3" s="332" t="n">
        <v>307</v>
      </c>
      <c r="KZ3" s="332" t="n">
        <v>308</v>
      </c>
      <c r="LA3" s="332" t="n">
        <v>309</v>
      </c>
      <c r="LB3" s="332" t="n">
        <v>310</v>
      </c>
      <c r="LC3" s="332" t="n">
        <v>311</v>
      </c>
      <c r="LD3" s="332" t="n">
        <v>312</v>
      </c>
      <c r="LE3" s="332" t="n">
        <v>313</v>
      </c>
      <c r="LF3" s="332" t="n">
        <v>314</v>
      </c>
      <c r="LG3" s="332" t="n">
        <v>315</v>
      </c>
      <c r="LH3" s="332" t="n">
        <v>316</v>
      </c>
      <c r="LI3" s="332" t="n">
        <v>317</v>
      </c>
      <c r="LJ3" s="332" t="n">
        <v>318</v>
      </c>
      <c r="LK3" s="332" t="n">
        <v>319</v>
      </c>
      <c r="LL3" s="332" t="n">
        <v>320</v>
      </c>
      <c r="LM3" s="332" t="n">
        <v>321</v>
      </c>
      <c r="LN3" s="332" t="n">
        <v>322</v>
      </c>
      <c r="LO3" s="332" t="n">
        <v>323</v>
      </c>
      <c r="LP3" s="332" t="n">
        <v>324</v>
      </c>
      <c r="LQ3" s="332" t="n">
        <v>325</v>
      </c>
      <c r="LR3" s="332" t="n">
        <v>326</v>
      </c>
      <c r="LS3" s="332" t="n">
        <v>327</v>
      </c>
      <c r="LT3" s="332" t="n">
        <v>328</v>
      </c>
      <c r="LU3" s="332" t="n">
        <v>329</v>
      </c>
      <c r="LV3" s="332" t="n">
        <v>330</v>
      </c>
      <c r="LW3" s="332" t="n">
        <v>331</v>
      </c>
      <c r="LX3" s="332" t="n">
        <v>332</v>
      </c>
      <c r="LY3" s="332" t="n">
        <v>333</v>
      </c>
      <c r="LZ3" s="332" t="n">
        <v>334</v>
      </c>
      <c r="MA3" s="332" t="n">
        <v>335</v>
      </c>
      <c r="MB3" s="332" t="n">
        <v>336</v>
      </c>
      <c r="MC3" s="332" t="n">
        <v>337</v>
      </c>
      <c r="MD3" s="332" t="n">
        <v>338</v>
      </c>
      <c r="ME3" s="332" t="n">
        <v>339</v>
      </c>
      <c r="MF3" s="332" t="n">
        <v>340</v>
      </c>
      <c r="MG3" s="332" t="n">
        <v>341</v>
      </c>
      <c r="MH3" s="332" t="n">
        <v>342</v>
      </c>
      <c r="MI3" s="332" t="n">
        <v>343</v>
      </c>
      <c r="MJ3" s="332" t="n">
        <v>344</v>
      </c>
      <c r="MK3" s="332" t="n">
        <v>345</v>
      </c>
      <c r="ML3" s="332" t="n">
        <v>346</v>
      </c>
      <c r="MM3" s="332" t="n">
        <v>347</v>
      </c>
      <c r="MN3" s="332" t="n">
        <v>348</v>
      </c>
      <c r="MO3" s="332" t="n">
        <v>349</v>
      </c>
      <c r="MP3" s="332" t="n">
        <v>350</v>
      </c>
      <c r="MQ3" s="332" t="n">
        <v>351</v>
      </c>
      <c r="MR3" s="332" t="n">
        <v>352</v>
      </c>
      <c r="MS3" s="332" t="n">
        <v>353</v>
      </c>
      <c r="MT3" s="332" t="n">
        <v>354</v>
      </c>
      <c r="MU3" s="332" t="n">
        <v>355</v>
      </c>
      <c r="MV3" s="332" t="n">
        <v>356</v>
      </c>
      <c r="MW3" s="332" t="n">
        <v>357</v>
      </c>
      <c r="MX3" s="332" t="n">
        <v>358</v>
      </c>
      <c r="MY3" s="332" t="n">
        <v>359</v>
      </c>
      <c r="MZ3" s="332" t="n">
        <v>360</v>
      </c>
      <c r="NA3" s="332" t="n">
        <v>361</v>
      </c>
      <c r="NB3" s="332" t="n">
        <v>362</v>
      </c>
      <c r="NC3" s="332" t="n">
        <v>363</v>
      </c>
      <c r="ND3" s="332" t="n">
        <v>364</v>
      </c>
      <c r="NE3" s="332" t="n">
        <v>365</v>
      </c>
      <c r="NF3" s="332" t="n">
        <v>366</v>
      </c>
      <c r="NG3" s="332" t="n">
        <v>367</v>
      </c>
      <c r="NH3" s="332" t="n">
        <v>368</v>
      </c>
      <c r="NI3" s="332" t="n">
        <v>369</v>
      </c>
      <c r="NJ3" s="332" t="n">
        <v>370</v>
      </c>
      <c r="NK3" s="332" t="n">
        <v>371</v>
      </c>
      <c r="NL3" s="332" t="n">
        <v>372</v>
      </c>
    </row>
    <row r="4">
      <c r="B4" s="316" t="inlineStr">
        <is>
          <t>Month Ending</t>
        </is>
      </c>
      <c r="E4" s="406">
        <f>Operating!E$4</f>
        <v/>
      </c>
      <c r="F4" s="406">
        <f>Operating!F$4</f>
        <v/>
      </c>
      <c r="G4" s="406">
        <f>Operating!G$4</f>
        <v/>
      </c>
      <c r="H4" s="406">
        <f>Operating!H$4</f>
        <v/>
      </c>
      <c r="I4" s="406">
        <f>Operating!I$4</f>
        <v/>
      </c>
      <c r="J4" s="406">
        <f>Operating!J$4</f>
        <v/>
      </c>
      <c r="K4" s="406">
        <f>Operating!K$4</f>
        <v/>
      </c>
      <c r="L4" s="406">
        <f>Operating!L$4</f>
        <v/>
      </c>
      <c r="M4" s="406">
        <f>Operating!M$4</f>
        <v/>
      </c>
      <c r="N4" s="406">
        <f>Operating!N$4</f>
        <v/>
      </c>
      <c r="O4" s="406">
        <f>Operating!O$4</f>
        <v/>
      </c>
      <c r="P4" s="406">
        <f>Operating!P$4</f>
        <v/>
      </c>
      <c r="Q4" s="406">
        <f>Operating!Q$4</f>
        <v/>
      </c>
      <c r="R4" s="406">
        <f>Operating!R$4</f>
        <v/>
      </c>
      <c r="S4" s="406">
        <f>Operating!S$4</f>
        <v/>
      </c>
      <c r="T4" s="406">
        <f>Operating!T$4</f>
        <v/>
      </c>
      <c r="U4" s="406">
        <f>Operating!U$4</f>
        <v/>
      </c>
      <c r="V4" s="406">
        <f>Operating!V$4</f>
        <v/>
      </c>
      <c r="W4" s="406">
        <f>Operating!W$4</f>
        <v/>
      </c>
      <c r="X4" s="406">
        <f>Operating!X$4</f>
        <v/>
      </c>
      <c r="Y4" s="406">
        <f>Operating!Y$4</f>
        <v/>
      </c>
      <c r="Z4" s="406">
        <f>Operating!Z$4</f>
        <v/>
      </c>
      <c r="AA4" s="406">
        <f>Operating!AA$4</f>
        <v/>
      </c>
      <c r="AB4" s="406">
        <f>Operating!AB$4</f>
        <v/>
      </c>
      <c r="AC4" s="406">
        <f>Operating!AC$4</f>
        <v/>
      </c>
      <c r="AD4" s="406">
        <f>Operating!AD$4</f>
        <v/>
      </c>
      <c r="AE4" s="406">
        <f>Operating!AE$4</f>
        <v/>
      </c>
      <c r="AF4" s="406">
        <f>Operating!AF$4</f>
        <v/>
      </c>
      <c r="AG4" s="406">
        <f>Operating!AG$4</f>
        <v/>
      </c>
      <c r="AH4" s="406">
        <f>Operating!AH$4</f>
        <v/>
      </c>
      <c r="AI4" s="406">
        <f>Operating!AI$4</f>
        <v/>
      </c>
      <c r="AJ4" s="406">
        <f>Operating!AJ$4</f>
        <v/>
      </c>
      <c r="AK4" s="406">
        <f>Operating!AK$4</f>
        <v/>
      </c>
      <c r="AL4" s="406">
        <f>Operating!AL$4</f>
        <v/>
      </c>
      <c r="AM4" s="406">
        <f>Operating!AM$4</f>
        <v/>
      </c>
      <c r="AN4" s="406">
        <f>Operating!AN$4</f>
        <v/>
      </c>
      <c r="AO4" s="406">
        <f>Operating!AO$4</f>
        <v/>
      </c>
      <c r="AP4" s="406">
        <f>Operating!AP$4</f>
        <v/>
      </c>
      <c r="AQ4" s="406">
        <f>Operating!AQ$4</f>
        <v/>
      </c>
      <c r="AR4" s="406">
        <f>Operating!AR$4</f>
        <v/>
      </c>
      <c r="AS4" s="406">
        <f>Operating!AS$4</f>
        <v/>
      </c>
      <c r="AT4" s="406">
        <f>Operating!AT$4</f>
        <v/>
      </c>
      <c r="AU4" s="406">
        <f>Operating!AU$4</f>
        <v/>
      </c>
      <c r="AV4" s="406">
        <f>Operating!AV$4</f>
        <v/>
      </c>
      <c r="AW4" s="406">
        <f>Operating!AW$4</f>
        <v/>
      </c>
      <c r="AX4" s="406">
        <f>Operating!AX$4</f>
        <v/>
      </c>
      <c r="AY4" s="406">
        <f>Operating!AY$4</f>
        <v/>
      </c>
      <c r="AZ4" s="406">
        <f>Operating!AZ$4</f>
        <v/>
      </c>
      <c r="BA4" s="406">
        <f>Operating!BA$4</f>
        <v/>
      </c>
      <c r="BB4" s="406">
        <f>Operating!BB$4</f>
        <v/>
      </c>
      <c r="BC4" s="406">
        <f>Operating!BC$4</f>
        <v/>
      </c>
      <c r="BD4" s="406">
        <f>Operating!BD$4</f>
        <v/>
      </c>
      <c r="BE4" s="406">
        <f>Operating!BE$4</f>
        <v/>
      </c>
      <c r="BF4" s="406">
        <f>Operating!BF$4</f>
        <v/>
      </c>
      <c r="BG4" s="406">
        <f>Operating!BG$4</f>
        <v/>
      </c>
      <c r="BH4" s="406">
        <f>Operating!BH$4</f>
        <v/>
      </c>
      <c r="BI4" s="406">
        <f>Operating!BI$4</f>
        <v/>
      </c>
      <c r="BJ4" s="406">
        <f>Operating!BJ$4</f>
        <v/>
      </c>
      <c r="BK4" s="406">
        <f>Operating!BK$4</f>
        <v/>
      </c>
      <c r="BL4" s="406">
        <f>Operating!BL$4</f>
        <v/>
      </c>
      <c r="BM4" s="406">
        <f>Operating!BM$4</f>
        <v/>
      </c>
      <c r="BN4" s="406">
        <f>Operating!BN$4</f>
        <v/>
      </c>
      <c r="BO4" s="406">
        <f>Operating!BO$4</f>
        <v/>
      </c>
      <c r="BP4" s="406">
        <f>Operating!BP$4</f>
        <v/>
      </c>
      <c r="BQ4" s="406">
        <f>Operating!BQ$4</f>
        <v/>
      </c>
      <c r="BR4" s="406">
        <f>Operating!BR$4</f>
        <v/>
      </c>
      <c r="BS4" s="406">
        <f>Operating!BS$4</f>
        <v/>
      </c>
      <c r="BT4" s="406">
        <f>Operating!BT$4</f>
        <v/>
      </c>
      <c r="BU4" s="406">
        <f>Operating!BU$4</f>
        <v/>
      </c>
      <c r="BV4" s="406">
        <f>Operating!BV$4</f>
        <v/>
      </c>
      <c r="BW4" s="406">
        <f>Operating!BW$4</f>
        <v/>
      </c>
      <c r="BX4" s="406">
        <f>Operating!BX$4</f>
        <v/>
      </c>
      <c r="BY4" s="406">
        <f>Operating!BY$4</f>
        <v/>
      </c>
      <c r="BZ4" s="406">
        <f>Operating!BZ$4</f>
        <v/>
      </c>
      <c r="CA4" s="406">
        <f>Operating!CA$4</f>
        <v/>
      </c>
      <c r="CB4" s="406">
        <f>Operating!CB$4</f>
        <v/>
      </c>
      <c r="CC4" s="406">
        <f>Operating!CC$4</f>
        <v/>
      </c>
      <c r="CD4" s="406">
        <f>Operating!CD$4</f>
        <v/>
      </c>
      <c r="CE4" s="406">
        <f>Operating!CE$4</f>
        <v/>
      </c>
      <c r="CF4" s="406">
        <f>Operating!CF$4</f>
        <v/>
      </c>
      <c r="CG4" s="406">
        <f>Operating!CG$4</f>
        <v/>
      </c>
      <c r="CH4" s="406">
        <f>Operating!CH$4</f>
        <v/>
      </c>
      <c r="CI4" s="406">
        <f>Operating!CI$4</f>
        <v/>
      </c>
      <c r="CJ4" s="406">
        <f>Operating!CJ$4</f>
        <v/>
      </c>
      <c r="CK4" s="406">
        <f>Operating!CK$4</f>
        <v/>
      </c>
      <c r="CL4" s="406">
        <f>Operating!CL$4</f>
        <v/>
      </c>
      <c r="CM4" s="406">
        <f>Operating!CM$4</f>
        <v/>
      </c>
      <c r="CN4" s="406">
        <f>Operating!CN$4</f>
        <v/>
      </c>
      <c r="CO4" s="406">
        <f>Operating!CO$4</f>
        <v/>
      </c>
      <c r="CP4" s="406">
        <f>Operating!CP$4</f>
        <v/>
      </c>
      <c r="CQ4" s="406">
        <f>Operating!CQ$4</f>
        <v/>
      </c>
      <c r="CR4" s="406">
        <f>Operating!CR$4</f>
        <v/>
      </c>
      <c r="CS4" s="406">
        <f>Operating!CS$4</f>
        <v/>
      </c>
      <c r="CT4" s="406">
        <f>Operating!CT$4</f>
        <v/>
      </c>
      <c r="CU4" s="406">
        <f>Operating!CU$4</f>
        <v/>
      </c>
      <c r="CV4" s="406">
        <f>Operating!CV$4</f>
        <v/>
      </c>
      <c r="CW4" s="406">
        <f>Operating!CW$4</f>
        <v/>
      </c>
      <c r="CX4" s="406">
        <f>Operating!CX$4</f>
        <v/>
      </c>
      <c r="CY4" s="406">
        <f>Operating!CY$4</f>
        <v/>
      </c>
      <c r="CZ4" s="406">
        <f>Operating!CZ$4</f>
        <v/>
      </c>
      <c r="DA4" s="406">
        <f>Operating!DA$4</f>
        <v/>
      </c>
      <c r="DB4" s="406">
        <f>Operating!DB$4</f>
        <v/>
      </c>
      <c r="DC4" s="406">
        <f>Operating!DC$4</f>
        <v/>
      </c>
      <c r="DD4" s="406">
        <f>Operating!DD$4</f>
        <v/>
      </c>
      <c r="DE4" s="406">
        <f>Operating!DE$4</f>
        <v/>
      </c>
      <c r="DF4" s="406">
        <f>Operating!DF$4</f>
        <v/>
      </c>
      <c r="DG4" s="406">
        <f>Operating!DG$4</f>
        <v/>
      </c>
      <c r="DH4" s="406">
        <f>Operating!DH$4</f>
        <v/>
      </c>
      <c r="DI4" s="406">
        <f>Operating!DI$4</f>
        <v/>
      </c>
      <c r="DJ4" s="406">
        <f>Operating!DJ$4</f>
        <v/>
      </c>
      <c r="DK4" s="406">
        <f>Operating!DK$4</f>
        <v/>
      </c>
      <c r="DL4" s="406">
        <f>Operating!DL$4</f>
        <v/>
      </c>
      <c r="DM4" s="406">
        <f>Operating!DM$4</f>
        <v/>
      </c>
      <c r="DN4" s="406">
        <f>Operating!DN$4</f>
        <v/>
      </c>
      <c r="DO4" s="406">
        <f>Operating!DO$4</f>
        <v/>
      </c>
      <c r="DP4" s="406">
        <f>Operating!DP$4</f>
        <v/>
      </c>
      <c r="DQ4" s="406">
        <f>Operating!DQ$4</f>
        <v/>
      </c>
      <c r="DR4" s="406">
        <f>Operating!DR$4</f>
        <v/>
      </c>
      <c r="DS4" s="406">
        <f>Operating!DS$4</f>
        <v/>
      </c>
      <c r="DT4" s="406">
        <f>Operating!DT$4</f>
        <v/>
      </c>
      <c r="DU4" s="406">
        <f>Operating!DU$4</f>
        <v/>
      </c>
      <c r="DV4" s="406">
        <f>Operating!DV$4</f>
        <v/>
      </c>
      <c r="DW4" s="406">
        <f>Operating!DW$4</f>
        <v/>
      </c>
      <c r="DX4" s="406">
        <f>Operating!DX$4</f>
        <v/>
      </c>
      <c r="DY4" s="406">
        <f>Operating!DY$4</f>
        <v/>
      </c>
      <c r="DZ4" s="406">
        <f>Operating!DZ$4</f>
        <v/>
      </c>
      <c r="EA4" s="406">
        <f>Operating!EA$4</f>
        <v/>
      </c>
      <c r="EB4" s="406">
        <f>Operating!EB$4</f>
        <v/>
      </c>
      <c r="EC4" s="406">
        <f>Operating!EC$4</f>
        <v/>
      </c>
      <c r="ED4" s="406">
        <f>Operating!ED$4</f>
        <v/>
      </c>
      <c r="EE4" s="406">
        <f>Operating!EE$4</f>
        <v/>
      </c>
      <c r="EF4" s="406">
        <f>Operating!EF$4</f>
        <v/>
      </c>
      <c r="EG4" s="406">
        <f>Operating!EG$4</f>
        <v/>
      </c>
      <c r="EH4" s="406">
        <f>Operating!EH$4</f>
        <v/>
      </c>
      <c r="EI4" s="406">
        <f>Operating!EI$4</f>
        <v/>
      </c>
      <c r="EJ4" s="406">
        <f>Operating!EJ$4</f>
        <v/>
      </c>
      <c r="EK4" s="406">
        <f>Operating!EK$4</f>
        <v/>
      </c>
      <c r="EL4" s="406">
        <f>Operating!EL$4</f>
        <v/>
      </c>
      <c r="EM4" s="406">
        <f>Operating!EM$4</f>
        <v/>
      </c>
      <c r="EN4" s="406">
        <f>Operating!EN$4</f>
        <v/>
      </c>
      <c r="EO4" s="406">
        <f>Operating!EO$4</f>
        <v/>
      </c>
      <c r="EP4" s="406">
        <f>Operating!EP$4</f>
        <v/>
      </c>
      <c r="EQ4" s="406">
        <f>Operating!EQ$4</f>
        <v/>
      </c>
      <c r="ER4" s="406">
        <f>Operating!ER$4</f>
        <v/>
      </c>
      <c r="ES4" s="406">
        <f>Operating!ES$4</f>
        <v/>
      </c>
      <c r="ET4" s="406">
        <f>Operating!ET$4</f>
        <v/>
      </c>
      <c r="EU4" s="406">
        <f>Operating!EU$4</f>
        <v/>
      </c>
      <c r="EV4" s="406">
        <f>Operating!EV$4</f>
        <v/>
      </c>
      <c r="EW4" s="406">
        <f>Operating!EW$4</f>
        <v/>
      </c>
      <c r="EX4" s="406">
        <f>Operating!EX$4</f>
        <v/>
      </c>
      <c r="EY4" s="406">
        <f>Operating!EY$4</f>
        <v/>
      </c>
      <c r="EZ4" s="406">
        <f>Operating!EZ$4</f>
        <v/>
      </c>
      <c r="FA4" s="406">
        <f>Operating!FA$4</f>
        <v/>
      </c>
      <c r="FB4" s="406">
        <f>Operating!FB$4</f>
        <v/>
      </c>
      <c r="FC4" s="406">
        <f>Operating!FC$4</f>
        <v/>
      </c>
      <c r="FD4" s="406">
        <f>Operating!FD$4</f>
        <v/>
      </c>
      <c r="FE4" s="406">
        <f>Operating!FE$4</f>
        <v/>
      </c>
      <c r="FF4" s="406">
        <f>Operating!FF$4</f>
        <v/>
      </c>
      <c r="FG4" s="406">
        <f>Operating!FG$4</f>
        <v/>
      </c>
      <c r="FH4" s="406">
        <f>Operating!FH$4</f>
        <v/>
      </c>
      <c r="FI4" s="406">
        <f>Operating!FI$4</f>
        <v/>
      </c>
      <c r="FJ4" s="406">
        <f>Operating!FJ$4</f>
        <v/>
      </c>
      <c r="FK4" s="406">
        <f>Operating!FK$4</f>
        <v/>
      </c>
      <c r="FL4" s="406">
        <f>Operating!FL$4</f>
        <v/>
      </c>
      <c r="FM4" s="406">
        <f>Operating!FM$4</f>
        <v/>
      </c>
      <c r="FN4" s="406">
        <f>Operating!FN$4</f>
        <v/>
      </c>
      <c r="FO4" s="406">
        <f>Operating!FO$4</f>
        <v/>
      </c>
      <c r="FP4" s="406">
        <f>Operating!FP$4</f>
        <v/>
      </c>
      <c r="FQ4" s="406">
        <f>Operating!FQ$4</f>
        <v/>
      </c>
      <c r="FR4" s="406">
        <f>Operating!FR$4</f>
        <v/>
      </c>
      <c r="FS4" s="406">
        <f>Operating!FS$4</f>
        <v/>
      </c>
      <c r="FT4" s="406">
        <f>Operating!FT$4</f>
        <v/>
      </c>
      <c r="FU4" s="406">
        <f>Operating!FU$4</f>
        <v/>
      </c>
      <c r="FV4" s="406">
        <f>Operating!FV$4</f>
        <v/>
      </c>
      <c r="FW4" s="406">
        <f>Operating!FW$4</f>
        <v/>
      </c>
      <c r="FX4" s="406">
        <f>Operating!FX$4</f>
        <v/>
      </c>
      <c r="FY4" s="406">
        <f>Operating!FY$4</f>
        <v/>
      </c>
      <c r="FZ4" s="406">
        <f>Operating!FZ$4</f>
        <v/>
      </c>
      <c r="GA4" s="406">
        <f>Operating!GA$4</f>
        <v/>
      </c>
      <c r="GB4" s="406">
        <f>Operating!GB$4</f>
        <v/>
      </c>
      <c r="GC4" s="406">
        <f>Operating!GC$4</f>
        <v/>
      </c>
      <c r="GD4" s="406">
        <f>Operating!GD$4</f>
        <v/>
      </c>
      <c r="GE4" s="406">
        <f>Operating!GE$4</f>
        <v/>
      </c>
      <c r="GF4" s="406">
        <f>Operating!GF$4</f>
        <v/>
      </c>
      <c r="GG4" s="406">
        <f>Operating!GG$4</f>
        <v/>
      </c>
      <c r="GH4" s="406">
        <f>Operating!GH$4</f>
        <v/>
      </c>
      <c r="GI4" s="406">
        <f>Operating!GI$4</f>
        <v/>
      </c>
      <c r="GJ4" s="406">
        <f>Operating!GJ$4</f>
        <v/>
      </c>
      <c r="GK4" s="406">
        <f>Operating!GK$4</f>
        <v/>
      </c>
      <c r="GL4" s="406">
        <f>Operating!GL$4</f>
        <v/>
      </c>
      <c r="GM4" s="406">
        <f>Operating!GM$4</f>
        <v/>
      </c>
      <c r="GN4" s="406">
        <f>Operating!GN$4</f>
        <v/>
      </c>
      <c r="GO4" s="406">
        <f>Operating!GO$4</f>
        <v/>
      </c>
      <c r="GP4" s="406">
        <f>Operating!GP$4</f>
        <v/>
      </c>
      <c r="GQ4" s="406">
        <f>Operating!GQ$4</f>
        <v/>
      </c>
      <c r="GR4" s="406">
        <f>Operating!GR$4</f>
        <v/>
      </c>
      <c r="GS4" s="406">
        <f>Operating!GS$4</f>
        <v/>
      </c>
      <c r="GT4" s="406">
        <f>Operating!GT$4</f>
        <v/>
      </c>
      <c r="GU4" s="406">
        <f>Operating!GU$4</f>
        <v/>
      </c>
      <c r="GV4" s="406">
        <f>Operating!GV$4</f>
        <v/>
      </c>
      <c r="GW4" s="406">
        <f>Operating!GW$4</f>
        <v/>
      </c>
      <c r="GX4" s="406">
        <f>Operating!GX$4</f>
        <v/>
      </c>
      <c r="GY4" s="406">
        <f>Operating!GY$4</f>
        <v/>
      </c>
      <c r="GZ4" s="406">
        <f>Operating!GZ$4</f>
        <v/>
      </c>
      <c r="HA4" s="406">
        <f>Operating!HA$4</f>
        <v/>
      </c>
      <c r="HB4" s="406">
        <f>Operating!HB$4</f>
        <v/>
      </c>
      <c r="HC4" s="406">
        <f>Operating!HC$4</f>
        <v/>
      </c>
      <c r="HD4" s="406">
        <f>Operating!HD$4</f>
        <v/>
      </c>
      <c r="HE4" s="406">
        <f>Operating!HE$4</f>
        <v/>
      </c>
      <c r="HF4" s="406">
        <f>Operating!HF$4</f>
        <v/>
      </c>
      <c r="HG4" s="406">
        <f>Operating!HG$4</f>
        <v/>
      </c>
      <c r="HH4" s="406">
        <f>Operating!HH$4</f>
        <v/>
      </c>
      <c r="HI4" s="406">
        <f>Operating!HI$4</f>
        <v/>
      </c>
      <c r="HJ4" s="406">
        <f>Operating!HJ$4</f>
        <v/>
      </c>
      <c r="HK4" s="406">
        <f>Operating!HK$4</f>
        <v/>
      </c>
      <c r="HL4" s="406">
        <f>Operating!HL$4</f>
        <v/>
      </c>
      <c r="HM4" s="406">
        <f>Operating!HM$4</f>
        <v/>
      </c>
      <c r="HN4" s="406">
        <f>Operating!HN$4</f>
        <v/>
      </c>
      <c r="HO4" s="406">
        <f>Operating!HO$4</f>
        <v/>
      </c>
      <c r="HP4" s="406">
        <f>Operating!HP$4</f>
        <v/>
      </c>
      <c r="HQ4" s="406">
        <f>Operating!HQ$4</f>
        <v/>
      </c>
      <c r="HR4" s="406">
        <f>Operating!HR$4</f>
        <v/>
      </c>
      <c r="HS4" s="406">
        <f>Operating!HS$4</f>
        <v/>
      </c>
      <c r="HT4" s="406">
        <f>Operating!HT$4</f>
        <v/>
      </c>
      <c r="HU4" s="406">
        <f>Operating!HU$4</f>
        <v/>
      </c>
      <c r="HV4" s="406">
        <f>Operating!HV$4</f>
        <v/>
      </c>
      <c r="HW4" s="406">
        <f>Operating!HW$4</f>
        <v/>
      </c>
      <c r="HX4" s="406">
        <f>Operating!HX$4</f>
        <v/>
      </c>
      <c r="HY4" s="406">
        <f>Operating!HY$4</f>
        <v/>
      </c>
      <c r="HZ4" s="406">
        <f>Operating!HZ$4</f>
        <v/>
      </c>
      <c r="IA4" s="406">
        <f>Operating!IA$4</f>
        <v/>
      </c>
      <c r="IB4" s="406">
        <f>Operating!IB$4</f>
        <v/>
      </c>
      <c r="IC4" s="406">
        <f>Operating!IC$4</f>
        <v/>
      </c>
      <c r="ID4" s="406">
        <f>Operating!ID$4</f>
        <v/>
      </c>
      <c r="IE4" s="406">
        <f>Operating!IE$4</f>
        <v/>
      </c>
      <c r="IF4" s="406">
        <f>Operating!IF$4</f>
        <v/>
      </c>
      <c r="IG4" s="406">
        <f>Operating!IG$4</f>
        <v/>
      </c>
      <c r="IH4" s="406">
        <f>Operating!IH$4</f>
        <v/>
      </c>
      <c r="II4" s="406">
        <f>Operating!II$4</f>
        <v/>
      </c>
      <c r="IJ4" s="406">
        <f>Operating!IJ$4</f>
        <v/>
      </c>
      <c r="IK4" s="406">
        <f>Operating!IK$4</f>
        <v/>
      </c>
      <c r="IL4" s="406">
        <f>Operating!IL$4</f>
        <v/>
      </c>
      <c r="IM4" s="406">
        <f>Operating!IM$4</f>
        <v/>
      </c>
      <c r="IN4" s="406">
        <f>Operating!IN$4</f>
        <v/>
      </c>
      <c r="IO4" s="406">
        <f>Operating!IO$4</f>
        <v/>
      </c>
      <c r="IP4" s="406">
        <f>Operating!IP$4</f>
        <v/>
      </c>
      <c r="IQ4" s="406">
        <f>Operating!IQ$4</f>
        <v/>
      </c>
      <c r="IR4" s="406">
        <f>Operating!IR$4</f>
        <v/>
      </c>
      <c r="IS4" s="406">
        <f>Operating!IS$4</f>
        <v/>
      </c>
      <c r="IT4" s="406">
        <f>Operating!IT$4</f>
        <v/>
      </c>
      <c r="IU4" s="406">
        <f>Operating!IU$4</f>
        <v/>
      </c>
      <c r="IV4" s="406">
        <f>Operating!IV$4</f>
        <v/>
      </c>
      <c r="IW4" s="406">
        <f>Operating!IW$4</f>
        <v/>
      </c>
      <c r="IX4" s="406">
        <f>Operating!IX$4</f>
        <v/>
      </c>
      <c r="IY4" s="406">
        <f>Operating!IY$4</f>
        <v/>
      </c>
      <c r="IZ4" s="406">
        <f>Operating!IZ$4</f>
        <v/>
      </c>
      <c r="JA4" s="406">
        <f>Operating!JA$4</f>
        <v/>
      </c>
      <c r="JB4" s="406">
        <f>Operating!JB$4</f>
        <v/>
      </c>
      <c r="JC4" s="406">
        <f>Operating!JC$4</f>
        <v/>
      </c>
      <c r="JD4" s="406">
        <f>Operating!JD$4</f>
        <v/>
      </c>
      <c r="JE4" s="406">
        <f>Operating!JE$4</f>
        <v/>
      </c>
      <c r="JF4" s="406">
        <f>Operating!JF$4</f>
        <v/>
      </c>
      <c r="JG4" s="406">
        <f>Operating!JG$4</f>
        <v/>
      </c>
      <c r="JH4" s="406">
        <f>Operating!JH$4</f>
        <v/>
      </c>
      <c r="JI4" s="406">
        <f>Operating!JI$4</f>
        <v/>
      </c>
      <c r="JJ4" s="406">
        <f>Operating!JJ$4</f>
        <v/>
      </c>
      <c r="JK4" s="406">
        <f>Operating!JK$4</f>
        <v/>
      </c>
      <c r="JL4" s="406">
        <f>Operating!JL$4</f>
        <v/>
      </c>
      <c r="JM4" s="406">
        <f>Operating!JM$4</f>
        <v/>
      </c>
      <c r="JN4" s="406">
        <f>Operating!JN$4</f>
        <v/>
      </c>
      <c r="JO4" s="406">
        <f>Operating!JO$4</f>
        <v/>
      </c>
      <c r="JP4" s="406">
        <f>Operating!JP$4</f>
        <v/>
      </c>
      <c r="JQ4" s="406">
        <f>Operating!JQ$4</f>
        <v/>
      </c>
      <c r="JR4" s="406">
        <f>Operating!JR$4</f>
        <v/>
      </c>
      <c r="JS4" s="406">
        <f>Operating!JS$4</f>
        <v/>
      </c>
      <c r="JT4" s="406">
        <f>Operating!JT$4</f>
        <v/>
      </c>
      <c r="JU4" s="406">
        <f>Operating!JU$4</f>
        <v/>
      </c>
      <c r="JV4" s="406">
        <f>Operating!JV$4</f>
        <v/>
      </c>
      <c r="JW4" s="406">
        <f>Operating!JW$4</f>
        <v/>
      </c>
      <c r="JX4" s="406">
        <f>Operating!JX$4</f>
        <v/>
      </c>
      <c r="JY4" s="406">
        <f>Operating!JY$4</f>
        <v/>
      </c>
      <c r="JZ4" s="406">
        <f>Operating!JZ$4</f>
        <v/>
      </c>
      <c r="KA4" s="406">
        <f>Operating!KA$4</f>
        <v/>
      </c>
      <c r="KB4" s="406">
        <f>Operating!KB$4</f>
        <v/>
      </c>
      <c r="KC4" s="406">
        <f>Operating!KC$4</f>
        <v/>
      </c>
      <c r="KD4" s="406">
        <f>Operating!KD$4</f>
        <v/>
      </c>
      <c r="KE4" s="406">
        <f>Operating!KE$4</f>
        <v/>
      </c>
      <c r="KF4" s="406">
        <f>Operating!KF$4</f>
        <v/>
      </c>
      <c r="KG4" s="406">
        <f>Operating!KG$4</f>
        <v/>
      </c>
      <c r="KH4" s="406">
        <f>Operating!KH$4</f>
        <v/>
      </c>
      <c r="KI4" s="406">
        <f>Operating!KI$4</f>
        <v/>
      </c>
      <c r="KJ4" s="406">
        <f>Operating!KJ$4</f>
        <v/>
      </c>
      <c r="KK4" s="406">
        <f>Operating!KK$4</f>
        <v/>
      </c>
      <c r="KL4" s="406">
        <f>Operating!KL$4</f>
        <v/>
      </c>
      <c r="KM4" s="406">
        <f>Operating!KM$4</f>
        <v/>
      </c>
      <c r="KN4" s="406">
        <f>Operating!KN$4</f>
        <v/>
      </c>
      <c r="KO4" s="406">
        <f>Operating!KO$4</f>
        <v/>
      </c>
      <c r="KP4" s="406">
        <f>Operating!KP$4</f>
        <v/>
      </c>
      <c r="KQ4" s="406">
        <f>Operating!KQ$4</f>
        <v/>
      </c>
      <c r="KR4" s="406">
        <f>Operating!KR$4</f>
        <v/>
      </c>
      <c r="KS4" s="406">
        <f>Operating!KS$4</f>
        <v/>
      </c>
      <c r="KT4" s="406">
        <f>Operating!KT$4</f>
        <v/>
      </c>
      <c r="KU4" s="406">
        <f>Operating!KU$4</f>
        <v/>
      </c>
      <c r="KV4" s="406">
        <f>Operating!KV$4</f>
        <v/>
      </c>
      <c r="KW4" s="406">
        <f>Operating!KW$4</f>
        <v/>
      </c>
      <c r="KX4" s="406">
        <f>Operating!KX$4</f>
        <v/>
      </c>
      <c r="KY4" s="406">
        <f>Operating!KY$4</f>
        <v/>
      </c>
      <c r="KZ4" s="406">
        <f>Operating!KZ$4</f>
        <v/>
      </c>
      <c r="LA4" s="406">
        <f>Operating!LA$4</f>
        <v/>
      </c>
      <c r="LB4" s="406">
        <f>Operating!LB$4</f>
        <v/>
      </c>
      <c r="LC4" s="406">
        <f>Operating!LC$4</f>
        <v/>
      </c>
      <c r="LD4" s="406">
        <f>Operating!LD$4</f>
        <v/>
      </c>
      <c r="LE4" s="406">
        <f>Operating!LE$4</f>
        <v/>
      </c>
      <c r="LF4" s="406">
        <f>Operating!LF$4</f>
        <v/>
      </c>
      <c r="LG4" s="406">
        <f>Operating!LG$4</f>
        <v/>
      </c>
      <c r="LH4" s="406">
        <f>Operating!LH$4</f>
        <v/>
      </c>
      <c r="LI4" s="406">
        <f>Operating!LI$4</f>
        <v/>
      </c>
      <c r="LJ4" s="406">
        <f>Operating!LJ$4</f>
        <v/>
      </c>
      <c r="LK4" s="406">
        <f>Operating!LK$4</f>
        <v/>
      </c>
      <c r="LL4" s="406">
        <f>Operating!LL$4</f>
        <v/>
      </c>
      <c r="LM4" s="406">
        <f>Operating!LM$4</f>
        <v/>
      </c>
      <c r="LN4" s="406">
        <f>Operating!LN$4</f>
        <v/>
      </c>
      <c r="LO4" s="406">
        <f>Operating!LO$4</f>
        <v/>
      </c>
      <c r="LP4" s="406">
        <f>Operating!LP$4</f>
        <v/>
      </c>
      <c r="LQ4" s="406">
        <f>Operating!LQ$4</f>
        <v/>
      </c>
      <c r="LR4" s="406">
        <f>Operating!LR$4</f>
        <v/>
      </c>
      <c r="LS4" s="406">
        <f>Operating!LS$4</f>
        <v/>
      </c>
      <c r="LT4" s="406">
        <f>Operating!LT$4</f>
        <v/>
      </c>
      <c r="LU4" s="406">
        <f>Operating!LU$4</f>
        <v/>
      </c>
      <c r="LV4" s="406">
        <f>Operating!LV$4</f>
        <v/>
      </c>
      <c r="LW4" s="406">
        <f>Operating!LW$4</f>
        <v/>
      </c>
      <c r="LX4" s="406">
        <f>Operating!LX$4</f>
        <v/>
      </c>
      <c r="LY4" s="406">
        <f>Operating!LY$4</f>
        <v/>
      </c>
      <c r="LZ4" s="406">
        <f>Operating!LZ$4</f>
        <v/>
      </c>
      <c r="MA4" s="406">
        <f>Operating!MA$4</f>
        <v/>
      </c>
      <c r="MB4" s="406">
        <f>Operating!MB$4</f>
        <v/>
      </c>
      <c r="MC4" s="406">
        <f>Operating!MC$4</f>
        <v/>
      </c>
      <c r="MD4" s="406">
        <f>Operating!MD$4</f>
        <v/>
      </c>
      <c r="ME4" s="406">
        <f>Operating!ME$4</f>
        <v/>
      </c>
      <c r="MF4" s="406">
        <f>Operating!MF$4</f>
        <v/>
      </c>
      <c r="MG4" s="406">
        <f>Operating!MG$4</f>
        <v/>
      </c>
      <c r="MH4" s="406">
        <f>Operating!MH$4</f>
        <v/>
      </c>
      <c r="MI4" s="406">
        <f>Operating!MI$4</f>
        <v/>
      </c>
      <c r="MJ4" s="406">
        <f>Operating!MJ$4</f>
        <v/>
      </c>
      <c r="MK4" s="406">
        <f>Operating!MK$4</f>
        <v/>
      </c>
      <c r="ML4" s="406">
        <f>Operating!ML$4</f>
        <v/>
      </c>
      <c r="MM4" s="406">
        <f>Operating!MM$4</f>
        <v/>
      </c>
      <c r="MN4" s="406">
        <f>Operating!MN$4</f>
        <v/>
      </c>
      <c r="MO4" s="406">
        <f>Operating!MO$4</f>
        <v/>
      </c>
      <c r="MP4" s="406">
        <f>Operating!MP$4</f>
        <v/>
      </c>
      <c r="MQ4" s="406">
        <f>Operating!MQ$4</f>
        <v/>
      </c>
      <c r="MR4" s="406">
        <f>Operating!MR$4</f>
        <v/>
      </c>
      <c r="MS4" s="406">
        <f>Operating!MS$4</f>
        <v/>
      </c>
      <c r="MT4" s="406">
        <f>Operating!MT$4</f>
        <v/>
      </c>
      <c r="MU4" s="406">
        <f>Operating!MU$4</f>
        <v/>
      </c>
      <c r="MV4" s="406">
        <f>Operating!MV$4</f>
        <v/>
      </c>
      <c r="MW4" s="406">
        <f>Operating!MW$4</f>
        <v/>
      </c>
      <c r="MX4" s="406">
        <f>Operating!MX$4</f>
        <v/>
      </c>
      <c r="MY4" s="406">
        <f>Operating!MY$4</f>
        <v/>
      </c>
      <c r="MZ4" s="406">
        <f>Operating!MZ$4</f>
        <v/>
      </c>
      <c r="NA4" s="406">
        <f>Operating!NA$4</f>
        <v/>
      </c>
      <c r="NB4" s="406">
        <f>Operating!NB$4</f>
        <v/>
      </c>
      <c r="NC4" s="406">
        <f>Operating!NC$4</f>
        <v/>
      </c>
      <c r="ND4" s="406">
        <f>Operating!ND$4</f>
        <v/>
      </c>
      <c r="NE4" s="406">
        <f>Operating!NE$4</f>
        <v/>
      </c>
      <c r="NF4" s="406">
        <f>Operating!NF$4</f>
        <v/>
      </c>
      <c r="NG4" s="406">
        <f>Operating!NG$4</f>
        <v/>
      </c>
      <c r="NH4" s="406">
        <f>Operating!NH$4</f>
        <v/>
      </c>
      <c r="NI4" s="406">
        <f>Operating!NI$4</f>
        <v/>
      </c>
      <c r="NJ4" s="406">
        <f>Operating!NJ$4</f>
        <v/>
      </c>
      <c r="NK4" s="406">
        <f>Operating!NK$4</f>
        <v/>
      </c>
      <c r="NL4" s="406">
        <f>Operating!NL$4</f>
        <v/>
      </c>
    </row>
    <row r="5">
      <c r="B5" s="384" t="inlineStr">
        <is>
          <t>Development &amp; Uses</t>
        </is>
      </c>
      <c r="D5" s="401" t="inlineStr"/>
      <c r="E5" s="155" t="n"/>
      <c r="F5" s="155" t="n"/>
      <c r="G5" s="155" t="n"/>
      <c r="H5" s="155" t="n"/>
      <c r="I5" s="155" t="n"/>
      <c r="J5" s="155" t="n"/>
      <c r="K5" s="155" t="n"/>
      <c r="L5" s="155" t="n"/>
      <c r="M5" s="155" t="n"/>
      <c r="N5" s="155" t="n"/>
      <c r="O5" s="155" t="n"/>
      <c r="P5" s="155" t="n"/>
      <c r="Q5" s="155" t="n"/>
      <c r="R5" s="155" t="n"/>
      <c r="S5" s="155" t="n"/>
      <c r="T5" s="155" t="n"/>
      <c r="U5" s="155" t="n"/>
      <c r="V5" s="155" t="n"/>
      <c r="W5" s="155" t="n"/>
      <c r="X5" s="155" t="n"/>
      <c r="Y5" s="155" t="n"/>
      <c r="Z5" s="155" t="n"/>
      <c r="AA5" s="155" t="n"/>
      <c r="AB5" s="155" t="n"/>
      <c r="AC5" s="155" t="n"/>
      <c r="AD5" s="155" t="n"/>
      <c r="AE5" s="155" t="n"/>
      <c r="AF5" s="155" t="n"/>
      <c r="AG5" s="155" t="n"/>
      <c r="AH5" s="155" t="n"/>
      <c r="AI5" s="155" t="n"/>
      <c r="AJ5" s="155" t="n"/>
      <c r="AK5" s="155" t="n"/>
      <c r="AL5" s="155" t="n"/>
      <c r="AM5" s="155" t="n"/>
      <c r="AN5" s="155" t="n"/>
      <c r="AO5" s="155" t="n"/>
      <c r="AP5" s="155" t="n"/>
      <c r="AQ5" s="155" t="n"/>
      <c r="AR5" s="155" t="n"/>
      <c r="AS5" s="155" t="n"/>
      <c r="AT5" s="155" t="n"/>
      <c r="AU5" s="155" t="n"/>
      <c r="AV5" s="155" t="n"/>
      <c r="AW5" s="155" t="n"/>
      <c r="AX5" s="155" t="n"/>
      <c r="AY5" s="155" t="n"/>
      <c r="AZ5" s="155" t="n"/>
      <c r="BA5" s="155" t="n"/>
      <c r="BB5" s="155" t="n"/>
      <c r="BC5" s="155" t="n"/>
      <c r="BD5" s="155" t="n"/>
      <c r="BE5" s="155" t="n"/>
      <c r="BF5" s="155" t="n"/>
      <c r="BG5" s="155" t="n"/>
      <c r="BH5" s="155" t="n"/>
      <c r="BI5" s="155" t="n"/>
      <c r="BJ5" s="155" t="n"/>
      <c r="BK5" s="155" t="n"/>
      <c r="BL5" s="155" t="n"/>
      <c r="BM5" s="155" t="n"/>
      <c r="BN5" s="155" t="n"/>
      <c r="BO5" s="155" t="n"/>
      <c r="BP5" s="155" t="n"/>
      <c r="BQ5" s="155" t="n"/>
      <c r="BR5" s="155" t="n"/>
      <c r="BS5" s="155" t="n"/>
      <c r="BT5" s="155" t="n"/>
      <c r="BU5" s="155" t="n"/>
      <c r="BV5" s="155" t="n"/>
      <c r="BW5" s="155" t="n"/>
      <c r="BX5" s="155" t="n"/>
      <c r="BY5" s="155" t="n"/>
      <c r="BZ5" s="155" t="n"/>
      <c r="CA5" s="155" t="n"/>
      <c r="CB5" s="155" t="n"/>
      <c r="CC5" s="155" t="n"/>
      <c r="CD5" s="155" t="n"/>
      <c r="CE5" s="155" t="n"/>
      <c r="CF5" s="155" t="n"/>
      <c r="CG5" s="155" t="n"/>
      <c r="CH5" s="155" t="n"/>
      <c r="CI5" s="155" t="n"/>
      <c r="CJ5" s="155" t="n"/>
      <c r="CK5" s="155" t="n"/>
      <c r="CL5" s="155" t="n"/>
      <c r="CM5" s="155" t="n"/>
      <c r="CN5" s="155" t="n"/>
      <c r="CO5" s="155" t="n"/>
      <c r="CP5" s="155" t="n"/>
      <c r="CQ5" s="155" t="n"/>
      <c r="CR5" s="155" t="n"/>
      <c r="CS5" s="155" t="n"/>
      <c r="CT5" s="155" t="n"/>
      <c r="CU5" s="155" t="n"/>
      <c r="CV5" s="155" t="n"/>
      <c r="CW5" s="155" t="n"/>
      <c r="CX5" s="155" t="n"/>
      <c r="CY5" s="155" t="n"/>
      <c r="CZ5" s="155" t="n"/>
      <c r="DA5" s="155" t="n"/>
      <c r="DB5" s="155" t="n"/>
      <c r="DC5" s="155" t="n"/>
      <c r="DD5" s="155" t="n"/>
      <c r="DE5" s="155" t="n"/>
      <c r="DF5" s="155" t="n"/>
      <c r="DG5" s="155" t="n"/>
      <c r="DH5" s="155" t="n"/>
      <c r="DI5" s="155" t="n"/>
      <c r="DJ5" s="155" t="n"/>
      <c r="DK5" s="155" t="n"/>
      <c r="DL5" s="155" t="n"/>
      <c r="DM5" s="155" t="n"/>
      <c r="DN5" s="155" t="n"/>
      <c r="DO5" s="155" t="n"/>
      <c r="DP5" s="155" t="n"/>
      <c r="DQ5" s="155" t="n"/>
      <c r="DR5" s="155" t="n"/>
      <c r="DS5" s="155" t="n"/>
      <c r="DT5" s="155" t="n"/>
      <c r="DU5" s="155" t="n"/>
      <c r="DV5" s="155" t="n"/>
      <c r="DW5" s="155" t="n"/>
      <c r="DX5" s="155" t="n"/>
      <c r="DY5" s="155" t="n"/>
      <c r="DZ5" s="155" t="n"/>
      <c r="EA5" s="155" t="n"/>
      <c r="EB5" s="155" t="n"/>
      <c r="EC5" s="155" t="n"/>
      <c r="ED5" s="155" t="n"/>
      <c r="EE5" s="155" t="n"/>
      <c r="EF5" s="155" t="n"/>
      <c r="EG5" s="155" t="n"/>
      <c r="EH5" s="155" t="n"/>
      <c r="EI5" s="155" t="n"/>
      <c r="EJ5" s="155" t="n"/>
      <c r="EK5" s="155" t="n"/>
      <c r="EL5" s="155" t="n"/>
      <c r="EM5" s="155" t="n"/>
      <c r="EN5" s="155" t="n"/>
      <c r="EO5" s="155" t="n"/>
      <c r="EP5" s="155" t="n"/>
      <c r="EQ5" s="155" t="n"/>
      <c r="ER5" s="155" t="n"/>
      <c r="ES5" s="155" t="n"/>
      <c r="ET5" s="155" t="n"/>
      <c r="EU5" s="155" t="n"/>
      <c r="EV5" s="155" t="n"/>
      <c r="EW5" s="155" t="n"/>
      <c r="EX5" s="155" t="n"/>
      <c r="EY5" s="155" t="n"/>
      <c r="EZ5" s="155" t="n"/>
      <c r="FA5" s="155" t="n"/>
      <c r="FB5" s="155" t="n"/>
      <c r="FC5" s="155" t="n"/>
      <c r="FD5" s="155" t="n"/>
      <c r="FE5" s="155" t="n"/>
      <c r="FF5" s="155" t="n"/>
      <c r="FG5" s="155" t="n"/>
      <c r="FH5" s="155" t="n"/>
      <c r="FI5" s="155" t="n"/>
      <c r="FJ5" s="155" t="n"/>
      <c r="FK5" s="155" t="n"/>
      <c r="FL5" s="155" t="n"/>
      <c r="FM5" s="155" t="n"/>
      <c r="FN5" s="155" t="n"/>
      <c r="FO5" s="155" t="n"/>
      <c r="FP5" s="155" t="n"/>
      <c r="FQ5" s="155" t="n"/>
      <c r="FR5" s="155" t="n"/>
      <c r="FS5" s="155" t="n"/>
      <c r="FT5" s="155" t="n"/>
      <c r="FU5" s="155" t="n"/>
      <c r="FV5" s="155" t="n"/>
      <c r="FW5" s="155" t="n"/>
      <c r="FX5" s="155" t="n"/>
      <c r="FY5" s="155" t="n"/>
      <c r="FZ5" s="155" t="n"/>
      <c r="GA5" s="155" t="n"/>
      <c r="GB5" s="155" t="n"/>
      <c r="GC5" s="155" t="n"/>
      <c r="GD5" s="155" t="n"/>
      <c r="GE5" s="155" t="n"/>
      <c r="GF5" s="155" t="n"/>
      <c r="GG5" s="155" t="n"/>
      <c r="GH5" s="155" t="n"/>
      <c r="GI5" s="155" t="n"/>
      <c r="GJ5" s="155" t="n"/>
      <c r="GK5" s="155" t="n"/>
      <c r="GL5" s="155" t="n"/>
      <c r="GM5" s="155" t="n"/>
      <c r="GN5" s="155" t="n"/>
      <c r="GO5" s="155" t="n"/>
      <c r="GP5" s="155" t="n"/>
      <c r="GQ5" s="155" t="n"/>
      <c r="GR5" s="155" t="n"/>
      <c r="GS5" s="155" t="n"/>
      <c r="GT5" s="155" t="n"/>
      <c r="GU5" s="155" t="n"/>
      <c r="GV5" s="155" t="n"/>
      <c r="GW5" s="155" t="n"/>
      <c r="GX5" s="155" t="n"/>
      <c r="GY5" s="155" t="n"/>
      <c r="GZ5" s="155" t="n"/>
      <c r="HA5" s="155" t="n"/>
      <c r="HB5" s="155" t="n"/>
      <c r="HC5" s="155" t="n"/>
      <c r="HD5" s="155" t="n"/>
      <c r="HE5" s="155" t="n"/>
      <c r="HF5" s="155" t="n"/>
      <c r="HG5" s="155" t="n"/>
      <c r="HH5" s="155" t="n"/>
      <c r="HI5" s="155" t="n"/>
      <c r="HJ5" s="155" t="n"/>
      <c r="HK5" s="155" t="n"/>
      <c r="HL5" s="155" t="n"/>
      <c r="HM5" s="155" t="n"/>
      <c r="HN5" s="155" t="n"/>
      <c r="HO5" s="155" t="n"/>
      <c r="HP5" s="155" t="n"/>
      <c r="HQ5" s="155" t="n"/>
      <c r="HR5" s="155" t="n"/>
      <c r="HS5" s="155" t="n"/>
      <c r="HT5" s="155" t="n"/>
      <c r="HU5" s="155" t="n"/>
      <c r="HV5" s="155" t="n"/>
      <c r="HW5" s="155" t="n"/>
      <c r="HX5" s="155" t="n"/>
      <c r="HY5" s="155" t="n"/>
      <c r="HZ5" s="155" t="n"/>
      <c r="IA5" s="155" t="n"/>
      <c r="IB5" s="155" t="n"/>
      <c r="IC5" s="155" t="n"/>
      <c r="ID5" s="155" t="n"/>
      <c r="IE5" s="155" t="n"/>
      <c r="IF5" s="155" t="n"/>
      <c r="IG5" s="155" t="n"/>
      <c r="IH5" s="155" t="n"/>
      <c r="II5" s="155" t="n"/>
      <c r="IJ5" s="155" t="n"/>
      <c r="IK5" s="155" t="n"/>
      <c r="IL5" s="155" t="n"/>
      <c r="IM5" s="155" t="n"/>
      <c r="IN5" s="155" t="n"/>
      <c r="IO5" s="155" t="n"/>
      <c r="IP5" s="155" t="n"/>
      <c r="IQ5" s="155" t="n"/>
      <c r="IR5" s="155" t="n"/>
      <c r="IS5" s="155" t="n"/>
      <c r="IT5" s="155" t="n"/>
      <c r="IU5" s="155" t="n"/>
      <c r="IV5" s="155" t="n"/>
      <c r="IW5" s="155" t="n"/>
      <c r="IX5" s="155" t="n"/>
      <c r="IY5" s="155" t="n"/>
      <c r="IZ5" s="155" t="n"/>
      <c r="JA5" s="155" t="n"/>
      <c r="JB5" s="155" t="n"/>
      <c r="JC5" s="155" t="n"/>
      <c r="JD5" s="155" t="n"/>
      <c r="JE5" s="155" t="n"/>
      <c r="JF5" s="155" t="n"/>
      <c r="JG5" s="155" t="n"/>
      <c r="JH5" s="155" t="n"/>
      <c r="JI5" s="155" t="n"/>
      <c r="JJ5" s="155" t="n"/>
      <c r="JK5" s="155" t="n"/>
      <c r="JL5" s="155" t="n"/>
      <c r="JM5" s="155" t="n"/>
      <c r="JN5" s="155" t="n"/>
      <c r="JO5" s="155" t="n"/>
      <c r="JP5" s="155" t="n"/>
      <c r="JQ5" s="155" t="n"/>
      <c r="JR5" s="155" t="n"/>
      <c r="JS5" s="155" t="n"/>
      <c r="JT5" s="155" t="n"/>
      <c r="JU5" s="155" t="n"/>
      <c r="JV5" s="155" t="n"/>
      <c r="JW5" s="155" t="n"/>
      <c r="JX5" s="155" t="n"/>
      <c r="JY5" s="155" t="n"/>
      <c r="JZ5" s="155" t="n"/>
      <c r="KA5" s="155" t="n"/>
      <c r="KB5" s="155" t="n"/>
      <c r="KC5" s="155" t="n"/>
      <c r="KD5" s="155" t="n"/>
      <c r="KE5" s="155" t="n"/>
      <c r="KF5" s="155" t="n"/>
      <c r="KG5" s="155" t="n"/>
      <c r="KH5" s="155" t="n"/>
      <c r="KI5" s="155" t="n"/>
      <c r="KJ5" s="155" t="n"/>
      <c r="KK5" s="155" t="n"/>
      <c r="KL5" s="155" t="n"/>
      <c r="KM5" s="155" t="n"/>
      <c r="KN5" s="155" t="n"/>
      <c r="KO5" s="155" t="n"/>
      <c r="KP5" s="155" t="n"/>
      <c r="KQ5" s="155" t="n"/>
      <c r="KR5" s="155" t="n"/>
      <c r="KS5" s="155" t="n"/>
      <c r="KT5" s="155" t="n"/>
      <c r="KU5" s="155" t="n"/>
      <c r="KV5" s="155" t="n"/>
      <c r="KW5" s="155" t="n"/>
      <c r="KX5" s="155" t="n"/>
      <c r="KY5" s="155" t="n"/>
      <c r="KZ5" s="155" t="n"/>
      <c r="LA5" s="155" t="n"/>
      <c r="LB5" s="155" t="n"/>
      <c r="LC5" s="155" t="n"/>
      <c r="LD5" s="155" t="n"/>
      <c r="LE5" s="155" t="n"/>
      <c r="LF5" s="155" t="n"/>
      <c r="LG5" s="155" t="n"/>
      <c r="LH5" s="155" t="n"/>
      <c r="LI5" s="155" t="n"/>
      <c r="LJ5" s="155" t="n"/>
      <c r="LK5" s="155" t="n"/>
      <c r="LL5" s="155" t="n"/>
      <c r="LM5" s="155" t="n"/>
      <c r="LN5" s="155" t="n"/>
      <c r="LO5" s="155" t="n"/>
      <c r="LP5" s="155" t="n"/>
      <c r="LQ5" s="155" t="n"/>
      <c r="LR5" s="155" t="n"/>
      <c r="LS5" s="155" t="n"/>
      <c r="LT5" s="155" t="n"/>
      <c r="LU5" s="155" t="n"/>
      <c r="LV5" s="155" t="n"/>
      <c r="LW5" s="155" t="n"/>
      <c r="LX5" s="155" t="n"/>
      <c r="LY5" s="155" t="n"/>
      <c r="LZ5" s="155" t="n"/>
      <c r="MA5" s="155" t="n"/>
      <c r="MB5" s="155" t="n"/>
      <c r="MC5" s="155" t="n"/>
      <c r="MD5" s="155" t="n"/>
      <c r="ME5" s="155" t="n"/>
      <c r="MF5" s="155" t="n"/>
      <c r="MG5" s="155" t="n"/>
      <c r="MH5" s="155" t="n"/>
      <c r="MI5" s="155" t="n"/>
      <c r="MJ5" s="155" t="n"/>
      <c r="MK5" s="155" t="n"/>
      <c r="ML5" s="155" t="n"/>
      <c r="MM5" s="155" t="n"/>
      <c r="MN5" s="155" t="n"/>
      <c r="MO5" s="155" t="n"/>
      <c r="MP5" s="155" t="n"/>
      <c r="MQ5" s="155" t="n"/>
      <c r="MR5" s="155" t="n"/>
      <c r="MS5" s="155" t="n"/>
      <c r="MT5" s="155" t="n"/>
      <c r="MU5" s="155" t="n"/>
      <c r="MV5" s="155" t="n"/>
      <c r="MW5" s="155" t="n"/>
      <c r="MX5" s="155" t="n"/>
      <c r="MY5" s="155" t="n"/>
      <c r="MZ5" s="155" t="n"/>
      <c r="NA5" s="155" t="n"/>
      <c r="NB5" s="155" t="n"/>
      <c r="NC5" s="155" t="n"/>
      <c r="ND5" s="155" t="n"/>
      <c r="NE5" s="155" t="n"/>
      <c r="NF5" s="155" t="n"/>
      <c r="NG5" s="155" t="n"/>
      <c r="NH5" s="155" t="n"/>
      <c r="NI5" s="155" t="n"/>
      <c r="NJ5" s="155" t="n"/>
      <c r="NK5" s="155" t="n"/>
      <c r="NL5" s="155" t="n"/>
    </row>
    <row r="6">
      <c r="B6" s="316" t="inlineStr">
        <is>
          <t>Development Spend</t>
        </is>
      </c>
      <c r="D6" s="402">
        <f>SUM(E6:NL6)</f>
        <v/>
      </c>
      <c r="E6" s="402">
        <f>-DevSpend!E$100</f>
        <v/>
      </c>
      <c r="F6" s="402">
        <f>-DevSpend!F$100</f>
        <v/>
      </c>
      <c r="G6" s="402">
        <f>-DevSpend!G$100</f>
        <v/>
      </c>
      <c r="H6" s="402">
        <f>-DevSpend!H$100</f>
        <v/>
      </c>
      <c r="I6" s="402">
        <f>-DevSpend!I$100</f>
        <v/>
      </c>
      <c r="J6" s="402">
        <f>-DevSpend!J$100</f>
        <v/>
      </c>
      <c r="K6" s="402">
        <f>-DevSpend!K$100</f>
        <v/>
      </c>
      <c r="L6" s="402">
        <f>-DevSpend!L$100</f>
        <v/>
      </c>
      <c r="M6" s="402">
        <f>-DevSpend!M$100</f>
        <v/>
      </c>
      <c r="N6" s="402">
        <f>-DevSpend!N$100</f>
        <v/>
      </c>
      <c r="O6" s="402">
        <f>-DevSpend!O$100</f>
        <v/>
      </c>
      <c r="P6" s="402">
        <f>-DevSpend!P$100</f>
        <v/>
      </c>
      <c r="Q6" s="402">
        <f>-DevSpend!Q$100</f>
        <v/>
      </c>
      <c r="R6" s="402">
        <f>-DevSpend!R$100</f>
        <v/>
      </c>
      <c r="S6" s="402">
        <f>-DevSpend!S$100</f>
        <v/>
      </c>
      <c r="T6" s="402">
        <f>-DevSpend!T$100</f>
        <v/>
      </c>
      <c r="U6" s="402">
        <f>-DevSpend!U$100</f>
        <v/>
      </c>
      <c r="V6" s="402">
        <f>-DevSpend!V$100</f>
        <v/>
      </c>
      <c r="W6" s="402">
        <f>-DevSpend!W$100</f>
        <v/>
      </c>
      <c r="X6" s="402">
        <f>-DevSpend!X$100</f>
        <v/>
      </c>
      <c r="Y6" s="402">
        <f>-DevSpend!Y$100</f>
        <v/>
      </c>
      <c r="Z6" s="402">
        <f>-DevSpend!Z$100</f>
        <v/>
      </c>
      <c r="AA6" s="402">
        <f>-DevSpend!AA$100</f>
        <v/>
      </c>
      <c r="AB6" s="402">
        <f>-DevSpend!AB$100</f>
        <v/>
      </c>
      <c r="AC6" s="402">
        <f>-DevSpend!AC$100</f>
        <v/>
      </c>
      <c r="AD6" s="402">
        <f>-DevSpend!AD$100</f>
        <v/>
      </c>
      <c r="AE6" s="402">
        <f>-DevSpend!AE$100</f>
        <v/>
      </c>
      <c r="AF6" s="402">
        <f>-DevSpend!AF$100</f>
        <v/>
      </c>
      <c r="AG6" s="402">
        <f>-DevSpend!AG$100</f>
        <v/>
      </c>
      <c r="AH6" s="402">
        <f>-DevSpend!AH$100</f>
        <v/>
      </c>
      <c r="AI6" s="402">
        <f>-DevSpend!AI$100</f>
        <v/>
      </c>
      <c r="AJ6" s="402">
        <f>-DevSpend!AJ$100</f>
        <v/>
      </c>
      <c r="AK6" s="402">
        <f>-DevSpend!AK$100</f>
        <v/>
      </c>
      <c r="AL6" s="402">
        <f>-DevSpend!AL$100</f>
        <v/>
      </c>
      <c r="AM6" s="402">
        <f>-DevSpend!AM$100</f>
        <v/>
      </c>
      <c r="AN6" s="402">
        <f>-DevSpend!AN$100</f>
        <v/>
      </c>
      <c r="AO6" s="402">
        <f>-DevSpend!AO$100</f>
        <v/>
      </c>
      <c r="AP6" s="402">
        <f>-DevSpend!AP$100</f>
        <v/>
      </c>
      <c r="AQ6" s="402">
        <f>-DevSpend!AQ$100</f>
        <v/>
      </c>
      <c r="AR6" s="402">
        <f>-DevSpend!AR$100</f>
        <v/>
      </c>
      <c r="AS6" s="402">
        <f>-DevSpend!AS$100</f>
        <v/>
      </c>
      <c r="AT6" s="402">
        <f>-DevSpend!AT$100</f>
        <v/>
      </c>
      <c r="AU6" s="402">
        <f>-DevSpend!AU$100</f>
        <v/>
      </c>
      <c r="AV6" s="402">
        <f>-DevSpend!AV$100</f>
        <v/>
      </c>
      <c r="AW6" s="402">
        <f>-DevSpend!AW$100</f>
        <v/>
      </c>
      <c r="AX6" s="402">
        <f>-DevSpend!AX$100</f>
        <v/>
      </c>
      <c r="AY6" s="402">
        <f>-DevSpend!AY$100</f>
        <v/>
      </c>
      <c r="AZ6" s="402">
        <f>-DevSpend!AZ$100</f>
        <v/>
      </c>
      <c r="BA6" s="402">
        <f>-DevSpend!BA$100</f>
        <v/>
      </c>
      <c r="BB6" s="402">
        <f>-DevSpend!BB$100</f>
        <v/>
      </c>
      <c r="BC6" s="402">
        <f>-DevSpend!BC$100</f>
        <v/>
      </c>
      <c r="BD6" s="402">
        <f>-DevSpend!BD$100</f>
        <v/>
      </c>
      <c r="BE6" s="402">
        <f>-DevSpend!BE$100</f>
        <v/>
      </c>
      <c r="BF6" s="402">
        <f>-DevSpend!BF$100</f>
        <v/>
      </c>
      <c r="BG6" s="402">
        <f>-DevSpend!BG$100</f>
        <v/>
      </c>
      <c r="BH6" s="402">
        <f>-DevSpend!BH$100</f>
        <v/>
      </c>
      <c r="BI6" s="402">
        <f>-DevSpend!BI$100</f>
        <v/>
      </c>
      <c r="BJ6" s="402">
        <f>-DevSpend!BJ$100</f>
        <v/>
      </c>
      <c r="BK6" s="402">
        <f>-DevSpend!BK$100</f>
        <v/>
      </c>
      <c r="BL6" s="402">
        <f>-DevSpend!BL$100</f>
        <v/>
      </c>
      <c r="BM6" s="402">
        <f>-DevSpend!BM$100</f>
        <v/>
      </c>
      <c r="BN6" s="402">
        <f>-DevSpend!BN$100</f>
        <v/>
      </c>
      <c r="BO6" s="402">
        <f>-DevSpend!BO$100</f>
        <v/>
      </c>
      <c r="BP6" s="402">
        <f>-DevSpend!BP$100</f>
        <v/>
      </c>
      <c r="BQ6" s="402">
        <f>-DevSpend!BQ$100</f>
        <v/>
      </c>
      <c r="BR6" s="402">
        <f>-DevSpend!BR$100</f>
        <v/>
      </c>
      <c r="BS6" s="402">
        <f>-DevSpend!BS$100</f>
        <v/>
      </c>
      <c r="BT6" s="402">
        <f>-DevSpend!BT$100</f>
        <v/>
      </c>
      <c r="BU6" s="402">
        <f>-DevSpend!BU$100</f>
        <v/>
      </c>
      <c r="BV6" s="402">
        <f>-DevSpend!BV$100</f>
        <v/>
      </c>
      <c r="BW6" s="402">
        <f>-DevSpend!BW$100</f>
        <v/>
      </c>
      <c r="BX6" s="402">
        <f>-DevSpend!BX$100</f>
        <v/>
      </c>
      <c r="BY6" s="402">
        <f>-DevSpend!BY$100</f>
        <v/>
      </c>
      <c r="BZ6" s="402">
        <f>-DevSpend!BZ$100</f>
        <v/>
      </c>
      <c r="CA6" s="402">
        <f>-DevSpend!CA$100</f>
        <v/>
      </c>
      <c r="CB6" s="402">
        <f>-DevSpend!CB$100</f>
        <v/>
      </c>
      <c r="CC6" s="402">
        <f>-DevSpend!CC$100</f>
        <v/>
      </c>
      <c r="CD6" s="402">
        <f>-DevSpend!CD$100</f>
        <v/>
      </c>
      <c r="CE6" s="402">
        <f>-DevSpend!CE$100</f>
        <v/>
      </c>
      <c r="CF6" s="402">
        <f>-DevSpend!CF$100</f>
        <v/>
      </c>
      <c r="CG6" s="402">
        <f>-DevSpend!CG$100</f>
        <v/>
      </c>
      <c r="CH6" s="402">
        <f>-DevSpend!CH$100</f>
        <v/>
      </c>
      <c r="CI6" s="402">
        <f>-DevSpend!CI$100</f>
        <v/>
      </c>
      <c r="CJ6" s="402">
        <f>-DevSpend!CJ$100</f>
        <v/>
      </c>
      <c r="CK6" s="402">
        <f>-DevSpend!CK$100</f>
        <v/>
      </c>
      <c r="CL6" s="402">
        <f>-DevSpend!CL$100</f>
        <v/>
      </c>
      <c r="CM6" s="402">
        <f>-DevSpend!CM$100</f>
        <v/>
      </c>
      <c r="CN6" s="402">
        <f>-DevSpend!CN$100</f>
        <v/>
      </c>
      <c r="CO6" s="402">
        <f>-DevSpend!CO$100</f>
        <v/>
      </c>
      <c r="CP6" s="402">
        <f>-DevSpend!CP$100</f>
        <v/>
      </c>
      <c r="CQ6" s="402">
        <f>-DevSpend!CQ$100</f>
        <v/>
      </c>
      <c r="CR6" s="402">
        <f>-DevSpend!CR$100</f>
        <v/>
      </c>
      <c r="CS6" s="402">
        <f>-DevSpend!CS$100</f>
        <v/>
      </c>
      <c r="CT6" s="402">
        <f>-DevSpend!CT$100</f>
        <v/>
      </c>
      <c r="CU6" s="402">
        <f>-DevSpend!CU$100</f>
        <v/>
      </c>
      <c r="CV6" s="402">
        <f>-DevSpend!CV$100</f>
        <v/>
      </c>
      <c r="CW6" s="402">
        <f>-DevSpend!CW$100</f>
        <v/>
      </c>
      <c r="CX6" s="402">
        <f>-DevSpend!CX$100</f>
        <v/>
      </c>
      <c r="CY6" s="402">
        <f>-DevSpend!CY$100</f>
        <v/>
      </c>
      <c r="CZ6" s="402">
        <f>-DevSpend!CZ$100</f>
        <v/>
      </c>
      <c r="DA6" s="402">
        <f>-DevSpend!DA$100</f>
        <v/>
      </c>
      <c r="DB6" s="402">
        <f>-DevSpend!DB$100</f>
        <v/>
      </c>
      <c r="DC6" s="402">
        <f>-DevSpend!DC$100</f>
        <v/>
      </c>
      <c r="DD6" s="402">
        <f>-DevSpend!DD$100</f>
        <v/>
      </c>
      <c r="DE6" s="402">
        <f>-DevSpend!DE$100</f>
        <v/>
      </c>
      <c r="DF6" s="402">
        <f>-DevSpend!DF$100</f>
        <v/>
      </c>
      <c r="DG6" s="402">
        <f>-DevSpend!DG$100</f>
        <v/>
      </c>
      <c r="DH6" s="402">
        <f>-DevSpend!DH$100</f>
        <v/>
      </c>
      <c r="DI6" s="402">
        <f>-DevSpend!DI$100</f>
        <v/>
      </c>
      <c r="DJ6" s="402">
        <f>-DevSpend!DJ$100</f>
        <v/>
      </c>
      <c r="DK6" s="402">
        <f>-DevSpend!DK$100</f>
        <v/>
      </c>
      <c r="DL6" s="402">
        <f>-DevSpend!DL$100</f>
        <v/>
      </c>
      <c r="DM6" s="402">
        <f>-DevSpend!DM$100</f>
        <v/>
      </c>
      <c r="DN6" s="402">
        <f>-DevSpend!DN$100</f>
        <v/>
      </c>
      <c r="DO6" s="402">
        <f>-DevSpend!DO$100</f>
        <v/>
      </c>
      <c r="DP6" s="402">
        <f>-DevSpend!DP$100</f>
        <v/>
      </c>
      <c r="DQ6" s="402">
        <f>-DevSpend!DQ$100</f>
        <v/>
      </c>
      <c r="DR6" s="402">
        <f>-DevSpend!DR$100</f>
        <v/>
      </c>
      <c r="DS6" s="402">
        <f>-DevSpend!DS$100</f>
        <v/>
      </c>
      <c r="DT6" s="402">
        <f>-DevSpend!DT$100</f>
        <v/>
      </c>
      <c r="DU6" s="402">
        <f>-DevSpend!DU$100</f>
        <v/>
      </c>
      <c r="DV6" s="402">
        <f>-DevSpend!DV$100</f>
        <v/>
      </c>
      <c r="DW6" s="402">
        <f>-DevSpend!DW$100</f>
        <v/>
      </c>
      <c r="DX6" s="402">
        <f>-DevSpend!DX$100</f>
        <v/>
      </c>
      <c r="DY6" s="402">
        <f>-DevSpend!DY$100</f>
        <v/>
      </c>
      <c r="DZ6" s="402">
        <f>-DevSpend!DZ$100</f>
        <v/>
      </c>
      <c r="EA6" s="402">
        <f>-DevSpend!EA$100</f>
        <v/>
      </c>
      <c r="EB6" s="402">
        <f>-DevSpend!EB$100</f>
        <v/>
      </c>
      <c r="EC6" s="402">
        <f>-DevSpend!EC$100</f>
        <v/>
      </c>
      <c r="ED6" s="402">
        <f>-DevSpend!ED$100</f>
        <v/>
      </c>
      <c r="EE6" s="402">
        <f>-DevSpend!EE$100</f>
        <v/>
      </c>
      <c r="EF6" s="402">
        <f>-DevSpend!EF$100</f>
        <v/>
      </c>
      <c r="EG6" s="402">
        <f>-DevSpend!EG$100</f>
        <v/>
      </c>
      <c r="EH6" s="402">
        <f>-DevSpend!EH$100</f>
        <v/>
      </c>
      <c r="EI6" s="402">
        <f>-DevSpend!EI$100</f>
        <v/>
      </c>
      <c r="EJ6" s="402">
        <f>-DevSpend!EJ$100</f>
        <v/>
      </c>
      <c r="EK6" s="402">
        <f>-DevSpend!EK$100</f>
        <v/>
      </c>
      <c r="EL6" s="402">
        <f>-DevSpend!EL$100</f>
        <v/>
      </c>
      <c r="EM6" s="402">
        <f>-DevSpend!EM$100</f>
        <v/>
      </c>
      <c r="EN6" s="402">
        <f>-DevSpend!EN$100</f>
        <v/>
      </c>
      <c r="EO6" s="402">
        <f>-DevSpend!EO$100</f>
        <v/>
      </c>
      <c r="EP6" s="402">
        <f>-DevSpend!EP$100</f>
        <v/>
      </c>
      <c r="EQ6" s="402">
        <f>-DevSpend!EQ$100</f>
        <v/>
      </c>
      <c r="ER6" s="402">
        <f>-DevSpend!ER$100</f>
        <v/>
      </c>
      <c r="ES6" s="402">
        <f>-DevSpend!ES$100</f>
        <v/>
      </c>
      <c r="ET6" s="402">
        <f>-DevSpend!ET$100</f>
        <v/>
      </c>
      <c r="EU6" s="402">
        <f>-DevSpend!EU$100</f>
        <v/>
      </c>
      <c r="EV6" s="402">
        <f>-DevSpend!EV$100</f>
        <v/>
      </c>
      <c r="EW6" s="402">
        <f>-DevSpend!EW$100</f>
        <v/>
      </c>
      <c r="EX6" s="402">
        <f>-DevSpend!EX$100</f>
        <v/>
      </c>
      <c r="EY6" s="402">
        <f>-DevSpend!EY$100</f>
        <v/>
      </c>
      <c r="EZ6" s="402">
        <f>-DevSpend!EZ$100</f>
        <v/>
      </c>
      <c r="FA6" s="402">
        <f>-DevSpend!FA$100</f>
        <v/>
      </c>
      <c r="FB6" s="402">
        <f>-DevSpend!FB$100</f>
        <v/>
      </c>
      <c r="FC6" s="402">
        <f>-DevSpend!FC$100</f>
        <v/>
      </c>
      <c r="FD6" s="402">
        <f>-DevSpend!FD$100</f>
        <v/>
      </c>
      <c r="FE6" s="402">
        <f>-DevSpend!FE$100</f>
        <v/>
      </c>
      <c r="FF6" s="402">
        <f>-DevSpend!FF$100</f>
        <v/>
      </c>
      <c r="FG6" s="402">
        <f>-DevSpend!FG$100</f>
        <v/>
      </c>
      <c r="FH6" s="402">
        <f>-DevSpend!FH$100</f>
        <v/>
      </c>
      <c r="FI6" s="402">
        <f>-DevSpend!FI$100</f>
        <v/>
      </c>
      <c r="FJ6" s="402">
        <f>-DevSpend!FJ$100</f>
        <v/>
      </c>
      <c r="FK6" s="402">
        <f>-DevSpend!FK$100</f>
        <v/>
      </c>
      <c r="FL6" s="402">
        <f>-DevSpend!FL$100</f>
        <v/>
      </c>
      <c r="FM6" s="402">
        <f>-DevSpend!FM$100</f>
        <v/>
      </c>
      <c r="FN6" s="402">
        <f>-DevSpend!FN$100</f>
        <v/>
      </c>
      <c r="FO6" s="402">
        <f>-DevSpend!FO$100</f>
        <v/>
      </c>
      <c r="FP6" s="402">
        <f>-DevSpend!FP$100</f>
        <v/>
      </c>
      <c r="FQ6" s="402">
        <f>-DevSpend!FQ$100</f>
        <v/>
      </c>
      <c r="FR6" s="402">
        <f>-DevSpend!FR$100</f>
        <v/>
      </c>
      <c r="FS6" s="402">
        <f>-DevSpend!FS$100</f>
        <v/>
      </c>
      <c r="FT6" s="402">
        <f>-DevSpend!FT$100</f>
        <v/>
      </c>
      <c r="FU6" s="402">
        <f>-DevSpend!FU$100</f>
        <v/>
      </c>
      <c r="FV6" s="402">
        <f>-DevSpend!FV$100</f>
        <v/>
      </c>
      <c r="FW6" s="402">
        <f>-DevSpend!FW$100</f>
        <v/>
      </c>
      <c r="FX6" s="402">
        <f>-DevSpend!FX$100</f>
        <v/>
      </c>
      <c r="FY6" s="402">
        <f>-DevSpend!FY$100</f>
        <v/>
      </c>
      <c r="FZ6" s="402">
        <f>-DevSpend!FZ$100</f>
        <v/>
      </c>
      <c r="GA6" s="402">
        <f>-DevSpend!GA$100</f>
        <v/>
      </c>
      <c r="GB6" s="402">
        <f>-DevSpend!GB$100</f>
        <v/>
      </c>
      <c r="GC6" s="402">
        <f>-DevSpend!GC$100</f>
        <v/>
      </c>
      <c r="GD6" s="402">
        <f>-DevSpend!GD$100</f>
        <v/>
      </c>
      <c r="GE6" s="402">
        <f>-DevSpend!GE$100</f>
        <v/>
      </c>
      <c r="GF6" s="402">
        <f>-DevSpend!GF$100</f>
        <v/>
      </c>
      <c r="GG6" s="402">
        <f>-DevSpend!GG$100</f>
        <v/>
      </c>
      <c r="GH6" s="402">
        <f>-DevSpend!GH$100</f>
        <v/>
      </c>
      <c r="GI6" s="402">
        <f>-DevSpend!GI$100</f>
        <v/>
      </c>
      <c r="GJ6" s="402">
        <f>-DevSpend!GJ$100</f>
        <v/>
      </c>
      <c r="GK6" s="402">
        <f>-DevSpend!GK$100</f>
        <v/>
      </c>
      <c r="GL6" s="402">
        <f>-DevSpend!GL$100</f>
        <v/>
      </c>
      <c r="GM6" s="402">
        <f>-DevSpend!GM$100</f>
        <v/>
      </c>
      <c r="GN6" s="402">
        <f>-DevSpend!GN$100</f>
        <v/>
      </c>
      <c r="GO6" s="402">
        <f>-DevSpend!GO$100</f>
        <v/>
      </c>
      <c r="GP6" s="402">
        <f>-DevSpend!GP$100</f>
        <v/>
      </c>
      <c r="GQ6" s="402">
        <f>-DevSpend!GQ$100</f>
        <v/>
      </c>
      <c r="GR6" s="402">
        <f>-DevSpend!GR$100</f>
        <v/>
      </c>
      <c r="GS6" s="402">
        <f>-DevSpend!GS$100</f>
        <v/>
      </c>
      <c r="GT6" s="402">
        <f>-DevSpend!GT$100</f>
        <v/>
      </c>
      <c r="GU6" s="402">
        <f>-DevSpend!GU$100</f>
        <v/>
      </c>
      <c r="GV6" s="402">
        <f>-DevSpend!GV$100</f>
        <v/>
      </c>
      <c r="GW6" s="402">
        <f>-DevSpend!GW$100</f>
        <v/>
      </c>
      <c r="GX6" s="402">
        <f>-DevSpend!GX$100</f>
        <v/>
      </c>
      <c r="GY6" s="402">
        <f>-DevSpend!GY$100</f>
        <v/>
      </c>
      <c r="GZ6" s="402">
        <f>-DevSpend!GZ$100</f>
        <v/>
      </c>
      <c r="HA6" s="402">
        <f>-DevSpend!HA$100</f>
        <v/>
      </c>
      <c r="HB6" s="402">
        <f>-DevSpend!HB$100</f>
        <v/>
      </c>
      <c r="HC6" s="402">
        <f>-DevSpend!HC$100</f>
        <v/>
      </c>
      <c r="HD6" s="402">
        <f>-DevSpend!HD$100</f>
        <v/>
      </c>
      <c r="HE6" s="402">
        <f>-DevSpend!HE$100</f>
        <v/>
      </c>
      <c r="HF6" s="402">
        <f>-DevSpend!HF$100</f>
        <v/>
      </c>
      <c r="HG6" s="402">
        <f>-DevSpend!HG$100</f>
        <v/>
      </c>
      <c r="HH6" s="402">
        <f>-DevSpend!HH$100</f>
        <v/>
      </c>
      <c r="HI6" s="402">
        <f>-DevSpend!HI$100</f>
        <v/>
      </c>
      <c r="HJ6" s="402">
        <f>-DevSpend!HJ$100</f>
        <v/>
      </c>
      <c r="HK6" s="402">
        <f>-DevSpend!HK$100</f>
        <v/>
      </c>
      <c r="HL6" s="402">
        <f>-DevSpend!HL$100</f>
        <v/>
      </c>
      <c r="HM6" s="402">
        <f>-DevSpend!HM$100</f>
        <v/>
      </c>
      <c r="HN6" s="402">
        <f>-DevSpend!HN$100</f>
        <v/>
      </c>
      <c r="HO6" s="402">
        <f>-DevSpend!HO$100</f>
        <v/>
      </c>
      <c r="HP6" s="402">
        <f>-DevSpend!HP$100</f>
        <v/>
      </c>
      <c r="HQ6" s="402">
        <f>-DevSpend!HQ$100</f>
        <v/>
      </c>
      <c r="HR6" s="402">
        <f>-DevSpend!HR$100</f>
        <v/>
      </c>
      <c r="HS6" s="402">
        <f>-DevSpend!HS$100</f>
        <v/>
      </c>
      <c r="HT6" s="402">
        <f>-DevSpend!HT$100</f>
        <v/>
      </c>
      <c r="HU6" s="402">
        <f>-DevSpend!HU$100</f>
        <v/>
      </c>
      <c r="HV6" s="402">
        <f>-DevSpend!HV$100</f>
        <v/>
      </c>
      <c r="HW6" s="402">
        <f>-DevSpend!HW$100</f>
        <v/>
      </c>
      <c r="HX6" s="402">
        <f>-DevSpend!HX$100</f>
        <v/>
      </c>
      <c r="HY6" s="402">
        <f>-DevSpend!HY$100</f>
        <v/>
      </c>
      <c r="HZ6" s="402">
        <f>-DevSpend!HZ$100</f>
        <v/>
      </c>
      <c r="IA6" s="402">
        <f>-DevSpend!IA$100</f>
        <v/>
      </c>
      <c r="IB6" s="402">
        <f>-DevSpend!IB$100</f>
        <v/>
      </c>
      <c r="IC6" s="402">
        <f>-DevSpend!IC$100</f>
        <v/>
      </c>
      <c r="ID6" s="402">
        <f>-DevSpend!ID$100</f>
        <v/>
      </c>
      <c r="IE6" s="402">
        <f>-DevSpend!IE$100</f>
        <v/>
      </c>
      <c r="IF6" s="402">
        <f>-DevSpend!IF$100</f>
        <v/>
      </c>
      <c r="IG6" s="402">
        <f>-DevSpend!IG$100</f>
        <v/>
      </c>
      <c r="IH6" s="402">
        <f>-DevSpend!IH$100</f>
        <v/>
      </c>
      <c r="II6" s="402">
        <f>-DevSpend!II$100</f>
        <v/>
      </c>
      <c r="IJ6" s="402">
        <f>-DevSpend!IJ$100</f>
        <v/>
      </c>
      <c r="IK6" s="402">
        <f>-DevSpend!IK$100</f>
        <v/>
      </c>
      <c r="IL6" s="402">
        <f>-DevSpend!IL$100</f>
        <v/>
      </c>
      <c r="IM6" s="402">
        <f>-DevSpend!IM$100</f>
        <v/>
      </c>
      <c r="IN6" s="402">
        <f>-DevSpend!IN$100</f>
        <v/>
      </c>
      <c r="IO6" s="402">
        <f>-DevSpend!IO$100</f>
        <v/>
      </c>
      <c r="IP6" s="402">
        <f>-DevSpend!IP$100</f>
        <v/>
      </c>
      <c r="IQ6" s="402">
        <f>-DevSpend!IQ$100</f>
        <v/>
      </c>
      <c r="IR6" s="402">
        <f>-DevSpend!IR$100</f>
        <v/>
      </c>
      <c r="IS6" s="402">
        <f>-DevSpend!IS$100</f>
        <v/>
      </c>
      <c r="IT6" s="402">
        <f>-DevSpend!IT$100</f>
        <v/>
      </c>
      <c r="IU6" s="402">
        <f>-DevSpend!IU$100</f>
        <v/>
      </c>
      <c r="IV6" s="402">
        <f>-DevSpend!IV$100</f>
        <v/>
      </c>
      <c r="IW6" s="402">
        <f>-DevSpend!IW$100</f>
        <v/>
      </c>
      <c r="IX6" s="402">
        <f>-DevSpend!IX$100</f>
        <v/>
      </c>
      <c r="IY6" s="402">
        <f>-DevSpend!IY$100</f>
        <v/>
      </c>
      <c r="IZ6" s="402">
        <f>-DevSpend!IZ$100</f>
        <v/>
      </c>
      <c r="JA6" s="402">
        <f>-DevSpend!JA$100</f>
        <v/>
      </c>
      <c r="JB6" s="402">
        <f>-DevSpend!JB$100</f>
        <v/>
      </c>
      <c r="JC6" s="402">
        <f>-DevSpend!JC$100</f>
        <v/>
      </c>
      <c r="JD6" s="402">
        <f>-DevSpend!JD$100</f>
        <v/>
      </c>
      <c r="JE6" s="402">
        <f>-DevSpend!JE$100</f>
        <v/>
      </c>
      <c r="JF6" s="402">
        <f>-DevSpend!JF$100</f>
        <v/>
      </c>
      <c r="JG6" s="402">
        <f>-DevSpend!JG$100</f>
        <v/>
      </c>
      <c r="JH6" s="402">
        <f>-DevSpend!JH$100</f>
        <v/>
      </c>
      <c r="JI6" s="402">
        <f>-DevSpend!JI$100</f>
        <v/>
      </c>
      <c r="JJ6" s="402">
        <f>-DevSpend!JJ$100</f>
        <v/>
      </c>
      <c r="JK6" s="402">
        <f>-DevSpend!JK$100</f>
        <v/>
      </c>
      <c r="JL6" s="402">
        <f>-DevSpend!JL$100</f>
        <v/>
      </c>
      <c r="JM6" s="402">
        <f>-DevSpend!JM$100</f>
        <v/>
      </c>
      <c r="JN6" s="402">
        <f>-DevSpend!JN$100</f>
        <v/>
      </c>
      <c r="JO6" s="402">
        <f>-DevSpend!JO$100</f>
        <v/>
      </c>
      <c r="JP6" s="402">
        <f>-DevSpend!JP$100</f>
        <v/>
      </c>
      <c r="JQ6" s="402">
        <f>-DevSpend!JQ$100</f>
        <v/>
      </c>
      <c r="JR6" s="402">
        <f>-DevSpend!JR$100</f>
        <v/>
      </c>
      <c r="JS6" s="402">
        <f>-DevSpend!JS$100</f>
        <v/>
      </c>
      <c r="JT6" s="402">
        <f>-DevSpend!JT$100</f>
        <v/>
      </c>
      <c r="JU6" s="402">
        <f>-DevSpend!JU$100</f>
        <v/>
      </c>
      <c r="JV6" s="402">
        <f>-DevSpend!JV$100</f>
        <v/>
      </c>
      <c r="JW6" s="402">
        <f>-DevSpend!JW$100</f>
        <v/>
      </c>
      <c r="JX6" s="402">
        <f>-DevSpend!JX$100</f>
        <v/>
      </c>
      <c r="JY6" s="402">
        <f>-DevSpend!JY$100</f>
        <v/>
      </c>
      <c r="JZ6" s="402">
        <f>-DevSpend!JZ$100</f>
        <v/>
      </c>
      <c r="KA6" s="402">
        <f>-DevSpend!KA$100</f>
        <v/>
      </c>
      <c r="KB6" s="402">
        <f>-DevSpend!KB$100</f>
        <v/>
      </c>
      <c r="KC6" s="402">
        <f>-DevSpend!KC$100</f>
        <v/>
      </c>
      <c r="KD6" s="402">
        <f>-DevSpend!KD$100</f>
        <v/>
      </c>
      <c r="KE6" s="402">
        <f>-DevSpend!KE$100</f>
        <v/>
      </c>
      <c r="KF6" s="402">
        <f>-DevSpend!KF$100</f>
        <v/>
      </c>
      <c r="KG6" s="402">
        <f>-DevSpend!KG$100</f>
        <v/>
      </c>
      <c r="KH6" s="402">
        <f>-DevSpend!KH$100</f>
        <v/>
      </c>
      <c r="KI6" s="402">
        <f>-DevSpend!KI$100</f>
        <v/>
      </c>
      <c r="KJ6" s="402">
        <f>-DevSpend!KJ$100</f>
        <v/>
      </c>
      <c r="KK6" s="402">
        <f>-DevSpend!KK$100</f>
        <v/>
      </c>
      <c r="KL6" s="402">
        <f>-DevSpend!KL$100</f>
        <v/>
      </c>
      <c r="KM6" s="402">
        <f>-DevSpend!KM$100</f>
        <v/>
      </c>
      <c r="KN6" s="402">
        <f>-DevSpend!KN$100</f>
        <v/>
      </c>
      <c r="KO6" s="402">
        <f>-DevSpend!KO$100</f>
        <v/>
      </c>
      <c r="KP6" s="402">
        <f>-DevSpend!KP$100</f>
        <v/>
      </c>
      <c r="KQ6" s="402">
        <f>-DevSpend!KQ$100</f>
        <v/>
      </c>
      <c r="KR6" s="402">
        <f>-DevSpend!KR$100</f>
        <v/>
      </c>
      <c r="KS6" s="402">
        <f>-DevSpend!KS$100</f>
        <v/>
      </c>
      <c r="KT6" s="402">
        <f>-DevSpend!KT$100</f>
        <v/>
      </c>
      <c r="KU6" s="402">
        <f>-DevSpend!KU$100</f>
        <v/>
      </c>
      <c r="KV6" s="402">
        <f>-DevSpend!KV$100</f>
        <v/>
      </c>
      <c r="KW6" s="402">
        <f>-DevSpend!KW$100</f>
        <v/>
      </c>
      <c r="KX6" s="402">
        <f>-DevSpend!KX$100</f>
        <v/>
      </c>
      <c r="KY6" s="402">
        <f>-DevSpend!KY$100</f>
        <v/>
      </c>
      <c r="KZ6" s="402">
        <f>-DevSpend!KZ$100</f>
        <v/>
      </c>
      <c r="LA6" s="402">
        <f>-DevSpend!LA$100</f>
        <v/>
      </c>
      <c r="LB6" s="402">
        <f>-DevSpend!LB$100</f>
        <v/>
      </c>
      <c r="LC6" s="402">
        <f>-DevSpend!LC$100</f>
        <v/>
      </c>
      <c r="LD6" s="402">
        <f>-DevSpend!LD$100</f>
        <v/>
      </c>
      <c r="LE6" s="402">
        <f>-DevSpend!LE$100</f>
        <v/>
      </c>
      <c r="LF6" s="402">
        <f>-DevSpend!LF$100</f>
        <v/>
      </c>
      <c r="LG6" s="402">
        <f>-DevSpend!LG$100</f>
        <v/>
      </c>
      <c r="LH6" s="402">
        <f>-DevSpend!LH$100</f>
        <v/>
      </c>
      <c r="LI6" s="402">
        <f>-DevSpend!LI$100</f>
        <v/>
      </c>
      <c r="LJ6" s="402">
        <f>-DevSpend!LJ$100</f>
        <v/>
      </c>
      <c r="LK6" s="402">
        <f>-DevSpend!LK$100</f>
        <v/>
      </c>
      <c r="LL6" s="402">
        <f>-DevSpend!LL$100</f>
        <v/>
      </c>
      <c r="LM6" s="402">
        <f>-DevSpend!LM$100</f>
        <v/>
      </c>
      <c r="LN6" s="402">
        <f>-DevSpend!LN$100</f>
        <v/>
      </c>
      <c r="LO6" s="402">
        <f>-DevSpend!LO$100</f>
        <v/>
      </c>
      <c r="LP6" s="402">
        <f>-DevSpend!LP$100</f>
        <v/>
      </c>
      <c r="LQ6" s="402">
        <f>-DevSpend!LQ$100</f>
        <v/>
      </c>
      <c r="LR6" s="402">
        <f>-DevSpend!LR$100</f>
        <v/>
      </c>
      <c r="LS6" s="402">
        <f>-DevSpend!LS$100</f>
        <v/>
      </c>
      <c r="LT6" s="402">
        <f>-DevSpend!LT$100</f>
        <v/>
      </c>
      <c r="LU6" s="402">
        <f>-DevSpend!LU$100</f>
        <v/>
      </c>
      <c r="LV6" s="402">
        <f>-DevSpend!LV$100</f>
        <v/>
      </c>
      <c r="LW6" s="402">
        <f>-DevSpend!LW$100</f>
        <v/>
      </c>
      <c r="LX6" s="402">
        <f>-DevSpend!LX$100</f>
        <v/>
      </c>
      <c r="LY6" s="402">
        <f>-DevSpend!LY$100</f>
        <v/>
      </c>
      <c r="LZ6" s="402">
        <f>-DevSpend!LZ$100</f>
        <v/>
      </c>
      <c r="MA6" s="402">
        <f>-DevSpend!MA$100</f>
        <v/>
      </c>
      <c r="MB6" s="402">
        <f>-DevSpend!MB$100</f>
        <v/>
      </c>
      <c r="MC6" s="402">
        <f>-DevSpend!MC$100</f>
        <v/>
      </c>
      <c r="MD6" s="402">
        <f>-DevSpend!MD$100</f>
        <v/>
      </c>
      <c r="ME6" s="402">
        <f>-DevSpend!ME$100</f>
        <v/>
      </c>
      <c r="MF6" s="402">
        <f>-DevSpend!MF$100</f>
        <v/>
      </c>
      <c r="MG6" s="402">
        <f>-DevSpend!MG$100</f>
        <v/>
      </c>
      <c r="MH6" s="402">
        <f>-DevSpend!MH$100</f>
        <v/>
      </c>
      <c r="MI6" s="402">
        <f>-DevSpend!MI$100</f>
        <v/>
      </c>
      <c r="MJ6" s="402">
        <f>-DevSpend!MJ$100</f>
        <v/>
      </c>
      <c r="MK6" s="402">
        <f>-DevSpend!MK$100</f>
        <v/>
      </c>
      <c r="ML6" s="402">
        <f>-DevSpend!ML$100</f>
        <v/>
      </c>
      <c r="MM6" s="402">
        <f>-DevSpend!MM$100</f>
        <v/>
      </c>
      <c r="MN6" s="402">
        <f>-DevSpend!MN$100</f>
        <v/>
      </c>
      <c r="MO6" s="402">
        <f>-DevSpend!MO$100</f>
        <v/>
      </c>
      <c r="MP6" s="402">
        <f>-DevSpend!MP$100</f>
        <v/>
      </c>
      <c r="MQ6" s="402">
        <f>-DevSpend!MQ$100</f>
        <v/>
      </c>
      <c r="MR6" s="402">
        <f>-DevSpend!MR$100</f>
        <v/>
      </c>
      <c r="MS6" s="402">
        <f>-DevSpend!MS$100</f>
        <v/>
      </c>
      <c r="MT6" s="402">
        <f>-DevSpend!MT$100</f>
        <v/>
      </c>
      <c r="MU6" s="402">
        <f>-DevSpend!MU$100</f>
        <v/>
      </c>
      <c r="MV6" s="402">
        <f>-DevSpend!MV$100</f>
        <v/>
      </c>
      <c r="MW6" s="402">
        <f>-DevSpend!MW$100</f>
        <v/>
      </c>
      <c r="MX6" s="402">
        <f>-DevSpend!MX$100</f>
        <v/>
      </c>
      <c r="MY6" s="402">
        <f>-DevSpend!MY$100</f>
        <v/>
      </c>
      <c r="MZ6" s="402">
        <f>-DevSpend!MZ$100</f>
        <v/>
      </c>
      <c r="NA6" s="402">
        <f>-DevSpend!NA$100</f>
        <v/>
      </c>
      <c r="NB6" s="402">
        <f>-DevSpend!NB$100</f>
        <v/>
      </c>
      <c r="NC6" s="402">
        <f>-DevSpend!NC$100</f>
        <v/>
      </c>
      <c r="ND6" s="402">
        <f>-DevSpend!ND$100</f>
        <v/>
      </c>
      <c r="NE6" s="402">
        <f>-DevSpend!NE$100</f>
        <v/>
      </c>
      <c r="NF6" s="402">
        <f>-DevSpend!NF$100</f>
        <v/>
      </c>
      <c r="NG6" s="402">
        <f>-DevSpend!NG$100</f>
        <v/>
      </c>
      <c r="NH6" s="402">
        <f>-DevSpend!NH$100</f>
        <v/>
      </c>
      <c r="NI6" s="402">
        <f>-DevSpend!NI$100</f>
        <v/>
      </c>
      <c r="NJ6" s="402">
        <f>-DevSpend!NJ$100</f>
        <v/>
      </c>
      <c r="NK6" s="402">
        <f>-DevSpend!NK$100</f>
        <v/>
      </c>
      <c r="NL6" s="402">
        <f>-DevSpend!NL$100</f>
        <v/>
      </c>
    </row>
    <row r="7">
      <c r="B7" s="316" t="inlineStr">
        <is>
          <t>Sponsor Development Fee</t>
        </is>
      </c>
      <c r="D7" s="402">
        <f>SUM(E7:NL7)</f>
        <v/>
      </c>
      <c r="E7" s="402">
        <f>-DevSpend!E$101</f>
        <v/>
      </c>
      <c r="F7" s="402">
        <f>-DevSpend!F$101</f>
        <v/>
      </c>
      <c r="G7" s="402">
        <f>-DevSpend!G$101</f>
        <v/>
      </c>
      <c r="H7" s="402">
        <f>-DevSpend!H$101</f>
        <v/>
      </c>
      <c r="I7" s="402">
        <f>-DevSpend!I$101</f>
        <v/>
      </c>
      <c r="J7" s="402">
        <f>-DevSpend!J$101</f>
        <v/>
      </c>
      <c r="K7" s="402">
        <f>-DevSpend!K$101</f>
        <v/>
      </c>
      <c r="L7" s="402">
        <f>-DevSpend!L$101</f>
        <v/>
      </c>
      <c r="M7" s="402">
        <f>-DevSpend!M$101</f>
        <v/>
      </c>
      <c r="N7" s="402">
        <f>-DevSpend!N$101</f>
        <v/>
      </c>
      <c r="O7" s="402">
        <f>-DevSpend!O$101</f>
        <v/>
      </c>
      <c r="P7" s="402">
        <f>-DevSpend!P$101</f>
        <v/>
      </c>
      <c r="Q7" s="402">
        <f>-DevSpend!Q$101</f>
        <v/>
      </c>
      <c r="R7" s="402">
        <f>-DevSpend!R$101</f>
        <v/>
      </c>
      <c r="S7" s="402">
        <f>-DevSpend!S$101</f>
        <v/>
      </c>
      <c r="T7" s="402">
        <f>-DevSpend!T$101</f>
        <v/>
      </c>
      <c r="U7" s="402">
        <f>-DevSpend!U$101</f>
        <v/>
      </c>
      <c r="V7" s="402">
        <f>-DevSpend!V$101</f>
        <v/>
      </c>
      <c r="W7" s="402">
        <f>-DevSpend!W$101</f>
        <v/>
      </c>
      <c r="X7" s="402">
        <f>-DevSpend!X$101</f>
        <v/>
      </c>
      <c r="Y7" s="402">
        <f>-DevSpend!Y$101</f>
        <v/>
      </c>
      <c r="Z7" s="402">
        <f>-DevSpend!Z$101</f>
        <v/>
      </c>
      <c r="AA7" s="402">
        <f>-DevSpend!AA$101</f>
        <v/>
      </c>
      <c r="AB7" s="402">
        <f>-DevSpend!AB$101</f>
        <v/>
      </c>
      <c r="AC7" s="402">
        <f>-DevSpend!AC$101</f>
        <v/>
      </c>
      <c r="AD7" s="402">
        <f>-DevSpend!AD$101</f>
        <v/>
      </c>
      <c r="AE7" s="402">
        <f>-DevSpend!AE$101</f>
        <v/>
      </c>
      <c r="AF7" s="402">
        <f>-DevSpend!AF$101</f>
        <v/>
      </c>
      <c r="AG7" s="402">
        <f>-DevSpend!AG$101</f>
        <v/>
      </c>
      <c r="AH7" s="402">
        <f>-DevSpend!AH$101</f>
        <v/>
      </c>
      <c r="AI7" s="402">
        <f>-DevSpend!AI$101</f>
        <v/>
      </c>
      <c r="AJ7" s="402">
        <f>-DevSpend!AJ$101</f>
        <v/>
      </c>
      <c r="AK7" s="402">
        <f>-DevSpend!AK$101</f>
        <v/>
      </c>
      <c r="AL7" s="402">
        <f>-DevSpend!AL$101</f>
        <v/>
      </c>
      <c r="AM7" s="402">
        <f>-DevSpend!AM$101</f>
        <v/>
      </c>
      <c r="AN7" s="402">
        <f>-DevSpend!AN$101</f>
        <v/>
      </c>
      <c r="AO7" s="402">
        <f>-DevSpend!AO$101</f>
        <v/>
      </c>
      <c r="AP7" s="402">
        <f>-DevSpend!AP$101</f>
        <v/>
      </c>
      <c r="AQ7" s="402">
        <f>-DevSpend!AQ$101</f>
        <v/>
      </c>
      <c r="AR7" s="402">
        <f>-DevSpend!AR$101</f>
        <v/>
      </c>
      <c r="AS7" s="402">
        <f>-DevSpend!AS$101</f>
        <v/>
      </c>
      <c r="AT7" s="402">
        <f>-DevSpend!AT$101</f>
        <v/>
      </c>
      <c r="AU7" s="402">
        <f>-DevSpend!AU$101</f>
        <v/>
      </c>
      <c r="AV7" s="402">
        <f>-DevSpend!AV$101</f>
        <v/>
      </c>
      <c r="AW7" s="402">
        <f>-DevSpend!AW$101</f>
        <v/>
      </c>
      <c r="AX7" s="402">
        <f>-DevSpend!AX$101</f>
        <v/>
      </c>
      <c r="AY7" s="402">
        <f>-DevSpend!AY$101</f>
        <v/>
      </c>
      <c r="AZ7" s="402">
        <f>-DevSpend!AZ$101</f>
        <v/>
      </c>
      <c r="BA7" s="402">
        <f>-DevSpend!BA$101</f>
        <v/>
      </c>
      <c r="BB7" s="402">
        <f>-DevSpend!BB$101</f>
        <v/>
      </c>
      <c r="BC7" s="402">
        <f>-DevSpend!BC$101</f>
        <v/>
      </c>
      <c r="BD7" s="402">
        <f>-DevSpend!BD$101</f>
        <v/>
      </c>
      <c r="BE7" s="402">
        <f>-DevSpend!BE$101</f>
        <v/>
      </c>
      <c r="BF7" s="402">
        <f>-DevSpend!BF$101</f>
        <v/>
      </c>
      <c r="BG7" s="402">
        <f>-DevSpend!BG$101</f>
        <v/>
      </c>
      <c r="BH7" s="402">
        <f>-DevSpend!BH$101</f>
        <v/>
      </c>
      <c r="BI7" s="402">
        <f>-DevSpend!BI$101</f>
        <v/>
      </c>
      <c r="BJ7" s="402">
        <f>-DevSpend!BJ$101</f>
        <v/>
      </c>
      <c r="BK7" s="402">
        <f>-DevSpend!BK$101</f>
        <v/>
      </c>
      <c r="BL7" s="402">
        <f>-DevSpend!BL$101</f>
        <v/>
      </c>
      <c r="BM7" s="402">
        <f>-DevSpend!BM$101</f>
        <v/>
      </c>
      <c r="BN7" s="402">
        <f>-DevSpend!BN$101</f>
        <v/>
      </c>
      <c r="BO7" s="402">
        <f>-DevSpend!BO$101</f>
        <v/>
      </c>
      <c r="BP7" s="402">
        <f>-DevSpend!BP$101</f>
        <v/>
      </c>
      <c r="BQ7" s="402">
        <f>-DevSpend!BQ$101</f>
        <v/>
      </c>
      <c r="BR7" s="402">
        <f>-DevSpend!BR$101</f>
        <v/>
      </c>
      <c r="BS7" s="402">
        <f>-DevSpend!BS$101</f>
        <v/>
      </c>
      <c r="BT7" s="402">
        <f>-DevSpend!BT$101</f>
        <v/>
      </c>
      <c r="BU7" s="402">
        <f>-DevSpend!BU$101</f>
        <v/>
      </c>
      <c r="BV7" s="402">
        <f>-DevSpend!BV$101</f>
        <v/>
      </c>
      <c r="BW7" s="402">
        <f>-DevSpend!BW$101</f>
        <v/>
      </c>
      <c r="BX7" s="402">
        <f>-DevSpend!BX$101</f>
        <v/>
      </c>
      <c r="BY7" s="402">
        <f>-DevSpend!BY$101</f>
        <v/>
      </c>
      <c r="BZ7" s="402">
        <f>-DevSpend!BZ$101</f>
        <v/>
      </c>
      <c r="CA7" s="402">
        <f>-DevSpend!CA$101</f>
        <v/>
      </c>
      <c r="CB7" s="402">
        <f>-DevSpend!CB$101</f>
        <v/>
      </c>
      <c r="CC7" s="402">
        <f>-DevSpend!CC$101</f>
        <v/>
      </c>
      <c r="CD7" s="402">
        <f>-DevSpend!CD$101</f>
        <v/>
      </c>
      <c r="CE7" s="402">
        <f>-DevSpend!CE$101</f>
        <v/>
      </c>
      <c r="CF7" s="402">
        <f>-DevSpend!CF$101</f>
        <v/>
      </c>
      <c r="CG7" s="402">
        <f>-DevSpend!CG$101</f>
        <v/>
      </c>
      <c r="CH7" s="402">
        <f>-DevSpend!CH$101</f>
        <v/>
      </c>
      <c r="CI7" s="402">
        <f>-DevSpend!CI$101</f>
        <v/>
      </c>
      <c r="CJ7" s="402">
        <f>-DevSpend!CJ$101</f>
        <v/>
      </c>
      <c r="CK7" s="402">
        <f>-DevSpend!CK$101</f>
        <v/>
      </c>
      <c r="CL7" s="402">
        <f>-DevSpend!CL$101</f>
        <v/>
      </c>
      <c r="CM7" s="402">
        <f>-DevSpend!CM$101</f>
        <v/>
      </c>
      <c r="CN7" s="402">
        <f>-DevSpend!CN$101</f>
        <v/>
      </c>
      <c r="CO7" s="402">
        <f>-DevSpend!CO$101</f>
        <v/>
      </c>
      <c r="CP7" s="402">
        <f>-DevSpend!CP$101</f>
        <v/>
      </c>
      <c r="CQ7" s="402">
        <f>-DevSpend!CQ$101</f>
        <v/>
      </c>
      <c r="CR7" s="402">
        <f>-DevSpend!CR$101</f>
        <v/>
      </c>
      <c r="CS7" s="402">
        <f>-DevSpend!CS$101</f>
        <v/>
      </c>
      <c r="CT7" s="402">
        <f>-DevSpend!CT$101</f>
        <v/>
      </c>
      <c r="CU7" s="402">
        <f>-DevSpend!CU$101</f>
        <v/>
      </c>
      <c r="CV7" s="402">
        <f>-DevSpend!CV$101</f>
        <v/>
      </c>
      <c r="CW7" s="402">
        <f>-DevSpend!CW$101</f>
        <v/>
      </c>
      <c r="CX7" s="402">
        <f>-DevSpend!CX$101</f>
        <v/>
      </c>
      <c r="CY7" s="402">
        <f>-DevSpend!CY$101</f>
        <v/>
      </c>
      <c r="CZ7" s="402">
        <f>-DevSpend!CZ$101</f>
        <v/>
      </c>
      <c r="DA7" s="402">
        <f>-DevSpend!DA$101</f>
        <v/>
      </c>
      <c r="DB7" s="402">
        <f>-DevSpend!DB$101</f>
        <v/>
      </c>
      <c r="DC7" s="402">
        <f>-DevSpend!DC$101</f>
        <v/>
      </c>
      <c r="DD7" s="402">
        <f>-DevSpend!DD$101</f>
        <v/>
      </c>
      <c r="DE7" s="402">
        <f>-DevSpend!DE$101</f>
        <v/>
      </c>
      <c r="DF7" s="402">
        <f>-DevSpend!DF$101</f>
        <v/>
      </c>
      <c r="DG7" s="402">
        <f>-DevSpend!DG$101</f>
        <v/>
      </c>
      <c r="DH7" s="402">
        <f>-DevSpend!DH$101</f>
        <v/>
      </c>
      <c r="DI7" s="402">
        <f>-DevSpend!DI$101</f>
        <v/>
      </c>
      <c r="DJ7" s="402">
        <f>-DevSpend!DJ$101</f>
        <v/>
      </c>
      <c r="DK7" s="402">
        <f>-DevSpend!DK$101</f>
        <v/>
      </c>
      <c r="DL7" s="402">
        <f>-DevSpend!DL$101</f>
        <v/>
      </c>
      <c r="DM7" s="402">
        <f>-DevSpend!DM$101</f>
        <v/>
      </c>
      <c r="DN7" s="402">
        <f>-DevSpend!DN$101</f>
        <v/>
      </c>
      <c r="DO7" s="402">
        <f>-DevSpend!DO$101</f>
        <v/>
      </c>
      <c r="DP7" s="402">
        <f>-DevSpend!DP$101</f>
        <v/>
      </c>
      <c r="DQ7" s="402">
        <f>-DevSpend!DQ$101</f>
        <v/>
      </c>
      <c r="DR7" s="402">
        <f>-DevSpend!DR$101</f>
        <v/>
      </c>
      <c r="DS7" s="402">
        <f>-DevSpend!DS$101</f>
        <v/>
      </c>
      <c r="DT7" s="402">
        <f>-DevSpend!DT$101</f>
        <v/>
      </c>
      <c r="DU7" s="402">
        <f>-DevSpend!DU$101</f>
        <v/>
      </c>
      <c r="DV7" s="402">
        <f>-DevSpend!DV$101</f>
        <v/>
      </c>
      <c r="DW7" s="402">
        <f>-DevSpend!DW$101</f>
        <v/>
      </c>
      <c r="DX7" s="402">
        <f>-DevSpend!DX$101</f>
        <v/>
      </c>
      <c r="DY7" s="402">
        <f>-DevSpend!DY$101</f>
        <v/>
      </c>
      <c r="DZ7" s="402">
        <f>-DevSpend!DZ$101</f>
        <v/>
      </c>
      <c r="EA7" s="402">
        <f>-DevSpend!EA$101</f>
        <v/>
      </c>
      <c r="EB7" s="402">
        <f>-DevSpend!EB$101</f>
        <v/>
      </c>
      <c r="EC7" s="402">
        <f>-DevSpend!EC$101</f>
        <v/>
      </c>
      <c r="ED7" s="402">
        <f>-DevSpend!ED$101</f>
        <v/>
      </c>
      <c r="EE7" s="402">
        <f>-DevSpend!EE$101</f>
        <v/>
      </c>
      <c r="EF7" s="402">
        <f>-DevSpend!EF$101</f>
        <v/>
      </c>
      <c r="EG7" s="402">
        <f>-DevSpend!EG$101</f>
        <v/>
      </c>
      <c r="EH7" s="402">
        <f>-DevSpend!EH$101</f>
        <v/>
      </c>
      <c r="EI7" s="402">
        <f>-DevSpend!EI$101</f>
        <v/>
      </c>
      <c r="EJ7" s="402">
        <f>-DevSpend!EJ$101</f>
        <v/>
      </c>
      <c r="EK7" s="402">
        <f>-DevSpend!EK$101</f>
        <v/>
      </c>
      <c r="EL7" s="402">
        <f>-DevSpend!EL$101</f>
        <v/>
      </c>
      <c r="EM7" s="402">
        <f>-DevSpend!EM$101</f>
        <v/>
      </c>
      <c r="EN7" s="402">
        <f>-DevSpend!EN$101</f>
        <v/>
      </c>
      <c r="EO7" s="402">
        <f>-DevSpend!EO$101</f>
        <v/>
      </c>
      <c r="EP7" s="402">
        <f>-DevSpend!EP$101</f>
        <v/>
      </c>
      <c r="EQ7" s="402">
        <f>-DevSpend!EQ$101</f>
        <v/>
      </c>
      <c r="ER7" s="402">
        <f>-DevSpend!ER$101</f>
        <v/>
      </c>
      <c r="ES7" s="402">
        <f>-DevSpend!ES$101</f>
        <v/>
      </c>
      <c r="ET7" s="402">
        <f>-DevSpend!ET$101</f>
        <v/>
      </c>
      <c r="EU7" s="402">
        <f>-DevSpend!EU$101</f>
        <v/>
      </c>
      <c r="EV7" s="402">
        <f>-DevSpend!EV$101</f>
        <v/>
      </c>
      <c r="EW7" s="402">
        <f>-DevSpend!EW$101</f>
        <v/>
      </c>
      <c r="EX7" s="402">
        <f>-DevSpend!EX$101</f>
        <v/>
      </c>
      <c r="EY7" s="402">
        <f>-DevSpend!EY$101</f>
        <v/>
      </c>
      <c r="EZ7" s="402">
        <f>-DevSpend!EZ$101</f>
        <v/>
      </c>
      <c r="FA7" s="402">
        <f>-DevSpend!FA$101</f>
        <v/>
      </c>
      <c r="FB7" s="402">
        <f>-DevSpend!FB$101</f>
        <v/>
      </c>
      <c r="FC7" s="402">
        <f>-DevSpend!FC$101</f>
        <v/>
      </c>
      <c r="FD7" s="402">
        <f>-DevSpend!FD$101</f>
        <v/>
      </c>
      <c r="FE7" s="402">
        <f>-DevSpend!FE$101</f>
        <v/>
      </c>
      <c r="FF7" s="402">
        <f>-DevSpend!FF$101</f>
        <v/>
      </c>
      <c r="FG7" s="402">
        <f>-DevSpend!FG$101</f>
        <v/>
      </c>
      <c r="FH7" s="402">
        <f>-DevSpend!FH$101</f>
        <v/>
      </c>
      <c r="FI7" s="402">
        <f>-DevSpend!FI$101</f>
        <v/>
      </c>
      <c r="FJ7" s="402">
        <f>-DevSpend!FJ$101</f>
        <v/>
      </c>
      <c r="FK7" s="402">
        <f>-DevSpend!FK$101</f>
        <v/>
      </c>
      <c r="FL7" s="402">
        <f>-DevSpend!FL$101</f>
        <v/>
      </c>
      <c r="FM7" s="402">
        <f>-DevSpend!FM$101</f>
        <v/>
      </c>
      <c r="FN7" s="402">
        <f>-DevSpend!FN$101</f>
        <v/>
      </c>
      <c r="FO7" s="402">
        <f>-DevSpend!FO$101</f>
        <v/>
      </c>
      <c r="FP7" s="402">
        <f>-DevSpend!FP$101</f>
        <v/>
      </c>
      <c r="FQ7" s="402">
        <f>-DevSpend!FQ$101</f>
        <v/>
      </c>
      <c r="FR7" s="402">
        <f>-DevSpend!FR$101</f>
        <v/>
      </c>
      <c r="FS7" s="402">
        <f>-DevSpend!FS$101</f>
        <v/>
      </c>
      <c r="FT7" s="402">
        <f>-DevSpend!FT$101</f>
        <v/>
      </c>
      <c r="FU7" s="402">
        <f>-DevSpend!FU$101</f>
        <v/>
      </c>
      <c r="FV7" s="402">
        <f>-DevSpend!FV$101</f>
        <v/>
      </c>
      <c r="FW7" s="402">
        <f>-DevSpend!FW$101</f>
        <v/>
      </c>
      <c r="FX7" s="402">
        <f>-DevSpend!FX$101</f>
        <v/>
      </c>
      <c r="FY7" s="402">
        <f>-DevSpend!FY$101</f>
        <v/>
      </c>
      <c r="FZ7" s="402">
        <f>-DevSpend!FZ$101</f>
        <v/>
      </c>
      <c r="GA7" s="402">
        <f>-DevSpend!GA$101</f>
        <v/>
      </c>
      <c r="GB7" s="402">
        <f>-DevSpend!GB$101</f>
        <v/>
      </c>
      <c r="GC7" s="402">
        <f>-DevSpend!GC$101</f>
        <v/>
      </c>
      <c r="GD7" s="402">
        <f>-DevSpend!GD$101</f>
        <v/>
      </c>
      <c r="GE7" s="402">
        <f>-DevSpend!GE$101</f>
        <v/>
      </c>
      <c r="GF7" s="402">
        <f>-DevSpend!GF$101</f>
        <v/>
      </c>
      <c r="GG7" s="402">
        <f>-DevSpend!GG$101</f>
        <v/>
      </c>
      <c r="GH7" s="402">
        <f>-DevSpend!GH$101</f>
        <v/>
      </c>
      <c r="GI7" s="402">
        <f>-DevSpend!GI$101</f>
        <v/>
      </c>
      <c r="GJ7" s="402">
        <f>-DevSpend!GJ$101</f>
        <v/>
      </c>
      <c r="GK7" s="402">
        <f>-DevSpend!GK$101</f>
        <v/>
      </c>
      <c r="GL7" s="402">
        <f>-DevSpend!GL$101</f>
        <v/>
      </c>
      <c r="GM7" s="402">
        <f>-DevSpend!GM$101</f>
        <v/>
      </c>
      <c r="GN7" s="402">
        <f>-DevSpend!GN$101</f>
        <v/>
      </c>
      <c r="GO7" s="402">
        <f>-DevSpend!GO$101</f>
        <v/>
      </c>
      <c r="GP7" s="402">
        <f>-DevSpend!GP$101</f>
        <v/>
      </c>
      <c r="GQ7" s="402">
        <f>-DevSpend!GQ$101</f>
        <v/>
      </c>
      <c r="GR7" s="402">
        <f>-DevSpend!GR$101</f>
        <v/>
      </c>
      <c r="GS7" s="402">
        <f>-DevSpend!GS$101</f>
        <v/>
      </c>
      <c r="GT7" s="402">
        <f>-DevSpend!GT$101</f>
        <v/>
      </c>
      <c r="GU7" s="402">
        <f>-DevSpend!GU$101</f>
        <v/>
      </c>
      <c r="GV7" s="402">
        <f>-DevSpend!GV$101</f>
        <v/>
      </c>
      <c r="GW7" s="402">
        <f>-DevSpend!GW$101</f>
        <v/>
      </c>
      <c r="GX7" s="402">
        <f>-DevSpend!GX$101</f>
        <v/>
      </c>
      <c r="GY7" s="402">
        <f>-DevSpend!GY$101</f>
        <v/>
      </c>
      <c r="GZ7" s="402">
        <f>-DevSpend!GZ$101</f>
        <v/>
      </c>
      <c r="HA7" s="402">
        <f>-DevSpend!HA$101</f>
        <v/>
      </c>
      <c r="HB7" s="402">
        <f>-DevSpend!HB$101</f>
        <v/>
      </c>
      <c r="HC7" s="402">
        <f>-DevSpend!HC$101</f>
        <v/>
      </c>
      <c r="HD7" s="402">
        <f>-DevSpend!HD$101</f>
        <v/>
      </c>
      <c r="HE7" s="402">
        <f>-DevSpend!HE$101</f>
        <v/>
      </c>
      <c r="HF7" s="402">
        <f>-DevSpend!HF$101</f>
        <v/>
      </c>
      <c r="HG7" s="402">
        <f>-DevSpend!HG$101</f>
        <v/>
      </c>
      <c r="HH7" s="402">
        <f>-DevSpend!HH$101</f>
        <v/>
      </c>
      <c r="HI7" s="402">
        <f>-DevSpend!HI$101</f>
        <v/>
      </c>
      <c r="HJ7" s="402">
        <f>-DevSpend!HJ$101</f>
        <v/>
      </c>
      <c r="HK7" s="402">
        <f>-DevSpend!HK$101</f>
        <v/>
      </c>
      <c r="HL7" s="402">
        <f>-DevSpend!HL$101</f>
        <v/>
      </c>
      <c r="HM7" s="402">
        <f>-DevSpend!HM$101</f>
        <v/>
      </c>
      <c r="HN7" s="402">
        <f>-DevSpend!HN$101</f>
        <v/>
      </c>
      <c r="HO7" s="402">
        <f>-DevSpend!HO$101</f>
        <v/>
      </c>
      <c r="HP7" s="402">
        <f>-DevSpend!HP$101</f>
        <v/>
      </c>
      <c r="HQ7" s="402">
        <f>-DevSpend!HQ$101</f>
        <v/>
      </c>
      <c r="HR7" s="402">
        <f>-DevSpend!HR$101</f>
        <v/>
      </c>
      <c r="HS7" s="402">
        <f>-DevSpend!HS$101</f>
        <v/>
      </c>
      <c r="HT7" s="402">
        <f>-DevSpend!HT$101</f>
        <v/>
      </c>
      <c r="HU7" s="402">
        <f>-DevSpend!HU$101</f>
        <v/>
      </c>
      <c r="HV7" s="402">
        <f>-DevSpend!HV$101</f>
        <v/>
      </c>
      <c r="HW7" s="402">
        <f>-DevSpend!HW$101</f>
        <v/>
      </c>
      <c r="HX7" s="402">
        <f>-DevSpend!HX$101</f>
        <v/>
      </c>
      <c r="HY7" s="402">
        <f>-DevSpend!HY$101</f>
        <v/>
      </c>
      <c r="HZ7" s="402">
        <f>-DevSpend!HZ$101</f>
        <v/>
      </c>
      <c r="IA7" s="402">
        <f>-DevSpend!IA$101</f>
        <v/>
      </c>
      <c r="IB7" s="402">
        <f>-DevSpend!IB$101</f>
        <v/>
      </c>
      <c r="IC7" s="402">
        <f>-DevSpend!IC$101</f>
        <v/>
      </c>
      <c r="ID7" s="402">
        <f>-DevSpend!ID$101</f>
        <v/>
      </c>
      <c r="IE7" s="402">
        <f>-DevSpend!IE$101</f>
        <v/>
      </c>
      <c r="IF7" s="402">
        <f>-DevSpend!IF$101</f>
        <v/>
      </c>
      <c r="IG7" s="402">
        <f>-DevSpend!IG$101</f>
        <v/>
      </c>
      <c r="IH7" s="402">
        <f>-DevSpend!IH$101</f>
        <v/>
      </c>
      <c r="II7" s="402">
        <f>-DevSpend!II$101</f>
        <v/>
      </c>
      <c r="IJ7" s="402">
        <f>-DevSpend!IJ$101</f>
        <v/>
      </c>
      <c r="IK7" s="402">
        <f>-DevSpend!IK$101</f>
        <v/>
      </c>
      <c r="IL7" s="402">
        <f>-DevSpend!IL$101</f>
        <v/>
      </c>
      <c r="IM7" s="402">
        <f>-DevSpend!IM$101</f>
        <v/>
      </c>
      <c r="IN7" s="402">
        <f>-DevSpend!IN$101</f>
        <v/>
      </c>
      <c r="IO7" s="402">
        <f>-DevSpend!IO$101</f>
        <v/>
      </c>
      <c r="IP7" s="402">
        <f>-DevSpend!IP$101</f>
        <v/>
      </c>
      <c r="IQ7" s="402">
        <f>-DevSpend!IQ$101</f>
        <v/>
      </c>
      <c r="IR7" s="402">
        <f>-DevSpend!IR$101</f>
        <v/>
      </c>
      <c r="IS7" s="402">
        <f>-DevSpend!IS$101</f>
        <v/>
      </c>
      <c r="IT7" s="402">
        <f>-DevSpend!IT$101</f>
        <v/>
      </c>
      <c r="IU7" s="402">
        <f>-DevSpend!IU$101</f>
        <v/>
      </c>
      <c r="IV7" s="402">
        <f>-DevSpend!IV$101</f>
        <v/>
      </c>
      <c r="IW7" s="402">
        <f>-DevSpend!IW$101</f>
        <v/>
      </c>
      <c r="IX7" s="402">
        <f>-DevSpend!IX$101</f>
        <v/>
      </c>
      <c r="IY7" s="402">
        <f>-DevSpend!IY$101</f>
        <v/>
      </c>
      <c r="IZ7" s="402">
        <f>-DevSpend!IZ$101</f>
        <v/>
      </c>
      <c r="JA7" s="402">
        <f>-DevSpend!JA$101</f>
        <v/>
      </c>
      <c r="JB7" s="402">
        <f>-DevSpend!JB$101</f>
        <v/>
      </c>
      <c r="JC7" s="402">
        <f>-DevSpend!JC$101</f>
        <v/>
      </c>
      <c r="JD7" s="402">
        <f>-DevSpend!JD$101</f>
        <v/>
      </c>
      <c r="JE7" s="402">
        <f>-DevSpend!JE$101</f>
        <v/>
      </c>
      <c r="JF7" s="402">
        <f>-DevSpend!JF$101</f>
        <v/>
      </c>
      <c r="JG7" s="402">
        <f>-DevSpend!JG$101</f>
        <v/>
      </c>
      <c r="JH7" s="402">
        <f>-DevSpend!JH$101</f>
        <v/>
      </c>
      <c r="JI7" s="402">
        <f>-DevSpend!JI$101</f>
        <v/>
      </c>
      <c r="JJ7" s="402">
        <f>-DevSpend!JJ$101</f>
        <v/>
      </c>
      <c r="JK7" s="402">
        <f>-DevSpend!JK$101</f>
        <v/>
      </c>
      <c r="JL7" s="402">
        <f>-DevSpend!JL$101</f>
        <v/>
      </c>
      <c r="JM7" s="402">
        <f>-DevSpend!JM$101</f>
        <v/>
      </c>
      <c r="JN7" s="402">
        <f>-DevSpend!JN$101</f>
        <v/>
      </c>
      <c r="JO7" s="402">
        <f>-DevSpend!JO$101</f>
        <v/>
      </c>
      <c r="JP7" s="402">
        <f>-DevSpend!JP$101</f>
        <v/>
      </c>
      <c r="JQ7" s="402">
        <f>-DevSpend!JQ$101</f>
        <v/>
      </c>
      <c r="JR7" s="402">
        <f>-DevSpend!JR$101</f>
        <v/>
      </c>
      <c r="JS7" s="402">
        <f>-DevSpend!JS$101</f>
        <v/>
      </c>
      <c r="JT7" s="402">
        <f>-DevSpend!JT$101</f>
        <v/>
      </c>
      <c r="JU7" s="402">
        <f>-DevSpend!JU$101</f>
        <v/>
      </c>
      <c r="JV7" s="402">
        <f>-DevSpend!JV$101</f>
        <v/>
      </c>
      <c r="JW7" s="402">
        <f>-DevSpend!JW$101</f>
        <v/>
      </c>
      <c r="JX7" s="402">
        <f>-DevSpend!JX$101</f>
        <v/>
      </c>
      <c r="JY7" s="402">
        <f>-DevSpend!JY$101</f>
        <v/>
      </c>
      <c r="JZ7" s="402">
        <f>-DevSpend!JZ$101</f>
        <v/>
      </c>
      <c r="KA7" s="402">
        <f>-DevSpend!KA$101</f>
        <v/>
      </c>
      <c r="KB7" s="402">
        <f>-DevSpend!KB$101</f>
        <v/>
      </c>
      <c r="KC7" s="402">
        <f>-DevSpend!KC$101</f>
        <v/>
      </c>
      <c r="KD7" s="402">
        <f>-DevSpend!KD$101</f>
        <v/>
      </c>
      <c r="KE7" s="402">
        <f>-DevSpend!KE$101</f>
        <v/>
      </c>
      <c r="KF7" s="402">
        <f>-DevSpend!KF$101</f>
        <v/>
      </c>
      <c r="KG7" s="402">
        <f>-DevSpend!KG$101</f>
        <v/>
      </c>
      <c r="KH7" s="402">
        <f>-DevSpend!KH$101</f>
        <v/>
      </c>
      <c r="KI7" s="402">
        <f>-DevSpend!KI$101</f>
        <v/>
      </c>
      <c r="KJ7" s="402">
        <f>-DevSpend!KJ$101</f>
        <v/>
      </c>
      <c r="KK7" s="402">
        <f>-DevSpend!KK$101</f>
        <v/>
      </c>
      <c r="KL7" s="402">
        <f>-DevSpend!KL$101</f>
        <v/>
      </c>
      <c r="KM7" s="402">
        <f>-DevSpend!KM$101</f>
        <v/>
      </c>
      <c r="KN7" s="402">
        <f>-DevSpend!KN$101</f>
        <v/>
      </c>
      <c r="KO7" s="402">
        <f>-DevSpend!KO$101</f>
        <v/>
      </c>
      <c r="KP7" s="402">
        <f>-DevSpend!KP$101</f>
        <v/>
      </c>
      <c r="KQ7" s="402">
        <f>-DevSpend!KQ$101</f>
        <v/>
      </c>
      <c r="KR7" s="402">
        <f>-DevSpend!KR$101</f>
        <v/>
      </c>
      <c r="KS7" s="402">
        <f>-DevSpend!KS$101</f>
        <v/>
      </c>
      <c r="KT7" s="402">
        <f>-DevSpend!KT$101</f>
        <v/>
      </c>
      <c r="KU7" s="402">
        <f>-DevSpend!KU$101</f>
        <v/>
      </c>
      <c r="KV7" s="402">
        <f>-DevSpend!KV$101</f>
        <v/>
      </c>
      <c r="KW7" s="402">
        <f>-DevSpend!KW$101</f>
        <v/>
      </c>
      <c r="KX7" s="402">
        <f>-DevSpend!KX$101</f>
        <v/>
      </c>
      <c r="KY7" s="402">
        <f>-DevSpend!KY$101</f>
        <v/>
      </c>
      <c r="KZ7" s="402">
        <f>-DevSpend!KZ$101</f>
        <v/>
      </c>
      <c r="LA7" s="402">
        <f>-DevSpend!LA$101</f>
        <v/>
      </c>
      <c r="LB7" s="402">
        <f>-DevSpend!LB$101</f>
        <v/>
      </c>
      <c r="LC7" s="402">
        <f>-DevSpend!LC$101</f>
        <v/>
      </c>
      <c r="LD7" s="402">
        <f>-DevSpend!LD$101</f>
        <v/>
      </c>
      <c r="LE7" s="402">
        <f>-DevSpend!LE$101</f>
        <v/>
      </c>
      <c r="LF7" s="402">
        <f>-DevSpend!LF$101</f>
        <v/>
      </c>
      <c r="LG7" s="402">
        <f>-DevSpend!LG$101</f>
        <v/>
      </c>
      <c r="LH7" s="402">
        <f>-DevSpend!LH$101</f>
        <v/>
      </c>
      <c r="LI7" s="402">
        <f>-DevSpend!LI$101</f>
        <v/>
      </c>
      <c r="LJ7" s="402">
        <f>-DevSpend!LJ$101</f>
        <v/>
      </c>
      <c r="LK7" s="402">
        <f>-DevSpend!LK$101</f>
        <v/>
      </c>
      <c r="LL7" s="402">
        <f>-DevSpend!LL$101</f>
        <v/>
      </c>
      <c r="LM7" s="402">
        <f>-DevSpend!LM$101</f>
        <v/>
      </c>
      <c r="LN7" s="402">
        <f>-DevSpend!LN$101</f>
        <v/>
      </c>
      <c r="LO7" s="402">
        <f>-DevSpend!LO$101</f>
        <v/>
      </c>
      <c r="LP7" s="402">
        <f>-DevSpend!LP$101</f>
        <v/>
      </c>
      <c r="LQ7" s="402">
        <f>-DevSpend!LQ$101</f>
        <v/>
      </c>
      <c r="LR7" s="402">
        <f>-DevSpend!LR$101</f>
        <v/>
      </c>
      <c r="LS7" s="402">
        <f>-DevSpend!LS$101</f>
        <v/>
      </c>
      <c r="LT7" s="402">
        <f>-DevSpend!LT$101</f>
        <v/>
      </c>
      <c r="LU7" s="402">
        <f>-DevSpend!LU$101</f>
        <v/>
      </c>
      <c r="LV7" s="402">
        <f>-DevSpend!LV$101</f>
        <v/>
      </c>
      <c r="LW7" s="402">
        <f>-DevSpend!LW$101</f>
        <v/>
      </c>
      <c r="LX7" s="402">
        <f>-DevSpend!LX$101</f>
        <v/>
      </c>
      <c r="LY7" s="402">
        <f>-DevSpend!LY$101</f>
        <v/>
      </c>
      <c r="LZ7" s="402">
        <f>-DevSpend!LZ$101</f>
        <v/>
      </c>
      <c r="MA7" s="402">
        <f>-DevSpend!MA$101</f>
        <v/>
      </c>
      <c r="MB7" s="402">
        <f>-DevSpend!MB$101</f>
        <v/>
      </c>
      <c r="MC7" s="402">
        <f>-DevSpend!MC$101</f>
        <v/>
      </c>
      <c r="MD7" s="402">
        <f>-DevSpend!MD$101</f>
        <v/>
      </c>
      <c r="ME7" s="402">
        <f>-DevSpend!ME$101</f>
        <v/>
      </c>
      <c r="MF7" s="402">
        <f>-DevSpend!MF$101</f>
        <v/>
      </c>
      <c r="MG7" s="402">
        <f>-DevSpend!MG$101</f>
        <v/>
      </c>
      <c r="MH7" s="402">
        <f>-DevSpend!MH$101</f>
        <v/>
      </c>
      <c r="MI7" s="402">
        <f>-DevSpend!MI$101</f>
        <v/>
      </c>
      <c r="MJ7" s="402">
        <f>-DevSpend!MJ$101</f>
        <v/>
      </c>
      <c r="MK7" s="402">
        <f>-DevSpend!MK$101</f>
        <v/>
      </c>
      <c r="ML7" s="402">
        <f>-DevSpend!ML$101</f>
        <v/>
      </c>
      <c r="MM7" s="402">
        <f>-DevSpend!MM$101</f>
        <v/>
      </c>
      <c r="MN7" s="402">
        <f>-DevSpend!MN$101</f>
        <v/>
      </c>
      <c r="MO7" s="402">
        <f>-DevSpend!MO$101</f>
        <v/>
      </c>
      <c r="MP7" s="402">
        <f>-DevSpend!MP$101</f>
        <v/>
      </c>
      <c r="MQ7" s="402">
        <f>-DevSpend!MQ$101</f>
        <v/>
      </c>
      <c r="MR7" s="402">
        <f>-DevSpend!MR$101</f>
        <v/>
      </c>
      <c r="MS7" s="402">
        <f>-DevSpend!MS$101</f>
        <v/>
      </c>
      <c r="MT7" s="402">
        <f>-DevSpend!MT$101</f>
        <v/>
      </c>
      <c r="MU7" s="402">
        <f>-DevSpend!MU$101</f>
        <v/>
      </c>
      <c r="MV7" s="402">
        <f>-DevSpend!MV$101</f>
        <v/>
      </c>
      <c r="MW7" s="402">
        <f>-DevSpend!MW$101</f>
        <v/>
      </c>
      <c r="MX7" s="402">
        <f>-DevSpend!MX$101</f>
        <v/>
      </c>
      <c r="MY7" s="402">
        <f>-DevSpend!MY$101</f>
        <v/>
      </c>
      <c r="MZ7" s="402">
        <f>-DevSpend!MZ$101</f>
        <v/>
      </c>
      <c r="NA7" s="402">
        <f>-DevSpend!NA$101</f>
        <v/>
      </c>
      <c r="NB7" s="402">
        <f>-DevSpend!NB$101</f>
        <v/>
      </c>
      <c r="NC7" s="402">
        <f>-DevSpend!NC$101</f>
        <v/>
      </c>
      <c r="ND7" s="402">
        <f>-DevSpend!ND$101</f>
        <v/>
      </c>
      <c r="NE7" s="402">
        <f>-DevSpend!NE$101</f>
        <v/>
      </c>
      <c r="NF7" s="402">
        <f>-DevSpend!NF$101</f>
        <v/>
      </c>
      <c r="NG7" s="402">
        <f>-DevSpend!NG$101</f>
        <v/>
      </c>
      <c r="NH7" s="402">
        <f>-DevSpend!NH$101</f>
        <v/>
      </c>
      <c r="NI7" s="402">
        <f>-DevSpend!NI$101</f>
        <v/>
      </c>
      <c r="NJ7" s="402">
        <f>-DevSpend!NJ$101</f>
        <v/>
      </c>
      <c r="NK7" s="402">
        <f>-DevSpend!NK$101</f>
        <v/>
      </c>
      <c r="NL7" s="402">
        <f>-DevSpend!NL$101</f>
        <v/>
      </c>
    </row>
    <row r="8">
      <c r="B8" s="316" t="inlineStr">
        <is>
          <t>Construction-Period Property Tax</t>
        </is>
      </c>
      <c r="D8" s="402">
        <f>SUM(E8:NL8)</f>
        <v/>
      </c>
      <c r="E8" s="402">
        <f>-DevSpend!E$104</f>
        <v/>
      </c>
      <c r="F8" s="402">
        <f>-DevSpend!F$104</f>
        <v/>
      </c>
      <c r="G8" s="402">
        <f>-DevSpend!G$104</f>
        <v/>
      </c>
      <c r="H8" s="402">
        <f>-DevSpend!H$104</f>
        <v/>
      </c>
      <c r="I8" s="402">
        <f>-DevSpend!I$104</f>
        <v/>
      </c>
      <c r="J8" s="402">
        <f>-DevSpend!J$104</f>
        <v/>
      </c>
      <c r="K8" s="402">
        <f>-DevSpend!K$104</f>
        <v/>
      </c>
      <c r="L8" s="402">
        <f>-DevSpend!L$104</f>
        <v/>
      </c>
      <c r="M8" s="402">
        <f>-DevSpend!M$104</f>
        <v/>
      </c>
      <c r="N8" s="402">
        <f>-DevSpend!N$104</f>
        <v/>
      </c>
      <c r="O8" s="402">
        <f>-DevSpend!O$104</f>
        <v/>
      </c>
      <c r="P8" s="402">
        <f>-DevSpend!P$104</f>
        <v/>
      </c>
      <c r="Q8" s="402">
        <f>-DevSpend!Q$104</f>
        <v/>
      </c>
      <c r="R8" s="402">
        <f>-DevSpend!R$104</f>
        <v/>
      </c>
      <c r="S8" s="402">
        <f>-DevSpend!S$104</f>
        <v/>
      </c>
      <c r="T8" s="402">
        <f>-DevSpend!T$104</f>
        <v/>
      </c>
      <c r="U8" s="402">
        <f>-DevSpend!U$104</f>
        <v/>
      </c>
      <c r="V8" s="402">
        <f>-DevSpend!V$104</f>
        <v/>
      </c>
      <c r="W8" s="402">
        <f>-DevSpend!W$104</f>
        <v/>
      </c>
      <c r="X8" s="402">
        <f>-DevSpend!X$104</f>
        <v/>
      </c>
      <c r="Y8" s="402">
        <f>-DevSpend!Y$104</f>
        <v/>
      </c>
      <c r="Z8" s="402">
        <f>-DevSpend!Z$104</f>
        <v/>
      </c>
      <c r="AA8" s="402">
        <f>-DevSpend!AA$104</f>
        <v/>
      </c>
      <c r="AB8" s="402">
        <f>-DevSpend!AB$104</f>
        <v/>
      </c>
      <c r="AC8" s="402">
        <f>-DevSpend!AC$104</f>
        <v/>
      </c>
      <c r="AD8" s="402">
        <f>-DevSpend!AD$104</f>
        <v/>
      </c>
      <c r="AE8" s="402">
        <f>-DevSpend!AE$104</f>
        <v/>
      </c>
      <c r="AF8" s="402">
        <f>-DevSpend!AF$104</f>
        <v/>
      </c>
      <c r="AG8" s="402">
        <f>-DevSpend!AG$104</f>
        <v/>
      </c>
      <c r="AH8" s="402">
        <f>-DevSpend!AH$104</f>
        <v/>
      </c>
      <c r="AI8" s="402">
        <f>-DevSpend!AI$104</f>
        <v/>
      </c>
      <c r="AJ8" s="402">
        <f>-DevSpend!AJ$104</f>
        <v/>
      </c>
      <c r="AK8" s="402">
        <f>-DevSpend!AK$104</f>
        <v/>
      </c>
      <c r="AL8" s="402">
        <f>-DevSpend!AL$104</f>
        <v/>
      </c>
      <c r="AM8" s="402">
        <f>-DevSpend!AM$104</f>
        <v/>
      </c>
      <c r="AN8" s="402">
        <f>-DevSpend!AN$104</f>
        <v/>
      </c>
      <c r="AO8" s="402">
        <f>-DevSpend!AO$104</f>
        <v/>
      </c>
      <c r="AP8" s="402">
        <f>-DevSpend!AP$104</f>
        <v/>
      </c>
      <c r="AQ8" s="402">
        <f>-DevSpend!AQ$104</f>
        <v/>
      </c>
      <c r="AR8" s="402">
        <f>-DevSpend!AR$104</f>
        <v/>
      </c>
      <c r="AS8" s="402">
        <f>-DevSpend!AS$104</f>
        <v/>
      </c>
      <c r="AT8" s="402">
        <f>-DevSpend!AT$104</f>
        <v/>
      </c>
      <c r="AU8" s="402">
        <f>-DevSpend!AU$104</f>
        <v/>
      </c>
      <c r="AV8" s="402">
        <f>-DevSpend!AV$104</f>
        <v/>
      </c>
      <c r="AW8" s="402">
        <f>-DevSpend!AW$104</f>
        <v/>
      </c>
      <c r="AX8" s="402">
        <f>-DevSpend!AX$104</f>
        <v/>
      </c>
      <c r="AY8" s="402">
        <f>-DevSpend!AY$104</f>
        <v/>
      </c>
      <c r="AZ8" s="402">
        <f>-DevSpend!AZ$104</f>
        <v/>
      </c>
      <c r="BA8" s="402">
        <f>-DevSpend!BA$104</f>
        <v/>
      </c>
      <c r="BB8" s="402">
        <f>-DevSpend!BB$104</f>
        <v/>
      </c>
      <c r="BC8" s="402">
        <f>-DevSpend!BC$104</f>
        <v/>
      </c>
      <c r="BD8" s="402">
        <f>-DevSpend!BD$104</f>
        <v/>
      </c>
      <c r="BE8" s="402">
        <f>-DevSpend!BE$104</f>
        <v/>
      </c>
      <c r="BF8" s="402">
        <f>-DevSpend!BF$104</f>
        <v/>
      </c>
      <c r="BG8" s="402">
        <f>-DevSpend!BG$104</f>
        <v/>
      </c>
      <c r="BH8" s="402">
        <f>-DevSpend!BH$104</f>
        <v/>
      </c>
      <c r="BI8" s="402">
        <f>-DevSpend!BI$104</f>
        <v/>
      </c>
      <c r="BJ8" s="402">
        <f>-DevSpend!BJ$104</f>
        <v/>
      </c>
      <c r="BK8" s="402">
        <f>-DevSpend!BK$104</f>
        <v/>
      </c>
      <c r="BL8" s="402">
        <f>-DevSpend!BL$104</f>
        <v/>
      </c>
      <c r="BM8" s="402">
        <f>-DevSpend!BM$104</f>
        <v/>
      </c>
      <c r="BN8" s="402">
        <f>-DevSpend!BN$104</f>
        <v/>
      </c>
      <c r="BO8" s="402">
        <f>-DevSpend!BO$104</f>
        <v/>
      </c>
      <c r="BP8" s="402">
        <f>-DevSpend!BP$104</f>
        <v/>
      </c>
      <c r="BQ8" s="402">
        <f>-DevSpend!BQ$104</f>
        <v/>
      </c>
      <c r="BR8" s="402">
        <f>-DevSpend!BR$104</f>
        <v/>
      </c>
      <c r="BS8" s="402">
        <f>-DevSpend!BS$104</f>
        <v/>
      </c>
      <c r="BT8" s="402">
        <f>-DevSpend!BT$104</f>
        <v/>
      </c>
      <c r="BU8" s="402">
        <f>-DevSpend!BU$104</f>
        <v/>
      </c>
      <c r="BV8" s="402">
        <f>-DevSpend!BV$104</f>
        <v/>
      </c>
      <c r="BW8" s="402">
        <f>-DevSpend!BW$104</f>
        <v/>
      </c>
      <c r="BX8" s="402">
        <f>-DevSpend!BX$104</f>
        <v/>
      </c>
      <c r="BY8" s="402">
        <f>-DevSpend!BY$104</f>
        <v/>
      </c>
      <c r="BZ8" s="402">
        <f>-DevSpend!BZ$104</f>
        <v/>
      </c>
      <c r="CA8" s="402">
        <f>-DevSpend!CA$104</f>
        <v/>
      </c>
      <c r="CB8" s="402">
        <f>-DevSpend!CB$104</f>
        <v/>
      </c>
      <c r="CC8" s="402">
        <f>-DevSpend!CC$104</f>
        <v/>
      </c>
      <c r="CD8" s="402">
        <f>-DevSpend!CD$104</f>
        <v/>
      </c>
      <c r="CE8" s="402">
        <f>-DevSpend!CE$104</f>
        <v/>
      </c>
      <c r="CF8" s="402">
        <f>-DevSpend!CF$104</f>
        <v/>
      </c>
      <c r="CG8" s="402">
        <f>-DevSpend!CG$104</f>
        <v/>
      </c>
      <c r="CH8" s="402">
        <f>-DevSpend!CH$104</f>
        <v/>
      </c>
      <c r="CI8" s="402">
        <f>-DevSpend!CI$104</f>
        <v/>
      </c>
      <c r="CJ8" s="402">
        <f>-DevSpend!CJ$104</f>
        <v/>
      </c>
      <c r="CK8" s="402">
        <f>-DevSpend!CK$104</f>
        <v/>
      </c>
      <c r="CL8" s="402">
        <f>-DevSpend!CL$104</f>
        <v/>
      </c>
      <c r="CM8" s="402">
        <f>-DevSpend!CM$104</f>
        <v/>
      </c>
      <c r="CN8" s="402">
        <f>-DevSpend!CN$104</f>
        <v/>
      </c>
      <c r="CO8" s="402">
        <f>-DevSpend!CO$104</f>
        <v/>
      </c>
      <c r="CP8" s="402">
        <f>-DevSpend!CP$104</f>
        <v/>
      </c>
      <c r="CQ8" s="402">
        <f>-DevSpend!CQ$104</f>
        <v/>
      </c>
      <c r="CR8" s="402">
        <f>-DevSpend!CR$104</f>
        <v/>
      </c>
      <c r="CS8" s="402">
        <f>-DevSpend!CS$104</f>
        <v/>
      </c>
      <c r="CT8" s="402">
        <f>-DevSpend!CT$104</f>
        <v/>
      </c>
      <c r="CU8" s="402">
        <f>-DevSpend!CU$104</f>
        <v/>
      </c>
      <c r="CV8" s="402">
        <f>-DevSpend!CV$104</f>
        <v/>
      </c>
      <c r="CW8" s="402">
        <f>-DevSpend!CW$104</f>
        <v/>
      </c>
      <c r="CX8" s="402">
        <f>-DevSpend!CX$104</f>
        <v/>
      </c>
      <c r="CY8" s="402">
        <f>-DevSpend!CY$104</f>
        <v/>
      </c>
      <c r="CZ8" s="402">
        <f>-DevSpend!CZ$104</f>
        <v/>
      </c>
      <c r="DA8" s="402">
        <f>-DevSpend!DA$104</f>
        <v/>
      </c>
      <c r="DB8" s="402">
        <f>-DevSpend!DB$104</f>
        <v/>
      </c>
      <c r="DC8" s="402">
        <f>-DevSpend!DC$104</f>
        <v/>
      </c>
      <c r="DD8" s="402">
        <f>-DevSpend!DD$104</f>
        <v/>
      </c>
      <c r="DE8" s="402">
        <f>-DevSpend!DE$104</f>
        <v/>
      </c>
      <c r="DF8" s="402">
        <f>-DevSpend!DF$104</f>
        <v/>
      </c>
      <c r="DG8" s="402">
        <f>-DevSpend!DG$104</f>
        <v/>
      </c>
      <c r="DH8" s="402">
        <f>-DevSpend!DH$104</f>
        <v/>
      </c>
      <c r="DI8" s="402">
        <f>-DevSpend!DI$104</f>
        <v/>
      </c>
      <c r="DJ8" s="402">
        <f>-DevSpend!DJ$104</f>
        <v/>
      </c>
      <c r="DK8" s="402">
        <f>-DevSpend!DK$104</f>
        <v/>
      </c>
      <c r="DL8" s="402">
        <f>-DevSpend!DL$104</f>
        <v/>
      </c>
      <c r="DM8" s="402">
        <f>-DevSpend!DM$104</f>
        <v/>
      </c>
      <c r="DN8" s="402">
        <f>-DevSpend!DN$104</f>
        <v/>
      </c>
      <c r="DO8" s="402">
        <f>-DevSpend!DO$104</f>
        <v/>
      </c>
      <c r="DP8" s="402">
        <f>-DevSpend!DP$104</f>
        <v/>
      </c>
      <c r="DQ8" s="402">
        <f>-DevSpend!DQ$104</f>
        <v/>
      </c>
      <c r="DR8" s="402">
        <f>-DevSpend!DR$104</f>
        <v/>
      </c>
      <c r="DS8" s="402">
        <f>-DevSpend!DS$104</f>
        <v/>
      </c>
      <c r="DT8" s="402">
        <f>-DevSpend!DT$104</f>
        <v/>
      </c>
      <c r="DU8" s="402">
        <f>-DevSpend!DU$104</f>
        <v/>
      </c>
      <c r="DV8" s="402">
        <f>-DevSpend!DV$104</f>
        <v/>
      </c>
      <c r="DW8" s="402">
        <f>-DevSpend!DW$104</f>
        <v/>
      </c>
      <c r="DX8" s="402">
        <f>-DevSpend!DX$104</f>
        <v/>
      </c>
      <c r="DY8" s="402">
        <f>-DevSpend!DY$104</f>
        <v/>
      </c>
      <c r="DZ8" s="402">
        <f>-DevSpend!DZ$104</f>
        <v/>
      </c>
      <c r="EA8" s="402">
        <f>-DevSpend!EA$104</f>
        <v/>
      </c>
      <c r="EB8" s="402">
        <f>-DevSpend!EB$104</f>
        <v/>
      </c>
      <c r="EC8" s="402">
        <f>-DevSpend!EC$104</f>
        <v/>
      </c>
      <c r="ED8" s="402">
        <f>-DevSpend!ED$104</f>
        <v/>
      </c>
      <c r="EE8" s="402">
        <f>-DevSpend!EE$104</f>
        <v/>
      </c>
      <c r="EF8" s="402">
        <f>-DevSpend!EF$104</f>
        <v/>
      </c>
      <c r="EG8" s="402">
        <f>-DevSpend!EG$104</f>
        <v/>
      </c>
      <c r="EH8" s="402">
        <f>-DevSpend!EH$104</f>
        <v/>
      </c>
      <c r="EI8" s="402">
        <f>-DevSpend!EI$104</f>
        <v/>
      </c>
      <c r="EJ8" s="402">
        <f>-DevSpend!EJ$104</f>
        <v/>
      </c>
      <c r="EK8" s="402">
        <f>-DevSpend!EK$104</f>
        <v/>
      </c>
      <c r="EL8" s="402">
        <f>-DevSpend!EL$104</f>
        <v/>
      </c>
      <c r="EM8" s="402">
        <f>-DevSpend!EM$104</f>
        <v/>
      </c>
      <c r="EN8" s="402">
        <f>-DevSpend!EN$104</f>
        <v/>
      </c>
      <c r="EO8" s="402">
        <f>-DevSpend!EO$104</f>
        <v/>
      </c>
      <c r="EP8" s="402">
        <f>-DevSpend!EP$104</f>
        <v/>
      </c>
      <c r="EQ8" s="402">
        <f>-DevSpend!EQ$104</f>
        <v/>
      </c>
      <c r="ER8" s="402">
        <f>-DevSpend!ER$104</f>
        <v/>
      </c>
      <c r="ES8" s="402">
        <f>-DevSpend!ES$104</f>
        <v/>
      </c>
      <c r="ET8" s="402">
        <f>-DevSpend!ET$104</f>
        <v/>
      </c>
      <c r="EU8" s="402">
        <f>-DevSpend!EU$104</f>
        <v/>
      </c>
      <c r="EV8" s="402">
        <f>-DevSpend!EV$104</f>
        <v/>
      </c>
      <c r="EW8" s="402">
        <f>-DevSpend!EW$104</f>
        <v/>
      </c>
      <c r="EX8" s="402">
        <f>-DevSpend!EX$104</f>
        <v/>
      </c>
      <c r="EY8" s="402">
        <f>-DevSpend!EY$104</f>
        <v/>
      </c>
      <c r="EZ8" s="402">
        <f>-DevSpend!EZ$104</f>
        <v/>
      </c>
      <c r="FA8" s="402">
        <f>-DevSpend!FA$104</f>
        <v/>
      </c>
      <c r="FB8" s="402">
        <f>-DevSpend!FB$104</f>
        <v/>
      </c>
      <c r="FC8" s="402">
        <f>-DevSpend!FC$104</f>
        <v/>
      </c>
      <c r="FD8" s="402">
        <f>-DevSpend!FD$104</f>
        <v/>
      </c>
      <c r="FE8" s="402">
        <f>-DevSpend!FE$104</f>
        <v/>
      </c>
      <c r="FF8" s="402">
        <f>-DevSpend!FF$104</f>
        <v/>
      </c>
      <c r="FG8" s="402">
        <f>-DevSpend!FG$104</f>
        <v/>
      </c>
      <c r="FH8" s="402">
        <f>-DevSpend!FH$104</f>
        <v/>
      </c>
      <c r="FI8" s="402">
        <f>-DevSpend!FI$104</f>
        <v/>
      </c>
      <c r="FJ8" s="402">
        <f>-DevSpend!FJ$104</f>
        <v/>
      </c>
      <c r="FK8" s="402">
        <f>-DevSpend!FK$104</f>
        <v/>
      </c>
      <c r="FL8" s="402">
        <f>-DevSpend!FL$104</f>
        <v/>
      </c>
      <c r="FM8" s="402">
        <f>-DevSpend!FM$104</f>
        <v/>
      </c>
      <c r="FN8" s="402">
        <f>-DevSpend!FN$104</f>
        <v/>
      </c>
      <c r="FO8" s="402">
        <f>-DevSpend!FO$104</f>
        <v/>
      </c>
      <c r="FP8" s="402">
        <f>-DevSpend!FP$104</f>
        <v/>
      </c>
      <c r="FQ8" s="402">
        <f>-DevSpend!FQ$104</f>
        <v/>
      </c>
      <c r="FR8" s="402">
        <f>-DevSpend!FR$104</f>
        <v/>
      </c>
      <c r="FS8" s="402">
        <f>-DevSpend!FS$104</f>
        <v/>
      </c>
      <c r="FT8" s="402">
        <f>-DevSpend!FT$104</f>
        <v/>
      </c>
      <c r="FU8" s="402">
        <f>-DevSpend!FU$104</f>
        <v/>
      </c>
      <c r="FV8" s="402">
        <f>-DevSpend!FV$104</f>
        <v/>
      </c>
      <c r="FW8" s="402">
        <f>-DevSpend!FW$104</f>
        <v/>
      </c>
      <c r="FX8" s="402">
        <f>-DevSpend!FX$104</f>
        <v/>
      </c>
      <c r="FY8" s="402">
        <f>-DevSpend!FY$104</f>
        <v/>
      </c>
      <c r="FZ8" s="402">
        <f>-DevSpend!FZ$104</f>
        <v/>
      </c>
      <c r="GA8" s="402">
        <f>-DevSpend!GA$104</f>
        <v/>
      </c>
      <c r="GB8" s="402">
        <f>-DevSpend!GB$104</f>
        <v/>
      </c>
      <c r="GC8" s="402">
        <f>-DevSpend!GC$104</f>
        <v/>
      </c>
      <c r="GD8" s="402">
        <f>-DevSpend!GD$104</f>
        <v/>
      </c>
      <c r="GE8" s="402">
        <f>-DevSpend!GE$104</f>
        <v/>
      </c>
      <c r="GF8" s="402">
        <f>-DevSpend!GF$104</f>
        <v/>
      </c>
      <c r="GG8" s="402">
        <f>-DevSpend!GG$104</f>
        <v/>
      </c>
      <c r="GH8" s="402">
        <f>-DevSpend!GH$104</f>
        <v/>
      </c>
      <c r="GI8" s="402">
        <f>-DevSpend!GI$104</f>
        <v/>
      </c>
      <c r="GJ8" s="402">
        <f>-DevSpend!GJ$104</f>
        <v/>
      </c>
      <c r="GK8" s="402">
        <f>-DevSpend!GK$104</f>
        <v/>
      </c>
      <c r="GL8" s="402">
        <f>-DevSpend!GL$104</f>
        <v/>
      </c>
      <c r="GM8" s="402">
        <f>-DevSpend!GM$104</f>
        <v/>
      </c>
      <c r="GN8" s="402">
        <f>-DevSpend!GN$104</f>
        <v/>
      </c>
      <c r="GO8" s="402">
        <f>-DevSpend!GO$104</f>
        <v/>
      </c>
      <c r="GP8" s="402">
        <f>-DevSpend!GP$104</f>
        <v/>
      </c>
      <c r="GQ8" s="402">
        <f>-DevSpend!GQ$104</f>
        <v/>
      </c>
      <c r="GR8" s="402">
        <f>-DevSpend!GR$104</f>
        <v/>
      </c>
      <c r="GS8" s="402">
        <f>-DevSpend!GS$104</f>
        <v/>
      </c>
      <c r="GT8" s="402">
        <f>-DevSpend!GT$104</f>
        <v/>
      </c>
      <c r="GU8" s="402">
        <f>-DevSpend!GU$104</f>
        <v/>
      </c>
      <c r="GV8" s="402">
        <f>-DevSpend!GV$104</f>
        <v/>
      </c>
      <c r="GW8" s="402">
        <f>-DevSpend!GW$104</f>
        <v/>
      </c>
      <c r="GX8" s="402">
        <f>-DevSpend!GX$104</f>
        <v/>
      </c>
      <c r="GY8" s="402">
        <f>-DevSpend!GY$104</f>
        <v/>
      </c>
      <c r="GZ8" s="402">
        <f>-DevSpend!GZ$104</f>
        <v/>
      </c>
      <c r="HA8" s="402">
        <f>-DevSpend!HA$104</f>
        <v/>
      </c>
      <c r="HB8" s="402">
        <f>-DevSpend!HB$104</f>
        <v/>
      </c>
      <c r="HC8" s="402">
        <f>-DevSpend!HC$104</f>
        <v/>
      </c>
      <c r="HD8" s="402">
        <f>-DevSpend!HD$104</f>
        <v/>
      </c>
      <c r="HE8" s="402">
        <f>-DevSpend!HE$104</f>
        <v/>
      </c>
      <c r="HF8" s="402">
        <f>-DevSpend!HF$104</f>
        <v/>
      </c>
      <c r="HG8" s="402">
        <f>-DevSpend!HG$104</f>
        <v/>
      </c>
      <c r="HH8" s="402">
        <f>-DevSpend!HH$104</f>
        <v/>
      </c>
      <c r="HI8" s="402">
        <f>-DevSpend!HI$104</f>
        <v/>
      </c>
      <c r="HJ8" s="402">
        <f>-DevSpend!HJ$104</f>
        <v/>
      </c>
      <c r="HK8" s="402">
        <f>-DevSpend!HK$104</f>
        <v/>
      </c>
      <c r="HL8" s="402">
        <f>-DevSpend!HL$104</f>
        <v/>
      </c>
      <c r="HM8" s="402">
        <f>-DevSpend!HM$104</f>
        <v/>
      </c>
      <c r="HN8" s="402">
        <f>-DevSpend!HN$104</f>
        <v/>
      </c>
      <c r="HO8" s="402">
        <f>-DevSpend!HO$104</f>
        <v/>
      </c>
      <c r="HP8" s="402">
        <f>-DevSpend!HP$104</f>
        <v/>
      </c>
      <c r="HQ8" s="402">
        <f>-DevSpend!HQ$104</f>
        <v/>
      </c>
      <c r="HR8" s="402">
        <f>-DevSpend!HR$104</f>
        <v/>
      </c>
      <c r="HS8" s="402">
        <f>-DevSpend!HS$104</f>
        <v/>
      </c>
      <c r="HT8" s="402">
        <f>-DevSpend!HT$104</f>
        <v/>
      </c>
      <c r="HU8" s="402">
        <f>-DevSpend!HU$104</f>
        <v/>
      </c>
      <c r="HV8" s="402">
        <f>-DevSpend!HV$104</f>
        <v/>
      </c>
      <c r="HW8" s="402">
        <f>-DevSpend!HW$104</f>
        <v/>
      </c>
      <c r="HX8" s="402">
        <f>-DevSpend!HX$104</f>
        <v/>
      </c>
      <c r="HY8" s="402">
        <f>-DevSpend!HY$104</f>
        <v/>
      </c>
      <c r="HZ8" s="402">
        <f>-DevSpend!HZ$104</f>
        <v/>
      </c>
      <c r="IA8" s="402">
        <f>-DevSpend!IA$104</f>
        <v/>
      </c>
      <c r="IB8" s="402">
        <f>-DevSpend!IB$104</f>
        <v/>
      </c>
      <c r="IC8" s="402">
        <f>-DevSpend!IC$104</f>
        <v/>
      </c>
      <c r="ID8" s="402">
        <f>-DevSpend!ID$104</f>
        <v/>
      </c>
      <c r="IE8" s="402">
        <f>-DevSpend!IE$104</f>
        <v/>
      </c>
      <c r="IF8" s="402">
        <f>-DevSpend!IF$104</f>
        <v/>
      </c>
      <c r="IG8" s="402">
        <f>-DevSpend!IG$104</f>
        <v/>
      </c>
      <c r="IH8" s="402">
        <f>-DevSpend!IH$104</f>
        <v/>
      </c>
      <c r="II8" s="402">
        <f>-DevSpend!II$104</f>
        <v/>
      </c>
      <c r="IJ8" s="402">
        <f>-DevSpend!IJ$104</f>
        <v/>
      </c>
      <c r="IK8" s="402">
        <f>-DevSpend!IK$104</f>
        <v/>
      </c>
      <c r="IL8" s="402">
        <f>-DevSpend!IL$104</f>
        <v/>
      </c>
      <c r="IM8" s="402">
        <f>-DevSpend!IM$104</f>
        <v/>
      </c>
      <c r="IN8" s="402">
        <f>-DevSpend!IN$104</f>
        <v/>
      </c>
      <c r="IO8" s="402">
        <f>-DevSpend!IO$104</f>
        <v/>
      </c>
      <c r="IP8" s="402">
        <f>-DevSpend!IP$104</f>
        <v/>
      </c>
      <c r="IQ8" s="402">
        <f>-DevSpend!IQ$104</f>
        <v/>
      </c>
      <c r="IR8" s="402">
        <f>-DevSpend!IR$104</f>
        <v/>
      </c>
      <c r="IS8" s="402">
        <f>-DevSpend!IS$104</f>
        <v/>
      </c>
      <c r="IT8" s="402">
        <f>-DevSpend!IT$104</f>
        <v/>
      </c>
      <c r="IU8" s="402">
        <f>-DevSpend!IU$104</f>
        <v/>
      </c>
      <c r="IV8" s="402">
        <f>-DevSpend!IV$104</f>
        <v/>
      </c>
      <c r="IW8" s="402">
        <f>-DevSpend!IW$104</f>
        <v/>
      </c>
      <c r="IX8" s="402">
        <f>-DevSpend!IX$104</f>
        <v/>
      </c>
      <c r="IY8" s="402">
        <f>-DevSpend!IY$104</f>
        <v/>
      </c>
      <c r="IZ8" s="402">
        <f>-DevSpend!IZ$104</f>
        <v/>
      </c>
      <c r="JA8" s="402">
        <f>-DevSpend!JA$104</f>
        <v/>
      </c>
      <c r="JB8" s="402">
        <f>-DevSpend!JB$104</f>
        <v/>
      </c>
      <c r="JC8" s="402">
        <f>-DevSpend!JC$104</f>
        <v/>
      </c>
      <c r="JD8" s="402">
        <f>-DevSpend!JD$104</f>
        <v/>
      </c>
      <c r="JE8" s="402">
        <f>-DevSpend!JE$104</f>
        <v/>
      </c>
      <c r="JF8" s="402">
        <f>-DevSpend!JF$104</f>
        <v/>
      </c>
      <c r="JG8" s="402">
        <f>-DevSpend!JG$104</f>
        <v/>
      </c>
      <c r="JH8" s="402">
        <f>-DevSpend!JH$104</f>
        <v/>
      </c>
      <c r="JI8" s="402">
        <f>-DevSpend!JI$104</f>
        <v/>
      </c>
      <c r="JJ8" s="402">
        <f>-DevSpend!JJ$104</f>
        <v/>
      </c>
      <c r="JK8" s="402">
        <f>-DevSpend!JK$104</f>
        <v/>
      </c>
      <c r="JL8" s="402">
        <f>-DevSpend!JL$104</f>
        <v/>
      </c>
      <c r="JM8" s="402">
        <f>-DevSpend!JM$104</f>
        <v/>
      </c>
      <c r="JN8" s="402">
        <f>-DevSpend!JN$104</f>
        <v/>
      </c>
      <c r="JO8" s="402">
        <f>-DevSpend!JO$104</f>
        <v/>
      </c>
      <c r="JP8" s="402">
        <f>-DevSpend!JP$104</f>
        <v/>
      </c>
      <c r="JQ8" s="402">
        <f>-DevSpend!JQ$104</f>
        <v/>
      </c>
      <c r="JR8" s="402">
        <f>-DevSpend!JR$104</f>
        <v/>
      </c>
      <c r="JS8" s="402">
        <f>-DevSpend!JS$104</f>
        <v/>
      </c>
      <c r="JT8" s="402">
        <f>-DevSpend!JT$104</f>
        <v/>
      </c>
      <c r="JU8" s="402">
        <f>-DevSpend!JU$104</f>
        <v/>
      </c>
      <c r="JV8" s="402">
        <f>-DevSpend!JV$104</f>
        <v/>
      </c>
      <c r="JW8" s="402">
        <f>-DevSpend!JW$104</f>
        <v/>
      </c>
      <c r="JX8" s="402">
        <f>-DevSpend!JX$104</f>
        <v/>
      </c>
      <c r="JY8" s="402">
        <f>-DevSpend!JY$104</f>
        <v/>
      </c>
      <c r="JZ8" s="402">
        <f>-DevSpend!JZ$104</f>
        <v/>
      </c>
      <c r="KA8" s="402">
        <f>-DevSpend!KA$104</f>
        <v/>
      </c>
      <c r="KB8" s="402">
        <f>-DevSpend!KB$104</f>
        <v/>
      </c>
      <c r="KC8" s="402">
        <f>-DevSpend!KC$104</f>
        <v/>
      </c>
      <c r="KD8" s="402">
        <f>-DevSpend!KD$104</f>
        <v/>
      </c>
      <c r="KE8" s="402">
        <f>-DevSpend!KE$104</f>
        <v/>
      </c>
      <c r="KF8" s="402">
        <f>-DevSpend!KF$104</f>
        <v/>
      </c>
      <c r="KG8" s="402">
        <f>-DevSpend!KG$104</f>
        <v/>
      </c>
      <c r="KH8" s="402">
        <f>-DevSpend!KH$104</f>
        <v/>
      </c>
      <c r="KI8" s="402">
        <f>-DevSpend!KI$104</f>
        <v/>
      </c>
      <c r="KJ8" s="402">
        <f>-DevSpend!KJ$104</f>
        <v/>
      </c>
      <c r="KK8" s="402">
        <f>-DevSpend!KK$104</f>
        <v/>
      </c>
      <c r="KL8" s="402">
        <f>-DevSpend!KL$104</f>
        <v/>
      </c>
      <c r="KM8" s="402">
        <f>-DevSpend!KM$104</f>
        <v/>
      </c>
      <c r="KN8" s="402">
        <f>-DevSpend!KN$104</f>
        <v/>
      </c>
      <c r="KO8" s="402">
        <f>-DevSpend!KO$104</f>
        <v/>
      </c>
      <c r="KP8" s="402">
        <f>-DevSpend!KP$104</f>
        <v/>
      </c>
      <c r="KQ8" s="402">
        <f>-DevSpend!KQ$104</f>
        <v/>
      </c>
      <c r="KR8" s="402">
        <f>-DevSpend!KR$104</f>
        <v/>
      </c>
      <c r="KS8" s="402">
        <f>-DevSpend!KS$104</f>
        <v/>
      </c>
      <c r="KT8" s="402">
        <f>-DevSpend!KT$104</f>
        <v/>
      </c>
      <c r="KU8" s="402">
        <f>-DevSpend!KU$104</f>
        <v/>
      </c>
      <c r="KV8" s="402">
        <f>-DevSpend!KV$104</f>
        <v/>
      </c>
      <c r="KW8" s="402">
        <f>-DevSpend!KW$104</f>
        <v/>
      </c>
      <c r="KX8" s="402">
        <f>-DevSpend!KX$104</f>
        <v/>
      </c>
      <c r="KY8" s="402">
        <f>-DevSpend!KY$104</f>
        <v/>
      </c>
      <c r="KZ8" s="402">
        <f>-DevSpend!KZ$104</f>
        <v/>
      </c>
      <c r="LA8" s="402">
        <f>-DevSpend!LA$104</f>
        <v/>
      </c>
      <c r="LB8" s="402">
        <f>-DevSpend!LB$104</f>
        <v/>
      </c>
      <c r="LC8" s="402">
        <f>-DevSpend!LC$104</f>
        <v/>
      </c>
      <c r="LD8" s="402">
        <f>-DevSpend!LD$104</f>
        <v/>
      </c>
      <c r="LE8" s="402">
        <f>-DevSpend!LE$104</f>
        <v/>
      </c>
      <c r="LF8" s="402">
        <f>-DevSpend!LF$104</f>
        <v/>
      </c>
      <c r="LG8" s="402">
        <f>-DevSpend!LG$104</f>
        <v/>
      </c>
      <c r="LH8" s="402">
        <f>-DevSpend!LH$104</f>
        <v/>
      </c>
      <c r="LI8" s="402">
        <f>-DevSpend!LI$104</f>
        <v/>
      </c>
      <c r="LJ8" s="402">
        <f>-DevSpend!LJ$104</f>
        <v/>
      </c>
      <c r="LK8" s="402">
        <f>-DevSpend!LK$104</f>
        <v/>
      </c>
      <c r="LL8" s="402">
        <f>-DevSpend!LL$104</f>
        <v/>
      </c>
      <c r="LM8" s="402">
        <f>-DevSpend!LM$104</f>
        <v/>
      </c>
      <c r="LN8" s="402">
        <f>-DevSpend!LN$104</f>
        <v/>
      </c>
      <c r="LO8" s="402">
        <f>-DevSpend!LO$104</f>
        <v/>
      </c>
      <c r="LP8" s="402">
        <f>-DevSpend!LP$104</f>
        <v/>
      </c>
      <c r="LQ8" s="402">
        <f>-DevSpend!LQ$104</f>
        <v/>
      </c>
      <c r="LR8" s="402">
        <f>-DevSpend!LR$104</f>
        <v/>
      </c>
      <c r="LS8" s="402">
        <f>-DevSpend!LS$104</f>
        <v/>
      </c>
      <c r="LT8" s="402">
        <f>-DevSpend!LT$104</f>
        <v/>
      </c>
      <c r="LU8" s="402">
        <f>-DevSpend!LU$104</f>
        <v/>
      </c>
      <c r="LV8" s="402">
        <f>-DevSpend!LV$104</f>
        <v/>
      </c>
      <c r="LW8" s="402">
        <f>-DevSpend!LW$104</f>
        <v/>
      </c>
      <c r="LX8" s="402">
        <f>-DevSpend!LX$104</f>
        <v/>
      </c>
      <c r="LY8" s="402">
        <f>-DevSpend!LY$104</f>
        <v/>
      </c>
      <c r="LZ8" s="402">
        <f>-DevSpend!LZ$104</f>
        <v/>
      </c>
      <c r="MA8" s="402">
        <f>-DevSpend!MA$104</f>
        <v/>
      </c>
      <c r="MB8" s="402">
        <f>-DevSpend!MB$104</f>
        <v/>
      </c>
      <c r="MC8" s="402">
        <f>-DevSpend!MC$104</f>
        <v/>
      </c>
      <c r="MD8" s="402">
        <f>-DevSpend!MD$104</f>
        <v/>
      </c>
      <c r="ME8" s="402">
        <f>-DevSpend!ME$104</f>
        <v/>
      </c>
      <c r="MF8" s="402">
        <f>-DevSpend!MF$104</f>
        <v/>
      </c>
      <c r="MG8" s="402">
        <f>-DevSpend!MG$104</f>
        <v/>
      </c>
      <c r="MH8" s="402">
        <f>-DevSpend!MH$104</f>
        <v/>
      </c>
      <c r="MI8" s="402">
        <f>-DevSpend!MI$104</f>
        <v/>
      </c>
      <c r="MJ8" s="402">
        <f>-DevSpend!MJ$104</f>
        <v/>
      </c>
      <c r="MK8" s="402">
        <f>-DevSpend!MK$104</f>
        <v/>
      </c>
      <c r="ML8" s="402">
        <f>-DevSpend!ML$104</f>
        <v/>
      </c>
      <c r="MM8" s="402">
        <f>-DevSpend!MM$104</f>
        <v/>
      </c>
      <c r="MN8" s="402">
        <f>-DevSpend!MN$104</f>
        <v/>
      </c>
      <c r="MO8" s="402">
        <f>-DevSpend!MO$104</f>
        <v/>
      </c>
      <c r="MP8" s="402">
        <f>-DevSpend!MP$104</f>
        <v/>
      </c>
      <c r="MQ8" s="402">
        <f>-DevSpend!MQ$104</f>
        <v/>
      </c>
      <c r="MR8" s="402">
        <f>-DevSpend!MR$104</f>
        <v/>
      </c>
      <c r="MS8" s="402">
        <f>-DevSpend!MS$104</f>
        <v/>
      </c>
      <c r="MT8" s="402">
        <f>-DevSpend!MT$104</f>
        <v/>
      </c>
      <c r="MU8" s="402">
        <f>-DevSpend!MU$104</f>
        <v/>
      </c>
      <c r="MV8" s="402">
        <f>-DevSpend!MV$104</f>
        <v/>
      </c>
      <c r="MW8" s="402">
        <f>-DevSpend!MW$104</f>
        <v/>
      </c>
      <c r="MX8" s="402">
        <f>-DevSpend!MX$104</f>
        <v/>
      </c>
      <c r="MY8" s="402">
        <f>-DevSpend!MY$104</f>
        <v/>
      </c>
      <c r="MZ8" s="402">
        <f>-DevSpend!MZ$104</f>
        <v/>
      </c>
      <c r="NA8" s="402">
        <f>-DevSpend!NA$104</f>
        <v/>
      </c>
      <c r="NB8" s="402">
        <f>-DevSpend!NB$104</f>
        <v/>
      </c>
      <c r="NC8" s="402">
        <f>-DevSpend!NC$104</f>
        <v/>
      </c>
      <c r="ND8" s="402">
        <f>-DevSpend!ND$104</f>
        <v/>
      </c>
      <c r="NE8" s="402">
        <f>-DevSpend!NE$104</f>
        <v/>
      </c>
      <c r="NF8" s="402">
        <f>-DevSpend!NF$104</f>
        <v/>
      </c>
      <c r="NG8" s="402">
        <f>-DevSpend!NG$104</f>
        <v/>
      </c>
      <c r="NH8" s="402">
        <f>-DevSpend!NH$104</f>
        <v/>
      </c>
      <c r="NI8" s="402">
        <f>-DevSpend!NI$104</f>
        <v/>
      </c>
      <c r="NJ8" s="402">
        <f>-DevSpend!NJ$104</f>
        <v/>
      </c>
      <c r="NK8" s="402">
        <f>-DevSpend!NK$104</f>
        <v/>
      </c>
      <c r="NL8" s="402">
        <f>-DevSpend!NL$104</f>
        <v/>
      </c>
    </row>
    <row r="9">
      <c r="B9" s="316" t="inlineStr">
        <is>
          <t>Other Loan / Closing Costs</t>
        </is>
      </c>
      <c r="D9" s="402">
        <f>SUM(E9:NL9)</f>
        <v/>
      </c>
      <c r="E9" s="402">
        <f>-IF(E$3=MS_Initial_Closing_Start,ConOtherCosts,0)</f>
        <v/>
      </c>
      <c r="F9" s="402">
        <f>-IF(F$3=MS_Initial_Closing_Start,ConOtherCosts,0)</f>
        <v/>
      </c>
      <c r="G9" s="402">
        <f>-IF(G$3=MS_Initial_Closing_Start,ConOtherCosts,0)</f>
        <v/>
      </c>
      <c r="H9" s="402">
        <f>-IF(H$3=MS_Initial_Closing_Start,ConOtherCosts,0)</f>
        <v/>
      </c>
      <c r="I9" s="402">
        <f>-IF(I$3=MS_Initial_Closing_Start,ConOtherCosts,0)</f>
        <v/>
      </c>
      <c r="J9" s="402">
        <f>-IF(J$3=MS_Initial_Closing_Start,ConOtherCosts,0)</f>
        <v/>
      </c>
      <c r="K9" s="402">
        <f>-IF(K$3=MS_Initial_Closing_Start,ConOtherCosts,0)</f>
        <v/>
      </c>
      <c r="L9" s="402">
        <f>-IF(L$3=MS_Initial_Closing_Start,ConOtherCosts,0)</f>
        <v/>
      </c>
      <c r="M9" s="402">
        <f>-IF(M$3=MS_Initial_Closing_Start,ConOtherCosts,0)</f>
        <v/>
      </c>
      <c r="N9" s="402">
        <f>-IF(N$3=MS_Initial_Closing_Start,ConOtherCosts,0)</f>
        <v/>
      </c>
      <c r="O9" s="402">
        <f>-IF(O$3=MS_Initial_Closing_Start,ConOtherCosts,0)</f>
        <v/>
      </c>
      <c r="P9" s="402">
        <f>-IF(P$3=MS_Initial_Closing_Start,ConOtherCosts,0)</f>
        <v/>
      </c>
      <c r="Q9" s="402">
        <f>-IF(Q$3=MS_Initial_Closing_Start,ConOtherCosts,0)</f>
        <v/>
      </c>
      <c r="R9" s="402">
        <f>-IF(R$3=MS_Initial_Closing_Start,ConOtherCosts,0)</f>
        <v/>
      </c>
      <c r="S9" s="402">
        <f>-IF(S$3=MS_Initial_Closing_Start,ConOtherCosts,0)</f>
        <v/>
      </c>
      <c r="T9" s="402">
        <f>-IF(T$3=MS_Initial_Closing_Start,ConOtherCosts,0)</f>
        <v/>
      </c>
      <c r="U9" s="402">
        <f>-IF(U$3=MS_Initial_Closing_Start,ConOtherCosts,0)</f>
        <v/>
      </c>
      <c r="V9" s="402">
        <f>-IF(V$3=MS_Initial_Closing_Start,ConOtherCosts,0)</f>
        <v/>
      </c>
      <c r="W9" s="402">
        <f>-IF(W$3=MS_Initial_Closing_Start,ConOtherCosts,0)</f>
        <v/>
      </c>
      <c r="X9" s="402">
        <f>-IF(X$3=MS_Initial_Closing_Start,ConOtherCosts,0)</f>
        <v/>
      </c>
      <c r="Y9" s="402">
        <f>-IF(Y$3=MS_Initial_Closing_Start,ConOtherCosts,0)</f>
        <v/>
      </c>
      <c r="Z9" s="402">
        <f>-IF(Z$3=MS_Initial_Closing_Start,ConOtherCosts,0)</f>
        <v/>
      </c>
      <c r="AA9" s="402">
        <f>-IF(AA$3=MS_Initial_Closing_Start,ConOtherCosts,0)</f>
        <v/>
      </c>
      <c r="AB9" s="402">
        <f>-IF(AB$3=MS_Initial_Closing_Start,ConOtherCosts,0)</f>
        <v/>
      </c>
      <c r="AC9" s="402">
        <f>-IF(AC$3=MS_Initial_Closing_Start,ConOtherCosts,0)</f>
        <v/>
      </c>
      <c r="AD9" s="402">
        <f>-IF(AD$3=MS_Initial_Closing_Start,ConOtherCosts,0)</f>
        <v/>
      </c>
      <c r="AE9" s="402">
        <f>-IF(AE$3=MS_Initial_Closing_Start,ConOtherCosts,0)</f>
        <v/>
      </c>
      <c r="AF9" s="402">
        <f>-IF(AF$3=MS_Initial_Closing_Start,ConOtherCosts,0)</f>
        <v/>
      </c>
      <c r="AG9" s="402">
        <f>-IF(AG$3=MS_Initial_Closing_Start,ConOtherCosts,0)</f>
        <v/>
      </c>
      <c r="AH9" s="402">
        <f>-IF(AH$3=MS_Initial_Closing_Start,ConOtherCosts,0)</f>
        <v/>
      </c>
      <c r="AI9" s="402">
        <f>-IF(AI$3=MS_Initial_Closing_Start,ConOtherCosts,0)</f>
        <v/>
      </c>
      <c r="AJ9" s="402">
        <f>-IF(AJ$3=MS_Initial_Closing_Start,ConOtherCosts,0)</f>
        <v/>
      </c>
      <c r="AK9" s="402">
        <f>-IF(AK$3=MS_Initial_Closing_Start,ConOtherCosts,0)</f>
        <v/>
      </c>
      <c r="AL9" s="402">
        <f>-IF(AL$3=MS_Initial_Closing_Start,ConOtherCosts,0)</f>
        <v/>
      </c>
      <c r="AM9" s="402">
        <f>-IF(AM$3=MS_Initial_Closing_Start,ConOtherCosts,0)</f>
        <v/>
      </c>
      <c r="AN9" s="402">
        <f>-IF(AN$3=MS_Initial_Closing_Start,ConOtherCosts,0)</f>
        <v/>
      </c>
      <c r="AO9" s="402">
        <f>-IF(AO$3=MS_Initial_Closing_Start,ConOtherCosts,0)</f>
        <v/>
      </c>
      <c r="AP9" s="402">
        <f>-IF(AP$3=MS_Initial_Closing_Start,ConOtherCosts,0)</f>
        <v/>
      </c>
      <c r="AQ9" s="402">
        <f>-IF(AQ$3=MS_Initial_Closing_Start,ConOtherCosts,0)</f>
        <v/>
      </c>
      <c r="AR9" s="402">
        <f>-IF(AR$3=MS_Initial_Closing_Start,ConOtherCosts,0)</f>
        <v/>
      </c>
      <c r="AS9" s="402">
        <f>-IF(AS$3=MS_Initial_Closing_Start,ConOtherCosts,0)</f>
        <v/>
      </c>
      <c r="AT9" s="402">
        <f>-IF(AT$3=MS_Initial_Closing_Start,ConOtherCosts,0)</f>
        <v/>
      </c>
      <c r="AU9" s="402">
        <f>-IF(AU$3=MS_Initial_Closing_Start,ConOtherCosts,0)</f>
        <v/>
      </c>
      <c r="AV9" s="402">
        <f>-IF(AV$3=MS_Initial_Closing_Start,ConOtherCosts,0)</f>
        <v/>
      </c>
      <c r="AW9" s="402">
        <f>-IF(AW$3=MS_Initial_Closing_Start,ConOtherCosts,0)</f>
        <v/>
      </c>
      <c r="AX9" s="402">
        <f>-IF(AX$3=MS_Initial_Closing_Start,ConOtherCosts,0)</f>
        <v/>
      </c>
      <c r="AY9" s="402">
        <f>-IF(AY$3=MS_Initial_Closing_Start,ConOtherCosts,0)</f>
        <v/>
      </c>
      <c r="AZ9" s="402">
        <f>-IF(AZ$3=MS_Initial_Closing_Start,ConOtherCosts,0)</f>
        <v/>
      </c>
      <c r="BA9" s="402">
        <f>-IF(BA$3=MS_Initial_Closing_Start,ConOtherCosts,0)</f>
        <v/>
      </c>
      <c r="BB9" s="402">
        <f>-IF(BB$3=MS_Initial_Closing_Start,ConOtherCosts,0)</f>
        <v/>
      </c>
      <c r="BC9" s="402">
        <f>-IF(BC$3=MS_Initial_Closing_Start,ConOtherCosts,0)</f>
        <v/>
      </c>
      <c r="BD9" s="402">
        <f>-IF(BD$3=MS_Initial_Closing_Start,ConOtherCosts,0)</f>
        <v/>
      </c>
      <c r="BE9" s="402">
        <f>-IF(BE$3=MS_Initial_Closing_Start,ConOtherCosts,0)</f>
        <v/>
      </c>
      <c r="BF9" s="402">
        <f>-IF(BF$3=MS_Initial_Closing_Start,ConOtherCosts,0)</f>
        <v/>
      </c>
      <c r="BG9" s="402">
        <f>-IF(BG$3=MS_Initial_Closing_Start,ConOtherCosts,0)</f>
        <v/>
      </c>
      <c r="BH9" s="402">
        <f>-IF(BH$3=MS_Initial_Closing_Start,ConOtherCosts,0)</f>
        <v/>
      </c>
      <c r="BI9" s="402">
        <f>-IF(BI$3=MS_Initial_Closing_Start,ConOtherCosts,0)</f>
        <v/>
      </c>
      <c r="BJ9" s="402">
        <f>-IF(BJ$3=MS_Initial_Closing_Start,ConOtherCosts,0)</f>
        <v/>
      </c>
      <c r="BK9" s="402">
        <f>-IF(BK$3=MS_Initial_Closing_Start,ConOtherCosts,0)</f>
        <v/>
      </c>
      <c r="BL9" s="402">
        <f>-IF(BL$3=MS_Initial_Closing_Start,ConOtherCosts,0)</f>
        <v/>
      </c>
      <c r="BM9" s="402">
        <f>-IF(BM$3=MS_Initial_Closing_Start,ConOtherCosts,0)</f>
        <v/>
      </c>
      <c r="BN9" s="402">
        <f>-IF(BN$3=MS_Initial_Closing_Start,ConOtherCosts,0)</f>
        <v/>
      </c>
      <c r="BO9" s="402">
        <f>-IF(BO$3=MS_Initial_Closing_Start,ConOtherCosts,0)</f>
        <v/>
      </c>
      <c r="BP9" s="402">
        <f>-IF(BP$3=MS_Initial_Closing_Start,ConOtherCosts,0)</f>
        <v/>
      </c>
      <c r="BQ9" s="402">
        <f>-IF(BQ$3=MS_Initial_Closing_Start,ConOtherCosts,0)</f>
        <v/>
      </c>
      <c r="BR9" s="402">
        <f>-IF(BR$3=MS_Initial_Closing_Start,ConOtherCosts,0)</f>
        <v/>
      </c>
      <c r="BS9" s="402">
        <f>-IF(BS$3=MS_Initial_Closing_Start,ConOtherCosts,0)</f>
        <v/>
      </c>
      <c r="BT9" s="402">
        <f>-IF(BT$3=MS_Initial_Closing_Start,ConOtherCosts,0)</f>
        <v/>
      </c>
      <c r="BU9" s="402">
        <f>-IF(BU$3=MS_Initial_Closing_Start,ConOtherCosts,0)</f>
        <v/>
      </c>
      <c r="BV9" s="402">
        <f>-IF(BV$3=MS_Initial_Closing_Start,ConOtherCosts,0)</f>
        <v/>
      </c>
      <c r="BW9" s="402">
        <f>-IF(BW$3=MS_Initial_Closing_Start,ConOtherCosts,0)</f>
        <v/>
      </c>
      <c r="BX9" s="402">
        <f>-IF(BX$3=MS_Initial_Closing_Start,ConOtherCosts,0)</f>
        <v/>
      </c>
      <c r="BY9" s="402">
        <f>-IF(BY$3=MS_Initial_Closing_Start,ConOtherCosts,0)</f>
        <v/>
      </c>
      <c r="BZ9" s="402">
        <f>-IF(BZ$3=MS_Initial_Closing_Start,ConOtherCosts,0)</f>
        <v/>
      </c>
      <c r="CA9" s="402">
        <f>-IF(CA$3=MS_Initial_Closing_Start,ConOtherCosts,0)</f>
        <v/>
      </c>
      <c r="CB9" s="402">
        <f>-IF(CB$3=MS_Initial_Closing_Start,ConOtherCosts,0)</f>
        <v/>
      </c>
      <c r="CC9" s="402">
        <f>-IF(CC$3=MS_Initial_Closing_Start,ConOtherCosts,0)</f>
        <v/>
      </c>
      <c r="CD9" s="402">
        <f>-IF(CD$3=MS_Initial_Closing_Start,ConOtherCosts,0)</f>
        <v/>
      </c>
      <c r="CE9" s="402">
        <f>-IF(CE$3=MS_Initial_Closing_Start,ConOtherCosts,0)</f>
        <v/>
      </c>
      <c r="CF9" s="402">
        <f>-IF(CF$3=MS_Initial_Closing_Start,ConOtherCosts,0)</f>
        <v/>
      </c>
      <c r="CG9" s="402">
        <f>-IF(CG$3=MS_Initial_Closing_Start,ConOtherCosts,0)</f>
        <v/>
      </c>
      <c r="CH9" s="402">
        <f>-IF(CH$3=MS_Initial_Closing_Start,ConOtherCosts,0)</f>
        <v/>
      </c>
      <c r="CI9" s="402">
        <f>-IF(CI$3=MS_Initial_Closing_Start,ConOtherCosts,0)</f>
        <v/>
      </c>
      <c r="CJ9" s="402">
        <f>-IF(CJ$3=MS_Initial_Closing_Start,ConOtherCosts,0)</f>
        <v/>
      </c>
      <c r="CK9" s="402">
        <f>-IF(CK$3=MS_Initial_Closing_Start,ConOtherCosts,0)</f>
        <v/>
      </c>
      <c r="CL9" s="402">
        <f>-IF(CL$3=MS_Initial_Closing_Start,ConOtherCosts,0)</f>
        <v/>
      </c>
      <c r="CM9" s="402">
        <f>-IF(CM$3=MS_Initial_Closing_Start,ConOtherCosts,0)</f>
        <v/>
      </c>
      <c r="CN9" s="402">
        <f>-IF(CN$3=MS_Initial_Closing_Start,ConOtherCosts,0)</f>
        <v/>
      </c>
      <c r="CO9" s="402">
        <f>-IF(CO$3=MS_Initial_Closing_Start,ConOtherCosts,0)</f>
        <v/>
      </c>
      <c r="CP9" s="402">
        <f>-IF(CP$3=MS_Initial_Closing_Start,ConOtherCosts,0)</f>
        <v/>
      </c>
      <c r="CQ9" s="402">
        <f>-IF(CQ$3=MS_Initial_Closing_Start,ConOtherCosts,0)</f>
        <v/>
      </c>
      <c r="CR9" s="402">
        <f>-IF(CR$3=MS_Initial_Closing_Start,ConOtherCosts,0)</f>
        <v/>
      </c>
      <c r="CS9" s="402">
        <f>-IF(CS$3=MS_Initial_Closing_Start,ConOtherCosts,0)</f>
        <v/>
      </c>
      <c r="CT9" s="402">
        <f>-IF(CT$3=MS_Initial_Closing_Start,ConOtherCosts,0)</f>
        <v/>
      </c>
      <c r="CU9" s="402">
        <f>-IF(CU$3=MS_Initial_Closing_Start,ConOtherCosts,0)</f>
        <v/>
      </c>
      <c r="CV9" s="402">
        <f>-IF(CV$3=MS_Initial_Closing_Start,ConOtherCosts,0)</f>
        <v/>
      </c>
      <c r="CW9" s="402">
        <f>-IF(CW$3=MS_Initial_Closing_Start,ConOtherCosts,0)</f>
        <v/>
      </c>
      <c r="CX9" s="402">
        <f>-IF(CX$3=MS_Initial_Closing_Start,ConOtherCosts,0)</f>
        <v/>
      </c>
      <c r="CY9" s="402">
        <f>-IF(CY$3=MS_Initial_Closing_Start,ConOtherCosts,0)</f>
        <v/>
      </c>
      <c r="CZ9" s="402">
        <f>-IF(CZ$3=MS_Initial_Closing_Start,ConOtherCosts,0)</f>
        <v/>
      </c>
      <c r="DA9" s="402">
        <f>-IF(DA$3=MS_Initial_Closing_Start,ConOtherCosts,0)</f>
        <v/>
      </c>
      <c r="DB9" s="402">
        <f>-IF(DB$3=MS_Initial_Closing_Start,ConOtherCosts,0)</f>
        <v/>
      </c>
      <c r="DC9" s="402">
        <f>-IF(DC$3=MS_Initial_Closing_Start,ConOtherCosts,0)</f>
        <v/>
      </c>
      <c r="DD9" s="402">
        <f>-IF(DD$3=MS_Initial_Closing_Start,ConOtherCosts,0)</f>
        <v/>
      </c>
      <c r="DE9" s="402">
        <f>-IF(DE$3=MS_Initial_Closing_Start,ConOtherCosts,0)</f>
        <v/>
      </c>
      <c r="DF9" s="402">
        <f>-IF(DF$3=MS_Initial_Closing_Start,ConOtherCosts,0)</f>
        <v/>
      </c>
      <c r="DG9" s="402">
        <f>-IF(DG$3=MS_Initial_Closing_Start,ConOtherCosts,0)</f>
        <v/>
      </c>
      <c r="DH9" s="402">
        <f>-IF(DH$3=MS_Initial_Closing_Start,ConOtherCosts,0)</f>
        <v/>
      </c>
      <c r="DI9" s="402">
        <f>-IF(DI$3=MS_Initial_Closing_Start,ConOtherCosts,0)</f>
        <v/>
      </c>
      <c r="DJ9" s="402">
        <f>-IF(DJ$3=MS_Initial_Closing_Start,ConOtherCosts,0)</f>
        <v/>
      </c>
      <c r="DK9" s="402">
        <f>-IF(DK$3=MS_Initial_Closing_Start,ConOtherCosts,0)</f>
        <v/>
      </c>
      <c r="DL9" s="402">
        <f>-IF(DL$3=MS_Initial_Closing_Start,ConOtherCosts,0)</f>
        <v/>
      </c>
      <c r="DM9" s="402">
        <f>-IF(DM$3=MS_Initial_Closing_Start,ConOtherCosts,0)</f>
        <v/>
      </c>
      <c r="DN9" s="402">
        <f>-IF(DN$3=MS_Initial_Closing_Start,ConOtherCosts,0)</f>
        <v/>
      </c>
      <c r="DO9" s="402">
        <f>-IF(DO$3=MS_Initial_Closing_Start,ConOtherCosts,0)</f>
        <v/>
      </c>
      <c r="DP9" s="402">
        <f>-IF(DP$3=MS_Initial_Closing_Start,ConOtherCosts,0)</f>
        <v/>
      </c>
      <c r="DQ9" s="402">
        <f>-IF(DQ$3=MS_Initial_Closing_Start,ConOtherCosts,0)</f>
        <v/>
      </c>
      <c r="DR9" s="402">
        <f>-IF(DR$3=MS_Initial_Closing_Start,ConOtherCosts,0)</f>
        <v/>
      </c>
      <c r="DS9" s="402">
        <f>-IF(DS$3=MS_Initial_Closing_Start,ConOtherCosts,0)</f>
        <v/>
      </c>
      <c r="DT9" s="402">
        <f>-IF(DT$3=MS_Initial_Closing_Start,ConOtherCosts,0)</f>
        <v/>
      </c>
      <c r="DU9" s="402">
        <f>-IF(DU$3=MS_Initial_Closing_Start,ConOtherCosts,0)</f>
        <v/>
      </c>
      <c r="DV9" s="402">
        <f>-IF(DV$3=MS_Initial_Closing_Start,ConOtherCosts,0)</f>
        <v/>
      </c>
      <c r="DW9" s="402">
        <f>-IF(DW$3=MS_Initial_Closing_Start,ConOtherCosts,0)</f>
        <v/>
      </c>
      <c r="DX9" s="402">
        <f>-IF(DX$3=MS_Initial_Closing_Start,ConOtherCosts,0)</f>
        <v/>
      </c>
      <c r="DY9" s="402">
        <f>-IF(DY$3=MS_Initial_Closing_Start,ConOtherCosts,0)</f>
        <v/>
      </c>
      <c r="DZ9" s="402">
        <f>-IF(DZ$3=MS_Initial_Closing_Start,ConOtherCosts,0)</f>
        <v/>
      </c>
      <c r="EA9" s="402">
        <f>-IF(EA$3=MS_Initial_Closing_Start,ConOtherCosts,0)</f>
        <v/>
      </c>
      <c r="EB9" s="402">
        <f>-IF(EB$3=MS_Initial_Closing_Start,ConOtherCosts,0)</f>
        <v/>
      </c>
      <c r="EC9" s="402">
        <f>-IF(EC$3=MS_Initial_Closing_Start,ConOtherCosts,0)</f>
        <v/>
      </c>
      <c r="ED9" s="402">
        <f>-IF(ED$3=MS_Initial_Closing_Start,ConOtherCosts,0)</f>
        <v/>
      </c>
      <c r="EE9" s="402">
        <f>-IF(EE$3=MS_Initial_Closing_Start,ConOtherCosts,0)</f>
        <v/>
      </c>
      <c r="EF9" s="402">
        <f>-IF(EF$3=MS_Initial_Closing_Start,ConOtherCosts,0)</f>
        <v/>
      </c>
      <c r="EG9" s="402">
        <f>-IF(EG$3=MS_Initial_Closing_Start,ConOtherCosts,0)</f>
        <v/>
      </c>
      <c r="EH9" s="402">
        <f>-IF(EH$3=MS_Initial_Closing_Start,ConOtherCosts,0)</f>
        <v/>
      </c>
      <c r="EI9" s="402">
        <f>-IF(EI$3=MS_Initial_Closing_Start,ConOtherCosts,0)</f>
        <v/>
      </c>
      <c r="EJ9" s="402">
        <f>-IF(EJ$3=MS_Initial_Closing_Start,ConOtherCosts,0)</f>
        <v/>
      </c>
      <c r="EK9" s="402">
        <f>-IF(EK$3=MS_Initial_Closing_Start,ConOtherCosts,0)</f>
        <v/>
      </c>
      <c r="EL9" s="402">
        <f>-IF(EL$3=MS_Initial_Closing_Start,ConOtherCosts,0)</f>
        <v/>
      </c>
      <c r="EM9" s="402">
        <f>-IF(EM$3=MS_Initial_Closing_Start,ConOtherCosts,0)</f>
        <v/>
      </c>
      <c r="EN9" s="402">
        <f>-IF(EN$3=MS_Initial_Closing_Start,ConOtherCosts,0)</f>
        <v/>
      </c>
      <c r="EO9" s="402">
        <f>-IF(EO$3=MS_Initial_Closing_Start,ConOtherCosts,0)</f>
        <v/>
      </c>
      <c r="EP9" s="402">
        <f>-IF(EP$3=MS_Initial_Closing_Start,ConOtherCosts,0)</f>
        <v/>
      </c>
      <c r="EQ9" s="402">
        <f>-IF(EQ$3=MS_Initial_Closing_Start,ConOtherCosts,0)</f>
        <v/>
      </c>
      <c r="ER9" s="402">
        <f>-IF(ER$3=MS_Initial_Closing_Start,ConOtherCosts,0)</f>
        <v/>
      </c>
      <c r="ES9" s="402">
        <f>-IF(ES$3=MS_Initial_Closing_Start,ConOtherCosts,0)</f>
        <v/>
      </c>
      <c r="ET9" s="402">
        <f>-IF(ET$3=MS_Initial_Closing_Start,ConOtherCosts,0)</f>
        <v/>
      </c>
      <c r="EU9" s="402">
        <f>-IF(EU$3=MS_Initial_Closing_Start,ConOtherCosts,0)</f>
        <v/>
      </c>
      <c r="EV9" s="402">
        <f>-IF(EV$3=MS_Initial_Closing_Start,ConOtherCosts,0)</f>
        <v/>
      </c>
      <c r="EW9" s="402">
        <f>-IF(EW$3=MS_Initial_Closing_Start,ConOtherCosts,0)</f>
        <v/>
      </c>
      <c r="EX9" s="402">
        <f>-IF(EX$3=MS_Initial_Closing_Start,ConOtherCosts,0)</f>
        <v/>
      </c>
      <c r="EY9" s="402">
        <f>-IF(EY$3=MS_Initial_Closing_Start,ConOtherCosts,0)</f>
        <v/>
      </c>
      <c r="EZ9" s="402">
        <f>-IF(EZ$3=MS_Initial_Closing_Start,ConOtherCosts,0)</f>
        <v/>
      </c>
      <c r="FA9" s="402">
        <f>-IF(FA$3=MS_Initial_Closing_Start,ConOtherCosts,0)</f>
        <v/>
      </c>
      <c r="FB9" s="402">
        <f>-IF(FB$3=MS_Initial_Closing_Start,ConOtherCosts,0)</f>
        <v/>
      </c>
      <c r="FC9" s="402">
        <f>-IF(FC$3=MS_Initial_Closing_Start,ConOtherCosts,0)</f>
        <v/>
      </c>
      <c r="FD9" s="402">
        <f>-IF(FD$3=MS_Initial_Closing_Start,ConOtherCosts,0)</f>
        <v/>
      </c>
      <c r="FE9" s="402">
        <f>-IF(FE$3=MS_Initial_Closing_Start,ConOtherCosts,0)</f>
        <v/>
      </c>
      <c r="FF9" s="402">
        <f>-IF(FF$3=MS_Initial_Closing_Start,ConOtherCosts,0)</f>
        <v/>
      </c>
      <c r="FG9" s="402">
        <f>-IF(FG$3=MS_Initial_Closing_Start,ConOtherCosts,0)</f>
        <v/>
      </c>
      <c r="FH9" s="402">
        <f>-IF(FH$3=MS_Initial_Closing_Start,ConOtherCosts,0)</f>
        <v/>
      </c>
      <c r="FI9" s="402">
        <f>-IF(FI$3=MS_Initial_Closing_Start,ConOtherCosts,0)</f>
        <v/>
      </c>
      <c r="FJ9" s="402">
        <f>-IF(FJ$3=MS_Initial_Closing_Start,ConOtherCosts,0)</f>
        <v/>
      </c>
      <c r="FK9" s="402">
        <f>-IF(FK$3=MS_Initial_Closing_Start,ConOtherCosts,0)</f>
        <v/>
      </c>
      <c r="FL9" s="402">
        <f>-IF(FL$3=MS_Initial_Closing_Start,ConOtherCosts,0)</f>
        <v/>
      </c>
      <c r="FM9" s="402">
        <f>-IF(FM$3=MS_Initial_Closing_Start,ConOtherCosts,0)</f>
        <v/>
      </c>
      <c r="FN9" s="402">
        <f>-IF(FN$3=MS_Initial_Closing_Start,ConOtherCosts,0)</f>
        <v/>
      </c>
      <c r="FO9" s="402">
        <f>-IF(FO$3=MS_Initial_Closing_Start,ConOtherCosts,0)</f>
        <v/>
      </c>
      <c r="FP9" s="402">
        <f>-IF(FP$3=MS_Initial_Closing_Start,ConOtherCosts,0)</f>
        <v/>
      </c>
      <c r="FQ9" s="402">
        <f>-IF(FQ$3=MS_Initial_Closing_Start,ConOtherCosts,0)</f>
        <v/>
      </c>
      <c r="FR9" s="402">
        <f>-IF(FR$3=MS_Initial_Closing_Start,ConOtherCosts,0)</f>
        <v/>
      </c>
      <c r="FS9" s="402">
        <f>-IF(FS$3=MS_Initial_Closing_Start,ConOtherCosts,0)</f>
        <v/>
      </c>
      <c r="FT9" s="402">
        <f>-IF(FT$3=MS_Initial_Closing_Start,ConOtherCosts,0)</f>
        <v/>
      </c>
      <c r="FU9" s="402">
        <f>-IF(FU$3=MS_Initial_Closing_Start,ConOtherCosts,0)</f>
        <v/>
      </c>
      <c r="FV9" s="402">
        <f>-IF(FV$3=MS_Initial_Closing_Start,ConOtherCosts,0)</f>
        <v/>
      </c>
      <c r="FW9" s="402">
        <f>-IF(FW$3=MS_Initial_Closing_Start,ConOtherCosts,0)</f>
        <v/>
      </c>
      <c r="FX9" s="402">
        <f>-IF(FX$3=MS_Initial_Closing_Start,ConOtherCosts,0)</f>
        <v/>
      </c>
      <c r="FY9" s="402">
        <f>-IF(FY$3=MS_Initial_Closing_Start,ConOtherCosts,0)</f>
        <v/>
      </c>
      <c r="FZ9" s="402">
        <f>-IF(FZ$3=MS_Initial_Closing_Start,ConOtherCosts,0)</f>
        <v/>
      </c>
      <c r="GA9" s="402">
        <f>-IF(GA$3=MS_Initial_Closing_Start,ConOtherCosts,0)</f>
        <v/>
      </c>
      <c r="GB9" s="402">
        <f>-IF(GB$3=MS_Initial_Closing_Start,ConOtherCosts,0)</f>
        <v/>
      </c>
      <c r="GC9" s="402">
        <f>-IF(GC$3=MS_Initial_Closing_Start,ConOtherCosts,0)</f>
        <v/>
      </c>
      <c r="GD9" s="402">
        <f>-IF(GD$3=MS_Initial_Closing_Start,ConOtherCosts,0)</f>
        <v/>
      </c>
      <c r="GE9" s="402">
        <f>-IF(GE$3=MS_Initial_Closing_Start,ConOtherCosts,0)</f>
        <v/>
      </c>
      <c r="GF9" s="402">
        <f>-IF(GF$3=MS_Initial_Closing_Start,ConOtherCosts,0)</f>
        <v/>
      </c>
      <c r="GG9" s="402">
        <f>-IF(GG$3=MS_Initial_Closing_Start,ConOtherCosts,0)</f>
        <v/>
      </c>
      <c r="GH9" s="402">
        <f>-IF(GH$3=MS_Initial_Closing_Start,ConOtherCosts,0)</f>
        <v/>
      </c>
      <c r="GI9" s="402">
        <f>-IF(GI$3=MS_Initial_Closing_Start,ConOtherCosts,0)</f>
        <v/>
      </c>
      <c r="GJ9" s="402">
        <f>-IF(GJ$3=MS_Initial_Closing_Start,ConOtherCosts,0)</f>
        <v/>
      </c>
      <c r="GK9" s="402">
        <f>-IF(GK$3=MS_Initial_Closing_Start,ConOtherCosts,0)</f>
        <v/>
      </c>
      <c r="GL9" s="402">
        <f>-IF(GL$3=MS_Initial_Closing_Start,ConOtherCosts,0)</f>
        <v/>
      </c>
      <c r="GM9" s="402">
        <f>-IF(GM$3=MS_Initial_Closing_Start,ConOtherCosts,0)</f>
        <v/>
      </c>
      <c r="GN9" s="402">
        <f>-IF(GN$3=MS_Initial_Closing_Start,ConOtherCosts,0)</f>
        <v/>
      </c>
      <c r="GO9" s="402">
        <f>-IF(GO$3=MS_Initial_Closing_Start,ConOtherCosts,0)</f>
        <v/>
      </c>
      <c r="GP9" s="402">
        <f>-IF(GP$3=MS_Initial_Closing_Start,ConOtherCosts,0)</f>
        <v/>
      </c>
      <c r="GQ9" s="402">
        <f>-IF(GQ$3=MS_Initial_Closing_Start,ConOtherCosts,0)</f>
        <v/>
      </c>
      <c r="GR9" s="402">
        <f>-IF(GR$3=MS_Initial_Closing_Start,ConOtherCosts,0)</f>
        <v/>
      </c>
      <c r="GS9" s="402">
        <f>-IF(GS$3=MS_Initial_Closing_Start,ConOtherCosts,0)</f>
        <v/>
      </c>
      <c r="GT9" s="402">
        <f>-IF(GT$3=MS_Initial_Closing_Start,ConOtherCosts,0)</f>
        <v/>
      </c>
      <c r="GU9" s="402">
        <f>-IF(GU$3=MS_Initial_Closing_Start,ConOtherCosts,0)</f>
        <v/>
      </c>
      <c r="GV9" s="402">
        <f>-IF(GV$3=MS_Initial_Closing_Start,ConOtherCosts,0)</f>
        <v/>
      </c>
      <c r="GW9" s="402">
        <f>-IF(GW$3=MS_Initial_Closing_Start,ConOtherCosts,0)</f>
        <v/>
      </c>
      <c r="GX9" s="402">
        <f>-IF(GX$3=MS_Initial_Closing_Start,ConOtherCosts,0)</f>
        <v/>
      </c>
      <c r="GY9" s="402">
        <f>-IF(GY$3=MS_Initial_Closing_Start,ConOtherCosts,0)</f>
        <v/>
      </c>
      <c r="GZ9" s="402">
        <f>-IF(GZ$3=MS_Initial_Closing_Start,ConOtherCosts,0)</f>
        <v/>
      </c>
      <c r="HA9" s="402">
        <f>-IF(HA$3=MS_Initial_Closing_Start,ConOtherCosts,0)</f>
        <v/>
      </c>
      <c r="HB9" s="402">
        <f>-IF(HB$3=MS_Initial_Closing_Start,ConOtherCosts,0)</f>
        <v/>
      </c>
      <c r="HC9" s="402">
        <f>-IF(HC$3=MS_Initial_Closing_Start,ConOtherCosts,0)</f>
        <v/>
      </c>
      <c r="HD9" s="402">
        <f>-IF(HD$3=MS_Initial_Closing_Start,ConOtherCosts,0)</f>
        <v/>
      </c>
      <c r="HE9" s="402">
        <f>-IF(HE$3=MS_Initial_Closing_Start,ConOtherCosts,0)</f>
        <v/>
      </c>
      <c r="HF9" s="402">
        <f>-IF(HF$3=MS_Initial_Closing_Start,ConOtherCosts,0)</f>
        <v/>
      </c>
      <c r="HG9" s="402">
        <f>-IF(HG$3=MS_Initial_Closing_Start,ConOtherCosts,0)</f>
        <v/>
      </c>
      <c r="HH9" s="402">
        <f>-IF(HH$3=MS_Initial_Closing_Start,ConOtherCosts,0)</f>
        <v/>
      </c>
      <c r="HI9" s="402">
        <f>-IF(HI$3=MS_Initial_Closing_Start,ConOtherCosts,0)</f>
        <v/>
      </c>
      <c r="HJ9" s="402">
        <f>-IF(HJ$3=MS_Initial_Closing_Start,ConOtherCosts,0)</f>
        <v/>
      </c>
      <c r="HK9" s="402">
        <f>-IF(HK$3=MS_Initial_Closing_Start,ConOtherCosts,0)</f>
        <v/>
      </c>
      <c r="HL9" s="402">
        <f>-IF(HL$3=MS_Initial_Closing_Start,ConOtherCosts,0)</f>
        <v/>
      </c>
      <c r="HM9" s="402">
        <f>-IF(HM$3=MS_Initial_Closing_Start,ConOtherCosts,0)</f>
        <v/>
      </c>
      <c r="HN9" s="402">
        <f>-IF(HN$3=MS_Initial_Closing_Start,ConOtherCosts,0)</f>
        <v/>
      </c>
      <c r="HO9" s="402">
        <f>-IF(HO$3=MS_Initial_Closing_Start,ConOtherCosts,0)</f>
        <v/>
      </c>
      <c r="HP9" s="402">
        <f>-IF(HP$3=MS_Initial_Closing_Start,ConOtherCosts,0)</f>
        <v/>
      </c>
      <c r="HQ9" s="402">
        <f>-IF(HQ$3=MS_Initial_Closing_Start,ConOtherCosts,0)</f>
        <v/>
      </c>
      <c r="HR9" s="402">
        <f>-IF(HR$3=MS_Initial_Closing_Start,ConOtherCosts,0)</f>
        <v/>
      </c>
      <c r="HS9" s="402">
        <f>-IF(HS$3=MS_Initial_Closing_Start,ConOtherCosts,0)</f>
        <v/>
      </c>
      <c r="HT9" s="402">
        <f>-IF(HT$3=MS_Initial_Closing_Start,ConOtherCosts,0)</f>
        <v/>
      </c>
      <c r="HU9" s="402">
        <f>-IF(HU$3=MS_Initial_Closing_Start,ConOtherCosts,0)</f>
        <v/>
      </c>
      <c r="HV9" s="402">
        <f>-IF(HV$3=MS_Initial_Closing_Start,ConOtherCosts,0)</f>
        <v/>
      </c>
      <c r="HW9" s="402">
        <f>-IF(HW$3=MS_Initial_Closing_Start,ConOtherCosts,0)</f>
        <v/>
      </c>
      <c r="HX9" s="402">
        <f>-IF(HX$3=MS_Initial_Closing_Start,ConOtherCosts,0)</f>
        <v/>
      </c>
      <c r="HY9" s="402">
        <f>-IF(HY$3=MS_Initial_Closing_Start,ConOtherCosts,0)</f>
        <v/>
      </c>
      <c r="HZ9" s="402">
        <f>-IF(HZ$3=MS_Initial_Closing_Start,ConOtherCosts,0)</f>
        <v/>
      </c>
      <c r="IA9" s="402">
        <f>-IF(IA$3=MS_Initial_Closing_Start,ConOtherCosts,0)</f>
        <v/>
      </c>
      <c r="IB9" s="402">
        <f>-IF(IB$3=MS_Initial_Closing_Start,ConOtherCosts,0)</f>
        <v/>
      </c>
      <c r="IC9" s="402">
        <f>-IF(IC$3=MS_Initial_Closing_Start,ConOtherCosts,0)</f>
        <v/>
      </c>
      <c r="ID9" s="402">
        <f>-IF(ID$3=MS_Initial_Closing_Start,ConOtherCosts,0)</f>
        <v/>
      </c>
      <c r="IE9" s="402">
        <f>-IF(IE$3=MS_Initial_Closing_Start,ConOtherCosts,0)</f>
        <v/>
      </c>
      <c r="IF9" s="402">
        <f>-IF(IF$3=MS_Initial_Closing_Start,ConOtherCosts,0)</f>
        <v/>
      </c>
      <c r="IG9" s="402">
        <f>-IF(IG$3=MS_Initial_Closing_Start,ConOtherCosts,0)</f>
        <v/>
      </c>
      <c r="IH9" s="402">
        <f>-IF(IH$3=MS_Initial_Closing_Start,ConOtherCosts,0)</f>
        <v/>
      </c>
      <c r="II9" s="402">
        <f>-IF(II$3=MS_Initial_Closing_Start,ConOtherCosts,0)</f>
        <v/>
      </c>
      <c r="IJ9" s="402">
        <f>-IF(IJ$3=MS_Initial_Closing_Start,ConOtherCosts,0)</f>
        <v/>
      </c>
      <c r="IK9" s="402">
        <f>-IF(IK$3=MS_Initial_Closing_Start,ConOtherCosts,0)</f>
        <v/>
      </c>
      <c r="IL9" s="402">
        <f>-IF(IL$3=MS_Initial_Closing_Start,ConOtherCosts,0)</f>
        <v/>
      </c>
      <c r="IM9" s="402">
        <f>-IF(IM$3=MS_Initial_Closing_Start,ConOtherCosts,0)</f>
        <v/>
      </c>
      <c r="IN9" s="402">
        <f>-IF(IN$3=MS_Initial_Closing_Start,ConOtherCosts,0)</f>
        <v/>
      </c>
      <c r="IO9" s="402">
        <f>-IF(IO$3=MS_Initial_Closing_Start,ConOtherCosts,0)</f>
        <v/>
      </c>
      <c r="IP9" s="402">
        <f>-IF(IP$3=MS_Initial_Closing_Start,ConOtherCosts,0)</f>
        <v/>
      </c>
      <c r="IQ9" s="402">
        <f>-IF(IQ$3=MS_Initial_Closing_Start,ConOtherCosts,0)</f>
        <v/>
      </c>
      <c r="IR9" s="402">
        <f>-IF(IR$3=MS_Initial_Closing_Start,ConOtherCosts,0)</f>
        <v/>
      </c>
      <c r="IS9" s="402">
        <f>-IF(IS$3=MS_Initial_Closing_Start,ConOtherCosts,0)</f>
        <v/>
      </c>
      <c r="IT9" s="402">
        <f>-IF(IT$3=MS_Initial_Closing_Start,ConOtherCosts,0)</f>
        <v/>
      </c>
      <c r="IU9" s="402">
        <f>-IF(IU$3=MS_Initial_Closing_Start,ConOtherCosts,0)</f>
        <v/>
      </c>
      <c r="IV9" s="402">
        <f>-IF(IV$3=MS_Initial_Closing_Start,ConOtherCosts,0)</f>
        <v/>
      </c>
      <c r="IW9" s="402">
        <f>-IF(IW$3=MS_Initial_Closing_Start,ConOtherCosts,0)</f>
        <v/>
      </c>
      <c r="IX9" s="402">
        <f>-IF(IX$3=MS_Initial_Closing_Start,ConOtherCosts,0)</f>
        <v/>
      </c>
      <c r="IY9" s="402">
        <f>-IF(IY$3=MS_Initial_Closing_Start,ConOtherCosts,0)</f>
        <v/>
      </c>
      <c r="IZ9" s="402">
        <f>-IF(IZ$3=MS_Initial_Closing_Start,ConOtherCosts,0)</f>
        <v/>
      </c>
      <c r="JA9" s="402">
        <f>-IF(JA$3=MS_Initial_Closing_Start,ConOtherCosts,0)</f>
        <v/>
      </c>
      <c r="JB9" s="402">
        <f>-IF(JB$3=MS_Initial_Closing_Start,ConOtherCosts,0)</f>
        <v/>
      </c>
      <c r="JC9" s="402">
        <f>-IF(JC$3=MS_Initial_Closing_Start,ConOtherCosts,0)</f>
        <v/>
      </c>
      <c r="JD9" s="402">
        <f>-IF(JD$3=MS_Initial_Closing_Start,ConOtherCosts,0)</f>
        <v/>
      </c>
      <c r="JE9" s="402">
        <f>-IF(JE$3=MS_Initial_Closing_Start,ConOtherCosts,0)</f>
        <v/>
      </c>
      <c r="JF9" s="402">
        <f>-IF(JF$3=MS_Initial_Closing_Start,ConOtherCosts,0)</f>
        <v/>
      </c>
      <c r="JG9" s="402">
        <f>-IF(JG$3=MS_Initial_Closing_Start,ConOtherCosts,0)</f>
        <v/>
      </c>
      <c r="JH9" s="402">
        <f>-IF(JH$3=MS_Initial_Closing_Start,ConOtherCosts,0)</f>
        <v/>
      </c>
      <c r="JI9" s="402">
        <f>-IF(JI$3=MS_Initial_Closing_Start,ConOtherCosts,0)</f>
        <v/>
      </c>
      <c r="JJ9" s="402">
        <f>-IF(JJ$3=MS_Initial_Closing_Start,ConOtherCosts,0)</f>
        <v/>
      </c>
      <c r="JK9" s="402">
        <f>-IF(JK$3=MS_Initial_Closing_Start,ConOtherCosts,0)</f>
        <v/>
      </c>
      <c r="JL9" s="402">
        <f>-IF(JL$3=MS_Initial_Closing_Start,ConOtherCosts,0)</f>
        <v/>
      </c>
      <c r="JM9" s="402">
        <f>-IF(JM$3=MS_Initial_Closing_Start,ConOtherCosts,0)</f>
        <v/>
      </c>
      <c r="JN9" s="402">
        <f>-IF(JN$3=MS_Initial_Closing_Start,ConOtherCosts,0)</f>
        <v/>
      </c>
      <c r="JO9" s="402">
        <f>-IF(JO$3=MS_Initial_Closing_Start,ConOtherCosts,0)</f>
        <v/>
      </c>
      <c r="JP9" s="402">
        <f>-IF(JP$3=MS_Initial_Closing_Start,ConOtherCosts,0)</f>
        <v/>
      </c>
      <c r="JQ9" s="402">
        <f>-IF(JQ$3=MS_Initial_Closing_Start,ConOtherCosts,0)</f>
        <v/>
      </c>
      <c r="JR9" s="402">
        <f>-IF(JR$3=MS_Initial_Closing_Start,ConOtherCosts,0)</f>
        <v/>
      </c>
      <c r="JS9" s="402">
        <f>-IF(JS$3=MS_Initial_Closing_Start,ConOtherCosts,0)</f>
        <v/>
      </c>
      <c r="JT9" s="402">
        <f>-IF(JT$3=MS_Initial_Closing_Start,ConOtherCosts,0)</f>
        <v/>
      </c>
      <c r="JU9" s="402">
        <f>-IF(JU$3=MS_Initial_Closing_Start,ConOtherCosts,0)</f>
        <v/>
      </c>
      <c r="JV9" s="402">
        <f>-IF(JV$3=MS_Initial_Closing_Start,ConOtherCosts,0)</f>
        <v/>
      </c>
      <c r="JW9" s="402">
        <f>-IF(JW$3=MS_Initial_Closing_Start,ConOtherCosts,0)</f>
        <v/>
      </c>
      <c r="JX9" s="402">
        <f>-IF(JX$3=MS_Initial_Closing_Start,ConOtherCosts,0)</f>
        <v/>
      </c>
      <c r="JY9" s="402">
        <f>-IF(JY$3=MS_Initial_Closing_Start,ConOtherCosts,0)</f>
        <v/>
      </c>
      <c r="JZ9" s="402">
        <f>-IF(JZ$3=MS_Initial_Closing_Start,ConOtherCosts,0)</f>
        <v/>
      </c>
      <c r="KA9" s="402">
        <f>-IF(KA$3=MS_Initial_Closing_Start,ConOtherCosts,0)</f>
        <v/>
      </c>
      <c r="KB9" s="402">
        <f>-IF(KB$3=MS_Initial_Closing_Start,ConOtherCosts,0)</f>
        <v/>
      </c>
      <c r="KC9" s="402">
        <f>-IF(KC$3=MS_Initial_Closing_Start,ConOtherCosts,0)</f>
        <v/>
      </c>
      <c r="KD9" s="402">
        <f>-IF(KD$3=MS_Initial_Closing_Start,ConOtherCosts,0)</f>
        <v/>
      </c>
      <c r="KE9" s="402">
        <f>-IF(KE$3=MS_Initial_Closing_Start,ConOtherCosts,0)</f>
        <v/>
      </c>
      <c r="KF9" s="402">
        <f>-IF(KF$3=MS_Initial_Closing_Start,ConOtherCosts,0)</f>
        <v/>
      </c>
      <c r="KG9" s="402">
        <f>-IF(KG$3=MS_Initial_Closing_Start,ConOtherCosts,0)</f>
        <v/>
      </c>
      <c r="KH9" s="402">
        <f>-IF(KH$3=MS_Initial_Closing_Start,ConOtherCosts,0)</f>
        <v/>
      </c>
      <c r="KI9" s="402">
        <f>-IF(KI$3=MS_Initial_Closing_Start,ConOtherCosts,0)</f>
        <v/>
      </c>
      <c r="KJ9" s="402">
        <f>-IF(KJ$3=MS_Initial_Closing_Start,ConOtherCosts,0)</f>
        <v/>
      </c>
      <c r="KK9" s="402">
        <f>-IF(KK$3=MS_Initial_Closing_Start,ConOtherCosts,0)</f>
        <v/>
      </c>
      <c r="KL9" s="402">
        <f>-IF(KL$3=MS_Initial_Closing_Start,ConOtherCosts,0)</f>
        <v/>
      </c>
      <c r="KM9" s="402">
        <f>-IF(KM$3=MS_Initial_Closing_Start,ConOtherCosts,0)</f>
        <v/>
      </c>
      <c r="KN9" s="402">
        <f>-IF(KN$3=MS_Initial_Closing_Start,ConOtherCosts,0)</f>
        <v/>
      </c>
      <c r="KO9" s="402">
        <f>-IF(KO$3=MS_Initial_Closing_Start,ConOtherCosts,0)</f>
        <v/>
      </c>
      <c r="KP9" s="402">
        <f>-IF(KP$3=MS_Initial_Closing_Start,ConOtherCosts,0)</f>
        <v/>
      </c>
      <c r="KQ9" s="402">
        <f>-IF(KQ$3=MS_Initial_Closing_Start,ConOtherCosts,0)</f>
        <v/>
      </c>
      <c r="KR9" s="402">
        <f>-IF(KR$3=MS_Initial_Closing_Start,ConOtherCosts,0)</f>
        <v/>
      </c>
      <c r="KS9" s="402">
        <f>-IF(KS$3=MS_Initial_Closing_Start,ConOtherCosts,0)</f>
        <v/>
      </c>
      <c r="KT9" s="402">
        <f>-IF(KT$3=MS_Initial_Closing_Start,ConOtherCosts,0)</f>
        <v/>
      </c>
      <c r="KU9" s="402">
        <f>-IF(KU$3=MS_Initial_Closing_Start,ConOtherCosts,0)</f>
        <v/>
      </c>
      <c r="KV9" s="402">
        <f>-IF(KV$3=MS_Initial_Closing_Start,ConOtherCosts,0)</f>
        <v/>
      </c>
      <c r="KW9" s="402">
        <f>-IF(KW$3=MS_Initial_Closing_Start,ConOtherCosts,0)</f>
        <v/>
      </c>
      <c r="KX9" s="402">
        <f>-IF(KX$3=MS_Initial_Closing_Start,ConOtherCosts,0)</f>
        <v/>
      </c>
      <c r="KY9" s="402">
        <f>-IF(KY$3=MS_Initial_Closing_Start,ConOtherCosts,0)</f>
        <v/>
      </c>
      <c r="KZ9" s="402">
        <f>-IF(KZ$3=MS_Initial_Closing_Start,ConOtherCosts,0)</f>
        <v/>
      </c>
      <c r="LA9" s="402">
        <f>-IF(LA$3=MS_Initial_Closing_Start,ConOtherCosts,0)</f>
        <v/>
      </c>
      <c r="LB9" s="402">
        <f>-IF(LB$3=MS_Initial_Closing_Start,ConOtherCosts,0)</f>
        <v/>
      </c>
      <c r="LC9" s="402">
        <f>-IF(LC$3=MS_Initial_Closing_Start,ConOtherCosts,0)</f>
        <v/>
      </c>
      <c r="LD9" s="402">
        <f>-IF(LD$3=MS_Initial_Closing_Start,ConOtherCosts,0)</f>
        <v/>
      </c>
      <c r="LE9" s="402">
        <f>-IF(LE$3=MS_Initial_Closing_Start,ConOtherCosts,0)</f>
        <v/>
      </c>
      <c r="LF9" s="402">
        <f>-IF(LF$3=MS_Initial_Closing_Start,ConOtherCosts,0)</f>
        <v/>
      </c>
      <c r="LG9" s="402">
        <f>-IF(LG$3=MS_Initial_Closing_Start,ConOtherCosts,0)</f>
        <v/>
      </c>
      <c r="LH9" s="402">
        <f>-IF(LH$3=MS_Initial_Closing_Start,ConOtherCosts,0)</f>
        <v/>
      </c>
      <c r="LI9" s="402">
        <f>-IF(LI$3=MS_Initial_Closing_Start,ConOtherCosts,0)</f>
        <v/>
      </c>
      <c r="LJ9" s="402">
        <f>-IF(LJ$3=MS_Initial_Closing_Start,ConOtherCosts,0)</f>
        <v/>
      </c>
      <c r="LK9" s="402">
        <f>-IF(LK$3=MS_Initial_Closing_Start,ConOtherCosts,0)</f>
        <v/>
      </c>
      <c r="LL9" s="402">
        <f>-IF(LL$3=MS_Initial_Closing_Start,ConOtherCosts,0)</f>
        <v/>
      </c>
      <c r="LM9" s="402">
        <f>-IF(LM$3=MS_Initial_Closing_Start,ConOtherCosts,0)</f>
        <v/>
      </c>
      <c r="LN9" s="402">
        <f>-IF(LN$3=MS_Initial_Closing_Start,ConOtherCosts,0)</f>
        <v/>
      </c>
      <c r="LO9" s="402">
        <f>-IF(LO$3=MS_Initial_Closing_Start,ConOtherCosts,0)</f>
        <v/>
      </c>
      <c r="LP9" s="402">
        <f>-IF(LP$3=MS_Initial_Closing_Start,ConOtherCosts,0)</f>
        <v/>
      </c>
      <c r="LQ9" s="402">
        <f>-IF(LQ$3=MS_Initial_Closing_Start,ConOtherCosts,0)</f>
        <v/>
      </c>
      <c r="LR9" s="402">
        <f>-IF(LR$3=MS_Initial_Closing_Start,ConOtherCosts,0)</f>
        <v/>
      </c>
      <c r="LS9" s="402">
        <f>-IF(LS$3=MS_Initial_Closing_Start,ConOtherCosts,0)</f>
        <v/>
      </c>
      <c r="LT9" s="402">
        <f>-IF(LT$3=MS_Initial_Closing_Start,ConOtherCosts,0)</f>
        <v/>
      </c>
      <c r="LU9" s="402">
        <f>-IF(LU$3=MS_Initial_Closing_Start,ConOtherCosts,0)</f>
        <v/>
      </c>
      <c r="LV9" s="402">
        <f>-IF(LV$3=MS_Initial_Closing_Start,ConOtherCosts,0)</f>
        <v/>
      </c>
      <c r="LW9" s="402">
        <f>-IF(LW$3=MS_Initial_Closing_Start,ConOtherCosts,0)</f>
        <v/>
      </c>
      <c r="LX9" s="402">
        <f>-IF(LX$3=MS_Initial_Closing_Start,ConOtherCosts,0)</f>
        <v/>
      </c>
      <c r="LY9" s="402">
        <f>-IF(LY$3=MS_Initial_Closing_Start,ConOtherCosts,0)</f>
        <v/>
      </c>
      <c r="LZ9" s="402">
        <f>-IF(LZ$3=MS_Initial_Closing_Start,ConOtherCosts,0)</f>
        <v/>
      </c>
      <c r="MA9" s="402">
        <f>-IF(MA$3=MS_Initial_Closing_Start,ConOtherCosts,0)</f>
        <v/>
      </c>
      <c r="MB9" s="402">
        <f>-IF(MB$3=MS_Initial_Closing_Start,ConOtherCosts,0)</f>
        <v/>
      </c>
      <c r="MC9" s="402">
        <f>-IF(MC$3=MS_Initial_Closing_Start,ConOtherCosts,0)</f>
        <v/>
      </c>
      <c r="MD9" s="402">
        <f>-IF(MD$3=MS_Initial_Closing_Start,ConOtherCosts,0)</f>
        <v/>
      </c>
      <c r="ME9" s="402">
        <f>-IF(ME$3=MS_Initial_Closing_Start,ConOtherCosts,0)</f>
        <v/>
      </c>
      <c r="MF9" s="402">
        <f>-IF(MF$3=MS_Initial_Closing_Start,ConOtherCosts,0)</f>
        <v/>
      </c>
      <c r="MG9" s="402">
        <f>-IF(MG$3=MS_Initial_Closing_Start,ConOtherCosts,0)</f>
        <v/>
      </c>
      <c r="MH9" s="402">
        <f>-IF(MH$3=MS_Initial_Closing_Start,ConOtherCosts,0)</f>
        <v/>
      </c>
      <c r="MI9" s="402">
        <f>-IF(MI$3=MS_Initial_Closing_Start,ConOtherCosts,0)</f>
        <v/>
      </c>
      <c r="MJ9" s="402">
        <f>-IF(MJ$3=MS_Initial_Closing_Start,ConOtherCosts,0)</f>
        <v/>
      </c>
      <c r="MK9" s="402">
        <f>-IF(MK$3=MS_Initial_Closing_Start,ConOtherCosts,0)</f>
        <v/>
      </c>
      <c r="ML9" s="402">
        <f>-IF(ML$3=MS_Initial_Closing_Start,ConOtherCosts,0)</f>
        <v/>
      </c>
      <c r="MM9" s="402">
        <f>-IF(MM$3=MS_Initial_Closing_Start,ConOtherCosts,0)</f>
        <v/>
      </c>
      <c r="MN9" s="402">
        <f>-IF(MN$3=MS_Initial_Closing_Start,ConOtherCosts,0)</f>
        <v/>
      </c>
      <c r="MO9" s="402">
        <f>-IF(MO$3=MS_Initial_Closing_Start,ConOtherCosts,0)</f>
        <v/>
      </c>
      <c r="MP9" s="402">
        <f>-IF(MP$3=MS_Initial_Closing_Start,ConOtherCosts,0)</f>
        <v/>
      </c>
      <c r="MQ9" s="402">
        <f>-IF(MQ$3=MS_Initial_Closing_Start,ConOtherCosts,0)</f>
        <v/>
      </c>
      <c r="MR9" s="402">
        <f>-IF(MR$3=MS_Initial_Closing_Start,ConOtherCosts,0)</f>
        <v/>
      </c>
      <c r="MS9" s="402">
        <f>-IF(MS$3=MS_Initial_Closing_Start,ConOtherCosts,0)</f>
        <v/>
      </c>
      <c r="MT9" s="402">
        <f>-IF(MT$3=MS_Initial_Closing_Start,ConOtherCosts,0)</f>
        <v/>
      </c>
      <c r="MU9" s="402">
        <f>-IF(MU$3=MS_Initial_Closing_Start,ConOtherCosts,0)</f>
        <v/>
      </c>
      <c r="MV9" s="402">
        <f>-IF(MV$3=MS_Initial_Closing_Start,ConOtherCosts,0)</f>
        <v/>
      </c>
      <c r="MW9" s="402">
        <f>-IF(MW$3=MS_Initial_Closing_Start,ConOtherCosts,0)</f>
        <v/>
      </c>
      <c r="MX9" s="402">
        <f>-IF(MX$3=MS_Initial_Closing_Start,ConOtherCosts,0)</f>
        <v/>
      </c>
      <c r="MY9" s="402">
        <f>-IF(MY$3=MS_Initial_Closing_Start,ConOtherCosts,0)</f>
        <v/>
      </c>
      <c r="MZ9" s="402">
        <f>-IF(MZ$3=MS_Initial_Closing_Start,ConOtherCosts,0)</f>
        <v/>
      </c>
      <c r="NA9" s="402">
        <f>-IF(NA$3=MS_Initial_Closing_Start,ConOtherCosts,0)</f>
        <v/>
      </c>
      <c r="NB9" s="402">
        <f>-IF(NB$3=MS_Initial_Closing_Start,ConOtherCosts,0)</f>
        <v/>
      </c>
      <c r="NC9" s="402">
        <f>-IF(NC$3=MS_Initial_Closing_Start,ConOtherCosts,0)</f>
        <v/>
      </c>
      <c r="ND9" s="402">
        <f>-IF(ND$3=MS_Initial_Closing_Start,ConOtherCosts,0)</f>
        <v/>
      </c>
      <c r="NE9" s="402">
        <f>-IF(NE$3=MS_Initial_Closing_Start,ConOtherCosts,0)</f>
        <v/>
      </c>
      <c r="NF9" s="402">
        <f>-IF(NF$3=MS_Initial_Closing_Start,ConOtherCosts,0)</f>
        <v/>
      </c>
      <c r="NG9" s="402">
        <f>-IF(NG$3=MS_Initial_Closing_Start,ConOtherCosts,0)</f>
        <v/>
      </c>
      <c r="NH9" s="402">
        <f>-IF(NH$3=MS_Initial_Closing_Start,ConOtherCosts,0)</f>
        <v/>
      </c>
      <c r="NI9" s="402">
        <f>-IF(NI$3=MS_Initial_Closing_Start,ConOtherCosts,0)</f>
        <v/>
      </c>
      <c r="NJ9" s="402">
        <f>-IF(NJ$3=MS_Initial_Closing_Start,ConOtherCosts,0)</f>
        <v/>
      </c>
      <c r="NK9" s="402">
        <f>-IF(NK$3=MS_Initial_Closing_Start,ConOtherCosts,0)</f>
        <v/>
      </c>
      <c r="NL9" s="402">
        <f>-IF(NL$3=MS_Initial_Closing_Start,ConOtherCosts,0)</f>
        <v/>
      </c>
    </row>
    <row r="10">
      <c r="B10" s="316" t="inlineStr">
        <is>
          <t>Origination Points</t>
        </is>
      </c>
      <c r="D10" s="402">
        <f>SUM(E10:NL10)</f>
        <v/>
      </c>
      <c r="E10" s="402">
        <f>-IF(E$3=MS_Initial_Closing_Start,ConPoints,0)</f>
        <v/>
      </c>
      <c r="F10" s="402">
        <f>-IF(F$3=MS_Initial_Closing_Start,ConPoints,0)</f>
        <v/>
      </c>
      <c r="G10" s="402">
        <f>-IF(G$3=MS_Initial_Closing_Start,ConPoints,0)</f>
        <v/>
      </c>
      <c r="H10" s="402">
        <f>-IF(H$3=MS_Initial_Closing_Start,ConPoints,0)</f>
        <v/>
      </c>
      <c r="I10" s="402">
        <f>-IF(I$3=MS_Initial_Closing_Start,ConPoints,0)</f>
        <v/>
      </c>
      <c r="J10" s="402">
        <f>-IF(J$3=MS_Initial_Closing_Start,ConPoints,0)</f>
        <v/>
      </c>
      <c r="K10" s="402">
        <f>-IF(K$3=MS_Initial_Closing_Start,ConPoints,0)</f>
        <v/>
      </c>
      <c r="L10" s="402">
        <f>-IF(L$3=MS_Initial_Closing_Start,ConPoints,0)</f>
        <v/>
      </c>
      <c r="M10" s="402">
        <f>-IF(M$3=MS_Initial_Closing_Start,ConPoints,0)</f>
        <v/>
      </c>
      <c r="N10" s="402">
        <f>-IF(N$3=MS_Initial_Closing_Start,ConPoints,0)</f>
        <v/>
      </c>
      <c r="O10" s="402">
        <f>-IF(O$3=MS_Initial_Closing_Start,ConPoints,0)</f>
        <v/>
      </c>
      <c r="P10" s="402">
        <f>-IF(P$3=MS_Initial_Closing_Start,ConPoints,0)</f>
        <v/>
      </c>
      <c r="Q10" s="402">
        <f>-IF(Q$3=MS_Initial_Closing_Start,ConPoints,0)</f>
        <v/>
      </c>
      <c r="R10" s="402">
        <f>-IF(R$3=MS_Initial_Closing_Start,ConPoints,0)</f>
        <v/>
      </c>
      <c r="S10" s="402">
        <f>-IF(S$3=MS_Initial_Closing_Start,ConPoints,0)</f>
        <v/>
      </c>
      <c r="T10" s="402">
        <f>-IF(T$3=MS_Initial_Closing_Start,ConPoints,0)</f>
        <v/>
      </c>
      <c r="U10" s="402">
        <f>-IF(U$3=MS_Initial_Closing_Start,ConPoints,0)</f>
        <v/>
      </c>
      <c r="V10" s="402">
        <f>-IF(V$3=MS_Initial_Closing_Start,ConPoints,0)</f>
        <v/>
      </c>
      <c r="W10" s="402">
        <f>-IF(W$3=MS_Initial_Closing_Start,ConPoints,0)</f>
        <v/>
      </c>
      <c r="X10" s="402">
        <f>-IF(X$3=MS_Initial_Closing_Start,ConPoints,0)</f>
        <v/>
      </c>
      <c r="Y10" s="402">
        <f>-IF(Y$3=MS_Initial_Closing_Start,ConPoints,0)</f>
        <v/>
      </c>
      <c r="Z10" s="402">
        <f>-IF(Z$3=MS_Initial_Closing_Start,ConPoints,0)</f>
        <v/>
      </c>
      <c r="AA10" s="402">
        <f>-IF(AA$3=MS_Initial_Closing_Start,ConPoints,0)</f>
        <v/>
      </c>
      <c r="AB10" s="402">
        <f>-IF(AB$3=MS_Initial_Closing_Start,ConPoints,0)</f>
        <v/>
      </c>
      <c r="AC10" s="402">
        <f>-IF(AC$3=MS_Initial_Closing_Start,ConPoints,0)</f>
        <v/>
      </c>
      <c r="AD10" s="402">
        <f>-IF(AD$3=MS_Initial_Closing_Start,ConPoints,0)</f>
        <v/>
      </c>
      <c r="AE10" s="402">
        <f>-IF(AE$3=MS_Initial_Closing_Start,ConPoints,0)</f>
        <v/>
      </c>
      <c r="AF10" s="402">
        <f>-IF(AF$3=MS_Initial_Closing_Start,ConPoints,0)</f>
        <v/>
      </c>
      <c r="AG10" s="402">
        <f>-IF(AG$3=MS_Initial_Closing_Start,ConPoints,0)</f>
        <v/>
      </c>
      <c r="AH10" s="402">
        <f>-IF(AH$3=MS_Initial_Closing_Start,ConPoints,0)</f>
        <v/>
      </c>
      <c r="AI10" s="402">
        <f>-IF(AI$3=MS_Initial_Closing_Start,ConPoints,0)</f>
        <v/>
      </c>
      <c r="AJ10" s="402">
        <f>-IF(AJ$3=MS_Initial_Closing_Start,ConPoints,0)</f>
        <v/>
      </c>
      <c r="AK10" s="402">
        <f>-IF(AK$3=MS_Initial_Closing_Start,ConPoints,0)</f>
        <v/>
      </c>
      <c r="AL10" s="402">
        <f>-IF(AL$3=MS_Initial_Closing_Start,ConPoints,0)</f>
        <v/>
      </c>
      <c r="AM10" s="402">
        <f>-IF(AM$3=MS_Initial_Closing_Start,ConPoints,0)</f>
        <v/>
      </c>
      <c r="AN10" s="402">
        <f>-IF(AN$3=MS_Initial_Closing_Start,ConPoints,0)</f>
        <v/>
      </c>
      <c r="AO10" s="402">
        <f>-IF(AO$3=MS_Initial_Closing_Start,ConPoints,0)</f>
        <v/>
      </c>
      <c r="AP10" s="402">
        <f>-IF(AP$3=MS_Initial_Closing_Start,ConPoints,0)</f>
        <v/>
      </c>
      <c r="AQ10" s="402">
        <f>-IF(AQ$3=MS_Initial_Closing_Start,ConPoints,0)</f>
        <v/>
      </c>
      <c r="AR10" s="402">
        <f>-IF(AR$3=MS_Initial_Closing_Start,ConPoints,0)</f>
        <v/>
      </c>
      <c r="AS10" s="402">
        <f>-IF(AS$3=MS_Initial_Closing_Start,ConPoints,0)</f>
        <v/>
      </c>
      <c r="AT10" s="402">
        <f>-IF(AT$3=MS_Initial_Closing_Start,ConPoints,0)</f>
        <v/>
      </c>
      <c r="AU10" s="402">
        <f>-IF(AU$3=MS_Initial_Closing_Start,ConPoints,0)</f>
        <v/>
      </c>
      <c r="AV10" s="402">
        <f>-IF(AV$3=MS_Initial_Closing_Start,ConPoints,0)</f>
        <v/>
      </c>
      <c r="AW10" s="402">
        <f>-IF(AW$3=MS_Initial_Closing_Start,ConPoints,0)</f>
        <v/>
      </c>
      <c r="AX10" s="402">
        <f>-IF(AX$3=MS_Initial_Closing_Start,ConPoints,0)</f>
        <v/>
      </c>
      <c r="AY10" s="402">
        <f>-IF(AY$3=MS_Initial_Closing_Start,ConPoints,0)</f>
        <v/>
      </c>
      <c r="AZ10" s="402">
        <f>-IF(AZ$3=MS_Initial_Closing_Start,ConPoints,0)</f>
        <v/>
      </c>
      <c r="BA10" s="402">
        <f>-IF(BA$3=MS_Initial_Closing_Start,ConPoints,0)</f>
        <v/>
      </c>
      <c r="BB10" s="402">
        <f>-IF(BB$3=MS_Initial_Closing_Start,ConPoints,0)</f>
        <v/>
      </c>
      <c r="BC10" s="402">
        <f>-IF(BC$3=MS_Initial_Closing_Start,ConPoints,0)</f>
        <v/>
      </c>
      <c r="BD10" s="402">
        <f>-IF(BD$3=MS_Initial_Closing_Start,ConPoints,0)</f>
        <v/>
      </c>
      <c r="BE10" s="402">
        <f>-IF(BE$3=MS_Initial_Closing_Start,ConPoints,0)</f>
        <v/>
      </c>
      <c r="BF10" s="402">
        <f>-IF(BF$3=MS_Initial_Closing_Start,ConPoints,0)</f>
        <v/>
      </c>
      <c r="BG10" s="402">
        <f>-IF(BG$3=MS_Initial_Closing_Start,ConPoints,0)</f>
        <v/>
      </c>
      <c r="BH10" s="402">
        <f>-IF(BH$3=MS_Initial_Closing_Start,ConPoints,0)</f>
        <v/>
      </c>
      <c r="BI10" s="402">
        <f>-IF(BI$3=MS_Initial_Closing_Start,ConPoints,0)</f>
        <v/>
      </c>
      <c r="BJ10" s="402">
        <f>-IF(BJ$3=MS_Initial_Closing_Start,ConPoints,0)</f>
        <v/>
      </c>
      <c r="BK10" s="402">
        <f>-IF(BK$3=MS_Initial_Closing_Start,ConPoints,0)</f>
        <v/>
      </c>
      <c r="BL10" s="402">
        <f>-IF(BL$3=MS_Initial_Closing_Start,ConPoints,0)</f>
        <v/>
      </c>
      <c r="BM10" s="402">
        <f>-IF(BM$3=MS_Initial_Closing_Start,ConPoints,0)</f>
        <v/>
      </c>
      <c r="BN10" s="402">
        <f>-IF(BN$3=MS_Initial_Closing_Start,ConPoints,0)</f>
        <v/>
      </c>
      <c r="BO10" s="402">
        <f>-IF(BO$3=MS_Initial_Closing_Start,ConPoints,0)</f>
        <v/>
      </c>
      <c r="BP10" s="402">
        <f>-IF(BP$3=MS_Initial_Closing_Start,ConPoints,0)</f>
        <v/>
      </c>
      <c r="BQ10" s="402">
        <f>-IF(BQ$3=MS_Initial_Closing_Start,ConPoints,0)</f>
        <v/>
      </c>
      <c r="BR10" s="402">
        <f>-IF(BR$3=MS_Initial_Closing_Start,ConPoints,0)</f>
        <v/>
      </c>
      <c r="BS10" s="402">
        <f>-IF(BS$3=MS_Initial_Closing_Start,ConPoints,0)</f>
        <v/>
      </c>
      <c r="BT10" s="402">
        <f>-IF(BT$3=MS_Initial_Closing_Start,ConPoints,0)</f>
        <v/>
      </c>
      <c r="BU10" s="402">
        <f>-IF(BU$3=MS_Initial_Closing_Start,ConPoints,0)</f>
        <v/>
      </c>
      <c r="BV10" s="402">
        <f>-IF(BV$3=MS_Initial_Closing_Start,ConPoints,0)</f>
        <v/>
      </c>
      <c r="BW10" s="402">
        <f>-IF(BW$3=MS_Initial_Closing_Start,ConPoints,0)</f>
        <v/>
      </c>
      <c r="BX10" s="402">
        <f>-IF(BX$3=MS_Initial_Closing_Start,ConPoints,0)</f>
        <v/>
      </c>
      <c r="BY10" s="402">
        <f>-IF(BY$3=MS_Initial_Closing_Start,ConPoints,0)</f>
        <v/>
      </c>
      <c r="BZ10" s="402">
        <f>-IF(BZ$3=MS_Initial_Closing_Start,ConPoints,0)</f>
        <v/>
      </c>
      <c r="CA10" s="402">
        <f>-IF(CA$3=MS_Initial_Closing_Start,ConPoints,0)</f>
        <v/>
      </c>
      <c r="CB10" s="402">
        <f>-IF(CB$3=MS_Initial_Closing_Start,ConPoints,0)</f>
        <v/>
      </c>
      <c r="CC10" s="402">
        <f>-IF(CC$3=MS_Initial_Closing_Start,ConPoints,0)</f>
        <v/>
      </c>
      <c r="CD10" s="402">
        <f>-IF(CD$3=MS_Initial_Closing_Start,ConPoints,0)</f>
        <v/>
      </c>
      <c r="CE10" s="402">
        <f>-IF(CE$3=MS_Initial_Closing_Start,ConPoints,0)</f>
        <v/>
      </c>
      <c r="CF10" s="402">
        <f>-IF(CF$3=MS_Initial_Closing_Start,ConPoints,0)</f>
        <v/>
      </c>
      <c r="CG10" s="402">
        <f>-IF(CG$3=MS_Initial_Closing_Start,ConPoints,0)</f>
        <v/>
      </c>
      <c r="CH10" s="402">
        <f>-IF(CH$3=MS_Initial_Closing_Start,ConPoints,0)</f>
        <v/>
      </c>
      <c r="CI10" s="402">
        <f>-IF(CI$3=MS_Initial_Closing_Start,ConPoints,0)</f>
        <v/>
      </c>
      <c r="CJ10" s="402">
        <f>-IF(CJ$3=MS_Initial_Closing_Start,ConPoints,0)</f>
        <v/>
      </c>
      <c r="CK10" s="402">
        <f>-IF(CK$3=MS_Initial_Closing_Start,ConPoints,0)</f>
        <v/>
      </c>
      <c r="CL10" s="402">
        <f>-IF(CL$3=MS_Initial_Closing_Start,ConPoints,0)</f>
        <v/>
      </c>
      <c r="CM10" s="402">
        <f>-IF(CM$3=MS_Initial_Closing_Start,ConPoints,0)</f>
        <v/>
      </c>
      <c r="CN10" s="402">
        <f>-IF(CN$3=MS_Initial_Closing_Start,ConPoints,0)</f>
        <v/>
      </c>
      <c r="CO10" s="402">
        <f>-IF(CO$3=MS_Initial_Closing_Start,ConPoints,0)</f>
        <v/>
      </c>
      <c r="CP10" s="402">
        <f>-IF(CP$3=MS_Initial_Closing_Start,ConPoints,0)</f>
        <v/>
      </c>
      <c r="CQ10" s="402">
        <f>-IF(CQ$3=MS_Initial_Closing_Start,ConPoints,0)</f>
        <v/>
      </c>
      <c r="CR10" s="402">
        <f>-IF(CR$3=MS_Initial_Closing_Start,ConPoints,0)</f>
        <v/>
      </c>
      <c r="CS10" s="402">
        <f>-IF(CS$3=MS_Initial_Closing_Start,ConPoints,0)</f>
        <v/>
      </c>
      <c r="CT10" s="402">
        <f>-IF(CT$3=MS_Initial_Closing_Start,ConPoints,0)</f>
        <v/>
      </c>
      <c r="CU10" s="402">
        <f>-IF(CU$3=MS_Initial_Closing_Start,ConPoints,0)</f>
        <v/>
      </c>
      <c r="CV10" s="402">
        <f>-IF(CV$3=MS_Initial_Closing_Start,ConPoints,0)</f>
        <v/>
      </c>
      <c r="CW10" s="402">
        <f>-IF(CW$3=MS_Initial_Closing_Start,ConPoints,0)</f>
        <v/>
      </c>
      <c r="CX10" s="402">
        <f>-IF(CX$3=MS_Initial_Closing_Start,ConPoints,0)</f>
        <v/>
      </c>
      <c r="CY10" s="402">
        <f>-IF(CY$3=MS_Initial_Closing_Start,ConPoints,0)</f>
        <v/>
      </c>
      <c r="CZ10" s="402">
        <f>-IF(CZ$3=MS_Initial_Closing_Start,ConPoints,0)</f>
        <v/>
      </c>
      <c r="DA10" s="402">
        <f>-IF(DA$3=MS_Initial_Closing_Start,ConPoints,0)</f>
        <v/>
      </c>
      <c r="DB10" s="402">
        <f>-IF(DB$3=MS_Initial_Closing_Start,ConPoints,0)</f>
        <v/>
      </c>
      <c r="DC10" s="402">
        <f>-IF(DC$3=MS_Initial_Closing_Start,ConPoints,0)</f>
        <v/>
      </c>
      <c r="DD10" s="402">
        <f>-IF(DD$3=MS_Initial_Closing_Start,ConPoints,0)</f>
        <v/>
      </c>
      <c r="DE10" s="402">
        <f>-IF(DE$3=MS_Initial_Closing_Start,ConPoints,0)</f>
        <v/>
      </c>
      <c r="DF10" s="402">
        <f>-IF(DF$3=MS_Initial_Closing_Start,ConPoints,0)</f>
        <v/>
      </c>
      <c r="DG10" s="402">
        <f>-IF(DG$3=MS_Initial_Closing_Start,ConPoints,0)</f>
        <v/>
      </c>
      <c r="DH10" s="402">
        <f>-IF(DH$3=MS_Initial_Closing_Start,ConPoints,0)</f>
        <v/>
      </c>
      <c r="DI10" s="402">
        <f>-IF(DI$3=MS_Initial_Closing_Start,ConPoints,0)</f>
        <v/>
      </c>
      <c r="DJ10" s="402">
        <f>-IF(DJ$3=MS_Initial_Closing_Start,ConPoints,0)</f>
        <v/>
      </c>
      <c r="DK10" s="402">
        <f>-IF(DK$3=MS_Initial_Closing_Start,ConPoints,0)</f>
        <v/>
      </c>
      <c r="DL10" s="402">
        <f>-IF(DL$3=MS_Initial_Closing_Start,ConPoints,0)</f>
        <v/>
      </c>
      <c r="DM10" s="402">
        <f>-IF(DM$3=MS_Initial_Closing_Start,ConPoints,0)</f>
        <v/>
      </c>
      <c r="DN10" s="402">
        <f>-IF(DN$3=MS_Initial_Closing_Start,ConPoints,0)</f>
        <v/>
      </c>
      <c r="DO10" s="402">
        <f>-IF(DO$3=MS_Initial_Closing_Start,ConPoints,0)</f>
        <v/>
      </c>
      <c r="DP10" s="402">
        <f>-IF(DP$3=MS_Initial_Closing_Start,ConPoints,0)</f>
        <v/>
      </c>
      <c r="DQ10" s="402">
        <f>-IF(DQ$3=MS_Initial_Closing_Start,ConPoints,0)</f>
        <v/>
      </c>
      <c r="DR10" s="402">
        <f>-IF(DR$3=MS_Initial_Closing_Start,ConPoints,0)</f>
        <v/>
      </c>
      <c r="DS10" s="402">
        <f>-IF(DS$3=MS_Initial_Closing_Start,ConPoints,0)</f>
        <v/>
      </c>
      <c r="DT10" s="402">
        <f>-IF(DT$3=MS_Initial_Closing_Start,ConPoints,0)</f>
        <v/>
      </c>
      <c r="DU10" s="402">
        <f>-IF(DU$3=MS_Initial_Closing_Start,ConPoints,0)</f>
        <v/>
      </c>
      <c r="DV10" s="402">
        <f>-IF(DV$3=MS_Initial_Closing_Start,ConPoints,0)</f>
        <v/>
      </c>
      <c r="DW10" s="402">
        <f>-IF(DW$3=MS_Initial_Closing_Start,ConPoints,0)</f>
        <v/>
      </c>
      <c r="DX10" s="402">
        <f>-IF(DX$3=MS_Initial_Closing_Start,ConPoints,0)</f>
        <v/>
      </c>
      <c r="DY10" s="402">
        <f>-IF(DY$3=MS_Initial_Closing_Start,ConPoints,0)</f>
        <v/>
      </c>
      <c r="DZ10" s="402">
        <f>-IF(DZ$3=MS_Initial_Closing_Start,ConPoints,0)</f>
        <v/>
      </c>
      <c r="EA10" s="402">
        <f>-IF(EA$3=MS_Initial_Closing_Start,ConPoints,0)</f>
        <v/>
      </c>
      <c r="EB10" s="402">
        <f>-IF(EB$3=MS_Initial_Closing_Start,ConPoints,0)</f>
        <v/>
      </c>
      <c r="EC10" s="402">
        <f>-IF(EC$3=MS_Initial_Closing_Start,ConPoints,0)</f>
        <v/>
      </c>
      <c r="ED10" s="402">
        <f>-IF(ED$3=MS_Initial_Closing_Start,ConPoints,0)</f>
        <v/>
      </c>
      <c r="EE10" s="402">
        <f>-IF(EE$3=MS_Initial_Closing_Start,ConPoints,0)</f>
        <v/>
      </c>
      <c r="EF10" s="402">
        <f>-IF(EF$3=MS_Initial_Closing_Start,ConPoints,0)</f>
        <v/>
      </c>
      <c r="EG10" s="402">
        <f>-IF(EG$3=MS_Initial_Closing_Start,ConPoints,0)</f>
        <v/>
      </c>
      <c r="EH10" s="402">
        <f>-IF(EH$3=MS_Initial_Closing_Start,ConPoints,0)</f>
        <v/>
      </c>
      <c r="EI10" s="402">
        <f>-IF(EI$3=MS_Initial_Closing_Start,ConPoints,0)</f>
        <v/>
      </c>
      <c r="EJ10" s="402">
        <f>-IF(EJ$3=MS_Initial_Closing_Start,ConPoints,0)</f>
        <v/>
      </c>
      <c r="EK10" s="402">
        <f>-IF(EK$3=MS_Initial_Closing_Start,ConPoints,0)</f>
        <v/>
      </c>
      <c r="EL10" s="402">
        <f>-IF(EL$3=MS_Initial_Closing_Start,ConPoints,0)</f>
        <v/>
      </c>
      <c r="EM10" s="402">
        <f>-IF(EM$3=MS_Initial_Closing_Start,ConPoints,0)</f>
        <v/>
      </c>
      <c r="EN10" s="402">
        <f>-IF(EN$3=MS_Initial_Closing_Start,ConPoints,0)</f>
        <v/>
      </c>
      <c r="EO10" s="402">
        <f>-IF(EO$3=MS_Initial_Closing_Start,ConPoints,0)</f>
        <v/>
      </c>
      <c r="EP10" s="402">
        <f>-IF(EP$3=MS_Initial_Closing_Start,ConPoints,0)</f>
        <v/>
      </c>
      <c r="EQ10" s="402">
        <f>-IF(EQ$3=MS_Initial_Closing_Start,ConPoints,0)</f>
        <v/>
      </c>
      <c r="ER10" s="402">
        <f>-IF(ER$3=MS_Initial_Closing_Start,ConPoints,0)</f>
        <v/>
      </c>
      <c r="ES10" s="402">
        <f>-IF(ES$3=MS_Initial_Closing_Start,ConPoints,0)</f>
        <v/>
      </c>
      <c r="ET10" s="402">
        <f>-IF(ET$3=MS_Initial_Closing_Start,ConPoints,0)</f>
        <v/>
      </c>
      <c r="EU10" s="402">
        <f>-IF(EU$3=MS_Initial_Closing_Start,ConPoints,0)</f>
        <v/>
      </c>
      <c r="EV10" s="402">
        <f>-IF(EV$3=MS_Initial_Closing_Start,ConPoints,0)</f>
        <v/>
      </c>
      <c r="EW10" s="402">
        <f>-IF(EW$3=MS_Initial_Closing_Start,ConPoints,0)</f>
        <v/>
      </c>
      <c r="EX10" s="402">
        <f>-IF(EX$3=MS_Initial_Closing_Start,ConPoints,0)</f>
        <v/>
      </c>
      <c r="EY10" s="402">
        <f>-IF(EY$3=MS_Initial_Closing_Start,ConPoints,0)</f>
        <v/>
      </c>
      <c r="EZ10" s="402">
        <f>-IF(EZ$3=MS_Initial_Closing_Start,ConPoints,0)</f>
        <v/>
      </c>
      <c r="FA10" s="402">
        <f>-IF(FA$3=MS_Initial_Closing_Start,ConPoints,0)</f>
        <v/>
      </c>
      <c r="FB10" s="402">
        <f>-IF(FB$3=MS_Initial_Closing_Start,ConPoints,0)</f>
        <v/>
      </c>
      <c r="FC10" s="402">
        <f>-IF(FC$3=MS_Initial_Closing_Start,ConPoints,0)</f>
        <v/>
      </c>
      <c r="FD10" s="402">
        <f>-IF(FD$3=MS_Initial_Closing_Start,ConPoints,0)</f>
        <v/>
      </c>
      <c r="FE10" s="402">
        <f>-IF(FE$3=MS_Initial_Closing_Start,ConPoints,0)</f>
        <v/>
      </c>
      <c r="FF10" s="402">
        <f>-IF(FF$3=MS_Initial_Closing_Start,ConPoints,0)</f>
        <v/>
      </c>
      <c r="FG10" s="402">
        <f>-IF(FG$3=MS_Initial_Closing_Start,ConPoints,0)</f>
        <v/>
      </c>
      <c r="FH10" s="402">
        <f>-IF(FH$3=MS_Initial_Closing_Start,ConPoints,0)</f>
        <v/>
      </c>
      <c r="FI10" s="402">
        <f>-IF(FI$3=MS_Initial_Closing_Start,ConPoints,0)</f>
        <v/>
      </c>
      <c r="FJ10" s="402">
        <f>-IF(FJ$3=MS_Initial_Closing_Start,ConPoints,0)</f>
        <v/>
      </c>
      <c r="FK10" s="402">
        <f>-IF(FK$3=MS_Initial_Closing_Start,ConPoints,0)</f>
        <v/>
      </c>
      <c r="FL10" s="402">
        <f>-IF(FL$3=MS_Initial_Closing_Start,ConPoints,0)</f>
        <v/>
      </c>
      <c r="FM10" s="402">
        <f>-IF(FM$3=MS_Initial_Closing_Start,ConPoints,0)</f>
        <v/>
      </c>
      <c r="FN10" s="402">
        <f>-IF(FN$3=MS_Initial_Closing_Start,ConPoints,0)</f>
        <v/>
      </c>
      <c r="FO10" s="402">
        <f>-IF(FO$3=MS_Initial_Closing_Start,ConPoints,0)</f>
        <v/>
      </c>
      <c r="FP10" s="402">
        <f>-IF(FP$3=MS_Initial_Closing_Start,ConPoints,0)</f>
        <v/>
      </c>
      <c r="FQ10" s="402">
        <f>-IF(FQ$3=MS_Initial_Closing_Start,ConPoints,0)</f>
        <v/>
      </c>
      <c r="FR10" s="402">
        <f>-IF(FR$3=MS_Initial_Closing_Start,ConPoints,0)</f>
        <v/>
      </c>
      <c r="FS10" s="402">
        <f>-IF(FS$3=MS_Initial_Closing_Start,ConPoints,0)</f>
        <v/>
      </c>
      <c r="FT10" s="402">
        <f>-IF(FT$3=MS_Initial_Closing_Start,ConPoints,0)</f>
        <v/>
      </c>
      <c r="FU10" s="402">
        <f>-IF(FU$3=MS_Initial_Closing_Start,ConPoints,0)</f>
        <v/>
      </c>
      <c r="FV10" s="402">
        <f>-IF(FV$3=MS_Initial_Closing_Start,ConPoints,0)</f>
        <v/>
      </c>
      <c r="FW10" s="402">
        <f>-IF(FW$3=MS_Initial_Closing_Start,ConPoints,0)</f>
        <v/>
      </c>
      <c r="FX10" s="402">
        <f>-IF(FX$3=MS_Initial_Closing_Start,ConPoints,0)</f>
        <v/>
      </c>
      <c r="FY10" s="402">
        <f>-IF(FY$3=MS_Initial_Closing_Start,ConPoints,0)</f>
        <v/>
      </c>
      <c r="FZ10" s="402">
        <f>-IF(FZ$3=MS_Initial_Closing_Start,ConPoints,0)</f>
        <v/>
      </c>
      <c r="GA10" s="402">
        <f>-IF(GA$3=MS_Initial_Closing_Start,ConPoints,0)</f>
        <v/>
      </c>
      <c r="GB10" s="402">
        <f>-IF(GB$3=MS_Initial_Closing_Start,ConPoints,0)</f>
        <v/>
      </c>
      <c r="GC10" s="402">
        <f>-IF(GC$3=MS_Initial_Closing_Start,ConPoints,0)</f>
        <v/>
      </c>
      <c r="GD10" s="402">
        <f>-IF(GD$3=MS_Initial_Closing_Start,ConPoints,0)</f>
        <v/>
      </c>
      <c r="GE10" s="402">
        <f>-IF(GE$3=MS_Initial_Closing_Start,ConPoints,0)</f>
        <v/>
      </c>
      <c r="GF10" s="402">
        <f>-IF(GF$3=MS_Initial_Closing_Start,ConPoints,0)</f>
        <v/>
      </c>
      <c r="GG10" s="402">
        <f>-IF(GG$3=MS_Initial_Closing_Start,ConPoints,0)</f>
        <v/>
      </c>
      <c r="GH10" s="402">
        <f>-IF(GH$3=MS_Initial_Closing_Start,ConPoints,0)</f>
        <v/>
      </c>
      <c r="GI10" s="402">
        <f>-IF(GI$3=MS_Initial_Closing_Start,ConPoints,0)</f>
        <v/>
      </c>
      <c r="GJ10" s="402">
        <f>-IF(GJ$3=MS_Initial_Closing_Start,ConPoints,0)</f>
        <v/>
      </c>
      <c r="GK10" s="402">
        <f>-IF(GK$3=MS_Initial_Closing_Start,ConPoints,0)</f>
        <v/>
      </c>
      <c r="GL10" s="402">
        <f>-IF(GL$3=MS_Initial_Closing_Start,ConPoints,0)</f>
        <v/>
      </c>
      <c r="GM10" s="402">
        <f>-IF(GM$3=MS_Initial_Closing_Start,ConPoints,0)</f>
        <v/>
      </c>
      <c r="GN10" s="402">
        <f>-IF(GN$3=MS_Initial_Closing_Start,ConPoints,0)</f>
        <v/>
      </c>
      <c r="GO10" s="402">
        <f>-IF(GO$3=MS_Initial_Closing_Start,ConPoints,0)</f>
        <v/>
      </c>
      <c r="GP10" s="402">
        <f>-IF(GP$3=MS_Initial_Closing_Start,ConPoints,0)</f>
        <v/>
      </c>
      <c r="GQ10" s="402">
        <f>-IF(GQ$3=MS_Initial_Closing_Start,ConPoints,0)</f>
        <v/>
      </c>
      <c r="GR10" s="402">
        <f>-IF(GR$3=MS_Initial_Closing_Start,ConPoints,0)</f>
        <v/>
      </c>
      <c r="GS10" s="402">
        <f>-IF(GS$3=MS_Initial_Closing_Start,ConPoints,0)</f>
        <v/>
      </c>
      <c r="GT10" s="402">
        <f>-IF(GT$3=MS_Initial_Closing_Start,ConPoints,0)</f>
        <v/>
      </c>
      <c r="GU10" s="402">
        <f>-IF(GU$3=MS_Initial_Closing_Start,ConPoints,0)</f>
        <v/>
      </c>
      <c r="GV10" s="402">
        <f>-IF(GV$3=MS_Initial_Closing_Start,ConPoints,0)</f>
        <v/>
      </c>
      <c r="GW10" s="402">
        <f>-IF(GW$3=MS_Initial_Closing_Start,ConPoints,0)</f>
        <v/>
      </c>
      <c r="GX10" s="402">
        <f>-IF(GX$3=MS_Initial_Closing_Start,ConPoints,0)</f>
        <v/>
      </c>
      <c r="GY10" s="402">
        <f>-IF(GY$3=MS_Initial_Closing_Start,ConPoints,0)</f>
        <v/>
      </c>
      <c r="GZ10" s="402">
        <f>-IF(GZ$3=MS_Initial_Closing_Start,ConPoints,0)</f>
        <v/>
      </c>
      <c r="HA10" s="402">
        <f>-IF(HA$3=MS_Initial_Closing_Start,ConPoints,0)</f>
        <v/>
      </c>
      <c r="HB10" s="402">
        <f>-IF(HB$3=MS_Initial_Closing_Start,ConPoints,0)</f>
        <v/>
      </c>
      <c r="HC10" s="402">
        <f>-IF(HC$3=MS_Initial_Closing_Start,ConPoints,0)</f>
        <v/>
      </c>
      <c r="HD10" s="402">
        <f>-IF(HD$3=MS_Initial_Closing_Start,ConPoints,0)</f>
        <v/>
      </c>
      <c r="HE10" s="402">
        <f>-IF(HE$3=MS_Initial_Closing_Start,ConPoints,0)</f>
        <v/>
      </c>
      <c r="HF10" s="402">
        <f>-IF(HF$3=MS_Initial_Closing_Start,ConPoints,0)</f>
        <v/>
      </c>
      <c r="HG10" s="402">
        <f>-IF(HG$3=MS_Initial_Closing_Start,ConPoints,0)</f>
        <v/>
      </c>
      <c r="HH10" s="402">
        <f>-IF(HH$3=MS_Initial_Closing_Start,ConPoints,0)</f>
        <v/>
      </c>
      <c r="HI10" s="402">
        <f>-IF(HI$3=MS_Initial_Closing_Start,ConPoints,0)</f>
        <v/>
      </c>
      <c r="HJ10" s="402">
        <f>-IF(HJ$3=MS_Initial_Closing_Start,ConPoints,0)</f>
        <v/>
      </c>
      <c r="HK10" s="402">
        <f>-IF(HK$3=MS_Initial_Closing_Start,ConPoints,0)</f>
        <v/>
      </c>
      <c r="HL10" s="402">
        <f>-IF(HL$3=MS_Initial_Closing_Start,ConPoints,0)</f>
        <v/>
      </c>
      <c r="HM10" s="402">
        <f>-IF(HM$3=MS_Initial_Closing_Start,ConPoints,0)</f>
        <v/>
      </c>
      <c r="HN10" s="402">
        <f>-IF(HN$3=MS_Initial_Closing_Start,ConPoints,0)</f>
        <v/>
      </c>
      <c r="HO10" s="402">
        <f>-IF(HO$3=MS_Initial_Closing_Start,ConPoints,0)</f>
        <v/>
      </c>
      <c r="HP10" s="402">
        <f>-IF(HP$3=MS_Initial_Closing_Start,ConPoints,0)</f>
        <v/>
      </c>
      <c r="HQ10" s="402">
        <f>-IF(HQ$3=MS_Initial_Closing_Start,ConPoints,0)</f>
        <v/>
      </c>
      <c r="HR10" s="402">
        <f>-IF(HR$3=MS_Initial_Closing_Start,ConPoints,0)</f>
        <v/>
      </c>
      <c r="HS10" s="402">
        <f>-IF(HS$3=MS_Initial_Closing_Start,ConPoints,0)</f>
        <v/>
      </c>
      <c r="HT10" s="402">
        <f>-IF(HT$3=MS_Initial_Closing_Start,ConPoints,0)</f>
        <v/>
      </c>
      <c r="HU10" s="402">
        <f>-IF(HU$3=MS_Initial_Closing_Start,ConPoints,0)</f>
        <v/>
      </c>
      <c r="HV10" s="402">
        <f>-IF(HV$3=MS_Initial_Closing_Start,ConPoints,0)</f>
        <v/>
      </c>
      <c r="HW10" s="402">
        <f>-IF(HW$3=MS_Initial_Closing_Start,ConPoints,0)</f>
        <v/>
      </c>
      <c r="HX10" s="402">
        <f>-IF(HX$3=MS_Initial_Closing_Start,ConPoints,0)</f>
        <v/>
      </c>
      <c r="HY10" s="402">
        <f>-IF(HY$3=MS_Initial_Closing_Start,ConPoints,0)</f>
        <v/>
      </c>
      <c r="HZ10" s="402">
        <f>-IF(HZ$3=MS_Initial_Closing_Start,ConPoints,0)</f>
        <v/>
      </c>
      <c r="IA10" s="402">
        <f>-IF(IA$3=MS_Initial_Closing_Start,ConPoints,0)</f>
        <v/>
      </c>
      <c r="IB10" s="402">
        <f>-IF(IB$3=MS_Initial_Closing_Start,ConPoints,0)</f>
        <v/>
      </c>
      <c r="IC10" s="402">
        <f>-IF(IC$3=MS_Initial_Closing_Start,ConPoints,0)</f>
        <v/>
      </c>
      <c r="ID10" s="402">
        <f>-IF(ID$3=MS_Initial_Closing_Start,ConPoints,0)</f>
        <v/>
      </c>
      <c r="IE10" s="402">
        <f>-IF(IE$3=MS_Initial_Closing_Start,ConPoints,0)</f>
        <v/>
      </c>
      <c r="IF10" s="402">
        <f>-IF(IF$3=MS_Initial_Closing_Start,ConPoints,0)</f>
        <v/>
      </c>
      <c r="IG10" s="402">
        <f>-IF(IG$3=MS_Initial_Closing_Start,ConPoints,0)</f>
        <v/>
      </c>
      <c r="IH10" s="402">
        <f>-IF(IH$3=MS_Initial_Closing_Start,ConPoints,0)</f>
        <v/>
      </c>
      <c r="II10" s="402">
        <f>-IF(II$3=MS_Initial_Closing_Start,ConPoints,0)</f>
        <v/>
      </c>
      <c r="IJ10" s="402">
        <f>-IF(IJ$3=MS_Initial_Closing_Start,ConPoints,0)</f>
        <v/>
      </c>
      <c r="IK10" s="402">
        <f>-IF(IK$3=MS_Initial_Closing_Start,ConPoints,0)</f>
        <v/>
      </c>
      <c r="IL10" s="402">
        <f>-IF(IL$3=MS_Initial_Closing_Start,ConPoints,0)</f>
        <v/>
      </c>
      <c r="IM10" s="402">
        <f>-IF(IM$3=MS_Initial_Closing_Start,ConPoints,0)</f>
        <v/>
      </c>
      <c r="IN10" s="402">
        <f>-IF(IN$3=MS_Initial_Closing_Start,ConPoints,0)</f>
        <v/>
      </c>
      <c r="IO10" s="402">
        <f>-IF(IO$3=MS_Initial_Closing_Start,ConPoints,0)</f>
        <v/>
      </c>
      <c r="IP10" s="402">
        <f>-IF(IP$3=MS_Initial_Closing_Start,ConPoints,0)</f>
        <v/>
      </c>
      <c r="IQ10" s="402">
        <f>-IF(IQ$3=MS_Initial_Closing_Start,ConPoints,0)</f>
        <v/>
      </c>
      <c r="IR10" s="402">
        <f>-IF(IR$3=MS_Initial_Closing_Start,ConPoints,0)</f>
        <v/>
      </c>
      <c r="IS10" s="402">
        <f>-IF(IS$3=MS_Initial_Closing_Start,ConPoints,0)</f>
        <v/>
      </c>
      <c r="IT10" s="402">
        <f>-IF(IT$3=MS_Initial_Closing_Start,ConPoints,0)</f>
        <v/>
      </c>
      <c r="IU10" s="402">
        <f>-IF(IU$3=MS_Initial_Closing_Start,ConPoints,0)</f>
        <v/>
      </c>
      <c r="IV10" s="402">
        <f>-IF(IV$3=MS_Initial_Closing_Start,ConPoints,0)</f>
        <v/>
      </c>
      <c r="IW10" s="402">
        <f>-IF(IW$3=MS_Initial_Closing_Start,ConPoints,0)</f>
        <v/>
      </c>
      <c r="IX10" s="402">
        <f>-IF(IX$3=MS_Initial_Closing_Start,ConPoints,0)</f>
        <v/>
      </c>
      <c r="IY10" s="402">
        <f>-IF(IY$3=MS_Initial_Closing_Start,ConPoints,0)</f>
        <v/>
      </c>
      <c r="IZ10" s="402">
        <f>-IF(IZ$3=MS_Initial_Closing_Start,ConPoints,0)</f>
        <v/>
      </c>
      <c r="JA10" s="402">
        <f>-IF(JA$3=MS_Initial_Closing_Start,ConPoints,0)</f>
        <v/>
      </c>
      <c r="JB10" s="402">
        <f>-IF(JB$3=MS_Initial_Closing_Start,ConPoints,0)</f>
        <v/>
      </c>
      <c r="JC10" s="402">
        <f>-IF(JC$3=MS_Initial_Closing_Start,ConPoints,0)</f>
        <v/>
      </c>
      <c r="JD10" s="402">
        <f>-IF(JD$3=MS_Initial_Closing_Start,ConPoints,0)</f>
        <v/>
      </c>
      <c r="JE10" s="402">
        <f>-IF(JE$3=MS_Initial_Closing_Start,ConPoints,0)</f>
        <v/>
      </c>
      <c r="JF10" s="402">
        <f>-IF(JF$3=MS_Initial_Closing_Start,ConPoints,0)</f>
        <v/>
      </c>
      <c r="JG10" s="402">
        <f>-IF(JG$3=MS_Initial_Closing_Start,ConPoints,0)</f>
        <v/>
      </c>
      <c r="JH10" s="402">
        <f>-IF(JH$3=MS_Initial_Closing_Start,ConPoints,0)</f>
        <v/>
      </c>
      <c r="JI10" s="402">
        <f>-IF(JI$3=MS_Initial_Closing_Start,ConPoints,0)</f>
        <v/>
      </c>
      <c r="JJ10" s="402">
        <f>-IF(JJ$3=MS_Initial_Closing_Start,ConPoints,0)</f>
        <v/>
      </c>
      <c r="JK10" s="402">
        <f>-IF(JK$3=MS_Initial_Closing_Start,ConPoints,0)</f>
        <v/>
      </c>
      <c r="JL10" s="402">
        <f>-IF(JL$3=MS_Initial_Closing_Start,ConPoints,0)</f>
        <v/>
      </c>
      <c r="JM10" s="402">
        <f>-IF(JM$3=MS_Initial_Closing_Start,ConPoints,0)</f>
        <v/>
      </c>
      <c r="JN10" s="402">
        <f>-IF(JN$3=MS_Initial_Closing_Start,ConPoints,0)</f>
        <v/>
      </c>
      <c r="JO10" s="402">
        <f>-IF(JO$3=MS_Initial_Closing_Start,ConPoints,0)</f>
        <v/>
      </c>
      <c r="JP10" s="402">
        <f>-IF(JP$3=MS_Initial_Closing_Start,ConPoints,0)</f>
        <v/>
      </c>
      <c r="JQ10" s="402">
        <f>-IF(JQ$3=MS_Initial_Closing_Start,ConPoints,0)</f>
        <v/>
      </c>
      <c r="JR10" s="402">
        <f>-IF(JR$3=MS_Initial_Closing_Start,ConPoints,0)</f>
        <v/>
      </c>
      <c r="JS10" s="402">
        <f>-IF(JS$3=MS_Initial_Closing_Start,ConPoints,0)</f>
        <v/>
      </c>
      <c r="JT10" s="402">
        <f>-IF(JT$3=MS_Initial_Closing_Start,ConPoints,0)</f>
        <v/>
      </c>
      <c r="JU10" s="402">
        <f>-IF(JU$3=MS_Initial_Closing_Start,ConPoints,0)</f>
        <v/>
      </c>
      <c r="JV10" s="402">
        <f>-IF(JV$3=MS_Initial_Closing_Start,ConPoints,0)</f>
        <v/>
      </c>
      <c r="JW10" s="402">
        <f>-IF(JW$3=MS_Initial_Closing_Start,ConPoints,0)</f>
        <v/>
      </c>
      <c r="JX10" s="402">
        <f>-IF(JX$3=MS_Initial_Closing_Start,ConPoints,0)</f>
        <v/>
      </c>
      <c r="JY10" s="402">
        <f>-IF(JY$3=MS_Initial_Closing_Start,ConPoints,0)</f>
        <v/>
      </c>
      <c r="JZ10" s="402">
        <f>-IF(JZ$3=MS_Initial_Closing_Start,ConPoints,0)</f>
        <v/>
      </c>
      <c r="KA10" s="402">
        <f>-IF(KA$3=MS_Initial_Closing_Start,ConPoints,0)</f>
        <v/>
      </c>
      <c r="KB10" s="402">
        <f>-IF(KB$3=MS_Initial_Closing_Start,ConPoints,0)</f>
        <v/>
      </c>
      <c r="KC10" s="402">
        <f>-IF(KC$3=MS_Initial_Closing_Start,ConPoints,0)</f>
        <v/>
      </c>
      <c r="KD10" s="402">
        <f>-IF(KD$3=MS_Initial_Closing_Start,ConPoints,0)</f>
        <v/>
      </c>
      <c r="KE10" s="402">
        <f>-IF(KE$3=MS_Initial_Closing_Start,ConPoints,0)</f>
        <v/>
      </c>
      <c r="KF10" s="402">
        <f>-IF(KF$3=MS_Initial_Closing_Start,ConPoints,0)</f>
        <v/>
      </c>
      <c r="KG10" s="402">
        <f>-IF(KG$3=MS_Initial_Closing_Start,ConPoints,0)</f>
        <v/>
      </c>
      <c r="KH10" s="402">
        <f>-IF(KH$3=MS_Initial_Closing_Start,ConPoints,0)</f>
        <v/>
      </c>
      <c r="KI10" s="402">
        <f>-IF(KI$3=MS_Initial_Closing_Start,ConPoints,0)</f>
        <v/>
      </c>
      <c r="KJ10" s="402">
        <f>-IF(KJ$3=MS_Initial_Closing_Start,ConPoints,0)</f>
        <v/>
      </c>
      <c r="KK10" s="402">
        <f>-IF(KK$3=MS_Initial_Closing_Start,ConPoints,0)</f>
        <v/>
      </c>
      <c r="KL10" s="402">
        <f>-IF(KL$3=MS_Initial_Closing_Start,ConPoints,0)</f>
        <v/>
      </c>
      <c r="KM10" s="402">
        <f>-IF(KM$3=MS_Initial_Closing_Start,ConPoints,0)</f>
        <v/>
      </c>
      <c r="KN10" s="402">
        <f>-IF(KN$3=MS_Initial_Closing_Start,ConPoints,0)</f>
        <v/>
      </c>
      <c r="KO10" s="402">
        <f>-IF(KO$3=MS_Initial_Closing_Start,ConPoints,0)</f>
        <v/>
      </c>
      <c r="KP10" s="402">
        <f>-IF(KP$3=MS_Initial_Closing_Start,ConPoints,0)</f>
        <v/>
      </c>
      <c r="KQ10" s="402">
        <f>-IF(KQ$3=MS_Initial_Closing_Start,ConPoints,0)</f>
        <v/>
      </c>
      <c r="KR10" s="402">
        <f>-IF(KR$3=MS_Initial_Closing_Start,ConPoints,0)</f>
        <v/>
      </c>
      <c r="KS10" s="402">
        <f>-IF(KS$3=MS_Initial_Closing_Start,ConPoints,0)</f>
        <v/>
      </c>
      <c r="KT10" s="402">
        <f>-IF(KT$3=MS_Initial_Closing_Start,ConPoints,0)</f>
        <v/>
      </c>
      <c r="KU10" s="402">
        <f>-IF(KU$3=MS_Initial_Closing_Start,ConPoints,0)</f>
        <v/>
      </c>
      <c r="KV10" s="402">
        <f>-IF(KV$3=MS_Initial_Closing_Start,ConPoints,0)</f>
        <v/>
      </c>
      <c r="KW10" s="402">
        <f>-IF(KW$3=MS_Initial_Closing_Start,ConPoints,0)</f>
        <v/>
      </c>
      <c r="KX10" s="402">
        <f>-IF(KX$3=MS_Initial_Closing_Start,ConPoints,0)</f>
        <v/>
      </c>
      <c r="KY10" s="402">
        <f>-IF(KY$3=MS_Initial_Closing_Start,ConPoints,0)</f>
        <v/>
      </c>
      <c r="KZ10" s="402">
        <f>-IF(KZ$3=MS_Initial_Closing_Start,ConPoints,0)</f>
        <v/>
      </c>
      <c r="LA10" s="402">
        <f>-IF(LA$3=MS_Initial_Closing_Start,ConPoints,0)</f>
        <v/>
      </c>
      <c r="LB10" s="402">
        <f>-IF(LB$3=MS_Initial_Closing_Start,ConPoints,0)</f>
        <v/>
      </c>
      <c r="LC10" s="402">
        <f>-IF(LC$3=MS_Initial_Closing_Start,ConPoints,0)</f>
        <v/>
      </c>
      <c r="LD10" s="402">
        <f>-IF(LD$3=MS_Initial_Closing_Start,ConPoints,0)</f>
        <v/>
      </c>
      <c r="LE10" s="402">
        <f>-IF(LE$3=MS_Initial_Closing_Start,ConPoints,0)</f>
        <v/>
      </c>
      <c r="LF10" s="402">
        <f>-IF(LF$3=MS_Initial_Closing_Start,ConPoints,0)</f>
        <v/>
      </c>
      <c r="LG10" s="402">
        <f>-IF(LG$3=MS_Initial_Closing_Start,ConPoints,0)</f>
        <v/>
      </c>
      <c r="LH10" s="402">
        <f>-IF(LH$3=MS_Initial_Closing_Start,ConPoints,0)</f>
        <v/>
      </c>
      <c r="LI10" s="402">
        <f>-IF(LI$3=MS_Initial_Closing_Start,ConPoints,0)</f>
        <v/>
      </c>
      <c r="LJ10" s="402">
        <f>-IF(LJ$3=MS_Initial_Closing_Start,ConPoints,0)</f>
        <v/>
      </c>
      <c r="LK10" s="402">
        <f>-IF(LK$3=MS_Initial_Closing_Start,ConPoints,0)</f>
        <v/>
      </c>
      <c r="LL10" s="402">
        <f>-IF(LL$3=MS_Initial_Closing_Start,ConPoints,0)</f>
        <v/>
      </c>
      <c r="LM10" s="402">
        <f>-IF(LM$3=MS_Initial_Closing_Start,ConPoints,0)</f>
        <v/>
      </c>
      <c r="LN10" s="402">
        <f>-IF(LN$3=MS_Initial_Closing_Start,ConPoints,0)</f>
        <v/>
      </c>
      <c r="LO10" s="402">
        <f>-IF(LO$3=MS_Initial_Closing_Start,ConPoints,0)</f>
        <v/>
      </c>
      <c r="LP10" s="402">
        <f>-IF(LP$3=MS_Initial_Closing_Start,ConPoints,0)</f>
        <v/>
      </c>
      <c r="LQ10" s="402">
        <f>-IF(LQ$3=MS_Initial_Closing_Start,ConPoints,0)</f>
        <v/>
      </c>
      <c r="LR10" s="402">
        <f>-IF(LR$3=MS_Initial_Closing_Start,ConPoints,0)</f>
        <v/>
      </c>
      <c r="LS10" s="402">
        <f>-IF(LS$3=MS_Initial_Closing_Start,ConPoints,0)</f>
        <v/>
      </c>
      <c r="LT10" s="402">
        <f>-IF(LT$3=MS_Initial_Closing_Start,ConPoints,0)</f>
        <v/>
      </c>
      <c r="LU10" s="402">
        <f>-IF(LU$3=MS_Initial_Closing_Start,ConPoints,0)</f>
        <v/>
      </c>
      <c r="LV10" s="402">
        <f>-IF(LV$3=MS_Initial_Closing_Start,ConPoints,0)</f>
        <v/>
      </c>
      <c r="LW10" s="402">
        <f>-IF(LW$3=MS_Initial_Closing_Start,ConPoints,0)</f>
        <v/>
      </c>
      <c r="LX10" s="402">
        <f>-IF(LX$3=MS_Initial_Closing_Start,ConPoints,0)</f>
        <v/>
      </c>
      <c r="LY10" s="402">
        <f>-IF(LY$3=MS_Initial_Closing_Start,ConPoints,0)</f>
        <v/>
      </c>
      <c r="LZ10" s="402">
        <f>-IF(LZ$3=MS_Initial_Closing_Start,ConPoints,0)</f>
        <v/>
      </c>
      <c r="MA10" s="402">
        <f>-IF(MA$3=MS_Initial_Closing_Start,ConPoints,0)</f>
        <v/>
      </c>
      <c r="MB10" s="402">
        <f>-IF(MB$3=MS_Initial_Closing_Start,ConPoints,0)</f>
        <v/>
      </c>
      <c r="MC10" s="402">
        <f>-IF(MC$3=MS_Initial_Closing_Start,ConPoints,0)</f>
        <v/>
      </c>
      <c r="MD10" s="402">
        <f>-IF(MD$3=MS_Initial_Closing_Start,ConPoints,0)</f>
        <v/>
      </c>
      <c r="ME10" s="402">
        <f>-IF(ME$3=MS_Initial_Closing_Start,ConPoints,0)</f>
        <v/>
      </c>
      <c r="MF10" s="402">
        <f>-IF(MF$3=MS_Initial_Closing_Start,ConPoints,0)</f>
        <v/>
      </c>
      <c r="MG10" s="402">
        <f>-IF(MG$3=MS_Initial_Closing_Start,ConPoints,0)</f>
        <v/>
      </c>
      <c r="MH10" s="402">
        <f>-IF(MH$3=MS_Initial_Closing_Start,ConPoints,0)</f>
        <v/>
      </c>
      <c r="MI10" s="402">
        <f>-IF(MI$3=MS_Initial_Closing_Start,ConPoints,0)</f>
        <v/>
      </c>
      <c r="MJ10" s="402">
        <f>-IF(MJ$3=MS_Initial_Closing_Start,ConPoints,0)</f>
        <v/>
      </c>
      <c r="MK10" s="402">
        <f>-IF(MK$3=MS_Initial_Closing_Start,ConPoints,0)</f>
        <v/>
      </c>
      <c r="ML10" s="402">
        <f>-IF(ML$3=MS_Initial_Closing_Start,ConPoints,0)</f>
        <v/>
      </c>
      <c r="MM10" s="402">
        <f>-IF(MM$3=MS_Initial_Closing_Start,ConPoints,0)</f>
        <v/>
      </c>
      <c r="MN10" s="402">
        <f>-IF(MN$3=MS_Initial_Closing_Start,ConPoints,0)</f>
        <v/>
      </c>
      <c r="MO10" s="402">
        <f>-IF(MO$3=MS_Initial_Closing_Start,ConPoints,0)</f>
        <v/>
      </c>
      <c r="MP10" s="402">
        <f>-IF(MP$3=MS_Initial_Closing_Start,ConPoints,0)</f>
        <v/>
      </c>
      <c r="MQ10" s="402">
        <f>-IF(MQ$3=MS_Initial_Closing_Start,ConPoints,0)</f>
        <v/>
      </c>
      <c r="MR10" s="402">
        <f>-IF(MR$3=MS_Initial_Closing_Start,ConPoints,0)</f>
        <v/>
      </c>
      <c r="MS10" s="402">
        <f>-IF(MS$3=MS_Initial_Closing_Start,ConPoints,0)</f>
        <v/>
      </c>
      <c r="MT10" s="402">
        <f>-IF(MT$3=MS_Initial_Closing_Start,ConPoints,0)</f>
        <v/>
      </c>
      <c r="MU10" s="402">
        <f>-IF(MU$3=MS_Initial_Closing_Start,ConPoints,0)</f>
        <v/>
      </c>
      <c r="MV10" s="402">
        <f>-IF(MV$3=MS_Initial_Closing_Start,ConPoints,0)</f>
        <v/>
      </c>
      <c r="MW10" s="402">
        <f>-IF(MW$3=MS_Initial_Closing_Start,ConPoints,0)</f>
        <v/>
      </c>
      <c r="MX10" s="402">
        <f>-IF(MX$3=MS_Initial_Closing_Start,ConPoints,0)</f>
        <v/>
      </c>
      <c r="MY10" s="402">
        <f>-IF(MY$3=MS_Initial_Closing_Start,ConPoints,0)</f>
        <v/>
      </c>
      <c r="MZ10" s="402">
        <f>-IF(MZ$3=MS_Initial_Closing_Start,ConPoints,0)</f>
        <v/>
      </c>
      <c r="NA10" s="402">
        <f>-IF(NA$3=MS_Initial_Closing_Start,ConPoints,0)</f>
        <v/>
      </c>
      <c r="NB10" s="402">
        <f>-IF(NB$3=MS_Initial_Closing_Start,ConPoints,0)</f>
        <v/>
      </c>
      <c r="NC10" s="402">
        <f>-IF(NC$3=MS_Initial_Closing_Start,ConPoints,0)</f>
        <v/>
      </c>
      <c r="ND10" s="402">
        <f>-IF(ND$3=MS_Initial_Closing_Start,ConPoints,0)</f>
        <v/>
      </c>
      <c r="NE10" s="402">
        <f>-IF(NE$3=MS_Initial_Closing_Start,ConPoints,0)</f>
        <v/>
      </c>
      <c r="NF10" s="402">
        <f>-IF(NF$3=MS_Initial_Closing_Start,ConPoints,0)</f>
        <v/>
      </c>
      <c r="NG10" s="402">
        <f>-IF(NG$3=MS_Initial_Closing_Start,ConPoints,0)</f>
        <v/>
      </c>
      <c r="NH10" s="402">
        <f>-IF(NH$3=MS_Initial_Closing_Start,ConPoints,0)</f>
        <v/>
      </c>
      <c r="NI10" s="402">
        <f>-IF(NI$3=MS_Initial_Closing_Start,ConPoints,0)</f>
        <v/>
      </c>
      <c r="NJ10" s="402">
        <f>-IF(NJ$3=MS_Initial_Closing_Start,ConPoints,0)</f>
        <v/>
      </c>
      <c r="NK10" s="402">
        <f>-IF(NK$3=MS_Initial_Closing_Start,ConPoints,0)</f>
        <v/>
      </c>
      <c r="NL10" s="402">
        <f>-IF(NL$3=MS_Initial_Closing_Start,ConPoints,0)</f>
        <v/>
      </c>
    </row>
    <row r="11">
      <c r="B11" s="316" t="inlineStr">
        <is>
          <t>Recourse / Indemnity Fee</t>
        </is>
      </c>
      <c r="D11" s="402">
        <f>SUM(E11:NL11)</f>
        <v/>
      </c>
      <c r="E11" s="402">
        <f>-IF(E$3=MS_Initial_Closing_Start,RecourseFee,0)</f>
        <v/>
      </c>
      <c r="F11" s="402">
        <f>-IF(F$3=MS_Initial_Closing_Start,RecourseFee,0)</f>
        <v/>
      </c>
      <c r="G11" s="402">
        <f>-IF(G$3=MS_Initial_Closing_Start,RecourseFee,0)</f>
        <v/>
      </c>
      <c r="H11" s="402">
        <f>-IF(H$3=MS_Initial_Closing_Start,RecourseFee,0)</f>
        <v/>
      </c>
      <c r="I11" s="402">
        <f>-IF(I$3=MS_Initial_Closing_Start,RecourseFee,0)</f>
        <v/>
      </c>
      <c r="J11" s="402">
        <f>-IF(J$3=MS_Initial_Closing_Start,RecourseFee,0)</f>
        <v/>
      </c>
      <c r="K11" s="402">
        <f>-IF(K$3=MS_Initial_Closing_Start,RecourseFee,0)</f>
        <v/>
      </c>
      <c r="L11" s="402">
        <f>-IF(L$3=MS_Initial_Closing_Start,RecourseFee,0)</f>
        <v/>
      </c>
      <c r="M11" s="402">
        <f>-IF(M$3=MS_Initial_Closing_Start,RecourseFee,0)</f>
        <v/>
      </c>
      <c r="N11" s="402">
        <f>-IF(N$3=MS_Initial_Closing_Start,RecourseFee,0)</f>
        <v/>
      </c>
      <c r="O11" s="402">
        <f>-IF(O$3=MS_Initial_Closing_Start,RecourseFee,0)</f>
        <v/>
      </c>
      <c r="P11" s="402">
        <f>-IF(P$3=MS_Initial_Closing_Start,RecourseFee,0)</f>
        <v/>
      </c>
      <c r="Q11" s="402">
        <f>-IF(Q$3=MS_Initial_Closing_Start,RecourseFee,0)</f>
        <v/>
      </c>
      <c r="R11" s="402">
        <f>-IF(R$3=MS_Initial_Closing_Start,RecourseFee,0)</f>
        <v/>
      </c>
      <c r="S11" s="402">
        <f>-IF(S$3=MS_Initial_Closing_Start,RecourseFee,0)</f>
        <v/>
      </c>
      <c r="T11" s="402">
        <f>-IF(T$3=MS_Initial_Closing_Start,RecourseFee,0)</f>
        <v/>
      </c>
      <c r="U11" s="402">
        <f>-IF(U$3=MS_Initial_Closing_Start,RecourseFee,0)</f>
        <v/>
      </c>
      <c r="V11" s="402">
        <f>-IF(V$3=MS_Initial_Closing_Start,RecourseFee,0)</f>
        <v/>
      </c>
      <c r="W11" s="402">
        <f>-IF(W$3=MS_Initial_Closing_Start,RecourseFee,0)</f>
        <v/>
      </c>
      <c r="X11" s="402">
        <f>-IF(X$3=MS_Initial_Closing_Start,RecourseFee,0)</f>
        <v/>
      </c>
      <c r="Y11" s="402">
        <f>-IF(Y$3=MS_Initial_Closing_Start,RecourseFee,0)</f>
        <v/>
      </c>
      <c r="Z11" s="402">
        <f>-IF(Z$3=MS_Initial_Closing_Start,RecourseFee,0)</f>
        <v/>
      </c>
      <c r="AA11" s="402">
        <f>-IF(AA$3=MS_Initial_Closing_Start,RecourseFee,0)</f>
        <v/>
      </c>
      <c r="AB11" s="402">
        <f>-IF(AB$3=MS_Initial_Closing_Start,RecourseFee,0)</f>
        <v/>
      </c>
      <c r="AC11" s="402">
        <f>-IF(AC$3=MS_Initial_Closing_Start,RecourseFee,0)</f>
        <v/>
      </c>
      <c r="AD11" s="402">
        <f>-IF(AD$3=MS_Initial_Closing_Start,RecourseFee,0)</f>
        <v/>
      </c>
      <c r="AE11" s="402">
        <f>-IF(AE$3=MS_Initial_Closing_Start,RecourseFee,0)</f>
        <v/>
      </c>
      <c r="AF11" s="402">
        <f>-IF(AF$3=MS_Initial_Closing_Start,RecourseFee,0)</f>
        <v/>
      </c>
      <c r="AG11" s="402">
        <f>-IF(AG$3=MS_Initial_Closing_Start,RecourseFee,0)</f>
        <v/>
      </c>
      <c r="AH11" s="402">
        <f>-IF(AH$3=MS_Initial_Closing_Start,RecourseFee,0)</f>
        <v/>
      </c>
      <c r="AI11" s="402">
        <f>-IF(AI$3=MS_Initial_Closing_Start,RecourseFee,0)</f>
        <v/>
      </c>
      <c r="AJ11" s="402">
        <f>-IF(AJ$3=MS_Initial_Closing_Start,RecourseFee,0)</f>
        <v/>
      </c>
      <c r="AK11" s="402">
        <f>-IF(AK$3=MS_Initial_Closing_Start,RecourseFee,0)</f>
        <v/>
      </c>
      <c r="AL11" s="402">
        <f>-IF(AL$3=MS_Initial_Closing_Start,RecourseFee,0)</f>
        <v/>
      </c>
      <c r="AM11" s="402">
        <f>-IF(AM$3=MS_Initial_Closing_Start,RecourseFee,0)</f>
        <v/>
      </c>
      <c r="AN11" s="402">
        <f>-IF(AN$3=MS_Initial_Closing_Start,RecourseFee,0)</f>
        <v/>
      </c>
      <c r="AO11" s="402">
        <f>-IF(AO$3=MS_Initial_Closing_Start,RecourseFee,0)</f>
        <v/>
      </c>
      <c r="AP11" s="402">
        <f>-IF(AP$3=MS_Initial_Closing_Start,RecourseFee,0)</f>
        <v/>
      </c>
      <c r="AQ11" s="402">
        <f>-IF(AQ$3=MS_Initial_Closing_Start,RecourseFee,0)</f>
        <v/>
      </c>
      <c r="AR11" s="402">
        <f>-IF(AR$3=MS_Initial_Closing_Start,RecourseFee,0)</f>
        <v/>
      </c>
      <c r="AS11" s="402">
        <f>-IF(AS$3=MS_Initial_Closing_Start,RecourseFee,0)</f>
        <v/>
      </c>
      <c r="AT11" s="402">
        <f>-IF(AT$3=MS_Initial_Closing_Start,RecourseFee,0)</f>
        <v/>
      </c>
      <c r="AU11" s="402">
        <f>-IF(AU$3=MS_Initial_Closing_Start,RecourseFee,0)</f>
        <v/>
      </c>
      <c r="AV11" s="402">
        <f>-IF(AV$3=MS_Initial_Closing_Start,RecourseFee,0)</f>
        <v/>
      </c>
      <c r="AW11" s="402">
        <f>-IF(AW$3=MS_Initial_Closing_Start,RecourseFee,0)</f>
        <v/>
      </c>
      <c r="AX11" s="402">
        <f>-IF(AX$3=MS_Initial_Closing_Start,RecourseFee,0)</f>
        <v/>
      </c>
      <c r="AY11" s="402">
        <f>-IF(AY$3=MS_Initial_Closing_Start,RecourseFee,0)</f>
        <v/>
      </c>
      <c r="AZ11" s="402">
        <f>-IF(AZ$3=MS_Initial_Closing_Start,RecourseFee,0)</f>
        <v/>
      </c>
      <c r="BA11" s="402">
        <f>-IF(BA$3=MS_Initial_Closing_Start,RecourseFee,0)</f>
        <v/>
      </c>
      <c r="BB11" s="402">
        <f>-IF(BB$3=MS_Initial_Closing_Start,RecourseFee,0)</f>
        <v/>
      </c>
      <c r="BC11" s="402">
        <f>-IF(BC$3=MS_Initial_Closing_Start,RecourseFee,0)</f>
        <v/>
      </c>
      <c r="BD11" s="402">
        <f>-IF(BD$3=MS_Initial_Closing_Start,RecourseFee,0)</f>
        <v/>
      </c>
      <c r="BE11" s="402">
        <f>-IF(BE$3=MS_Initial_Closing_Start,RecourseFee,0)</f>
        <v/>
      </c>
      <c r="BF11" s="402">
        <f>-IF(BF$3=MS_Initial_Closing_Start,RecourseFee,0)</f>
        <v/>
      </c>
      <c r="BG11" s="402">
        <f>-IF(BG$3=MS_Initial_Closing_Start,RecourseFee,0)</f>
        <v/>
      </c>
      <c r="BH11" s="402">
        <f>-IF(BH$3=MS_Initial_Closing_Start,RecourseFee,0)</f>
        <v/>
      </c>
      <c r="BI11" s="402">
        <f>-IF(BI$3=MS_Initial_Closing_Start,RecourseFee,0)</f>
        <v/>
      </c>
      <c r="BJ11" s="402">
        <f>-IF(BJ$3=MS_Initial_Closing_Start,RecourseFee,0)</f>
        <v/>
      </c>
      <c r="BK11" s="402">
        <f>-IF(BK$3=MS_Initial_Closing_Start,RecourseFee,0)</f>
        <v/>
      </c>
      <c r="BL11" s="402">
        <f>-IF(BL$3=MS_Initial_Closing_Start,RecourseFee,0)</f>
        <v/>
      </c>
      <c r="BM11" s="402">
        <f>-IF(BM$3=MS_Initial_Closing_Start,RecourseFee,0)</f>
        <v/>
      </c>
      <c r="BN11" s="402">
        <f>-IF(BN$3=MS_Initial_Closing_Start,RecourseFee,0)</f>
        <v/>
      </c>
      <c r="BO11" s="402">
        <f>-IF(BO$3=MS_Initial_Closing_Start,RecourseFee,0)</f>
        <v/>
      </c>
      <c r="BP11" s="402">
        <f>-IF(BP$3=MS_Initial_Closing_Start,RecourseFee,0)</f>
        <v/>
      </c>
      <c r="BQ11" s="402">
        <f>-IF(BQ$3=MS_Initial_Closing_Start,RecourseFee,0)</f>
        <v/>
      </c>
      <c r="BR11" s="402">
        <f>-IF(BR$3=MS_Initial_Closing_Start,RecourseFee,0)</f>
        <v/>
      </c>
      <c r="BS11" s="402">
        <f>-IF(BS$3=MS_Initial_Closing_Start,RecourseFee,0)</f>
        <v/>
      </c>
      <c r="BT11" s="402">
        <f>-IF(BT$3=MS_Initial_Closing_Start,RecourseFee,0)</f>
        <v/>
      </c>
      <c r="BU11" s="402">
        <f>-IF(BU$3=MS_Initial_Closing_Start,RecourseFee,0)</f>
        <v/>
      </c>
      <c r="BV11" s="402">
        <f>-IF(BV$3=MS_Initial_Closing_Start,RecourseFee,0)</f>
        <v/>
      </c>
      <c r="BW11" s="402">
        <f>-IF(BW$3=MS_Initial_Closing_Start,RecourseFee,0)</f>
        <v/>
      </c>
      <c r="BX11" s="402">
        <f>-IF(BX$3=MS_Initial_Closing_Start,RecourseFee,0)</f>
        <v/>
      </c>
      <c r="BY11" s="402">
        <f>-IF(BY$3=MS_Initial_Closing_Start,RecourseFee,0)</f>
        <v/>
      </c>
      <c r="BZ11" s="402">
        <f>-IF(BZ$3=MS_Initial_Closing_Start,RecourseFee,0)</f>
        <v/>
      </c>
      <c r="CA11" s="402">
        <f>-IF(CA$3=MS_Initial_Closing_Start,RecourseFee,0)</f>
        <v/>
      </c>
      <c r="CB11" s="402">
        <f>-IF(CB$3=MS_Initial_Closing_Start,RecourseFee,0)</f>
        <v/>
      </c>
      <c r="CC11" s="402">
        <f>-IF(CC$3=MS_Initial_Closing_Start,RecourseFee,0)</f>
        <v/>
      </c>
      <c r="CD11" s="402">
        <f>-IF(CD$3=MS_Initial_Closing_Start,RecourseFee,0)</f>
        <v/>
      </c>
      <c r="CE11" s="402">
        <f>-IF(CE$3=MS_Initial_Closing_Start,RecourseFee,0)</f>
        <v/>
      </c>
      <c r="CF11" s="402">
        <f>-IF(CF$3=MS_Initial_Closing_Start,RecourseFee,0)</f>
        <v/>
      </c>
      <c r="CG11" s="402">
        <f>-IF(CG$3=MS_Initial_Closing_Start,RecourseFee,0)</f>
        <v/>
      </c>
      <c r="CH11" s="402">
        <f>-IF(CH$3=MS_Initial_Closing_Start,RecourseFee,0)</f>
        <v/>
      </c>
      <c r="CI11" s="402">
        <f>-IF(CI$3=MS_Initial_Closing_Start,RecourseFee,0)</f>
        <v/>
      </c>
      <c r="CJ11" s="402">
        <f>-IF(CJ$3=MS_Initial_Closing_Start,RecourseFee,0)</f>
        <v/>
      </c>
      <c r="CK11" s="402">
        <f>-IF(CK$3=MS_Initial_Closing_Start,RecourseFee,0)</f>
        <v/>
      </c>
      <c r="CL11" s="402">
        <f>-IF(CL$3=MS_Initial_Closing_Start,RecourseFee,0)</f>
        <v/>
      </c>
      <c r="CM11" s="402">
        <f>-IF(CM$3=MS_Initial_Closing_Start,RecourseFee,0)</f>
        <v/>
      </c>
      <c r="CN11" s="402">
        <f>-IF(CN$3=MS_Initial_Closing_Start,RecourseFee,0)</f>
        <v/>
      </c>
      <c r="CO11" s="402">
        <f>-IF(CO$3=MS_Initial_Closing_Start,RecourseFee,0)</f>
        <v/>
      </c>
      <c r="CP11" s="402">
        <f>-IF(CP$3=MS_Initial_Closing_Start,RecourseFee,0)</f>
        <v/>
      </c>
      <c r="CQ11" s="402">
        <f>-IF(CQ$3=MS_Initial_Closing_Start,RecourseFee,0)</f>
        <v/>
      </c>
      <c r="CR11" s="402">
        <f>-IF(CR$3=MS_Initial_Closing_Start,RecourseFee,0)</f>
        <v/>
      </c>
      <c r="CS11" s="402">
        <f>-IF(CS$3=MS_Initial_Closing_Start,RecourseFee,0)</f>
        <v/>
      </c>
      <c r="CT11" s="402">
        <f>-IF(CT$3=MS_Initial_Closing_Start,RecourseFee,0)</f>
        <v/>
      </c>
      <c r="CU11" s="402">
        <f>-IF(CU$3=MS_Initial_Closing_Start,RecourseFee,0)</f>
        <v/>
      </c>
      <c r="CV11" s="402">
        <f>-IF(CV$3=MS_Initial_Closing_Start,RecourseFee,0)</f>
        <v/>
      </c>
      <c r="CW11" s="402">
        <f>-IF(CW$3=MS_Initial_Closing_Start,RecourseFee,0)</f>
        <v/>
      </c>
      <c r="CX11" s="402">
        <f>-IF(CX$3=MS_Initial_Closing_Start,RecourseFee,0)</f>
        <v/>
      </c>
      <c r="CY11" s="402">
        <f>-IF(CY$3=MS_Initial_Closing_Start,RecourseFee,0)</f>
        <v/>
      </c>
      <c r="CZ11" s="402">
        <f>-IF(CZ$3=MS_Initial_Closing_Start,RecourseFee,0)</f>
        <v/>
      </c>
      <c r="DA11" s="402">
        <f>-IF(DA$3=MS_Initial_Closing_Start,RecourseFee,0)</f>
        <v/>
      </c>
      <c r="DB11" s="402">
        <f>-IF(DB$3=MS_Initial_Closing_Start,RecourseFee,0)</f>
        <v/>
      </c>
      <c r="DC11" s="402">
        <f>-IF(DC$3=MS_Initial_Closing_Start,RecourseFee,0)</f>
        <v/>
      </c>
      <c r="DD11" s="402">
        <f>-IF(DD$3=MS_Initial_Closing_Start,RecourseFee,0)</f>
        <v/>
      </c>
      <c r="DE11" s="402">
        <f>-IF(DE$3=MS_Initial_Closing_Start,RecourseFee,0)</f>
        <v/>
      </c>
      <c r="DF11" s="402">
        <f>-IF(DF$3=MS_Initial_Closing_Start,RecourseFee,0)</f>
        <v/>
      </c>
      <c r="DG11" s="402">
        <f>-IF(DG$3=MS_Initial_Closing_Start,RecourseFee,0)</f>
        <v/>
      </c>
      <c r="DH11" s="402">
        <f>-IF(DH$3=MS_Initial_Closing_Start,RecourseFee,0)</f>
        <v/>
      </c>
      <c r="DI11" s="402">
        <f>-IF(DI$3=MS_Initial_Closing_Start,RecourseFee,0)</f>
        <v/>
      </c>
      <c r="DJ11" s="402">
        <f>-IF(DJ$3=MS_Initial_Closing_Start,RecourseFee,0)</f>
        <v/>
      </c>
      <c r="DK11" s="402">
        <f>-IF(DK$3=MS_Initial_Closing_Start,RecourseFee,0)</f>
        <v/>
      </c>
      <c r="DL11" s="402">
        <f>-IF(DL$3=MS_Initial_Closing_Start,RecourseFee,0)</f>
        <v/>
      </c>
      <c r="DM11" s="402">
        <f>-IF(DM$3=MS_Initial_Closing_Start,RecourseFee,0)</f>
        <v/>
      </c>
      <c r="DN11" s="402">
        <f>-IF(DN$3=MS_Initial_Closing_Start,RecourseFee,0)</f>
        <v/>
      </c>
      <c r="DO11" s="402">
        <f>-IF(DO$3=MS_Initial_Closing_Start,RecourseFee,0)</f>
        <v/>
      </c>
      <c r="DP11" s="402">
        <f>-IF(DP$3=MS_Initial_Closing_Start,RecourseFee,0)</f>
        <v/>
      </c>
      <c r="DQ11" s="402">
        <f>-IF(DQ$3=MS_Initial_Closing_Start,RecourseFee,0)</f>
        <v/>
      </c>
      <c r="DR11" s="402">
        <f>-IF(DR$3=MS_Initial_Closing_Start,RecourseFee,0)</f>
        <v/>
      </c>
      <c r="DS11" s="402">
        <f>-IF(DS$3=MS_Initial_Closing_Start,RecourseFee,0)</f>
        <v/>
      </c>
      <c r="DT11" s="402">
        <f>-IF(DT$3=MS_Initial_Closing_Start,RecourseFee,0)</f>
        <v/>
      </c>
      <c r="DU11" s="402">
        <f>-IF(DU$3=MS_Initial_Closing_Start,RecourseFee,0)</f>
        <v/>
      </c>
      <c r="DV11" s="402">
        <f>-IF(DV$3=MS_Initial_Closing_Start,RecourseFee,0)</f>
        <v/>
      </c>
      <c r="DW11" s="402">
        <f>-IF(DW$3=MS_Initial_Closing_Start,RecourseFee,0)</f>
        <v/>
      </c>
      <c r="DX11" s="402">
        <f>-IF(DX$3=MS_Initial_Closing_Start,RecourseFee,0)</f>
        <v/>
      </c>
      <c r="DY11" s="402">
        <f>-IF(DY$3=MS_Initial_Closing_Start,RecourseFee,0)</f>
        <v/>
      </c>
      <c r="DZ11" s="402">
        <f>-IF(DZ$3=MS_Initial_Closing_Start,RecourseFee,0)</f>
        <v/>
      </c>
      <c r="EA11" s="402">
        <f>-IF(EA$3=MS_Initial_Closing_Start,RecourseFee,0)</f>
        <v/>
      </c>
      <c r="EB11" s="402">
        <f>-IF(EB$3=MS_Initial_Closing_Start,RecourseFee,0)</f>
        <v/>
      </c>
      <c r="EC11" s="402">
        <f>-IF(EC$3=MS_Initial_Closing_Start,RecourseFee,0)</f>
        <v/>
      </c>
      <c r="ED11" s="402">
        <f>-IF(ED$3=MS_Initial_Closing_Start,RecourseFee,0)</f>
        <v/>
      </c>
      <c r="EE11" s="402">
        <f>-IF(EE$3=MS_Initial_Closing_Start,RecourseFee,0)</f>
        <v/>
      </c>
      <c r="EF11" s="402">
        <f>-IF(EF$3=MS_Initial_Closing_Start,RecourseFee,0)</f>
        <v/>
      </c>
      <c r="EG11" s="402">
        <f>-IF(EG$3=MS_Initial_Closing_Start,RecourseFee,0)</f>
        <v/>
      </c>
      <c r="EH11" s="402">
        <f>-IF(EH$3=MS_Initial_Closing_Start,RecourseFee,0)</f>
        <v/>
      </c>
      <c r="EI11" s="402">
        <f>-IF(EI$3=MS_Initial_Closing_Start,RecourseFee,0)</f>
        <v/>
      </c>
      <c r="EJ11" s="402">
        <f>-IF(EJ$3=MS_Initial_Closing_Start,RecourseFee,0)</f>
        <v/>
      </c>
      <c r="EK11" s="402">
        <f>-IF(EK$3=MS_Initial_Closing_Start,RecourseFee,0)</f>
        <v/>
      </c>
      <c r="EL11" s="402">
        <f>-IF(EL$3=MS_Initial_Closing_Start,RecourseFee,0)</f>
        <v/>
      </c>
      <c r="EM11" s="402">
        <f>-IF(EM$3=MS_Initial_Closing_Start,RecourseFee,0)</f>
        <v/>
      </c>
      <c r="EN11" s="402">
        <f>-IF(EN$3=MS_Initial_Closing_Start,RecourseFee,0)</f>
        <v/>
      </c>
      <c r="EO11" s="402">
        <f>-IF(EO$3=MS_Initial_Closing_Start,RecourseFee,0)</f>
        <v/>
      </c>
      <c r="EP11" s="402">
        <f>-IF(EP$3=MS_Initial_Closing_Start,RecourseFee,0)</f>
        <v/>
      </c>
      <c r="EQ11" s="402">
        <f>-IF(EQ$3=MS_Initial_Closing_Start,RecourseFee,0)</f>
        <v/>
      </c>
      <c r="ER11" s="402">
        <f>-IF(ER$3=MS_Initial_Closing_Start,RecourseFee,0)</f>
        <v/>
      </c>
      <c r="ES11" s="402">
        <f>-IF(ES$3=MS_Initial_Closing_Start,RecourseFee,0)</f>
        <v/>
      </c>
      <c r="ET11" s="402">
        <f>-IF(ET$3=MS_Initial_Closing_Start,RecourseFee,0)</f>
        <v/>
      </c>
      <c r="EU11" s="402">
        <f>-IF(EU$3=MS_Initial_Closing_Start,RecourseFee,0)</f>
        <v/>
      </c>
      <c r="EV11" s="402">
        <f>-IF(EV$3=MS_Initial_Closing_Start,RecourseFee,0)</f>
        <v/>
      </c>
      <c r="EW11" s="402">
        <f>-IF(EW$3=MS_Initial_Closing_Start,RecourseFee,0)</f>
        <v/>
      </c>
      <c r="EX11" s="402">
        <f>-IF(EX$3=MS_Initial_Closing_Start,RecourseFee,0)</f>
        <v/>
      </c>
      <c r="EY11" s="402">
        <f>-IF(EY$3=MS_Initial_Closing_Start,RecourseFee,0)</f>
        <v/>
      </c>
      <c r="EZ11" s="402">
        <f>-IF(EZ$3=MS_Initial_Closing_Start,RecourseFee,0)</f>
        <v/>
      </c>
      <c r="FA11" s="402">
        <f>-IF(FA$3=MS_Initial_Closing_Start,RecourseFee,0)</f>
        <v/>
      </c>
      <c r="FB11" s="402">
        <f>-IF(FB$3=MS_Initial_Closing_Start,RecourseFee,0)</f>
        <v/>
      </c>
      <c r="FC11" s="402">
        <f>-IF(FC$3=MS_Initial_Closing_Start,RecourseFee,0)</f>
        <v/>
      </c>
      <c r="FD11" s="402">
        <f>-IF(FD$3=MS_Initial_Closing_Start,RecourseFee,0)</f>
        <v/>
      </c>
      <c r="FE11" s="402">
        <f>-IF(FE$3=MS_Initial_Closing_Start,RecourseFee,0)</f>
        <v/>
      </c>
      <c r="FF11" s="402">
        <f>-IF(FF$3=MS_Initial_Closing_Start,RecourseFee,0)</f>
        <v/>
      </c>
      <c r="FG11" s="402">
        <f>-IF(FG$3=MS_Initial_Closing_Start,RecourseFee,0)</f>
        <v/>
      </c>
      <c r="FH11" s="402">
        <f>-IF(FH$3=MS_Initial_Closing_Start,RecourseFee,0)</f>
        <v/>
      </c>
      <c r="FI11" s="402">
        <f>-IF(FI$3=MS_Initial_Closing_Start,RecourseFee,0)</f>
        <v/>
      </c>
      <c r="FJ11" s="402">
        <f>-IF(FJ$3=MS_Initial_Closing_Start,RecourseFee,0)</f>
        <v/>
      </c>
      <c r="FK11" s="402">
        <f>-IF(FK$3=MS_Initial_Closing_Start,RecourseFee,0)</f>
        <v/>
      </c>
      <c r="FL11" s="402">
        <f>-IF(FL$3=MS_Initial_Closing_Start,RecourseFee,0)</f>
        <v/>
      </c>
      <c r="FM11" s="402">
        <f>-IF(FM$3=MS_Initial_Closing_Start,RecourseFee,0)</f>
        <v/>
      </c>
      <c r="FN11" s="402">
        <f>-IF(FN$3=MS_Initial_Closing_Start,RecourseFee,0)</f>
        <v/>
      </c>
      <c r="FO11" s="402">
        <f>-IF(FO$3=MS_Initial_Closing_Start,RecourseFee,0)</f>
        <v/>
      </c>
      <c r="FP11" s="402">
        <f>-IF(FP$3=MS_Initial_Closing_Start,RecourseFee,0)</f>
        <v/>
      </c>
      <c r="FQ11" s="402">
        <f>-IF(FQ$3=MS_Initial_Closing_Start,RecourseFee,0)</f>
        <v/>
      </c>
      <c r="FR11" s="402">
        <f>-IF(FR$3=MS_Initial_Closing_Start,RecourseFee,0)</f>
        <v/>
      </c>
      <c r="FS11" s="402">
        <f>-IF(FS$3=MS_Initial_Closing_Start,RecourseFee,0)</f>
        <v/>
      </c>
      <c r="FT11" s="402">
        <f>-IF(FT$3=MS_Initial_Closing_Start,RecourseFee,0)</f>
        <v/>
      </c>
      <c r="FU11" s="402">
        <f>-IF(FU$3=MS_Initial_Closing_Start,RecourseFee,0)</f>
        <v/>
      </c>
      <c r="FV11" s="402">
        <f>-IF(FV$3=MS_Initial_Closing_Start,RecourseFee,0)</f>
        <v/>
      </c>
      <c r="FW11" s="402">
        <f>-IF(FW$3=MS_Initial_Closing_Start,RecourseFee,0)</f>
        <v/>
      </c>
      <c r="FX11" s="402">
        <f>-IF(FX$3=MS_Initial_Closing_Start,RecourseFee,0)</f>
        <v/>
      </c>
      <c r="FY11" s="402">
        <f>-IF(FY$3=MS_Initial_Closing_Start,RecourseFee,0)</f>
        <v/>
      </c>
      <c r="FZ11" s="402">
        <f>-IF(FZ$3=MS_Initial_Closing_Start,RecourseFee,0)</f>
        <v/>
      </c>
      <c r="GA11" s="402">
        <f>-IF(GA$3=MS_Initial_Closing_Start,RecourseFee,0)</f>
        <v/>
      </c>
      <c r="GB11" s="402">
        <f>-IF(GB$3=MS_Initial_Closing_Start,RecourseFee,0)</f>
        <v/>
      </c>
      <c r="GC11" s="402">
        <f>-IF(GC$3=MS_Initial_Closing_Start,RecourseFee,0)</f>
        <v/>
      </c>
      <c r="GD11" s="402">
        <f>-IF(GD$3=MS_Initial_Closing_Start,RecourseFee,0)</f>
        <v/>
      </c>
      <c r="GE11" s="402">
        <f>-IF(GE$3=MS_Initial_Closing_Start,RecourseFee,0)</f>
        <v/>
      </c>
      <c r="GF11" s="402">
        <f>-IF(GF$3=MS_Initial_Closing_Start,RecourseFee,0)</f>
        <v/>
      </c>
      <c r="GG11" s="402">
        <f>-IF(GG$3=MS_Initial_Closing_Start,RecourseFee,0)</f>
        <v/>
      </c>
      <c r="GH11" s="402">
        <f>-IF(GH$3=MS_Initial_Closing_Start,RecourseFee,0)</f>
        <v/>
      </c>
      <c r="GI11" s="402">
        <f>-IF(GI$3=MS_Initial_Closing_Start,RecourseFee,0)</f>
        <v/>
      </c>
      <c r="GJ11" s="402">
        <f>-IF(GJ$3=MS_Initial_Closing_Start,RecourseFee,0)</f>
        <v/>
      </c>
      <c r="GK11" s="402">
        <f>-IF(GK$3=MS_Initial_Closing_Start,RecourseFee,0)</f>
        <v/>
      </c>
      <c r="GL11" s="402">
        <f>-IF(GL$3=MS_Initial_Closing_Start,RecourseFee,0)</f>
        <v/>
      </c>
      <c r="GM11" s="402">
        <f>-IF(GM$3=MS_Initial_Closing_Start,RecourseFee,0)</f>
        <v/>
      </c>
      <c r="GN11" s="402">
        <f>-IF(GN$3=MS_Initial_Closing_Start,RecourseFee,0)</f>
        <v/>
      </c>
      <c r="GO11" s="402">
        <f>-IF(GO$3=MS_Initial_Closing_Start,RecourseFee,0)</f>
        <v/>
      </c>
      <c r="GP11" s="402">
        <f>-IF(GP$3=MS_Initial_Closing_Start,RecourseFee,0)</f>
        <v/>
      </c>
      <c r="GQ11" s="402">
        <f>-IF(GQ$3=MS_Initial_Closing_Start,RecourseFee,0)</f>
        <v/>
      </c>
      <c r="GR11" s="402">
        <f>-IF(GR$3=MS_Initial_Closing_Start,RecourseFee,0)</f>
        <v/>
      </c>
      <c r="GS11" s="402">
        <f>-IF(GS$3=MS_Initial_Closing_Start,RecourseFee,0)</f>
        <v/>
      </c>
      <c r="GT11" s="402">
        <f>-IF(GT$3=MS_Initial_Closing_Start,RecourseFee,0)</f>
        <v/>
      </c>
      <c r="GU11" s="402">
        <f>-IF(GU$3=MS_Initial_Closing_Start,RecourseFee,0)</f>
        <v/>
      </c>
      <c r="GV11" s="402">
        <f>-IF(GV$3=MS_Initial_Closing_Start,RecourseFee,0)</f>
        <v/>
      </c>
      <c r="GW11" s="402">
        <f>-IF(GW$3=MS_Initial_Closing_Start,RecourseFee,0)</f>
        <v/>
      </c>
      <c r="GX11" s="402">
        <f>-IF(GX$3=MS_Initial_Closing_Start,RecourseFee,0)</f>
        <v/>
      </c>
      <c r="GY11" s="402">
        <f>-IF(GY$3=MS_Initial_Closing_Start,RecourseFee,0)</f>
        <v/>
      </c>
      <c r="GZ11" s="402">
        <f>-IF(GZ$3=MS_Initial_Closing_Start,RecourseFee,0)</f>
        <v/>
      </c>
      <c r="HA11" s="402">
        <f>-IF(HA$3=MS_Initial_Closing_Start,RecourseFee,0)</f>
        <v/>
      </c>
      <c r="HB11" s="402">
        <f>-IF(HB$3=MS_Initial_Closing_Start,RecourseFee,0)</f>
        <v/>
      </c>
      <c r="HC11" s="402">
        <f>-IF(HC$3=MS_Initial_Closing_Start,RecourseFee,0)</f>
        <v/>
      </c>
      <c r="HD11" s="402">
        <f>-IF(HD$3=MS_Initial_Closing_Start,RecourseFee,0)</f>
        <v/>
      </c>
      <c r="HE11" s="402">
        <f>-IF(HE$3=MS_Initial_Closing_Start,RecourseFee,0)</f>
        <v/>
      </c>
      <c r="HF11" s="402">
        <f>-IF(HF$3=MS_Initial_Closing_Start,RecourseFee,0)</f>
        <v/>
      </c>
      <c r="HG11" s="402">
        <f>-IF(HG$3=MS_Initial_Closing_Start,RecourseFee,0)</f>
        <v/>
      </c>
      <c r="HH11" s="402">
        <f>-IF(HH$3=MS_Initial_Closing_Start,RecourseFee,0)</f>
        <v/>
      </c>
      <c r="HI11" s="402">
        <f>-IF(HI$3=MS_Initial_Closing_Start,RecourseFee,0)</f>
        <v/>
      </c>
      <c r="HJ11" s="402">
        <f>-IF(HJ$3=MS_Initial_Closing_Start,RecourseFee,0)</f>
        <v/>
      </c>
      <c r="HK11" s="402">
        <f>-IF(HK$3=MS_Initial_Closing_Start,RecourseFee,0)</f>
        <v/>
      </c>
      <c r="HL11" s="402">
        <f>-IF(HL$3=MS_Initial_Closing_Start,RecourseFee,0)</f>
        <v/>
      </c>
      <c r="HM11" s="402">
        <f>-IF(HM$3=MS_Initial_Closing_Start,RecourseFee,0)</f>
        <v/>
      </c>
      <c r="HN11" s="402">
        <f>-IF(HN$3=MS_Initial_Closing_Start,RecourseFee,0)</f>
        <v/>
      </c>
      <c r="HO11" s="402">
        <f>-IF(HO$3=MS_Initial_Closing_Start,RecourseFee,0)</f>
        <v/>
      </c>
      <c r="HP11" s="402">
        <f>-IF(HP$3=MS_Initial_Closing_Start,RecourseFee,0)</f>
        <v/>
      </c>
      <c r="HQ11" s="402">
        <f>-IF(HQ$3=MS_Initial_Closing_Start,RecourseFee,0)</f>
        <v/>
      </c>
      <c r="HR11" s="402">
        <f>-IF(HR$3=MS_Initial_Closing_Start,RecourseFee,0)</f>
        <v/>
      </c>
      <c r="HS11" s="402">
        <f>-IF(HS$3=MS_Initial_Closing_Start,RecourseFee,0)</f>
        <v/>
      </c>
      <c r="HT11" s="402">
        <f>-IF(HT$3=MS_Initial_Closing_Start,RecourseFee,0)</f>
        <v/>
      </c>
      <c r="HU11" s="402">
        <f>-IF(HU$3=MS_Initial_Closing_Start,RecourseFee,0)</f>
        <v/>
      </c>
      <c r="HV11" s="402">
        <f>-IF(HV$3=MS_Initial_Closing_Start,RecourseFee,0)</f>
        <v/>
      </c>
      <c r="HW11" s="402">
        <f>-IF(HW$3=MS_Initial_Closing_Start,RecourseFee,0)</f>
        <v/>
      </c>
      <c r="HX11" s="402">
        <f>-IF(HX$3=MS_Initial_Closing_Start,RecourseFee,0)</f>
        <v/>
      </c>
      <c r="HY11" s="402">
        <f>-IF(HY$3=MS_Initial_Closing_Start,RecourseFee,0)</f>
        <v/>
      </c>
      <c r="HZ11" s="402">
        <f>-IF(HZ$3=MS_Initial_Closing_Start,RecourseFee,0)</f>
        <v/>
      </c>
      <c r="IA11" s="402">
        <f>-IF(IA$3=MS_Initial_Closing_Start,RecourseFee,0)</f>
        <v/>
      </c>
      <c r="IB11" s="402">
        <f>-IF(IB$3=MS_Initial_Closing_Start,RecourseFee,0)</f>
        <v/>
      </c>
      <c r="IC11" s="402">
        <f>-IF(IC$3=MS_Initial_Closing_Start,RecourseFee,0)</f>
        <v/>
      </c>
      <c r="ID11" s="402">
        <f>-IF(ID$3=MS_Initial_Closing_Start,RecourseFee,0)</f>
        <v/>
      </c>
      <c r="IE11" s="402">
        <f>-IF(IE$3=MS_Initial_Closing_Start,RecourseFee,0)</f>
        <v/>
      </c>
      <c r="IF11" s="402">
        <f>-IF(IF$3=MS_Initial_Closing_Start,RecourseFee,0)</f>
        <v/>
      </c>
      <c r="IG11" s="402">
        <f>-IF(IG$3=MS_Initial_Closing_Start,RecourseFee,0)</f>
        <v/>
      </c>
      <c r="IH11" s="402">
        <f>-IF(IH$3=MS_Initial_Closing_Start,RecourseFee,0)</f>
        <v/>
      </c>
      <c r="II11" s="402">
        <f>-IF(II$3=MS_Initial_Closing_Start,RecourseFee,0)</f>
        <v/>
      </c>
      <c r="IJ11" s="402">
        <f>-IF(IJ$3=MS_Initial_Closing_Start,RecourseFee,0)</f>
        <v/>
      </c>
      <c r="IK11" s="402">
        <f>-IF(IK$3=MS_Initial_Closing_Start,RecourseFee,0)</f>
        <v/>
      </c>
      <c r="IL11" s="402">
        <f>-IF(IL$3=MS_Initial_Closing_Start,RecourseFee,0)</f>
        <v/>
      </c>
      <c r="IM11" s="402">
        <f>-IF(IM$3=MS_Initial_Closing_Start,RecourseFee,0)</f>
        <v/>
      </c>
      <c r="IN11" s="402">
        <f>-IF(IN$3=MS_Initial_Closing_Start,RecourseFee,0)</f>
        <v/>
      </c>
      <c r="IO11" s="402">
        <f>-IF(IO$3=MS_Initial_Closing_Start,RecourseFee,0)</f>
        <v/>
      </c>
      <c r="IP11" s="402">
        <f>-IF(IP$3=MS_Initial_Closing_Start,RecourseFee,0)</f>
        <v/>
      </c>
      <c r="IQ11" s="402">
        <f>-IF(IQ$3=MS_Initial_Closing_Start,RecourseFee,0)</f>
        <v/>
      </c>
      <c r="IR11" s="402">
        <f>-IF(IR$3=MS_Initial_Closing_Start,RecourseFee,0)</f>
        <v/>
      </c>
      <c r="IS11" s="402">
        <f>-IF(IS$3=MS_Initial_Closing_Start,RecourseFee,0)</f>
        <v/>
      </c>
      <c r="IT11" s="402">
        <f>-IF(IT$3=MS_Initial_Closing_Start,RecourseFee,0)</f>
        <v/>
      </c>
      <c r="IU11" s="402">
        <f>-IF(IU$3=MS_Initial_Closing_Start,RecourseFee,0)</f>
        <v/>
      </c>
      <c r="IV11" s="402">
        <f>-IF(IV$3=MS_Initial_Closing_Start,RecourseFee,0)</f>
        <v/>
      </c>
      <c r="IW11" s="402">
        <f>-IF(IW$3=MS_Initial_Closing_Start,RecourseFee,0)</f>
        <v/>
      </c>
      <c r="IX11" s="402">
        <f>-IF(IX$3=MS_Initial_Closing_Start,RecourseFee,0)</f>
        <v/>
      </c>
      <c r="IY11" s="402">
        <f>-IF(IY$3=MS_Initial_Closing_Start,RecourseFee,0)</f>
        <v/>
      </c>
      <c r="IZ11" s="402">
        <f>-IF(IZ$3=MS_Initial_Closing_Start,RecourseFee,0)</f>
        <v/>
      </c>
      <c r="JA11" s="402">
        <f>-IF(JA$3=MS_Initial_Closing_Start,RecourseFee,0)</f>
        <v/>
      </c>
      <c r="JB11" s="402">
        <f>-IF(JB$3=MS_Initial_Closing_Start,RecourseFee,0)</f>
        <v/>
      </c>
      <c r="JC11" s="402">
        <f>-IF(JC$3=MS_Initial_Closing_Start,RecourseFee,0)</f>
        <v/>
      </c>
      <c r="JD11" s="402">
        <f>-IF(JD$3=MS_Initial_Closing_Start,RecourseFee,0)</f>
        <v/>
      </c>
      <c r="JE11" s="402">
        <f>-IF(JE$3=MS_Initial_Closing_Start,RecourseFee,0)</f>
        <v/>
      </c>
      <c r="JF11" s="402">
        <f>-IF(JF$3=MS_Initial_Closing_Start,RecourseFee,0)</f>
        <v/>
      </c>
      <c r="JG11" s="402">
        <f>-IF(JG$3=MS_Initial_Closing_Start,RecourseFee,0)</f>
        <v/>
      </c>
      <c r="JH11" s="402">
        <f>-IF(JH$3=MS_Initial_Closing_Start,RecourseFee,0)</f>
        <v/>
      </c>
      <c r="JI11" s="402">
        <f>-IF(JI$3=MS_Initial_Closing_Start,RecourseFee,0)</f>
        <v/>
      </c>
      <c r="JJ11" s="402">
        <f>-IF(JJ$3=MS_Initial_Closing_Start,RecourseFee,0)</f>
        <v/>
      </c>
      <c r="JK11" s="402">
        <f>-IF(JK$3=MS_Initial_Closing_Start,RecourseFee,0)</f>
        <v/>
      </c>
      <c r="JL11" s="402">
        <f>-IF(JL$3=MS_Initial_Closing_Start,RecourseFee,0)</f>
        <v/>
      </c>
      <c r="JM11" s="402">
        <f>-IF(JM$3=MS_Initial_Closing_Start,RecourseFee,0)</f>
        <v/>
      </c>
      <c r="JN11" s="402">
        <f>-IF(JN$3=MS_Initial_Closing_Start,RecourseFee,0)</f>
        <v/>
      </c>
      <c r="JO11" s="402">
        <f>-IF(JO$3=MS_Initial_Closing_Start,RecourseFee,0)</f>
        <v/>
      </c>
      <c r="JP11" s="402">
        <f>-IF(JP$3=MS_Initial_Closing_Start,RecourseFee,0)</f>
        <v/>
      </c>
      <c r="JQ11" s="402">
        <f>-IF(JQ$3=MS_Initial_Closing_Start,RecourseFee,0)</f>
        <v/>
      </c>
      <c r="JR11" s="402">
        <f>-IF(JR$3=MS_Initial_Closing_Start,RecourseFee,0)</f>
        <v/>
      </c>
      <c r="JS11" s="402">
        <f>-IF(JS$3=MS_Initial_Closing_Start,RecourseFee,0)</f>
        <v/>
      </c>
      <c r="JT11" s="402">
        <f>-IF(JT$3=MS_Initial_Closing_Start,RecourseFee,0)</f>
        <v/>
      </c>
      <c r="JU11" s="402">
        <f>-IF(JU$3=MS_Initial_Closing_Start,RecourseFee,0)</f>
        <v/>
      </c>
      <c r="JV11" s="402">
        <f>-IF(JV$3=MS_Initial_Closing_Start,RecourseFee,0)</f>
        <v/>
      </c>
      <c r="JW11" s="402">
        <f>-IF(JW$3=MS_Initial_Closing_Start,RecourseFee,0)</f>
        <v/>
      </c>
      <c r="JX11" s="402">
        <f>-IF(JX$3=MS_Initial_Closing_Start,RecourseFee,0)</f>
        <v/>
      </c>
      <c r="JY11" s="402">
        <f>-IF(JY$3=MS_Initial_Closing_Start,RecourseFee,0)</f>
        <v/>
      </c>
      <c r="JZ11" s="402">
        <f>-IF(JZ$3=MS_Initial_Closing_Start,RecourseFee,0)</f>
        <v/>
      </c>
      <c r="KA11" s="402">
        <f>-IF(KA$3=MS_Initial_Closing_Start,RecourseFee,0)</f>
        <v/>
      </c>
      <c r="KB11" s="402">
        <f>-IF(KB$3=MS_Initial_Closing_Start,RecourseFee,0)</f>
        <v/>
      </c>
      <c r="KC11" s="402">
        <f>-IF(KC$3=MS_Initial_Closing_Start,RecourseFee,0)</f>
        <v/>
      </c>
      <c r="KD11" s="402">
        <f>-IF(KD$3=MS_Initial_Closing_Start,RecourseFee,0)</f>
        <v/>
      </c>
      <c r="KE11" s="402">
        <f>-IF(KE$3=MS_Initial_Closing_Start,RecourseFee,0)</f>
        <v/>
      </c>
      <c r="KF11" s="402">
        <f>-IF(KF$3=MS_Initial_Closing_Start,RecourseFee,0)</f>
        <v/>
      </c>
      <c r="KG11" s="402">
        <f>-IF(KG$3=MS_Initial_Closing_Start,RecourseFee,0)</f>
        <v/>
      </c>
      <c r="KH11" s="402">
        <f>-IF(KH$3=MS_Initial_Closing_Start,RecourseFee,0)</f>
        <v/>
      </c>
      <c r="KI11" s="402">
        <f>-IF(KI$3=MS_Initial_Closing_Start,RecourseFee,0)</f>
        <v/>
      </c>
      <c r="KJ11" s="402">
        <f>-IF(KJ$3=MS_Initial_Closing_Start,RecourseFee,0)</f>
        <v/>
      </c>
      <c r="KK11" s="402">
        <f>-IF(KK$3=MS_Initial_Closing_Start,RecourseFee,0)</f>
        <v/>
      </c>
      <c r="KL11" s="402">
        <f>-IF(KL$3=MS_Initial_Closing_Start,RecourseFee,0)</f>
        <v/>
      </c>
      <c r="KM11" s="402">
        <f>-IF(KM$3=MS_Initial_Closing_Start,RecourseFee,0)</f>
        <v/>
      </c>
      <c r="KN11" s="402">
        <f>-IF(KN$3=MS_Initial_Closing_Start,RecourseFee,0)</f>
        <v/>
      </c>
      <c r="KO11" s="402">
        <f>-IF(KO$3=MS_Initial_Closing_Start,RecourseFee,0)</f>
        <v/>
      </c>
      <c r="KP11" s="402">
        <f>-IF(KP$3=MS_Initial_Closing_Start,RecourseFee,0)</f>
        <v/>
      </c>
      <c r="KQ11" s="402">
        <f>-IF(KQ$3=MS_Initial_Closing_Start,RecourseFee,0)</f>
        <v/>
      </c>
      <c r="KR11" s="402">
        <f>-IF(KR$3=MS_Initial_Closing_Start,RecourseFee,0)</f>
        <v/>
      </c>
      <c r="KS11" s="402">
        <f>-IF(KS$3=MS_Initial_Closing_Start,RecourseFee,0)</f>
        <v/>
      </c>
      <c r="KT11" s="402">
        <f>-IF(KT$3=MS_Initial_Closing_Start,RecourseFee,0)</f>
        <v/>
      </c>
      <c r="KU11" s="402">
        <f>-IF(KU$3=MS_Initial_Closing_Start,RecourseFee,0)</f>
        <v/>
      </c>
      <c r="KV11" s="402">
        <f>-IF(KV$3=MS_Initial_Closing_Start,RecourseFee,0)</f>
        <v/>
      </c>
      <c r="KW11" s="402">
        <f>-IF(KW$3=MS_Initial_Closing_Start,RecourseFee,0)</f>
        <v/>
      </c>
      <c r="KX11" s="402">
        <f>-IF(KX$3=MS_Initial_Closing_Start,RecourseFee,0)</f>
        <v/>
      </c>
      <c r="KY11" s="402">
        <f>-IF(KY$3=MS_Initial_Closing_Start,RecourseFee,0)</f>
        <v/>
      </c>
      <c r="KZ11" s="402">
        <f>-IF(KZ$3=MS_Initial_Closing_Start,RecourseFee,0)</f>
        <v/>
      </c>
      <c r="LA11" s="402">
        <f>-IF(LA$3=MS_Initial_Closing_Start,RecourseFee,0)</f>
        <v/>
      </c>
      <c r="LB11" s="402">
        <f>-IF(LB$3=MS_Initial_Closing_Start,RecourseFee,0)</f>
        <v/>
      </c>
      <c r="LC11" s="402">
        <f>-IF(LC$3=MS_Initial_Closing_Start,RecourseFee,0)</f>
        <v/>
      </c>
      <c r="LD11" s="402">
        <f>-IF(LD$3=MS_Initial_Closing_Start,RecourseFee,0)</f>
        <v/>
      </c>
      <c r="LE11" s="402">
        <f>-IF(LE$3=MS_Initial_Closing_Start,RecourseFee,0)</f>
        <v/>
      </c>
      <c r="LF11" s="402">
        <f>-IF(LF$3=MS_Initial_Closing_Start,RecourseFee,0)</f>
        <v/>
      </c>
      <c r="LG11" s="402">
        <f>-IF(LG$3=MS_Initial_Closing_Start,RecourseFee,0)</f>
        <v/>
      </c>
      <c r="LH11" s="402">
        <f>-IF(LH$3=MS_Initial_Closing_Start,RecourseFee,0)</f>
        <v/>
      </c>
      <c r="LI11" s="402">
        <f>-IF(LI$3=MS_Initial_Closing_Start,RecourseFee,0)</f>
        <v/>
      </c>
      <c r="LJ11" s="402">
        <f>-IF(LJ$3=MS_Initial_Closing_Start,RecourseFee,0)</f>
        <v/>
      </c>
      <c r="LK11" s="402">
        <f>-IF(LK$3=MS_Initial_Closing_Start,RecourseFee,0)</f>
        <v/>
      </c>
      <c r="LL11" s="402">
        <f>-IF(LL$3=MS_Initial_Closing_Start,RecourseFee,0)</f>
        <v/>
      </c>
      <c r="LM11" s="402">
        <f>-IF(LM$3=MS_Initial_Closing_Start,RecourseFee,0)</f>
        <v/>
      </c>
      <c r="LN11" s="402">
        <f>-IF(LN$3=MS_Initial_Closing_Start,RecourseFee,0)</f>
        <v/>
      </c>
      <c r="LO11" s="402">
        <f>-IF(LO$3=MS_Initial_Closing_Start,RecourseFee,0)</f>
        <v/>
      </c>
      <c r="LP11" s="402">
        <f>-IF(LP$3=MS_Initial_Closing_Start,RecourseFee,0)</f>
        <v/>
      </c>
      <c r="LQ11" s="402">
        <f>-IF(LQ$3=MS_Initial_Closing_Start,RecourseFee,0)</f>
        <v/>
      </c>
      <c r="LR11" s="402">
        <f>-IF(LR$3=MS_Initial_Closing_Start,RecourseFee,0)</f>
        <v/>
      </c>
      <c r="LS11" s="402">
        <f>-IF(LS$3=MS_Initial_Closing_Start,RecourseFee,0)</f>
        <v/>
      </c>
      <c r="LT11" s="402">
        <f>-IF(LT$3=MS_Initial_Closing_Start,RecourseFee,0)</f>
        <v/>
      </c>
      <c r="LU11" s="402">
        <f>-IF(LU$3=MS_Initial_Closing_Start,RecourseFee,0)</f>
        <v/>
      </c>
      <c r="LV11" s="402">
        <f>-IF(LV$3=MS_Initial_Closing_Start,RecourseFee,0)</f>
        <v/>
      </c>
      <c r="LW11" s="402">
        <f>-IF(LW$3=MS_Initial_Closing_Start,RecourseFee,0)</f>
        <v/>
      </c>
      <c r="LX11" s="402">
        <f>-IF(LX$3=MS_Initial_Closing_Start,RecourseFee,0)</f>
        <v/>
      </c>
      <c r="LY11" s="402">
        <f>-IF(LY$3=MS_Initial_Closing_Start,RecourseFee,0)</f>
        <v/>
      </c>
      <c r="LZ11" s="402">
        <f>-IF(LZ$3=MS_Initial_Closing_Start,RecourseFee,0)</f>
        <v/>
      </c>
      <c r="MA11" s="402">
        <f>-IF(MA$3=MS_Initial_Closing_Start,RecourseFee,0)</f>
        <v/>
      </c>
      <c r="MB11" s="402">
        <f>-IF(MB$3=MS_Initial_Closing_Start,RecourseFee,0)</f>
        <v/>
      </c>
      <c r="MC11" s="402">
        <f>-IF(MC$3=MS_Initial_Closing_Start,RecourseFee,0)</f>
        <v/>
      </c>
      <c r="MD11" s="402">
        <f>-IF(MD$3=MS_Initial_Closing_Start,RecourseFee,0)</f>
        <v/>
      </c>
      <c r="ME11" s="402">
        <f>-IF(ME$3=MS_Initial_Closing_Start,RecourseFee,0)</f>
        <v/>
      </c>
      <c r="MF11" s="402">
        <f>-IF(MF$3=MS_Initial_Closing_Start,RecourseFee,0)</f>
        <v/>
      </c>
      <c r="MG11" s="402">
        <f>-IF(MG$3=MS_Initial_Closing_Start,RecourseFee,0)</f>
        <v/>
      </c>
      <c r="MH11" s="402">
        <f>-IF(MH$3=MS_Initial_Closing_Start,RecourseFee,0)</f>
        <v/>
      </c>
      <c r="MI11" s="402">
        <f>-IF(MI$3=MS_Initial_Closing_Start,RecourseFee,0)</f>
        <v/>
      </c>
      <c r="MJ11" s="402">
        <f>-IF(MJ$3=MS_Initial_Closing_Start,RecourseFee,0)</f>
        <v/>
      </c>
      <c r="MK11" s="402">
        <f>-IF(MK$3=MS_Initial_Closing_Start,RecourseFee,0)</f>
        <v/>
      </c>
      <c r="ML11" s="402">
        <f>-IF(ML$3=MS_Initial_Closing_Start,RecourseFee,0)</f>
        <v/>
      </c>
      <c r="MM11" s="402">
        <f>-IF(MM$3=MS_Initial_Closing_Start,RecourseFee,0)</f>
        <v/>
      </c>
      <c r="MN11" s="402">
        <f>-IF(MN$3=MS_Initial_Closing_Start,RecourseFee,0)</f>
        <v/>
      </c>
      <c r="MO11" s="402">
        <f>-IF(MO$3=MS_Initial_Closing_Start,RecourseFee,0)</f>
        <v/>
      </c>
      <c r="MP11" s="402">
        <f>-IF(MP$3=MS_Initial_Closing_Start,RecourseFee,0)</f>
        <v/>
      </c>
      <c r="MQ11" s="402">
        <f>-IF(MQ$3=MS_Initial_Closing_Start,RecourseFee,0)</f>
        <v/>
      </c>
      <c r="MR11" s="402">
        <f>-IF(MR$3=MS_Initial_Closing_Start,RecourseFee,0)</f>
        <v/>
      </c>
      <c r="MS11" s="402">
        <f>-IF(MS$3=MS_Initial_Closing_Start,RecourseFee,0)</f>
        <v/>
      </c>
      <c r="MT11" s="402">
        <f>-IF(MT$3=MS_Initial_Closing_Start,RecourseFee,0)</f>
        <v/>
      </c>
      <c r="MU11" s="402">
        <f>-IF(MU$3=MS_Initial_Closing_Start,RecourseFee,0)</f>
        <v/>
      </c>
      <c r="MV11" s="402">
        <f>-IF(MV$3=MS_Initial_Closing_Start,RecourseFee,0)</f>
        <v/>
      </c>
      <c r="MW11" s="402">
        <f>-IF(MW$3=MS_Initial_Closing_Start,RecourseFee,0)</f>
        <v/>
      </c>
      <c r="MX11" s="402">
        <f>-IF(MX$3=MS_Initial_Closing_Start,RecourseFee,0)</f>
        <v/>
      </c>
      <c r="MY11" s="402">
        <f>-IF(MY$3=MS_Initial_Closing_Start,RecourseFee,0)</f>
        <v/>
      </c>
      <c r="MZ11" s="402">
        <f>-IF(MZ$3=MS_Initial_Closing_Start,RecourseFee,0)</f>
        <v/>
      </c>
      <c r="NA11" s="402">
        <f>-IF(NA$3=MS_Initial_Closing_Start,RecourseFee,0)</f>
        <v/>
      </c>
      <c r="NB11" s="402">
        <f>-IF(NB$3=MS_Initial_Closing_Start,RecourseFee,0)</f>
        <v/>
      </c>
      <c r="NC11" s="402">
        <f>-IF(NC$3=MS_Initial_Closing_Start,RecourseFee,0)</f>
        <v/>
      </c>
      <c r="ND11" s="402">
        <f>-IF(ND$3=MS_Initial_Closing_Start,RecourseFee,0)</f>
        <v/>
      </c>
      <c r="NE11" s="402">
        <f>-IF(NE$3=MS_Initial_Closing_Start,RecourseFee,0)</f>
        <v/>
      </c>
      <c r="NF11" s="402">
        <f>-IF(NF$3=MS_Initial_Closing_Start,RecourseFee,0)</f>
        <v/>
      </c>
      <c r="NG11" s="402">
        <f>-IF(NG$3=MS_Initial_Closing_Start,RecourseFee,0)</f>
        <v/>
      </c>
      <c r="NH11" s="402">
        <f>-IF(NH$3=MS_Initial_Closing_Start,RecourseFee,0)</f>
        <v/>
      </c>
      <c r="NI11" s="402">
        <f>-IF(NI$3=MS_Initial_Closing_Start,RecourseFee,0)</f>
        <v/>
      </c>
      <c r="NJ11" s="402">
        <f>-IF(NJ$3=MS_Initial_Closing_Start,RecourseFee,0)</f>
        <v/>
      </c>
      <c r="NK11" s="402">
        <f>-IF(NK$3=MS_Initial_Closing_Start,RecourseFee,0)</f>
        <v/>
      </c>
      <c r="NL11" s="402">
        <f>-IF(NL$3=MS_Initial_Closing_Start,RecourseFee,0)</f>
        <v/>
      </c>
    </row>
    <row r="12">
      <c r="B12" s="316" t="inlineStr">
        <is>
          <t>Operating Reserve (funded)</t>
        </is>
      </c>
      <c r="D12" s="402">
        <f>SUM(E12:NL12)</f>
        <v/>
      </c>
      <c r="E12" s="402">
        <f>-IF(E$3=MS_Initial_Closing_Start,OpReserve,0)</f>
        <v/>
      </c>
      <c r="F12" s="402">
        <f>-IF(F$3=MS_Initial_Closing_Start,OpReserve,0)</f>
        <v/>
      </c>
      <c r="G12" s="402">
        <f>-IF(G$3=MS_Initial_Closing_Start,OpReserve,0)</f>
        <v/>
      </c>
      <c r="H12" s="402">
        <f>-IF(H$3=MS_Initial_Closing_Start,OpReserve,0)</f>
        <v/>
      </c>
      <c r="I12" s="402">
        <f>-IF(I$3=MS_Initial_Closing_Start,OpReserve,0)</f>
        <v/>
      </c>
      <c r="J12" s="402">
        <f>-IF(J$3=MS_Initial_Closing_Start,OpReserve,0)</f>
        <v/>
      </c>
      <c r="K12" s="402">
        <f>-IF(K$3=MS_Initial_Closing_Start,OpReserve,0)</f>
        <v/>
      </c>
      <c r="L12" s="402">
        <f>-IF(L$3=MS_Initial_Closing_Start,OpReserve,0)</f>
        <v/>
      </c>
      <c r="M12" s="402">
        <f>-IF(M$3=MS_Initial_Closing_Start,OpReserve,0)</f>
        <v/>
      </c>
      <c r="N12" s="402">
        <f>-IF(N$3=MS_Initial_Closing_Start,OpReserve,0)</f>
        <v/>
      </c>
      <c r="O12" s="402">
        <f>-IF(O$3=MS_Initial_Closing_Start,OpReserve,0)</f>
        <v/>
      </c>
      <c r="P12" s="402">
        <f>-IF(P$3=MS_Initial_Closing_Start,OpReserve,0)</f>
        <v/>
      </c>
      <c r="Q12" s="402">
        <f>-IF(Q$3=MS_Initial_Closing_Start,OpReserve,0)</f>
        <v/>
      </c>
      <c r="R12" s="402">
        <f>-IF(R$3=MS_Initial_Closing_Start,OpReserve,0)</f>
        <v/>
      </c>
      <c r="S12" s="402">
        <f>-IF(S$3=MS_Initial_Closing_Start,OpReserve,0)</f>
        <v/>
      </c>
      <c r="T12" s="402">
        <f>-IF(T$3=MS_Initial_Closing_Start,OpReserve,0)</f>
        <v/>
      </c>
      <c r="U12" s="402">
        <f>-IF(U$3=MS_Initial_Closing_Start,OpReserve,0)</f>
        <v/>
      </c>
      <c r="V12" s="402">
        <f>-IF(V$3=MS_Initial_Closing_Start,OpReserve,0)</f>
        <v/>
      </c>
      <c r="W12" s="402">
        <f>-IF(W$3=MS_Initial_Closing_Start,OpReserve,0)</f>
        <v/>
      </c>
      <c r="X12" s="402">
        <f>-IF(X$3=MS_Initial_Closing_Start,OpReserve,0)</f>
        <v/>
      </c>
      <c r="Y12" s="402">
        <f>-IF(Y$3=MS_Initial_Closing_Start,OpReserve,0)</f>
        <v/>
      </c>
      <c r="Z12" s="402">
        <f>-IF(Z$3=MS_Initial_Closing_Start,OpReserve,0)</f>
        <v/>
      </c>
      <c r="AA12" s="402">
        <f>-IF(AA$3=MS_Initial_Closing_Start,OpReserve,0)</f>
        <v/>
      </c>
      <c r="AB12" s="402">
        <f>-IF(AB$3=MS_Initial_Closing_Start,OpReserve,0)</f>
        <v/>
      </c>
      <c r="AC12" s="402">
        <f>-IF(AC$3=MS_Initial_Closing_Start,OpReserve,0)</f>
        <v/>
      </c>
      <c r="AD12" s="402">
        <f>-IF(AD$3=MS_Initial_Closing_Start,OpReserve,0)</f>
        <v/>
      </c>
      <c r="AE12" s="402">
        <f>-IF(AE$3=MS_Initial_Closing_Start,OpReserve,0)</f>
        <v/>
      </c>
      <c r="AF12" s="402">
        <f>-IF(AF$3=MS_Initial_Closing_Start,OpReserve,0)</f>
        <v/>
      </c>
      <c r="AG12" s="402">
        <f>-IF(AG$3=MS_Initial_Closing_Start,OpReserve,0)</f>
        <v/>
      </c>
      <c r="AH12" s="402">
        <f>-IF(AH$3=MS_Initial_Closing_Start,OpReserve,0)</f>
        <v/>
      </c>
      <c r="AI12" s="402">
        <f>-IF(AI$3=MS_Initial_Closing_Start,OpReserve,0)</f>
        <v/>
      </c>
      <c r="AJ12" s="402">
        <f>-IF(AJ$3=MS_Initial_Closing_Start,OpReserve,0)</f>
        <v/>
      </c>
      <c r="AK12" s="402">
        <f>-IF(AK$3=MS_Initial_Closing_Start,OpReserve,0)</f>
        <v/>
      </c>
      <c r="AL12" s="402">
        <f>-IF(AL$3=MS_Initial_Closing_Start,OpReserve,0)</f>
        <v/>
      </c>
      <c r="AM12" s="402">
        <f>-IF(AM$3=MS_Initial_Closing_Start,OpReserve,0)</f>
        <v/>
      </c>
      <c r="AN12" s="402">
        <f>-IF(AN$3=MS_Initial_Closing_Start,OpReserve,0)</f>
        <v/>
      </c>
      <c r="AO12" s="402">
        <f>-IF(AO$3=MS_Initial_Closing_Start,OpReserve,0)</f>
        <v/>
      </c>
      <c r="AP12" s="402">
        <f>-IF(AP$3=MS_Initial_Closing_Start,OpReserve,0)</f>
        <v/>
      </c>
      <c r="AQ12" s="402">
        <f>-IF(AQ$3=MS_Initial_Closing_Start,OpReserve,0)</f>
        <v/>
      </c>
      <c r="AR12" s="402">
        <f>-IF(AR$3=MS_Initial_Closing_Start,OpReserve,0)</f>
        <v/>
      </c>
      <c r="AS12" s="402">
        <f>-IF(AS$3=MS_Initial_Closing_Start,OpReserve,0)</f>
        <v/>
      </c>
      <c r="AT12" s="402">
        <f>-IF(AT$3=MS_Initial_Closing_Start,OpReserve,0)</f>
        <v/>
      </c>
      <c r="AU12" s="402">
        <f>-IF(AU$3=MS_Initial_Closing_Start,OpReserve,0)</f>
        <v/>
      </c>
      <c r="AV12" s="402">
        <f>-IF(AV$3=MS_Initial_Closing_Start,OpReserve,0)</f>
        <v/>
      </c>
      <c r="AW12" s="402">
        <f>-IF(AW$3=MS_Initial_Closing_Start,OpReserve,0)</f>
        <v/>
      </c>
      <c r="AX12" s="402">
        <f>-IF(AX$3=MS_Initial_Closing_Start,OpReserve,0)</f>
        <v/>
      </c>
      <c r="AY12" s="402">
        <f>-IF(AY$3=MS_Initial_Closing_Start,OpReserve,0)</f>
        <v/>
      </c>
      <c r="AZ12" s="402">
        <f>-IF(AZ$3=MS_Initial_Closing_Start,OpReserve,0)</f>
        <v/>
      </c>
      <c r="BA12" s="402">
        <f>-IF(BA$3=MS_Initial_Closing_Start,OpReserve,0)</f>
        <v/>
      </c>
      <c r="BB12" s="402">
        <f>-IF(BB$3=MS_Initial_Closing_Start,OpReserve,0)</f>
        <v/>
      </c>
      <c r="BC12" s="402">
        <f>-IF(BC$3=MS_Initial_Closing_Start,OpReserve,0)</f>
        <v/>
      </c>
      <c r="BD12" s="402">
        <f>-IF(BD$3=MS_Initial_Closing_Start,OpReserve,0)</f>
        <v/>
      </c>
      <c r="BE12" s="402">
        <f>-IF(BE$3=MS_Initial_Closing_Start,OpReserve,0)</f>
        <v/>
      </c>
      <c r="BF12" s="402">
        <f>-IF(BF$3=MS_Initial_Closing_Start,OpReserve,0)</f>
        <v/>
      </c>
      <c r="BG12" s="402">
        <f>-IF(BG$3=MS_Initial_Closing_Start,OpReserve,0)</f>
        <v/>
      </c>
      <c r="BH12" s="402">
        <f>-IF(BH$3=MS_Initial_Closing_Start,OpReserve,0)</f>
        <v/>
      </c>
      <c r="BI12" s="402">
        <f>-IF(BI$3=MS_Initial_Closing_Start,OpReserve,0)</f>
        <v/>
      </c>
      <c r="BJ12" s="402">
        <f>-IF(BJ$3=MS_Initial_Closing_Start,OpReserve,0)</f>
        <v/>
      </c>
      <c r="BK12" s="402">
        <f>-IF(BK$3=MS_Initial_Closing_Start,OpReserve,0)</f>
        <v/>
      </c>
      <c r="BL12" s="402">
        <f>-IF(BL$3=MS_Initial_Closing_Start,OpReserve,0)</f>
        <v/>
      </c>
      <c r="BM12" s="402">
        <f>-IF(BM$3=MS_Initial_Closing_Start,OpReserve,0)</f>
        <v/>
      </c>
      <c r="BN12" s="402">
        <f>-IF(BN$3=MS_Initial_Closing_Start,OpReserve,0)</f>
        <v/>
      </c>
      <c r="BO12" s="402">
        <f>-IF(BO$3=MS_Initial_Closing_Start,OpReserve,0)</f>
        <v/>
      </c>
      <c r="BP12" s="402">
        <f>-IF(BP$3=MS_Initial_Closing_Start,OpReserve,0)</f>
        <v/>
      </c>
      <c r="BQ12" s="402">
        <f>-IF(BQ$3=MS_Initial_Closing_Start,OpReserve,0)</f>
        <v/>
      </c>
      <c r="BR12" s="402">
        <f>-IF(BR$3=MS_Initial_Closing_Start,OpReserve,0)</f>
        <v/>
      </c>
      <c r="BS12" s="402">
        <f>-IF(BS$3=MS_Initial_Closing_Start,OpReserve,0)</f>
        <v/>
      </c>
      <c r="BT12" s="402">
        <f>-IF(BT$3=MS_Initial_Closing_Start,OpReserve,0)</f>
        <v/>
      </c>
      <c r="BU12" s="402">
        <f>-IF(BU$3=MS_Initial_Closing_Start,OpReserve,0)</f>
        <v/>
      </c>
      <c r="BV12" s="402">
        <f>-IF(BV$3=MS_Initial_Closing_Start,OpReserve,0)</f>
        <v/>
      </c>
      <c r="BW12" s="402">
        <f>-IF(BW$3=MS_Initial_Closing_Start,OpReserve,0)</f>
        <v/>
      </c>
      <c r="BX12" s="402">
        <f>-IF(BX$3=MS_Initial_Closing_Start,OpReserve,0)</f>
        <v/>
      </c>
      <c r="BY12" s="402">
        <f>-IF(BY$3=MS_Initial_Closing_Start,OpReserve,0)</f>
        <v/>
      </c>
      <c r="BZ12" s="402">
        <f>-IF(BZ$3=MS_Initial_Closing_Start,OpReserve,0)</f>
        <v/>
      </c>
      <c r="CA12" s="402">
        <f>-IF(CA$3=MS_Initial_Closing_Start,OpReserve,0)</f>
        <v/>
      </c>
      <c r="CB12" s="402">
        <f>-IF(CB$3=MS_Initial_Closing_Start,OpReserve,0)</f>
        <v/>
      </c>
      <c r="CC12" s="402">
        <f>-IF(CC$3=MS_Initial_Closing_Start,OpReserve,0)</f>
        <v/>
      </c>
      <c r="CD12" s="402">
        <f>-IF(CD$3=MS_Initial_Closing_Start,OpReserve,0)</f>
        <v/>
      </c>
      <c r="CE12" s="402">
        <f>-IF(CE$3=MS_Initial_Closing_Start,OpReserve,0)</f>
        <v/>
      </c>
      <c r="CF12" s="402">
        <f>-IF(CF$3=MS_Initial_Closing_Start,OpReserve,0)</f>
        <v/>
      </c>
      <c r="CG12" s="402">
        <f>-IF(CG$3=MS_Initial_Closing_Start,OpReserve,0)</f>
        <v/>
      </c>
      <c r="CH12" s="402">
        <f>-IF(CH$3=MS_Initial_Closing_Start,OpReserve,0)</f>
        <v/>
      </c>
      <c r="CI12" s="402">
        <f>-IF(CI$3=MS_Initial_Closing_Start,OpReserve,0)</f>
        <v/>
      </c>
      <c r="CJ12" s="402">
        <f>-IF(CJ$3=MS_Initial_Closing_Start,OpReserve,0)</f>
        <v/>
      </c>
      <c r="CK12" s="402">
        <f>-IF(CK$3=MS_Initial_Closing_Start,OpReserve,0)</f>
        <v/>
      </c>
      <c r="CL12" s="402">
        <f>-IF(CL$3=MS_Initial_Closing_Start,OpReserve,0)</f>
        <v/>
      </c>
      <c r="CM12" s="402">
        <f>-IF(CM$3=MS_Initial_Closing_Start,OpReserve,0)</f>
        <v/>
      </c>
      <c r="CN12" s="402">
        <f>-IF(CN$3=MS_Initial_Closing_Start,OpReserve,0)</f>
        <v/>
      </c>
      <c r="CO12" s="402">
        <f>-IF(CO$3=MS_Initial_Closing_Start,OpReserve,0)</f>
        <v/>
      </c>
      <c r="CP12" s="402">
        <f>-IF(CP$3=MS_Initial_Closing_Start,OpReserve,0)</f>
        <v/>
      </c>
      <c r="CQ12" s="402">
        <f>-IF(CQ$3=MS_Initial_Closing_Start,OpReserve,0)</f>
        <v/>
      </c>
      <c r="CR12" s="402">
        <f>-IF(CR$3=MS_Initial_Closing_Start,OpReserve,0)</f>
        <v/>
      </c>
      <c r="CS12" s="402">
        <f>-IF(CS$3=MS_Initial_Closing_Start,OpReserve,0)</f>
        <v/>
      </c>
      <c r="CT12" s="402">
        <f>-IF(CT$3=MS_Initial_Closing_Start,OpReserve,0)</f>
        <v/>
      </c>
      <c r="CU12" s="402">
        <f>-IF(CU$3=MS_Initial_Closing_Start,OpReserve,0)</f>
        <v/>
      </c>
      <c r="CV12" s="402">
        <f>-IF(CV$3=MS_Initial_Closing_Start,OpReserve,0)</f>
        <v/>
      </c>
      <c r="CW12" s="402">
        <f>-IF(CW$3=MS_Initial_Closing_Start,OpReserve,0)</f>
        <v/>
      </c>
      <c r="CX12" s="402">
        <f>-IF(CX$3=MS_Initial_Closing_Start,OpReserve,0)</f>
        <v/>
      </c>
      <c r="CY12" s="402">
        <f>-IF(CY$3=MS_Initial_Closing_Start,OpReserve,0)</f>
        <v/>
      </c>
      <c r="CZ12" s="402">
        <f>-IF(CZ$3=MS_Initial_Closing_Start,OpReserve,0)</f>
        <v/>
      </c>
      <c r="DA12" s="402">
        <f>-IF(DA$3=MS_Initial_Closing_Start,OpReserve,0)</f>
        <v/>
      </c>
      <c r="DB12" s="402">
        <f>-IF(DB$3=MS_Initial_Closing_Start,OpReserve,0)</f>
        <v/>
      </c>
      <c r="DC12" s="402">
        <f>-IF(DC$3=MS_Initial_Closing_Start,OpReserve,0)</f>
        <v/>
      </c>
      <c r="DD12" s="402">
        <f>-IF(DD$3=MS_Initial_Closing_Start,OpReserve,0)</f>
        <v/>
      </c>
      <c r="DE12" s="402">
        <f>-IF(DE$3=MS_Initial_Closing_Start,OpReserve,0)</f>
        <v/>
      </c>
      <c r="DF12" s="402">
        <f>-IF(DF$3=MS_Initial_Closing_Start,OpReserve,0)</f>
        <v/>
      </c>
      <c r="DG12" s="402">
        <f>-IF(DG$3=MS_Initial_Closing_Start,OpReserve,0)</f>
        <v/>
      </c>
      <c r="DH12" s="402">
        <f>-IF(DH$3=MS_Initial_Closing_Start,OpReserve,0)</f>
        <v/>
      </c>
      <c r="DI12" s="402">
        <f>-IF(DI$3=MS_Initial_Closing_Start,OpReserve,0)</f>
        <v/>
      </c>
      <c r="DJ12" s="402">
        <f>-IF(DJ$3=MS_Initial_Closing_Start,OpReserve,0)</f>
        <v/>
      </c>
      <c r="DK12" s="402">
        <f>-IF(DK$3=MS_Initial_Closing_Start,OpReserve,0)</f>
        <v/>
      </c>
      <c r="DL12" s="402">
        <f>-IF(DL$3=MS_Initial_Closing_Start,OpReserve,0)</f>
        <v/>
      </c>
      <c r="DM12" s="402">
        <f>-IF(DM$3=MS_Initial_Closing_Start,OpReserve,0)</f>
        <v/>
      </c>
      <c r="DN12" s="402">
        <f>-IF(DN$3=MS_Initial_Closing_Start,OpReserve,0)</f>
        <v/>
      </c>
      <c r="DO12" s="402">
        <f>-IF(DO$3=MS_Initial_Closing_Start,OpReserve,0)</f>
        <v/>
      </c>
      <c r="DP12" s="402">
        <f>-IF(DP$3=MS_Initial_Closing_Start,OpReserve,0)</f>
        <v/>
      </c>
      <c r="DQ12" s="402">
        <f>-IF(DQ$3=MS_Initial_Closing_Start,OpReserve,0)</f>
        <v/>
      </c>
      <c r="DR12" s="402">
        <f>-IF(DR$3=MS_Initial_Closing_Start,OpReserve,0)</f>
        <v/>
      </c>
      <c r="DS12" s="402">
        <f>-IF(DS$3=MS_Initial_Closing_Start,OpReserve,0)</f>
        <v/>
      </c>
      <c r="DT12" s="402">
        <f>-IF(DT$3=MS_Initial_Closing_Start,OpReserve,0)</f>
        <v/>
      </c>
      <c r="DU12" s="402">
        <f>-IF(DU$3=MS_Initial_Closing_Start,OpReserve,0)</f>
        <v/>
      </c>
      <c r="DV12" s="402">
        <f>-IF(DV$3=MS_Initial_Closing_Start,OpReserve,0)</f>
        <v/>
      </c>
      <c r="DW12" s="402">
        <f>-IF(DW$3=MS_Initial_Closing_Start,OpReserve,0)</f>
        <v/>
      </c>
      <c r="DX12" s="402">
        <f>-IF(DX$3=MS_Initial_Closing_Start,OpReserve,0)</f>
        <v/>
      </c>
      <c r="DY12" s="402">
        <f>-IF(DY$3=MS_Initial_Closing_Start,OpReserve,0)</f>
        <v/>
      </c>
      <c r="DZ12" s="402">
        <f>-IF(DZ$3=MS_Initial_Closing_Start,OpReserve,0)</f>
        <v/>
      </c>
      <c r="EA12" s="402">
        <f>-IF(EA$3=MS_Initial_Closing_Start,OpReserve,0)</f>
        <v/>
      </c>
      <c r="EB12" s="402">
        <f>-IF(EB$3=MS_Initial_Closing_Start,OpReserve,0)</f>
        <v/>
      </c>
      <c r="EC12" s="402">
        <f>-IF(EC$3=MS_Initial_Closing_Start,OpReserve,0)</f>
        <v/>
      </c>
      <c r="ED12" s="402">
        <f>-IF(ED$3=MS_Initial_Closing_Start,OpReserve,0)</f>
        <v/>
      </c>
      <c r="EE12" s="402">
        <f>-IF(EE$3=MS_Initial_Closing_Start,OpReserve,0)</f>
        <v/>
      </c>
      <c r="EF12" s="402">
        <f>-IF(EF$3=MS_Initial_Closing_Start,OpReserve,0)</f>
        <v/>
      </c>
      <c r="EG12" s="402">
        <f>-IF(EG$3=MS_Initial_Closing_Start,OpReserve,0)</f>
        <v/>
      </c>
      <c r="EH12" s="402">
        <f>-IF(EH$3=MS_Initial_Closing_Start,OpReserve,0)</f>
        <v/>
      </c>
      <c r="EI12" s="402">
        <f>-IF(EI$3=MS_Initial_Closing_Start,OpReserve,0)</f>
        <v/>
      </c>
      <c r="EJ12" s="402">
        <f>-IF(EJ$3=MS_Initial_Closing_Start,OpReserve,0)</f>
        <v/>
      </c>
      <c r="EK12" s="402">
        <f>-IF(EK$3=MS_Initial_Closing_Start,OpReserve,0)</f>
        <v/>
      </c>
      <c r="EL12" s="402">
        <f>-IF(EL$3=MS_Initial_Closing_Start,OpReserve,0)</f>
        <v/>
      </c>
      <c r="EM12" s="402">
        <f>-IF(EM$3=MS_Initial_Closing_Start,OpReserve,0)</f>
        <v/>
      </c>
      <c r="EN12" s="402">
        <f>-IF(EN$3=MS_Initial_Closing_Start,OpReserve,0)</f>
        <v/>
      </c>
      <c r="EO12" s="402">
        <f>-IF(EO$3=MS_Initial_Closing_Start,OpReserve,0)</f>
        <v/>
      </c>
      <c r="EP12" s="402">
        <f>-IF(EP$3=MS_Initial_Closing_Start,OpReserve,0)</f>
        <v/>
      </c>
      <c r="EQ12" s="402">
        <f>-IF(EQ$3=MS_Initial_Closing_Start,OpReserve,0)</f>
        <v/>
      </c>
      <c r="ER12" s="402">
        <f>-IF(ER$3=MS_Initial_Closing_Start,OpReserve,0)</f>
        <v/>
      </c>
      <c r="ES12" s="402">
        <f>-IF(ES$3=MS_Initial_Closing_Start,OpReserve,0)</f>
        <v/>
      </c>
      <c r="ET12" s="402">
        <f>-IF(ET$3=MS_Initial_Closing_Start,OpReserve,0)</f>
        <v/>
      </c>
      <c r="EU12" s="402">
        <f>-IF(EU$3=MS_Initial_Closing_Start,OpReserve,0)</f>
        <v/>
      </c>
      <c r="EV12" s="402">
        <f>-IF(EV$3=MS_Initial_Closing_Start,OpReserve,0)</f>
        <v/>
      </c>
      <c r="EW12" s="402">
        <f>-IF(EW$3=MS_Initial_Closing_Start,OpReserve,0)</f>
        <v/>
      </c>
      <c r="EX12" s="402">
        <f>-IF(EX$3=MS_Initial_Closing_Start,OpReserve,0)</f>
        <v/>
      </c>
      <c r="EY12" s="402">
        <f>-IF(EY$3=MS_Initial_Closing_Start,OpReserve,0)</f>
        <v/>
      </c>
      <c r="EZ12" s="402">
        <f>-IF(EZ$3=MS_Initial_Closing_Start,OpReserve,0)</f>
        <v/>
      </c>
      <c r="FA12" s="402">
        <f>-IF(FA$3=MS_Initial_Closing_Start,OpReserve,0)</f>
        <v/>
      </c>
      <c r="FB12" s="402">
        <f>-IF(FB$3=MS_Initial_Closing_Start,OpReserve,0)</f>
        <v/>
      </c>
      <c r="FC12" s="402">
        <f>-IF(FC$3=MS_Initial_Closing_Start,OpReserve,0)</f>
        <v/>
      </c>
      <c r="FD12" s="402">
        <f>-IF(FD$3=MS_Initial_Closing_Start,OpReserve,0)</f>
        <v/>
      </c>
      <c r="FE12" s="402">
        <f>-IF(FE$3=MS_Initial_Closing_Start,OpReserve,0)</f>
        <v/>
      </c>
      <c r="FF12" s="402">
        <f>-IF(FF$3=MS_Initial_Closing_Start,OpReserve,0)</f>
        <v/>
      </c>
      <c r="FG12" s="402">
        <f>-IF(FG$3=MS_Initial_Closing_Start,OpReserve,0)</f>
        <v/>
      </c>
      <c r="FH12" s="402">
        <f>-IF(FH$3=MS_Initial_Closing_Start,OpReserve,0)</f>
        <v/>
      </c>
      <c r="FI12" s="402">
        <f>-IF(FI$3=MS_Initial_Closing_Start,OpReserve,0)</f>
        <v/>
      </c>
      <c r="FJ12" s="402">
        <f>-IF(FJ$3=MS_Initial_Closing_Start,OpReserve,0)</f>
        <v/>
      </c>
      <c r="FK12" s="402">
        <f>-IF(FK$3=MS_Initial_Closing_Start,OpReserve,0)</f>
        <v/>
      </c>
      <c r="FL12" s="402">
        <f>-IF(FL$3=MS_Initial_Closing_Start,OpReserve,0)</f>
        <v/>
      </c>
      <c r="FM12" s="402">
        <f>-IF(FM$3=MS_Initial_Closing_Start,OpReserve,0)</f>
        <v/>
      </c>
      <c r="FN12" s="402">
        <f>-IF(FN$3=MS_Initial_Closing_Start,OpReserve,0)</f>
        <v/>
      </c>
      <c r="FO12" s="402">
        <f>-IF(FO$3=MS_Initial_Closing_Start,OpReserve,0)</f>
        <v/>
      </c>
      <c r="FP12" s="402">
        <f>-IF(FP$3=MS_Initial_Closing_Start,OpReserve,0)</f>
        <v/>
      </c>
      <c r="FQ12" s="402">
        <f>-IF(FQ$3=MS_Initial_Closing_Start,OpReserve,0)</f>
        <v/>
      </c>
      <c r="FR12" s="402">
        <f>-IF(FR$3=MS_Initial_Closing_Start,OpReserve,0)</f>
        <v/>
      </c>
      <c r="FS12" s="402">
        <f>-IF(FS$3=MS_Initial_Closing_Start,OpReserve,0)</f>
        <v/>
      </c>
      <c r="FT12" s="402">
        <f>-IF(FT$3=MS_Initial_Closing_Start,OpReserve,0)</f>
        <v/>
      </c>
      <c r="FU12" s="402">
        <f>-IF(FU$3=MS_Initial_Closing_Start,OpReserve,0)</f>
        <v/>
      </c>
      <c r="FV12" s="402">
        <f>-IF(FV$3=MS_Initial_Closing_Start,OpReserve,0)</f>
        <v/>
      </c>
      <c r="FW12" s="402">
        <f>-IF(FW$3=MS_Initial_Closing_Start,OpReserve,0)</f>
        <v/>
      </c>
      <c r="FX12" s="402">
        <f>-IF(FX$3=MS_Initial_Closing_Start,OpReserve,0)</f>
        <v/>
      </c>
      <c r="FY12" s="402">
        <f>-IF(FY$3=MS_Initial_Closing_Start,OpReserve,0)</f>
        <v/>
      </c>
      <c r="FZ12" s="402">
        <f>-IF(FZ$3=MS_Initial_Closing_Start,OpReserve,0)</f>
        <v/>
      </c>
      <c r="GA12" s="402">
        <f>-IF(GA$3=MS_Initial_Closing_Start,OpReserve,0)</f>
        <v/>
      </c>
      <c r="GB12" s="402">
        <f>-IF(GB$3=MS_Initial_Closing_Start,OpReserve,0)</f>
        <v/>
      </c>
      <c r="GC12" s="402">
        <f>-IF(GC$3=MS_Initial_Closing_Start,OpReserve,0)</f>
        <v/>
      </c>
      <c r="GD12" s="402">
        <f>-IF(GD$3=MS_Initial_Closing_Start,OpReserve,0)</f>
        <v/>
      </c>
      <c r="GE12" s="402">
        <f>-IF(GE$3=MS_Initial_Closing_Start,OpReserve,0)</f>
        <v/>
      </c>
      <c r="GF12" s="402">
        <f>-IF(GF$3=MS_Initial_Closing_Start,OpReserve,0)</f>
        <v/>
      </c>
      <c r="GG12" s="402">
        <f>-IF(GG$3=MS_Initial_Closing_Start,OpReserve,0)</f>
        <v/>
      </c>
      <c r="GH12" s="402">
        <f>-IF(GH$3=MS_Initial_Closing_Start,OpReserve,0)</f>
        <v/>
      </c>
      <c r="GI12" s="402">
        <f>-IF(GI$3=MS_Initial_Closing_Start,OpReserve,0)</f>
        <v/>
      </c>
      <c r="GJ12" s="402">
        <f>-IF(GJ$3=MS_Initial_Closing_Start,OpReserve,0)</f>
        <v/>
      </c>
      <c r="GK12" s="402">
        <f>-IF(GK$3=MS_Initial_Closing_Start,OpReserve,0)</f>
        <v/>
      </c>
      <c r="GL12" s="402">
        <f>-IF(GL$3=MS_Initial_Closing_Start,OpReserve,0)</f>
        <v/>
      </c>
      <c r="GM12" s="402">
        <f>-IF(GM$3=MS_Initial_Closing_Start,OpReserve,0)</f>
        <v/>
      </c>
      <c r="GN12" s="402">
        <f>-IF(GN$3=MS_Initial_Closing_Start,OpReserve,0)</f>
        <v/>
      </c>
      <c r="GO12" s="402">
        <f>-IF(GO$3=MS_Initial_Closing_Start,OpReserve,0)</f>
        <v/>
      </c>
      <c r="GP12" s="402">
        <f>-IF(GP$3=MS_Initial_Closing_Start,OpReserve,0)</f>
        <v/>
      </c>
      <c r="GQ12" s="402">
        <f>-IF(GQ$3=MS_Initial_Closing_Start,OpReserve,0)</f>
        <v/>
      </c>
      <c r="GR12" s="402">
        <f>-IF(GR$3=MS_Initial_Closing_Start,OpReserve,0)</f>
        <v/>
      </c>
      <c r="GS12" s="402">
        <f>-IF(GS$3=MS_Initial_Closing_Start,OpReserve,0)</f>
        <v/>
      </c>
      <c r="GT12" s="402">
        <f>-IF(GT$3=MS_Initial_Closing_Start,OpReserve,0)</f>
        <v/>
      </c>
      <c r="GU12" s="402">
        <f>-IF(GU$3=MS_Initial_Closing_Start,OpReserve,0)</f>
        <v/>
      </c>
      <c r="GV12" s="402">
        <f>-IF(GV$3=MS_Initial_Closing_Start,OpReserve,0)</f>
        <v/>
      </c>
      <c r="GW12" s="402">
        <f>-IF(GW$3=MS_Initial_Closing_Start,OpReserve,0)</f>
        <v/>
      </c>
      <c r="GX12" s="402">
        <f>-IF(GX$3=MS_Initial_Closing_Start,OpReserve,0)</f>
        <v/>
      </c>
      <c r="GY12" s="402">
        <f>-IF(GY$3=MS_Initial_Closing_Start,OpReserve,0)</f>
        <v/>
      </c>
      <c r="GZ12" s="402">
        <f>-IF(GZ$3=MS_Initial_Closing_Start,OpReserve,0)</f>
        <v/>
      </c>
      <c r="HA12" s="402">
        <f>-IF(HA$3=MS_Initial_Closing_Start,OpReserve,0)</f>
        <v/>
      </c>
      <c r="HB12" s="402">
        <f>-IF(HB$3=MS_Initial_Closing_Start,OpReserve,0)</f>
        <v/>
      </c>
      <c r="HC12" s="402">
        <f>-IF(HC$3=MS_Initial_Closing_Start,OpReserve,0)</f>
        <v/>
      </c>
      <c r="HD12" s="402">
        <f>-IF(HD$3=MS_Initial_Closing_Start,OpReserve,0)</f>
        <v/>
      </c>
      <c r="HE12" s="402">
        <f>-IF(HE$3=MS_Initial_Closing_Start,OpReserve,0)</f>
        <v/>
      </c>
      <c r="HF12" s="402">
        <f>-IF(HF$3=MS_Initial_Closing_Start,OpReserve,0)</f>
        <v/>
      </c>
      <c r="HG12" s="402">
        <f>-IF(HG$3=MS_Initial_Closing_Start,OpReserve,0)</f>
        <v/>
      </c>
      <c r="HH12" s="402">
        <f>-IF(HH$3=MS_Initial_Closing_Start,OpReserve,0)</f>
        <v/>
      </c>
      <c r="HI12" s="402">
        <f>-IF(HI$3=MS_Initial_Closing_Start,OpReserve,0)</f>
        <v/>
      </c>
      <c r="HJ12" s="402">
        <f>-IF(HJ$3=MS_Initial_Closing_Start,OpReserve,0)</f>
        <v/>
      </c>
      <c r="HK12" s="402">
        <f>-IF(HK$3=MS_Initial_Closing_Start,OpReserve,0)</f>
        <v/>
      </c>
      <c r="HL12" s="402">
        <f>-IF(HL$3=MS_Initial_Closing_Start,OpReserve,0)</f>
        <v/>
      </c>
      <c r="HM12" s="402">
        <f>-IF(HM$3=MS_Initial_Closing_Start,OpReserve,0)</f>
        <v/>
      </c>
      <c r="HN12" s="402">
        <f>-IF(HN$3=MS_Initial_Closing_Start,OpReserve,0)</f>
        <v/>
      </c>
      <c r="HO12" s="402">
        <f>-IF(HO$3=MS_Initial_Closing_Start,OpReserve,0)</f>
        <v/>
      </c>
      <c r="HP12" s="402">
        <f>-IF(HP$3=MS_Initial_Closing_Start,OpReserve,0)</f>
        <v/>
      </c>
      <c r="HQ12" s="402">
        <f>-IF(HQ$3=MS_Initial_Closing_Start,OpReserve,0)</f>
        <v/>
      </c>
      <c r="HR12" s="402">
        <f>-IF(HR$3=MS_Initial_Closing_Start,OpReserve,0)</f>
        <v/>
      </c>
      <c r="HS12" s="402">
        <f>-IF(HS$3=MS_Initial_Closing_Start,OpReserve,0)</f>
        <v/>
      </c>
      <c r="HT12" s="402">
        <f>-IF(HT$3=MS_Initial_Closing_Start,OpReserve,0)</f>
        <v/>
      </c>
      <c r="HU12" s="402">
        <f>-IF(HU$3=MS_Initial_Closing_Start,OpReserve,0)</f>
        <v/>
      </c>
      <c r="HV12" s="402">
        <f>-IF(HV$3=MS_Initial_Closing_Start,OpReserve,0)</f>
        <v/>
      </c>
      <c r="HW12" s="402">
        <f>-IF(HW$3=MS_Initial_Closing_Start,OpReserve,0)</f>
        <v/>
      </c>
      <c r="HX12" s="402">
        <f>-IF(HX$3=MS_Initial_Closing_Start,OpReserve,0)</f>
        <v/>
      </c>
      <c r="HY12" s="402">
        <f>-IF(HY$3=MS_Initial_Closing_Start,OpReserve,0)</f>
        <v/>
      </c>
      <c r="HZ12" s="402">
        <f>-IF(HZ$3=MS_Initial_Closing_Start,OpReserve,0)</f>
        <v/>
      </c>
      <c r="IA12" s="402">
        <f>-IF(IA$3=MS_Initial_Closing_Start,OpReserve,0)</f>
        <v/>
      </c>
      <c r="IB12" s="402">
        <f>-IF(IB$3=MS_Initial_Closing_Start,OpReserve,0)</f>
        <v/>
      </c>
      <c r="IC12" s="402">
        <f>-IF(IC$3=MS_Initial_Closing_Start,OpReserve,0)</f>
        <v/>
      </c>
      <c r="ID12" s="402">
        <f>-IF(ID$3=MS_Initial_Closing_Start,OpReserve,0)</f>
        <v/>
      </c>
      <c r="IE12" s="402">
        <f>-IF(IE$3=MS_Initial_Closing_Start,OpReserve,0)</f>
        <v/>
      </c>
      <c r="IF12" s="402">
        <f>-IF(IF$3=MS_Initial_Closing_Start,OpReserve,0)</f>
        <v/>
      </c>
      <c r="IG12" s="402">
        <f>-IF(IG$3=MS_Initial_Closing_Start,OpReserve,0)</f>
        <v/>
      </c>
      <c r="IH12" s="402">
        <f>-IF(IH$3=MS_Initial_Closing_Start,OpReserve,0)</f>
        <v/>
      </c>
      <c r="II12" s="402">
        <f>-IF(II$3=MS_Initial_Closing_Start,OpReserve,0)</f>
        <v/>
      </c>
      <c r="IJ12" s="402">
        <f>-IF(IJ$3=MS_Initial_Closing_Start,OpReserve,0)</f>
        <v/>
      </c>
      <c r="IK12" s="402">
        <f>-IF(IK$3=MS_Initial_Closing_Start,OpReserve,0)</f>
        <v/>
      </c>
      <c r="IL12" s="402">
        <f>-IF(IL$3=MS_Initial_Closing_Start,OpReserve,0)</f>
        <v/>
      </c>
      <c r="IM12" s="402">
        <f>-IF(IM$3=MS_Initial_Closing_Start,OpReserve,0)</f>
        <v/>
      </c>
      <c r="IN12" s="402">
        <f>-IF(IN$3=MS_Initial_Closing_Start,OpReserve,0)</f>
        <v/>
      </c>
      <c r="IO12" s="402">
        <f>-IF(IO$3=MS_Initial_Closing_Start,OpReserve,0)</f>
        <v/>
      </c>
      <c r="IP12" s="402">
        <f>-IF(IP$3=MS_Initial_Closing_Start,OpReserve,0)</f>
        <v/>
      </c>
      <c r="IQ12" s="402">
        <f>-IF(IQ$3=MS_Initial_Closing_Start,OpReserve,0)</f>
        <v/>
      </c>
      <c r="IR12" s="402">
        <f>-IF(IR$3=MS_Initial_Closing_Start,OpReserve,0)</f>
        <v/>
      </c>
      <c r="IS12" s="402">
        <f>-IF(IS$3=MS_Initial_Closing_Start,OpReserve,0)</f>
        <v/>
      </c>
      <c r="IT12" s="402">
        <f>-IF(IT$3=MS_Initial_Closing_Start,OpReserve,0)</f>
        <v/>
      </c>
      <c r="IU12" s="402">
        <f>-IF(IU$3=MS_Initial_Closing_Start,OpReserve,0)</f>
        <v/>
      </c>
      <c r="IV12" s="402">
        <f>-IF(IV$3=MS_Initial_Closing_Start,OpReserve,0)</f>
        <v/>
      </c>
      <c r="IW12" s="402">
        <f>-IF(IW$3=MS_Initial_Closing_Start,OpReserve,0)</f>
        <v/>
      </c>
      <c r="IX12" s="402">
        <f>-IF(IX$3=MS_Initial_Closing_Start,OpReserve,0)</f>
        <v/>
      </c>
      <c r="IY12" s="402">
        <f>-IF(IY$3=MS_Initial_Closing_Start,OpReserve,0)</f>
        <v/>
      </c>
      <c r="IZ12" s="402">
        <f>-IF(IZ$3=MS_Initial_Closing_Start,OpReserve,0)</f>
        <v/>
      </c>
      <c r="JA12" s="402">
        <f>-IF(JA$3=MS_Initial_Closing_Start,OpReserve,0)</f>
        <v/>
      </c>
      <c r="JB12" s="402">
        <f>-IF(JB$3=MS_Initial_Closing_Start,OpReserve,0)</f>
        <v/>
      </c>
      <c r="JC12" s="402">
        <f>-IF(JC$3=MS_Initial_Closing_Start,OpReserve,0)</f>
        <v/>
      </c>
      <c r="JD12" s="402">
        <f>-IF(JD$3=MS_Initial_Closing_Start,OpReserve,0)</f>
        <v/>
      </c>
      <c r="JE12" s="402">
        <f>-IF(JE$3=MS_Initial_Closing_Start,OpReserve,0)</f>
        <v/>
      </c>
      <c r="JF12" s="402">
        <f>-IF(JF$3=MS_Initial_Closing_Start,OpReserve,0)</f>
        <v/>
      </c>
      <c r="JG12" s="402">
        <f>-IF(JG$3=MS_Initial_Closing_Start,OpReserve,0)</f>
        <v/>
      </c>
      <c r="JH12" s="402">
        <f>-IF(JH$3=MS_Initial_Closing_Start,OpReserve,0)</f>
        <v/>
      </c>
      <c r="JI12" s="402">
        <f>-IF(JI$3=MS_Initial_Closing_Start,OpReserve,0)</f>
        <v/>
      </c>
      <c r="JJ12" s="402">
        <f>-IF(JJ$3=MS_Initial_Closing_Start,OpReserve,0)</f>
        <v/>
      </c>
      <c r="JK12" s="402">
        <f>-IF(JK$3=MS_Initial_Closing_Start,OpReserve,0)</f>
        <v/>
      </c>
      <c r="JL12" s="402">
        <f>-IF(JL$3=MS_Initial_Closing_Start,OpReserve,0)</f>
        <v/>
      </c>
      <c r="JM12" s="402">
        <f>-IF(JM$3=MS_Initial_Closing_Start,OpReserve,0)</f>
        <v/>
      </c>
      <c r="JN12" s="402">
        <f>-IF(JN$3=MS_Initial_Closing_Start,OpReserve,0)</f>
        <v/>
      </c>
      <c r="JO12" s="402">
        <f>-IF(JO$3=MS_Initial_Closing_Start,OpReserve,0)</f>
        <v/>
      </c>
      <c r="JP12" s="402">
        <f>-IF(JP$3=MS_Initial_Closing_Start,OpReserve,0)</f>
        <v/>
      </c>
      <c r="JQ12" s="402">
        <f>-IF(JQ$3=MS_Initial_Closing_Start,OpReserve,0)</f>
        <v/>
      </c>
      <c r="JR12" s="402">
        <f>-IF(JR$3=MS_Initial_Closing_Start,OpReserve,0)</f>
        <v/>
      </c>
      <c r="JS12" s="402">
        <f>-IF(JS$3=MS_Initial_Closing_Start,OpReserve,0)</f>
        <v/>
      </c>
      <c r="JT12" s="402">
        <f>-IF(JT$3=MS_Initial_Closing_Start,OpReserve,0)</f>
        <v/>
      </c>
      <c r="JU12" s="402">
        <f>-IF(JU$3=MS_Initial_Closing_Start,OpReserve,0)</f>
        <v/>
      </c>
      <c r="JV12" s="402">
        <f>-IF(JV$3=MS_Initial_Closing_Start,OpReserve,0)</f>
        <v/>
      </c>
      <c r="JW12" s="402">
        <f>-IF(JW$3=MS_Initial_Closing_Start,OpReserve,0)</f>
        <v/>
      </c>
      <c r="JX12" s="402">
        <f>-IF(JX$3=MS_Initial_Closing_Start,OpReserve,0)</f>
        <v/>
      </c>
      <c r="JY12" s="402">
        <f>-IF(JY$3=MS_Initial_Closing_Start,OpReserve,0)</f>
        <v/>
      </c>
      <c r="JZ12" s="402">
        <f>-IF(JZ$3=MS_Initial_Closing_Start,OpReserve,0)</f>
        <v/>
      </c>
      <c r="KA12" s="402">
        <f>-IF(KA$3=MS_Initial_Closing_Start,OpReserve,0)</f>
        <v/>
      </c>
      <c r="KB12" s="402">
        <f>-IF(KB$3=MS_Initial_Closing_Start,OpReserve,0)</f>
        <v/>
      </c>
      <c r="KC12" s="402">
        <f>-IF(KC$3=MS_Initial_Closing_Start,OpReserve,0)</f>
        <v/>
      </c>
      <c r="KD12" s="402">
        <f>-IF(KD$3=MS_Initial_Closing_Start,OpReserve,0)</f>
        <v/>
      </c>
      <c r="KE12" s="402">
        <f>-IF(KE$3=MS_Initial_Closing_Start,OpReserve,0)</f>
        <v/>
      </c>
      <c r="KF12" s="402">
        <f>-IF(KF$3=MS_Initial_Closing_Start,OpReserve,0)</f>
        <v/>
      </c>
      <c r="KG12" s="402">
        <f>-IF(KG$3=MS_Initial_Closing_Start,OpReserve,0)</f>
        <v/>
      </c>
      <c r="KH12" s="402">
        <f>-IF(KH$3=MS_Initial_Closing_Start,OpReserve,0)</f>
        <v/>
      </c>
      <c r="KI12" s="402">
        <f>-IF(KI$3=MS_Initial_Closing_Start,OpReserve,0)</f>
        <v/>
      </c>
      <c r="KJ12" s="402">
        <f>-IF(KJ$3=MS_Initial_Closing_Start,OpReserve,0)</f>
        <v/>
      </c>
      <c r="KK12" s="402">
        <f>-IF(KK$3=MS_Initial_Closing_Start,OpReserve,0)</f>
        <v/>
      </c>
      <c r="KL12" s="402">
        <f>-IF(KL$3=MS_Initial_Closing_Start,OpReserve,0)</f>
        <v/>
      </c>
      <c r="KM12" s="402">
        <f>-IF(KM$3=MS_Initial_Closing_Start,OpReserve,0)</f>
        <v/>
      </c>
      <c r="KN12" s="402">
        <f>-IF(KN$3=MS_Initial_Closing_Start,OpReserve,0)</f>
        <v/>
      </c>
      <c r="KO12" s="402">
        <f>-IF(KO$3=MS_Initial_Closing_Start,OpReserve,0)</f>
        <v/>
      </c>
      <c r="KP12" s="402">
        <f>-IF(KP$3=MS_Initial_Closing_Start,OpReserve,0)</f>
        <v/>
      </c>
      <c r="KQ12" s="402">
        <f>-IF(KQ$3=MS_Initial_Closing_Start,OpReserve,0)</f>
        <v/>
      </c>
      <c r="KR12" s="402">
        <f>-IF(KR$3=MS_Initial_Closing_Start,OpReserve,0)</f>
        <v/>
      </c>
      <c r="KS12" s="402">
        <f>-IF(KS$3=MS_Initial_Closing_Start,OpReserve,0)</f>
        <v/>
      </c>
      <c r="KT12" s="402">
        <f>-IF(KT$3=MS_Initial_Closing_Start,OpReserve,0)</f>
        <v/>
      </c>
      <c r="KU12" s="402">
        <f>-IF(KU$3=MS_Initial_Closing_Start,OpReserve,0)</f>
        <v/>
      </c>
      <c r="KV12" s="402">
        <f>-IF(KV$3=MS_Initial_Closing_Start,OpReserve,0)</f>
        <v/>
      </c>
      <c r="KW12" s="402">
        <f>-IF(KW$3=MS_Initial_Closing_Start,OpReserve,0)</f>
        <v/>
      </c>
      <c r="KX12" s="402">
        <f>-IF(KX$3=MS_Initial_Closing_Start,OpReserve,0)</f>
        <v/>
      </c>
      <c r="KY12" s="402">
        <f>-IF(KY$3=MS_Initial_Closing_Start,OpReserve,0)</f>
        <v/>
      </c>
      <c r="KZ12" s="402">
        <f>-IF(KZ$3=MS_Initial_Closing_Start,OpReserve,0)</f>
        <v/>
      </c>
      <c r="LA12" s="402">
        <f>-IF(LA$3=MS_Initial_Closing_Start,OpReserve,0)</f>
        <v/>
      </c>
      <c r="LB12" s="402">
        <f>-IF(LB$3=MS_Initial_Closing_Start,OpReserve,0)</f>
        <v/>
      </c>
      <c r="LC12" s="402">
        <f>-IF(LC$3=MS_Initial_Closing_Start,OpReserve,0)</f>
        <v/>
      </c>
      <c r="LD12" s="402">
        <f>-IF(LD$3=MS_Initial_Closing_Start,OpReserve,0)</f>
        <v/>
      </c>
      <c r="LE12" s="402">
        <f>-IF(LE$3=MS_Initial_Closing_Start,OpReserve,0)</f>
        <v/>
      </c>
      <c r="LF12" s="402">
        <f>-IF(LF$3=MS_Initial_Closing_Start,OpReserve,0)</f>
        <v/>
      </c>
      <c r="LG12" s="402">
        <f>-IF(LG$3=MS_Initial_Closing_Start,OpReserve,0)</f>
        <v/>
      </c>
      <c r="LH12" s="402">
        <f>-IF(LH$3=MS_Initial_Closing_Start,OpReserve,0)</f>
        <v/>
      </c>
      <c r="LI12" s="402">
        <f>-IF(LI$3=MS_Initial_Closing_Start,OpReserve,0)</f>
        <v/>
      </c>
      <c r="LJ12" s="402">
        <f>-IF(LJ$3=MS_Initial_Closing_Start,OpReserve,0)</f>
        <v/>
      </c>
      <c r="LK12" s="402">
        <f>-IF(LK$3=MS_Initial_Closing_Start,OpReserve,0)</f>
        <v/>
      </c>
      <c r="LL12" s="402">
        <f>-IF(LL$3=MS_Initial_Closing_Start,OpReserve,0)</f>
        <v/>
      </c>
      <c r="LM12" s="402">
        <f>-IF(LM$3=MS_Initial_Closing_Start,OpReserve,0)</f>
        <v/>
      </c>
      <c r="LN12" s="402">
        <f>-IF(LN$3=MS_Initial_Closing_Start,OpReserve,0)</f>
        <v/>
      </c>
      <c r="LO12" s="402">
        <f>-IF(LO$3=MS_Initial_Closing_Start,OpReserve,0)</f>
        <v/>
      </c>
      <c r="LP12" s="402">
        <f>-IF(LP$3=MS_Initial_Closing_Start,OpReserve,0)</f>
        <v/>
      </c>
      <c r="LQ12" s="402">
        <f>-IF(LQ$3=MS_Initial_Closing_Start,OpReserve,0)</f>
        <v/>
      </c>
      <c r="LR12" s="402">
        <f>-IF(LR$3=MS_Initial_Closing_Start,OpReserve,0)</f>
        <v/>
      </c>
      <c r="LS12" s="402">
        <f>-IF(LS$3=MS_Initial_Closing_Start,OpReserve,0)</f>
        <v/>
      </c>
      <c r="LT12" s="402">
        <f>-IF(LT$3=MS_Initial_Closing_Start,OpReserve,0)</f>
        <v/>
      </c>
      <c r="LU12" s="402">
        <f>-IF(LU$3=MS_Initial_Closing_Start,OpReserve,0)</f>
        <v/>
      </c>
      <c r="LV12" s="402">
        <f>-IF(LV$3=MS_Initial_Closing_Start,OpReserve,0)</f>
        <v/>
      </c>
      <c r="LW12" s="402">
        <f>-IF(LW$3=MS_Initial_Closing_Start,OpReserve,0)</f>
        <v/>
      </c>
      <c r="LX12" s="402">
        <f>-IF(LX$3=MS_Initial_Closing_Start,OpReserve,0)</f>
        <v/>
      </c>
      <c r="LY12" s="402">
        <f>-IF(LY$3=MS_Initial_Closing_Start,OpReserve,0)</f>
        <v/>
      </c>
      <c r="LZ12" s="402">
        <f>-IF(LZ$3=MS_Initial_Closing_Start,OpReserve,0)</f>
        <v/>
      </c>
      <c r="MA12" s="402">
        <f>-IF(MA$3=MS_Initial_Closing_Start,OpReserve,0)</f>
        <v/>
      </c>
      <c r="MB12" s="402">
        <f>-IF(MB$3=MS_Initial_Closing_Start,OpReserve,0)</f>
        <v/>
      </c>
      <c r="MC12" s="402">
        <f>-IF(MC$3=MS_Initial_Closing_Start,OpReserve,0)</f>
        <v/>
      </c>
      <c r="MD12" s="402">
        <f>-IF(MD$3=MS_Initial_Closing_Start,OpReserve,0)</f>
        <v/>
      </c>
      <c r="ME12" s="402">
        <f>-IF(ME$3=MS_Initial_Closing_Start,OpReserve,0)</f>
        <v/>
      </c>
      <c r="MF12" s="402">
        <f>-IF(MF$3=MS_Initial_Closing_Start,OpReserve,0)</f>
        <v/>
      </c>
      <c r="MG12" s="402">
        <f>-IF(MG$3=MS_Initial_Closing_Start,OpReserve,0)</f>
        <v/>
      </c>
      <c r="MH12" s="402">
        <f>-IF(MH$3=MS_Initial_Closing_Start,OpReserve,0)</f>
        <v/>
      </c>
      <c r="MI12" s="402">
        <f>-IF(MI$3=MS_Initial_Closing_Start,OpReserve,0)</f>
        <v/>
      </c>
      <c r="MJ12" s="402">
        <f>-IF(MJ$3=MS_Initial_Closing_Start,OpReserve,0)</f>
        <v/>
      </c>
      <c r="MK12" s="402">
        <f>-IF(MK$3=MS_Initial_Closing_Start,OpReserve,0)</f>
        <v/>
      </c>
      <c r="ML12" s="402">
        <f>-IF(ML$3=MS_Initial_Closing_Start,OpReserve,0)</f>
        <v/>
      </c>
      <c r="MM12" s="402">
        <f>-IF(MM$3=MS_Initial_Closing_Start,OpReserve,0)</f>
        <v/>
      </c>
      <c r="MN12" s="402">
        <f>-IF(MN$3=MS_Initial_Closing_Start,OpReserve,0)</f>
        <v/>
      </c>
      <c r="MO12" s="402">
        <f>-IF(MO$3=MS_Initial_Closing_Start,OpReserve,0)</f>
        <v/>
      </c>
      <c r="MP12" s="402">
        <f>-IF(MP$3=MS_Initial_Closing_Start,OpReserve,0)</f>
        <v/>
      </c>
      <c r="MQ12" s="402">
        <f>-IF(MQ$3=MS_Initial_Closing_Start,OpReserve,0)</f>
        <v/>
      </c>
      <c r="MR12" s="402">
        <f>-IF(MR$3=MS_Initial_Closing_Start,OpReserve,0)</f>
        <v/>
      </c>
      <c r="MS12" s="402">
        <f>-IF(MS$3=MS_Initial_Closing_Start,OpReserve,0)</f>
        <v/>
      </c>
      <c r="MT12" s="402">
        <f>-IF(MT$3=MS_Initial_Closing_Start,OpReserve,0)</f>
        <v/>
      </c>
      <c r="MU12" s="402">
        <f>-IF(MU$3=MS_Initial_Closing_Start,OpReserve,0)</f>
        <v/>
      </c>
      <c r="MV12" s="402">
        <f>-IF(MV$3=MS_Initial_Closing_Start,OpReserve,0)</f>
        <v/>
      </c>
      <c r="MW12" s="402">
        <f>-IF(MW$3=MS_Initial_Closing_Start,OpReserve,0)</f>
        <v/>
      </c>
      <c r="MX12" s="402">
        <f>-IF(MX$3=MS_Initial_Closing_Start,OpReserve,0)</f>
        <v/>
      </c>
      <c r="MY12" s="402">
        <f>-IF(MY$3=MS_Initial_Closing_Start,OpReserve,0)</f>
        <v/>
      </c>
      <c r="MZ12" s="402">
        <f>-IF(MZ$3=MS_Initial_Closing_Start,OpReserve,0)</f>
        <v/>
      </c>
      <c r="NA12" s="402">
        <f>-IF(NA$3=MS_Initial_Closing_Start,OpReserve,0)</f>
        <v/>
      </c>
      <c r="NB12" s="402">
        <f>-IF(NB$3=MS_Initial_Closing_Start,OpReserve,0)</f>
        <v/>
      </c>
      <c r="NC12" s="402">
        <f>-IF(NC$3=MS_Initial_Closing_Start,OpReserve,0)</f>
        <v/>
      </c>
      <c r="ND12" s="402">
        <f>-IF(ND$3=MS_Initial_Closing_Start,OpReserve,0)</f>
        <v/>
      </c>
      <c r="NE12" s="402">
        <f>-IF(NE$3=MS_Initial_Closing_Start,OpReserve,0)</f>
        <v/>
      </c>
      <c r="NF12" s="402">
        <f>-IF(NF$3=MS_Initial_Closing_Start,OpReserve,0)</f>
        <v/>
      </c>
      <c r="NG12" s="402">
        <f>-IF(NG$3=MS_Initial_Closing_Start,OpReserve,0)</f>
        <v/>
      </c>
      <c r="NH12" s="402">
        <f>-IF(NH$3=MS_Initial_Closing_Start,OpReserve,0)</f>
        <v/>
      </c>
      <c r="NI12" s="402">
        <f>-IF(NI$3=MS_Initial_Closing_Start,OpReserve,0)</f>
        <v/>
      </c>
      <c r="NJ12" s="402">
        <f>-IF(NJ$3=MS_Initial_Closing_Start,OpReserve,0)</f>
        <v/>
      </c>
      <c r="NK12" s="402">
        <f>-IF(NK$3=MS_Initial_Closing_Start,OpReserve,0)</f>
        <v/>
      </c>
      <c r="NL12" s="402">
        <f>-IF(NL$3=MS_Initial_Closing_Start,OpReserve,0)</f>
        <v/>
      </c>
    </row>
    <row r="13">
      <c r="B13" s="316" t="inlineStr">
        <is>
          <t>Capitalized Construction Interest</t>
        </is>
      </c>
      <c r="D13" s="402">
        <f>SUM(E13:NL13)</f>
        <v/>
      </c>
      <c r="E13" s="402">
        <f>-ConLoan!E$31</f>
        <v/>
      </c>
      <c r="F13" s="402">
        <f>-ConLoan!F$31</f>
        <v/>
      </c>
      <c r="G13" s="402">
        <f>-ConLoan!G$31</f>
        <v/>
      </c>
      <c r="H13" s="402">
        <f>-ConLoan!H$31</f>
        <v/>
      </c>
      <c r="I13" s="402">
        <f>-ConLoan!I$31</f>
        <v/>
      </c>
      <c r="J13" s="402">
        <f>-ConLoan!J$31</f>
        <v/>
      </c>
      <c r="K13" s="402">
        <f>-ConLoan!K$31</f>
        <v/>
      </c>
      <c r="L13" s="402">
        <f>-ConLoan!L$31</f>
        <v/>
      </c>
      <c r="M13" s="402">
        <f>-ConLoan!M$31</f>
        <v/>
      </c>
      <c r="N13" s="402">
        <f>-ConLoan!N$31</f>
        <v/>
      </c>
      <c r="O13" s="402">
        <f>-ConLoan!O$31</f>
        <v/>
      </c>
      <c r="P13" s="402">
        <f>-ConLoan!P$31</f>
        <v/>
      </c>
      <c r="Q13" s="402">
        <f>-ConLoan!Q$31</f>
        <v/>
      </c>
      <c r="R13" s="402">
        <f>-ConLoan!R$31</f>
        <v/>
      </c>
      <c r="S13" s="402">
        <f>-ConLoan!S$31</f>
        <v/>
      </c>
      <c r="T13" s="402">
        <f>-ConLoan!T$31</f>
        <v/>
      </c>
      <c r="U13" s="402">
        <f>-ConLoan!U$31</f>
        <v/>
      </c>
      <c r="V13" s="402">
        <f>-ConLoan!V$31</f>
        <v/>
      </c>
      <c r="W13" s="402">
        <f>-ConLoan!W$31</f>
        <v/>
      </c>
      <c r="X13" s="402">
        <f>-ConLoan!X$31</f>
        <v/>
      </c>
      <c r="Y13" s="402">
        <f>-ConLoan!Y$31</f>
        <v/>
      </c>
      <c r="Z13" s="402">
        <f>-ConLoan!Z$31</f>
        <v/>
      </c>
      <c r="AA13" s="402">
        <f>-ConLoan!AA$31</f>
        <v/>
      </c>
      <c r="AB13" s="402">
        <f>-ConLoan!AB$31</f>
        <v/>
      </c>
      <c r="AC13" s="402">
        <f>-ConLoan!AC$31</f>
        <v/>
      </c>
      <c r="AD13" s="402">
        <f>-ConLoan!AD$31</f>
        <v/>
      </c>
      <c r="AE13" s="402">
        <f>-ConLoan!AE$31</f>
        <v/>
      </c>
      <c r="AF13" s="402">
        <f>-ConLoan!AF$31</f>
        <v/>
      </c>
      <c r="AG13" s="402">
        <f>-ConLoan!AG$31</f>
        <v/>
      </c>
      <c r="AH13" s="402">
        <f>-ConLoan!AH$31</f>
        <v/>
      </c>
      <c r="AI13" s="402">
        <f>-ConLoan!AI$31</f>
        <v/>
      </c>
      <c r="AJ13" s="402">
        <f>-ConLoan!AJ$31</f>
        <v/>
      </c>
      <c r="AK13" s="402">
        <f>-ConLoan!AK$31</f>
        <v/>
      </c>
      <c r="AL13" s="402">
        <f>-ConLoan!AL$31</f>
        <v/>
      </c>
      <c r="AM13" s="402">
        <f>-ConLoan!AM$31</f>
        <v/>
      </c>
      <c r="AN13" s="402">
        <f>-ConLoan!AN$31</f>
        <v/>
      </c>
      <c r="AO13" s="402">
        <f>-ConLoan!AO$31</f>
        <v/>
      </c>
      <c r="AP13" s="402">
        <f>-ConLoan!AP$31</f>
        <v/>
      </c>
      <c r="AQ13" s="402">
        <f>-ConLoan!AQ$31</f>
        <v/>
      </c>
      <c r="AR13" s="402">
        <f>-ConLoan!AR$31</f>
        <v/>
      </c>
      <c r="AS13" s="402">
        <f>-ConLoan!AS$31</f>
        <v/>
      </c>
      <c r="AT13" s="402">
        <f>-ConLoan!AT$31</f>
        <v/>
      </c>
      <c r="AU13" s="402">
        <f>-ConLoan!AU$31</f>
        <v/>
      </c>
      <c r="AV13" s="402">
        <f>-ConLoan!AV$31</f>
        <v/>
      </c>
      <c r="AW13" s="402">
        <f>-ConLoan!AW$31</f>
        <v/>
      </c>
      <c r="AX13" s="402">
        <f>-ConLoan!AX$31</f>
        <v/>
      </c>
      <c r="AY13" s="402">
        <f>-ConLoan!AY$31</f>
        <v/>
      </c>
      <c r="AZ13" s="402">
        <f>-ConLoan!AZ$31</f>
        <v/>
      </c>
      <c r="BA13" s="402">
        <f>-ConLoan!BA$31</f>
        <v/>
      </c>
      <c r="BB13" s="402">
        <f>-ConLoan!BB$31</f>
        <v/>
      </c>
      <c r="BC13" s="402">
        <f>-ConLoan!BC$31</f>
        <v/>
      </c>
      <c r="BD13" s="402">
        <f>-ConLoan!BD$31</f>
        <v/>
      </c>
      <c r="BE13" s="402">
        <f>-ConLoan!BE$31</f>
        <v/>
      </c>
      <c r="BF13" s="402">
        <f>-ConLoan!BF$31</f>
        <v/>
      </c>
      <c r="BG13" s="402">
        <f>-ConLoan!BG$31</f>
        <v/>
      </c>
      <c r="BH13" s="402">
        <f>-ConLoan!BH$31</f>
        <v/>
      </c>
      <c r="BI13" s="402">
        <f>-ConLoan!BI$31</f>
        <v/>
      </c>
      <c r="BJ13" s="402">
        <f>-ConLoan!BJ$31</f>
        <v/>
      </c>
      <c r="BK13" s="402">
        <f>-ConLoan!BK$31</f>
        <v/>
      </c>
      <c r="BL13" s="402">
        <f>-ConLoan!BL$31</f>
        <v/>
      </c>
      <c r="BM13" s="402">
        <f>-ConLoan!BM$31</f>
        <v/>
      </c>
      <c r="BN13" s="402">
        <f>-ConLoan!BN$31</f>
        <v/>
      </c>
      <c r="BO13" s="402">
        <f>-ConLoan!BO$31</f>
        <v/>
      </c>
      <c r="BP13" s="402">
        <f>-ConLoan!BP$31</f>
        <v/>
      </c>
      <c r="BQ13" s="402">
        <f>-ConLoan!BQ$31</f>
        <v/>
      </c>
      <c r="BR13" s="402">
        <f>-ConLoan!BR$31</f>
        <v/>
      </c>
      <c r="BS13" s="402">
        <f>-ConLoan!BS$31</f>
        <v/>
      </c>
      <c r="BT13" s="402">
        <f>-ConLoan!BT$31</f>
        <v/>
      </c>
      <c r="BU13" s="402">
        <f>-ConLoan!BU$31</f>
        <v/>
      </c>
      <c r="BV13" s="402">
        <f>-ConLoan!BV$31</f>
        <v/>
      </c>
      <c r="BW13" s="402">
        <f>-ConLoan!BW$31</f>
        <v/>
      </c>
      <c r="BX13" s="402">
        <f>-ConLoan!BX$31</f>
        <v/>
      </c>
      <c r="BY13" s="402">
        <f>-ConLoan!BY$31</f>
        <v/>
      </c>
      <c r="BZ13" s="402">
        <f>-ConLoan!BZ$31</f>
        <v/>
      </c>
      <c r="CA13" s="402">
        <f>-ConLoan!CA$31</f>
        <v/>
      </c>
      <c r="CB13" s="402">
        <f>-ConLoan!CB$31</f>
        <v/>
      </c>
      <c r="CC13" s="402">
        <f>-ConLoan!CC$31</f>
        <v/>
      </c>
      <c r="CD13" s="402">
        <f>-ConLoan!CD$31</f>
        <v/>
      </c>
      <c r="CE13" s="402">
        <f>-ConLoan!CE$31</f>
        <v/>
      </c>
      <c r="CF13" s="402">
        <f>-ConLoan!CF$31</f>
        <v/>
      </c>
      <c r="CG13" s="402">
        <f>-ConLoan!CG$31</f>
        <v/>
      </c>
      <c r="CH13" s="402">
        <f>-ConLoan!CH$31</f>
        <v/>
      </c>
      <c r="CI13" s="402">
        <f>-ConLoan!CI$31</f>
        <v/>
      </c>
      <c r="CJ13" s="402">
        <f>-ConLoan!CJ$31</f>
        <v/>
      </c>
      <c r="CK13" s="402">
        <f>-ConLoan!CK$31</f>
        <v/>
      </c>
      <c r="CL13" s="402">
        <f>-ConLoan!CL$31</f>
        <v/>
      </c>
      <c r="CM13" s="402">
        <f>-ConLoan!CM$31</f>
        <v/>
      </c>
      <c r="CN13" s="402">
        <f>-ConLoan!CN$31</f>
        <v/>
      </c>
      <c r="CO13" s="402">
        <f>-ConLoan!CO$31</f>
        <v/>
      </c>
      <c r="CP13" s="402">
        <f>-ConLoan!CP$31</f>
        <v/>
      </c>
      <c r="CQ13" s="402">
        <f>-ConLoan!CQ$31</f>
        <v/>
      </c>
      <c r="CR13" s="402">
        <f>-ConLoan!CR$31</f>
        <v/>
      </c>
      <c r="CS13" s="402">
        <f>-ConLoan!CS$31</f>
        <v/>
      </c>
      <c r="CT13" s="402">
        <f>-ConLoan!CT$31</f>
        <v/>
      </c>
      <c r="CU13" s="402">
        <f>-ConLoan!CU$31</f>
        <v/>
      </c>
      <c r="CV13" s="402">
        <f>-ConLoan!CV$31</f>
        <v/>
      </c>
      <c r="CW13" s="402">
        <f>-ConLoan!CW$31</f>
        <v/>
      </c>
      <c r="CX13" s="402">
        <f>-ConLoan!CX$31</f>
        <v/>
      </c>
      <c r="CY13" s="402">
        <f>-ConLoan!CY$31</f>
        <v/>
      </c>
      <c r="CZ13" s="402">
        <f>-ConLoan!CZ$31</f>
        <v/>
      </c>
      <c r="DA13" s="402">
        <f>-ConLoan!DA$31</f>
        <v/>
      </c>
      <c r="DB13" s="402">
        <f>-ConLoan!DB$31</f>
        <v/>
      </c>
      <c r="DC13" s="402">
        <f>-ConLoan!DC$31</f>
        <v/>
      </c>
      <c r="DD13" s="402">
        <f>-ConLoan!DD$31</f>
        <v/>
      </c>
      <c r="DE13" s="402">
        <f>-ConLoan!DE$31</f>
        <v/>
      </c>
      <c r="DF13" s="402">
        <f>-ConLoan!DF$31</f>
        <v/>
      </c>
      <c r="DG13" s="402">
        <f>-ConLoan!DG$31</f>
        <v/>
      </c>
      <c r="DH13" s="402">
        <f>-ConLoan!DH$31</f>
        <v/>
      </c>
      <c r="DI13" s="402">
        <f>-ConLoan!DI$31</f>
        <v/>
      </c>
      <c r="DJ13" s="402">
        <f>-ConLoan!DJ$31</f>
        <v/>
      </c>
      <c r="DK13" s="402">
        <f>-ConLoan!DK$31</f>
        <v/>
      </c>
      <c r="DL13" s="402">
        <f>-ConLoan!DL$31</f>
        <v/>
      </c>
      <c r="DM13" s="402">
        <f>-ConLoan!DM$31</f>
        <v/>
      </c>
      <c r="DN13" s="402">
        <f>-ConLoan!DN$31</f>
        <v/>
      </c>
      <c r="DO13" s="402">
        <f>-ConLoan!DO$31</f>
        <v/>
      </c>
      <c r="DP13" s="402">
        <f>-ConLoan!DP$31</f>
        <v/>
      </c>
      <c r="DQ13" s="402">
        <f>-ConLoan!DQ$31</f>
        <v/>
      </c>
      <c r="DR13" s="402">
        <f>-ConLoan!DR$31</f>
        <v/>
      </c>
      <c r="DS13" s="402">
        <f>-ConLoan!DS$31</f>
        <v/>
      </c>
      <c r="DT13" s="402">
        <f>-ConLoan!DT$31</f>
        <v/>
      </c>
      <c r="DU13" s="402">
        <f>-ConLoan!DU$31</f>
        <v/>
      </c>
      <c r="DV13" s="402">
        <f>-ConLoan!DV$31</f>
        <v/>
      </c>
      <c r="DW13" s="402">
        <f>-ConLoan!DW$31</f>
        <v/>
      </c>
      <c r="DX13" s="402">
        <f>-ConLoan!DX$31</f>
        <v/>
      </c>
      <c r="DY13" s="402">
        <f>-ConLoan!DY$31</f>
        <v/>
      </c>
      <c r="DZ13" s="402">
        <f>-ConLoan!DZ$31</f>
        <v/>
      </c>
      <c r="EA13" s="402">
        <f>-ConLoan!EA$31</f>
        <v/>
      </c>
      <c r="EB13" s="402">
        <f>-ConLoan!EB$31</f>
        <v/>
      </c>
      <c r="EC13" s="402">
        <f>-ConLoan!EC$31</f>
        <v/>
      </c>
      <c r="ED13" s="402">
        <f>-ConLoan!ED$31</f>
        <v/>
      </c>
      <c r="EE13" s="402">
        <f>-ConLoan!EE$31</f>
        <v/>
      </c>
      <c r="EF13" s="402">
        <f>-ConLoan!EF$31</f>
        <v/>
      </c>
      <c r="EG13" s="402">
        <f>-ConLoan!EG$31</f>
        <v/>
      </c>
      <c r="EH13" s="402">
        <f>-ConLoan!EH$31</f>
        <v/>
      </c>
      <c r="EI13" s="402">
        <f>-ConLoan!EI$31</f>
        <v/>
      </c>
      <c r="EJ13" s="402">
        <f>-ConLoan!EJ$31</f>
        <v/>
      </c>
      <c r="EK13" s="402">
        <f>-ConLoan!EK$31</f>
        <v/>
      </c>
      <c r="EL13" s="402">
        <f>-ConLoan!EL$31</f>
        <v/>
      </c>
      <c r="EM13" s="402">
        <f>-ConLoan!EM$31</f>
        <v/>
      </c>
      <c r="EN13" s="402">
        <f>-ConLoan!EN$31</f>
        <v/>
      </c>
      <c r="EO13" s="402">
        <f>-ConLoan!EO$31</f>
        <v/>
      </c>
      <c r="EP13" s="402">
        <f>-ConLoan!EP$31</f>
        <v/>
      </c>
      <c r="EQ13" s="402">
        <f>-ConLoan!EQ$31</f>
        <v/>
      </c>
      <c r="ER13" s="402">
        <f>-ConLoan!ER$31</f>
        <v/>
      </c>
      <c r="ES13" s="402">
        <f>-ConLoan!ES$31</f>
        <v/>
      </c>
      <c r="ET13" s="402">
        <f>-ConLoan!ET$31</f>
        <v/>
      </c>
      <c r="EU13" s="402">
        <f>-ConLoan!EU$31</f>
        <v/>
      </c>
      <c r="EV13" s="402">
        <f>-ConLoan!EV$31</f>
        <v/>
      </c>
      <c r="EW13" s="402">
        <f>-ConLoan!EW$31</f>
        <v/>
      </c>
      <c r="EX13" s="402">
        <f>-ConLoan!EX$31</f>
        <v/>
      </c>
      <c r="EY13" s="402">
        <f>-ConLoan!EY$31</f>
        <v/>
      </c>
      <c r="EZ13" s="402">
        <f>-ConLoan!EZ$31</f>
        <v/>
      </c>
      <c r="FA13" s="402">
        <f>-ConLoan!FA$31</f>
        <v/>
      </c>
      <c r="FB13" s="402">
        <f>-ConLoan!FB$31</f>
        <v/>
      </c>
      <c r="FC13" s="402">
        <f>-ConLoan!FC$31</f>
        <v/>
      </c>
      <c r="FD13" s="402">
        <f>-ConLoan!FD$31</f>
        <v/>
      </c>
      <c r="FE13" s="402">
        <f>-ConLoan!FE$31</f>
        <v/>
      </c>
      <c r="FF13" s="402">
        <f>-ConLoan!FF$31</f>
        <v/>
      </c>
      <c r="FG13" s="402">
        <f>-ConLoan!FG$31</f>
        <v/>
      </c>
      <c r="FH13" s="402">
        <f>-ConLoan!FH$31</f>
        <v/>
      </c>
      <c r="FI13" s="402">
        <f>-ConLoan!FI$31</f>
        <v/>
      </c>
      <c r="FJ13" s="402">
        <f>-ConLoan!FJ$31</f>
        <v/>
      </c>
      <c r="FK13" s="402">
        <f>-ConLoan!FK$31</f>
        <v/>
      </c>
      <c r="FL13" s="402">
        <f>-ConLoan!FL$31</f>
        <v/>
      </c>
      <c r="FM13" s="402">
        <f>-ConLoan!FM$31</f>
        <v/>
      </c>
      <c r="FN13" s="402">
        <f>-ConLoan!FN$31</f>
        <v/>
      </c>
      <c r="FO13" s="402">
        <f>-ConLoan!FO$31</f>
        <v/>
      </c>
      <c r="FP13" s="402">
        <f>-ConLoan!FP$31</f>
        <v/>
      </c>
      <c r="FQ13" s="402">
        <f>-ConLoan!FQ$31</f>
        <v/>
      </c>
      <c r="FR13" s="402">
        <f>-ConLoan!FR$31</f>
        <v/>
      </c>
      <c r="FS13" s="402">
        <f>-ConLoan!FS$31</f>
        <v/>
      </c>
      <c r="FT13" s="402">
        <f>-ConLoan!FT$31</f>
        <v/>
      </c>
      <c r="FU13" s="402">
        <f>-ConLoan!FU$31</f>
        <v/>
      </c>
      <c r="FV13" s="402">
        <f>-ConLoan!FV$31</f>
        <v/>
      </c>
      <c r="FW13" s="402">
        <f>-ConLoan!FW$31</f>
        <v/>
      </c>
      <c r="FX13" s="402">
        <f>-ConLoan!FX$31</f>
        <v/>
      </c>
      <c r="FY13" s="402">
        <f>-ConLoan!FY$31</f>
        <v/>
      </c>
      <c r="FZ13" s="402">
        <f>-ConLoan!FZ$31</f>
        <v/>
      </c>
      <c r="GA13" s="402">
        <f>-ConLoan!GA$31</f>
        <v/>
      </c>
      <c r="GB13" s="402">
        <f>-ConLoan!GB$31</f>
        <v/>
      </c>
      <c r="GC13" s="402">
        <f>-ConLoan!GC$31</f>
        <v/>
      </c>
      <c r="GD13" s="402">
        <f>-ConLoan!GD$31</f>
        <v/>
      </c>
      <c r="GE13" s="402">
        <f>-ConLoan!GE$31</f>
        <v/>
      </c>
      <c r="GF13" s="402">
        <f>-ConLoan!GF$31</f>
        <v/>
      </c>
      <c r="GG13" s="402">
        <f>-ConLoan!GG$31</f>
        <v/>
      </c>
      <c r="GH13" s="402">
        <f>-ConLoan!GH$31</f>
        <v/>
      </c>
      <c r="GI13" s="402">
        <f>-ConLoan!GI$31</f>
        <v/>
      </c>
      <c r="GJ13" s="402">
        <f>-ConLoan!GJ$31</f>
        <v/>
      </c>
      <c r="GK13" s="402">
        <f>-ConLoan!GK$31</f>
        <v/>
      </c>
      <c r="GL13" s="402">
        <f>-ConLoan!GL$31</f>
        <v/>
      </c>
      <c r="GM13" s="402">
        <f>-ConLoan!GM$31</f>
        <v/>
      </c>
      <c r="GN13" s="402">
        <f>-ConLoan!GN$31</f>
        <v/>
      </c>
      <c r="GO13" s="402">
        <f>-ConLoan!GO$31</f>
        <v/>
      </c>
      <c r="GP13" s="402">
        <f>-ConLoan!GP$31</f>
        <v/>
      </c>
      <c r="GQ13" s="402">
        <f>-ConLoan!GQ$31</f>
        <v/>
      </c>
      <c r="GR13" s="402">
        <f>-ConLoan!GR$31</f>
        <v/>
      </c>
      <c r="GS13" s="402">
        <f>-ConLoan!GS$31</f>
        <v/>
      </c>
      <c r="GT13" s="402">
        <f>-ConLoan!GT$31</f>
        <v/>
      </c>
      <c r="GU13" s="402">
        <f>-ConLoan!GU$31</f>
        <v/>
      </c>
      <c r="GV13" s="402">
        <f>-ConLoan!GV$31</f>
        <v/>
      </c>
      <c r="GW13" s="402">
        <f>-ConLoan!GW$31</f>
        <v/>
      </c>
      <c r="GX13" s="402">
        <f>-ConLoan!GX$31</f>
        <v/>
      </c>
      <c r="GY13" s="402">
        <f>-ConLoan!GY$31</f>
        <v/>
      </c>
      <c r="GZ13" s="402">
        <f>-ConLoan!GZ$31</f>
        <v/>
      </c>
      <c r="HA13" s="402">
        <f>-ConLoan!HA$31</f>
        <v/>
      </c>
      <c r="HB13" s="402">
        <f>-ConLoan!HB$31</f>
        <v/>
      </c>
      <c r="HC13" s="402">
        <f>-ConLoan!HC$31</f>
        <v/>
      </c>
      <c r="HD13" s="402">
        <f>-ConLoan!HD$31</f>
        <v/>
      </c>
      <c r="HE13" s="402">
        <f>-ConLoan!HE$31</f>
        <v/>
      </c>
      <c r="HF13" s="402">
        <f>-ConLoan!HF$31</f>
        <v/>
      </c>
      <c r="HG13" s="402">
        <f>-ConLoan!HG$31</f>
        <v/>
      </c>
      <c r="HH13" s="402">
        <f>-ConLoan!HH$31</f>
        <v/>
      </c>
      <c r="HI13" s="402">
        <f>-ConLoan!HI$31</f>
        <v/>
      </c>
      <c r="HJ13" s="402">
        <f>-ConLoan!HJ$31</f>
        <v/>
      </c>
      <c r="HK13" s="402">
        <f>-ConLoan!HK$31</f>
        <v/>
      </c>
      <c r="HL13" s="402">
        <f>-ConLoan!HL$31</f>
        <v/>
      </c>
      <c r="HM13" s="402">
        <f>-ConLoan!HM$31</f>
        <v/>
      </c>
      <c r="HN13" s="402">
        <f>-ConLoan!HN$31</f>
        <v/>
      </c>
      <c r="HO13" s="402">
        <f>-ConLoan!HO$31</f>
        <v/>
      </c>
      <c r="HP13" s="402">
        <f>-ConLoan!HP$31</f>
        <v/>
      </c>
      <c r="HQ13" s="402">
        <f>-ConLoan!HQ$31</f>
        <v/>
      </c>
      <c r="HR13" s="402">
        <f>-ConLoan!HR$31</f>
        <v/>
      </c>
      <c r="HS13" s="402">
        <f>-ConLoan!HS$31</f>
        <v/>
      </c>
      <c r="HT13" s="402">
        <f>-ConLoan!HT$31</f>
        <v/>
      </c>
      <c r="HU13" s="402">
        <f>-ConLoan!HU$31</f>
        <v/>
      </c>
      <c r="HV13" s="402">
        <f>-ConLoan!HV$31</f>
        <v/>
      </c>
      <c r="HW13" s="402">
        <f>-ConLoan!HW$31</f>
        <v/>
      </c>
      <c r="HX13" s="402">
        <f>-ConLoan!HX$31</f>
        <v/>
      </c>
      <c r="HY13" s="402">
        <f>-ConLoan!HY$31</f>
        <v/>
      </c>
      <c r="HZ13" s="402">
        <f>-ConLoan!HZ$31</f>
        <v/>
      </c>
      <c r="IA13" s="402">
        <f>-ConLoan!IA$31</f>
        <v/>
      </c>
      <c r="IB13" s="402">
        <f>-ConLoan!IB$31</f>
        <v/>
      </c>
      <c r="IC13" s="402">
        <f>-ConLoan!IC$31</f>
        <v/>
      </c>
      <c r="ID13" s="402">
        <f>-ConLoan!ID$31</f>
        <v/>
      </c>
      <c r="IE13" s="402">
        <f>-ConLoan!IE$31</f>
        <v/>
      </c>
      <c r="IF13" s="402">
        <f>-ConLoan!IF$31</f>
        <v/>
      </c>
      <c r="IG13" s="402">
        <f>-ConLoan!IG$31</f>
        <v/>
      </c>
      <c r="IH13" s="402">
        <f>-ConLoan!IH$31</f>
        <v/>
      </c>
      <c r="II13" s="402">
        <f>-ConLoan!II$31</f>
        <v/>
      </c>
      <c r="IJ13" s="402">
        <f>-ConLoan!IJ$31</f>
        <v/>
      </c>
      <c r="IK13" s="402">
        <f>-ConLoan!IK$31</f>
        <v/>
      </c>
      <c r="IL13" s="402">
        <f>-ConLoan!IL$31</f>
        <v/>
      </c>
      <c r="IM13" s="402">
        <f>-ConLoan!IM$31</f>
        <v/>
      </c>
      <c r="IN13" s="402">
        <f>-ConLoan!IN$31</f>
        <v/>
      </c>
      <c r="IO13" s="402">
        <f>-ConLoan!IO$31</f>
        <v/>
      </c>
      <c r="IP13" s="402">
        <f>-ConLoan!IP$31</f>
        <v/>
      </c>
      <c r="IQ13" s="402">
        <f>-ConLoan!IQ$31</f>
        <v/>
      </c>
      <c r="IR13" s="402">
        <f>-ConLoan!IR$31</f>
        <v/>
      </c>
      <c r="IS13" s="402">
        <f>-ConLoan!IS$31</f>
        <v/>
      </c>
      <c r="IT13" s="402">
        <f>-ConLoan!IT$31</f>
        <v/>
      </c>
      <c r="IU13" s="402">
        <f>-ConLoan!IU$31</f>
        <v/>
      </c>
      <c r="IV13" s="402">
        <f>-ConLoan!IV$31</f>
        <v/>
      </c>
      <c r="IW13" s="402">
        <f>-ConLoan!IW$31</f>
        <v/>
      </c>
      <c r="IX13" s="402">
        <f>-ConLoan!IX$31</f>
        <v/>
      </c>
      <c r="IY13" s="402">
        <f>-ConLoan!IY$31</f>
        <v/>
      </c>
      <c r="IZ13" s="402">
        <f>-ConLoan!IZ$31</f>
        <v/>
      </c>
      <c r="JA13" s="402">
        <f>-ConLoan!JA$31</f>
        <v/>
      </c>
      <c r="JB13" s="402">
        <f>-ConLoan!JB$31</f>
        <v/>
      </c>
      <c r="JC13" s="402">
        <f>-ConLoan!JC$31</f>
        <v/>
      </c>
      <c r="JD13" s="402">
        <f>-ConLoan!JD$31</f>
        <v/>
      </c>
      <c r="JE13" s="402">
        <f>-ConLoan!JE$31</f>
        <v/>
      </c>
      <c r="JF13" s="402">
        <f>-ConLoan!JF$31</f>
        <v/>
      </c>
      <c r="JG13" s="402">
        <f>-ConLoan!JG$31</f>
        <v/>
      </c>
      <c r="JH13" s="402">
        <f>-ConLoan!JH$31</f>
        <v/>
      </c>
      <c r="JI13" s="402">
        <f>-ConLoan!JI$31</f>
        <v/>
      </c>
      <c r="JJ13" s="402">
        <f>-ConLoan!JJ$31</f>
        <v/>
      </c>
      <c r="JK13" s="402">
        <f>-ConLoan!JK$31</f>
        <v/>
      </c>
      <c r="JL13" s="402">
        <f>-ConLoan!JL$31</f>
        <v/>
      </c>
      <c r="JM13" s="402">
        <f>-ConLoan!JM$31</f>
        <v/>
      </c>
      <c r="JN13" s="402">
        <f>-ConLoan!JN$31</f>
        <v/>
      </c>
      <c r="JO13" s="402">
        <f>-ConLoan!JO$31</f>
        <v/>
      </c>
      <c r="JP13" s="402">
        <f>-ConLoan!JP$31</f>
        <v/>
      </c>
      <c r="JQ13" s="402">
        <f>-ConLoan!JQ$31</f>
        <v/>
      </c>
      <c r="JR13" s="402">
        <f>-ConLoan!JR$31</f>
        <v/>
      </c>
      <c r="JS13" s="402">
        <f>-ConLoan!JS$31</f>
        <v/>
      </c>
      <c r="JT13" s="402">
        <f>-ConLoan!JT$31</f>
        <v/>
      </c>
      <c r="JU13" s="402">
        <f>-ConLoan!JU$31</f>
        <v/>
      </c>
      <c r="JV13" s="402">
        <f>-ConLoan!JV$31</f>
        <v/>
      </c>
      <c r="JW13" s="402">
        <f>-ConLoan!JW$31</f>
        <v/>
      </c>
      <c r="JX13" s="402">
        <f>-ConLoan!JX$31</f>
        <v/>
      </c>
      <c r="JY13" s="402">
        <f>-ConLoan!JY$31</f>
        <v/>
      </c>
      <c r="JZ13" s="402">
        <f>-ConLoan!JZ$31</f>
        <v/>
      </c>
      <c r="KA13" s="402">
        <f>-ConLoan!KA$31</f>
        <v/>
      </c>
      <c r="KB13" s="402">
        <f>-ConLoan!KB$31</f>
        <v/>
      </c>
      <c r="KC13" s="402">
        <f>-ConLoan!KC$31</f>
        <v/>
      </c>
      <c r="KD13" s="402">
        <f>-ConLoan!KD$31</f>
        <v/>
      </c>
      <c r="KE13" s="402">
        <f>-ConLoan!KE$31</f>
        <v/>
      </c>
      <c r="KF13" s="402">
        <f>-ConLoan!KF$31</f>
        <v/>
      </c>
      <c r="KG13" s="402">
        <f>-ConLoan!KG$31</f>
        <v/>
      </c>
      <c r="KH13" s="402">
        <f>-ConLoan!KH$31</f>
        <v/>
      </c>
      <c r="KI13" s="402">
        <f>-ConLoan!KI$31</f>
        <v/>
      </c>
      <c r="KJ13" s="402">
        <f>-ConLoan!KJ$31</f>
        <v/>
      </c>
      <c r="KK13" s="402">
        <f>-ConLoan!KK$31</f>
        <v/>
      </c>
      <c r="KL13" s="402">
        <f>-ConLoan!KL$31</f>
        <v/>
      </c>
      <c r="KM13" s="402">
        <f>-ConLoan!KM$31</f>
        <v/>
      </c>
      <c r="KN13" s="402">
        <f>-ConLoan!KN$31</f>
        <v/>
      </c>
      <c r="KO13" s="402">
        <f>-ConLoan!KO$31</f>
        <v/>
      </c>
      <c r="KP13" s="402">
        <f>-ConLoan!KP$31</f>
        <v/>
      </c>
      <c r="KQ13" s="402">
        <f>-ConLoan!KQ$31</f>
        <v/>
      </c>
      <c r="KR13" s="402">
        <f>-ConLoan!KR$31</f>
        <v/>
      </c>
      <c r="KS13" s="402">
        <f>-ConLoan!KS$31</f>
        <v/>
      </c>
      <c r="KT13" s="402">
        <f>-ConLoan!KT$31</f>
        <v/>
      </c>
      <c r="KU13" s="402">
        <f>-ConLoan!KU$31</f>
        <v/>
      </c>
      <c r="KV13" s="402">
        <f>-ConLoan!KV$31</f>
        <v/>
      </c>
      <c r="KW13" s="402">
        <f>-ConLoan!KW$31</f>
        <v/>
      </c>
      <c r="KX13" s="402">
        <f>-ConLoan!KX$31</f>
        <v/>
      </c>
      <c r="KY13" s="402">
        <f>-ConLoan!KY$31</f>
        <v/>
      </c>
      <c r="KZ13" s="402">
        <f>-ConLoan!KZ$31</f>
        <v/>
      </c>
      <c r="LA13" s="402">
        <f>-ConLoan!LA$31</f>
        <v/>
      </c>
      <c r="LB13" s="402">
        <f>-ConLoan!LB$31</f>
        <v/>
      </c>
      <c r="LC13" s="402">
        <f>-ConLoan!LC$31</f>
        <v/>
      </c>
      <c r="LD13" s="402">
        <f>-ConLoan!LD$31</f>
        <v/>
      </c>
      <c r="LE13" s="402">
        <f>-ConLoan!LE$31</f>
        <v/>
      </c>
      <c r="LF13" s="402">
        <f>-ConLoan!LF$31</f>
        <v/>
      </c>
      <c r="LG13" s="402">
        <f>-ConLoan!LG$31</f>
        <v/>
      </c>
      <c r="LH13" s="402">
        <f>-ConLoan!LH$31</f>
        <v/>
      </c>
      <c r="LI13" s="402">
        <f>-ConLoan!LI$31</f>
        <v/>
      </c>
      <c r="LJ13" s="402">
        <f>-ConLoan!LJ$31</f>
        <v/>
      </c>
      <c r="LK13" s="402">
        <f>-ConLoan!LK$31</f>
        <v/>
      </c>
      <c r="LL13" s="402">
        <f>-ConLoan!LL$31</f>
        <v/>
      </c>
      <c r="LM13" s="402">
        <f>-ConLoan!LM$31</f>
        <v/>
      </c>
      <c r="LN13" s="402">
        <f>-ConLoan!LN$31</f>
        <v/>
      </c>
      <c r="LO13" s="402">
        <f>-ConLoan!LO$31</f>
        <v/>
      </c>
      <c r="LP13" s="402">
        <f>-ConLoan!LP$31</f>
        <v/>
      </c>
      <c r="LQ13" s="402">
        <f>-ConLoan!LQ$31</f>
        <v/>
      </c>
      <c r="LR13" s="402">
        <f>-ConLoan!LR$31</f>
        <v/>
      </c>
      <c r="LS13" s="402">
        <f>-ConLoan!LS$31</f>
        <v/>
      </c>
      <c r="LT13" s="402">
        <f>-ConLoan!LT$31</f>
        <v/>
      </c>
      <c r="LU13" s="402">
        <f>-ConLoan!LU$31</f>
        <v/>
      </c>
      <c r="LV13" s="402">
        <f>-ConLoan!LV$31</f>
        <v/>
      </c>
      <c r="LW13" s="402">
        <f>-ConLoan!LW$31</f>
        <v/>
      </c>
      <c r="LX13" s="402">
        <f>-ConLoan!LX$31</f>
        <v/>
      </c>
      <c r="LY13" s="402">
        <f>-ConLoan!LY$31</f>
        <v/>
      </c>
      <c r="LZ13" s="402">
        <f>-ConLoan!LZ$31</f>
        <v/>
      </c>
      <c r="MA13" s="402">
        <f>-ConLoan!MA$31</f>
        <v/>
      </c>
      <c r="MB13" s="402">
        <f>-ConLoan!MB$31</f>
        <v/>
      </c>
      <c r="MC13" s="402">
        <f>-ConLoan!MC$31</f>
        <v/>
      </c>
      <c r="MD13" s="402">
        <f>-ConLoan!MD$31</f>
        <v/>
      </c>
      <c r="ME13" s="402">
        <f>-ConLoan!ME$31</f>
        <v/>
      </c>
      <c r="MF13" s="402">
        <f>-ConLoan!MF$31</f>
        <v/>
      </c>
      <c r="MG13" s="402">
        <f>-ConLoan!MG$31</f>
        <v/>
      </c>
      <c r="MH13" s="402">
        <f>-ConLoan!MH$31</f>
        <v/>
      </c>
      <c r="MI13" s="402">
        <f>-ConLoan!MI$31</f>
        <v/>
      </c>
      <c r="MJ13" s="402">
        <f>-ConLoan!MJ$31</f>
        <v/>
      </c>
      <c r="MK13" s="402">
        <f>-ConLoan!MK$31</f>
        <v/>
      </c>
      <c r="ML13" s="402">
        <f>-ConLoan!ML$31</f>
        <v/>
      </c>
      <c r="MM13" s="402">
        <f>-ConLoan!MM$31</f>
        <v/>
      </c>
      <c r="MN13" s="402">
        <f>-ConLoan!MN$31</f>
        <v/>
      </c>
      <c r="MO13" s="402">
        <f>-ConLoan!MO$31</f>
        <v/>
      </c>
      <c r="MP13" s="402">
        <f>-ConLoan!MP$31</f>
        <v/>
      </c>
      <c r="MQ13" s="402">
        <f>-ConLoan!MQ$31</f>
        <v/>
      </c>
      <c r="MR13" s="402">
        <f>-ConLoan!MR$31</f>
        <v/>
      </c>
      <c r="MS13" s="402">
        <f>-ConLoan!MS$31</f>
        <v/>
      </c>
      <c r="MT13" s="402">
        <f>-ConLoan!MT$31</f>
        <v/>
      </c>
      <c r="MU13" s="402">
        <f>-ConLoan!MU$31</f>
        <v/>
      </c>
      <c r="MV13" s="402">
        <f>-ConLoan!MV$31</f>
        <v/>
      </c>
      <c r="MW13" s="402">
        <f>-ConLoan!MW$31</f>
        <v/>
      </c>
      <c r="MX13" s="402">
        <f>-ConLoan!MX$31</f>
        <v/>
      </c>
      <c r="MY13" s="402">
        <f>-ConLoan!MY$31</f>
        <v/>
      </c>
      <c r="MZ13" s="402">
        <f>-ConLoan!MZ$31</f>
        <v/>
      </c>
      <c r="NA13" s="402">
        <f>-ConLoan!NA$31</f>
        <v/>
      </c>
      <c r="NB13" s="402">
        <f>-ConLoan!NB$31</f>
        <v/>
      </c>
      <c r="NC13" s="402">
        <f>-ConLoan!NC$31</f>
        <v/>
      </c>
      <c r="ND13" s="402">
        <f>-ConLoan!ND$31</f>
        <v/>
      </c>
      <c r="NE13" s="402">
        <f>-ConLoan!NE$31</f>
        <v/>
      </c>
      <c r="NF13" s="402">
        <f>-ConLoan!NF$31</f>
        <v/>
      </c>
      <c r="NG13" s="402">
        <f>-ConLoan!NG$31</f>
        <v/>
      </c>
      <c r="NH13" s="402">
        <f>-ConLoan!NH$31</f>
        <v/>
      </c>
      <c r="NI13" s="402">
        <f>-ConLoan!NI$31</f>
        <v/>
      </c>
      <c r="NJ13" s="402">
        <f>-ConLoan!NJ$31</f>
        <v/>
      </c>
      <c r="NK13" s="402">
        <f>-ConLoan!NK$31</f>
        <v/>
      </c>
      <c r="NL13" s="402">
        <f>-ConLoan!NL$31</f>
        <v/>
      </c>
    </row>
    <row r="14">
      <c r="B14" s="330" t="inlineStr">
        <is>
          <t>Total Development Cost (TDC)</t>
        </is>
      </c>
      <c r="D14" s="403">
        <f>SUM(E14:NL14)</f>
        <v/>
      </c>
      <c r="E14" s="407">
        <f>-(ConLoan!E$26+ConLoan!E$31)</f>
        <v/>
      </c>
      <c r="F14" s="407">
        <f>-(ConLoan!F$26+ConLoan!F$31)</f>
        <v/>
      </c>
      <c r="G14" s="407">
        <f>-(ConLoan!G$26+ConLoan!G$31)</f>
        <v/>
      </c>
      <c r="H14" s="407">
        <f>-(ConLoan!H$26+ConLoan!H$31)</f>
        <v/>
      </c>
      <c r="I14" s="407">
        <f>-(ConLoan!I$26+ConLoan!I$31)</f>
        <v/>
      </c>
      <c r="J14" s="407">
        <f>-(ConLoan!J$26+ConLoan!J$31)</f>
        <v/>
      </c>
      <c r="K14" s="407">
        <f>-(ConLoan!K$26+ConLoan!K$31)</f>
        <v/>
      </c>
      <c r="L14" s="407">
        <f>-(ConLoan!L$26+ConLoan!L$31)</f>
        <v/>
      </c>
      <c r="M14" s="407">
        <f>-(ConLoan!M$26+ConLoan!M$31)</f>
        <v/>
      </c>
      <c r="N14" s="407">
        <f>-(ConLoan!N$26+ConLoan!N$31)</f>
        <v/>
      </c>
      <c r="O14" s="407">
        <f>-(ConLoan!O$26+ConLoan!O$31)</f>
        <v/>
      </c>
      <c r="P14" s="407">
        <f>-(ConLoan!P$26+ConLoan!P$31)</f>
        <v/>
      </c>
      <c r="Q14" s="407">
        <f>-(ConLoan!Q$26+ConLoan!Q$31)</f>
        <v/>
      </c>
      <c r="R14" s="407">
        <f>-(ConLoan!R$26+ConLoan!R$31)</f>
        <v/>
      </c>
      <c r="S14" s="407">
        <f>-(ConLoan!S$26+ConLoan!S$31)</f>
        <v/>
      </c>
      <c r="T14" s="407">
        <f>-(ConLoan!T$26+ConLoan!T$31)</f>
        <v/>
      </c>
      <c r="U14" s="407">
        <f>-(ConLoan!U$26+ConLoan!U$31)</f>
        <v/>
      </c>
      <c r="V14" s="407">
        <f>-(ConLoan!V$26+ConLoan!V$31)</f>
        <v/>
      </c>
      <c r="W14" s="407">
        <f>-(ConLoan!W$26+ConLoan!W$31)</f>
        <v/>
      </c>
      <c r="X14" s="407">
        <f>-(ConLoan!X$26+ConLoan!X$31)</f>
        <v/>
      </c>
      <c r="Y14" s="407">
        <f>-(ConLoan!Y$26+ConLoan!Y$31)</f>
        <v/>
      </c>
      <c r="Z14" s="407">
        <f>-(ConLoan!Z$26+ConLoan!Z$31)</f>
        <v/>
      </c>
      <c r="AA14" s="407">
        <f>-(ConLoan!AA$26+ConLoan!AA$31)</f>
        <v/>
      </c>
      <c r="AB14" s="407">
        <f>-(ConLoan!AB$26+ConLoan!AB$31)</f>
        <v/>
      </c>
      <c r="AC14" s="407">
        <f>-(ConLoan!AC$26+ConLoan!AC$31)</f>
        <v/>
      </c>
      <c r="AD14" s="407">
        <f>-(ConLoan!AD$26+ConLoan!AD$31)</f>
        <v/>
      </c>
      <c r="AE14" s="407">
        <f>-(ConLoan!AE$26+ConLoan!AE$31)</f>
        <v/>
      </c>
      <c r="AF14" s="407">
        <f>-(ConLoan!AF$26+ConLoan!AF$31)</f>
        <v/>
      </c>
      <c r="AG14" s="407">
        <f>-(ConLoan!AG$26+ConLoan!AG$31)</f>
        <v/>
      </c>
      <c r="AH14" s="407">
        <f>-(ConLoan!AH$26+ConLoan!AH$31)</f>
        <v/>
      </c>
      <c r="AI14" s="407">
        <f>-(ConLoan!AI$26+ConLoan!AI$31)</f>
        <v/>
      </c>
      <c r="AJ14" s="407">
        <f>-(ConLoan!AJ$26+ConLoan!AJ$31)</f>
        <v/>
      </c>
      <c r="AK14" s="407">
        <f>-(ConLoan!AK$26+ConLoan!AK$31)</f>
        <v/>
      </c>
      <c r="AL14" s="407">
        <f>-(ConLoan!AL$26+ConLoan!AL$31)</f>
        <v/>
      </c>
      <c r="AM14" s="407">
        <f>-(ConLoan!AM$26+ConLoan!AM$31)</f>
        <v/>
      </c>
      <c r="AN14" s="407">
        <f>-(ConLoan!AN$26+ConLoan!AN$31)</f>
        <v/>
      </c>
      <c r="AO14" s="407">
        <f>-(ConLoan!AO$26+ConLoan!AO$31)</f>
        <v/>
      </c>
      <c r="AP14" s="407">
        <f>-(ConLoan!AP$26+ConLoan!AP$31)</f>
        <v/>
      </c>
      <c r="AQ14" s="407">
        <f>-(ConLoan!AQ$26+ConLoan!AQ$31)</f>
        <v/>
      </c>
      <c r="AR14" s="407">
        <f>-(ConLoan!AR$26+ConLoan!AR$31)</f>
        <v/>
      </c>
      <c r="AS14" s="407">
        <f>-(ConLoan!AS$26+ConLoan!AS$31)</f>
        <v/>
      </c>
      <c r="AT14" s="407">
        <f>-(ConLoan!AT$26+ConLoan!AT$31)</f>
        <v/>
      </c>
      <c r="AU14" s="407">
        <f>-(ConLoan!AU$26+ConLoan!AU$31)</f>
        <v/>
      </c>
      <c r="AV14" s="407">
        <f>-(ConLoan!AV$26+ConLoan!AV$31)</f>
        <v/>
      </c>
      <c r="AW14" s="407">
        <f>-(ConLoan!AW$26+ConLoan!AW$31)</f>
        <v/>
      </c>
      <c r="AX14" s="407">
        <f>-(ConLoan!AX$26+ConLoan!AX$31)</f>
        <v/>
      </c>
      <c r="AY14" s="407">
        <f>-(ConLoan!AY$26+ConLoan!AY$31)</f>
        <v/>
      </c>
      <c r="AZ14" s="407">
        <f>-(ConLoan!AZ$26+ConLoan!AZ$31)</f>
        <v/>
      </c>
      <c r="BA14" s="407">
        <f>-(ConLoan!BA$26+ConLoan!BA$31)</f>
        <v/>
      </c>
      <c r="BB14" s="407">
        <f>-(ConLoan!BB$26+ConLoan!BB$31)</f>
        <v/>
      </c>
      <c r="BC14" s="407">
        <f>-(ConLoan!BC$26+ConLoan!BC$31)</f>
        <v/>
      </c>
      <c r="BD14" s="407">
        <f>-(ConLoan!BD$26+ConLoan!BD$31)</f>
        <v/>
      </c>
      <c r="BE14" s="407">
        <f>-(ConLoan!BE$26+ConLoan!BE$31)</f>
        <v/>
      </c>
      <c r="BF14" s="407">
        <f>-(ConLoan!BF$26+ConLoan!BF$31)</f>
        <v/>
      </c>
      <c r="BG14" s="407">
        <f>-(ConLoan!BG$26+ConLoan!BG$31)</f>
        <v/>
      </c>
      <c r="BH14" s="407">
        <f>-(ConLoan!BH$26+ConLoan!BH$31)</f>
        <v/>
      </c>
      <c r="BI14" s="407">
        <f>-(ConLoan!BI$26+ConLoan!BI$31)</f>
        <v/>
      </c>
      <c r="BJ14" s="407">
        <f>-(ConLoan!BJ$26+ConLoan!BJ$31)</f>
        <v/>
      </c>
      <c r="BK14" s="407">
        <f>-(ConLoan!BK$26+ConLoan!BK$31)</f>
        <v/>
      </c>
      <c r="BL14" s="407">
        <f>-(ConLoan!BL$26+ConLoan!BL$31)</f>
        <v/>
      </c>
      <c r="BM14" s="407">
        <f>-(ConLoan!BM$26+ConLoan!BM$31)</f>
        <v/>
      </c>
      <c r="BN14" s="407">
        <f>-(ConLoan!BN$26+ConLoan!BN$31)</f>
        <v/>
      </c>
      <c r="BO14" s="407">
        <f>-(ConLoan!BO$26+ConLoan!BO$31)</f>
        <v/>
      </c>
      <c r="BP14" s="407">
        <f>-(ConLoan!BP$26+ConLoan!BP$31)</f>
        <v/>
      </c>
      <c r="BQ14" s="407">
        <f>-(ConLoan!BQ$26+ConLoan!BQ$31)</f>
        <v/>
      </c>
      <c r="BR14" s="407">
        <f>-(ConLoan!BR$26+ConLoan!BR$31)</f>
        <v/>
      </c>
      <c r="BS14" s="407">
        <f>-(ConLoan!BS$26+ConLoan!BS$31)</f>
        <v/>
      </c>
      <c r="BT14" s="407">
        <f>-(ConLoan!BT$26+ConLoan!BT$31)</f>
        <v/>
      </c>
      <c r="BU14" s="407">
        <f>-(ConLoan!BU$26+ConLoan!BU$31)</f>
        <v/>
      </c>
      <c r="BV14" s="407">
        <f>-(ConLoan!BV$26+ConLoan!BV$31)</f>
        <v/>
      </c>
      <c r="BW14" s="407">
        <f>-(ConLoan!BW$26+ConLoan!BW$31)</f>
        <v/>
      </c>
      <c r="BX14" s="407">
        <f>-(ConLoan!BX$26+ConLoan!BX$31)</f>
        <v/>
      </c>
      <c r="BY14" s="407">
        <f>-(ConLoan!BY$26+ConLoan!BY$31)</f>
        <v/>
      </c>
      <c r="BZ14" s="407">
        <f>-(ConLoan!BZ$26+ConLoan!BZ$31)</f>
        <v/>
      </c>
      <c r="CA14" s="407">
        <f>-(ConLoan!CA$26+ConLoan!CA$31)</f>
        <v/>
      </c>
      <c r="CB14" s="407">
        <f>-(ConLoan!CB$26+ConLoan!CB$31)</f>
        <v/>
      </c>
      <c r="CC14" s="407">
        <f>-(ConLoan!CC$26+ConLoan!CC$31)</f>
        <v/>
      </c>
      <c r="CD14" s="407">
        <f>-(ConLoan!CD$26+ConLoan!CD$31)</f>
        <v/>
      </c>
      <c r="CE14" s="407">
        <f>-(ConLoan!CE$26+ConLoan!CE$31)</f>
        <v/>
      </c>
      <c r="CF14" s="407">
        <f>-(ConLoan!CF$26+ConLoan!CF$31)</f>
        <v/>
      </c>
      <c r="CG14" s="407">
        <f>-(ConLoan!CG$26+ConLoan!CG$31)</f>
        <v/>
      </c>
      <c r="CH14" s="407">
        <f>-(ConLoan!CH$26+ConLoan!CH$31)</f>
        <v/>
      </c>
      <c r="CI14" s="407">
        <f>-(ConLoan!CI$26+ConLoan!CI$31)</f>
        <v/>
      </c>
      <c r="CJ14" s="407">
        <f>-(ConLoan!CJ$26+ConLoan!CJ$31)</f>
        <v/>
      </c>
      <c r="CK14" s="407">
        <f>-(ConLoan!CK$26+ConLoan!CK$31)</f>
        <v/>
      </c>
      <c r="CL14" s="407">
        <f>-(ConLoan!CL$26+ConLoan!CL$31)</f>
        <v/>
      </c>
      <c r="CM14" s="407">
        <f>-(ConLoan!CM$26+ConLoan!CM$31)</f>
        <v/>
      </c>
      <c r="CN14" s="407">
        <f>-(ConLoan!CN$26+ConLoan!CN$31)</f>
        <v/>
      </c>
      <c r="CO14" s="407">
        <f>-(ConLoan!CO$26+ConLoan!CO$31)</f>
        <v/>
      </c>
      <c r="CP14" s="407">
        <f>-(ConLoan!CP$26+ConLoan!CP$31)</f>
        <v/>
      </c>
      <c r="CQ14" s="407">
        <f>-(ConLoan!CQ$26+ConLoan!CQ$31)</f>
        <v/>
      </c>
      <c r="CR14" s="407">
        <f>-(ConLoan!CR$26+ConLoan!CR$31)</f>
        <v/>
      </c>
      <c r="CS14" s="407">
        <f>-(ConLoan!CS$26+ConLoan!CS$31)</f>
        <v/>
      </c>
      <c r="CT14" s="407">
        <f>-(ConLoan!CT$26+ConLoan!CT$31)</f>
        <v/>
      </c>
      <c r="CU14" s="407">
        <f>-(ConLoan!CU$26+ConLoan!CU$31)</f>
        <v/>
      </c>
      <c r="CV14" s="407">
        <f>-(ConLoan!CV$26+ConLoan!CV$31)</f>
        <v/>
      </c>
      <c r="CW14" s="407">
        <f>-(ConLoan!CW$26+ConLoan!CW$31)</f>
        <v/>
      </c>
      <c r="CX14" s="407">
        <f>-(ConLoan!CX$26+ConLoan!CX$31)</f>
        <v/>
      </c>
      <c r="CY14" s="407">
        <f>-(ConLoan!CY$26+ConLoan!CY$31)</f>
        <v/>
      </c>
      <c r="CZ14" s="407">
        <f>-(ConLoan!CZ$26+ConLoan!CZ$31)</f>
        <v/>
      </c>
      <c r="DA14" s="407">
        <f>-(ConLoan!DA$26+ConLoan!DA$31)</f>
        <v/>
      </c>
      <c r="DB14" s="407">
        <f>-(ConLoan!DB$26+ConLoan!DB$31)</f>
        <v/>
      </c>
      <c r="DC14" s="407">
        <f>-(ConLoan!DC$26+ConLoan!DC$31)</f>
        <v/>
      </c>
      <c r="DD14" s="407">
        <f>-(ConLoan!DD$26+ConLoan!DD$31)</f>
        <v/>
      </c>
      <c r="DE14" s="407">
        <f>-(ConLoan!DE$26+ConLoan!DE$31)</f>
        <v/>
      </c>
      <c r="DF14" s="407">
        <f>-(ConLoan!DF$26+ConLoan!DF$31)</f>
        <v/>
      </c>
      <c r="DG14" s="407">
        <f>-(ConLoan!DG$26+ConLoan!DG$31)</f>
        <v/>
      </c>
      <c r="DH14" s="407">
        <f>-(ConLoan!DH$26+ConLoan!DH$31)</f>
        <v/>
      </c>
      <c r="DI14" s="407">
        <f>-(ConLoan!DI$26+ConLoan!DI$31)</f>
        <v/>
      </c>
      <c r="DJ14" s="407">
        <f>-(ConLoan!DJ$26+ConLoan!DJ$31)</f>
        <v/>
      </c>
      <c r="DK14" s="407">
        <f>-(ConLoan!DK$26+ConLoan!DK$31)</f>
        <v/>
      </c>
      <c r="DL14" s="407">
        <f>-(ConLoan!DL$26+ConLoan!DL$31)</f>
        <v/>
      </c>
      <c r="DM14" s="407">
        <f>-(ConLoan!DM$26+ConLoan!DM$31)</f>
        <v/>
      </c>
      <c r="DN14" s="407">
        <f>-(ConLoan!DN$26+ConLoan!DN$31)</f>
        <v/>
      </c>
      <c r="DO14" s="407">
        <f>-(ConLoan!DO$26+ConLoan!DO$31)</f>
        <v/>
      </c>
      <c r="DP14" s="407">
        <f>-(ConLoan!DP$26+ConLoan!DP$31)</f>
        <v/>
      </c>
      <c r="DQ14" s="407">
        <f>-(ConLoan!DQ$26+ConLoan!DQ$31)</f>
        <v/>
      </c>
      <c r="DR14" s="407">
        <f>-(ConLoan!DR$26+ConLoan!DR$31)</f>
        <v/>
      </c>
      <c r="DS14" s="407">
        <f>-(ConLoan!DS$26+ConLoan!DS$31)</f>
        <v/>
      </c>
      <c r="DT14" s="407">
        <f>-(ConLoan!DT$26+ConLoan!DT$31)</f>
        <v/>
      </c>
      <c r="DU14" s="407">
        <f>-(ConLoan!DU$26+ConLoan!DU$31)</f>
        <v/>
      </c>
      <c r="DV14" s="407">
        <f>-(ConLoan!DV$26+ConLoan!DV$31)</f>
        <v/>
      </c>
      <c r="DW14" s="407">
        <f>-(ConLoan!DW$26+ConLoan!DW$31)</f>
        <v/>
      </c>
      <c r="DX14" s="407">
        <f>-(ConLoan!DX$26+ConLoan!DX$31)</f>
        <v/>
      </c>
      <c r="DY14" s="407">
        <f>-(ConLoan!DY$26+ConLoan!DY$31)</f>
        <v/>
      </c>
      <c r="DZ14" s="407">
        <f>-(ConLoan!DZ$26+ConLoan!DZ$31)</f>
        <v/>
      </c>
      <c r="EA14" s="407">
        <f>-(ConLoan!EA$26+ConLoan!EA$31)</f>
        <v/>
      </c>
      <c r="EB14" s="407">
        <f>-(ConLoan!EB$26+ConLoan!EB$31)</f>
        <v/>
      </c>
      <c r="EC14" s="407">
        <f>-(ConLoan!EC$26+ConLoan!EC$31)</f>
        <v/>
      </c>
      <c r="ED14" s="407">
        <f>-(ConLoan!ED$26+ConLoan!ED$31)</f>
        <v/>
      </c>
      <c r="EE14" s="407">
        <f>-(ConLoan!EE$26+ConLoan!EE$31)</f>
        <v/>
      </c>
      <c r="EF14" s="407">
        <f>-(ConLoan!EF$26+ConLoan!EF$31)</f>
        <v/>
      </c>
      <c r="EG14" s="407">
        <f>-(ConLoan!EG$26+ConLoan!EG$31)</f>
        <v/>
      </c>
      <c r="EH14" s="407">
        <f>-(ConLoan!EH$26+ConLoan!EH$31)</f>
        <v/>
      </c>
      <c r="EI14" s="407">
        <f>-(ConLoan!EI$26+ConLoan!EI$31)</f>
        <v/>
      </c>
      <c r="EJ14" s="407">
        <f>-(ConLoan!EJ$26+ConLoan!EJ$31)</f>
        <v/>
      </c>
      <c r="EK14" s="407">
        <f>-(ConLoan!EK$26+ConLoan!EK$31)</f>
        <v/>
      </c>
      <c r="EL14" s="407">
        <f>-(ConLoan!EL$26+ConLoan!EL$31)</f>
        <v/>
      </c>
      <c r="EM14" s="407">
        <f>-(ConLoan!EM$26+ConLoan!EM$31)</f>
        <v/>
      </c>
      <c r="EN14" s="407">
        <f>-(ConLoan!EN$26+ConLoan!EN$31)</f>
        <v/>
      </c>
      <c r="EO14" s="407">
        <f>-(ConLoan!EO$26+ConLoan!EO$31)</f>
        <v/>
      </c>
      <c r="EP14" s="407">
        <f>-(ConLoan!EP$26+ConLoan!EP$31)</f>
        <v/>
      </c>
      <c r="EQ14" s="407">
        <f>-(ConLoan!EQ$26+ConLoan!EQ$31)</f>
        <v/>
      </c>
      <c r="ER14" s="407">
        <f>-(ConLoan!ER$26+ConLoan!ER$31)</f>
        <v/>
      </c>
      <c r="ES14" s="407">
        <f>-(ConLoan!ES$26+ConLoan!ES$31)</f>
        <v/>
      </c>
      <c r="ET14" s="407">
        <f>-(ConLoan!ET$26+ConLoan!ET$31)</f>
        <v/>
      </c>
      <c r="EU14" s="407">
        <f>-(ConLoan!EU$26+ConLoan!EU$31)</f>
        <v/>
      </c>
      <c r="EV14" s="407">
        <f>-(ConLoan!EV$26+ConLoan!EV$31)</f>
        <v/>
      </c>
      <c r="EW14" s="407">
        <f>-(ConLoan!EW$26+ConLoan!EW$31)</f>
        <v/>
      </c>
      <c r="EX14" s="407">
        <f>-(ConLoan!EX$26+ConLoan!EX$31)</f>
        <v/>
      </c>
      <c r="EY14" s="407">
        <f>-(ConLoan!EY$26+ConLoan!EY$31)</f>
        <v/>
      </c>
      <c r="EZ14" s="407">
        <f>-(ConLoan!EZ$26+ConLoan!EZ$31)</f>
        <v/>
      </c>
      <c r="FA14" s="407">
        <f>-(ConLoan!FA$26+ConLoan!FA$31)</f>
        <v/>
      </c>
      <c r="FB14" s="407">
        <f>-(ConLoan!FB$26+ConLoan!FB$31)</f>
        <v/>
      </c>
      <c r="FC14" s="407">
        <f>-(ConLoan!FC$26+ConLoan!FC$31)</f>
        <v/>
      </c>
      <c r="FD14" s="407">
        <f>-(ConLoan!FD$26+ConLoan!FD$31)</f>
        <v/>
      </c>
      <c r="FE14" s="407">
        <f>-(ConLoan!FE$26+ConLoan!FE$31)</f>
        <v/>
      </c>
      <c r="FF14" s="407">
        <f>-(ConLoan!FF$26+ConLoan!FF$31)</f>
        <v/>
      </c>
      <c r="FG14" s="407">
        <f>-(ConLoan!FG$26+ConLoan!FG$31)</f>
        <v/>
      </c>
      <c r="FH14" s="407">
        <f>-(ConLoan!FH$26+ConLoan!FH$31)</f>
        <v/>
      </c>
      <c r="FI14" s="407">
        <f>-(ConLoan!FI$26+ConLoan!FI$31)</f>
        <v/>
      </c>
      <c r="FJ14" s="407">
        <f>-(ConLoan!FJ$26+ConLoan!FJ$31)</f>
        <v/>
      </c>
      <c r="FK14" s="407">
        <f>-(ConLoan!FK$26+ConLoan!FK$31)</f>
        <v/>
      </c>
      <c r="FL14" s="407">
        <f>-(ConLoan!FL$26+ConLoan!FL$31)</f>
        <v/>
      </c>
      <c r="FM14" s="407">
        <f>-(ConLoan!FM$26+ConLoan!FM$31)</f>
        <v/>
      </c>
      <c r="FN14" s="407">
        <f>-(ConLoan!FN$26+ConLoan!FN$31)</f>
        <v/>
      </c>
      <c r="FO14" s="407">
        <f>-(ConLoan!FO$26+ConLoan!FO$31)</f>
        <v/>
      </c>
      <c r="FP14" s="407">
        <f>-(ConLoan!FP$26+ConLoan!FP$31)</f>
        <v/>
      </c>
      <c r="FQ14" s="407">
        <f>-(ConLoan!FQ$26+ConLoan!FQ$31)</f>
        <v/>
      </c>
      <c r="FR14" s="407">
        <f>-(ConLoan!FR$26+ConLoan!FR$31)</f>
        <v/>
      </c>
      <c r="FS14" s="407">
        <f>-(ConLoan!FS$26+ConLoan!FS$31)</f>
        <v/>
      </c>
      <c r="FT14" s="407">
        <f>-(ConLoan!FT$26+ConLoan!FT$31)</f>
        <v/>
      </c>
      <c r="FU14" s="407">
        <f>-(ConLoan!FU$26+ConLoan!FU$31)</f>
        <v/>
      </c>
      <c r="FV14" s="407">
        <f>-(ConLoan!FV$26+ConLoan!FV$31)</f>
        <v/>
      </c>
      <c r="FW14" s="407">
        <f>-(ConLoan!FW$26+ConLoan!FW$31)</f>
        <v/>
      </c>
      <c r="FX14" s="407">
        <f>-(ConLoan!FX$26+ConLoan!FX$31)</f>
        <v/>
      </c>
      <c r="FY14" s="407">
        <f>-(ConLoan!FY$26+ConLoan!FY$31)</f>
        <v/>
      </c>
      <c r="FZ14" s="407">
        <f>-(ConLoan!FZ$26+ConLoan!FZ$31)</f>
        <v/>
      </c>
      <c r="GA14" s="407">
        <f>-(ConLoan!GA$26+ConLoan!GA$31)</f>
        <v/>
      </c>
      <c r="GB14" s="407">
        <f>-(ConLoan!GB$26+ConLoan!GB$31)</f>
        <v/>
      </c>
      <c r="GC14" s="407">
        <f>-(ConLoan!GC$26+ConLoan!GC$31)</f>
        <v/>
      </c>
      <c r="GD14" s="407">
        <f>-(ConLoan!GD$26+ConLoan!GD$31)</f>
        <v/>
      </c>
      <c r="GE14" s="407">
        <f>-(ConLoan!GE$26+ConLoan!GE$31)</f>
        <v/>
      </c>
      <c r="GF14" s="407">
        <f>-(ConLoan!GF$26+ConLoan!GF$31)</f>
        <v/>
      </c>
      <c r="GG14" s="407">
        <f>-(ConLoan!GG$26+ConLoan!GG$31)</f>
        <v/>
      </c>
      <c r="GH14" s="407">
        <f>-(ConLoan!GH$26+ConLoan!GH$31)</f>
        <v/>
      </c>
      <c r="GI14" s="407">
        <f>-(ConLoan!GI$26+ConLoan!GI$31)</f>
        <v/>
      </c>
      <c r="GJ14" s="407">
        <f>-(ConLoan!GJ$26+ConLoan!GJ$31)</f>
        <v/>
      </c>
      <c r="GK14" s="407">
        <f>-(ConLoan!GK$26+ConLoan!GK$31)</f>
        <v/>
      </c>
      <c r="GL14" s="407">
        <f>-(ConLoan!GL$26+ConLoan!GL$31)</f>
        <v/>
      </c>
      <c r="GM14" s="407">
        <f>-(ConLoan!GM$26+ConLoan!GM$31)</f>
        <v/>
      </c>
      <c r="GN14" s="407">
        <f>-(ConLoan!GN$26+ConLoan!GN$31)</f>
        <v/>
      </c>
      <c r="GO14" s="407">
        <f>-(ConLoan!GO$26+ConLoan!GO$31)</f>
        <v/>
      </c>
      <c r="GP14" s="407">
        <f>-(ConLoan!GP$26+ConLoan!GP$31)</f>
        <v/>
      </c>
      <c r="GQ14" s="407">
        <f>-(ConLoan!GQ$26+ConLoan!GQ$31)</f>
        <v/>
      </c>
      <c r="GR14" s="407">
        <f>-(ConLoan!GR$26+ConLoan!GR$31)</f>
        <v/>
      </c>
      <c r="GS14" s="407">
        <f>-(ConLoan!GS$26+ConLoan!GS$31)</f>
        <v/>
      </c>
      <c r="GT14" s="407">
        <f>-(ConLoan!GT$26+ConLoan!GT$31)</f>
        <v/>
      </c>
      <c r="GU14" s="407">
        <f>-(ConLoan!GU$26+ConLoan!GU$31)</f>
        <v/>
      </c>
      <c r="GV14" s="407">
        <f>-(ConLoan!GV$26+ConLoan!GV$31)</f>
        <v/>
      </c>
      <c r="GW14" s="407">
        <f>-(ConLoan!GW$26+ConLoan!GW$31)</f>
        <v/>
      </c>
      <c r="GX14" s="407">
        <f>-(ConLoan!GX$26+ConLoan!GX$31)</f>
        <v/>
      </c>
      <c r="GY14" s="407">
        <f>-(ConLoan!GY$26+ConLoan!GY$31)</f>
        <v/>
      </c>
      <c r="GZ14" s="407">
        <f>-(ConLoan!GZ$26+ConLoan!GZ$31)</f>
        <v/>
      </c>
      <c r="HA14" s="407">
        <f>-(ConLoan!HA$26+ConLoan!HA$31)</f>
        <v/>
      </c>
      <c r="HB14" s="407">
        <f>-(ConLoan!HB$26+ConLoan!HB$31)</f>
        <v/>
      </c>
      <c r="HC14" s="407">
        <f>-(ConLoan!HC$26+ConLoan!HC$31)</f>
        <v/>
      </c>
      <c r="HD14" s="407">
        <f>-(ConLoan!HD$26+ConLoan!HD$31)</f>
        <v/>
      </c>
      <c r="HE14" s="407">
        <f>-(ConLoan!HE$26+ConLoan!HE$31)</f>
        <v/>
      </c>
      <c r="HF14" s="407">
        <f>-(ConLoan!HF$26+ConLoan!HF$31)</f>
        <v/>
      </c>
      <c r="HG14" s="407">
        <f>-(ConLoan!HG$26+ConLoan!HG$31)</f>
        <v/>
      </c>
      <c r="HH14" s="407">
        <f>-(ConLoan!HH$26+ConLoan!HH$31)</f>
        <v/>
      </c>
      <c r="HI14" s="407">
        <f>-(ConLoan!HI$26+ConLoan!HI$31)</f>
        <v/>
      </c>
      <c r="HJ14" s="407">
        <f>-(ConLoan!HJ$26+ConLoan!HJ$31)</f>
        <v/>
      </c>
      <c r="HK14" s="407">
        <f>-(ConLoan!HK$26+ConLoan!HK$31)</f>
        <v/>
      </c>
      <c r="HL14" s="407">
        <f>-(ConLoan!HL$26+ConLoan!HL$31)</f>
        <v/>
      </c>
      <c r="HM14" s="407">
        <f>-(ConLoan!HM$26+ConLoan!HM$31)</f>
        <v/>
      </c>
      <c r="HN14" s="407">
        <f>-(ConLoan!HN$26+ConLoan!HN$31)</f>
        <v/>
      </c>
      <c r="HO14" s="407">
        <f>-(ConLoan!HO$26+ConLoan!HO$31)</f>
        <v/>
      </c>
      <c r="HP14" s="407">
        <f>-(ConLoan!HP$26+ConLoan!HP$31)</f>
        <v/>
      </c>
      <c r="HQ14" s="407">
        <f>-(ConLoan!HQ$26+ConLoan!HQ$31)</f>
        <v/>
      </c>
      <c r="HR14" s="407">
        <f>-(ConLoan!HR$26+ConLoan!HR$31)</f>
        <v/>
      </c>
      <c r="HS14" s="407">
        <f>-(ConLoan!HS$26+ConLoan!HS$31)</f>
        <v/>
      </c>
      <c r="HT14" s="407">
        <f>-(ConLoan!HT$26+ConLoan!HT$31)</f>
        <v/>
      </c>
      <c r="HU14" s="407">
        <f>-(ConLoan!HU$26+ConLoan!HU$31)</f>
        <v/>
      </c>
      <c r="HV14" s="407">
        <f>-(ConLoan!HV$26+ConLoan!HV$31)</f>
        <v/>
      </c>
      <c r="HW14" s="407">
        <f>-(ConLoan!HW$26+ConLoan!HW$31)</f>
        <v/>
      </c>
      <c r="HX14" s="407">
        <f>-(ConLoan!HX$26+ConLoan!HX$31)</f>
        <v/>
      </c>
      <c r="HY14" s="407">
        <f>-(ConLoan!HY$26+ConLoan!HY$31)</f>
        <v/>
      </c>
      <c r="HZ14" s="407">
        <f>-(ConLoan!HZ$26+ConLoan!HZ$31)</f>
        <v/>
      </c>
      <c r="IA14" s="407">
        <f>-(ConLoan!IA$26+ConLoan!IA$31)</f>
        <v/>
      </c>
      <c r="IB14" s="407">
        <f>-(ConLoan!IB$26+ConLoan!IB$31)</f>
        <v/>
      </c>
      <c r="IC14" s="407">
        <f>-(ConLoan!IC$26+ConLoan!IC$31)</f>
        <v/>
      </c>
      <c r="ID14" s="407">
        <f>-(ConLoan!ID$26+ConLoan!ID$31)</f>
        <v/>
      </c>
      <c r="IE14" s="407">
        <f>-(ConLoan!IE$26+ConLoan!IE$31)</f>
        <v/>
      </c>
      <c r="IF14" s="407">
        <f>-(ConLoan!IF$26+ConLoan!IF$31)</f>
        <v/>
      </c>
      <c r="IG14" s="407">
        <f>-(ConLoan!IG$26+ConLoan!IG$31)</f>
        <v/>
      </c>
      <c r="IH14" s="407">
        <f>-(ConLoan!IH$26+ConLoan!IH$31)</f>
        <v/>
      </c>
      <c r="II14" s="407">
        <f>-(ConLoan!II$26+ConLoan!II$31)</f>
        <v/>
      </c>
      <c r="IJ14" s="407">
        <f>-(ConLoan!IJ$26+ConLoan!IJ$31)</f>
        <v/>
      </c>
      <c r="IK14" s="407">
        <f>-(ConLoan!IK$26+ConLoan!IK$31)</f>
        <v/>
      </c>
      <c r="IL14" s="407">
        <f>-(ConLoan!IL$26+ConLoan!IL$31)</f>
        <v/>
      </c>
      <c r="IM14" s="407">
        <f>-(ConLoan!IM$26+ConLoan!IM$31)</f>
        <v/>
      </c>
      <c r="IN14" s="407">
        <f>-(ConLoan!IN$26+ConLoan!IN$31)</f>
        <v/>
      </c>
      <c r="IO14" s="407">
        <f>-(ConLoan!IO$26+ConLoan!IO$31)</f>
        <v/>
      </c>
      <c r="IP14" s="407">
        <f>-(ConLoan!IP$26+ConLoan!IP$31)</f>
        <v/>
      </c>
      <c r="IQ14" s="407">
        <f>-(ConLoan!IQ$26+ConLoan!IQ$31)</f>
        <v/>
      </c>
      <c r="IR14" s="407">
        <f>-(ConLoan!IR$26+ConLoan!IR$31)</f>
        <v/>
      </c>
      <c r="IS14" s="407">
        <f>-(ConLoan!IS$26+ConLoan!IS$31)</f>
        <v/>
      </c>
      <c r="IT14" s="407">
        <f>-(ConLoan!IT$26+ConLoan!IT$31)</f>
        <v/>
      </c>
      <c r="IU14" s="407">
        <f>-(ConLoan!IU$26+ConLoan!IU$31)</f>
        <v/>
      </c>
      <c r="IV14" s="407">
        <f>-(ConLoan!IV$26+ConLoan!IV$31)</f>
        <v/>
      </c>
      <c r="IW14" s="407">
        <f>-(ConLoan!IW$26+ConLoan!IW$31)</f>
        <v/>
      </c>
      <c r="IX14" s="407">
        <f>-(ConLoan!IX$26+ConLoan!IX$31)</f>
        <v/>
      </c>
      <c r="IY14" s="407">
        <f>-(ConLoan!IY$26+ConLoan!IY$31)</f>
        <v/>
      </c>
      <c r="IZ14" s="407">
        <f>-(ConLoan!IZ$26+ConLoan!IZ$31)</f>
        <v/>
      </c>
      <c r="JA14" s="407">
        <f>-(ConLoan!JA$26+ConLoan!JA$31)</f>
        <v/>
      </c>
      <c r="JB14" s="407">
        <f>-(ConLoan!JB$26+ConLoan!JB$31)</f>
        <v/>
      </c>
      <c r="JC14" s="407">
        <f>-(ConLoan!JC$26+ConLoan!JC$31)</f>
        <v/>
      </c>
      <c r="JD14" s="407">
        <f>-(ConLoan!JD$26+ConLoan!JD$31)</f>
        <v/>
      </c>
      <c r="JE14" s="407">
        <f>-(ConLoan!JE$26+ConLoan!JE$31)</f>
        <v/>
      </c>
      <c r="JF14" s="407">
        <f>-(ConLoan!JF$26+ConLoan!JF$31)</f>
        <v/>
      </c>
      <c r="JG14" s="407">
        <f>-(ConLoan!JG$26+ConLoan!JG$31)</f>
        <v/>
      </c>
      <c r="JH14" s="407">
        <f>-(ConLoan!JH$26+ConLoan!JH$31)</f>
        <v/>
      </c>
      <c r="JI14" s="407">
        <f>-(ConLoan!JI$26+ConLoan!JI$31)</f>
        <v/>
      </c>
      <c r="JJ14" s="407">
        <f>-(ConLoan!JJ$26+ConLoan!JJ$31)</f>
        <v/>
      </c>
      <c r="JK14" s="407">
        <f>-(ConLoan!JK$26+ConLoan!JK$31)</f>
        <v/>
      </c>
      <c r="JL14" s="407">
        <f>-(ConLoan!JL$26+ConLoan!JL$31)</f>
        <v/>
      </c>
      <c r="JM14" s="407">
        <f>-(ConLoan!JM$26+ConLoan!JM$31)</f>
        <v/>
      </c>
      <c r="JN14" s="407">
        <f>-(ConLoan!JN$26+ConLoan!JN$31)</f>
        <v/>
      </c>
      <c r="JO14" s="407">
        <f>-(ConLoan!JO$26+ConLoan!JO$31)</f>
        <v/>
      </c>
      <c r="JP14" s="407">
        <f>-(ConLoan!JP$26+ConLoan!JP$31)</f>
        <v/>
      </c>
      <c r="JQ14" s="407">
        <f>-(ConLoan!JQ$26+ConLoan!JQ$31)</f>
        <v/>
      </c>
      <c r="JR14" s="407">
        <f>-(ConLoan!JR$26+ConLoan!JR$31)</f>
        <v/>
      </c>
      <c r="JS14" s="407">
        <f>-(ConLoan!JS$26+ConLoan!JS$31)</f>
        <v/>
      </c>
      <c r="JT14" s="407">
        <f>-(ConLoan!JT$26+ConLoan!JT$31)</f>
        <v/>
      </c>
      <c r="JU14" s="407">
        <f>-(ConLoan!JU$26+ConLoan!JU$31)</f>
        <v/>
      </c>
      <c r="JV14" s="407">
        <f>-(ConLoan!JV$26+ConLoan!JV$31)</f>
        <v/>
      </c>
      <c r="JW14" s="407">
        <f>-(ConLoan!JW$26+ConLoan!JW$31)</f>
        <v/>
      </c>
      <c r="JX14" s="407">
        <f>-(ConLoan!JX$26+ConLoan!JX$31)</f>
        <v/>
      </c>
      <c r="JY14" s="407">
        <f>-(ConLoan!JY$26+ConLoan!JY$31)</f>
        <v/>
      </c>
      <c r="JZ14" s="407">
        <f>-(ConLoan!JZ$26+ConLoan!JZ$31)</f>
        <v/>
      </c>
      <c r="KA14" s="407">
        <f>-(ConLoan!KA$26+ConLoan!KA$31)</f>
        <v/>
      </c>
      <c r="KB14" s="407">
        <f>-(ConLoan!KB$26+ConLoan!KB$31)</f>
        <v/>
      </c>
      <c r="KC14" s="407">
        <f>-(ConLoan!KC$26+ConLoan!KC$31)</f>
        <v/>
      </c>
      <c r="KD14" s="407">
        <f>-(ConLoan!KD$26+ConLoan!KD$31)</f>
        <v/>
      </c>
      <c r="KE14" s="407">
        <f>-(ConLoan!KE$26+ConLoan!KE$31)</f>
        <v/>
      </c>
      <c r="KF14" s="407">
        <f>-(ConLoan!KF$26+ConLoan!KF$31)</f>
        <v/>
      </c>
      <c r="KG14" s="407">
        <f>-(ConLoan!KG$26+ConLoan!KG$31)</f>
        <v/>
      </c>
      <c r="KH14" s="407">
        <f>-(ConLoan!KH$26+ConLoan!KH$31)</f>
        <v/>
      </c>
      <c r="KI14" s="407">
        <f>-(ConLoan!KI$26+ConLoan!KI$31)</f>
        <v/>
      </c>
      <c r="KJ14" s="407">
        <f>-(ConLoan!KJ$26+ConLoan!KJ$31)</f>
        <v/>
      </c>
      <c r="KK14" s="407">
        <f>-(ConLoan!KK$26+ConLoan!KK$31)</f>
        <v/>
      </c>
      <c r="KL14" s="407">
        <f>-(ConLoan!KL$26+ConLoan!KL$31)</f>
        <v/>
      </c>
      <c r="KM14" s="407">
        <f>-(ConLoan!KM$26+ConLoan!KM$31)</f>
        <v/>
      </c>
      <c r="KN14" s="407">
        <f>-(ConLoan!KN$26+ConLoan!KN$31)</f>
        <v/>
      </c>
      <c r="KO14" s="407">
        <f>-(ConLoan!KO$26+ConLoan!KO$31)</f>
        <v/>
      </c>
      <c r="KP14" s="407">
        <f>-(ConLoan!KP$26+ConLoan!KP$31)</f>
        <v/>
      </c>
      <c r="KQ14" s="407">
        <f>-(ConLoan!KQ$26+ConLoan!KQ$31)</f>
        <v/>
      </c>
      <c r="KR14" s="407">
        <f>-(ConLoan!KR$26+ConLoan!KR$31)</f>
        <v/>
      </c>
      <c r="KS14" s="407">
        <f>-(ConLoan!KS$26+ConLoan!KS$31)</f>
        <v/>
      </c>
      <c r="KT14" s="407">
        <f>-(ConLoan!KT$26+ConLoan!KT$31)</f>
        <v/>
      </c>
      <c r="KU14" s="407">
        <f>-(ConLoan!KU$26+ConLoan!KU$31)</f>
        <v/>
      </c>
      <c r="KV14" s="407">
        <f>-(ConLoan!KV$26+ConLoan!KV$31)</f>
        <v/>
      </c>
      <c r="KW14" s="407">
        <f>-(ConLoan!KW$26+ConLoan!KW$31)</f>
        <v/>
      </c>
      <c r="KX14" s="407">
        <f>-(ConLoan!KX$26+ConLoan!KX$31)</f>
        <v/>
      </c>
      <c r="KY14" s="407">
        <f>-(ConLoan!KY$26+ConLoan!KY$31)</f>
        <v/>
      </c>
      <c r="KZ14" s="407">
        <f>-(ConLoan!KZ$26+ConLoan!KZ$31)</f>
        <v/>
      </c>
      <c r="LA14" s="407">
        <f>-(ConLoan!LA$26+ConLoan!LA$31)</f>
        <v/>
      </c>
      <c r="LB14" s="407">
        <f>-(ConLoan!LB$26+ConLoan!LB$31)</f>
        <v/>
      </c>
      <c r="LC14" s="407">
        <f>-(ConLoan!LC$26+ConLoan!LC$31)</f>
        <v/>
      </c>
      <c r="LD14" s="407">
        <f>-(ConLoan!LD$26+ConLoan!LD$31)</f>
        <v/>
      </c>
      <c r="LE14" s="407">
        <f>-(ConLoan!LE$26+ConLoan!LE$31)</f>
        <v/>
      </c>
      <c r="LF14" s="407">
        <f>-(ConLoan!LF$26+ConLoan!LF$31)</f>
        <v/>
      </c>
      <c r="LG14" s="407">
        <f>-(ConLoan!LG$26+ConLoan!LG$31)</f>
        <v/>
      </c>
      <c r="LH14" s="407">
        <f>-(ConLoan!LH$26+ConLoan!LH$31)</f>
        <v/>
      </c>
      <c r="LI14" s="407">
        <f>-(ConLoan!LI$26+ConLoan!LI$31)</f>
        <v/>
      </c>
      <c r="LJ14" s="407">
        <f>-(ConLoan!LJ$26+ConLoan!LJ$31)</f>
        <v/>
      </c>
      <c r="LK14" s="407">
        <f>-(ConLoan!LK$26+ConLoan!LK$31)</f>
        <v/>
      </c>
      <c r="LL14" s="407">
        <f>-(ConLoan!LL$26+ConLoan!LL$31)</f>
        <v/>
      </c>
      <c r="LM14" s="407">
        <f>-(ConLoan!LM$26+ConLoan!LM$31)</f>
        <v/>
      </c>
      <c r="LN14" s="407">
        <f>-(ConLoan!LN$26+ConLoan!LN$31)</f>
        <v/>
      </c>
      <c r="LO14" s="407">
        <f>-(ConLoan!LO$26+ConLoan!LO$31)</f>
        <v/>
      </c>
      <c r="LP14" s="407">
        <f>-(ConLoan!LP$26+ConLoan!LP$31)</f>
        <v/>
      </c>
      <c r="LQ14" s="407">
        <f>-(ConLoan!LQ$26+ConLoan!LQ$31)</f>
        <v/>
      </c>
      <c r="LR14" s="407">
        <f>-(ConLoan!LR$26+ConLoan!LR$31)</f>
        <v/>
      </c>
      <c r="LS14" s="407">
        <f>-(ConLoan!LS$26+ConLoan!LS$31)</f>
        <v/>
      </c>
      <c r="LT14" s="407">
        <f>-(ConLoan!LT$26+ConLoan!LT$31)</f>
        <v/>
      </c>
      <c r="LU14" s="407">
        <f>-(ConLoan!LU$26+ConLoan!LU$31)</f>
        <v/>
      </c>
      <c r="LV14" s="407">
        <f>-(ConLoan!LV$26+ConLoan!LV$31)</f>
        <v/>
      </c>
      <c r="LW14" s="407">
        <f>-(ConLoan!LW$26+ConLoan!LW$31)</f>
        <v/>
      </c>
      <c r="LX14" s="407">
        <f>-(ConLoan!LX$26+ConLoan!LX$31)</f>
        <v/>
      </c>
      <c r="LY14" s="407">
        <f>-(ConLoan!LY$26+ConLoan!LY$31)</f>
        <v/>
      </c>
      <c r="LZ14" s="407">
        <f>-(ConLoan!LZ$26+ConLoan!LZ$31)</f>
        <v/>
      </c>
      <c r="MA14" s="407">
        <f>-(ConLoan!MA$26+ConLoan!MA$31)</f>
        <v/>
      </c>
      <c r="MB14" s="407">
        <f>-(ConLoan!MB$26+ConLoan!MB$31)</f>
        <v/>
      </c>
      <c r="MC14" s="407">
        <f>-(ConLoan!MC$26+ConLoan!MC$31)</f>
        <v/>
      </c>
      <c r="MD14" s="407">
        <f>-(ConLoan!MD$26+ConLoan!MD$31)</f>
        <v/>
      </c>
      <c r="ME14" s="407">
        <f>-(ConLoan!ME$26+ConLoan!ME$31)</f>
        <v/>
      </c>
      <c r="MF14" s="407">
        <f>-(ConLoan!MF$26+ConLoan!MF$31)</f>
        <v/>
      </c>
      <c r="MG14" s="407">
        <f>-(ConLoan!MG$26+ConLoan!MG$31)</f>
        <v/>
      </c>
      <c r="MH14" s="407">
        <f>-(ConLoan!MH$26+ConLoan!MH$31)</f>
        <v/>
      </c>
      <c r="MI14" s="407">
        <f>-(ConLoan!MI$26+ConLoan!MI$31)</f>
        <v/>
      </c>
      <c r="MJ14" s="407">
        <f>-(ConLoan!MJ$26+ConLoan!MJ$31)</f>
        <v/>
      </c>
      <c r="MK14" s="407">
        <f>-(ConLoan!MK$26+ConLoan!MK$31)</f>
        <v/>
      </c>
      <c r="ML14" s="407">
        <f>-(ConLoan!ML$26+ConLoan!ML$31)</f>
        <v/>
      </c>
      <c r="MM14" s="407">
        <f>-(ConLoan!MM$26+ConLoan!MM$31)</f>
        <v/>
      </c>
      <c r="MN14" s="407">
        <f>-(ConLoan!MN$26+ConLoan!MN$31)</f>
        <v/>
      </c>
      <c r="MO14" s="407">
        <f>-(ConLoan!MO$26+ConLoan!MO$31)</f>
        <v/>
      </c>
      <c r="MP14" s="407">
        <f>-(ConLoan!MP$26+ConLoan!MP$31)</f>
        <v/>
      </c>
      <c r="MQ14" s="407">
        <f>-(ConLoan!MQ$26+ConLoan!MQ$31)</f>
        <v/>
      </c>
      <c r="MR14" s="407">
        <f>-(ConLoan!MR$26+ConLoan!MR$31)</f>
        <v/>
      </c>
      <c r="MS14" s="407">
        <f>-(ConLoan!MS$26+ConLoan!MS$31)</f>
        <v/>
      </c>
      <c r="MT14" s="407">
        <f>-(ConLoan!MT$26+ConLoan!MT$31)</f>
        <v/>
      </c>
      <c r="MU14" s="407">
        <f>-(ConLoan!MU$26+ConLoan!MU$31)</f>
        <v/>
      </c>
      <c r="MV14" s="407">
        <f>-(ConLoan!MV$26+ConLoan!MV$31)</f>
        <v/>
      </c>
      <c r="MW14" s="407">
        <f>-(ConLoan!MW$26+ConLoan!MW$31)</f>
        <v/>
      </c>
      <c r="MX14" s="407">
        <f>-(ConLoan!MX$26+ConLoan!MX$31)</f>
        <v/>
      </c>
      <c r="MY14" s="407">
        <f>-(ConLoan!MY$26+ConLoan!MY$31)</f>
        <v/>
      </c>
      <c r="MZ14" s="407">
        <f>-(ConLoan!MZ$26+ConLoan!MZ$31)</f>
        <v/>
      </c>
      <c r="NA14" s="407">
        <f>-(ConLoan!NA$26+ConLoan!NA$31)</f>
        <v/>
      </c>
      <c r="NB14" s="407">
        <f>-(ConLoan!NB$26+ConLoan!NB$31)</f>
        <v/>
      </c>
      <c r="NC14" s="407">
        <f>-(ConLoan!NC$26+ConLoan!NC$31)</f>
        <v/>
      </c>
      <c r="ND14" s="407">
        <f>-(ConLoan!ND$26+ConLoan!ND$31)</f>
        <v/>
      </c>
      <c r="NE14" s="407">
        <f>-(ConLoan!NE$26+ConLoan!NE$31)</f>
        <v/>
      </c>
      <c r="NF14" s="407">
        <f>-(ConLoan!NF$26+ConLoan!NF$31)</f>
        <v/>
      </c>
      <c r="NG14" s="407">
        <f>-(ConLoan!NG$26+ConLoan!NG$31)</f>
        <v/>
      </c>
      <c r="NH14" s="407">
        <f>-(ConLoan!NH$26+ConLoan!NH$31)</f>
        <v/>
      </c>
      <c r="NI14" s="407">
        <f>-(ConLoan!NI$26+ConLoan!NI$31)</f>
        <v/>
      </c>
      <c r="NJ14" s="407">
        <f>-(ConLoan!NJ$26+ConLoan!NJ$31)</f>
        <v/>
      </c>
      <c r="NK14" s="407">
        <f>-(ConLoan!NK$26+ConLoan!NK$31)</f>
        <v/>
      </c>
      <c r="NL14" s="407">
        <f>-(ConLoan!NL$26+ConLoan!NL$31)</f>
        <v/>
      </c>
    </row>
    <row r="15">
      <c r="B15" s="316" t="inlineStr">
        <is>
          <t xml:space="preserve">Reconciliation: Inputs TDC − Monthly Uses (=0)  </t>
        </is>
      </c>
      <c r="D15" s="410">
        <f>TDC_Total+D14</f>
        <v/>
      </c>
    </row>
    <row r="16">
      <c r="B16" s="384" t="inlineStr">
        <is>
          <t>Debt</t>
        </is>
      </c>
      <c r="D16" s="401" t="inlineStr"/>
      <c r="E16" s="155" t="n"/>
      <c r="F16" s="155" t="n"/>
      <c r="G16" s="155" t="n"/>
      <c r="H16" s="155" t="n"/>
      <c r="I16" s="155" t="n"/>
      <c r="J16" s="155" t="n"/>
      <c r="K16" s="155" t="n"/>
      <c r="L16" s="155" t="n"/>
      <c r="M16" s="155" t="n"/>
      <c r="N16" s="155" t="n"/>
      <c r="O16" s="155" t="n"/>
      <c r="P16" s="155" t="n"/>
      <c r="Q16" s="155" t="n"/>
      <c r="R16" s="155" t="n"/>
      <c r="S16" s="155" t="n"/>
      <c r="T16" s="155" t="n"/>
      <c r="U16" s="155" t="n"/>
      <c r="V16" s="155" t="n"/>
      <c r="W16" s="155" t="n"/>
      <c r="X16" s="155" t="n"/>
      <c r="Y16" s="155" t="n"/>
      <c r="Z16" s="155" t="n"/>
      <c r="AA16" s="155" t="n"/>
      <c r="AB16" s="155" t="n"/>
      <c r="AC16" s="155" t="n"/>
      <c r="AD16" s="155" t="n"/>
      <c r="AE16" s="155" t="n"/>
      <c r="AF16" s="155" t="n"/>
      <c r="AG16" s="155" t="n"/>
      <c r="AH16" s="155" t="n"/>
      <c r="AI16" s="155" t="n"/>
      <c r="AJ16" s="155" t="n"/>
      <c r="AK16" s="155" t="n"/>
      <c r="AL16" s="155" t="n"/>
      <c r="AM16" s="155" t="n"/>
      <c r="AN16" s="155" t="n"/>
      <c r="AO16" s="155" t="n"/>
      <c r="AP16" s="155" t="n"/>
      <c r="AQ16" s="155" t="n"/>
      <c r="AR16" s="155" t="n"/>
      <c r="AS16" s="155" t="n"/>
      <c r="AT16" s="155" t="n"/>
      <c r="AU16" s="155" t="n"/>
      <c r="AV16" s="155" t="n"/>
      <c r="AW16" s="155" t="n"/>
      <c r="AX16" s="155" t="n"/>
      <c r="AY16" s="155" t="n"/>
      <c r="AZ16" s="155" t="n"/>
      <c r="BA16" s="155" t="n"/>
      <c r="BB16" s="155" t="n"/>
      <c r="BC16" s="155" t="n"/>
      <c r="BD16" s="155" t="n"/>
      <c r="BE16" s="155" t="n"/>
      <c r="BF16" s="155" t="n"/>
      <c r="BG16" s="155" t="n"/>
      <c r="BH16" s="155" t="n"/>
      <c r="BI16" s="155" t="n"/>
      <c r="BJ16" s="155" t="n"/>
      <c r="BK16" s="155" t="n"/>
      <c r="BL16" s="155" t="n"/>
      <c r="BM16" s="155" t="n"/>
      <c r="BN16" s="155" t="n"/>
      <c r="BO16" s="155" t="n"/>
      <c r="BP16" s="155" t="n"/>
      <c r="BQ16" s="155" t="n"/>
      <c r="BR16" s="155" t="n"/>
      <c r="BS16" s="155" t="n"/>
      <c r="BT16" s="155" t="n"/>
      <c r="BU16" s="155" t="n"/>
      <c r="BV16" s="155" t="n"/>
      <c r="BW16" s="155" t="n"/>
      <c r="BX16" s="155" t="n"/>
      <c r="BY16" s="155" t="n"/>
      <c r="BZ16" s="155" t="n"/>
      <c r="CA16" s="155" t="n"/>
      <c r="CB16" s="155" t="n"/>
      <c r="CC16" s="155" t="n"/>
      <c r="CD16" s="155" t="n"/>
      <c r="CE16" s="155" t="n"/>
      <c r="CF16" s="155" t="n"/>
      <c r="CG16" s="155" t="n"/>
      <c r="CH16" s="155" t="n"/>
      <c r="CI16" s="155" t="n"/>
      <c r="CJ16" s="155" t="n"/>
      <c r="CK16" s="155" t="n"/>
      <c r="CL16" s="155" t="n"/>
      <c r="CM16" s="155" t="n"/>
      <c r="CN16" s="155" t="n"/>
      <c r="CO16" s="155" t="n"/>
      <c r="CP16" s="155" t="n"/>
      <c r="CQ16" s="155" t="n"/>
      <c r="CR16" s="155" t="n"/>
      <c r="CS16" s="155" t="n"/>
      <c r="CT16" s="155" t="n"/>
      <c r="CU16" s="155" t="n"/>
      <c r="CV16" s="155" t="n"/>
      <c r="CW16" s="155" t="n"/>
      <c r="CX16" s="155" t="n"/>
      <c r="CY16" s="155" t="n"/>
      <c r="CZ16" s="155" t="n"/>
      <c r="DA16" s="155" t="n"/>
      <c r="DB16" s="155" t="n"/>
      <c r="DC16" s="155" t="n"/>
      <c r="DD16" s="155" t="n"/>
      <c r="DE16" s="155" t="n"/>
      <c r="DF16" s="155" t="n"/>
      <c r="DG16" s="155" t="n"/>
      <c r="DH16" s="155" t="n"/>
      <c r="DI16" s="155" t="n"/>
      <c r="DJ16" s="155" t="n"/>
      <c r="DK16" s="155" t="n"/>
      <c r="DL16" s="155" t="n"/>
      <c r="DM16" s="155" t="n"/>
      <c r="DN16" s="155" t="n"/>
      <c r="DO16" s="155" t="n"/>
      <c r="DP16" s="155" t="n"/>
      <c r="DQ16" s="155" t="n"/>
      <c r="DR16" s="155" t="n"/>
      <c r="DS16" s="155" t="n"/>
      <c r="DT16" s="155" t="n"/>
      <c r="DU16" s="155" t="n"/>
      <c r="DV16" s="155" t="n"/>
      <c r="DW16" s="155" t="n"/>
      <c r="DX16" s="155" t="n"/>
      <c r="DY16" s="155" t="n"/>
      <c r="DZ16" s="155" t="n"/>
      <c r="EA16" s="155" t="n"/>
      <c r="EB16" s="155" t="n"/>
      <c r="EC16" s="155" t="n"/>
      <c r="ED16" s="155" t="n"/>
      <c r="EE16" s="155" t="n"/>
      <c r="EF16" s="155" t="n"/>
      <c r="EG16" s="155" t="n"/>
      <c r="EH16" s="155" t="n"/>
      <c r="EI16" s="155" t="n"/>
      <c r="EJ16" s="155" t="n"/>
      <c r="EK16" s="155" t="n"/>
      <c r="EL16" s="155" t="n"/>
      <c r="EM16" s="155" t="n"/>
      <c r="EN16" s="155" t="n"/>
      <c r="EO16" s="155" t="n"/>
      <c r="EP16" s="155" t="n"/>
      <c r="EQ16" s="155" t="n"/>
      <c r="ER16" s="155" t="n"/>
      <c r="ES16" s="155" t="n"/>
      <c r="ET16" s="155" t="n"/>
      <c r="EU16" s="155" t="n"/>
      <c r="EV16" s="155" t="n"/>
      <c r="EW16" s="155" t="n"/>
      <c r="EX16" s="155" t="n"/>
      <c r="EY16" s="155" t="n"/>
      <c r="EZ16" s="155" t="n"/>
      <c r="FA16" s="155" t="n"/>
      <c r="FB16" s="155" t="n"/>
      <c r="FC16" s="155" t="n"/>
      <c r="FD16" s="155" t="n"/>
      <c r="FE16" s="155" t="n"/>
      <c r="FF16" s="155" t="n"/>
      <c r="FG16" s="155" t="n"/>
      <c r="FH16" s="155" t="n"/>
      <c r="FI16" s="155" t="n"/>
      <c r="FJ16" s="155" t="n"/>
      <c r="FK16" s="155" t="n"/>
      <c r="FL16" s="155" t="n"/>
      <c r="FM16" s="155" t="n"/>
      <c r="FN16" s="155" t="n"/>
      <c r="FO16" s="155" t="n"/>
      <c r="FP16" s="155" t="n"/>
      <c r="FQ16" s="155" t="n"/>
      <c r="FR16" s="155" t="n"/>
      <c r="FS16" s="155" t="n"/>
      <c r="FT16" s="155" t="n"/>
      <c r="FU16" s="155" t="n"/>
      <c r="FV16" s="155" t="n"/>
      <c r="FW16" s="155" t="n"/>
      <c r="FX16" s="155" t="n"/>
      <c r="FY16" s="155" t="n"/>
      <c r="FZ16" s="155" t="n"/>
      <c r="GA16" s="155" t="n"/>
      <c r="GB16" s="155" t="n"/>
      <c r="GC16" s="155" t="n"/>
      <c r="GD16" s="155" t="n"/>
      <c r="GE16" s="155" t="n"/>
      <c r="GF16" s="155" t="n"/>
      <c r="GG16" s="155" t="n"/>
      <c r="GH16" s="155" t="n"/>
      <c r="GI16" s="155" t="n"/>
      <c r="GJ16" s="155" t="n"/>
      <c r="GK16" s="155" t="n"/>
      <c r="GL16" s="155" t="n"/>
      <c r="GM16" s="155" t="n"/>
      <c r="GN16" s="155" t="n"/>
      <c r="GO16" s="155" t="n"/>
      <c r="GP16" s="155" t="n"/>
      <c r="GQ16" s="155" t="n"/>
      <c r="GR16" s="155" t="n"/>
      <c r="GS16" s="155" t="n"/>
      <c r="GT16" s="155" t="n"/>
      <c r="GU16" s="155" t="n"/>
      <c r="GV16" s="155" t="n"/>
      <c r="GW16" s="155" t="n"/>
      <c r="GX16" s="155" t="n"/>
      <c r="GY16" s="155" t="n"/>
      <c r="GZ16" s="155" t="n"/>
      <c r="HA16" s="155" t="n"/>
      <c r="HB16" s="155" t="n"/>
      <c r="HC16" s="155" t="n"/>
      <c r="HD16" s="155" t="n"/>
      <c r="HE16" s="155" t="n"/>
      <c r="HF16" s="155" t="n"/>
      <c r="HG16" s="155" t="n"/>
      <c r="HH16" s="155" t="n"/>
      <c r="HI16" s="155" t="n"/>
      <c r="HJ16" s="155" t="n"/>
      <c r="HK16" s="155" t="n"/>
      <c r="HL16" s="155" t="n"/>
      <c r="HM16" s="155" t="n"/>
      <c r="HN16" s="155" t="n"/>
      <c r="HO16" s="155" t="n"/>
      <c r="HP16" s="155" t="n"/>
      <c r="HQ16" s="155" t="n"/>
      <c r="HR16" s="155" t="n"/>
      <c r="HS16" s="155" t="n"/>
      <c r="HT16" s="155" t="n"/>
      <c r="HU16" s="155" t="n"/>
      <c r="HV16" s="155" t="n"/>
      <c r="HW16" s="155" t="n"/>
      <c r="HX16" s="155" t="n"/>
      <c r="HY16" s="155" t="n"/>
      <c r="HZ16" s="155" t="n"/>
      <c r="IA16" s="155" t="n"/>
      <c r="IB16" s="155" t="n"/>
      <c r="IC16" s="155" t="n"/>
      <c r="ID16" s="155" t="n"/>
      <c r="IE16" s="155" t="n"/>
      <c r="IF16" s="155" t="n"/>
      <c r="IG16" s="155" t="n"/>
      <c r="IH16" s="155" t="n"/>
      <c r="II16" s="155" t="n"/>
      <c r="IJ16" s="155" t="n"/>
      <c r="IK16" s="155" t="n"/>
      <c r="IL16" s="155" t="n"/>
      <c r="IM16" s="155" t="n"/>
      <c r="IN16" s="155" t="n"/>
      <c r="IO16" s="155" t="n"/>
      <c r="IP16" s="155" t="n"/>
      <c r="IQ16" s="155" t="n"/>
      <c r="IR16" s="155" t="n"/>
      <c r="IS16" s="155" t="n"/>
      <c r="IT16" s="155" t="n"/>
      <c r="IU16" s="155" t="n"/>
      <c r="IV16" s="155" t="n"/>
      <c r="IW16" s="155" t="n"/>
      <c r="IX16" s="155" t="n"/>
      <c r="IY16" s="155" t="n"/>
      <c r="IZ16" s="155" t="n"/>
      <c r="JA16" s="155" t="n"/>
      <c r="JB16" s="155" t="n"/>
      <c r="JC16" s="155" t="n"/>
      <c r="JD16" s="155" t="n"/>
      <c r="JE16" s="155" t="n"/>
      <c r="JF16" s="155" t="n"/>
      <c r="JG16" s="155" t="n"/>
      <c r="JH16" s="155" t="n"/>
      <c r="JI16" s="155" t="n"/>
      <c r="JJ16" s="155" t="n"/>
      <c r="JK16" s="155" t="n"/>
      <c r="JL16" s="155" t="n"/>
      <c r="JM16" s="155" t="n"/>
      <c r="JN16" s="155" t="n"/>
      <c r="JO16" s="155" t="n"/>
      <c r="JP16" s="155" t="n"/>
      <c r="JQ16" s="155" t="n"/>
      <c r="JR16" s="155" t="n"/>
      <c r="JS16" s="155" t="n"/>
      <c r="JT16" s="155" t="n"/>
      <c r="JU16" s="155" t="n"/>
      <c r="JV16" s="155" t="n"/>
      <c r="JW16" s="155" t="n"/>
      <c r="JX16" s="155" t="n"/>
      <c r="JY16" s="155" t="n"/>
      <c r="JZ16" s="155" t="n"/>
      <c r="KA16" s="155" t="n"/>
      <c r="KB16" s="155" t="n"/>
      <c r="KC16" s="155" t="n"/>
      <c r="KD16" s="155" t="n"/>
      <c r="KE16" s="155" t="n"/>
      <c r="KF16" s="155" t="n"/>
      <c r="KG16" s="155" t="n"/>
      <c r="KH16" s="155" t="n"/>
      <c r="KI16" s="155" t="n"/>
      <c r="KJ16" s="155" t="n"/>
      <c r="KK16" s="155" t="n"/>
      <c r="KL16" s="155" t="n"/>
      <c r="KM16" s="155" t="n"/>
      <c r="KN16" s="155" t="n"/>
      <c r="KO16" s="155" t="n"/>
      <c r="KP16" s="155" t="n"/>
      <c r="KQ16" s="155" t="n"/>
      <c r="KR16" s="155" t="n"/>
      <c r="KS16" s="155" t="n"/>
      <c r="KT16" s="155" t="n"/>
      <c r="KU16" s="155" t="n"/>
      <c r="KV16" s="155" t="n"/>
      <c r="KW16" s="155" t="n"/>
      <c r="KX16" s="155" t="n"/>
      <c r="KY16" s="155" t="n"/>
      <c r="KZ16" s="155" t="n"/>
      <c r="LA16" s="155" t="n"/>
      <c r="LB16" s="155" t="n"/>
      <c r="LC16" s="155" t="n"/>
      <c r="LD16" s="155" t="n"/>
      <c r="LE16" s="155" t="n"/>
      <c r="LF16" s="155" t="n"/>
      <c r="LG16" s="155" t="n"/>
      <c r="LH16" s="155" t="n"/>
      <c r="LI16" s="155" t="n"/>
      <c r="LJ16" s="155" t="n"/>
      <c r="LK16" s="155" t="n"/>
      <c r="LL16" s="155" t="n"/>
      <c r="LM16" s="155" t="n"/>
      <c r="LN16" s="155" t="n"/>
      <c r="LO16" s="155" t="n"/>
      <c r="LP16" s="155" t="n"/>
      <c r="LQ16" s="155" t="n"/>
      <c r="LR16" s="155" t="n"/>
      <c r="LS16" s="155" t="n"/>
      <c r="LT16" s="155" t="n"/>
      <c r="LU16" s="155" t="n"/>
      <c r="LV16" s="155" t="n"/>
      <c r="LW16" s="155" t="n"/>
      <c r="LX16" s="155" t="n"/>
      <c r="LY16" s="155" t="n"/>
      <c r="LZ16" s="155" t="n"/>
      <c r="MA16" s="155" t="n"/>
      <c r="MB16" s="155" t="n"/>
      <c r="MC16" s="155" t="n"/>
      <c r="MD16" s="155" t="n"/>
      <c r="ME16" s="155" t="n"/>
      <c r="MF16" s="155" t="n"/>
      <c r="MG16" s="155" t="n"/>
      <c r="MH16" s="155" t="n"/>
      <c r="MI16" s="155" t="n"/>
      <c r="MJ16" s="155" t="n"/>
      <c r="MK16" s="155" t="n"/>
      <c r="ML16" s="155" t="n"/>
      <c r="MM16" s="155" t="n"/>
      <c r="MN16" s="155" t="n"/>
      <c r="MO16" s="155" t="n"/>
      <c r="MP16" s="155" t="n"/>
      <c r="MQ16" s="155" t="n"/>
      <c r="MR16" s="155" t="n"/>
      <c r="MS16" s="155" t="n"/>
      <c r="MT16" s="155" t="n"/>
      <c r="MU16" s="155" t="n"/>
      <c r="MV16" s="155" t="n"/>
      <c r="MW16" s="155" t="n"/>
      <c r="MX16" s="155" t="n"/>
      <c r="MY16" s="155" t="n"/>
      <c r="MZ16" s="155" t="n"/>
      <c r="NA16" s="155" t="n"/>
      <c r="NB16" s="155" t="n"/>
      <c r="NC16" s="155" t="n"/>
      <c r="ND16" s="155" t="n"/>
      <c r="NE16" s="155" t="n"/>
      <c r="NF16" s="155" t="n"/>
      <c r="NG16" s="155" t="n"/>
      <c r="NH16" s="155" t="n"/>
      <c r="NI16" s="155" t="n"/>
      <c r="NJ16" s="155" t="n"/>
      <c r="NK16" s="155" t="n"/>
      <c r="NL16" s="155" t="n"/>
    </row>
    <row r="17">
      <c r="B17" s="316" t="inlineStr">
        <is>
          <t>Construction Debt Draw</t>
        </is>
      </c>
      <c r="D17" s="402">
        <f>SUM(E17:NL17)</f>
        <v/>
      </c>
      <c r="E17" s="402">
        <f>ConLoan!E$29</f>
        <v/>
      </c>
      <c r="F17" s="402">
        <f>ConLoan!F$29</f>
        <v/>
      </c>
      <c r="G17" s="402">
        <f>ConLoan!G$29</f>
        <v/>
      </c>
      <c r="H17" s="402">
        <f>ConLoan!H$29</f>
        <v/>
      </c>
      <c r="I17" s="402">
        <f>ConLoan!I$29</f>
        <v/>
      </c>
      <c r="J17" s="402">
        <f>ConLoan!J$29</f>
        <v/>
      </c>
      <c r="K17" s="402">
        <f>ConLoan!K$29</f>
        <v/>
      </c>
      <c r="L17" s="402">
        <f>ConLoan!L$29</f>
        <v/>
      </c>
      <c r="M17" s="402">
        <f>ConLoan!M$29</f>
        <v/>
      </c>
      <c r="N17" s="402">
        <f>ConLoan!N$29</f>
        <v/>
      </c>
      <c r="O17" s="402">
        <f>ConLoan!O$29</f>
        <v/>
      </c>
      <c r="P17" s="402">
        <f>ConLoan!P$29</f>
        <v/>
      </c>
      <c r="Q17" s="402">
        <f>ConLoan!Q$29</f>
        <v/>
      </c>
      <c r="R17" s="402">
        <f>ConLoan!R$29</f>
        <v/>
      </c>
      <c r="S17" s="402">
        <f>ConLoan!S$29</f>
        <v/>
      </c>
      <c r="T17" s="402">
        <f>ConLoan!T$29</f>
        <v/>
      </c>
      <c r="U17" s="402">
        <f>ConLoan!U$29</f>
        <v/>
      </c>
      <c r="V17" s="402">
        <f>ConLoan!V$29</f>
        <v/>
      </c>
      <c r="W17" s="402">
        <f>ConLoan!W$29</f>
        <v/>
      </c>
      <c r="X17" s="402">
        <f>ConLoan!X$29</f>
        <v/>
      </c>
      <c r="Y17" s="402">
        <f>ConLoan!Y$29</f>
        <v/>
      </c>
      <c r="Z17" s="402">
        <f>ConLoan!Z$29</f>
        <v/>
      </c>
      <c r="AA17" s="402">
        <f>ConLoan!AA$29</f>
        <v/>
      </c>
      <c r="AB17" s="402">
        <f>ConLoan!AB$29</f>
        <v/>
      </c>
      <c r="AC17" s="402">
        <f>ConLoan!AC$29</f>
        <v/>
      </c>
      <c r="AD17" s="402">
        <f>ConLoan!AD$29</f>
        <v/>
      </c>
      <c r="AE17" s="402">
        <f>ConLoan!AE$29</f>
        <v/>
      </c>
      <c r="AF17" s="402">
        <f>ConLoan!AF$29</f>
        <v/>
      </c>
      <c r="AG17" s="402">
        <f>ConLoan!AG$29</f>
        <v/>
      </c>
      <c r="AH17" s="402">
        <f>ConLoan!AH$29</f>
        <v/>
      </c>
      <c r="AI17" s="402">
        <f>ConLoan!AI$29</f>
        <v/>
      </c>
      <c r="AJ17" s="402">
        <f>ConLoan!AJ$29</f>
        <v/>
      </c>
      <c r="AK17" s="402">
        <f>ConLoan!AK$29</f>
        <v/>
      </c>
      <c r="AL17" s="402">
        <f>ConLoan!AL$29</f>
        <v/>
      </c>
      <c r="AM17" s="402">
        <f>ConLoan!AM$29</f>
        <v/>
      </c>
      <c r="AN17" s="402">
        <f>ConLoan!AN$29</f>
        <v/>
      </c>
      <c r="AO17" s="402">
        <f>ConLoan!AO$29</f>
        <v/>
      </c>
      <c r="AP17" s="402">
        <f>ConLoan!AP$29</f>
        <v/>
      </c>
      <c r="AQ17" s="402">
        <f>ConLoan!AQ$29</f>
        <v/>
      </c>
      <c r="AR17" s="402">
        <f>ConLoan!AR$29</f>
        <v/>
      </c>
      <c r="AS17" s="402">
        <f>ConLoan!AS$29</f>
        <v/>
      </c>
      <c r="AT17" s="402">
        <f>ConLoan!AT$29</f>
        <v/>
      </c>
      <c r="AU17" s="402">
        <f>ConLoan!AU$29</f>
        <v/>
      </c>
      <c r="AV17" s="402">
        <f>ConLoan!AV$29</f>
        <v/>
      </c>
      <c r="AW17" s="402">
        <f>ConLoan!AW$29</f>
        <v/>
      </c>
      <c r="AX17" s="402">
        <f>ConLoan!AX$29</f>
        <v/>
      </c>
      <c r="AY17" s="402">
        <f>ConLoan!AY$29</f>
        <v/>
      </c>
      <c r="AZ17" s="402">
        <f>ConLoan!AZ$29</f>
        <v/>
      </c>
      <c r="BA17" s="402">
        <f>ConLoan!BA$29</f>
        <v/>
      </c>
      <c r="BB17" s="402">
        <f>ConLoan!BB$29</f>
        <v/>
      </c>
      <c r="BC17" s="402">
        <f>ConLoan!BC$29</f>
        <v/>
      </c>
      <c r="BD17" s="402">
        <f>ConLoan!BD$29</f>
        <v/>
      </c>
      <c r="BE17" s="402">
        <f>ConLoan!BE$29</f>
        <v/>
      </c>
      <c r="BF17" s="402">
        <f>ConLoan!BF$29</f>
        <v/>
      </c>
      <c r="BG17" s="402">
        <f>ConLoan!BG$29</f>
        <v/>
      </c>
      <c r="BH17" s="402">
        <f>ConLoan!BH$29</f>
        <v/>
      </c>
      <c r="BI17" s="402">
        <f>ConLoan!BI$29</f>
        <v/>
      </c>
      <c r="BJ17" s="402">
        <f>ConLoan!BJ$29</f>
        <v/>
      </c>
      <c r="BK17" s="402">
        <f>ConLoan!BK$29</f>
        <v/>
      </c>
      <c r="BL17" s="402">
        <f>ConLoan!BL$29</f>
        <v/>
      </c>
      <c r="BM17" s="402">
        <f>ConLoan!BM$29</f>
        <v/>
      </c>
      <c r="BN17" s="402">
        <f>ConLoan!BN$29</f>
        <v/>
      </c>
      <c r="BO17" s="402">
        <f>ConLoan!BO$29</f>
        <v/>
      </c>
      <c r="BP17" s="402">
        <f>ConLoan!BP$29</f>
        <v/>
      </c>
      <c r="BQ17" s="402">
        <f>ConLoan!BQ$29</f>
        <v/>
      </c>
      <c r="BR17" s="402">
        <f>ConLoan!BR$29</f>
        <v/>
      </c>
      <c r="BS17" s="402">
        <f>ConLoan!BS$29</f>
        <v/>
      </c>
      <c r="BT17" s="402">
        <f>ConLoan!BT$29</f>
        <v/>
      </c>
      <c r="BU17" s="402">
        <f>ConLoan!BU$29</f>
        <v/>
      </c>
      <c r="BV17" s="402">
        <f>ConLoan!BV$29</f>
        <v/>
      </c>
      <c r="BW17" s="402">
        <f>ConLoan!BW$29</f>
        <v/>
      </c>
      <c r="BX17" s="402">
        <f>ConLoan!BX$29</f>
        <v/>
      </c>
      <c r="BY17" s="402">
        <f>ConLoan!BY$29</f>
        <v/>
      </c>
      <c r="BZ17" s="402">
        <f>ConLoan!BZ$29</f>
        <v/>
      </c>
      <c r="CA17" s="402">
        <f>ConLoan!CA$29</f>
        <v/>
      </c>
      <c r="CB17" s="402">
        <f>ConLoan!CB$29</f>
        <v/>
      </c>
      <c r="CC17" s="402">
        <f>ConLoan!CC$29</f>
        <v/>
      </c>
      <c r="CD17" s="402">
        <f>ConLoan!CD$29</f>
        <v/>
      </c>
      <c r="CE17" s="402">
        <f>ConLoan!CE$29</f>
        <v/>
      </c>
      <c r="CF17" s="402">
        <f>ConLoan!CF$29</f>
        <v/>
      </c>
      <c r="CG17" s="402">
        <f>ConLoan!CG$29</f>
        <v/>
      </c>
      <c r="CH17" s="402">
        <f>ConLoan!CH$29</f>
        <v/>
      </c>
      <c r="CI17" s="402">
        <f>ConLoan!CI$29</f>
        <v/>
      </c>
      <c r="CJ17" s="402">
        <f>ConLoan!CJ$29</f>
        <v/>
      </c>
      <c r="CK17" s="402">
        <f>ConLoan!CK$29</f>
        <v/>
      </c>
      <c r="CL17" s="402">
        <f>ConLoan!CL$29</f>
        <v/>
      </c>
      <c r="CM17" s="402">
        <f>ConLoan!CM$29</f>
        <v/>
      </c>
      <c r="CN17" s="402">
        <f>ConLoan!CN$29</f>
        <v/>
      </c>
      <c r="CO17" s="402">
        <f>ConLoan!CO$29</f>
        <v/>
      </c>
      <c r="CP17" s="402">
        <f>ConLoan!CP$29</f>
        <v/>
      </c>
      <c r="CQ17" s="402">
        <f>ConLoan!CQ$29</f>
        <v/>
      </c>
      <c r="CR17" s="402">
        <f>ConLoan!CR$29</f>
        <v/>
      </c>
      <c r="CS17" s="402">
        <f>ConLoan!CS$29</f>
        <v/>
      </c>
      <c r="CT17" s="402">
        <f>ConLoan!CT$29</f>
        <v/>
      </c>
      <c r="CU17" s="402">
        <f>ConLoan!CU$29</f>
        <v/>
      </c>
      <c r="CV17" s="402">
        <f>ConLoan!CV$29</f>
        <v/>
      </c>
      <c r="CW17" s="402">
        <f>ConLoan!CW$29</f>
        <v/>
      </c>
      <c r="CX17" s="402">
        <f>ConLoan!CX$29</f>
        <v/>
      </c>
      <c r="CY17" s="402">
        <f>ConLoan!CY$29</f>
        <v/>
      </c>
      <c r="CZ17" s="402">
        <f>ConLoan!CZ$29</f>
        <v/>
      </c>
      <c r="DA17" s="402">
        <f>ConLoan!DA$29</f>
        <v/>
      </c>
      <c r="DB17" s="402">
        <f>ConLoan!DB$29</f>
        <v/>
      </c>
      <c r="DC17" s="402">
        <f>ConLoan!DC$29</f>
        <v/>
      </c>
      <c r="DD17" s="402">
        <f>ConLoan!DD$29</f>
        <v/>
      </c>
      <c r="DE17" s="402">
        <f>ConLoan!DE$29</f>
        <v/>
      </c>
      <c r="DF17" s="402">
        <f>ConLoan!DF$29</f>
        <v/>
      </c>
      <c r="DG17" s="402">
        <f>ConLoan!DG$29</f>
        <v/>
      </c>
      <c r="DH17" s="402">
        <f>ConLoan!DH$29</f>
        <v/>
      </c>
      <c r="DI17" s="402">
        <f>ConLoan!DI$29</f>
        <v/>
      </c>
      <c r="DJ17" s="402">
        <f>ConLoan!DJ$29</f>
        <v/>
      </c>
      <c r="DK17" s="402">
        <f>ConLoan!DK$29</f>
        <v/>
      </c>
      <c r="DL17" s="402">
        <f>ConLoan!DL$29</f>
        <v/>
      </c>
      <c r="DM17" s="402">
        <f>ConLoan!DM$29</f>
        <v/>
      </c>
      <c r="DN17" s="402">
        <f>ConLoan!DN$29</f>
        <v/>
      </c>
      <c r="DO17" s="402">
        <f>ConLoan!DO$29</f>
        <v/>
      </c>
      <c r="DP17" s="402">
        <f>ConLoan!DP$29</f>
        <v/>
      </c>
      <c r="DQ17" s="402">
        <f>ConLoan!DQ$29</f>
        <v/>
      </c>
      <c r="DR17" s="402">
        <f>ConLoan!DR$29</f>
        <v/>
      </c>
      <c r="DS17" s="402">
        <f>ConLoan!DS$29</f>
        <v/>
      </c>
      <c r="DT17" s="402">
        <f>ConLoan!DT$29</f>
        <v/>
      </c>
      <c r="DU17" s="402">
        <f>ConLoan!DU$29</f>
        <v/>
      </c>
      <c r="DV17" s="402">
        <f>ConLoan!DV$29</f>
        <v/>
      </c>
      <c r="DW17" s="402">
        <f>ConLoan!DW$29</f>
        <v/>
      </c>
      <c r="DX17" s="402">
        <f>ConLoan!DX$29</f>
        <v/>
      </c>
      <c r="DY17" s="402">
        <f>ConLoan!DY$29</f>
        <v/>
      </c>
      <c r="DZ17" s="402">
        <f>ConLoan!DZ$29</f>
        <v/>
      </c>
      <c r="EA17" s="402">
        <f>ConLoan!EA$29</f>
        <v/>
      </c>
      <c r="EB17" s="402">
        <f>ConLoan!EB$29</f>
        <v/>
      </c>
      <c r="EC17" s="402">
        <f>ConLoan!EC$29</f>
        <v/>
      </c>
      <c r="ED17" s="402">
        <f>ConLoan!ED$29</f>
        <v/>
      </c>
      <c r="EE17" s="402">
        <f>ConLoan!EE$29</f>
        <v/>
      </c>
      <c r="EF17" s="402">
        <f>ConLoan!EF$29</f>
        <v/>
      </c>
      <c r="EG17" s="402">
        <f>ConLoan!EG$29</f>
        <v/>
      </c>
      <c r="EH17" s="402">
        <f>ConLoan!EH$29</f>
        <v/>
      </c>
      <c r="EI17" s="402">
        <f>ConLoan!EI$29</f>
        <v/>
      </c>
      <c r="EJ17" s="402">
        <f>ConLoan!EJ$29</f>
        <v/>
      </c>
      <c r="EK17" s="402">
        <f>ConLoan!EK$29</f>
        <v/>
      </c>
      <c r="EL17" s="402">
        <f>ConLoan!EL$29</f>
        <v/>
      </c>
      <c r="EM17" s="402">
        <f>ConLoan!EM$29</f>
        <v/>
      </c>
      <c r="EN17" s="402">
        <f>ConLoan!EN$29</f>
        <v/>
      </c>
      <c r="EO17" s="402">
        <f>ConLoan!EO$29</f>
        <v/>
      </c>
      <c r="EP17" s="402">
        <f>ConLoan!EP$29</f>
        <v/>
      </c>
      <c r="EQ17" s="402">
        <f>ConLoan!EQ$29</f>
        <v/>
      </c>
      <c r="ER17" s="402">
        <f>ConLoan!ER$29</f>
        <v/>
      </c>
      <c r="ES17" s="402">
        <f>ConLoan!ES$29</f>
        <v/>
      </c>
      <c r="ET17" s="402">
        <f>ConLoan!ET$29</f>
        <v/>
      </c>
      <c r="EU17" s="402">
        <f>ConLoan!EU$29</f>
        <v/>
      </c>
      <c r="EV17" s="402">
        <f>ConLoan!EV$29</f>
        <v/>
      </c>
      <c r="EW17" s="402">
        <f>ConLoan!EW$29</f>
        <v/>
      </c>
      <c r="EX17" s="402">
        <f>ConLoan!EX$29</f>
        <v/>
      </c>
      <c r="EY17" s="402">
        <f>ConLoan!EY$29</f>
        <v/>
      </c>
      <c r="EZ17" s="402">
        <f>ConLoan!EZ$29</f>
        <v/>
      </c>
      <c r="FA17" s="402">
        <f>ConLoan!FA$29</f>
        <v/>
      </c>
      <c r="FB17" s="402">
        <f>ConLoan!FB$29</f>
        <v/>
      </c>
      <c r="FC17" s="402">
        <f>ConLoan!FC$29</f>
        <v/>
      </c>
      <c r="FD17" s="402">
        <f>ConLoan!FD$29</f>
        <v/>
      </c>
      <c r="FE17" s="402">
        <f>ConLoan!FE$29</f>
        <v/>
      </c>
      <c r="FF17" s="402">
        <f>ConLoan!FF$29</f>
        <v/>
      </c>
      <c r="FG17" s="402">
        <f>ConLoan!FG$29</f>
        <v/>
      </c>
      <c r="FH17" s="402">
        <f>ConLoan!FH$29</f>
        <v/>
      </c>
      <c r="FI17" s="402">
        <f>ConLoan!FI$29</f>
        <v/>
      </c>
      <c r="FJ17" s="402">
        <f>ConLoan!FJ$29</f>
        <v/>
      </c>
      <c r="FK17" s="402">
        <f>ConLoan!FK$29</f>
        <v/>
      </c>
      <c r="FL17" s="402">
        <f>ConLoan!FL$29</f>
        <v/>
      </c>
      <c r="FM17" s="402">
        <f>ConLoan!FM$29</f>
        <v/>
      </c>
      <c r="FN17" s="402">
        <f>ConLoan!FN$29</f>
        <v/>
      </c>
      <c r="FO17" s="402">
        <f>ConLoan!FO$29</f>
        <v/>
      </c>
      <c r="FP17" s="402">
        <f>ConLoan!FP$29</f>
        <v/>
      </c>
      <c r="FQ17" s="402">
        <f>ConLoan!FQ$29</f>
        <v/>
      </c>
      <c r="FR17" s="402">
        <f>ConLoan!FR$29</f>
        <v/>
      </c>
      <c r="FS17" s="402">
        <f>ConLoan!FS$29</f>
        <v/>
      </c>
      <c r="FT17" s="402">
        <f>ConLoan!FT$29</f>
        <v/>
      </c>
      <c r="FU17" s="402">
        <f>ConLoan!FU$29</f>
        <v/>
      </c>
      <c r="FV17" s="402">
        <f>ConLoan!FV$29</f>
        <v/>
      </c>
      <c r="FW17" s="402">
        <f>ConLoan!FW$29</f>
        <v/>
      </c>
      <c r="FX17" s="402">
        <f>ConLoan!FX$29</f>
        <v/>
      </c>
      <c r="FY17" s="402">
        <f>ConLoan!FY$29</f>
        <v/>
      </c>
      <c r="FZ17" s="402">
        <f>ConLoan!FZ$29</f>
        <v/>
      </c>
      <c r="GA17" s="402">
        <f>ConLoan!GA$29</f>
        <v/>
      </c>
      <c r="GB17" s="402">
        <f>ConLoan!GB$29</f>
        <v/>
      </c>
      <c r="GC17" s="402">
        <f>ConLoan!GC$29</f>
        <v/>
      </c>
      <c r="GD17" s="402">
        <f>ConLoan!GD$29</f>
        <v/>
      </c>
      <c r="GE17" s="402">
        <f>ConLoan!GE$29</f>
        <v/>
      </c>
      <c r="GF17" s="402">
        <f>ConLoan!GF$29</f>
        <v/>
      </c>
      <c r="GG17" s="402">
        <f>ConLoan!GG$29</f>
        <v/>
      </c>
      <c r="GH17" s="402">
        <f>ConLoan!GH$29</f>
        <v/>
      </c>
      <c r="GI17" s="402">
        <f>ConLoan!GI$29</f>
        <v/>
      </c>
      <c r="GJ17" s="402">
        <f>ConLoan!GJ$29</f>
        <v/>
      </c>
      <c r="GK17" s="402">
        <f>ConLoan!GK$29</f>
        <v/>
      </c>
      <c r="GL17" s="402">
        <f>ConLoan!GL$29</f>
        <v/>
      </c>
      <c r="GM17" s="402">
        <f>ConLoan!GM$29</f>
        <v/>
      </c>
      <c r="GN17" s="402">
        <f>ConLoan!GN$29</f>
        <v/>
      </c>
      <c r="GO17" s="402">
        <f>ConLoan!GO$29</f>
        <v/>
      </c>
      <c r="GP17" s="402">
        <f>ConLoan!GP$29</f>
        <v/>
      </c>
      <c r="GQ17" s="402">
        <f>ConLoan!GQ$29</f>
        <v/>
      </c>
      <c r="GR17" s="402">
        <f>ConLoan!GR$29</f>
        <v/>
      </c>
      <c r="GS17" s="402">
        <f>ConLoan!GS$29</f>
        <v/>
      </c>
      <c r="GT17" s="402">
        <f>ConLoan!GT$29</f>
        <v/>
      </c>
      <c r="GU17" s="402">
        <f>ConLoan!GU$29</f>
        <v/>
      </c>
      <c r="GV17" s="402">
        <f>ConLoan!GV$29</f>
        <v/>
      </c>
      <c r="GW17" s="402">
        <f>ConLoan!GW$29</f>
        <v/>
      </c>
      <c r="GX17" s="402">
        <f>ConLoan!GX$29</f>
        <v/>
      </c>
      <c r="GY17" s="402">
        <f>ConLoan!GY$29</f>
        <v/>
      </c>
      <c r="GZ17" s="402">
        <f>ConLoan!GZ$29</f>
        <v/>
      </c>
      <c r="HA17" s="402">
        <f>ConLoan!HA$29</f>
        <v/>
      </c>
      <c r="HB17" s="402">
        <f>ConLoan!HB$29</f>
        <v/>
      </c>
      <c r="HC17" s="402">
        <f>ConLoan!HC$29</f>
        <v/>
      </c>
      <c r="HD17" s="402">
        <f>ConLoan!HD$29</f>
        <v/>
      </c>
      <c r="HE17" s="402">
        <f>ConLoan!HE$29</f>
        <v/>
      </c>
      <c r="HF17" s="402">
        <f>ConLoan!HF$29</f>
        <v/>
      </c>
      <c r="HG17" s="402">
        <f>ConLoan!HG$29</f>
        <v/>
      </c>
      <c r="HH17" s="402">
        <f>ConLoan!HH$29</f>
        <v/>
      </c>
      <c r="HI17" s="402">
        <f>ConLoan!HI$29</f>
        <v/>
      </c>
      <c r="HJ17" s="402">
        <f>ConLoan!HJ$29</f>
        <v/>
      </c>
      <c r="HK17" s="402">
        <f>ConLoan!HK$29</f>
        <v/>
      </c>
      <c r="HL17" s="402">
        <f>ConLoan!HL$29</f>
        <v/>
      </c>
      <c r="HM17" s="402">
        <f>ConLoan!HM$29</f>
        <v/>
      </c>
      <c r="HN17" s="402">
        <f>ConLoan!HN$29</f>
        <v/>
      </c>
      <c r="HO17" s="402">
        <f>ConLoan!HO$29</f>
        <v/>
      </c>
      <c r="HP17" s="402">
        <f>ConLoan!HP$29</f>
        <v/>
      </c>
      <c r="HQ17" s="402">
        <f>ConLoan!HQ$29</f>
        <v/>
      </c>
      <c r="HR17" s="402">
        <f>ConLoan!HR$29</f>
        <v/>
      </c>
      <c r="HS17" s="402">
        <f>ConLoan!HS$29</f>
        <v/>
      </c>
      <c r="HT17" s="402">
        <f>ConLoan!HT$29</f>
        <v/>
      </c>
      <c r="HU17" s="402">
        <f>ConLoan!HU$29</f>
        <v/>
      </c>
      <c r="HV17" s="402">
        <f>ConLoan!HV$29</f>
        <v/>
      </c>
      <c r="HW17" s="402">
        <f>ConLoan!HW$29</f>
        <v/>
      </c>
      <c r="HX17" s="402">
        <f>ConLoan!HX$29</f>
        <v/>
      </c>
      <c r="HY17" s="402">
        <f>ConLoan!HY$29</f>
        <v/>
      </c>
      <c r="HZ17" s="402">
        <f>ConLoan!HZ$29</f>
        <v/>
      </c>
      <c r="IA17" s="402">
        <f>ConLoan!IA$29</f>
        <v/>
      </c>
      <c r="IB17" s="402">
        <f>ConLoan!IB$29</f>
        <v/>
      </c>
      <c r="IC17" s="402">
        <f>ConLoan!IC$29</f>
        <v/>
      </c>
      <c r="ID17" s="402">
        <f>ConLoan!ID$29</f>
        <v/>
      </c>
      <c r="IE17" s="402">
        <f>ConLoan!IE$29</f>
        <v/>
      </c>
      <c r="IF17" s="402">
        <f>ConLoan!IF$29</f>
        <v/>
      </c>
      <c r="IG17" s="402">
        <f>ConLoan!IG$29</f>
        <v/>
      </c>
      <c r="IH17" s="402">
        <f>ConLoan!IH$29</f>
        <v/>
      </c>
      <c r="II17" s="402">
        <f>ConLoan!II$29</f>
        <v/>
      </c>
      <c r="IJ17" s="402">
        <f>ConLoan!IJ$29</f>
        <v/>
      </c>
      <c r="IK17" s="402">
        <f>ConLoan!IK$29</f>
        <v/>
      </c>
      <c r="IL17" s="402">
        <f>ConLoan!IL$29</f>
        <v/>
      </c>
      <c r="IM17" s="402">
        <f>ConLoan!IM$29</f>
        <v/>
      </c>
      <c r="IN17" s="402">
        <f>ConLoan!IN$29</f>
        <v/>
      </c>
      <c r="IO17" s="402">
        <f>ConLoan!IO$29</f>
        <v/>
      </c>
      <c r="IP17" s="402">
        <f>ConLoan!IP$29</f>
        <v/>
      </c>
      <c r="IQ17" s="402">
        <f>ConLoan!IQ$29</f>
        <v/>
      </c>
      <c r="IR17" s="402">
        <f>ConLoan!IR$29</f>
        <v/>
      </c>
      <c r="IS17" s="402">
        <f>ConLoan!IS$29</f>
        <v/>
      </c>
      <c r="IT17" s="402">
        <f>ConLoan!IT$29</f>
        <v/>
      </c>
      <c r="IU17" s="402">
        <f>ConLoan!IU$29</f>
        <v/>
      </c>
      <c r="IV17" s="402">
        <f>ConLoan!IV$29</f>
        <v/>
      </c>
      <c r="IW17" s="402">
        <f>ConLoan!IW$29</f>
        <v/>
      </c>
      <c r="IX17" s="402">
        <f>ConLoan!IX$29</f>
        <v/>
      </c>
      <c r="IY17" s="402">
        <f>ConLoan!IY$29</f>
        <v/>
      </c>
      <c r="IZ17" s="402">
        <f>ConLoan!IZ$29</f>
        <v/>
      </c>
      <c r="JA17" s="402">
        <f>ConLoan!JA$29</f>
        <v/>
      </c>
      <c r="JB17" s="402">
        <f>ConLoan!JB$29</f>
        <v/>
      </c>
      <c r="JC17" s="402">
        <f>ConLoan!JC$29</f>
        <v/>
      </c>
      <c r="JD17" s="402">
        <f>ConLoan!JD$29</f>
        <v/>
      </c>
      <c r="JE17" s="402">
        <f>ConLoan!JE$29</f>
        <v/>
      </c>
      <c r="JF17" s="402">
        <f>ConLoan!JF$29</f>
        <v/>
      </c>
      <c r="JG17" s="402">
        <f>ConLoan!JG$29</f>
        <v/>
      </c>
      <c r="JH17" s="402">
        <f>ConLoan!JH$29</f>
        <v/>
      </c>
      <c r="JI17" s="402">
        <f>ConLoan!JI$29</f>
        <v/>
      </c>
      <c r="JJ17" s="402">
        <f>ConLoan!JJ$29</f>
        <v/>
      </c>
      <c r="JK17" s="402">
        <f>ConLoan!JK$29</f>
        <v/>
      </c>
      <c r="JL17" s="402">
        <f>ConLoan!JL$29</f>
        <v/>
      </c>
      <c r="JM17" s="402">
        <f>ConLoan!JM$29</f>
        <v/>
      </c>
      <c r="JN17" s="402">
        <f>ConLoan!JN$29</f>
        <v/>
      </c>
      <c r="JO17" s="402">
        <f>ConLoan!JO$29</f>
        <v/>
      </c>
      <c r="JP17" s="402">
        <f>ConLoan!JP$29</f>
        <v/>
      </c>
      <c r="JQ17" s="402">
        <f>ConLoan!JQ$29</f>
        <v/>
      </c>
      <c r="JR17" s="402">
        <f>ConLoan!JR$29</f>
        <v/>
      </c>
      <c r="JS17" s="402">
        <f>ConLoan!JS$29</f>
        <v/>
      </c>
      <c r="JT17" s="402">
        <f>ConLoan!JT$29</f>
        <v/>
      </c>
      <c r="JU17" s="402">
        <f>ConLoan!JU$29</f>
        <v/>
      </c>
      <c r="JV17" s="402">
        <f>ConLoan!JV$29</f>
        <v/>
      </c>
      <c r="JW17" s="402">
        <f>ConLoan!JW$29</f>
        <v/>
      </c>
      <c r="JX17" s="402">
        <f>ConLoan!JX$29</f>
        <v/>
      </c>
      <c r="JY17" s="402">
        <f>ConLoan!JY$29</f>
        <v/>
      </c>
      <c r="JZ17" s="402">
        <f>ConLoan!JZ$29</f>
        <v/>
      </c>
      <c r="KA17" s="402">
        <f>ConLoan!KA$29</f>
        <v/>
      </c>
      <c r="KB17" s="402">
        <f>ConLoan!KB$29</f>
        <v/>
      </c>
      <c r="KC17" s="402">
        <f>ConLoan!KC$29</f>
        <v/>
      </c>
      <c r="KD17" s="402">
        <f>ConLoan!KD$29</f>
        <v/>
      </c>
      <c r="KE17" s="402">
        <f>ConLoan!KE$29</f>
        <v/>
      </c>
      <c r="KF17" s="402">
        <f>ConLoan!KF$29</f>
        <v/>
      </c>
      <c r="KG17" s="402">
        <f>ConLoan!KG$29</f>
        <v/>
      </c>
      <c r="KH17" s="402">
        <f>ConLoan!KH$29</f>
        <v/>
      </c>
      <c r="KI17" s="402">
        <f>ConLoan!KI$29</f>
        <v/>
      </c>
      <c r="KJ17" s="402">
        <f>ConLoan!KJ$29</f>
        <v/>
      </c>
      <c r="KK17" s="402">
        <f>ConLoan!KK$29</f>
        <v/>
      </c>
      <c r="KL17" s="402">
        <f>ConLoan!KL$29</f>
        <v/>
      </c>
      <c r="KM17" s="402">
        <f>ConLoan!KM$29</f>
        <v/>
      </c>
      <c r="KN17" s="402">
        <f>ConLoan!KN$29</f>
        <v/>
      </c>
      <c r="KO17" s="402">
        <f>ConLoan!KO$29</f>
        <v/>
      </c>
      <c r="KP17" s="402">
        <f>ConLoan!KP$29</f>
        <v/>
      </c>
      <c r="KQ17" s="402">
        <f>ConLoan!KQ$29</f>
        <v/>
      </c>
      <c r="KR17" s="402">
        <f>ConLoan!KR$29</f>
        <v/>
      </c>
      <c r="KS17" s="402">
        <f>ConLoan!KS$29</f>
        <v/>
      </c>
      <c r="KT17" s="402">
        <f>ConLoan!KT$29</f>
        <v/>
      </c>
      <c r="KU17" s="402">
        <f>ConLoan!KU$29</f>
        <v/>
      </c>
      <c r="KV17" s="402">
        <f>ConLoan!KV$29</f>
        <v/>
      </c>
      <c r="KW17" s="402">
        <f>ConLoan!KW$29</f>
        <v/>
      </c>
      <c r="KX17" s="402">
        <f>ConLoan!KX$29</f>
        <v/>
      </c>
      <c r="KY17" s="402">
        <f>ConLoan!KY$29</f>
        <v/>
      </c>
      <c r="KZ17" s="402">
        <f>ConLoan!KZ$29</f>
        <v/>
      </c>
      <c r="LA17" s="402">
        <f>ConLoan!LA$29</f>
        <v/>
      </c>
      <c r="LB17" s="402">
        <f>ConLoan!LB$29</f>
        <v/>
      </c>
      <c r="LC17" s="402">
        <f>ConLoan!LC$29</f>
        <v/>
      </c>
      <c r="LD17" s="402">
        <f>ConLoan!LD$29</f>
        <v/>
      </c>
      <c r="LE17" s="402">
        <f>ConLoan!LE$29</f>
        <v/>
      </c>
      <c r="LF17" s="402">
        <f>ConLoan!LF$29</f>
        <v/>
      </c>
      <c r="LG17" s="402">
        <f>ConLoan!LG$29</f>
        <v/>
      </c>
      <c r="LH17" s="402">
        <f>ConLoan!LH$29</f>
        <v/>
      </c>
      <c r="LI17" s="402">
        <f>ConLoan!LI$29</f>
        <v/>
      </c>
      <c r="LJ17" s="402">
        <f>ConLoan!LJ$29</f>
        <v/>
      </c>
      <c r="LK17" s="402">
        <f>ConLoan!LK$29</f>
        <v/>
      </c>
      <c r="LL17" s="402">
        <f>ConLoan!LL$29</f>
        <v/>
      </c>
      <c r="LM17" s="402">
        <f>ConLoan!LM$29</f>
        <v/>
      </c>
      <c r="LN17" s="402">
        <f>ConLoan!LN$29</f>
        <v/>
      </c>
      <c r="LO17" s="402">
        <f>ConLoan!LO$29</f>
        <v/>
      </c>
      <c r="LP17" s="402">
        <f>ConLoan!LP$29</f>
        <v/>
      </c>
      <c r="LQ17" s="402">
        <f>ConLoan!LQ$29</f>
        <v/>
      </c>
      <c r="LR17" s="402">
        <f>ConLoan!LR$29</f>
        <v/>
      </c>
      <c r="LS17" s="402">
        <f>ConLoan!LS$29</f>
        <v/>
      </c>
      <c r="LT17" s="402">
        <f>ConLoan!LT$29</f>
        <v/>
      </c>
      <c r="LU17" s="402">
        <f>ConLoan!LU$29</f>
        <v/>
      </c>
      <c r="LV17" s="402">
        <f>ConLoan!LV$29</f>
        <v/>
      </c>
      <c r="LW17" s="402">
        <f>ConLoan!LW$29</f>
        <v/>
      </c>
      <c r="LX17" s="402">
        <f>ConLoan!LX$29</f>
        <v/>
      </c>
      <c r="LY17" s="402">
        <f>ConLoan!LY$29</f>
        <v/>
      </c>
      <c r="LZ17" s="402">
        <f>ConLoan!LZ$29</f>
        <v/>
      </c>
      <c r="MA17" s="402">
        <f>ConLoan!MA$29</f>
        <v/>
      </c>
      <c r="MB17" s="402">
        <f>ConLoan!MB$29</f>
        <v/>
      </c>
      <c r="MC17" s="402">
        <f>ConLoan!MC$29</f>
        <v/>
      </c>
      <c r="MD17" s="402">
        <f>ConLoan!MD$29</f>
        <v/>
      </c>
      <c r="ME17" s="402">
        <f>ConLoan!ME$29</f>
        <v/>
      </c>
      <c r="MF17" s="402">
        <f>ConLoan!MF$29</f>
        <v/>
      </c>
      <c r="MG17" s="402">
        <f>ConLoan!MG$29</f>
        <v/>
      </c>
      <c r="MH17" s="402">
        <f>ConLoan!MH$29</f>
        <v/>
      </c>
      <c r="MI17" s="402">
        <f>ConLoan!MI$29</f>
        <v/>
      </c>
      <c r="MJ17" s="402">
        <f>ConLoan!MJ$29</f>
        <v/>
      </c>
      <c r="MK17" s="402">
        <f>ConLoan!MK$29</f>
        <v/>
      </c>
      <c r="ML17" s="402">
        <f>ConLoan!ML$29</f>
        <v/>
      </c>
      <c r="MM17" s="402">
        <f>ConLoan!MM$29</f>
        <v/>
      </c>
      <c r="MN17" s="402">
        <f>ConLoan!MN$29</f>
        <v/>
      </c>
      <c r="MO17" s="402">
        <f>ConLoan!MO$29</f>
        <v/>
      </c>
      <c r="MP17" s="402">
        <f>ConLoan!MP$29</f>
        <v/>
      </c>
      <c r="MQ17" s="402">
        <f>ConLoan!MQ$29</f>
        <v/>
      </c>
      <c r="MR17" s="402">
        <f>ConLoan!MR$29</f>
        <v/>
      </c>
      <c r="MS17" s="402">
        <f>ConLoan!MS$29</f>
        <v/>
      </c>
      <c r="MT17" s="402">
        <f>ConLoan!MT$29</f>
        <v/>
      </c>
      <c r="MU17" s="402">
        <f>ConLoan!MU$29</f>
        <v/>
      </c>
      <c r="MV17" s="402">
        <f>ConLoan!MV$29</f>
        <v/>
      </c>
      <c r="MW17" s="402">
        <f>ConLoan!MW$29</f>
        <v/>
      </c>
      <c r="MX17" s="402">
        <f>ConLoan!MX$29</f>
        <v/>
      </c>
      <c r="MY17" s="402">
        <f>ConLoan!MY$29</f>
        <v/>
      </c>
      <c r="MZ17" s="402">
        <f>ConLoan!MZ$29</f>
        <v/>
      </c>
      <c r="NA17" s="402">
        <f>ConLoan!NA$29</f>
        <v/>
      </c>
      <c r="NB17" s="402">
        <f>ConLoan!NB$29</f>
        <v/>
      </c>
      <c r="NC17" s="402">
        <f>ConLoan!NC$29</f>
        <v/>
      </c>
      <c r="ND17" s="402">
        <f>ConLoan!ND$29</f>
        <v/>
      </c>
      <c r="NE17" s="402">
        <f>ConLoan!NE$29</f>
        <v/>
      </c>
      <c r="NF17" s="402">
        <f>ConLoan!NF$29</f>
        <v/>
      </c>
      <c r="NG17" s="402">
        <f>ConLoan!NG$29</f>
        <v/>
      </c>
      <c r="NH17" s="402">
        <f>ConLoan!NH$29</f>
        <v/>
      </c>
      <c r="NI17" s="402">
        <f>ConLoan!NI$29</f>
        <v/>
      </c>
      <c r="NJ17" s="402">
        <f>ConLoan!NJ$29</f>
        <v/>
      </c>
      <c r="NK17" s="402">
        <f>ConLoan!NK$29</f>
        <v/>
      </c>
      <c r="NL17" s="402">
        <f>ConLoan!NL$29</f>
        <v/>
      </c>
    </row>
    <row r="18">
      <c r="B18" s="316" t="inlineStr">
        <is>
          <t>Construction Interest — Capitalized</t>
        </is>
      </c>
      <c r="D18" s="402">
        <f>SUM(E18:NL18)</f>
        <v/>
      </c>
      <c r="E18" s="402">
        <f>-ConLoan!E$31</f>
        <v/>
      </c>
      <c r="F18" s="402">
        <f>-ConLoan!F$31</f>
        <v/>
      </c>
      <c r="G18" s="402">
        <f>-ConLoan!G$31</f>
        <v/>
      </c>
      <c r="H18" s="402">
        <f>-ConLoan!H$31</f>
        <v/>
      </c>
      <c r="I18" s="402">
        <f>-ConLoan!I$31</f>
        <v/>
      </c>
      <c r="J18" s="402">
        <f>-ConLoan!J$31</f>
        <v/>
      </c>
      <c r="K18" s="402">
        <f>-ConLoan!K$31</f>
        <v/>
      </c>
      <c r="L18" s="402">
        <f>-ConLoan!L$31</f>
        <v/>
      </c>
      <c r="M18" s="402">
        <f>-ConLoan!M$31</f>
        <v/>
      </c>
      <c r="N18" s="402">
        <f>-ConLoan!N$31</f>
        <v/>
      </c>
      <c r="O18" s="402">
        <f>-ConLoan!O$31</f>
        <v/>
      </c>
      <c r="P18" s="402">
        <f>-ConLoan!P$31</f>
        <v/>
      </c>
      <c r="Q18" s="402">
        <f>-ConLoan!Q$31</f>
        <v/>
      </c>
      <c r="R18" s="402">
        <f>-ConLoan!R$31</f>
        <v/>
      </c>
      <c r="S18" s="402">
        <f>-ConLoan!S$31</f>
        <v/>
      </c>
      <c r="T18" s="402">
        <f>-ConLoan!T$31</f>
        <v/>
      </c>
      <c r="U18" s="402">
        <f>-ConLoan!U$31</f>
        <v/>
      </c>
      <c r="V18" s="402">
        <f>-ConLoan!V$31</f>
        <v/>
      </c>
      <c r="W18" s="402">
        <f>-ConLoan!W$31</f>
        <v/>
      </c>
      <c r="X18" s="402">
        <f>-ConLoan!X$31</f>
        <v/>
      </c>
      <c r="Y18" s="402">
        <f>-ConLoan!Y$31</f>
        <v/>
      </c>
      <c r="Z18" s="402">
        <f>-ConLoan!Z$31</f>
        <v/>
      </c>
      <c r="AA18" s="402">
        <f>-ConLoan!AA$31</f>
        <v/>
      </c>
      <c r="AB18" s="402">
        <f>-ConLoan!AB$31</f>
        <v/>
      </c>
      <c r="AC18" s="402">
        <f>-ConLoan!AC$31</f>
        <v/>
      </c>
      <c r="AD18" s="402">
        <f>-ConLoan!AD$31</f>
        <v/>
      </c>
      <c r="AE18" s="402">
        <f>-ConLoan!AE$31</f>
        <v/>
      </c>
      <c r="AF18" s="402">
        <f>-ConLoan!AF$31</f>
        <v/>
      </c>
      <c r="AG18" s="402">
        <f>-ConLoan!AG$31</f>
        <v/>
      </c>
      <c r="AH18" s="402">
        <f>-ConLoan!AH$31</f>
        <v/>
      </c>
      <c r="AI18" s="402">
        <f>-ConLoan!AI$31</f>
        <v/>
      </c>
      <c r="AJ18" s="402">
        <f>-ConLoan!AJ$31</f>
        <v/>
      </c>
      <c r="AK18" s="402">
        <f>-ConLoan!AK$31</f>
        <v/>
      </c>
      <c r="AL18" s="402">
        <f>-ConLoan!AL$31</f>
        <v/>
      </c>
      <c r="AM18" s="402">
        <f>-ConLoan!AM$31</f>
        <v/>
      </c>
      <c r="AN18" s="402">
        <f>-ConLoan!AN$31</f>
        <v/>
      </c>
      <c r="AO18" s="402">
        <f>-ConLoan!AO$31</f>
        <v/>
      </c>
      <c r="AP18" s="402">
        <f>-ConLoan!AP$31</f>
        <v/>
      </c>
      <c r="AQ18" s="402">
        <f>-ConLoan!AQ$31</f>
        <v/>
      </c>
      <c r="AR18" s="402">
        <f>-ConLoan!AR$31</f>
        <v/>
      </c>
      <c r="AS18" s="402">
        <f>-ConLoan!AS$31</f>
        <v/>
      </c>
      <c r="AT18" s="402">
        <f>-ConLoan!AT$31</f>
        <v/>
      </c>
      <c r="AU18" s="402">
        <f>-ConLoan!AU$31</f>
        <v/>
      </c>
      <c r="AV18" s="402">
        <f>-ConLoan!AV$31</f>
        <v/>
      </c>
      <c r="AW18" s="402">
        <f>-ConLoan!AW$31</f>
        <v/>
      </c>
      <c r="AX18" s="402">
        <f>-ConLoan!AX$31</f>
        <v/>
      </c>
      <c r="AY18" s="402">
        <f>-ConLoan!AY$31</f>
        <v/>
      </c>
      <c r="AZ18" s="402">
        <f>-ConLoan!AZ$31</f>
        <v/>
      </c>
      <c r="BA18" s="402">
        <f>-ConLoan!BA$31</f>
        <v/>
      </c>
      <c r="BB18" s="402">
        <f>-ConLoan!BB$31</f>
        <v/>
      </c>
      <c r="BC18" s="402">
        <f>-ConLoan!BC$31</f>
        <v/>
      </c>
      <c r="BD18" s="402">
        <f>-ConLoan!BD$31</f>
        <v/>
      </c>
      <c r="BE18" s="402">
        <f>-ConLoan!BE$31</f>
        <v/>
      </c>
      <c r="BF18" s="402">
        <f>-ConLoan!BF$31</f>
        <v/>
      </c>
      <c r="BG18" s="402">
        <f>-ConLoan!BG$31</f>
        <v/>
      </c>
      <c r="BH18" s="402">
        <f>-ConLoan!BH$31</f>
        <v/>
      </c>
      <c r="BI18" s="402">
        <f>-ConLoan!BI$31</f>
        <v/>
      </c>
      <c r="BJ18" s="402">
        <f>-ConLoan!BJ$31</f>
        <v/>
      </c>
      <c r="BK18" s="402">
        <f>-ConLoan!BK$31</f>
        <v/>
      </c>
      <c r="BL18" s="402">
        <f>-ConLoan!BL$31</f>
        <v/>
      </c>
      <c r="BM18" s="402">
        <f>-ConLoan!BM$31</f>
        <v/>
      </c>
      <c r="BN18" s="402">
        <f>-ConLoan!BN$31</f>
        <v/>
      </c>
      <c r="BO18" s="402">
        <f>-ConLoan!BO$31</f>
        <v/>
      </c>
      <c r="BP18" s="402">
        <f>-ConLoan!BP$31</f>
        <v/>
      </c>
      <c r="BQ18" s="402">
        <f>-ConLoan!BQ$31</f>
        <v/>
      </c>
      <c r="BR18" s="402">
        <f>-ConLoan!BR$31</f>
        <v/>
      </c>
      <c r="BS18" s="402">
        <f>-ConLoan!BS$31</f>
        <v/>
      </c>
      <c r="BT18" s="402">
        <f>-ConLoan!BT$31</f>
        <v/>
      </c>
      <c r="BU18" s="402">
        <f>-ConLoan!BU$31</f>
        <v/>
      </c>
      <c r="BV18" s="402">
        <f>-ConLoan!BV$31</f>
        <v/>
      </c>
      <c r="BW18" s="402">
        <f>-ConLoan!BW$31</f>
        <v/>
      </c>
      <c r="BX18" s="402">
        <f>-ConLoan!BX$31</f>
        <v/>
      </c>
      <c r="BY18" s="402">
        <f>-ConLoan!BY$31</f>
        <v/>
      </c>
      <c r="BZ18" s="402">
        <f>-ConLoan!BZ$31</f>
        <v/>
      </c>
      <c r="CA18" s="402">
        <f>-ConLoan!CA$31</f>
        <v/>
      </c>
      <c r="CB18" s="402">
        <f>-ConLoan!CB$31</f>
        <v/>
      </c>
      <c r="CC18" s="402">
        <f>-ConLoan!CC$31</f>
        <v/>
      </c>
      <c r="CD18" s="402">
        <f>-ConLoan!CD$31</f>
        <v/>
      </c>
      <c r="CE18" s="402">
        <f>-ConLoan!CE$31</f>
        <v/>
      </c>
      <c r="CF18" s="402">
        <f>-ConLoan!CF$31</f>
        <v/>
      </c>
      <c r="CG18" s="402">
        <f>-ConLoan!CG$31</f>
        <v/>
      </c>
      <c r="CH18" s="402">
        <f>-ConLoan!CH$31</f>
        <v/>
      </c>
      <c r="CI18" s="402">
        <f>-ConLoan!CI$31</f>
        <v/>
      </c>
      <c r="CJ18" s="402">
        <f>-ConLoan!CJ$31</f>
        <v/>
      </c>
      <c r="CK18" s="402">
        <f>-ConLoan!CK$31</f>
        <v/>
      </c>
      <c r="CL18" s="402">
        <f>-ConLoan!CL$31</f>
        <v/>
      </c>
      <c r="CM18" s="402">
        <f>-ConLoan!CM$31</f>
        <v/>
      </c>
      <c r="CN18" s="402">
        <f>-ConLoan!CN$31</f>
        <v/>
      </c>
      <c r="CO18" s="402">
        <f>-ConLoan!CO$31</f>
        <v/>
      </c>
      <c r="CP18" s="402">
        <f>-ConLoan!CP$31</f>
        <v/>
      </c>
      <c r="CQ18" s="402">
        <f>-ConLoan!CQ$31</f>
        <v/>
      </c>
      <c r="CR18" s="402">
        <f>-ConLoan!CR$31</f>
        <v/>
      </c>
      <c r="CS18" s="402">
        <f>-ConLoan!CS$31</f>
        <v/>
      </c>
      <c r="CT18" s="402">
        <f>-ConLoan!CT$31</f>
        <v/>
      </c>
      <c r="CU18" s="402">
        <f>-ConLoan!CU$31</f>
        <v/>
      </c>
      <c r="CV18" s="402">
        <f>-ConLoan!CV$31</f>
        <v/>
      </c>
      <c r="CW18" s="402">
        <f>-ConLoan!CW$31</f>
        <v/>
      </c>
      <c r="CX18" s="402">
        <f>-ConLoan!CX$31</f>
        <v/>
      </c>
      <c r="CY18" s="402">
        <f>-ConLoan!CY$31</f>
        <v/>
      </c>
      <c r="CZ18" s="402">
        <f>-ConLoan!CZ$31</f>
        <v/>
      </c>
      <c r="DA18" s="402">
        <f>-ConLoan!DA$31</f>
        <v/>
      </c>
      <c r="DB18" s="402">
        <f>-ConLoan!DB$31</f>
        <v/>
      </c>
      <c r="DC18" s="402">
        <f>-ConLoan!DC$31</f>
        <v/>
      </c>
      <c r="DD18" s="402">
        <f>-ConLoan!DD$31</f>
        <v/>
      </c>
      <c r="DE18" s="402">
        <f>-ConLoan!DE$31</f>
        <v/>
      </c>
      <c r="DF18" s="402">
        <f>-ConLoan!DF$31</f>
        <v/>
      </c>
      <c r="DG18" s="402">
        <f>-ConLoan!DG$31</f>
        <v/>
      </c>
      <c r="DH18" s="402">
        <f>-ConLoan!DH$31</f>
        <v/>
      </c>
      <c r="DI18" s="402">
        <f>-ConLoan!DI$31</f>
        <v/>
      </c>
      <c r="DJ18" s="402">
        <f>-ConLoan!DJ$31</f>
        <v/>
      </c>
      <c r="DK18" s="402">
        <f>-ConLoan!DK$31</f>
        <v/>
      </c>
      <c r="DL18" s="402">
        <f>-ConLoan!DL$31</f>
        <v/>
      </c>
      <c r="DM18" s="402">
        <f>-ConLoan!DM$31</f>
        <v/>
      </c>
      <c r="DN18" s="402">
        <f>-ConLoan!DN$31</f>
        <v/>
      </c>
      <c r="DO18" s="402">
        <f>-ConLoan!DO$31</f>
        <v/>
      </c>
      <c r="DP18" s="402">
        <f>-ConLoan!DP$31</f>
        <v/>
      </c>
      <c r="DQ18" s="402">
        <f>-ConLoan!DQ$31</f>
        <v/>
      </c>
      <c r="DR18" s="402">
        <f>-ConLoan!DR$31</f>
        <v/>
      </c>
      <c r="DS18" s="402">
        <f>-ConLoan!DS$31</f>
        <v/>
      </c>
      <c r="DT18" s="402">
        <f>-ConLoan!DT$31</f>
        <v/>
      </c>
      <c r="DU18" s="402">
        <f>-ConLoan!DU$31</f>
        <v/>
      </c>
      <c r="DV18" s="402">
        <f>-ConLoan!DV$31</f>
        <v/>
      </c>
      <c r="DW18" s="402">
        <f>-ConLoan!DW$31</f>
        <v/>
      </c>
      <c r="DX18" s="402">
        <f>-ConLoan!DX$31</f>
        <v/>
      </c>
      <c r="DY18" s="402">
        <f>-ConLoan!DY$31</f>
        <v/>
      </c>
      <c r="DZ18" s="402">
        <f>-ConLoan!DZ$31</f>
        <v/>
      </c>
      <c r="EA18" s="402">
        <f>-ConLoan!EA$31</f>
        <v/>
      </c>
      <c r="EB18" s="402">
        <f>-ConLoan!EB$31</f>
        <v/>
      </c>
      <c r="EC18" s="402">
        <f>-ConLoan!EC$31</f>
        <v/>
      </c>
      <c r="ED18" s="402">
        <f>-ConLoan!ED$31</f>
        <v/>
      </c>
      <c r="EE18" s="402">
        <f>-ConLoan!EE$31</f>
        <v/>
      </c>
      <c r="EF18" s="402">
        <f>-ConLoan!EF$31</f>
        <v/>
      </c>
      <c r="EG18" s="402">
        <f>-ConLoan!EG$31</f>
        <v/>
      </c>
      <c r="EH18" s="402">
        <f>-ConLoan!EH$31</f>
        <v/>
      </c>
      <c r="EI18" s="402">
        <f>-ConLoan!EI$31</f>
        <v/>
      </c>
      <c r="EJ18" s="402">
        <f>-ConLoan!EJ$31</f>
        <v/>
      </c>
      <c r="EK18" s="402">
        <f>-ConLoan!EK$31</f>
        <v/>
      </c>
      <c r="EL18" s="402">
        <f>-ConLoan!EL$31</f>
        <v/>
      </c>
      <c r="EM18" s="402">
        <f>-ConLoan!EM$31</f>
        <v/>
      </c>
      <c r="EN18" s="402">
        <f>-ConLoan!EN$31</f>
        <v/>
      </c>
      <c r="EO18" s="402">
        <f>-ConLoan!EO$31</f>
        <v/>
      </c>
      <c r="EP18" s="402">
        <f>-ConLoan!EP$31</f>
        <v/>
      </c>
      <c r="EQ18" s="402">
        <f>-ConLoan!EQ$31</f>
        <v/>
      </c>
      <c r="ER18" s="402">
        <f>-ConLoan!ER$31</f>
        <v/>
      </c>
      <c r="ES18" s="402">
        <f>-ConLoan!ES$31</f>
        <v/>
      </c>
      <c r="ET18" s="402">
        <f>-ConLoan!ET$31</f>
        <v/>
      </c>
      <c r="EU18" s="402">
        <f>-ConLoan!EU$31</f>
        <v/>
      </c>
      <c r="EV18" s="402">
        <f>-ConLoan!EV$31</f>
        <v/>
      </c>
      <c r="EW18" s="402">
        <f>-ConLoan!EW$31</f>
        <v/>
      </c>
      <c r="EX18" s="402">
        <f>-ConLoan!EX$31</f>
        <v/>
      </c>
      <c r="EY18" s="402">
        <f>-ConLoan!EY$31</f>
        <v/>
      </c>
      <c r="EZ18" s="402">
        <f>-ConLoan!EZ$31</f>
        <v/>
      </c>
      <c r="FA18" s="402">
        <f>-ConLoan!FA$31</f>
        <v/>
      </c>
      <c r="FB18" s="402">
        <f>-ConLoan!FB$31</f>
        <v/>
      </c>
      <c r="FC18" s="402">
        <f>-ConLoan!FC$31</f>
        <v/>
      </c>
      <c r="FD18" s="402">
        <f>-ConLoan!FD$31</f>
        <v/>
      </c>
      <c r="FE18" s="402">
        <f>-ConLoan!FE$31</f>
        <v/>
      </c>
      <c r="FF18" s="402">
        <f>-ConLoan!FF$31</f>
        <v/>
      </c>
      <c r="FG18" s="402">
        <f>-ConLoan!FG$31</f>
        <v/>
      </c>
      <c r="FH18" s="402">
        <f>-ConLoan!FH$31</f>
        <v/>
      </c>
      <c r="FI18" s="402">
        <f>-ConLoan!FI$31</f>
        <v/>
      </c>
      <c r="FJ18" s="402">
        <f>-ConLoan!FJ$31</f>
        <v/>
      </c>
      <c r="FK18" s="402">
        <f>-ConLoan!FK$31</f>
        <v/>
      </c>
      <c r="FL18" s="402">
        <f>-ConLoan!FL$31</f>
        <v/>
      </c>
      <c r="FM18" s="402">
        <f>-ConLoan!FM$31</f>
        <v/>
      </c>
      <c r="FN18" s="402">
        <f>-ConLoan!FN$31</f>
        <v/>
      </c>
      <c r="FO18" s="402">
        <f>-ConLoan!FO$31</f>
        <v/>
      </c>
      <c r="FP18" s="402">
        <f>-ConLoan!FP$31</f>
        <v/>
      </c>
      <c r="FQ18" s="402">
        <f>-ConLoan!FQ$31</f>
        <v/>
      </c>
      <c r="FR18" s="402">
        <f>-ConLoan!FR$31</f>
        <v/>
      </c>
      <c r="FS18" s="402">
        <f>-ConLoan!FS$31</f>
        <v/>
      </c>
      <c r="FT18" s="402">
        <f>-ConLoan!FT$31</f>
        <v/>
      </c>
      <c r="FU18" s="402">
        <f>-ConLoan!FU$31</f>
        <v/>
      </c>
      <c r="FV18" s="402">
        <f>-ConLoan!FV$31</f>
        <v/>
      </c>
      <c r="FW18" s="402">
        <f>-ConLoan!FW$31</f>
        <v/>
      </c>
      <c r="FX18" s="402">
        <f>-ConLoan!FX$31</f>
        <v/>
      </c>
      <c r="FY18" s="402">
        <f>-ConLoan!FY$31</f>
        <v/>
      </c>
      <c r="FZ18" s="402">
        <f>-ConLoan!FZ$31</f>
        <v/>
      </c>
      <c r="GA18" s="402">
        <f>-ConLoan!GA$31</f>
        <v/>
      </c>
      <c r="GB18" s="402">
        <f>-ConLoan!GB$31</f>
        <v/>
      </c>
      <c r="GC18" s="402">
        <f>-ConLoan!GC$31</f>
        <v/>
      </c>
      <c r="GD18" s="402">
        <f>-ConLoan!GD$31</f>
        <v/>
      </c>
      <c r="GE18" s="402">
        <f>-ConLoan!GE$31</f>
        <v/>
      </c>
      <c r="GF18" s="402">
        <f>-ConLoan!GF$31</f>
        <v/>
      </c>
      <c r="GG18" s="402">
        <f>-ConLoan!GG$31</f>
        <v/>
      </c>
      <c r="GH18" s="402">
        <f>-ConLoan!GH$31</f>
        <v/>
      </c>
      <c r="GI18" s="402">
        <f>-ConLoan!GI$31</f>
        <v/>
      </c>
      <c r="GJ18" s="402">
        <f>-ConLoan!GJ$31</f>
        <v/>
      </c>
      <c r="GK18" s="402">
        <f>-ConLoan!GK$31</f>
        <v/>
      </c>
      <c r="GL18" s="402">
        <f>-ConLoan!GL$31</f>
        <v/>
      </c>
      <c r="GM18" s="402">
        <f>-ConLoan!GM$31</f>
        <v/>
      </c>
      <c r="GN18" s="402">
        <f>-ConLoan!GN$31</f>
        <v/>
      </c>
      <c r="GO18" s="402">
        <f>-ConLoan!GO$31</f>
        <v/>
      </c>
      <c r="GP18" s="402">
        <f>-ConLoan!GP$31</f>
        <v/>
      </c>
      <c r="GQ18" s="402">
        <f>-ConLoan!GQ$31</f>
        <v/>
      </c>
      <c r="GR18" s="402">
        <f>-ConLoan!GR$31</f>
        <v/>
      </c>
      <c r="GS18" s="402">
        <f>-ConLoan!GS$31</f>
        <v/>
      </c>
      <c r="GT18" s="402">
        <f>-ConLoan!GT$31</f>
        <v/>
      </c>
      <c r="GU18" s="402">
        <f>-ConLoan!GU$31</f>
        <v/>
      </c>
      <c r="GV18" s="402">
        <f>-ConLoan!GV$31</f>
        <v/>
      </c>
      <c r="GW18" s="402">
        <f>-ConLoan!GW$31</f>
        <v/>
      </c>
      <c r="GX18" s="402">
        <f>-ConLoan!GX$31</f>
        <v/>
      </c>
      <c r="GY18" s="402">
        <f>-ConLoan!GY$31</f>
        <v/>
      </c>
      <c r="GZ18" s="402">
        <f>-ConLoan!GZ$31</f>
        <v/>
      </c>
      <c r="HA18" s="402">
        <f>-ConLoan!HA$31</f>
        <v/>
      </c>
      <c r="HB18" s="402">
        <f>-ConLoan!HB$31</f>
        <v/>
      </c>
      <c r="HC18" s="402">
        <f>-ConLoan!HC$31</f>
        <v/>
      </c>
      <c r="HD18" s="402">
        <f>-ConLoan!HD$31</f>
        <v/>
      </c>
      <c r="HE18" s="402">
        <f>-ConLoan!HE$31</f>
        <v/>
      </c>
      <c r="HF18" s="402">
        <f>-ConLoan!HF$31</f>
        <v/>
      </c>
      <c r="HG18" s="402">
        <f>-ConLoan!HG$31</f>
        <v/>
      </c>
      <c r="HH18" s="402">
        <f>-ConLoan!HH$31</f>
        <v/>
      </c>
      <c r="HI18" s="402">
        <f>-ConLoan!HI$31</f>
        <v/>
      </c>
      <c r="HJ18" s="402">
        <f>-ConLoan!HJ$31</f>
        <v/>
      </c>
      <c r="HK18" s="402">
        <f>-ConLoan!HK$31</f>
        <v/>
      </c>
      <c r="HL18" s="402">
        <f>-ConLoan!HL$31</f>
        <v/>
      </c>
      <c r="HM18" s="402">
        <f>-ConLoan!HM$31</f>
        <v/>
      </c>
      <c r="HN18" s="402">
        <f>-ConLoan!HN$31</f>
        <v/>
      </c>
      <c r="HO18" s="402">
        <f>-ConLoan!HO$31</f>
        <v/>
      </c>
      <c r="HP18" s="402">
        <f>-ConLoan!HP$31</f>
        <v/>
      </c>
      <c r="HQ18" s="402">
        <f>-ConLoan!HQ$31</f>
        <v/>
      </c>
      <c r="HR18" s="402">
        <f>-ConLoan!HR$31</f>
        <v/>
      </c>
      <c r="HS18" s="402">
        <f>-ConLoan!HS$31</f>
        <v/>
      </c>
      <c r="HT18" s="402">
        <f>-ConLoan!HT$31</f>
        <v/>
      </c>
      <c r="HU18" s="402">
        <f>-ConLoan!HU$31</f>
        <v/>
      </c>
      <c r="HV18" s="402">
        <f>-ConLoan!HV$31</f>
        <v/>
      </c>
      <c r="HW18" s="402">
        <f>-ConLoan!HW$31</f>
        <v/>
      </c>
      <c r="HX18" s="402">
        <f>-ConLoan!HX$31</f>
        <v/>
      </c>
      <c r="HY18" s="402">
        <f>-ConLoan!HY$31</f>
        <v/>
      </c>
      <c r="HZ18" s="402">
        <f>-ConLoan!HZ$31</f>
        <v/>
      </c>
      <c r="IA18" s="402">
        <f>-ConLoan!IA$31</f>
        <v/>
      </c>
      <c r="IB18" s="402">
        <f>-ConLoan!IB$31</f>
        <v/>
      </c>
      <c r="IC18" s="402">
        <f>-ConLoan!IC$31</f>
        <v/>
      </c>
      <c r="ID18" s="402">
        <f>-ConLoan!ID$31</f>
        <v/>
      </c>
      <c r="IE18" s="402">
        <f>-ConLoan!IE$31</f>
        <v/>
      </c>
      <c r="IF18" s="402">
        <f>-ConLoan!IF$31</f>
        <v/>
      </c>
      <c r="IG18" s="402">
        <f>-ConLoan!IG$31</f>
        <v/>
      </c>
      <c r="IH18" s="402">
        <f>-ConLoan!IH$31</f>
        <v/>
      </c>
      <c r="II18" s="402">
        <f>-ConLoan!II$31</f>
        <v/>
      </c>
      <c r="IJ18" s="402">
        <f>-ConLoan!IJ$31</f>
        <v/>
      </c>
      <c r="IK18" s="402">
        <f>-ConLoan!IK$31</f>
        <v/>
      </c>
      <c r="IL18" s="402">
        <f>-ConLoan!IL$31</f>
        <v/>
      </c>
      <c r="IM18" s="402">
        <f>-ConLoan!IM$31</f>
        <v/>
      </c>
      <c r="IN18" s="402">
        <f>-ConLoan!IN$31</f>
        <v/>
      </c>
      <c r="IO18" s="402">
        <f>-ConLoan!IO$31</f>
        <v/>
      </c>
      <c r="IP18" s="402">
        <f>-ConLoan!IP$31</f>
        <v/>
      </c>
      <c r="IQ18" s="402">
        <f>-ConLoan!IQ$31</f>
        <v/>
      </c>
      <c r="IR18" s="402">
        <f>-ConLoan!IR$31</f>
        <v/>
      </c>
      <c r="IS18" s="402">
        <f>-ConLoan!IS$31</f>
        <v/>
      </c>
      <c r="IT18" s="402">
        <f>-ConLoan!IT$31</f>
        <v/>
      </c>
      <c r="IU18" s="402">
        <f>-ConLoan!IU$31</f>
        <v/>
      </c>
      <c r="IV18" s="402">
        <f>-ConLoan!IV$31</f>
        <v/>
      </c>
      <c r="IW18" s="402">
        <f>-ConLoan!IW$31</f>
        <v/>
      </c>
      <c r="IX18" s="402">
        <f>-ConLoan!IX$31</f>
        <v/>
      </c>
      <c r="IY18" s="402">
        <f>-ConLoan!IY$31</f>
        <v/>
      </c>
      <c r="IZ18" s="402">
        <f>-ConLoan!IZ$31</f>
        <v/>
      </c>
      <c r="JA18" s="402">
        <f>-ConLoan!JA$31</f>
        <v/>
      </c>
      <c r="JB18" s="402">
        <f>-ConLoan!JB$31</f>
        <v/>
      </c>
      <c r="JC18" s="402">
        <f>-ConLoan!JC$31</f>
        <v/>
      </c>
      <c r="JD18" s="402">
        <f>-ConLoan!JD$31</f>
        <v/>
      </c>
      <c r="JE18" s="402">
        <f>-ConLoan!JE$31</f>
        <v/>
      </c>
      <c r="JF18" s="402">
        <f>-ConLoan!JF$31</f>
        <v/>
      </c>
      <c r="JG18" s="402">
        <f>-ConLoan!JG$31</f>
        <v/>
      </c>
      <c r="JH18" s="402">
        <f>-ConLoan!JH$31</f>
        <v/>
      </c>
      <c r="JI18" s="402">
        <f>-ConLoan!JI$31</f>
        <v/>
      </c>
      <c r="JJ18" s="402">
        <f>-ConLoan!JJ$31</f>
        <v/>
      </c>
      <c r="JK18" s="402">
        <f>-ConLoan!JK$31</f>
        <v/>
      </c>
      <c r="JL18" s="402">
        <f>-ConLoan!JL$31</f>
        <v/>
      </c>
      <c r="JM18" s="402">
        <f>-ConLoan!JM$31</f>
        <v/>
      </c>
      <c r="JN18" s="402">
        <f>-ConLoan!JN$31</f>
        <v/>
      </c>
      <c r="JO18" s="402">
        <f>-ConLoan!JO$31</f>
        <v/>
      </c>
      <c r="JP18" s="402">
        <f>-ConLoan!JP$31</f>
        <v/>
      </c>
      <c r="JQ18" s="402">
        <f>-ConLoan!JQ$31</f>
        <v/>
      </c>
      <c r="JR18" s="402">
        <f>-ConLoan!JR$31</f>
        <v/>
      </c>
      <c r="JS18" s="402">
        <f>-ConLoan!JS$31</f>
        <v/>
      </c>
      <c r="JT18" s="402">
        <f>-ConLoan!JT$31</f>
        <v/>
      </c>
      <c r="JU18" s="402">
        <f>-ConLoan!JU$31</f>
        <v/>
      </c>
      <c r="JV18" s="402">
        <f>-ConLoan!JV$31</f>
        <v/>
      </c>
      <c r="JW18" s="402">
        <f>-ConLoan!JW$31</f>
        <v/>
      </c>
      <c r="JX18" s="402">
        <f>-ConLoan!JX$31</f>
        <v/>
      </c>
      <c r="JY18" s="402">
        <f>-ConLoan!JY$31</f>
        <v/>
      </c>
      <c r="JZ18" s="402">
        <f>-ConLoan!JZ$31</f>
        <v/>
      </c>
      <c r="KA18" s="402">
        <f>-ConLoan!KA$31</f>
        <v/>
      </c>
      <c r="KB18" s="402">
        <f>-ConLoan!KB$31</f>
        <v/>
      </c>
      <c r="KC18" s="402">
        <f>-ConLoan!KC$31</f>
        <v/>
      </c>
      <c r="KD18" s="402">
        <f>-ConLoan!KD$31</f>
        <v/>
      </c>
      <c r="KE18" s="402">
        <f>-ConLoan!KE$31</f>
        <v/>
      </c>
      <c r="KF18" s="402">
        <f>-ConLoan!KF$31</f>
        <v/>
      </c>
      <c r="KG18" s="402">
        <f>-ConLoan!KG$31</f>
        <v/>
      </c>
      <c r="KH18" s="402">
        <f>-ConLoan!KH$31</f>
        <v/>
      </c>
      <c r="KI18" s="402">
        <f>-ConLoan!KI$31</f>
        <v/>
      </c>
      <c r="KJ18" s="402">
        <f>-ConLoan!KJ$31</f>
        <v/>
      </c>
      <c r="KK18" s="402">
        <f>-ConLoan!KK$31</f>
        <v/>
      </c>
      <c r="KL18" s="402">
        <f>-ConLoan!KL$31</f>
        <v/>
      </c>
      <c r="KM18" s="402">
        <f>-ConLoan!KM$31</f>
        <v/>
      </c>
      <c r="KN18" s="402">
        <f>-ConLoan!KN$31</f>
        <v/>
      </c>
      <c r="KO18" s="402">
        <f>-ConLoan!KO$31</f>
        <v/>
      </c>
      <c r="KP18" s="402">
        <f>-ConLoan!KP$31</f>
        <v/>
      </c>
      <c r="KQ18" s="402">
        <f>-ConLoan!KQ$31</f>
        <v/>
      </c>
      <c r="KR18" s="402">
        <f>-ConLoan!KR$31</f>
        <v/>
      </c>
      <c r="KS18" s="402">
        <f>-ConLoan!KS$31</f>
        <v/>
      </c>
      <c r="KT18" s="402">
        <f>-ConLoan!KT$31</f>
        <v/>
      </c>
      <c r="KU18" s="402">
        <f>-ConLoan!KU$31</f>
        <v/>
      </c>
      <c r="KV18" s="402">
        <f>-ConLoan!KV$31</f>
        <v/>
      </c>
      <c r="KW18" s="402">
        <f>-ConLoan!KW$31</f>
        <v/>
      </c>
      <c r="KX18" s="402">
        <f>-ConLoan!KX$31</f>
        <v/>
      </c>
      <c r="KY18" s="402">
        <f>-ConLoan!KY$31</f>
        <v/>
      </c>
      <c r="KZ18" s="402">
        <f>-ConLoan!KZ$31</f>
        <v/>
      </c>
      <c r="LA18" s="402">
        <f>-ConLoan!LA$31</f>
        <v/>
      </c>
      <c r="LB18" s="402">
        <f>-ConLoan!LB$31</f>
        <v/>
      </c>
      <c r="LC18" s="402">
        <f>-ConLoan!LC$31</f>
        <v/>
      </c>
      <c r="LD18" s="402">
        <f>-ConLoan!LD$31</f>
        <v/>
      </c>
      <c r="LE18" s="402">
        <f>-ConLoan!LE$31</f>
        <v/>
      </c>
      <c r="LF18" s="402">
        <f>-ConLoan!LF$31</f>
        <v/>
      </c>
      <c r="LG18" s="402">
        <f>-ConLoan!LG$31</f>
        <v/>
      </c>
      <c r="LH18" s="402">
        <f>-ConLoan!LH$31</f>
        <v/>
      </c>
      <c r="LI18" s="402">
        <f>-ConLoan!LI$31</f>
        <v/>
      </c>
      <c r="LJ18" s="402">
        <f>-ConLoan!LJ$31</f>
        <v/>
      </c>
      <c r="LK18" s="402">
        <f>-ConLoan!LK$31</f>
        <v/>
      </c>
      <c r="LL18" s="402">
        <f>-ConLoan!LL$31</f>
        <v/>
      </c>
      <c r="LM18" s="402">
        <f>-ConLoan!LM$31</f>
        <v/>
      </c>
      <c r="LN18" s="402">
        <f>-ConLoan!LN$31</f>
        <v/>
      </c>
      <c r="LO18" s="402">
        <f>-ConLoan!LO$31</f>
        <v/>
      </c>
      <c r="LP18" s="402">
        <f>-ConLoan!LP$31</f>
        <v/>
      </c>
      <c r="LQ18" s="402">
        <f>-ConLoan!LQ$31</f>
        <v/>
      </c>
      <c r="LR18" s="402">
        <f>-ConLoan!LR$31</f>
        <v/>
      </c>
      <c r="LS18" s="402">
        <f>-ConLoan!LS$31</f>
        <v/>
      </c>
      <c r="LT18" s="402">
        <f>-ConLoan!LT$31</f>
        <v/>
      </c>
      <c r="LU18" s="402">
        <f>-ConLoan!LU$31</f>
        <v/>
      </c>
      <c r="LV18" s="402">
        <f>-ConLoan!LV$31</f>
        <v/>
      </c>
      <c r="LW18" s="402">
        <f>-ConLoan!LW$31</f>
        <v/>
      </c>
      <c r="LX18" s="402">
        <f>-ConLoan!LX$31</f>
        <v/>
      </c>
      <c r="LY18" s="402">
        <f>-ConLoan!LY$31</f>
        <v/>
      </c>
      <c r="LZ18" s="402">
        <f>-ConLoan!LZ$31</f>
        <v/>
      </c>
      <c r="MA18" s="402">
        <f>-ConLoan!MA$31</f>
        <v/>
      </c>
      <c r="MB18" s="402">
        <f>-ConLoan!MB$31</f>
        <v/>
      </c>
      <c r="MC18" s="402">
        <f>-ConLoan!MC$31</f>
        <v/>
      </c>
      <c r="MD18" s="402">
        <f>-ConLoan!MD$31</f>
        <v/>
      </c>
      <c r="ME18" s="402">
        <f>-ConLoan!ME$31</f>
        <v/>
      </c>
      <c r="MF18" s="402">
        <f>-ConLoan!MF$31</f>
        <v/>
      </c>
      <c r="MG18" s="402">
        <f>-ConLoan!MG$31</f>
        <v/>
      </c>
      <c r="MH18" s="402">
        <f>-ConLoan!MH$31</f>
        <v/>
      </c>
      <c r="MI18" s="402">
        <f>-ConLoan!MI$31</f>
        <v/>
      </c>
      <c r="MJ18" s="402">
        <f>-ConLoan!MJ$31</f>
        <v/>
      </c>
      <c r="MK18" s="402">
        <f>-ConLoan!MK$31</f>
        <v/>
      </c>
      <c r="ML18" s="402">
        <f>-ConLoan!ML$31</f>
        <v/>
      </c>
      <c r="MM18" s="402">
        <f>-ConLoan!MM$31</f>
        <v/>
      </c>
      <c r="MN18" s="402">
        <f>-ConLoan!MN$31</f>
        <v/>
      </c>
      <c r="MO18" s="402">
        <f>-ConLoan!MO$31</f>
        <v/>
      </c>
      <c r="MP18" s="402">
        <f>-ConLoan!MP$31</f>
        <v/>
      </c>
      <c r="MQ18" s="402">
        <f>-ConLoan!MQ$31</f>
        <v/>
      </c>
      <c r="MR18" s="402">
        <f>-ConLoan!MR$31</f>
        <v/>
      </c>
      <c r="MS18" s="402">
        <f>-ConLoan!MS$31</f>
        <v/>
      </c>
      <c r="MT18" s="402">
        <f>-ConLoan!MT$31</f>
        <v/>
      </c>
      <c r="MU18" s="402">
        <f>-ConLoan!MU$31</f>
        <v/>
      </c>
      <c r="MV18" s="402">
        <f>-ConLoan!MV$31</f>
        <v/>
      </c>
      <c r="MW18" s="402">
        <f>-ConLoan!MW$31</f>
        <v/>
      </c>
      <c r="MX18" s="402">
        <f>-ConLoan!MX$31</f>
        <v/>
      </c>
      <c r="MY18" s="402">
        <f>-ConLoan!MY$31</f>
        <v/>
      </c>
      <c r="MZ18" s="402">
        <f>-ConLoan!MZ$31</f>
        <v/>
      </c>
      <c r="NA18" s="402">
        <f>-ConLoan!NA$31</f>
        <v/>
      </c>
      <c r="NB18" s="402">
        <f>-ConLoan!NB$31</f>
        <v/>
      </c>
      <c r="NC18" s="402">
        <f>-ConLoan!NC$31</f>
        <v/>
      </c>
      <c r="ND18" s="402">
        <f>-ConLoan!ND$31</f>
        <v/>
      </c>
      <c r="NE18" s="402">
        <f>-ConLoan!NE$31</f>
        <v/>
      </c>
      <c r="NF18" s="402">
        <f>-ConLoan!NF$31</f>
        <v/>
      </c>
      <c r="NG18" s="402">
        <f>-ConLoan!NG$31</f>
        <v/>
      </c>
      <c r="NH18" s="402">
        <f>-ConLoan!NH$31</f>
        <v/>
      </c>
      <c r="NI18" s="402">
        <f>-ConLoan!NI$31</f>
        <v/>
      </c>
      <c r="NJ18" s="402">
        <f>-ConLoan!NJ$31</f>
        <v/>
      </c>
      <c r="NK18" s="402">
        <f>-ConLoan!NK$31</f>
        <v/>
      </c>
      <c r="NL18" s="402">
        <f>-ConLoan!NL$31</f>
        <v/>
      </c>
    </row>
    <row r="19">
      <c r="B19" s="316" t="inlineStr">
        <is>
          <t>Construction Interest — Current Pay</t>
        </is>
      </c>
      <c r="D19" s="402">
        <f>SUM(E19:NL19)</f>
        <v/>
      </c>
      <c r="E19" s="402">
        <f>-ConLoan!E$50</f>
        <v/>
      </c>
      <c r="F19" s="402">
        <f>-ConLoan!F$50</f>
        <v/>
      </c>
      <c r="G19" s="402">
        <f>-ConLoan!G$50</f>
        <v/>
      </c>
      <c r="H19" s="402">
        <f>-ConLoan!H$50</f>
        <v/>
      </c>
      <c r="I19" s="402">
        <f>-ConLoan!I$50</f>
        <v/>
      </c>
      <c r="J19" s="402">
        <f>-ConLoan!J$50</f>
        <v/>
      </c>
      <c r="K19" s="402">
        <f>-ConLoan!K$50</f>
        <v/>
      </c>
      <c r="L19" s="402">
        <f>-ConLoan!L$50</f>
        <v/>
      </c>
      <c r="M19" s="402">
        <f>-ConLoan!M$50</f>
        <v/>
      </c>
      <c r="N19" s="402">
        <f>-ConLoan!N$50</f>
        <v/>
      </c>
      <c r="O19" s="402">
        <f>-ConLoan!O$50</f>
        <v/>
      </c>
      <c r="P19" s="402">
        <f>-ConLoan!P$50</f>
        <v/>
      </c>
      <c r="Q19" s="402">
        <f>-ConLoan!Q$50</f>
        <v/>
      </c>
      <c r="R19" s="402">
        <f>-ConLoan!R$50</f>
        <v/>
      </c>
      <c r="S19" s="402">
        <f>-ConLoan!S$50</f>
        <v/>
      </c>
      <c r="T19" s="402">
        <f>-ConLoan!T$50</f>
        <v/>
      </c>
      <c r="U19" s="402">
        <f>-ConLoan!U$50</f>
        <v/>
      </c>
      <c r="V19" s="402">
        <f>-ConLoan!V$50</f>
        <v/>
      </c>
      <c r="W19" s="402">
        <f>-ConLoan!W$50</f>
        <v/>
      </c>
      <c r="X19" s="402">
        <f>-ConLoan!X$50</f>
        <v/>
      </c>
      <c r="Y19" s="402">
        <f>-ConLoan!Y$50</f>
        <v/>
      </c>
      <c r="Z19" s="402">
        <f>-ConLoan!Z$50</f>
        <v/>
      </c>
      <c r="AA19" s="402">
        <f>-ConLoan!AA$50</f>
        <v/>
      </c>
      <c r="AB19" s="402">
        <f>-ConLoan!AB$50</f>
        <v/>
      </c>
      <c r="AC19" s="402">
        <f>-ConLoan!AC$50</f>
        <v/>
      </c>
      <c r="AD19" s="402">
        <f>-ConLoan!AD$50</f>
        <v/>
      </c>
      <c r="AE19" s="402">
        <f>-ConLoan!AE$50</f>
        <v/>
      </c>
      <c r="AF19" s="402">
        <f>-ConLoan!AF$50</f>
        <v/>
      </c>
      <c r="AG19" s="402">
        <f>-ConLoan!AG$50</f>
        <v/>
      </c>
      <c r="AH19" s="402">
        <f>-ConLoan!AH$50</f>
        <v/>
      </c>
      <c r="AI19" s="402">
        <f>-ConLoan!AI$50</f>
        <v/>
      </c>
      <c r="AJ19" s="402">
        <f>-ConLoan!AJ$50</f>
        <v/>
      </c>
      <c r="AK19" s="402">
        <f>-ConLoan!AK$50</f>
        <v/>
      </c>
      <c r="AL19" s="402">
        <f>-ConLoan!AL$50</f>
        <v/>
      </c>
      <c r="AM19" s="402">
        <f>-ConLoan!AM$50</f>
        <v/>
      </c>
      <c r="AN19" s="402">
        <f>-ConLoan!AN$50</f>
        <v/>
      </c>
      <c r="AO19" s="402">
        <f>-ConLoan!AO$50</f>
        <v/>
      </c>
      <c r="AP19" s="402">
        <f>-ConLoan!AP$50</f>
        <v/>
      </c>
      <c r="AQ19" s="402">
        <f>-ConLoan!AQ$50</f>
        <v/>
      </c>
      <c r="AR19" s="402">
        <f>-ConLoan!AR$50</f>
        <v/>
      </c>
      <c r="AS19" s="402">
        <f>-ConLoan!AS$50</f>
        <v/>
      </c>
      <c r="AT19" s="402">
        <f>-ConLoan!AT$50</f>
        <v/>
      </c>
      <c r="AU19" s="402">
        <f>-ConLoan!AU$50</f>
        <v/>
      </c>
      <c r="AV19" s="402">
        <f>-ConLoan!AV$50</f>
        <v/>
      </c>
      <c r="AW19" s="402">
        <f>-ConLoan!AW$50</f>
        <v/>
      </c>
      <c r="AX19" s="402">
        <f>-ConLoan!AX$50</f>
        <v/>
      </c>
      <c r="AY19" s="402">
        <f>-ConLoan!AY$50</f>
        <v/>
      </c>
      <c r="AZ19" s="402">
        <f>-ConLoan!AZ$50</f>
        <v/>
      </c>
      <c r="BA19" s="402">
        <f>-ConLoan!BA$50</f>
        <v/>
      </c>
      <c r="BB19" s="402">
        <f>-ConLoan!BB$50</f>
        <v/>
      </c>
      <c r="BC19" s="402">
        <f>-ConLoan!BC$50</f>
        <v/>
      </c>
      <c r="BD19" s="402">
        <f>-ConLoan!BD$50</f>
        <v/>
      </c>
      <c r="BE19" s="402">
        <f>-ConLoan!BE$50</f>
        <v/>
      </c>
      <c r="BF19" s="402">
        <f>-ConLoan!BF$50</f>
        <v/>
      </c>
      <c r="BG19" s="402">
        <f>-ConLoan!BG$50</f>
        <v/>
      </c>
      <c r="BH19" s="402">
        <f>-ConLoan!BH$50</f>
        <v/>
      </c>
      <c r="BI19" s="402">
        <f>-ConLoan!BI$50</f>
        <v/>
      </c>
      <c r="BJ19" s="402">
        <f>-ConLoan!BJ$50</f>
        <v/>
      </c>
      <c r="BK19" s="402">
        <f>-ConLoan!BK$50</f>
        <v/>
      </c>
      <c r="BL19" s="402">
        <f>-ConLoan!BL$50</f>
        <v/>
      </c>
      <c r="BM19" s="402">
        <f>-ConLoan!BM$50</f>
        <v/>
      </c>
      <c r="BN19" s="402">
        <f>-ConLoan!BN$50</f>
        <v/>
      </c>
      <c r="BO19" s="402">
        <f>-ConLoan!BO$50</f>
        <v/>
      </c>
      <c r="BP19" s="402">
        <f>-ConLoan!BP$50</f>
        <v/>
      </c>
      <c r="BQ19" s="402">
        <f>-ConLoan!BQ$50</f>
        <v/>
      </c>
      <c r="BR19" s="402">
        <f>-ConLoan!BR$50</f>
        <v/>
      </c>
      <c r="BS19" s="402">
        <f>-ConLoan!BS$50</f>
        <v/>
      </c>
      <c r="BT19" s="402">
        <f>-ConLoan!BT$50</f>
        <v/>
      </c>
      <c r="BU19" s="402">
        <f>-ConLoan!BU$50</f>
        <v/>
      </c>
      <c r="BV19" s="402">
        <f>-ConLoan!BV$50</f>
        <v/>
      </c>
      <c r="BW19" s="402">
        <f>-ConLoan!BW$50</f>
        <v/>
      </c>
      <c r="BX19" s="402">
        <f>-ConLoan!BX$50</f>
        <v/>
      </c>
      <c r="BY19" s="402">
        <f>-ConLoan!BY$50</f>
        <v/>
      </c>
      <c r="BZ19" s="402">
        <f>-ConLoan!BZ$50</f>
        <v/>
      </c>
      <c r="CA19" s="402">
        <f>-ConLoan!CA$50</f>
        <v/>
      </c>
      <c r="CB19" s="402">
        <f>-ConLoan!CB$50</f>
        <v/>
      </c>
      <c r="CC19" s="402">
        <f>-ConLoan!CC$50</f>
        <v/>
      </c>
      <c r="CD19" s="402">
        <f>-ConLoan!CD$50</f>
        <v/>
      </c>
      <c r="CE19" s="402">
        <f>-ConLoan!CE$50</f>
        <v/>
      </c>
      <c r="CF19" s="402">
        <f>-ConLoan!CF$50</f>
        <v/>
      </c>
      <c r="CG19" s="402">
        <f>-ConLoan!CG$50</f>
        <v/>
      </c>
      <c r="CH19" s="402">
        <f>-ConLoan!CH$50</f>
        <v/>
      </c>
      <c r="CI19" s="402">
        <f>-ConLoan!CI$50</f>
        <v/>
      </c>
      <c r="CJ19" s="402">
        <f>-ConLoan!CJ$50</f>
        <v/>
      </c>
      <c r="CK19" s="402">
        <f>-ConLoan!CK$50</f>
        <v/>
      </c>
      <c r="CL19" s="402">
        <f>-ConLoan!CL$50</f>
        <v/>
      </c>
      <c r="CM19" s="402">
        <f>-ConLoan!CM$50</f>
        <v/>
      </c>
      <c r="CN19" s="402">
        <f>-ConLoan!CN$50</f>
        <v/>
      </c>
      <c r="CO19" s="402">
        <f>-ConLoan!CO$50</f>
        <v/>
      </c>
      <c r="CP19" s="402">
        <f>-ConLoan!CP$50</f>
        <v/>
      </c>
      <c r="CQ19" s="402">
        <f>-ConLoan!CQ$50</f>
        <v/>
      </c>
      <c r="CR19" s="402">
        <f>-ConLoan!CR$50</f>
        <v/>
      </c>
      <c r="CS19" s="402">
        <f>-ConLoan!CS$50</f>
        <v/>
      </c>
      <c r="CT19" s="402">
        <f>-ConLoan!CT$50</f>
        <v/>
      </c>
      <c r="CU19" s="402">
        <f>-ConLoan!CU$50</f>
        <v/>
      </c>
      <c r="CV19" s="402">
        <f>-ConLoan!CV$50</f>
        <v/>
      </c>
      <c r="CW19" s="402">
        <f>-ConLoan!CW$50</f>
        <v/>
      </c>
      <c r="CX19" s="402">
        <f>-ConLoan!CX$50</f>
        <v/>
      </c>
      <c r="CY19" s="402">
        <f>-ConLoan!CY$50</f>
        <v/>
      </c>
      <c r="CZ19" s="402">
        <f>-ConLoan!CZ$50</f>
        <v/>
      </c>
      <c r="DA19" s="402">
        <f>-ConLoan!DA$50</f>
        <v/>
      </c>
      <c r="DB19" s="402">
        <f>-ConLoan!DB$50</f>
        <v/>
      </c>
      <c r="DC19" s="402">
        <f>-ConLoan!DC$50</f>
        <v/>
      </c>
      <c r="DD19" s="402">
        <f>-ConLoan!DD$50</f>
        <v/>
      </c>
      <c r="DE19" s="402">
        <f>-ConLoan!DE$50</f>
        <v/>
      </c>
      <c r="DF19" s="402">
        <f>-ConLoan!DF$50</f>
        <v/>
      </c>
      <c r="DG19" s="402">
        <f>-ConLoan!DG$50</f>
        <v/>
      </c>
      <c r="DH19" s="402">
        <f>-ConLoan!DH$50</f>
        <v/>
      </c>
      <c r="DI19" s="402">
        <f>-ConLoan!DI$50</f>
        <v/>
      </c>
      <c r="DJ19" s="402">
        <f>-ConLoan!DJ$50</f>
        <v/>
      </c>
      <c r="DK19" s="402">
        <f>-ConLoan!DK$50</f>
        <v/>
      </c>
      <c r="DL19" s="402">
        <f>-ConLoan!DL$50</f>
        <v/>
      </c>
      <c r="DM19" s="402">
        <f>-ConLoan!DM$50</f>
        <v/>
      </c>
      <c r="DN19" s="402">
        <f>-ConLoan!DN$50</f>
        <v/>
      </c>
      <c r="DO19" s="402">
        <f>-ConLoan!DO$50</f>
        <v/>
      </c>
      <c r="DP19" s="402">
        <f>-ConLoan!DP$50</f>
        <v/>
      </c>
      <c r="DQ19" s="402">
        <f>-ConLoan!DQ$50</f>
        <v/>
      </c>
      <c r="DR19" s="402">
        <f>-ConLoan!DR$50</f>
        <v/>
      </c>
      <c r="DS19" s="402">
        <f>-ConLoan!DS$50</f>
        <v/>
      </c>
      <c r="DT19" s="402">
        <f>-ConLoan!DT$50</f>
        <v/>
      </c>
      <c r="DU19" s="402">
        <f>-ConLoan!DU$50</f>
        <v/>
      </c>
      <c r="DV19" s="402">
        <f>-ConLoan!DV$50</f>
        <v/>
      </c>
      <c r="DW19" s="402">
        <f>-ConLoan!DW$50</f>
        <v/>
      </c>
      <c r="DX19" s="402">
        <f>-ConLoan!DX$50</f>
        <v/>
      </c>
      <c r="DY19" s="402">
        <f>-ConLoan!DY$50</f>
        <v/>
      </c>
      <c r="DZ19" s="402">
        <f>-ConLoan!DZ$50</f>
        <v/>
      </c>
      <c r="EA19" s="402">
        <f>-ConLoan!EA$50</f>
        <v/>
      </c>
      <c r="EB19" s="402">
        <f>-ConLoan!EB$50</f>
        <v/>
      </c>
      <c r="EC19" s="402">
        <f>-ConLoan!EC$50</f>
        <v/>
      </c>
      <c r="ED19" s="402">
        <f>-ConLoan!ED$50</f>
        <v/>
      </c>
      <c r="EE19" s="402">
        <f>-ConLoan!EE$50</f>
        <v/>
      </c>
      <c r="EF19" s="402">
        <f>-ConLoan!EF$50</f>
        <v/>
      </c>
      <c r="EG19" s="402">
        <f>-ConLoan!EG$50</f>
        <v/>
      </c>
      <c r="EH19" s="402">
        <f>-ConLoan!EH$50</f>
        <v/>
      </c>
      <c r="EI19" s="402">
        <f>-ConLoan!EI$50</f>
        <v/>
      </c>
      <c r="EJ19" s="402">
        <f>-ConLoan!EJ$50</f>
        <v/>
      </c>
      <c r="EK19" s="402">
        <f>-ConLoan!EK$50</f>
        <v/>
      </c>
      <c r="EL19" s="402">
        <f>-ConLoan!EL$50</f>
        <v/>
      </c>
      <c r="EM19" s="402">
        <f>-ConLoan!EM$50</f>
        <v/>
      </c>
      <c r="EN19" s="402">
        <f>-ConLoan!EN$50</f>
        <v/>
      </c>
      <c r="EO19" s="402">
        <f>-ConLoan!EO$50</f>
        <v/>
      </c>
      <c r="EP19" s="402">
        <f>-ConLoan!EP$50</f>
        <v/>
      </c>
      <c r="EQ19" s="402">
        <f>-ConLoan!EQ$50</f>
        <v/>
      </c>
      <c r="ER19" s="402">
        <f>-ConLoan!ER$50</f>
        <v/>
      </c>
      <c r="ES19" s="402">
        <f>-ConLoan!ES$50</f>
        <v/>
      </c>
      <c r="ET19" s="402">
        <f>-ConLoan!ET$50</f>
        <v/>
      </c>
      <c r="EU19" s="402">
        <f>-ConLoan!EU$50</f>
        <v/>
      </c>
      <c r="EV19" s="402">
        <f>-ConLoan!EV$50</f>
        <v/>
      </c>
      <c r="EW19" s="402">
        <f>-ConLoan!EW$50</f>
        <v/>
      </c>
      <c r="EX19" s="402">
        <f>-ConLoan!EX$50</f>
        <v/>
      </c>
      <c r="EY19" s="402">
        <f>-ConLoan!EY$50</f>
        <v/>
      </c>
      <c r="EZ19" s="402">
        <f>-ConLoan!EZ$50</f>
        <v/>
      </c>
      <c r="FA19" s="402">
        <f>-ConLoan!FA$50</f>
        <v/>
      </c>
      <c r="FB19" s="402">
        <f>-ConLoan!FB$50</f>
        <v/>
      </c>
      <c r="FC19" s="402">
        <f>-ConLoan!FC$50</f>
        <v/>
      </c>
      <c r="FD19" s="402">
        <f>-ConLoan!FD$50</f>
        <v/>
      </c>
      <c r="FE19" s="402">
        <f>-ConLoan!FE$50</f>
        <v/>
      </c>
      <c r="FF19" s="402">
        <f>-ConLoan!FF$50</f>
        <v/>
      </c>
      <c r="FG19" s="402">
        <f>-ConLoan!FG$50</f>
        <v/>
      </c>
      <c r="FH19" s="402">
        <f>-ConLoan!FH$50</f>
        <v/>
      </c>
      <c r="FI19" s="402">
        <f>-ConLoan!FI$50</f>
        <v/>
      </c>
      <c r="FJ19" s="402">
        <f>-ConLoan!FJ$50</f>
        <v/>
      </c>
      <c r="FK19" s="402">
        <f>-ConLoan!FK$50</f>
        <v/>
      </c>
      <c r="FL19" s="402">
        <f>-ConLoan!FL$50</f>
        <v/>
      </c>
      <c r="FM19" s="402">
        <f>-ConLoan!FM$50</f>
        <v/>
      </c>
      <c r="FN19" s="402">
        <f>-ConLoan!FN$50</f>
        <v/>
      </c>
      <c r="FO19" s="402">
        <f>-ConLoan!FO$50</f>
        <v/>
      </c>
      <c r="FP19" s="402">
        <f>-ConLoan!FP$50</f>
        <v/>
      </c>
      <c r="FQ19" s="402">
        <f>-ConLoan!FQ$50</f>
        <v/>
      </c>
      <c r="FR19" s="402">
        <f>-ConLoan!FR$50</f>
        <v/>
      </c>
      <c r="FS19" s="402">
        <f>-ConLoan!FS$50</f>
        <v/>
      </c>
      <c r="FT19" s="402">
        <f>-ConLoan!FT$50</f>
        <v/>
      </c>
      <c r="FU19" s="402">
        <f>-ConLoan!FU$50</f>
        <v/>
      </c>
      <c r="FV19" s="402">
        <f>-ConLoan!FV$50</f>
        <v/>
      </c>
      <c r="FW19" s="402">
        <f>-ConLoan!FW$50</f>
        <v/>
      </c>
      <c r="FX19" s="402">
        <f>-ConLoan!FX$50</f>
        <v/>
      </c>
      <c r="FY19" s="402">
        <f>-ConLoan!FY$50</f>
        <v/>
      </c>
      <c r="FZ19" s="402">
        <f>-ConLoan!FZ$50</f>
        <v/>
      </c>
      <c r="GA19" s="402">
        <f>-ConLoan!GA$50</f>
        <v/>
      </c>
      <c r="GB19" s="402">
        <f>-ConLoan!GB$50</f>
        <v/>
      </c>
      <c r="GC19" s="402">
        <f>-ConLoan!GC$50</f>
        <v/>
      </c>
      <c r="GD19" s="402">
        <f>-ConLoan!GD$50</f>
        <v/>
      </c>
      <c r="GE19" s="402">
        <f>-ConLoan!GE$50</f>
        <v/>
      </c>
      <c r="GF19" s="402">
        <f>-ConLoan!GF$50</f>
        <v/>
      </c>
      <c r="GG19" s="402">
        <f>-ConLoan!GG$50</f>
        <v/>
      </c>
      <c r="GH19" s="402">
        <f>-ConLoan!GH$50</f>
        <v/>
      </c>
      <c r="GI19" s="402">
        <f>-ConLoan!GI$50</f>
        <v/>
      </c>
      <c r="GJ19" s="402">
        <f>-ConLoan!GJ$50</f>
        <v/>
      </c>
      <c r="GK19" s="402">
        <f>-ConLoan!GK$50</f>
        <v/>
      </c>
      <c r="GL19" s="402">
        <f>-ConLoan!GL$50</f>
        <v/>
      </c>
      <c r="GM19" s="402">
        <f>-ConLoan!GM$50</f>
        <v/>
      </c>
      <c r="GN19" s="402">
        <f>-ConLoan!GN$50</f>
        <v/>
      </c>
      <c r="GO19" s="402">
        <f>-ConLoan!GO$50</f>
        <v/>
      </c>
      <c r="GP19" s="402">
        <f>-ConLoan!GP$50</f>
        <v/>
      </c>
      <c r="GQ19" s="402">
        <f>-ConLoan!GQ$50</f>
        <v/>
      </c>
      <c r="GR19" s="402">
        <f>-ConLoan!GR$50</f>
        <v/>
      </c>
      <c r="GS19" s="402">
        <f>-ConLoan!GS$50</f>
        <v/>
      </c>
      <c r="GT19" s="402">
        <f>-ConLoan!GT$50</f>
        <v/>
      </c>
      <c r="GU19" s="402">
        <f>-ConLoan!GU$50</f>
        <v/>
      </c>
      <c r="GV19" s="402">
        <f>-ConLoan!GV$50</f>
        <v/>
      </c>
      <c r="GW19" s="402">
        <f>-ConLoan!GW$50</f>
        <v/>
      </c>
      <c r="GX19" s="402">
        <f>-ConLoan!GX$50</f>
        <v/>
      </c>
      <c r="GY19" s="402">
        <f>-ConLoan!GY$50</f>
        <v/>
      </c>
      <c r="GZ19" s="402">
        <f>-ConLoan!GZ$50</f>
        <v/>
      </c>
      <c r="HA19" s="402">
        <f>-ConLoan!HA$50</f>
        <v/>
      </c>
      <c r="HB19" s="402">
        <f>-ConLoan!HB$50</f>
        <v/>
      </c>
      <c r="HC19" s="402">
        <f>-ConLoan!HC$50</f>
        <v/>
      </c>
      <c r="HD19" s="402">
        <f>-ConLoan!HD$50</f>
        <v/>
      </c>
      <c r="HE19" s="402">
        <f>-ConLoan!HE$50</f>
        <v/>
      </c>
      <c r="HF19" s="402">
        <f>-ConLoan!HF$50</f>
        <v/>
      </c>
      <c r="HG19" s="402">
        <f>-ConLoan!HG$50</f>
        <v/>
      </c>
      <c r="HH19" s="402">
        <f>-ConLoan!HH$50</f>
        <v/>
      </c>
      <c r="HI19" s="402">
        <f>-ConLoan!HI$50</f>
        <v/>
      </c>
      <c r="HJ19" s="402">
        <f>-ConLoan!HJ$50</f>
        <v/>
      </c>
      <c r="HK19" s="402">
        <f>-ConLoan!HK$50</f>
        <v/>
      </c>
      <c r="HL19" s="402">
        <f>-ConLoan!HL$50</f>
        <v/>
      </c>
      <c r="HM19" s="402">
        <f>-ConLoan!HM$50</f>
        <v/>
      </c>
      <c r="HN19" s="402">
        <f>-ConLoan!HN$50</f>
        <v/>
      </c>
      <c r="HO19" s="402">
        <f>-ConLoan!HO$50</f>
        <v/>
      </c>
      <c r="HP19" s="402">
        <f>-ConLoan!HP$50</f>
        <v/>
      </c>
      <c r="HQ19" s="402">
        <f>-ConLoan!HQ$50</f>
        <v/>
      </c>
      <c r="HR19" s="402">
        <f>-ConLoan!HR$50</f>
        <v/>
      </c>
      <c r="HS19" s="402">
        <f>-ConLoan!HS$50</f>
        <v/>
      </c>
      <c r="HT19" s="402">
        <f>-ConLoan!HT$50</f>
        <v/>
      </c>
      <c r="HU19" s="402">
        <f>-ConLoan!HU$50</f>
        <v/>
      </c>
      <c r="HV19" s="402">
        <f>-ConLoan!HV$50</f>
        <v/>
      </c>
      <c r="HW19" s="402">
        <f>-ConLoan!HW$50</f>
        <v/>
      </c>
      <c r="HX19" s="402">
        <f>-ConLoan!HX$50</f>
        <v/>
      </c>
      <c r="HY19" s="402">
        <f>-ConLoan!HY$50</f>
        <v/>
      </c>
      <c r="HZ19" s="402">
        <f>-ConLoan!HZ$50</f>
        <v/>
      </c>
      <c r="IA19" s="402">
        <f>-ConLoan!IA$50</f>
        <v/>
      </c>
      <c r="IB19" s="402">
        <f>-ConLoan!IB$50</f>
        <v/>
      </c>
      <c r="IC19" s="402">
        <f>-ConLoan!IC$50</f>
        <v/>
      </c>
      <c r="ID19" s="402">
        <f>-ConLoan!ID$50</f>
        <v/>
      </c>
      <c r="IE19" s="402">
        <f>-ConLoan!IE$50</f>
        <v/>
      </c>
      <c r="IF19" s="402">
        <f>-ConLoan!IF$50</f>
        <v/>
      </c>
      <c r="IG19" s="402">
        <f>-ConLoan!IG$50</f>
        <v/>
      </c>
      <c r="IH19" s="402">
        <f>-ConLoan!IH$50</f>
        <v/>
      </c>
      <c r="II19" s="402">
        <f>-ConLoan!II$50</f>
        <v/>
      </c>
      <c r="IJ19" s="402">
        <f>-ConLoan!IJ$50</f>
        <v/>
      </c>
      <c r="IK19" s="402">
        <f>-ConLoan!IK$50</f>
        <v/>
      </c>
      <c r="IL19" s="402">
        <f>-ConLoan!IL$50</f>
        <v/>
      </c>
      <c r="IM19" s="402">
        <f>-ConLoan!IM$50</f>
        <v/>
      </c>
      <c r="IN19" s="402">
        <f>-ConLoan!IN$50</f>
        <v/>
      </c>
      <c r="IO19" s="402">
        <f>-ConLoan!IO$50</f>
        <v/>
      </c>
      <c r="IP19" s="402">
        <f>-ConLoan!IP$50</f>
        <v/>
      </c>
      <c r="IQ19" s="402">
        <f>-ConLoan!IQ$50</f>
        <v/>
      </c>
      <c r="IR19" s="402">
        <f>-ConLoan!IR$50</f>
        <v/>
      </c>
      <c r="IS19" s="402">
        <f>-ConLoan!IS$50</f>
        <v/>
      </c>
      <c r="IT19" s="402">
        <f>-ConLoan!IT$50</f>
        <v/>
      </c>
      <c r="IU19" s="402">
        <f>-ConLoan!IU$50</f>
        <v/>
      </c>
      <c r="IV19" s="402">
        <f>-ConLoan!IV$50</f>
        <v/>
      </c>
      <c r="IW19" s="402">
        <f>-ConLoan!IW$50</f>
        <v/>
      </c>
      <c r="IX19" s="402">
        <f>-ConLoan!IX$50</f>
        <v/>
      </c>
      <c r="IY19" s="402">
        <f>-ConLoan!IY$50</f>
        <v/>
      </c>
      <c r="IZ19" s="402">
        <f>-ConLoan!IZ$50</f>
        <v/>
      </c>
      <c r="JA19" s="402">
        <f>-ConLoan!JA$50</f>
        <v/>
      </c>
      <c r="JB19" s="402">
        <f>-ConLoan!JB$50</f>
        <v/>
      </c>
      <c r="JC19" s="402">
        <f>-ConLoan!JC$50</f>
        <v/>
      </c>
      <c r="JD19" s="402">
        <f>-ConLoan!JD$50</f>
        <v/>
      </c>
      <c r="JE19" s="402">
        <f>-ConLoan!JE$50</f>
        <v/>
      </c>
      <c r="JF19" s="402">
        <f>-ConLoan!JF$50</f>
        <v/>
      </c>
      <c r="JG19" s="402">
        <f>-ConLoan!JG$50</f>
        <v/>
      </c>
      <c r="JH19" s="402">
        <f>-ConLoan!JH$50</f>
        <v/>
      </c>
      <c r="JI19" s="402">
        <f>-ConLoan!JI$50</f>
        <v/>
      </c>
      <c r="JJ19" s="402">
        <f>-ConLoan!JJ$50</f>
        <v/>
      </c>
      <c r="JK19" s="402">
        <f>-ConLoan!JK$50</f>
        <v/>
      </c>
      <c r="JL19" s="402">
        <f>-ConLoan!JL$50</f>
        <v/>
      </c>
      <c r="JM19" s="402">
        <f>-ConLoan!JM$50</f>
        <v/>
      </c>
      <c r="JN19" s="402">
        <f>-ConLoan!JN$50</f>
        <v/>
      </c>
      <c r="JO19" s="402">
        <f>-ConLoan!JO$50</f>
        <v/>
      </c>
      <c r="JP19" s="402">
        <f>-ConLoan!JP$50</f>
        <v/>
      </c>
      <c r="JQ19" s="402">
        <f>-ConLoan!JQ$50</f>
        <v/>
      </c>
      <c r="JR19" s="402">
        <f>-ConLoan!JR$50</f>
        <v/>
      </c>
      <c r="JS19" s="402">
        <f>-ConLoan!JS$50</f>
        <v/>
      </c>
      <c r="JT19" s="402">
        <f>-ConLoan!JT$50</f>
        <v/>
      </c>
      <c r="JU19" s="402">
        <f>-ConLoan!JU$50</f>
        <v/>
      </c>
      <c r="JV19" s="402">
        <f>-ConLoan!JV$50</f>
        <v/>
      </c>
      <c r="JW19" s="402">
        <f>-ConLoan!JW$50</f>
        <v/>
      </c>
      <c r="JX19" s="402">
        <f>-ConLoan!JX$50</f>
        <v/>
      </c>
      <c r="JY19" s="402">
        <f>-ConLoan!JY$50</f>
        <v/>
      </c>
      <c r="JZ19" s="402">
        <f>-ConLoan!JZ$50</f>
        <v/>
      </c>
      <c r="KA19" s="402">
        <f>-ConLoan!KA$50</f>
        <v/>
      </c>
      <c r="KB19" s="402">
        <f>-ConLoan!KB$50</f>
        <v/>
      </c>
      <c r="KC19" s="402">
        <f>-ConLoan!KC$50</f>
        <v/>
      </c>
      <c r="KD19" s="402">
        <f>-ConLoan!KD$50</f>
        <v/>
      </c>
      <c r="KE19" s="402">
        <f>-ConLoan!KE$50</f>
        <v/>
      </c>
      <c r="KF19" s="402">
        <f>-ConLoan!KF$50</f>
        <v/>
      </c>
      <c r="KG19" s="402">
        <f>-ConLoan!KG$50</f>
        <v/>
      </c>
      <c r="KH19" s="402">
        <f>-ConLoan!KH$50</f>
        <v/>
      </c>
      <c r="KI19" s="402">
        <f>-ConLoan!KI$50</f>
        <v/>
      </c>
      <c r="KJ19" s="402">
        <f>-ConLoan!KJ$50</f>
        <v/>
      </c>
      <c r="KK19" s="402">
        <f>-ConLoan!KK$50</f>
        <v/>
      </c>
      <c r="KL19" s="402">
        <f>-ConLoan!KL$50</f>
        <v/>
      </c>
      <c r="KM19" s="402">
        <f>-ConLoan!KM$50</f>
        <v/>
      </c>
      <c r="KN19" s="402">
        <f>-ConLoan!KN$50</f>
        <v/>
      </c>
      <c r="KO19" s="402">
        <f>-ConLoan!KO$50</f>
        <v/>
      </c>
      <c r="KP19" s="402">
        <f>-ConLoan!KP$50</f>
        <v/>
      </c>
      <c r="KQ19" s="402">
        <f>-ConLoan!KQ$50</f>
        <v/>
      </c>
      <c r="KR19" s="402">
        <f>-ConLoan!KR$50</f>
        <v/>
      </c>
      <c r="KS19" s="402">
        <f>-ConLoan!KS$50</f>
        <v/>
      </c>
      <c r="KT19" s="402">
        <f>-ConLoan!KT$50</f>
        <v/>
      </c>
      <c r="KU19" s="402">
        <f>-ConLoan!KU$50</f>
        <v/>
      </c>
      <c r="KV19" s="402">
        <f>-ConLoan!KV$50</f>
        <v/>
      </c>
      <c r="KW19" s="402">
        <f>-ConLoan!KW$50</f>
        <v/>
      </c>
      <c r="KX19" s="402">
        <f>-ConLoan!KX$50</f>
        <v/>
      </c>
      <c r="KY19" s="402">
        <f>-ConLoan!KY$50</f>
        <v/>
      </c>
      <c r="KZ19" s="402">
        <f>-ConLoan!KZ$50</f>
        <v/>
      </c>
      <c r="LA19" s="402">
        <f>-ConLoan!LA$50</f>
        <v/>
      </c>
      <c r="LB19" s="402">
        <f>-ConLoan!LB$50</f>
        <v/>
      </c>
      <c r="LC19" s="402">
        <f>-ConLoan!LC$50</f>
        <v/>
      </c>
      <c r="LD19" s="402">
        <f>-ConLoan!LD$50</f>
        <v/>
      </c>
      <c r="LE19" s="402">
        <f>-ConLoan!LE$50</f>
        <v/>
      </c>
      <c r="LF19" s="402">
        <f>-ConLoan!LF$50</f>
        <v/>
      </c>
      <c r="LG19" s="402">
        <f>-ConLoan!LG$50</f>
        <v/>
      </c>
      <c r="LH19" s="402">
        <f>-ConLoan!LH$50</f>
        <v/>
      </c>
      <c r="LI19" s="402">
        <f>-ConLoan!LI$50</f>
        <v/>
      </c>
      <c r="LJ19" s="402">
        <f>-ConLoan!LJ$50</f>
        <v/>
      </c>
      <c r="LK19" s="402">
        <f>-ConLoan!LK$50</f>
        <v/>
      </c>
      <c r="LL19" s="402">
        <f>-ConLoan!LL$50</f>
        <v/>
      </c>
      <c r="LM19" s="402">
        <f>-ConLoan!LM$50</f>
        <v/>
      </c>
      <c r="LN19" s="402">
        <f>-ConLoan!LN$50</f>
        <v/>
      </c>
      <c r="LO19" s="402">
        <f>-ConLoan!LO$50</f>
        <v/>
      </c>
      <c r="LP19" s="402">
        <f>-ConLoan!LP$50</f>
        <v/>
      </c>
      <c r="LQ19" s="402">
        <f>-ConLoan!LQ$50</f>
        <v/>
      </c>
      <c r="LR19" s="402">
        <f>-ConLoan!LR$50</f>
        <v/>
      </c>
      <c r="LS19" s="402">
        <f>-ConLoan!LS$50</f>
        <v/>
      </c>
      <c r="LT19" s="402">
        <f>-ConLoan!LT$50</f>
        <v/>
      </c>
      <c r="LU19" s="402">
        <f>-ConLoan!LU$50</f>
        <v/>
      </c>
      <c r="LV19" s="402">
        <f>-ConLoan!LV$50</f>
        <v/>
      </c>
      <c r="LW19" s="402">
        <f>-ConLoan!LW$50</f>
        <v/>
      </c>
      <c r="LX19" s="402">
        <f>-ConLoan!LX$50</f>
        <v/>
      </c>
      <c r="LY19" s="402">
        <f>-ConLoan!LY$50</f>
        <v/>
      </c>
      <c r="LZ19" s="402">
        <f>-ConLoan!LZ$50</f>
        <v/>
      </c>
      <c r="MA19" s="402">
        <f>-ConLoan!MA$50</f>
        <v/>
      </c>
      <c r="MB19" s="402">
        <f>-ConLoan!MB$50</f>
        <v/>
      </c>
      <c r="MC19" s="402">
        <f>-ConLoan!MC$50</f>
        <v/>
      </c>
      <c r="MD19" s="402">
        <f>-ConLoan!MD$50</f>
        <v/>
      </c>
      <c r="ME19" s="402">
        <f>-ConLoan!ME$50</f>
        <v/>
      </c>
      <c r="MF19" s="402">
        <f>-ConLoan!MF$50</f>
        <v/>
      </c>
      <c r="MG19" s="402">
        <f>-ConLoan!MG$50</f>
        <v/>
      </c>
      <c r="MH19" s="402">
        <f>-ConLoan!MH$50</f>
        <v/>
      </c>
      <c r="MI19" s="402">
        <f>-ConLoan!MI$50</f>
        <v/>
      </c>
      <c r="MJ19" s="402">
        <f>-ConLoan!MJ$50</f>
        <v/>
      </c>
      <c r="MK19" s="402">
        <f>-ConLoan!MK$50</f>
        <v/>
      </c>
      <c r="ML19" s="402">
        <f>-ConLoan!ML$50</f>
        <v/>
      </c>
      <c r="MM19" s="402">
        <f>-ConLoan!MM$50</f>
        <v/>
      </c>
      <c r="MN19" s="402">
        <f>-ConLoan!MN$50</f>
        <v/>
      </c>
      <c r="MO19" s="402">
        <f>-ConLoan!MO$50</f>
        <v/>
      </c>
      <c r="MP19" s="402">
        <f>-ConLoan!MP$50</f>
        <v/>
      </c>
      <c r="MQ19" s="402">
        <f>-ConLoan!MQ$50</f>
        <v/>
      </c>
      <c r="MR19" s="402">
        <f>-ConLoan!MR$50</f>
        <v/>
      </c>
      <c r="MS19" s="402">
        <f>-ConLoan!MS$50</f>
        <v/>
      </c>
      <c r="MT19" s="402">
        <f>-ConLoan!MT$50</f>
        <v/>
      </c>
      <c r="MU19" s="402">
        <f>-ConLoan!MU$50</f>
        <v/>
      </c>
      <c r="MV19" s="402">
        <f>-ConLoan!MV$50</f>
        <v/>
      </c>
      <c r="MW19" s="402">
        <f>-ConLoan!MW$50</f>
        <v/>
      </c>
      <c r="MX19" s="402">
        <f>-ConLoan!MX$50</f>
        <v/>
      </c>
      <c r="MY19" s="402">
        <f>-ConLoan!MY$50</f>
        <v/>
      </c>
      <c r="MZ19" s="402">
        <f>-ConLoan!MZ$50</f>
        <v/>
      </c>
      <c r="NA19" s="402">
        <f>-ConLoan!NA$50</f>
        <v/>
      </c>
      <c r="NB19" s="402">
        <f>-ConLoan!NB$50</f>
        <v/>
      </c>
      <c r="NC19" s="402">
        <f>-ConLoan!NC$50</f>
        <v/>
      </c>
      <c r="ND19" s="402">
        <f>-ConLoan!ND$50</f>
        <v/>
      </c>
      <c r="NE19" s="402">
        <f>-ConLoan!NE$50</f>
        <v/>
      </c>
      <c r="NF19" s="402">
        <f>-ConLoan!NF$50</f>
        <v/>
      </c>
      <c r="NG19" s="402">
        <f>-ConLoan!NG$50</f>
        <v/>
      </c>
      <c r="NH19" s="402">
        <f>-ConLoan!NH$50</f>
        <v/>
      </c>
      <c r="NI19" s="402">
        <f>-ConLoan!NI$50</f>
        <v/>
      </c>
      <c r="NJ19" s="402">
        <f>-ConLoan!NJ$50</f>
        <v/>
      </c>
      <c r="NK19" s="402">
        <f>-ConLoan!NK$50</f>
        <v/>
      </c>
      <c r="NL19" s="402">
        <f>-ConLoan!NL$50</f>
        <v/>
      </c>
    </row>
    <row r="20">
      <c r="B20" s="316" t="inlineStr">
        <is>
          <t>Permanent Interest</t>
        </is>
      </c>
      <c r="D20" s="402">
        <f>SUM(E20:NL20)</f>
        <v/>
      </c>
      <c r="E20" s="402">
        <f>-PermLoan!E$27</f>
        <v/>
      </c>
      <c r="F20" s="402">
        <f>-PermLoan!F$27</f>
        <v/>
      </c>
      <c r="G20" s="402">
        <f>-PermLoan!G$27</f>
        <v/>
      </c>
      <c r="H20" s="402">
        <f>-PermLoan!H$27</f>
        <v/>
      </c>
      <c r="I20" s="402">
        <f>-PermLoan!I$27</f>
        <v/>
      </c>
      <c r="J20" s="402">
        <f>-PermLoan!J$27</f>
        <v/>
      </c>
      <c r="K20" s="402">
        <f>-PermLoan!K$27</f>
        <v/>
      </c>
      <c r="L20" s="402">
        <f>-PermLoan!L$27</f>
        <v/>
      </c>
      <c r="M20" s="402">
        <f>-PermLoan!M$27</f>
        <v/>
      </c>
      <c r="N20" s="402">
        <f>-PermLoan!N$27</f>
        <v/>
      </c>
      <c r="O20" s="402">
        <f>-PermLoan!O$27</f>
        <v/>
      </c>
      <c r="P20" s="402">
        <f>-PermLoan!P$27</f>
        <v/>
      </c>
      <c r="Q20" s="402">
        <f>-PermLoan!Q$27</f>
        <v/>
      </c>
      <c r="R20" s="402">
        <f>-PermLoan!R$27</f>
        <v/>
      </c>
      <c r="S20" s="402">
        <f>-PermLoan!S$27</f>
        <v/>
      </c>
      <c r="T20" s="402">
        <f>-PermLoan!T$27</f>
        <v/>
      </c>
      <c r="U20" s="402">
        <f>-PermLoan!U$27</f>
        <v/>
      </c>
      <c r="V20" s="402">
        <f>-PermLoan!V$27</f>
        <v/>
      </c>
      <c r="W20" s="402">
        <f>-PermLoan!W$27</f>
        <v/>
      </c>
      <c r="X20" s="402">
        <f>-PermLoan!X$27</f>
        <v/>
      </c>
      <c r="Y20" s="402">
        <f>-PermLoan!Y$27</f>
        <v/>
      </c>
      <c r="Z20" s="402">
        <f>-PermLoan!Z$27</f>
        <v/>
      </c>
      <c r="AA20" s="402">
        <f>-PermLoan!AA$27</f>
        <v/>
      </c>
      <c r="AB20" s="402">
        <f>-PermLoan!AB$27</f>
        <v/>
      </c>
      <c r="AC20" s="402">
        <f>-PermLoan!AC$27</f>
        <v/>
      </c>
      <c r="AD20" s="402">
        <f>-PermLoan!AD$27</f>
        <v/>
      </c>
      <c r="AE20" s="402">
        <f>-PermLoan!AE$27</f>
        <v/>
      </c>
      <c r="AF20" s="402">
        <f>-PermLoan!AF$27</f>
        <v/>
      </c>
      <c r="AG20" s="402">
        <f>-PermLoan!AG$27</f>
        <v/>
      </c>
      <c r="AH20" s="402">
        <f>-PermLoan!AH$27</f>
        <v/>
      </c>
      <c r="AI20" s="402">
        <f>-PermLoan!AI$27</f>
        <v/>
      </c>
      <c r="AJ20" s="402">
        <f>-PermLoan!AJ$27</f>
        <v/>
      </c>
      <c r="AK20" s="402">
        <f>-PermLoan!AK$27</f>
        <v/>
      </c>
      <c r="AL20" s="402">
        <f>-PermLoan!AL$27</f>
        <v/>
      </c>
      <c r="AM20" s="402">
        <f>-PermLoan!AM$27</f>
        <v/>
      </c>
      <c r="AN20" s="402">
        <f>-PermLoan!AN$27</f>
        <v/>
      </c>
      <c r="AO20" s="402">
        <f>-PermLoan!AO$27</f>
        <v/>
      </c>
      <c r="AP20" s="402">
        <f>-PermLoan!AP$27</f>
        <v/>
      </c>
      <c r="AQ20" s="402">
        <f>-PermLoan!AQ$27</f>
        <v/>
      </c>
      <c r="AR20" s="402">
        <f>-PermLoan!AR$27</f>
        <v/>
      </c>
      <c r="AS20" s="402">
        <f>-PermLoan!AS$27</f>
        <v/>
      </c>
      <c r="AT20" s="402">
        <f>-PermLoan!AT$27</f>
        <v/>
      </c>
      <c r="AU20" s="402">
        <f>-PermLoan!AU$27</f>
        <v/>
      </c>
      <c r="AV20" s="402">
        <f>-PermLoan!AV$27</f>
        <v/>
      </c>
      <c r="AW20" s="402">
        <f>-PermLoan!AW$27</f>
        <v/>
      </c>
      <c r="AX20" s="402">
        <f>-PermLoan!AX$27</f>
        <v/>
      </c>
      <c r="AY20" s="402">
        <f>-PermLoan!AY$27</f>
        <v/>
      </c>
      <c r="AZ20" s="402">
        <f>-PermLoan!AZ$27</f>
        <v/>
      </c>
      <c r="BA20" s="402">
        <f>-PermLoan!BA$27</f>
        <v/>
      </c>
      <c r="BB20" s="402">
        <f>-PermLoan!BB$27</f>
        <v/>
      </c>
      <c r="BC20" s="402">
        <f>-PermLoan!BC$27</f>
        <v/>
      </c>
      <c r="BD20" s="402">
        <f>-PermLoan!BD$27</f>
        <v/>
      </c>
      <c r="BE20" s="402">
        <f>-PermLoan!BE$27</f>
        <v/>
      </c>
      <c r="BF20" s="402">
        <f>-PermLoan!BF$27</f>
        <v/>
      </c>
      <c r="BG20" s="402">
        <f>-PermLoan!BG$27</f>
        <v/>
      </c>
      <c r="BH20" s="402">
        <f>-PermLoan!BH$27</f>
        <v/>
      </c>
      <c r="BI20" s="402">
        <f>-PermLoan!BI$27</f>
        <v/>
      </c>
      <c r="BJ20" s="402">
        <f>-PermLoan!BJ$27</f>
        <v/>
      </c>
      <c r="BK20" s="402">
        <f>-PermLoan!BK$27</f>
        <v/>
      </c>
      <c r="BL20" s="402">
        <f>-PermLoan!BL$27</f>
        <v/>
      </c>
      <c r="BM20" s="402">
        <f>-PermLoan!BM$27</f>
        <v/>
      </c>
      <c r="BN20" s="402">
        <f>-PermLoan!BN$27</f>
        <v/>
      </c>
      <c r="BO20" s="402">
        <f>-PermLoan!BO$27</f>
        <v/>
      </c>
      <c r="BP20" s="402">
        <f>-PermLoan!BP$27</f>
        <v/>
      </c>
      <c r="BQ20" s="402">
        <f>-PermLoan!BQ$27</f>
        <v/>
      </c>
      <c r="BR20" s="402">
        <f>-PermLoan!BR$27</f>
        <v/>
      </c>
      <c r="BS20" s="402">
        <f>-PermLoan!BS$27</f>
        <v/>
      </c>
      <c r="BT20" s="402">
        <f>-PermLoan!BT$27</f>
        <v/>
      </c>
      <c r="BU20" s="402">
        <f>-PermLoan!BU$27</f>
        <v/>
      </c>
      <c r="BV20" s="402">
        <f>-PermLoan!BV$27</f>
        <v/>
      </c>
      <c r="BW20" s="402">
        <f>-PermLoan!BW$27</f>
        <v/>
      </c>
      <c r="BX20" s="402">
        <f>-PermLoan!BX$27</f>
        <v/>
      </c>
      <c r="BY20" s="402">
        <f>-PermLoan!BY$27</f>
        <v/>
      </c>
      <c r="BZ20" s="402">
        <f>-PermLoan!BZ$27</f>
        <v/>
      </c>
      <c r="CA20" s="402">
        <f>-PermLoan!CA$27</f>
        <v/>
      </c>
      <c r="CB20" s="402">
        <f>-PermLoan!CB$27</f>
        <v/>
      </c>
      <c r="CC20" s="402">
        <f>-PermLoan!CC$27</f>
        <v/>
      </c>
      <c r="CD20" s="402">
        <f>-PermLoan!CD$27</f>
        <v/>
      </c>
      <c r="CE20" s="402">
        <f>-PermLoan!CE$27</f>
        <v/>
      </c>
      <c r="CF20" s="402">
        <f>-PermLoan!CF$27</f>
        <v/>
      </c>
      <c r="CG20" s="402">
        <f>-PermLoan!CG$27</f>
        <v/>
      </c>
      <c r="CH20" s="402">
        <f>-PermLoan!CH$27</f>
        <v/>
      </c>
      <c r="CI20" s="402">
        <f>-PermLoan!CI$27</f>
        <v/>
      </c>
      <c r="CJ20" s="402">
        <f>-PermLoan!CJ$27</f>
        <v/>
      </c>
      <c r="CK20" s="402">
        <f>-PermLoan!CK$27</f>
        <v/>
      </c>
      <c r="CL20" s="402">
        <f>-PermLoan!CL$27</f>
        <v/>
      </c>
      <c r="CM20" s="402">
        <f>-PermLoan!CM$27</f>
        <v/>
      </c>
      <c r="CN20" s="402">
        <f>-PermLoan!CN$27</f>
        <v/>
      </c>
      <c r="CO20" s="402">
        <f>-PermLoan!CO$27</f>
        <v/>
      </c>
      <c r="CP20" s="402">
        <f>-PermLoan!CP$27</f>
        <v/>
      </c>
      <c r="CQ20" s="402">
        <f>-PermLoan!CQ$27</f>
        <v/>
      </c>
      <c r="CR20" s="402">
        <f>-PermLoan!CR$27</f>
        <v/>
      </c>
      <c r="CS20" s="402">
        <f>-PermLoan!CS$27</f>
        <v/>
      </c>
      <c r="CT20" s="402">
        <f>-PermLoan!CT$27</f>
        <v/>
      </c>
      <c r="CU20" s="402">
        <f>-PermLoan!CU$27</f>
        <v/>
      </c>
      <c r="CV20" s="402">
        <f>-PermLoan!CV$27</f>
        <v/>
      </c>
      <c r="CW20" s="402">
        <f>-PermLoan!CW$27</f>
        <v/>
      </c>
      <c r="CX20" s="402">
        <f>-PermLoan!CX$27</f>
        <v/>
      </c>
      <c r="CY20" s="402">
        <f>-PermLoan!CY$27</f>
        <v/>
      </c>
      <c r="CZ20" s="402">
        <f>-PermLoan!CZ$27</f>
        <v/>
      </c>
      <c r="DA20" s="402">
        <f>-PermLoan!DA$27</f>
        <v/>
      </c>
      <c r="DB20" s="402">
        <f>-PermLoan!DB$27</f>
        <v/>
      </c>
      <c r="DC20" s="402">
        <f>-PermLoan!DC$27</f>
        <v/>
      </c>
      <c r="DD20" s="402">
        <f>-PermLoan!DD$27</f>
        <v/>
      </c>
      <c r="DE20" s="402">
        <f>-PermLoan!DE$27</f>
        <v/>
      </c>
      <c r="DF20" s="402">
        <f>-PermLoan!DF$27</f>
        <v/>
      </c>
      <c r="DG20" s="402">
        <f>-PermLoan!DG$27</f>
        <v/>
      </c>
      <c r="DH20" s="402">
        <f>-PermLoan!DH$27</f>
        <v/>
      </c>
      <c r="DI20" s="402">
        <f>-PermLoan!DI$27</f>
        <v/>
      </c>
      <c r="DJ20" s="402">
        <f>-PermLoan!DJ$27</f>
        <v/>
      </c>
      <c r="DK20" s="402">
        <f>-PermLoan!DK$27</f>
        <v/>
      </c>
      <c r="DL20" s="402">
        <f>-PermLoan!DL$27</f>
        <v/>
      </c>
      <c r="DM20" s="402">
        <f>-PermLoan!DM$27</f>
        <v/>
      </c>
      <c r="DN20" s="402">
        <f>-PermLoan!DN$27</f>
        <v/>
      </c>
      <c r="DO20" s="402">
        <f>-PermLoan!DO$27</f>
        <v/>
      </c>
      <c r="DP20" s="402">
        <f>-PermLoan!DP$27</f>
        <v/>
      </c>
      <c r="DQ20" s="402">
        <f>-PermLoan!DQ$27</f>
        <v/>
      </c>
      <c r="DR20" s="402">
        <f>-PermLoan!DR$27</f>
        <v/>
      </c>
      <c r="DS20" s="402">
        <f>-PermLoan!DS$27</f>
        <v/>
      </c>
      <c r="DT20" s="402">
        <f>-PermLoan!DT$27</f>
        <v/>
      </c>
      <c r="DU20" s="402">
        <f>-PermLoan!DU$27</f>
        <v/>
      </c>
      <c r="DV20" s="402">
        <f>-PermLoan!DV$27</f>
        <v/>
      </c>
      <c r="DW20" s="402">
        <f>-PermLoan!DW$27</f>
        <v/>
      </c>
      <c r="DX20" s="402">
        <f>-PermLoan!DX$27</f>
        <v/>
      </c>
      <c r="DY20" s="402">
        <f>-PermLoan!DY$27</f>
        <v/>
      </c>
      <c r="DZ20" s="402">
        <f>-PermLoan!DZ$27</f>
        <v/>
      </c>
      <c r="EA20" s="402">
        <f>-PermLoan!EA$27</f>
        <v/>
      </c>
      <c r="EB20" s="402">
        <f>-PermLoan!EB$27</f>
        <v/>
      </c>
      <c r="EC20" s="402">
        <f>-PermLoan!EC$27</f>
        <v/>
      </c>
      <c r="ED20" s="402">
        <f>-PermLoan!ED$27</f>
        <v/>
      </c>
      <c r="EE20" s="402">
        <f>-PermLoan!EE$27</f>
        <v/>
      </c>
      <c r="EF20" s="402">
        <f>-PermLoan!EF$27</f>
        <v/>
      </c>
      <c r="EG20" s="402">
        <f>-PermLoan!EG$27</f>
        <v/>
      </c>
      <c r="EH20" s="402">
        <f>-PermLoan!EH$27</f>
        <v/>
      </c>
      <c r="EI20" s="402">
        <f>-PermLoan!EI$27</f>
        <v/>
      </c>
      <c r="EJ20" s="402">
        <f>-PermLoan!EJ$27</f>
        <v/>
      </c>
      <c r="EK20" s="402">
        <f>-PermLoan!EK$27</f>
        <v/>
      </c>
      <c r="EL20" s="402">
        <f>-PermLoan!EL$27</f>
        <v/>
      </c>
      <c r="EM20" s="402">
        <f>-PermLoan!EM$27</f>
        <v/>
      </c>
      <c r="EN20" s="402">
        <f>-PermLoan!EN$27</f>
        <v/>
      </c>
      <c r="EO20" s="402">
        <f>-PermLoan!EO$27</f>
        <v/>
      </c>
      <c r="EP20" s="402">
        <f>-PermLoan!EP$27</f>
        <v/>
      </c>
      <c r="EQ20" s="402">
        <f>-PermLoan!EQ$27</f>
        <v/>
      </c>
      <c r="ER20" s="402">
        <f>-PermLoan!ER$27</f>
        <v/>
      </c>
      <c r="ES20" s="402">
        <f>-PermLoan!ES$27</f>
        <v/>
      </c>
      <c r="ET20" s="402">
        <f>-PermLoan!ET$27</f>
        <v/>
      </c>
      <c r="EU20" s="402">
        <f>-PermLoan!EU$27</f>
        <v/>
      </c>
      <c r="EV20" s="402">
        <f>-PermLoan!EV$27</f>
        <v/>
      </c>
      <c r="EW20" s="402">
        <f>-PermLoan!EW$27</f>
        <v/>
      </c>
      <c r="EX20" s="402">
        <f>-PermLoan!EX$27</f>
        <v/>
      </c>
      <c r="EY20" s="402">
        <f>-PermLoan!EY$27</f>
        <v/>
      </c>
      <c r="EZ20" s="402">
        <f>-PermLoan!EZ$27</f>
        <v/>
      </c>
      <c r="FA20" s="402">
        <f>-PermLoan!FA$27</f>
        <v/>
      </c>
      <c r="FB20" s="402">
        <f>-PermLoan!FB$27</f>
        <v/>
      </c>
      <c r="FC20" s="402">
        <f>-PermLoan!FC$27</f>
        <v/>
      </c>
      <c r="FD20" s="402">
        <f>-PermLoan!FD$27</f>
        <v/>
      </c>
      <c r="FE20" s="402">
        <f>-PermLoan!FE$27</f>
        <v/>
      </c>
      <c r="FF20" s="402">
        <f>-PermLoan!FF$27</f>
        <v/>
      </c>
      <c r="FG20" s="402">
        <f>-PermLoan!FG$27</f>
        <v/>
      </c>
      <c r="FH20" s="402">
        <f>-PermLoan!FH$27</f>
        <v/>
      </c>
      <c r="FI20" s="402">
        <f>-PermLoan!FI$27</f>
        <v/>
      </c>
      <c r="FJ20" s="402">
        <f>-PermLoan!FJ$27</f>
        <v/>
      </c>
      <c r="FK20" s="402">
        <f>-PermLoan!FK$27</f>
        <v/>
      </c>
      <c r="FL20" s="402">
        <f>-PermLoan!FL$27</f>
        <v/>
      </c>
      <c r="FM20" s="402">
        <f>-PermLoan!FM$27</f>
        <v/>
      </c>
      <c r="FN20" s="402">
        <f>-PermLoan!FN$27</f>
        <v/>
      </c>
      <c r="FO20" s="402">
        <f>-PermLoan!FO$27</f>
        <v/>
      </c>
      <c r="FP20" s="402">
        <f>-PermLoan!FP$27</f>
        <v/>
      </c>
      <c r="FQ20" s="402">
        <f>-PermLoan!FQ$27</f>
        <v/>
      </c>
      <c r="FR20" s="402">
        <f>-PermLoan!FR$27</f>
        <v/>
      </c>
      <c r="FS20" s="402">
        <f>-PermLoan!FS$27</f>
        <v/>
      </c>
      <c r="FT20" s="402">
        <f>-PermLoan!FT$27</f>
        <v/>
      </c>
      <c r="FU20" s="402">
        <f>-PermLoan!FU$27</f>
        <v/>
      </c>
      <c r="FV20" s="402">
        <f>-PermLoan!FV$27</f>
        <v/>
      </c>
      <c r="FW20" s="402">
        <f>-PermLoan!FW$27</f>
        <v/>
      </c>
      <c r="FX20" s="402">
        <f>-PermLoan!FX$27</f>
        <v/>
      </c>
      <c r="FY20" s="402">
        <f>-PermLoan!FY$27</f>
        <v/>
      </c>
      <c r="FZ20" s="402">
        <f>-PermLoan!FZ$27</f>
        <v/>
      </c>
      <c r="GA20" s="402">
        <f>-PermLoan!GA$27</f>
        <v/>
      </c>
      <c r="GB20" s="402">
        <f>-PermLoan!GB$27</f>
        <v/>
      </c>
      <c r="GC20" s="402">
        <f>-PermLoan!GC$27</f>
        <v/>
      </c>
      <c r="GD20" s="402">
        <f>-PermLoan!GD$27</f>
        <v/>
      </c>
      <c r="GE20" s="402">
        <f>-PermLoan!GE$27</f>
        <v/>
      </c>
      <c r="GF20" s="402">
        <f>-PermLoan!GF$27</f>
        <v/>
      </c>
      <c r="GG20" s="402">
        <f>-PermLoan!GG$27</f>
        <v/>
      </c>
      <c r="GH20" s="402">
        <f>-PermLoan!GH$27</f>
        <v/>
      </c>
      <c r="GI20" s="402">
        <f>-PermLoan!GI$27</f>
        <v/>
      </c>
      <c r="GJ20" s="402">
        <f>-PermLoan!GJ$27</f>
        <v/>
      </c>
      <c r="GK20" s="402">
        <f>-PermLoan!GK$27</f>
        <v/>
      </c>
      <c r="GL20" s="402">
        <f>-PermLoan!GL$27</f>
        <v/>
      </c>
      <c r="GM20" s="402">
        <f>-PermLoan!GM$27</f>
        <v/>
      </c>
      <c r="GN20" s="402">
        <f>-PermLoan!GN$27</f>
        <v/>
      </c>
      <c r="GO20" s="402">
        <f>-PermLoan!GO$27</f>
        <v/>
      </c>
      <c r="GP20" s="402">
        <f>-PermLoan!GP$27</f>
        <v/>
      </c>
      <c r="GQ20" s="402">
        <f>-PermLoan!GQ$27</f>
        <v/>
      </c>
      <c r="GR20" s="402">
        <f>-PermLoan!GR$27</f>
        <v/>
      </c>
      <c r="GS20" s="402">
        <f>-PermLoan!GS$27</f>
        <v/>
      </c>
      <c r="GT20" s="402">
        <f>-PermLoan!GT$27</f>
        <v/>
      </c>
      <c r="GU20" s="402">
        <f>-PermLoan!GU$27</f>
        <v/>
      </c>
      <c r="GV20" s="402">
        <f>-PermLoan!GV$27</f>
        <v/>
      </c>
      <c r="GW20" s="402">
        <f>-PermLoan!GW$27</f>
        <v/>
      </c>
      <c r="GX20" s="402">
        <f>-PermLoan!GX$27</f>
        <v/>
      </c>
      <c r="GY20" s="402">
        <f>-PermLoan!GY$27</f>
        <v/>
      </c>
      <c r="GZ20" s="402">
        <f>-PermLoan!GZ$27</f>
        <v/>
      </c>
      <c r="HA20" s="402">
        <f>-PermLoan!HA$27</f>
        <v/>
      </c>
      <c r="HB20" s="402">
        <f>-PermLoan!HB$27</f>
        <v/>
      </c>
      <c r="HC20" s="402">
        <f>-PermLoan!HC$27</f>
        <v/>
      </c>
      <c r="HD20" s="402">
        <f>-PermLoan!HD$27</f>
        <v/>
      </c>
      <c r="HE20" s="402">
        <f>-PermLoan!HE$27</f>
        <v/>
      </c>
      <c r="HF20" s="402">
        <f>-PermLoan!HF$27</f>
        <v/>
      </c>
      <c r="HG20" s="402">
        <f>-PermLoan!HG$27</f>
        <v/>
      </c>
      <c r="HH20" s="402">
        <f>-PermLoan!HH$27</f>
        <v/>
      </c>
      <c r="HI20" s="402">
        <f>-PermLoan!HI$27</f>
        <v/>
      </c>
      <c r="HJ20" s="402">
        <f>-PermLoan!HJ$27</f>
        <v/>
      </c>
      <c r="HK20" s="402">
        <f>-PermLoan!HK$27</f>
        <v/>
      </c>
      <c r="HL20" s="402">
        <f>-PermLoan!HL$27</f>
        <v/>
      </c>
      <c r="HM20" s="402">
        <f>-PermLoan!HM$27</f>
        <v/>
      </c>
      <c r="HN20" s="402">
        <f>-PermLoan!HN$27</f>
        <v/>
      </c>
      <c r="HO20" s="402">
        <f>-PermLoan!HO$27</f>
        <v/>
      </c>
      <c r="HP20" s="402">
        <f>-PermLoan!HP$27</f>
        <v/>
      </c>
      <c r="HQ20" s="402">
        <f>-PermLoan!HQ$27</f>
        <v/>
      </c>
      <c r="HR20" s="402">
        <f>-PermLoan!HR$27</f>
        <v/>
      </c>
      <c r="HS20" s="402">
        <f>-PermLoan!HS$27</f>
        <v/>
      </c>
      <c r="HT20" s="402">
        <f>-PermLoan!HT$27</f>
        <v/>
      </c>
      <c r="HU20" s="402">
        <f>-PermLoan!HU$27</f>
        <v/>
      </c>
      <c r="HV20" s="402">
        <f>-PermLoan!HV$27</f>
        <v/>
      </c>
      <c r="HW20" s="402">
        <f>-PermLoan!HW$27</f>
        <v/>
      </c>
      <c r="HX20" s="402">
        <f>-PermLoan!HX$27</f>
        <v/>
      </c>
      <c r="HY20" s="402">
        <f>-PermLoan!HY$27</f>
        <v/>
      </c>
      <c r="HZ20" s="402">
        <f>-PermLoan!HZ$27</f>
        <v/>
      </c>
      <c r="IA20" s="402">
        <f>-PermLoan!IA$27</f>
        <v/>
      </c>
      <c r="IB20" s="402">
        <f>-PermLoan!IB$27</f>
        <v/>
      </c>
      <c r="IC20" s="402">
        <f>-PermLoan!IC$27</f>
        <v/>
      </c>
      <c r="ID20" s="402">
        <f>-PermLoan!ID$27</f>
        <v/>
      </c>
      <c r="IE20" s="402">
        <f>-PermLoan!IE$27</f>
        <v/>
      </c>
      <c r="IF20" s="402">
        <f>-PermLoan!IF$27</f>
        <v/>
      </c>
      <c r="IG20" s="402">
        <f>-PermLoan!IG$27</f>
        <v/>
      </c>
      <c r="IH20" s="402">
        <f>-PermLoan!IH$27</f>
        <v/>
      </c>
      <c r="II20" s="402">
        <f>-PermLoan!II$27</f>
        <v/>
      </c>
      <c r="IJ20" s="402">
        <f>-PermLoan!IJ$27</f>
        <v/>
      </c>
      <c r="IK20" s="402">
        <f>-PermLoan!IK$27</f>
        <v/>
      </c>
      <c r="IL20" s="402">
        <f>-PermLoan!IL$27</f>
        <v/>
      </c>
      <c r="IM20" s="402">
        <f>-PermLoan!IM$27</f>
        <v/>
      </c>
      <c r="IN20" s="402">
        <f>-PermLoan!IN$27</f>
        <v/>
      </c>
      <c r="IO20" s="402">
        <f>-PermLoan!IO$27</f>
        <v/>
      </c>
      <c r="IP20" s="402">
        <f>-PermLoan!IP$27</f>
        <v/>
      </c>
      <c r="IQ20" s="402">
        <f>-PermLoan!IQ$27</f>
        <v/>
      </c>
      <c r="IR20" s="402">
        <f>-PermLoan!IR$27</f>
        <v/>
      </c>
      <c r="IS20" s="402">
        <f>-PermLoan!IS$27</f>
        <v/>
      </c>
      <c r="IT20" s="402">
        <f>-PermLoan!IT$27</f>
        <v/>
      </c>
      <c r="IU20" s="402">
        <f>-PermLoan!IU$27</f>
        <v/>
      </c>
      <c r="IV20" s="402">
        <f>-PermLoan!IV$27</f>
        <v/>
      </c>
      <c r="IW20" s="402">
        <f>-PermLoan!IW$27</f>
        <v/>
      </c>
      <c r="IX20" s="402">
        <f>-PermLoan!IX$27</f>
        <v/>
      </c>
      <c r="IY20" s="402">
        <f>-PermLoan!IY$27</f>
        <v/>
      </c>
      <c r="IZ20" s="402">
        <f>-PermLoan!IZ$27</f>
        <v/>
      </c>
      <c r="JA20" s="402">
        <f>-PermLoan!JA$27</f>
        <v/>
      </c>
      <c r="JB20" s="402">
        <f>-PermLoan!JB$27</f>
        <v/>
      </c>
      <c r="JC20" s="402">
        <f>-PermLoan!JC$27</f>
        <v/>
      </c>
      <c r="JD20" s="402">
        <f>-PermLoan!JD$27</f>
        <v/>
      </c>
      <c r="JE20" s="402">
        <f>-PermLoan!JE$27</f>
        <v/>
      </c>
      <c r="JF20" s="402">
        <f>-PermLoan!JF$27</f>
        <v/>
      </c>
      <c r="JG20" s="402">
        <f>-PermLoan!JG$27</f>
        <v/>
      </c>
      <c r="JH20" s="402">
        <f>-PermLoan!JH$27</f>
        <v/>
      </c>
      <c r="JI20" s="402">
        <f>-PermLoan!JI$27</f>
        <v/>
      </c>
      <c r="JJ20" s="402">
        <f>-PermLoan!JJ$27</f>
        <v/>
      </c>
      <c r="JK20" s="402">
        <f>-PermLoan!JK$27</f>
        <v/>
      </c>
      <c r="JL20" s="402">
        <f>-PermLoan!JL$27</f>
        <v/>
      </c>
      <c r="JM20" s="402">
        <f>-PermLoan!JM$27</f>
        <v/>
      </c>
      <c r="JN20" s="402">
        <f>-PermLoan!JN$27</f>
        <v/>
      </c>
      <c r="JO20" s="402">
        <f>-PermLoan!JO$27</f>
        <v/>
      </c>
      <c r="JP20" s="402">
        <f>-PermLoan!JP$27</f>
        <v/>
      </c>
      <c r="JQ20" s="402">
        <f>-PermLoan!JQ$27</f>
        <v/>
      </c>
      <c r="JR20" s="402">
        <f>-PermLoan!JR$27</f>
        <v/>
      </c>
      <c r="JS20" s="402">
        <f>-PermLoan!JS$27</f>
        <v/>
      </c>
      <c r="JT20" s="402">
        <f>-PermLoan!JT$27</f>
        <v/>
      </c>
      <c r="JU20" s="402">
        <f>-PermLoan!JU$27</f>
        <v/>
      </c>
      <c r="JV20" s="402">
        <f>-PermLoan!JV$27</f>
        <v/>
      </c>
      <c r="JW20" s="402">
        <f>-PermLoan!JW$27</f>
        <v/>
      </c>
      <c r="JX20" s="402">
        <f>-PermLoan!JX$27</f>
        <v/>
      </c>
      <c r="JY20" s="402">
        <f>-PermLoan!JY$27</f>
        <v/>
      </c>
      <c r="JZ20" s="402">
        <f>-PermLoan!JZ$27</f>
        <v/>
      </c>
      <c r="KA20" s="402">
        <f>-PermLoan!KA$27</f>
        <v/>
      </c>
      <c r="KB20" s="402">
        <f>-PermLoan!KB$27</f>
        <v/>
      </c>
      <c r="KC20" s="402">
        <f>-PermLoan!KC$27</f>
        <v/>
      </c>
      <c r="KD20" s="402">
        <f>-PermLoan!KD$27</f>
        <v/>
      </c>
      <c r="KE20" s="402">
        <f>-PermLoan!KE$27</f>
        <v/>
      </c>
      <c r="KF20" s="402">
        <f>-PermLoan!KF$27</f>
        <v/>
      </c>
      <c r="KG20" s="402">
        <f>-PermLoan!KG$27</f>
        <v/>
      </c>
      <c r="KH20" s="402">
        <f>-PermLoan!KH$27</f>
        <v/>
      </c>
      <c r="KI20" s="402">
        <f>-PermLoan!KI$27</f>
        <v/>
      </c>
      <c r="KJ20" s="402">
        <f>-PermLoan!KJ$27</f>
        <v/>
      </c>
      <c r="KK20" s="402">
        <f>-PermLoan!KK$27</f>
        <v/>
      </c>
      <c r="KL20" s="402">
        <f>-PermLoan!KL$27</f>
        <v/>
      </c>
      <c r="KM20" s="402">
        <f>-PermLoan!KM$27</f>
        <v/>
      </c>
      <c r="KN20" s="402">
        <f>-PermLoan!KN$27</f>
        <v/>
      </c>
      <c r="KO20" s="402">
        <f>-PermLoan!KO$27</f>
        <v/>
      </c>
      <c r="KP20" s="402">
        <f>-PermLoan!KP$27</f>
        <v/>
      </c>
      <c r="KQ20" s="402">
        <f>-PermLoan!KQ$27</f>
        <v/>
      </c>
      <c r="KR20" s="402">
        <f>-PermLoan!KR$27</f>
        <v/>
      </c>
      <c r="KS20" s="402">
        <f>-PermLoan!KS$27</f>
        <v/>
      </c>
      <c r="KT20" s="402">
        <f>-PermLoan!KT$27</f>
        <v/>
      </c>
      <c r="KU20" s="402">
        <f>-PermLoan!KU$27</f>
        <v/>
      </c>
      <c r="KV20" s="402">
        <f>-PermLoan!KV$27</f>
        <v/>
      </c>
      <c r="KW20" s="402">
        <f>-PermLoan!KW$27</f>
        <v/>
      </c>
      <c r="KX20" s="402">
        <f>-PermLoan!KX$27</f>
        <v/>
      </c>
      <c r="KY20" s="402">
        <f>-PermLoan!KY$27</f>
        <v/>
      </c>
      <c r="KZ20" s="402">
        <f>-PermLoan!KZ$27</f>
        <v/>
      </c>
      <c r="LA20" s="402">
        <f>-PermLoan!LA$27</f>
        <v/>
      </c>
      <c r="LB20" s="402">
        <f>-PermLoan!LB$27</f>
        <v/>
      </c>
      <c r="LC20" s="402">
        <f>-PermLoan!LC$27</f>
        <v/>
      </c>
      <c r="LD20" s="402">
        <f>-PermLoan!LD$27</f>
        <v/>
      </c>
      <c r="LE20" s="402">
        <f>-PermLoan!LE$27</f>
        <v/>
      </c>
      <c r="LF20" s="402">
        <f>-PermLoan!LF$27</f>
        <v/>
      </c>
      <c r="LG20" s="402">
        <f>-PermLoan!LG$27</f>
        <v/>
      </c>
      <c r="LH20" s="402">
        <f>-PermLoan!LH$27</f>
        <v/>
      </c>
      <c r="LI20" s="402">
        <f>-PermLoan!LI$27</f>
        <v/>
      </c>
      <c r="LJ20" s="402">
        <f>-PermLoan!LJ$27</f>
        <v/>
      </c>
      <c r="LK20" s="402">
        <f>-PermLoan!LK$27</f>
        <v/>
      </c>
      <c r="LL20" s="402">
        <f>-PermLoan!LL$27</f>
        <v/>
      </c>
      <c r="LM20" s="402">
        <f>-PermLoan!LM$27</f>
        <v/>
      </c>
      <c r="LN20" s="402">
        <f>-PermLoan!LN$27</f>
        <v/>
      </c>
      <c r="LO20" s="402">
        <f>-PermLoan!LO$27</f>
        <v/>
      </c>
      <c r="LP20" s="402">
        <f>-PermLoan!LP$27</f>
        <v/>
      </c>
      <c r="LQ20" s="402">
        <f>-PermLoan!LQ$27</f>
        <v/>
      </c>
      <c r="LR20" s="402">
        <f>-PermLoan!LR$27</f>
        <v/>
      </c>
      <c r="LS20" s="402">
        <f>-PermLoan!LS$27</f>
        <v/>
      </c>
      <c r="LT20" s="402">
        <f>-PermLoan!LT$27</f>
        <v/>
      </c>
      <c r="LU20" s="402">
        <f>-PermLoan!LU$27</f>
        <v/>
      </c>
      <c r="LV20" s="402">
        <f>-PermLoan!LV$27</f>
        <v/>
      </c>
      <c r="LW20" s="402">
        <f>-PermLoan!LW$27</f>
        <v/>
      </c>
      <c r="LX20" s="402">
        <f>-PermLoan!LX$27</f>
        <v/>
      </c>
      <c r="LY20" s="402">
        <f>-PermLoan!LY$27</f>
        <v/>
      </c>
      <c r="LZ20" s="402">
        <f>-PermLoan!LZ$27</f>
        <v/>
      </c>
      <c r="MA20" s="402">
        <f>-PermLoan!MA$27</f>
        <v/>
      </c>
      <c r="MB20" s="402">
        <f>-PermLoan!MB$27</f>
        <v/>
      </c>
      <c r="MC20" s="402">
        <f>-PermLoan!MC$27</f>
        <v/>
      </c>
      <c r="MD20" s="402">
        <f>-PermLoan!MD$27</f>
        <v/>
      </c>
      <c r="ME20" s="402">
        <f>-PermLoan!ME$27</f>
        <v/>
      </c>
      <c r="MF20" s="402">
        <f>-PermLoan!MF$27</f>
        <v/>
      </c>
      <c r="MG20" s="402">
        <f>-PermLoan!MG$27</f>
        <v/>
      </c>
      <c r="MH20" s="402">
        <f>-PermLoan!MH$27</f>
        <v/>
      </c>
      <c r="MI20" s="402">
        <f>-PermLoan!MI$27</f>
        <v/>
      </c>
      <c r="MJ20" s="402">
        <f>-PermLoan!MJ$27</f>
        <v/>
      </c>
      <c r="MK20" s="402">
        <f>-PermLoan!MK$27</f>
        <v/>
      </c>
      <c r="ML20" s="402">
        <f>-PermLoan!ML$27</f>
        <v/>
      </c>
      <c r="MM20" s="402">
        <f>-PermLoan!MM$27</f>
        <v/>
      </c>
      <c r="MN20" s="402">
        <f>-PermLoan!MN$27</f>
        <v/>
      </c>
      <c r="MO20" s="402">
        <f>-PermLoan!MO$27</f>
        <v/>
      </c>
      <c r="MP20" s="402">
        <f>-PermLoan!MP$27</f>
        <v/>
      </c>
      <c r="MQ20" s="402">
        <f>-PermLoan!MQ$27</f>
        <v/>
      </c>
      <c r="MR20" s="402">
        <f>-PermLoan!MR$27</f>
        <v/>
      </c>
      <c r="MS20" s="402">
        <f>-PermLoan!MS$27</f>
        <v/>
      </c>
      <c r="MT20" s="402">
        <f>-PermLoan!MT$27</f>
        <v/>
      </c>
      <c r="MU20" s="402">
        <f>-PermLoan!MU$27</f>
        <v/>
      </c>
      <c r="MV20" s="402">
        <f>-PermLoan!MV$27</f>
        <v/>
      </c>
      <c r="MW20" s="402">
        <f>-PermLoan!MW$27</f>
        <v/>
      </c>
      <c r="MX20" s="402">
        <f>-PermLoan!MX$27</f>
        <v/>
      </c>
      <c r="MY20" s="402">
        <f>-PermLoan!MY$27</f>
        <v/>
      </c>
      <c r="MZ20" s="402">
        <f>-PermLoan!MZ$27</f>
        <v/>
      </c>
      <c r="NA20" s="402">
        <f>-PermLoan!NA$27</f>
        <v/>
      </c>
      <c r="NB20" s="402">
        <f>-PermLoan!NB$27</f>
        <v/>
      </c>
      <c r="NC20" s="402">
        <f>-PermLoan!NC$27</f>
        <v/>
      </c>
      <c r="ND20" s="402">
        <f>-PermLoan!ND$27</f>
        <v/>
      </c>
      <c r="NE20" s="402">
        <f>-PermLoan!NE$27</f>
        <v/>
      </c>
      <c r="NF20" s="402">
        <f>-PermLoan!NF$27</f>
        <v/>
      </c>
      <c r="NG20" s="402">
        <f>-PermLoan!NG$27</f>
        <v/>
      </c>
      <c r="NH20" s="402">
        <f>-PermLoan!NH$27</f>
        <v/>
      </c>
      <c r="NI20" s="402">
        <f>-PermLoan!NI$27</f>
        <v/>
      </c>
      <c r="NJ20" s="402">
        <f>-PermLoan!NJ$27</f>
        <v/>
      </c>
      <c r="NK20" s="402">
        <f>-PermLoan!NK$27</f>
        <v/>
      </c>
      <c r="NL20" s="402">
        <f>-PermLoan!NL$27</f>
        <v/>
      </c>
    </row>
    <row r="21">
      <c r="B21" s="316" t="inlineStr">
        <is>
          <t>Permanent Principal</t>
        </is>
      </c>
      <c r="D21" s="402">
        <f>SUM(E21:NL21)</f>
        <v/>
      </c>
      <c r="E21" s="402">
        <f>-PermLoan!E$28</f>
        <v/>
      </c>
      <c r="F21" s="402">
        <f>-PermLoan!F$28</f>
        <v/>
      </c>
      <c r="G21" s="402">
        <f>-PermLoan!G$28</f>
        <v/>
      </c>
      <c r="H21" s="402">
        <f>-PermLoan!H$28</f>
        <v/>
      </c>
      <c r="I21" s="402">
        <f>-PermLoan!I$28</f>
        <v/>
      </c>
      <c r="J21" s="402">
        <f>-PermLoan!J$28</f>
        <v/>
      </c>
      <c r="K21" s="402">
        <f>-PermLoan!K$28</f>
        <v/>
      </c>
      <c r="L21" s="402">
        <f>-PermLoan!L$28</f>
        <v/>
      </c>
      <c r="M21" s="402">
        <f>-PermLoan!M$28</f>
        <v/>
      </c>
      <c r="N21" s="402">
        <f>-PermLoan!N$28</f>
        <v/>
      </c>
      <c r="O21" s="402">
        <f>-PermLoan!O$28</f>
        <v/>
      </c>
      <c r="P21" s="402">
        <f>-PermLoan!P$28</f>
        <v/>
      </c>
      <c r="Q21" s="402">
        <f>-PermLoan!Q$28</f>
        <v/>
      </c>
      <c r="R21" s="402">
        <f>-PermLoan!R$28</f>
        <v/>
      </c>
      <c r="S21" s="402">
        <f>-PermLoan!S$28</f>
        <v/>
      </c>
      <c r="T21" s="402">
        <f>-PermLoan!T$28</f>
        <v/>
      </c>
      <c r="U21" s="402">
        <f>-PermLoan!U$28</f>
        <v/>
      </c>
      <c r="V21" s="402">
        <f>-PermLoan!V$28</f>
        <v/>
      </c>
      <c r="W21" s="402">
        <f>-PermLoan!W$28</f>
        <v/>
      </c>
      <c r="X21" s="402">
        <f>-PermLoan!X$28</f>
        <v/>
      </c>
      <c r="Y21" s="402">
        <f>-PermLoan!Y$28</f>
        <v/>
      </c>
      <c r="Z21" s="402">
        <f>-PermLoan!Z$28</f>
        <v/>
      </c>
      <c r="AA21" s="402">
        <f>-PermLoan!AA$28</f>
        <v/>
      </c>
      <c r="AB21" s="402">
        <f>-PermLoan!AB$28</f>
        <v/>
      </c>
      <c r="AC21" s="402">
        <f>-PermLoan!AC$28</f>
        <v/>
      </c>
      <c r="AD21" s="402">
        <f>-PermLoan!AD$28</f>
        <v/>
      </c>
      <c r="AE21" s="402">
        <f>-PermLoan!AE$28</f>
        <v/>
      </c>
      <c r="AF21" s="402">
        <f>-PermLoan!AF$28</f>
        <v/>
      </c>
      <c r="AG21" s="402">
        <f>-PermLoan!AG$28</f>
        <v/>
      </c>
      <c r="AH21" s="402">
        <f>-PermLoan!AH$28</f>
        <v/>
      </c>
      <c r="AI21" s="402">
        <f>-PermLoan!AI$28</f>
        <v/>
      </c>
      <c r="AJ21" s="402">
        <f>-PermLoan!AJ$28</f>
        <v/>
      </c>
      <c r="AK21" s="402">
        <f>-PermLoan!AK$28</f>
        <v/>
      </c>
      <c r="AL21" s="402">
        <f>-PermLoan!AL$28</f>
        <v/>
      </c>
      <c r="AM21" s="402">
        <f>-PermLoan!AM$28</f>
        <v/>
      </c>
      <c r="AN21" s="402">
        <f>-PermLoan!AN$28</f>
        <v/>
      </c>
      <c r="AO21" s="402">
        <f>-PermLoan!AO$28</f>
        <v/>
      </c>
      <c r="AP21" s="402">
        <f>-PermLoan!AP$28</f>
        <v/>
      </c>
      <c r="AQ21" s="402">
        <f>-PermLoan!AQ$28</f>
        <v/>
      </c>
      <c r="AR21" s="402">
        <f>-PermLoan!AR$28</f>
        <v/>
      </c>
      <c r="AS21" s="402">
        <f>-PermLoan!AS$28</f>
        <v/>
      </c>
      <c r="AT21" s="402">
        <f>-PermLoan!AT$28</f>
        <v/>
      </c>
      <c r="AU21" s="402">
        <f>-PermLoan!AU$28</f>
        <v/>
      </c>
      <c r="AV21" s="402">
        <f>-PermLoan!AV$28</f>
        <v/>
      </c>
      <c r="AW21" s="402">
        <f>-PermLoan!AW$28</f>
        <v/>
      </c>
      <c r="AX21" s="402">
        <f>-PermLoan!AX$28</f>
        <v/>
      </c>
      <c r="AY21" s="402">
        <f>-PermLoan!AY$28</f>
        <v/>
      </c>
      <c r="AZ21" s="402">
        <f>-PermLoan!AZ$28</f>
        <v/>
      </c>
      <c r="BA21" s="402">
        <f>-PermLoan!BA$28</f>
        <v/>
      </c>
      <c r="BB21" s="402">
        <f>-PermLoan!BB$28</f>
        <v/>
      </c>
      <c r="BC21" s="402">
        <f>-PermLoan!BC$28</f>
        <v/>
      </c>
      <c r="BD21" s="402">
        <f>-PermLoan!BD$28</f>
        <v/>
      </c>
      <c r="BE21" s="402">
        <f>-PermLoan!BE$28</f>
        <v/>
      </c>
      <c r="BF21" s="402">
        <f>-PermLoan!BF$28</f>
        <v/>
      </c>
      <c r="BG21" s="402">
        <f>-PermLoan!BG$28</f>
        <v/>
      </c>
      <c r="BH21" s="402">
        <f>-PermLoan!BH$28</f>
        <v/>
      </c>
      <c r="BI21" s="402">
        <f>-PermLoan!BI$28</f>
        <v/>
      </c>
      <c r="BJ21" s="402">
        <f>-PermLoan!BJ$28</f>
        <v/>
      </c>
      <c r="BK21" s="402">
        <f>-PermLoan!BK$28</f>
        <v/>
      </c>
      <c r="BL21" s="402">
        <f>-PermLoan!BL$28</f>
        <v/>
      </c>
      <c r="BM21" s="402">
        <f>-PermLoan!BM$28</f>
        <v/>
      </c>
      <c r="BN21" s="402">
        <f>-PermLoan!BN$28</f>
        <v/>
      </c>
      <c r="BO21" s="402">
        <f>-PermLoan!BO$28</f>
        <v/>
      </c>
      <c r="BP21" s="402">
        <f>-PermLoan!BP$28</f>
        <v/>
      </c>
      <c r="BQ21" s="402">
        <f>-PermLoan!BQ$28</f>
        <v/>
      </c>
      <c r="BR21" s="402">
        <f>-PermLoan!BR$28</f>
        <v/>
      </c>
      <c r="BS21" s="402">
        <f>-PermLoan!BS$28</f>
        <v/>
      </c>
      <c r="BT21" s="402">
        <f>-PermLoan!BT$28</f>
        <v/>
      </c>
      <c r="BU21" s="402">
        <f>-PermLoan!BU$28</f>
        <v/>
      </c>
      <c r="BV21" s="402">
        <f>-PermLoan!BV$28</f>
        <v/>
      </c>
      <c r="BW21" s="402">
        <f>-PermLoan!BW$28</f>
        <v/>
      </c>
      <c r="BX21" s="402">
        <f>-PermLoan!BX$28</f>
        <v/>
      </c>
      <c r="BY21" s="402">
        <f>-PermLoan!BY$28</f>
        <v/>
      </c>
      <c r="BZ21" s="402">
        <f>-PermLoan!BZ$28</f>
        <v/>
      </c>
      <c r="CA21" s="402">
        <f>-PermLoan!CA$28</f>
        <v/>
      </c>
      <c r="CB21" s="402">
        <f>-PermLoan!CB$28</f>
        <v/>
      </c>
      <c r="CC21" s="402">
        <f>-PermLoan!CC$28</f>
        <v/>
      </c>
      <c r="CD21" s="402">
        <f>-PermLoan!CD$28</f>
        <v/>
      </c>
      <c r="CE21" s="402">
        <f>-PermLoan!CE$28</f>
        <v/>
      </c>
      <c r="CF21" s="402">
        <f>-PermLoan!CF$28</f>
        <v/>
      </c>
      <c r="CG21" s="402">
        <f>-PermLoan!CG$28</f>
        <v/>
      </c>
      <c r="CH21" s="402">
        <f>-PermLoan!CH$28</f>
        <v/>
      </c>
      <c r="CI21" s="402">
        <f>-PermLoan!CI$28</f>
        <v/>
      </c>
      <c r="CJ21" s="402">
        <f>-PermLoan!CJ$28</f>
        <v/>
      </c>
      <c r="CK21" s="402">
        <f>-PermLoan!CK$28</f>
        <v/>
      </c>
      <c r="CL21" s="402">
        <f>-PermLoan!CL$28</f>
        <v/>
      </c>
      <c r="CM21" s="402">
        <f>-PermLoan!CM$28</f>
        <v/>
      </c>
      <c r="CN21" s="402">
        <f>-PermLoan!CN$28</f>
        <v/>
      </c>
      <c r="CO21" s="402">
        <f>-PermLoan!CO$28</f>
        <v/>
      </c>
      <c r="CP21" s="402">
        <f>-PermLoan!CP$28</f>
        <v/>
      </c>
      <c r="CQ21" s="402">
        <f>-PermLoan!CQ$28</f>
        <v/>
      </c>
      <c r="CR21" s="402">
        <f>-PermLoan!CR$28</f>
        <v/>
      </c>
      <c r="CS21" s="402">
        <f>-PermLoan!CS$28</f>
        <v/>
      </c>
      <c r="CT21" s="402">
        <f>-PermLoan!CT$28</f>
        <v/>
      </c>
      <c r="CU21" s="402">
        <f>-PermLoan!CU$28</f>
        <v/>
      </c>
      <c r="CV21" s="402">
        <f>-PermLoan!CV$28</f>
        <v/>
      </c>
      <c r="CW21" s="402">
        <f>-PermLoan!CW$28</f>
        <v/>
      </c>
      <c r="CX21" s="402">
        <f>-PermLoan!CX$28</f>
        <v/>
      </c>
      <c r="CY21" s="402">
        <f>-PermLoan!CY$28</f>
        <v/>
      </c>
      <c r="CZ21" s="402">
        <f>-PermLoan!CZ$28</f>
        <v/>
      </c>
      <c r="DA21" s="402">
        <f>-PermLoan!DA$28</f>
        <v/>
      </c>
      <c r="DB21" s="402">
        <f>-PermLoan!DB$28</f>
        <v/>
      </c>
      <c r="DC21" s="402">
        <f>-PermLoan!DC$28</f>
        <v/>
      </c>
      <c r="DD21" s="402">
        <f>-PermLoan!DD$28</f>
        <v/>
      </c>
      <c r="DE21" s="402">
        <f>-PermLoan!DE$28</f>
        <v/>
      </c>
      <c r="DF21" s="402">
        <f>-PermLoan!DF$28</f>
        <v/>
      </c>
      <c r="DG21" s="402">
        <f>-PermLoan!DG$28</f>
        <v/>
      </c>
      <c r="DH21" s="402">
        <f>-PermLoan!DH$28</f>
        <v/>
      </c>
      <c r="DI21" s="402">
        <f>-PermLoan!DI$28</f>
        <v/>
      </c>
      <c r="DJ21" s="402">
        <f>-PermLoan!DJ$28</f>
        <v/>
      </c>
      <c r="DK21" s="402">
        <f>-PermLoan!DK$28</f>
        <v/>
      </c>
      <c r="DL21" s="402">
        <f>-PermLoan!DL$28</f>
        <v/>
      </c>
      <c r="DM21" s="402">
        <f>-PermLoan!DM$28</f>
        <v/>
      </c>
      <c r="DN21" s="402">
        <f>-PermLoan!DN$28</f>
        <v/>
      </c>
      <c r="DO21" s="402">
        <f>-PermLoan!DO$28</f>
        <v/>
      </c>
      <c r="DP21" s="402">
        <f>-PermLoan!DP$28</f>
        <v/>
      </c>
      <c r="DQ21" s="402">
        <f>-PermLoan!DQ$28</f>
        <v/>
      </c>
      <c r="DR21" s="402">
        <f>-PermLoan!DR$28</f>
        <v/>
      </c>
      <c r="DS21" s="402">
        <f>-PermLoan!DS$28</f>
        <v/>
      </c>
      <c r="DT21" s="402">
        <f>-PermLoan!DT$28</f>
        <v/>
      </c>
      <c r="DU21" s="402">
        <f>-PermLoan!DU$28</f>
        <v/>
      </c>
      <c r="DV21" s="402">
        <f>-PermLoan!DV$28</f>
        <v/>
      </c>
      <c r="DW21" s="402">
        <f>-PermLoan!DW$28</f>
        <v/>
      </c>
      <c r="DX21" s="402">
        <f>-PermLoan!DX$28</f>
        <v/>
      </c>
      <c r="DY21" s="402">
        <f>-PermLoan!DY$28</f>
        <v/>
      </c>
      <c r="DZ21" s="402">
        <f>-PermLoan!DZ$28</f>
        <v/>
      </c>
      <c r="EA21" s="402">
        <f>-PermLoan!EA$28</f>
        <v/>
      </c>
      <c r="EB21" s="402">
        <f>-PermLoan!EB$28</f>
        <v/>
      </c>
      <c r="EC21" s="402">
        <f>-PermLoan!EC$28</f>
        <v/>
      </c>
      <c r="ED21" s="402">
        <f>-PermLoan!ED$28</f>
        <v/>
      </c>
      <c r="EE21" s="402">
        <f>-PermLoan!EE$28</f>
        <v/>
      </c>
      <c r="EF21" s="402">
        <f>-PermLoan!EF$28</f>
        <v/>
      </c>
      <c r="EG21" s="402">
        <f>-PermLoan!EG$28</f>
        <v/>
      </c>
      <c r="EH21" s="402">
        <f>-PermLoan!EH$28</f>
        <v/>
      </c>
      <c r="EI21" s="402">
        <f>-PermLoan!EI$28</f>
        <v/>
      </c>
      <c r="EJ21" s="402">
        <f>-PermLoan!EJ$28</f>
        <v/>
      </c>
      <c r="EK21" s="402">
        <f>-PermLoan!EK$28</f>
        <v/>
      </c>
      <c r="EL21" s="402">
        <f>-PermLoan!EL$28</f>
        <v/>
      </c>
      <c r="EM21" s="402">
        <f>-PermLoan!EM$28</f>
        <v/>
      </c>
      <c r="EN21" s="402">
        <f>-PermLoan!EN$28</f>
        <v/>
      </c>
      <c r="EO21" s="402">
        <f>-PermLoan!EO$28</f>
        <v/>
      </c>
      <c r="EP21" s="402">
        <f>-PermLoan!EP$28</f>
        <v/>
      </c>
      <c r="EQ21" s="402">
        <f>-PermLoan!EQ$28</f>
        <v/>
      </c>
      <c r="ER21" s="402">
        <f>-PermLoan!ER$28</f>
        <v/>
      </c>
      <c r="ES21" s="402">
        <f>-PermLoan!ES$28</f>
        <v/>
      </c>
      <c r="ET21" s="402">
        <f>-PermLoan!ET$28</f>
        <v/>
      </c>
      <c r="EU21" s="402">
        <f>-PermLoan!EU$28</f>
        <v/>
      </c>
      <c r="EV21" s="402">
        <f>-PermLoan!EV$28</f>
        <v/>
      </c>
      <c r="EW21" s="402">
        <f>-PermLoan!EW$28</f>
        <v/>
      </c>
      <c r="EX21" s="402">
        <f>-PermLoan!EX$28</f>
        <v/>
      </c>
      <c r="EY21" s="402">
        <f>-PermLoan!EY$28</f>
        <v/>
      </c>
      <c r="EZ21" s="402">
        <f>-PermLoan!EZ$28</f>
        <v/>
      </c>
      <c r="FA21" s="402">
        <f>-PermLoan!FA$28</f>
        <v/>
      </c>
      <c r="FB21" s="402">
        <f>-PermLoan!FB$28</f>
        <v/>
      </c>
      <c r="FC21" s="402">
        <f>-PermLoan!FC$28</f>
        <v/>
      </c>
      <c r="FD21" s="402">
        <f>-PermLoan!FD$28</f>
        <v/>
      </c>
      <c r="FE21" s="402">
        <f>-PermLoan!FE$28</f>
        <v/>
      </c>
      <c r="FF21" s="402">
        <f>-PermLoan!FF$28</f>
        <v/>
      </c>
      <c r="FG21" s="402">
        <f>-PermLoan!FG$28</f>
        <v/>
      </c>
      <c r="FH21" s="402">
        <f>-PermLoan!FH$28</f>
        <v/>
      </c>
      <c r="FI21" s="402">
        <f>-PermLoan!FI$28</f>
        <v/>
      </c>
      <c r="FJ21" s="402">
        <f>-PermLoan!FJ$28</f>
        <v/>
      </c>
      <c r="FK21" s="402">
        <f>-PermLoan!FK$28</f>
        <v/>
      </c>
      <c r="FL21" s="402">
        <f>-PermLoan!FL$28</f>
        <v/>
      </c>
      <c r="FM21" s="402">
        <f>-PermLoan!FM$28</f>
        <v/>
      </c>
      <c r="FN21" s="402">
        <f>-PermLoan!FN$28</f>
        <v/>
      </c>
      <c r="FO21" s="402">
        <f>-PermLoan!FO$28</f>
        <v/>
      </c>
      <c r="FP21" s="402">
        <f>-PermLoan!FP$28</f>
        <v/>
      </c>
      <c r="FQ21" s="402">
        <f>-PermLoan!FQ$28</f>
        <v/>
      </c>
      <c r="FR21" s="402">
        <f>-PermLoan!FR$28</f>
        <v/>
      </c>
      <c r="FS21" s="402">
        <f>-PermLoan!FS$28</f>
        <v/>
      </c>
      <c r="FT21" s="402">
        <f>-PermLoan!FT$28</f>
        <v/>
      </c>
      <c r="FU21" s="402">
        <f>-PermLoan!FU$28</f>
        <v/>
      </c>
      <c r="FV21" s="402">
        <f>-PermLoan!FV$28</f>
        <v/>
      </c>
      <c r="FW21" s="402">
        <f>-PermLoan!FW$28</f>
        <v/>
      </c>
      <c r="FX21" s="402">
        <f>-PermLoan!FX$28</f>
        <v/>
      </c>
      <c r="FY21" s="402">
        <f>-PermLoan!FY$28</f>
        <v/>
      </c>
      <c r="FZ21" s="402">
        <f>-PermLoan!FZ$28</f>
        <v/>
      </c>
      <c r="GA21" s="402">
        <f>-PermLoan!GA$28</f>
        <v/>
      </c>
      <c r="GB21" s="402">
        <f>-PermLoan!GB$28</f>
        <v/>
      </c>
      <c r="GC21" s="402">
        <f>-PermLoan!GC$28</f>
        <v/>
      </c>
      <c r="GD21" s="402">
        <f>-PermLoan!GD$28</f>
        <v/>
      </c>
      <c r="GE21" s="402">
        <f>-PermLoan!GE$28</f>
        <v/>
      </c>
      <c r="GF21" s="402">
        <f>-PermLoan!GF$28</f>
        <v/>
      </c>
      <c r="GG21" s="402">
        <f>-PermLoan!GG$28</f>
        <v/>
      </c>
      <c r="GH21" s="402">
        <f>-PermLoan!GH$28</f>
        <v/>
      </c>
      <c r="GI21" s="402">
        <f>-PermLoan!GI$28</f>
        <v/>
      </c>
      <c r="GJ21" s="402">
        <f>-PermLoan!GJ$28</f>
        <v/>
      </c>
      <c r="GK21" s="402">
        <f>-PermLoan!GK$28</f>
        <v/>
      </c>
      <c r="GL21" s="402">
        <f>-PermLoan!GL$28</f>
        <v/>
      </c>
      <c r="GM21" s="402">
        <f>-PermLoan!GM$28</f>
        <v/>
      </c>
      <c r="GN21" s="402">
        <f>-PermLoan!GN$28</f>
        <v/>
      </c>
      <c r="GO21" s="402">
        <f>-PermLoan!GO$28</f>
        <v/>
      </c>
      <c r="GP21" s="402">
        <f>-PermLoan!GP$28</f>
        <v/>
      </c>
      <c r="GQ21" s="402">
        <f>-PermLoan!GQ$28</f>
        <v/>
      </c>
      <c r="GR21" s="402">
        <f>-PermLoan!GR$28</f>
        <v/>
      </c>
      <c r="GS21" s="402">
        <f>-PermLoan!GS$28</f>
        <v/>
      </c>
      <c r="GT21" s="402">
        <f>-PermLoan!GT$28</f>
        <v/>
      </c>
      <c r="GU21" s="402">
        <f>-PermLoan!GU$28</f>
        <v/>
      </c>
      <c r="GV21" s="402">
        <f>-PermLoan!GV$28</f>
        <v/>
      </c>
      <c r="GW21" s="402">
        <f>-PermLoan!GW$28</f>
        <v/>
      </c>
      <c r="GX21" s="402">
        <f>-PermLoan!GX$28</f>
        <v/>
      </c>
      <c r="GY21" s="402">
        <f>-PermLoan!GY$28</f>
        <v/>
      </c>
      <c r="GZ21" s="402">
        <f>-PermLoan!GZ$28</f>
        <v/>
      </c>
      <c r="HA21" s="402">
        <f>-PermLoan!HA$28</f>
        <v/>
      </c>
      <c r="HB21" s="402">
        <f>-PermLoan!HB$28</f>
        <v/>
      </c>
      <c r="HC21" s="402">
        <f>-PermLoan!HC$28</f>
        <v/>
      </c>
      <c r="HD21" s="402">
        <f>-PermLoan!HD$28</f>
        <v/>
      </c>
      <c r="HE21" s="402">
        <f>-PermLoan!HE$28</f>
        <v/>
      </c>
      <c r="HF21" s="402">
        <f>-PermLoan!HF$28</f>
        <v/>
      </c>
      <c r="HG21" s="402">
        <f>-PermLoan!HG$28</f>
        <v/>
      </c>
      <c r="HH21" s="402">
        <f>-PermLoan!HH$28</f>
        <v/>
      </c>
      <c r="HI21" s="402">
        <f>-PermLoan!HI$28</f>
        <v/>
      </c>
      <c r="HJ21" s="402">
        <f>-PermLoan!HJ$28</f>
        <v/>
      </c>
      <c r="HK21" s="402">
        <f>-PermLoan!HK$28</f>
        <v/>
      </c>
      <c r="HL21" s="402">
        <f>-PermLoan!HL$28</f>
        <v/>
      </c>
      <c r="HM21" s="402">
        <f>-PermLoan!HM$28</f>
        <v/>
      </c>
      <c r="HN21" s="402">
        <f>-PermLoan!HN$28</f>
        <v/>
      </c>
      <c r="HO21" s="402">
        <f>-PermLoan!HO$28</f>
        <v/>
      </c>
      <c r="HP21" s="402">
        <f>-PermLoan!HP$28</f>
        <v/>
      </c>
      <c r="HQ21" s="402">
        <f>-PermLoan!HQ$28</f>
        <v/>
      </c>
      <c r="HR21" s="402">
        <f>-PermLoan!HR$28</f>
        <v/>
      </c>
      <c r="HS21" s="402">
        <f>-PermLoan!HS$28</f>
        <v/>
      </c>
      <c r="HT21" s="402">
        <f>-PermLoan!HT$28</f>
        <v/>
      </c>
      <c r="HU21" s="402">
        <f>-PermLoan!HU$28</f>
        <v/>
      </c>
      <c r="HV21" s="402">
        <f>-PermLoan!HV$28</f>
        <v/>
      </c>
      <c r="HW21" s="402">
        <f>-PermLoan!HW$28</f>
        <v/>
      </c>
      <c r="HX21" s="402">
        <f>-PermLoan!HX$28</f>
        <v/>
      </c>
      <c r="HY21" s="402">
        <f>-PermLoan!HY$28</f>
        <v/>
      </c>
      <c r="HZ21" s="402">
        <f>-PermLoan!HZ$28</f>
        <v/>
      </c>
      <c r="IA21" s="402">
        <f>-PermLoan!IA$28</f>
        <v/>
      </c>
      <c r="IB21" s="402">
        <f>-PermLoan!IB$28</f>
        <v/>
      </c>
      <c r="IC21" s="402">
        <f>-PermLoan!IC$28</f>
        <v/>
      </c>
      <c r="ID21" s="402">
        <f>-PermLoan!ID$28</f>
        <v/>
      </c>
      <c r="IE21" s="402">
        <f>-PermLoan!IE$28</f>
        <v/>
      </c>
      <c r="IF21" s="402">
        <f>-PermLoan!IF$28</f>
        <v/>
      </c>
      <c r="IG21" s="402">
        <f>-PermLoan!IG$28</f>
        <v/>
      </c>
      <c r="IH21" s="402">
        <f>-PermLoan!IH$28</f>
        <v/>
      </c>
      <c r="II21" s="402">
        <f>-PermLoan!II$28</f>
        <v/>
      </c>
      <c r="IJ21" s="402">
        <f>-PermLoan!IJ$28</f>
        <v/>
      </c>
      <c r="IK21" s="402">
        <f>-PermLoan!IK$28</f>
        <v/>
      </c>
      <c r="IL21" s="402">
        <f>-PermLoan!IL$28</f>
        <v/>
      </c>
      <c r="IM21" s="402">
        <f>-PermLoan!IM$28</f>
        <v/>
      </c>
      <c r="IN21" s="402">
        <f>-PermLoan!IN$28</f>
        <v/>
      </c>
      <c r="IO21" s="402">
        <f>-PermLoan!IO$28</f>
        <v/>
      </c>
      <c r="IP21" s="402">
        <f>-PermLoan!IP$28</f>
        <v/>
      </c>
      <c r="IQ21" s="402">
        <f>-PermLoan!IQ$28</f>
        <v/>
      </c>
      <c r="IR21" s="402">
        <f>-PermLoan!IR$28</f>
        <v/>
      </c>
      <c r="IS21" s="402">
        <f>-PermLoan!IS$28</f>
        <v/>
      </c>
      <c r="IT21" s="402">
        <f>-PermLoan!IT$28</f>
        <v/>
      </c>
      <c r="IU21" s="402">
        <f>-PermLoan!IU$28</f>
        <v/>
      </c>
      <c r="IV21" s="402">
        <f>-PermLoan!IV$28</f>
        <v/>
      </c>
      <c r="IW21" s="402">
        <f>-PermLoan!IW$28</f>
        <v/>
      </c>
      <c r="IX21" s="402">
        <f>-PermLoan!IX$28</f>
        <v/>
      </c>
      <c r="IY21" s="402">
        <f>-PermLoan!IY$28</f>
        <v/>
      </c>
      <c r="IZ21" s="402">
        <f>-PermLoan!IZ$28</f>
        <v/>
      </c>
      <c r="JA21" s="402">
        <f>-PermLoan!JA$28</f>
        <v/>
      </c>
      <c r="JB21" s="402">
        <f>-PermLoan!JB$28</f>
        <v/>
      </c>
      <c r="JC21" s="402">
        <f>-PermLoan!JC$28</f>
        <v/>
      </c>
      <c r="JD21" s="402">
        <f>-PermLoan!JD$28</f>
        <v/>
      </c>
      <c r="JE21" s="402">
        <f>-PermLoan!JE$28</f>
        <v/>
      </c>
      <c r="JF21" s="402">
        <f>-PermLoan!JF$28</f>
        <v/>
      </c>
      <c r="JG21" s="402">
        <f>-PermLoan!JG$28</f>
        <v/>
      </c>
      <c r="JH21" s="402">
        <f>-PermLoan!JH$28</f>
        <v/>
      </c>
      <c r="JI21" s="402">
        <f>-PermLoan!JI$28</f>
        <v/>
      </c>
      <c r="JJ21" s="402">
        <f>-PermLoan!JJ$28</f>
        <v/>
      </c>
      <c r="JK21" s="402">
        <f>-PermLoan!JK$28</f>
        <v/>
      </c>
      <c r="JL21" s="402">
        <f>-PermLoan!JL$28</f>
        <v/>
      </c>
      <c r="JM21" s="402">
        <f>-PermLoan!JM$28</f>
        <v/>
      </c>
      <c r="JN21" s="402">
        <f>-PermLoan!JN$28</f>
        <v/>
      </c>
      <c r="JO21" s="402">
        <f>-PermLoan!JO$28</f>
        <v/>
      </c>
      <c r="JP21" s="402">
        <f>-PermLoan!JP$28</f>
        <v/>
      </c>
      <c r="JQ21" s="402">
        <f>-PermLoan!JQ$28</f>
        <v/>
      </c>
      <c r="JR21" s="402">
        <f>-PermLoan!JR$28</f>
        <v/>
      </c>
      <c r="JS21" s="402">
        <f>-PermLoan!JS$28</f>
        <v/>
      </c>
      <c r="JT21" s="402">
        <f>-PermLoan!JT$28</f>
        <v/>
      </c>
      <c r="JU21" s="402">
        <f>-PermLoan!JU$28</f>
        <v/>
      </c>
      <c r="JV21" s="402">
        <f>-PermLoan!JV$28</f>
        <v/>
      </c>
      <c r="JW21" s="402">
        <f>-PermLoan!JW$28</f>
        <v/>
      </c>
      <c r="JX21" s="402">
        <f>-PermLoan!JX$28</f>
        <v/>
      </c>
      <c r="JY21" s="402">
        <f>-PermLoan!JY$28</f>
        <v/>
      </c>
      <c r="JZ21" s="402">
        <f>-PermLoan!JZ$28</f>
        <v/>
      </c>
      <c r="KA21" s="402">
        <f>-PermLoan!KA$28</f>
        <v/>
      </c>
      <c r="KB21" s="402">
        <f>-PermLoan!KB$28</f>
        <v/>
      </c>
      <c r="KC21" s="402">
        <f>-PermLoan!KC$28</f>
        <v/>
      </c>
      <c r="KD21" s="402">
        <f>-PermLoan!KD$28</f>
        <v/>
      </c>
      <c r="KE21" s="402">
        <f>-PermLoan!KE$28</f>
        <v/>
      </c>
      <c r="KF21" s="402">
        <f>-PermLoan!KF$28</f>
        <v/>
      </c>
      <c r="KG21" s="402">
        <f>-PermLoan!KG$28</f>
        <v/>
      </c>
      <c r="KH21" s="402">
        <f>-PermLoan!KH$28</f>
        <v/>
      </c>
      <c r="KI21" s="402">
        <f>-PermLoan!KI$28</f>
        <v/>
      </c>
      <c r="KJ21" s="402">
        <f>-PermLoan!KJ$28</f>
        <v/>
      </c>
      <c r="KK21" s="402">
        <f>-PermLoan!KK$28</f>
        <v/>
      </c>
      <c r="KL21" s="402">
        <f>-PermLoan!KL$28</f>
        <v/>
      </c>
      <c r="KM21" s="402">
        <f>-PermLoan!KM$28</f>
        <v/>
      </c>
      <c r="KN21" s="402">
        <f>-PermLoan!KN$28</f>
        <v/>
      </c>
      <c r="KO21" s="402">
        <f>-PermLoan!KO$28</f>
        <v/>
      </c>
      <c r="KP21" s="402">
        <f>-PermLoan!KP$28</f>
        <v/>
      </c>
      <c r="KQ21" s="402">
        <f>-PermLoan!KQ$28</f>
        <v/>
      </c>
      <c r="KR21" s="402">
        <f>-PermLoan!KR$28</f>
        <v/>
      </c>
      <c r="KS21" s="402">
        <f>-PermLoan!KS$28</f>
        <v/>
      </c>
      <c r="KT21" s="402">
        <f>-PermLoan!KT$28</f>
        <v/>
      </c>
      <c r="KU21" s="402">
        <f>-PermLoan!KU$28</f>
        <v/>
      </c>
      <c r="KV21" s="402">
        <f>-PermLoan!KV$28</f>
        <v/>
      </c>
      <c r="KW21" s="402">
        <f>-PermLoan!KW$28</f>
        <v/>
      </c>
      <c r="KX21" s="402">
        <f>-PermLoan!KX$28</f>
        <v/>
      </c>
      <c r="KY21" s="402">
        <f>-PermLoan!KY$28</f>
        <v/>
      </c>
      <c r="KZ21" s="402">
        <f>-PermLoan!KZ$28</f>
        <v/>
      </c>
      <c r="LA21" s="402">
        <f>-PermLoan!LA$28</f>
        <v/>
      </c>
      <c r="LB21" s="402">
        <f>-PermLoan!LB$28</f>
        <v/>
      </c>
      <c r="LC21" s="402">
        <f>-PermLoan!LC$28</f>
        <v/>
      </c>
      <c r="LD21" s="402">
        <f>-PermLoan!LD$28</f>
        <v/>
      </c>
      <c r="LE21" s="402">
        <f>-PermLoan!LE$28</f>
        <v/>
      </c>
      <c r="LF21" s="402">
        <f>-PermLoan!LF$28</f>
        <v/>
      </c>
      <c r="LG21" s="402">
        <f>-PermLoan!LG$28</f>
        <v/>
      </c>
      <c r="LH21" s="402">
        <f>-PermLoan!LH$28</f>
        <v/>
      </c>
      <c r="LI21" s="402">
        <f>-PermLoan!LI$28</f>
        <v/>
      </c>
      <c r="LJ21" s="402">
        <f>-PermLoan!LJ$28</f>
        <v/>
      </c>
      <c r="LK21" s="402">
        <f>-PermLoan!LK$28</f>
        <v/>
      </c>
      <c r="LL21" s="402">
        <f>-PermLoan!LL$28</f>
        <v/>
      </c>
      <c r="LM21" s="402">
        <f>-PermLoan!LM$28</f>
        <v/>
      </c>
      <c r="LN21" s="402">
        <f>-PermLoan!LN$28</f>
        <v/>
      </c>
      <c r="LO21" s="402">
        <f>-PermLoan!LO$28</f>
        <v/>
      </c>
      <c r="LP21" s="402">
        <f>-PermLoan!LP$28</f>
        <v/>
      </c>
      <c r="LQ21" s="402">
        <f>-PermLoan!LQ$28</f>
        <v/>
      </c>
      <c r="LR21" s="402">
        <f>-PermLoan!LR$28</f>
        <v/>
      </c>
      <c r="LS21" s="402">
        <f>-PermLoan!LS$28</f>
        <v/>
      </c>
      <c r="LT21" s="402">
        <f>-PermLoan!LT$28</f>
        <v/>
      </c>
      <c r="LU21" s="402">
        <f>-PermLoan!LU$28</f>
        <v/>
      </c>
      <c r="LV21" s="402">
        <f>-PermLoan!LV$28</f>
        <v/>
      </c>
      <c r="LW21" s="402">
        <f>-PermLoan!LW$28</f>
        <v/>
      </c>
      <c r="LX21" s="402">
        <f>-PermLoan!LX$28</f>
        <v/>
      </c>
      <c r="LY21" s="402">
        <f>-PermLoan!LY$28</f>
        <v/>
      </c>
      <c r="LZ21" s="402">
        <f>-PermLoan!LZ$28</f>
        <v/>
      </c>
      <c r="MA21" s="402">
        <f>-PermLoan!MA$28</f>
        <v/>
      </c>
      <c r="MB21" s="402">
        <f>-PermLoan!MB$28</f>
        <v/>
      </c>
      <c r="MC21" s="402">
        <f>-PermLoan!MC$28</f>
        <v/>
      </c>
      <c r="MD21" s="402">
        <f>-PermLoan!MD$28</f>
        <v/>
      </c>
      <c r="ME21" s="402">
        <f>-PermLoan!ME$28</f>
        <v/>
      </c>
      <c r="MF21" s="402">
        <f>-PermLoan!MF$28</f>
        <v/>
      </c>
      <c r="MG21" s="402">
        <f>-PermLoan!MG$28</f>
        <v/>
      </c>
      <c r="MH21" s="402">
        <f>-PermLoan!MH$28</f>
        <v/>
      </c>
      <c r="MI21" s="402">
        <f>-PermLoan!MI$28</f>
        <v/>
      </c>
      <c r="MJ21" s="402">
        <f>-PermLoan!MJ$28</f>
        <v/>
      </c>
      <c r="MK21" s="402">
        <f>-PermLoan!MK$28</f>
        <v/>
      </c>
      <c r="ML21" s="402">
        <f>-PermLoan!ML$28</f>
        <v/>
      </c>
      <c r="MM21" s="402">
        <f>-PermLoan!MM$28</f>
        <v/>
      </c>
      <c r="MN21" s="402">
        <f>-PermLoan!MN$28</f>
        <v/>
      </c>
      <c r="MO21" s="402">
        <f>-PermLoan!MO$28</f>
        <v/>
      </c>
      <c r="MP21" s="402">
        <f>-PermLoan!MP$28</f>
        <v/>
      </c>
      <c r="MQ21" s="402">
        <f>-PermLoan!MQ$28</f>
        <v/>
      </c>
      <c r="MR21" s="402">
        <f>-PermLoan!MR$28</f>
        <v/>
      </c>
      <c r="MS21" s="402">
        <f>-PermLoan!MS$28</f>
        <v/>
      </c>
      <c r="MT21" s="402">
        <f>-PermLoan!MT$28</f>
        <v/>
      </c>
      <c r="MU21" s="402">
        <f>-PermLoan!MU$28</f>
        <v/>
      </c>
      <c r="MV21" s="402">
        <f>-PermLoan!MV$28</f>
        <v/>
      </c>
      <c r="MW21" s="402">
        <f>-PermLoan!MW$28</f>
        <v/>
      </c>
      <c r="MX21" s="402">
        <f>-PermLoan!MX$28</f>
        <v/>
      </c>
      <c r="MY21" s="402">
        <f>-PermLoan!MY$28</f>
        <v/>
      </c>
      <c r="MZ21" s="402">
        <f>-PermLoan!MZ$28</f>
        <v/>
      </c>
      <c r="NA21" s="402">
        <f>-PermLoan!NA$28</f>
        <v/>
      </c>
      <c r="NB21" s="402">
        <f>-PermLoan!NB$28</f>
        <v/>
      </c>
      <c r="NC21" s="402">
        <f>-PermLoan!NC$28</f>
        <v/>
      </c>
      <c r="ND21" s="402">
        <f>-PermLoan!ND$28</f>
        <v/>
      </c>
      <c r="NE21" s="402">
        <f>-PermLoan!NE$28</f>
        <v/>
      </c>
      <c r="NF21" s="402">
        <f>-PermLoan!NF$28</f>
        <v/>
      </c>
      <c r="NG21" s="402">
        <f>-PermLoan!NG$28</f>
        <v/>
      </c>
      <c r="NH21" s="402">
        <f>-PermLoan!NH$28</f>
        <v/>
      </c>
      <c r="NI21" s="402">
        <f>-PermLoan!NI$28</f>
        <v/>
      </c>
      <c r="NJ21" s="402">
        <f>-PermLoan!NJ$28</f>
        <v/>
      </c>
      <c r="NK21" s="402">
        <f>-PermLoan!NK$28</f>
        <v/>
      </c>
      <c r="NL21" s="402">
        <f>-PermLoan!NL$28</f>
        <v/>
      </c>
    </row>
    <row r="22">
      <c r="B22" s="330" t="inlineStr">
        <is>
          <t>Total Cash Debt Service</t>
        </is>
      </c>
      <c r="D22" s="403">
        <f>SUM(E22:NL22)</f>
        <v/>
      </c>
      <c r="E22" s="407">
        <f>-(ConLoan!E$50+PermLoan!E$29)</f>
        <v/>
      </c>
      <c r="F22" s="407">
        <f>-(ConLoan!F$50+PermLoan!F$29)</f>
        <v/>
      </c>
      <c r="G22" s="407">
        <f>-(ConLoan!G$50+PermLoan!G$29)</f>
        <v/>
      </c>
      <c r="H22" s="407">
        <f>-(ConLoan!H$50+PermLoan!H$29)</f>
        <v/>
      </c>
      <c r="I22" s="407">
        <f>-(ConLoan!I$50+PermLoan!I$29)</f>
        <v/>
      </c>
      <c r="J22" s="407">
        <f>-(ConLoan!J$50+PermLoan!J$29)</f>
        <v/>
      </c>
      <c r="K22" s="407">
        <f>-(ConLoan!K$50+PermLoan!K$29)</f>
        <v/>
      </c>
      <c r="L22" s="407">
        <f>-(ConLoan!L$50+PermLoan!L$29)</f>
        <v/>
      </c>
      <c r="M22" s="407">
        <f>-(ConLoan!M$50+PermLoan!M$29)</f>
        <v/>
      </c>
      <c r="N22" s="407">
        <f>-(ConLoan!N$50+PermLoan!N$29)</f>
        <v/>
      </c>
      <c r="O22" s="407">
        <f>-(ConLoan!O$50+PermLoan!O$29)</f>
        <v/>
      </c>
      <c r="P22" s="407">
        <f>-(ConLoan!P$50+PermLoan!P$29)</f>
        <v/>
      </c>
      <c r="Q22" s="407">
        <f>-(ConLoan!Q$50+PermLoan!Q$29)</f>
        <v/>
      </c>
      <c r="R22" s="407">
        <f>-(ConLoan!R$50+PermLoan!R$29)</f>
        <v/>
      </c>
      <c r="S22" s="407">
        <f>-(ConLoan!S$50+PermLoan!S$29)</f>
        <v/>
      </c>
      <c r="T22" s="407">
        <f>-(ConLoan!T$50+PermLoan!T$29)</f>
        <v/>
      </c>
      <c r="U22" s="407">
        <f>-(ConLoan!U$50+PermLoan!U$29)</f>
        <v/>
      </c>
      <c r="V22" s="407">
        <f>-(ConLoan!V$50+PermLoan!V$29)</f>
        <v/>
      </c>
      <c r="W22" s="407">
        <f>-(ConLoan!W$50+PermLoan!W$29)</f>
        <v/>
      </c>
      <c r="X22" s="407">
        <f>-(ConLoan!X$50+PermLoan!X$29)</f>
        <v/>
      </c>
      <c r="Y22" s="407">
        <f>-(ConLoan!Y$50+PermLoan!Y$29)</f>
        <v/>
      </c>
      <c r="Z22" s="407">
        <f>-(ConLoan!Z$50+PermLoan!Z$29)</f>
        <v/>
      </c>
      <c r="AA22" s="407">
        <f>-(ConLoan!AA$50+PermLoan!AA$29)</f>
        <v/>
      </c>
      <c r="AB22" s="407">
        <f>-(ConLoan!AB$50+PermLoan!AB$29)</f>
        <v/>
      </c>
      <c r="AC22" s="407">
        <f>-(ConLoan!AC$50+PermLoan!AC$29)</f>
        <v/>
      </c>
      <c r="AD22" s="407">
        <f>-(ConLoan!AD$50+PermLoan!AD$29)</f>
        <v/>
      </c>
      <c r="AE22" s="407">
        <f>-(ConLoan!AE$50+PermLoan!AE$29)</f>
        <v/>
      </c>
      <c r="AF22" s="407">
        <f>-(ConLoan!AF$50+PermLoan!AF$29)</f>
        <v/>
      </c>
      <c r="AG22" s="407">
        <f>-(ConLoan!AG$50+PermLoan!AG$29)</f>
        <v/>
      </c>
      <c r="AH22" s="407">
        <f>-(ConLoan!AH$50+PermLoan!AH$29)</f>
        <v/>
      </c>
      <c r="AI22" s="407">
        <f>-(ConLoan!AI$50+PermLoan!AI$29)</f>
        <v/>
      </c>
      <c r="AJ22" s="407">
        <f>-(ConLoan!AJ$50+PermLoan!AJ$29)</f>
        <v/>
      </c>
      <c r="AK22" s="407">
        <f>-(ConLoan!AK$50+PermLoan!AK$29)</f>
        <v/>
      </c>
      <c r="AL22" s="407">
        <f>-(ConLoan!AL$50+PermLoan!AL$29)</f>
        <v/>
      </c>
      <c r="AM22" s="407">
        <f>-(ConLoan!AM$50+PermLoan!AM$29)</f>
        <v/>
      </c>
      <c r="AN22" s="407">
        <f>-(ConLoan!AN$50+PermLoan!AN$29)</f>
        <v/>
      </c>
      <c r="AO22" s="407">
        <f>-(ConLoan!AO$50+PermLoan!AO$29)</f>
        <v/>
      </c>
      <c r="AP22" s="407">
        <f>-(ConLoan!AP$50+PermLoan!AP$29)</f>
        <v/>
      </c>
      <c r="AQ22" s="407">
        <f>-(ConLoan!AQ$50+PermLoan!AQ$29)</f>
        <v/>
      </c>
      <c r="AR22" s="407">
        <f>-(ConLoan!AR$50+PermLoan!AR$29)</f>
        <v/>
      </c>
      <c r="AS22" s="407">
        <f>-(ConLoan!AS$50+PermLoan!AS$29)</f>
        <v/>
      </c>
      <c r="AT22" s="407">
        <f>-(ConLoan!AT$50+PermLoan!AT$29)</f>
        <v/>
      </c>
      <c r="AU22" s="407">
        <f>-(ConLoan!AU$50+PermLoan!AU$29)</f>
        <v/>
      </c>
      <c r="AV22" s="407">
        <f>-(ConLoan!AV$50+PermLoan!AV$29)</f>
        <v/>
      </c>
      <c r="AW22" s="407">
        <f>-(ConLoan!AW$50+PermLoan!AW$29)</f>
        <v/>
      </c>
      <c r="AX22" s="407">
        <f>-(ConLoan!AX$50+PermLoan!AX$29)</f>
        <v/>
      </c>
      <c r="AY22" s="407">
        <f>-(ConLoan!AY$50+PermLoan!AY$29)</f>
        <v/>
      </c>
      <c r="AZ22" s="407">
        <f>-(ConLoan!AZ$50+PermLoan!AZ$29)</f>
        <v/>
      </c>
      <c r="BA22" s="407">
        <f>-(ConLoan!BA$50+PermLoan!BA$29)</f>
        <v/>
      </c>
      <c r="BB22" s="407">
        <f>-(ConLoan!BB$50+PermLoan!BB$29)</f>
        <v/>
      </c>
      <c r="BC22" s="407">
        <f>-(ConLoan!BC$50+PermLoan!BC$29)</f>
        <v/>
      </c>
      <c r="BD22" s="407">
        <f>-(ConLoan!BD$50+PermLoan!BD$29)</f>
        <v/>
      </c>
      <c r="BE22" s="407">
        <f>-(ConLoan!BE$50+PermLoan!BE$29)</f>
        <v/>
      </c>
      <c r="BF22" s="407">
        <f>-(ConLoan!BF$50+PermLoan!BF$29)</f>
        <v/>
      </c>
      <c r="BG22" s="407">
        <f>-(ConLoan!BG$50+PermLoan!BG$29)</f>
        <v/>
      </c>
      <c r="BH22" s="407">
        <f>-(ConLoan!BH$50+PermLoan!BH$29)</f>
        <v/>
      </c>
      <c r="BI22" s="407">
        <f>-(ConLoan!BI$50+PermLoan!BI$29)</f>
        <v/>
      </c>
      <c r="BJ22" s="407">
        <f>-(ConLoan!BJ$50+PermLoan!BJ$29)</f>
        <v/>
      </c>
      <c r="BK22" s="407">
        <f>-(ConLoan!BK$50+PermLoan!BK$29)</f>
        <v/>
      </c>
      <c r="BL22" s="407">
        <f>-(ConLoan!BL$50+PermLoan!BL$29)</f>
        <v/>
      </c>
      <c r="BM22" s="407">
        <f>-(ConLoan!BM$50+PermLoan!BM$29)</f>
        <v/>
      </c>
      <c r="BN22" s="407">
        <f>-(ConLoan!BN$50+PermLoan!BN$29)</f>
        <v/>
      </c>
      <c r="BO22" s="407">
        <f>-(ConLoan!BO$50+PermLoan!BO$29)</f>
        <v/>
      </c>
      <c r="BP22" s="407">
        <f>-(ConLoan!BP$50+PermLoan!BP$29)</f>
        <v/>
      </c>
      <c r="BQ22" s="407">
        <f>-(ConLoan!BQ$50+PermLoan!BQ$29)</f>
        <v/>
      </c>
      <c r="BR22" s="407">
        <f>-(ConLoan!BR$50+PermLoan!BR$29)</f>
        <v/>
      </c>
      <c r="BS22" s="407">
        <f>-(ConLoan!BS$50+PermLoan!BS$29)</f>
        <v/>
      </c>
      <c r="BT22" s="407">
        <f>-(ConLoan!BT$50+PermLoan!BT$29)</f>
        <v/>
      </c>
      <c r="BU22" s="407">
        <f>-(ConLoan!BU$50+PermLoan!BU$29)</f>
        <v/>
      </c>
      <c r="BV22" s="407">
        <f>-(ConLoan!BV$50+PermLoan!BV$29)</f>
        <v/>
      </c>
      <c r="BW22" s="407">
        <f>-(ConLoan!BW$50+PermLoan!BW$29)</f>
        <v/>
      </c>
      <c r="BX22" s="407">
        <f>-(ConLoan!BX$50+PermLoan!BX$29)</f>
        <v/>
      </c>
      <c r="BY22" s="407">
        <f>-(ConLoan!BY$50+PermLoan!BY$29)</f>
        <v/>
      </c>
      <c r="BZ22" s="407">
        <f>-(ConLoan!BZ$50+PermLoan!BZ$29)</f>
        <v/>
      </c>
      <c r="CA22" s="407">
        <f>-(ConLoan!CA$50+PermLoan!CA$29)</f>
        <v/>
      </c>
      <c r="CB22" s="407">
        <f>-(ConLoan!CB$50+PermLoan!CB$29)</f>
        <v/>
      </c>
      <c r="CC22" s="407">
        <f>-(ConLoan!CC$50+PermLoan!CC$29)</f>
        <v/>
      </c>
      <c r="CD22" s="407">
        <f>-(ConLoan!CD$50+PermLoan!CD$29)</f>
        <v/>
      </c>
      <c r="CE22" s="407">
        <f>-(ConLoan!CE$50+PermLoan!CE$29)</f>
        <v/>
      </c>
      <c r="CF22" s="407">
        <f>-(ConLoan!CF$50+PermLoan!CF$29)</f>
        <v/>
      </c>
      <c r="CG22" s="407">
        <f>-(ConLoan!CG$50+PermLoan!CG$29)</f>
        <v/>
      </c>
      <c r="CH22" s="407">
        <f>-(ConLoan!CH$50+PermLoan!CH$29)</f>
        <v/>
      </c>
      <c r="CI22" s="407">
        <f>-(ConLoan!CI$50+PermLoan!CI$29)</f>
        <v/>
      </c>
      <c r="CJ22" s="407">
        <f>-(ConLoan!CJ$50+PermLoan!CJ$29)</f>
        <v/>
      </c>
      <c r="CK22" s="407">
        <f>-(ConLoan!CK$50+PermLoan!CK$29)</f>
        <v/>
      </c>
      <c r="CL22" s="407">
        <f>-(ConLoan!CL$50+PermLoan!CL$29)</f>
        <v/>
      </c>
      <c r="CM22" s="407">
        <f>-(ConLoan!CM$50+PermLoan!CM$29)</f>
        <v/>
      </c>
      <c r="CN22" s="407">
        <f>-(ConLoan!CN$50+PermLoan!CN$29)</f>
        <v/>
      </c>
      <c r="CO22" s="407">
        <f>-(ConLoan!CO$50+PermLoan!CO$29)</f>
        <v/>
      </c>
      <c r="CP22" s="407">
        <f>-(ConLoan!CP$50+PermLoan!CP$29)</f>
        <v/>
      </c>
      <c r="CQ22" s="407">
        <f>-(ConLoan!CQ$50+PermLoan!CQ$29)</f>
        <v/>
      </c>
      <c r="CR22" s="407">
        <f>-(ConLoan!CR$50+PermLoan!CR$29)</f>
        <v/>
      </c>
      <c r="CS22" s="407">
        <f>-(ConLoan!CS$50+PermLoan!CS$29)</f>
        <v/>
      </c>
      <c r="CT22" s="407">
        <f>-(ConLoan!CT$50+PermLoan!CT$29)</f>
        <v/>
      </c>
      <c r="CU22" s="407">
        <f>-(ConLoan!CU$50+PermLoan!CU$29)</f>
        <v/>
      </c>
      <c r="CV22" s="407">
        <f>-(ConLoan!CV$50+PermLoan!CV$29)</f>
        <v/>
      </c>
      <c r="CW22" s="407">
        <f>-(ConLoan!CW$50+PermLoan!CW$29)</f>
        <v/>
      </c>
      <c r="CX22" s="407">
        <f>-(ConLoan!CX$50+PermLoan!CX$29)</f>
        <v/>
      </c>
      <c r="CY22" s="407">
        <f>-(ConLoan!CY$50+PermLoan!CY$29)</f>
        <v/>
      </c>
      <c r="CZ22" s="407">
        <f>-(ConLoan!CZ$50+PermLoan!CZ$29)</f>
        <v/>
      </c>
      <c r="DA22" s="407">
        <f>-(ConLoan!DA$50+PermLoan!DA$29)</f>
        <v/>
      </c>
      <c r="DB22" s="407">
        <f>-(ConLoan!DB$50+PermLoan!DB$29)</f>
        <v/>
      </c>
      <c r="DC22" s="407">
        <f>-(ConLoan!DC$50+PermLoan!DC$29)</f>
        <v/>
      </c>
      <c r="DD22" s="407">
        <f>-(ConLoan!DD$50+PermLoan!DD$29)</f>
        <v/>
      </c>
      <c r="DE22" s="407">
        <f>-(ConLoan!DE$50+PermLoan!DE$29)</f>
        <v/>
      </c>
      <c r="DF22" s="407">
        <f>-(ConLoan!DF$50+PermLoan!DF$29)</f>
        <v/>
      </c>
      <c r="DG22" s="407">
        <f>-(ConLoan!DG$50+PermLoan!DG$29)</f>
        <v/>
      </c>
      <c r="DH22" s="407">
        <f>-(ConLoan!DH$50+PermLoan!DH$29)</f>
        <v/>
      </c>
      <c r="DI22" s="407">
        <f>-(ConLoan!DI$50+PermLoan!DI$29)</f>
        <v/>
      </c>
      <c r="DJ22" s="407">
        <f>-(ConLoan!DJ$50+PermLoan!DJ$29)</f>
        <v/>
      </c>
      <c r="DK22" s="407">
        <f>-(ConLoan!DK$50+PermLoan!DK$29)</f>
        <v/>
      </c>
      <c r="DL22" s="407">
        <f>-(ConLoan!DL$50+PermLoan!DL$29)</f>
        <v/>
      </c>
      <c r="DM22" s="407">
        <f>-(ConLoan!DM$50+PermLoan!DM$29)</f>
        <v/>
      </c>
      <c r="DN22" s="407">
        <f>-(ConLoan!DN$50+PermLoan!DN$29)</f>
        <v/>
      </c>
      <c r="DO22" s="407">
        <f>-(ConLoan!DO$50+PermLoan!DO$29)</f>
        <v/>
      </c>
      <c r="DP22" s="407">
        <f>-(ConLoan!DP$50+PermLoan!DP$29)</f>
        <v/>
      </c>
      <c r="DQ22" s="407">
        <f>-(ConLoan!DQ$50+PermLoan!DQ$29)</f>
        <v/>
      </c>
      <c r="DR22" s="407">
        <f>-(ConLoan!DR$50+PermLoan!DR$29)</f>
        <v/>
      </c>
      <c r="DS22" s="407">
        <f>-(ConLoan!DS$50+PermLoan!DS$29)</f>
        <v/>
      </c>
      <c r="DT22" s="407">
        <f>-(ConLoan!DT$50+PermLoan!DT$29)</f>
        <v/>
      </c>
      <c r="DU22" s="407">
        <f>-(ConLoan!DU$50+PermLoan!DU$29)</f>
        <v/>
      </c>
      <c r="DV22" s="407">
        <f>-(ConLoan!DV$50+PermLoan!DV$29)</f>
        <v/>
      </c>
      <c r="DW22" s="407">
        <f>-(ConLoan!DW$50+PermLoan!DW$29)</f>
        <v/>
      </c>
      <c r="DX22" s="407">
        <f>-(ConLoan!DX$50+PermLoan!DX$29)</f>
        <v/>
      </c>
      <c r="DY22" s="407">
        <f>-(ConLoan!DY$50+PermLoan!DY$29)</f>
        <v/>
      </c>
      <c r="DZ22" s="407">
        <f>-(ConLoan!DZ$50+PermLoan!DZ$29)</f>
        <v/>
      </c>
      <c r="EA22" s="407">
        <f>-(ConLoan!EA$50+PermLoan!EA$29)</f>
        <v/>
      </c>
      <c r="EB22" s="407">
        <f>-(ConLoan!EB$50+PermLoan!EB$29)</f>
        <v/>
      </c>
      <c r="EC22" s="407">
        <f>-(ConLoan!EC$50+PermLoan!EC$29)</f>
        <v/>
      </c>
      <c r="ED22" s="407">
        <f>-(ConLoan!ED$50+PermLoan!ED$29)</f>
        <v/>
      </c>
      <c r="EE22" s="407">
        <f>-(ConLoan!EE$50+PermLoan!EE$29)</f>
        <v/>
      </c>
      <c r="EF22" s="407">
        <f>-(ConLoan!EF$50+PermLoan!EF$29)</f>
        <v/>
      </c>
      <c r="EG22" s="407">
        <f>-(ConLoan!EG$50+PermLoan!EG$29)</f>
        <v/>
      </c>
      <c r="EH22" s="407">
        <f>-(ConLoan!EH$50+PermLoan!EH$29)</f>
        <v/>
      </c>
      <c r="EI22" s="407">
        <f>-(ConLoan!EI$50+PermLoan!EI$29)</f>
        <v/>
      </c>
      <c r="EJ22" s="407">
        <f>-(ConLoan!EJ$50+PermLoan!EJ$29)</f>
        <v/>
      </c>
      <c r="EK22" s="407">
        <f>-(ConLoan!EK$50+PermLoan!EK$29)</f>
        <v/>
      </c>
      <c r="EL22" s="407">
        <f>-(ConLoan!EL$50+PermLoan!EL$29)</f>
        <v/>
      </c>
      <c r="EM22" s="407">
        <f>-(ConLoan!EM$50+PermLoan!EM$29)</f>
        <v/>
      </c>
      <c r="EN22" s="407">
        <f>-(ConLoan!EN$50+PermLoan!EN$29)</f>
        <v/>
      </c>
      <c r="EO22" s="407">
        <f>-(ConLoan!EO$50+PermLoan!EO$29)</f>
        <v/>
      </c>
      <c r="EP22" s="407">
        <f>-(ConLoan!EP$50+PermLoan!EP$29)</f>
        <v/>
      </c>
      <c r="EQ22" s="407">
        <f>-(ConLoan!EQ$50+PermLoan!EQ$29)</f>
        <v/>
      </c>
      <c r="ER22" s="407">
        <f>-(ConLoan!ER$50+PermLoan!ER$29)</f>
        <v/>
      </c>
      <c r="ES22" s="407">
        <f>-(ConLoan!ES$50+PermLoan!ES$29)</f>
        <v/>
      </c>
      <c r="ET22" s="407">
        <f>-(ConLoan!ET$50+PermLoan!ET$29)</f>
        <v/>
      </c>
      <c r="EU22" s="407">
        <f>-(ConLoan!EU$50+PermLoan!EU$29)</f>
        <v/>
      </c>
      <c r="EV22" s="407">
        <f>-(ConLoan!EV$50+PermLoan!EV$29)</f>
        <v/>
      </c>
      <c r="EW22" s="407">
        <f>-(ConLoan!EW$50+PermLoan!EW$29)</f>
        <v/>
      </c>
      <c r="EX22" s="407">
        <f>-(ConLoan!EX$50+PermLoan!EX$29)</f>
        <v/>
      </c>
      <c r="EY22" s="407">
        <f>-(ConLoan!EY$50+PermLoan!EY$29)</f>
        <v/>
      </c>
      <c r="EZ22" s="407">
        <f>-(ConLoan!EZ$50+PermLoan!EZ$29)</f>
        <v/>
      </c>
      <c r="FA22" s="407">
        <f>-(ConLoan!FA$50+PermLoan!FA$29)</f>
        <v/>
      </c>
      <c r="FB22" s="407">
        <f>-(ConLoan!FB$50+PermLoan!FB$29)</f>
        <v/>
      </c>
      <c r="FC22" s="407">
        <f>-(ConLoan!FC$50+PermLoan!FC$29)</f>
        <v/>
      </c>
      <c r="FD22" s="407">
        <f>-(ConLoan!FD$50+PermLoan!FD$29)</f>
        <v/>
      </c>
      <c r="FE22" s="407">
        <f>-(ConLoan!FE$50+PermLoan!FE$29)</f>
        <v/>
      </c>
      <c r="FF22" s="407">
        <f>-(ConLoan!FF$50+PermLoan!FF$29)</f>
        <v/>
      </c>
      <c r="FG22" s="407">
        <f>-(ConLoan!FG$50+PermLoan!FG$29)</f>
        <v/>
      </c>
      <c r="FH22" s="407">
        <f>-(ConLoan!FH$50+PermLoan!FH$29)</f>
        <v/>
      </c>
      <c r="FI22" s="407">
        <f>-(ConLoan!FI$50+PermLoan!FI$29)</f>
        <v/>
      </c>
      <c r="FJ22" s="407">
        <f>-(ConLoan!FJ$50+PermLoan!FJ$29)</f>
        <v/>
      </c>
      <c r="FK22" s="407">
        <f>-(ConLoan!FK$50+PermLoan!FK$29)</f>
        <v/>
      </c>
      <c r="FL22" s="407">
        <f>-(ConLoan!FL$50+PermLoan!FL$29)</f>
        <v/>
      </c>
      <c r="FM22" s="407">
        <f>-(ConLoan!FM$50+PermLoan!FM$29)</f>
        <v/>
      </c>
      <c r="FN22" s="407">
        <f>-(ConLoan!FN$50+PermLoan!FN$29)</f>
        <v/>
      </c>
      <c r="FO22" s="407">
        <f>-(ConLoan!FO$50+PermLoan!FO$29)</f>
        <v/>
      </c>
      <c r="FP22" s="407">
        <f>-(ConLoan!FP$50+PermLoan!FP$29)</f>
        <v/>
      </c>
      <c r="FQ22" s="407">
        <f>-(ConLoan!FQ$50+PermLoan!FQ$29)</f>
        <v/>
      </c>
      <c r="FR22" s="407">
        <f>-(ConLoan!FR$50+PermLoan!FR$29)</f>
        <v/>
      </c>
      <c r="FS22" s="407">
        <f>-(ConLoan!FS$50+PermLoan!FS$29)</f>
        <v/>
      </c>
      <c r="FT22" s="407">
        <f>-(ConLoan!FT$50+PermLoan!FT$29)</f>
        <v/>
      </c>
      <c r="FU22" s="407">
        <f>-(ConLoan!FU$50+PermLoan!FU$29)</f>
        <v/>
      </c>
      <c r="FV22" s="407">
        <f>-(ConLoan!FV$50+PermLoan!FV$29)</f>
        <v/>
      </c>
      <c r="FW22" s="407">
        <f>-(ConLoan!FW$50+PermLoan!FW$29)</f>
        <v/>
      </c>
      <c r="FX22" s="407">
        <f>-(ConLoan!FX$50+PermLoan!FX$29)</f>
        <v/>
      </c>
      <c r="FY22" s="407">
        <f>-(ConLoan!FY$50+PermLoan!FY$29)</f>
        <v/>
      </c>
      <c r="FZ22" s="407">
        <f>-(ConLoan!FZ$50+PermLoan!FZ$29)</f>
        <v/>
      </c>
      <c r="GA22" s="407">
        <f>-(ConLoan!GA$50+PermLoan!GA$29)</f>
        <v/>
      </c>
      <c r="GB22" s="407">
        <f>-(ConLoan!GB$50+PermLoan!GB$29)</f>
        <v/>
      </c>
      <c r="GC22" s="407">
        <f>-(ConLoan!GC$50+PermLoan!GC$29)</f>
        <v/>
      </c>
      <c r="GD22" s="407">
        <f>-(ConLoan!GD$50+PermLoan!GD$29)</f>
        <v/>
      </c>
      <c r="GE22" s="407">
        <f>-(ConLoan!GE$50+PermLoan!GE$29)</f>
        <v/>
      </c>
      <c r="GF22" s="407">
        <f>-(ConLoan!GF$50+PermLoan!GF$29)</f>
        <v/>
      </c>
      <c r="GG22" s="407">
        <f>-(ConLoan!GG$50+PermLoan!GG$29)</f>
        <v/>
      </c>
      <c r="GH22" s="407">
        <f>-(ConLoan!GH$50+PermLoan!GH$29)</f>
        <v/>
      </c>
      <c r="GI22" s="407">
        <f>-(ConLoan!GI$50+PermLoan!GI$29)</f>
        <v/>
      </c>
      <c r="GJ22" s="407">
        <f>-(ConLoan!GJ$50+PermLoan!GJ$29)</f>
        <v/>
      </c>
      <c r="GK22" s="407">
        <f>-(ConLoan!GK$50+PermLoan!GK$29)</f>
        <v/>
      </c>
      <c r="GL22" s="407">
        <f>-(ConLoan!GL$50+PermLoan!GL$29)</f>
        <v/>
      </c>
      <c r="GM22" s="407">
        <f>-(ConLoan!GM$50+PermLoan!GM$29)</f>
        <v/>
      </c>
      <c r="GN22" s="407">
        <f>-(ConLoan!GN$50+PermLoan!GN$29)</f>
        <v/>
      </c>
      <c r="GO22" s="407">
        <f>-(ConLoan!GO$50+PermLoan!GO$29)</f>
        <v/>
      </c>
      <c r="GP22" s="407">
        <f>-(ConLoan!GP$50+PermLoan!GP$29)</f>
        <v/>
      </c>
      <c r="GQ22" s="407">
        <f>-(ConLoan!GQ$50+PermLoan!GQ$29)</f>
        <v/>
      </c>
      <c r="GR22" s="407">
        <f>-(ConLoan!GR$50+PermLoan!GR$29)</f>
        <v/>
      </c>
      <c r="GS22" s="407">
        <f>-(ConLoan!GS$50+PermLoan!GS$29)</f>
        <v/>
      </c>
      <c r="GT22" s="407">
        <f>-(ConLoan!GT$50+PermLoan!GT$29)</f>
        <v/>
      </c>
      <c r="GU22" s="407">
        <f>-(ConLoan!GU$50+PermLoan!GU$29)</f>
        <v/>
      </c>
      <c r="GV22" s="407">
        <f>-(ConLoan!GV$50+PermLoan!GV$29)</f>
        <v/>
      </c>
      <c r="GW22" s="407">
        <f>-(ConLoan!GW$50+PermLoan!GW$29)</f>
        <v/>
      </c>
      <c r="GX22" s="407">
        <f>-(ConLoan!GX$50+PermLoan!GX$29)</f>
        <v/>
      </c>
      <c r="GY22" s="407">
        <f>-(ConLoan!GY$50+PermLoan!GY$29)</f>
        <v/>
      </c>
      <c r="GZ22" s="407">
        <f>-(ConLoan!GZ$50+PermLoan!GZ$29)</f>
        <v/>
      </c>
      <c r="HA22" s="407">
        <f>-(ConLoan!HA$50+PermLoan!HA$29)</f>
        <v/>
      </c>
      <c r="HB22" s="407">
        <f>-(ConLoan!HB$50+PermLoan!HB$29)</f>
        <v/>
      </c>
      <c r="HC22" s="407">
        <f>-(ConLoan!HC$50+PermLoan!HC$29)</f>
        <v/>
      </c>
      <c r="HD22" s="407">
        <f>-(ConLoan!HD$50+PermLoan!HD$29)</f>
        <v/>
      </c>
      <c r="HE22" s="407">
        <f>-(ConLoan!HE$50+PermLoan!HE$29)</f>
        <v/>
      </c>
      <c r="HF22" s="407">
        <f>-(ConLoan!HF$50+PermLoan!HF$29)</f>
        <v/>
      </c>
      <c r="HG22" s="407">
        <f>-(ConLoan!HG$50+PermLoan!HG$29)</f>
        <v/>
      </c>
      <c r="HH22" s="407">
        <f>-(ConLoan!HH$50+PermLoan!HH$29)</f>
        <v/>
      </c>
      <c r="HI22" s="407">
        <f>-(ConLoan!HI$50+PermLoan!HI$29)</f>
        <v/>
      </c>
      <c r="HJ22" s="407">
        <f>-(ConLoan!HJ$50+PermLoan!HJ$29)</f>
        <v/>
      </c>
      <c r="HK22" s="407">
        <f>-(ConLoan!HK$50+PermLoan!HK$29)</f>
        <v/>
      </c>
      <c r="HL22" s="407">
        <f>-(ConLoan!HL$50+PermLoan!HL$29)</f>
        <v/>
      </c>
      <c r="HM22" s="407">
        <f>-(ConLoan!HM$50+PermLoan!HM$29)</f>
        <v/>
      </c>
      <c r="HN22" s="407">
        <f>-(ConLoan!HN$50+PermLoan!HN$29)</f>
        <v/>
      </c>
      <c r="HO22" s="407">
        <f>-(ConLoan!HO$50+PermLoan!HO$29)</f>
        <v/>
      </c>
      <c r="HP22" s="407">
        <f>-(ConLoan!HP$50+PermLoan!HP$29)</f>
        <v/>
      </c>
      <c r="HQ22" s="407">
        <f>-(ConLoan!HQ$50+PermLoan!HQ$29)</f>
        <v/>
      </c>
      <c r="HR22" s="407">
        <f>-(ConLoan!HR$50+PermLoan!HR$29)</f>
        <v/>
      </c>
      <c r="HS22" s="407">
        <f>-(ConLoan!HS$50+PermLoan!HS$29)</f>
        <v/>
      </c>
      <c r="HT22" s="407">
        <f>-(ConLoan!HT$50+PermLoan!HT$29)</f>
        <v/>
      </c>
      <c r="HU22" s="407">
        <f>-(ConLoan!HU$50+PermLoan!HU$29)</f>
        <v/>
      </c>
      <c r="HV22" s="407">
        <f>-(ConLoan!HV$50+PermLoan!HV$29)</f>
        <v/>
      </c>
      <c r="HW22" s="407">
        <f>-(ConLoan!HW$50+PermLoan!HW$29)</f>
        <v/>
      </c>
      <c r="HX22" s="407">
        <f>-(ConLoan!HX$50+PermLoan!HX$29)</f>
        <v/>
      </c>
      <c r="HY22" s="407">
        <f>-(ConLoan!HY$50+PermLoan!HY$29)</f>
        <v/>
      </c>
      <c r="HZ22" s="407">
        <f>-(ConLoan!HZ$50+PermLoan!HZ$29)</f>
        <v/>
      </c>
      <c r="IA22" s="407">
        <f>-(ConLoan!IA$50+PermLoan!IA$29)</f>
        <v/>
      </c>
      <c r="IB22" s="407">
        <f>-(ConLoan!IB$50+PermLoan!IB$29)</f>
        <v/>
      </c>
      <c r="IC22" s="407">
        <f>-(ConLoan!IC$50+PermLoan!IC$29)</f>
        <v/>
      </c>
      <c r="ID22" s="407">
        <f>-(ConLoan!ID$50+PermLoan!ID$29)</f>
        <v/>
      </c>
      <c r="IE22" s="407">
        <f>-(ConLoan!IE$50+PermLoan!IE$29)</f>
        <v/>
      </c>
      <c r="IF22" s="407">
        <f>-(ConLoan!IF$50+PermLoan!IF$29)</f>
        <v/>
      </c>
      <c r="IG22" s="407">
        <f>-(ConLoan!IG$50+PermLoan!IG$29)</f>
        <v/>
      </c>
      <c r="IH22" s="407">
        <f>-(ConLoan!IH$50+PermLoan!IH$29)</f>
        <v/>
      </c>
      <c r="II22" s="407">
        <f>-(ConLoan!II$50+PermLoan!II$29)</f>
        <v/>
      </c>
      <c r="IJ22" s="407">
        <f>-(ConLoan!IJ$50+PermLoan!IJ$29)</f>
        <v/>
      </c>
      <c r="IK22" s="407">
        <f>-(ConLoan!IK$50+PermLoan!IK$29)</f>
        <v/>
      </c>
      <c r="IL22" s="407">
        <f>-(ConLoan!IL$50+PermLoan!IL$29)</f>
        <v/>
      </c>
      <c r="IM22" s="407">
        <f>-(ConLoan!IM$50+PermLoan!IM$29)</f>
        <v/>
      </c>
      <c r="IN22" s="407">
        <f>-(ConLoan!IN$50+PermLoan!IN$29)</f>
        <v/>
      </c>
      <c r="IO22" s="407">
        <f>-(ConLoan!IO$50+PermLoan!IO$29)</f>
        <v/>
      </c>
      <c r="IP22" s="407">
        <f>-(ConLoan!IP$50+PermLoan!IP$29)</f>
        <v/>
      </c>
      <c r="IQ22" s="407">
        <f>-(ConLoan!IQ$50+PermLoan!IQ$29)</f>
        <v/>
      </c>
      <c r="IR22" s="407">
        <f>-(ConLoan!IR$50+PermLoan!IR$29)</f>
        <v/>
      </c>
      <c r="IS22" s="407">
        <f>-(ConLoan!IS$50+PermLoan!IS$29)</f>
        <v/>
      </c>
      <c r="IT22" s="407">
        <f>-(ConLoan!IT$50+PermLoan!IT$29)</f>
        <v/>
      </c>
      <c r="IU22" s="407">
        <f>-(ConLoan!IU$50+PermLoan!IU$29)</f>
        <v/>
      </c>
      <c r="IV22" s="407">
        <f>-(ConLoan!IV$50+PermLoan!IV$29)</f>
        <v/>
      </c>
      <c r="IW22" s="407">
        <f>-(ConLoan!IW$50+PermLoan!IW$29)</f>
        <v/>
      </c>
      <c r="IX22" s="407">
        <f>-(ConLoan!IX$50+PermLoan!IX$29)</f>
        <v/>
      </c>
      <c r="IY22" s="407">
        <f>-(ConLoan!IY$50+PermLoan!IY$29)</f>
        <v/>
      </c>
      <c r="IZ22" s="407">
        <f>-(ConLoan!IZ$50+PermLoan!IZ$29)</f>
        <v/>
      </c>
      <c r="JA22" s="407">
        <f>-(ConLoan!JA$50+PermLoan!JA$29)</f>
        <v/>
      </c>
      <c r="JB22" s="407">
        <f>-(ConLoan!JB$50+PermLoan!JB$29)</f>
        <v/>
      </c>
      <c r="JC22" s="407">
        <f>-(ConLoan!JC$50+PermLoan!JC$29)</f>
        <v/>
      </c>
      <c r="JD22" s="407">
        <f>-(ConLoan!JD$50+PermLoan!JD$29)</f>
        <v/>
      </c>
      <c r="JE22" s="407">
        <f>-(ConLoan!JE$50+PermLoan!JE$29)</f>
        <v/>
      </c>
      <c r="JF22" s="407">
        <f>-(ConLoan!JF$50+PermLoan!JF$29)</f>
        <v/>
      </c>
      <c r="JG22" s="407">
        <f>-(ConLoan!JG$50+PermLoan!JG$29)</f>
        <v/>
      </c>
      <c r="JH22" s="407">
        <f>-(ConLoan!JH$50+PermLoan!JH$29)</f>
        <v/>
      </c>
      <c r="JI22" s="407">
        <f>-(ConLoan!JI$50+PermLoan!JI$29)</f>
        <v/>
      </c>
      <c r="JJ22" s="407">
        <f>-(ConLoan!JJ$50+PermLoan!JJ$29)</f>
        <v/>
      </c>
      <c r="JK22" s="407">
        <f>-(ConLoan!JK$50+PermLoan!JK$29)</f>
        <v/>
      </c>
      <c r="JL22" s="407">
        <f>-(ConLoan!JL$50+PermLoan!JL$29)</f>
        <v/>
      </c>
      <c r="JM22" s="407">
        <f>-(ConLoan!JM$50+PermLoan!JM$29)</f>
        <v/>
      </c>
      <c r="JN22" s="407">
        <f>-(ConLoan!JN$50+PermLoan!JN$29)</f>
        <v/>
      </c>
      <c r="JO22" s="407">
        <f>-(ConLoan!JO$50+PermLoan!JO$29)</f>
        <v/>
      </c>
      <c r="JP22" s="407">
        <f>-(ConLoan!JP$50+PermLoan!JP$29)</f>
        <v/>
      </c>
      <c r="JQ22" s="407">
        <f>-(ConLoan!JQ$50+PermLoan!JQ$29)</f>
        <v/>
      </c>
      <c r="JR22" s="407">
        <f>-(ConLoan!JR$50+PermLoan!JR$29)</f>
        <v/>
      </c>
      <c r="JS22" s="407">
        <f>-(ConLoan!JS$50+PermLoan!JS$29)</f>
        <v/>
      </c>
      <c r="JT22" s="407">
        <f>-(ConLoan!JT$50+PermLoan!JT$29)</f>
        <v/>
      </c>
      <c r="JU22" s="407">
        <f>-(ConLoan!JU$50+PermLoan!JU$29)</f>
        <v/>
      </c>
      <c r="JV22" s="407">
        <f>-(ConLoan!JV$50+PermLoan!JV$29)</f>
        <v/>
      </c>
      <c r="JW22" s="407">
        <f>-(ConLoan!JW$50+PermLoan!JW$29)</f>
        <v/>
      </c>
      <c r="JX22" s="407">
        <f>-(ConLoan!JX$50+PermLoan!JX$29)</f>
        <v/>
      </c>
      <c r="JY22" s="407">
        <f>-(ConLoan!JY$50+PermLoan!JY$29)</f>
        <v/>
      </c>
      <c r="JZ22" s="407">
        <f>-(ConLoan!JZ$50+PermLoan!JZ$29)</f>
        <v/>
      </c>
      <c r="KA22" s="407">
        <f>-(ConLoan!KA$50+PermLoan!KA$29)</f>
        <v/>
      </c>
      <c r="KB22" s="407">
        <f>-(ConLoan!KB$50+PermLoan!KB$29)</f>
        <v/>
      </c>
      <c r="KC22" s="407">
        <f>-(ConLoan!KC$50+PermLoan!KC$29)</f>
        <v/>
      </c>
      <c r="KD22" s="407">
        <f>-(ConLoan!KD$50+PermLoan!KD$29)</f>
        <v/>
      </c>
      <c r="KE22" s="407">
        <f>-(ConLoan!KE$50+PermLoan!KE$29)</f>
        <v/>
      </c>
      <c r="KF22" s="407">
        <f>-(ConLoan!KF$50+PermLoan!KF$29)</f>
        <v/>
      </c>
      <c r="KG22" s="407">
        <f>-(ConLoan!KG$50+PermLoan!KG$29)</f>
        <v/>
      </c>
      <c r="KH22" s="407">
        <f>-(ConLoan!KH$50+PermLoan!KH$29)</f>
        <v/>
      </c>
      <c r="KI22" s="407">
        <f>-(ConLoan!KI$50+PermLoan!KI$29)</f>
        <v/>
      </c>
      <c r="KJ22" s="407">
        <f>-(ConLoan!KJ$50+PermLoan!KJ$29)</f>
        <v/>
      </c>
      <c r="KK22" s="407">
        <f>-(ConLoan!KK$50+PermLoan!KK$29)</f>
        <v/>
      </c>
      <c r="KL22" s="407">
        <f>-(ConLoan!KL$50+PermLoan!KL$29)</f>
        <v/>
      </c>
      <c r="KM22" s="407">
        <f>-(ConLoan!KM$50+PermLoan!KM$29)</f>
        <v/>
      </c>
      <c r="KN22" s="407">
        <f>-(ConLoan!KN$50+PermLoan!KN$29)</f>
        <v/>
      </c>
      <c r="KO22" s="407">
        <f>-(ConLoan!KO$50+PermLoan!KO$29)</f>
        <v/>
      </c>
      <c r="KP22" s="407">
        <f>-(ConLoan!KP$50+PermLoan!KP$29)</f>
        <v/>
      </c>
      <c r="KQ22" s="407">
        <f>-(ConLoan!KQ$50+PermLoan!KQ$29)</f>
        <v/>
      </c>
      <c r="KR22" s="407">
        <f>-(ConLoan!KR$50+PermLoan!KR$29)</f>
        <v/>
      </c>
      <c r="KS22" s="407">
        <f>-(ConLoan!KS$50+PermLoan!KS$29)</f>
        <v/>
      </c>
      <c r="KT22" s="407">
        <f>-(ConLoan!KT$50+PermLoan!KT$29)</f>
        <v/>
      </c>
      <c r="KU22" s="407">
        <f>-(ConLoan!KU$50+PermLoan!KU$29)</f>
        <v/>
      </c>
      <c r="KV22" s="407">
        <f>-(ConLoan!KV$50+PermLoan!KV$29)</f>
        <v/>
      </c>
      <c r="KW22" s="407">
        <f>-(ConLoan!KW$50+PermLoan!KW$29)</f>
        <v/>
      </c>
      <c r="KX22" s="407">
        <f>-(ConLoan!KX$50+PermLoan!KX$29)</f>
        <v/>
      </c>
      <c r="KY22" s="407">
        <f>-(ConLoan!KY$50+PermLoan!KY$29)</f>
        <v/>
      </c>
      <c r="KZ22" s="407">
        <f>-(ConLoan!KZ$50+PermLoan!KZ$29)</f>
        <v/>
      </c>
      <c r="LA22" s="407">
        <f>-(ConLoan!LA$50+PermLoan!LA$29)</f>
        <v/>
      </c>
      <c r="LB22" s="407">
        <f>-(ConLoan!LB$50+PermLoan!LB$29)</f>
        <v/>
      </c>
      <c r="LC22" s="407">
        <f>-(ConLoan!LC$50+PermLoan!LC$29)</f>
        <v/>
      </c>
      <c r="LD22" s="407">
        <f>-(ConLoan!LD$50+PermLoan!LD$29)</f>
        <v/>
      </c>
      <c r="LE22" s="407">
        <f>-(ConLoan!LE$50+PermLoan!LE$29)</f>
        <v/>
      </c>
      <c r="LF22" s="407">
        <f>-(ConLoan!LF$50+PermLoan!LF$29)</f>
        <v/>
      </c>
      <c r="LG22" s="407">
        <f>-(ConLoan!LG$50+PermLoan!LG$29)</f>
        <v/>
      </c>
      <c r="LH22" s="407">
        <f>-(ConLoan!LH$50+PermLoan!LH$29)</f>
        <v/>
      </c>
      <c r="LI22" s="407">
        <f>-(ConLoan!LI$50+PermLoan!LI$29)</f>
        <v/>
      </c>
      <c r="LJ22" s="407">
        <f>-(ConLoan!LJ$50+PermLoan!LJ$29)</f>
        <v/>
      </c>
      <c r="LK22" s="407">
        <f>-(ConLoan!LK$50+PermLoan!LK$29)</f>
        <v/>
      </c>
      <c r="LL22" s="407">
        <f>-(ConLoan!LL$50+PermLoan!LL$29)</f>
        <v/>
      </c>
      <c r="LM22" s="407">
        <f>-(ConLoan!LM$50+PermLoan!LM$29)</f>
        <v/>
      </c>
      <c r="LN22" s="407">
        <f>-(ConLoan!LN$50+PermLoan!LN$29)</f>
        <v/>
      </c>
      <c r="LO22" s="407">
        <f>-(ConLoan!LO$50+PermLoan!LO$29)</f>
        <v/>
      </c>
      <c r="LP22" s="407">
        <f>-(ConLoan!LP$50+PermLoan!LP$29)</f>
        <v/>
      </c>
      <c r="LQ22" s="407">
        <f>-(ConLoan!LQ$50+PermLoan!LQ$29)</f>
        <v/>
      </c>
      <c r="LR22" s="407">
        <f>-(ConLoan!LR$50+PermLoan!LR$29)</f>
        <v/>
      </c>
      <c r="LS22" s="407">
        <f>-(ConLoan!LS$50+PermLoan!LS$29)</f>
        <v/>
      </c>
      <c r="LT22" s="407">
        <f>-(ConLoan!LT$50+PermLoan!LT$29)</f>
        <v/>
      </c>
      <c r="LU22" s="407">
        <f>-(ConLoan!LU$50+PermLoan!LU$29)</f>
        <v/>
      </c>
      <c r="LV22" s="407">
        <f>-(ConLoan!LV$50+PermLoan!LV$29)</f>
        <v/>
      </c>
      <c r="LW22" s="407">
        <f>-(ConLoan!LW$50+PermLoan!LW$29)</f>
        <v/>
      </c>
      <c r="LX22" s="407">
        <f>-(ConLoan!LX$50+PermLoan!LX$29)</f>
        <v/>
      </c>
      <c r="LY22" s="407">
        <f>-(ConLoan!LY$50+PermLoan!LY$29)</f>
        <v/>
      </c>
      <c r="LZ22" s="407">
        <f>-(ConLoan!LZ$50+PermLoan!LZ$29)</f>
        <v/>
      </c>
      <c r="MA22" s="407">
        <f>-(ConLoan!MA$50+PermLoan!MA$29)</f>
        <v/>
      </c>
      <c r="MB22" s="407">
        <f>-(ConLoan!MB$50+PermLoan!MB$29)</f>
        <v/>
      </c>
      <c r="MC22" s="407">
        <f>-(ConLoan!MC$50+PermLoan!MC$29)</f>
        <v/>
      </c>
      <c r="MD22" s="407">
        <f>-(ConLoan!MD$50+PermLoan!MD$29)</f>
        <v/>
      </c>
      <c r="ME22" s="407">
        <f>-(ConLoan!ME$50+PermLoan!ME$29)</f>
        <v/>
      </c>
      <c r="MF22" s="407">
        <f>-(ConLoan!MF$50+PermLoan!MF$29)</f>
        <v/>
      </c>
      <c r="MG22" s="407">
        <f>-(ConLoan!MG$50+PermLoan!MG$29)</f>
        <v/>
      </c>
      <c r="MH22" s="407">
        <f>-(ConLoan!MH$50+PermLoan!MH$29)</f>
        <v/>
      </c>
      <c r="MI22" s="407">
        <f>-(ConLoan!MI$50+PermLoan!MI$29)</f>
        <v/>
      </c>
      <c r="MJ22" s="407">
        <f>-(ConLoan!MJ$50+PermLoan!MJ$29)</f>
        <v/>
      </c>
      <c r="MK22" s="407">
        <f>-(ConLoan!MK$50+PermLoan!MK$29)</f>
        <v/>
      </c>
      <c r="ML22" s="407">
        <f>-(ConLoan!ML$50+PermLoan!ML$29)</f>
        <v/>
      </c>
      <c r="MM22" s="407">
        <f>-(ConLoan!MM$50+PermLoan!MM$29)</f>
        <v/>
      </c>
      <c r="MN22" s="407">
        <f>-(ConLoan!MN$50+PermLoan!MN$29)</f>
        <v/>
      </c>
      <c r="MO22" s="407">
        <f>-(ConLoan!MO$50+PermLoan!MO$29)</f>
        <v/>
      </c>
      <c r="MP22" s="407">
        <f>-(ConLoan!MP$50+PermLoan!MP$29)</f>
        <v/>
      </c>
      <c r="MQ22" s="407">
        <f>-(ConLoan!MQ$50+PermLoan!MQ$29)</f>
        <v/>
      </c>
      <c r="MR22" s="407">
        <f>-(ConLoan!MR$50+PermLoan!MR$29)</f>
        <v/>
      </c>
      <c r="MS22" s="407">
        <f>-(ConLoan!MS$50+PermLoan!MS$29)</f>
        <v/>
      </c>
      <c r="MT22" s="407">
        <f>-(ConLoan!MT$50+PermLoan!MT$29)</f>
        <v/>
      </c>
      <c r="MU22" s="407">
        <f>-(ConLoan!MU$50+PermLoan!MU$29)</f>
        <v/>
      </c>
      <c r="MV22" s="407">
        <f>-(ConLoan!MV$50+PermLoan!MV$29)</f>
        <v/>
      </c>
      <c r="MW22" s="407">
        <f>-(ConLoan!MW$50+PermLoan!MW$29)</f>
        <v/>
      </c>
      <c r="MX22" s="407">
        <f>-(ConLoan!MX$50+PermLoan!MX$29)</f>
        <v/>
      </c>
      <c r="MY22" s="407">
        <f>-(ConLoan!MY$50+PermLoan!MY$29)</f>
        <v/>
      </c>
      <c r="MZ22" s="407">
        <f>-(ConLoan!MZ$50+PermLoan!MZ$29)</f>
        <v/>
      </c>
      <c r="NA22" s="407">
        <f>-(ConLoan!NA$50+PermLoan!NA$29)</f>
        <v/>
      </c>
      <c r="NB22" s="407">
        <f>-(ConLoan!NB$50+PermLoan!NB$29)</f>
        <v/>
      </c>
      <c r="NC22" s="407">
        <f>-(ConLoan!NC$50+PermLoan!NC$29)</f>
        <v/>
      </c>
      <c r="ND22" s="407">
        <f>-(ConLoan!ND$50+PermLoan!ND$29)</f>
        <v/>
      </c>
      <c r="NE22" s="407">
        <f>-(ConLoan!NE$50+PermLoan!NE$29)</f>
        <v/>
      </c>
      <c r="NF22" s="407">
        <f>-(ConLoan!NF$50+PermLoan!NF$29)</f>
        <v/>
      </c>
      <c r="NG22" s="407">
        <f>-(ConLoan!NG$50+PermLoan!NG$29)</f>
        <v/>
      </c>
      <c r="NH22" s="407">
        <f>-(ConLoan!NH$50+PermLoan!NH$29)</f>
        <v/>
      </c>
      <c r="NI22" s="407">
        <f>-(ConLoan!NI$50+PermLoan!NI$29)</f>
        <v/>
      </c>
      <c r="NJ22" s="407">
        <f>-(ConLoan!NJ$50+PermLoan!NJ$29)</f>
        <v/>
      </c>
      <c r="NK22" s="407">
        <f>-(ConLoan!NK$50+PermLoan!NK$29)</f>
        <v/>
      </c>
      <c r="NL22" s="407">
        <f>-(ConLoan!NL$50+PermLoan!NL$29)</f>
        <v/>
      </c>
    </row>
    <row r="23">
      <c r="B23" s="316" t="inlineStr">
        <is>
          <t>Construction Loan Balance (EOM)</t>
        </is>
      </c>
      <c r="D23" s="402">
        <f>INDEX(E23:NL23,HoldPeriodMonths)</f>
        <v/>
      </c>
      <c r="E23" s="402">
        <f>ConLoan!E$32</f>
        <v/>
      </c>
      <c r="F23" s="402">
        <f>ConLoan!F$32</f>
        <v/>
      </c>
      <c r="G23" s="402">
        <f>ConLoan!G$32</f>
        <v/>
      </c>
      <c r="H23" s="402">
        <f>ConLoan!H$32</f>
        <v/>
      </c>
      <c r="I23" s="402">
        <f>ConLoan!I$32</f>
        <v/>
      </c>
      <c r="J23" s="402">
        <f>ConLoan!J$32</f>
        <v/>
      </c>
      <c r="K23" s="402">
        <f>ConLoan!K$32</f>
        <v/>
      </c>
      <c r="L23" s="402">
        <f>ConLoan!L$32</f>
        <v/>
      </c>
      <c r="M23" s="402">
        <f>ConLoan!M$32</f>
        <v/>
      </c>
      <c r="N23" s="402">
        <f>ConLoan!N$32</f>
        <v/>
      </c>
      <c r="O23" s="402">
        <f>ConLoan!O$32</f>
        <v/>
      </c>
      <c r="P23" s="402">
        <f>ConLoan!P$32</f>
        <v/>
      </c>
      <c r="Q23" s="402">
        <f>ConLoan!Q$32</f>
        <v/>
      </c>
      <c r="R23" s="402">
        <f>ConLoan!R$32</f>
        <v/>
      </c>
      <c r="S23" s="402">
        <f>ConLoan!S$32</f>
        <v/>
      </c>
      <c r="T23" s="402">
        <f>ConLoan!T$32</f>
        <v/>
      </c>
      <c r="U23" s="402">
        <f>ConLoan!U$32</f>
        <v/>
      </c>
      <c r="V23" s="402">
        <f>ConLoan!V$32</f>
        <v/>
      </c>
      <c r="W23" s="402">
        <f>ConLoan!W$32</f>
        <v/>
      </c>
      <c r="X23" s="402">
        <f>ConLoan!X$32</f>
        <v/>
      </c>
      <c r="Y23" s="402">
        <f>ConLoan!Y$32</f>
        <v/>
      </c>
      <c r="Z23" s="402">
        <f>ConLoan!Z$32</f>
        <v/>
      </c>
      <c r="AA23" s="402">
        <f>ConLoan!AA$32</f>
        <v/>
      </c>
      <c r="AB23" s="402">
        <f>ConLoan!AB$32</f>
        <v/>
      </c>
      <c r="AC23" s="402">
        <f>ConLoan!AC$32</f>
        <v/>
      </c>
      <c r="AD23" s="402">
        <f>ConLoan!AD$32</f>
        <v/>
      </c>
      <c r="AE23" s="402">
        <f>ConLoan!AE$32</f>
        <v/>
      </c>
      <c r="AF23" s="402">
        <f>ConLoan!AF$32</f>
        <v/>
      </c>
      <c r="AG23" s="402">
        <f>ConLoan!AG$32</f>
        <v/>
      </c>
      <c r="AH23" s="402">
        <f>ConLoan!AH$32</f>
        <v/>
      </c>
      <c r="AI23" s="402">
        <f>ConLoan!AI$32</f>
        <v/>
      </c>
      <c r="AJ23" s="402">
        <f>ConLoan!AJ$32</f>
        <v/>
      </c>
      <c r="AK23" s="402">
        <f>ConLoan!AK$32</f>
        <v/>
      </c>
      <c r="AL23" s="402">
        <f>ConLoan!AL$32</f>
        <v/>
      </c>
      <c r="AM23" s="402">
        <f>ConLoan!AM$32</f>
        <v/>
      </c>
      <c r="AN23" s="402">
        <f>ConLoan!AN$32</f>
        <v/>
      </c>
      <c r="AO23" s="402">
        <f>ConLoan!AO$32</f>
        <v/>
      </c>
      <c r="AP23" s="402">
        <f>ConLoan!AP$32</f>
        <v/>
      </c>
      <c r="AQ23" s="402">
        <f>ConLoan!AQ$32</f>
        <v/>
      </c>
      <c r="AR23" s="402">
        <f>ConLoan!AR$32</f>
        <v/>
      </c>
      <c r="AS23" s="402">
        <f>ConLoan!AS$32</f>
        <v/>
      </c>
      <c r="AT23" s="402">
        <f>ConLoan!AT$32</f>
        <v/>
      </c>
      <c r="AU23" s="402">
        <f>ConLoan!AU$32</f>
        <v/>
      </c>
      <c r="AV23" s="402">
        <f>ConLoan!AV$32</f>
        <v/>
      </c>
      <c r="AW23" s="402">
        <f>ConLoan!AW$32</f>
        <v/>
      </c>
      <c r="AX23" s="402">
        <f>ConLoan!AX$32</f>
        <v/>
      </c>
      <c r="AY23" s="402">
        <f>ConLoan!AY$32</f>
        <v/>
      </c>
      <c r="AZ23" s="402">
        <f>ConLoan!AZ$32</f>
        <v/>
      </c>
      <c r="BA23" s="402">
        <f>ConLoan!BA$32</f>
        <v/>
      </c>
      <c r="BB23" s="402">
        <f>ConLoan!BB$32</f>
        <v/>
      </c>
      <c r="BC23" s="402">
        <f>ConLoan!BC$32</f>
        <v/>
      </c>
      <c r="BD23" s="402">
        <f>ConLoan!BD$32</f>
        <v/>
      </c>
      <c r="BE23" s="402">
        <f>ConLoan!BE$32</f>
        <v/>
      </c>
      <c r="BF23" s="402">
        <f>ConLoan!BF$32</f>
        <v/>
      </c>
      <c r="BG23" s="402">
        <f>ConLoan!BG$32</f>
        <v/>
      </c>
      <c r="BH23" s="402">
        <f>ConLoan!BH$32</f>
        <v/>
      </c>
      <c r="BI23" s="402">
        <f>ConLoan!BI$32</f>
        <v/>
      </c>
      <c r="BJ23" s="402">
        <f>ConLoan!BJ$32</f>
        <v/>
      </c>
      <c r="BK23" s="402">
        <f>ConLoan!BK$32</f>
        <v/>
      </c>
      <c r="BL23" s="402">
        <f>ConLoan!BL$32</f>
        <v/>
      </c>
      <c r="BM23" s="402">
        <f>ConLoan!BM$32</f>
        <v/>
      </c>
      <c r="BN23" s="402">
        <f>ConLoan!BN$32</f>
        <v/>
      </c>
      <c r="BO23" s="402">
        <f>ConLoan!BO$32</f>
        <v/>
      </c>
      <c r="BP23" s="402">
        <f>ConLoan!BP$32</f>
        <v/>
      </c>
      <c r="BQ23" s="402">
        <f>ConLoan!BQ$32</f>
        <v/>
      </c>
      <c r="BR23" s="402">
        <f>ConLoan!BR$32</f>
        <v/>
      </c>
      <c r="BS23" s="402">
        <f>ConLoan!BS$32</f>
        <v/>
      </c>
      <c r="BT23" s="402">
        <f>ConLoan!BT$32</f>
        <v/>
      </c>
      <c r="BU23" s="402">
        <f>ConLoan!BU$32</f>
        <v/>
      </c>
      <c r="BV23" s="402">
        <f>ConLoan!BV$32</f>
        <v/>
      </c>
      <c r="BW23" s="402">
        <f>ConLoan!BW$32</f>
        <v/>
      </c>
      <c r="BX23" s="402">
        <f>ConLoan!BX$32</f>
        <v/>
      </c>
      <c r="BY23" s="402">
        <f>ConLoan!BY$32</f>
        <v/>
      </c>
      <c r="BZ23" s="402">
        <f>ConLoan!BZ$32</f>
        <v/>
      </c>
      <c r="CA23" s="402">
        <f>ConLoan!CA$32</f>
        <v/>
      </c>
      <c r="CB23" s="402">
        <f>ConLoan!CB$32</f>
        <v/>
      </c>
      <c r="CC23" s="402">
        <f>ConLoan!CC$32</f>
        <v/>
      </c>
      <c r="CD23" s="402">
        <f>ConLoan!CD$32</f>
        <v/>
      </c>
      <c r="CE23" s="402">
        <f>ConLoan!CE$32</f>
        <v/>
      </c>
      <c r="CF23" s="402">
        <f>ConLoan!CF$32</f>
        <v/>
      </c>
      <c r="CG23" s="402">
        <f>ConLoan!CG$32</f>
        <v/>
      </c>
      <c r="CH23" s="402">
        <f>ConLoan!CH$32</f>
        <v/>
      </c>
      <c r="CI23" s="402">
        <f>ConLoan!CI$32</f>
        <v/>
      </c>
      <c r="CJ23" s="402">
        <f>ConLoan!CJ$32</f>
        <v/>
      </c>
      <c r="CK23" s="402">
        <f>ConLoan!CK$32</f>
        <v/>
      </c>
      <c r="CL23" s="402">
        <f>ConLoan!CL$32</f>
        <v/>
      </c>
      <c r="CM23" s="402">
        <f>ConLoan!CM$32</f>
        <v/>
      </c>
      <c r="CN23" s="402">
        <f>ConLoan!CN$32</f>
        <v/>
      </c>
      <c r="CO23" s="402">
        <f>ConLoan!CO$32</f>
        <v/>
      </c>
      <c r="CP23" s="402">
        <f>ConLoan!CP$32</f>
        <v/>
      </c>
      <c r="CQ23" s="402">
        <f>ConLoan!CQ$32</f>
        <v/>
      </c>
      <c r="CR23" s="402">
        <f>ConLoan!CR$32</f>
        <v/>
      </c>
      <c r="CS23" s="402">
        <f>ConLoan!CS$32</f>
        <v/>
      </c>
      <c r="CT23" s="402">
        <f>ConLoan!CT$32</f>
        <v/>
      </c>
      <c r="CU23" s="402">
        <f>ConLoan!CU$32</f>
        <v/>
      </c>
      <c r="CV23" s="402">
        <f>ConLoan!CV$32</f>
        <v/>
      </c>
      <c r="CW23" s="402">
        <f>ConLoan!CW$32</f>
        <v/>
      </c>
      <c r="CX23" s="402">
        <f>ConLoan!CX$32</f>
        <v/>
      </c>
      <c r="CY23" s="402">
        <f>ConLoan!CY$32</f>
        <v/>
      </c>
      <c r="CZ23" s="402">
        <f>ConLoan!CZ$32</f>
        <v/>
      </c>
      <c r="DA23" s="402">
        <f>ConLoan!DA$32</f>
        <v/>
      </c>
      <c r="DB23" s="402">
        <f>ConLoan!DB$32</f>
        <v/>
      </c>
      <c r="DC23" s="402">
        <f>ConLoan!DC$32</f>
        <v/>
      </c>
      <c r="DD23" s="402">
        <f>ConLoan!DD$32</f>
        <v/>
      </c>
      <c r="DE23" s="402">
        <f>ConLoan!DE$32</f>
        <v/>
      </c>
      <c r="DF23" s="402">
        <f>ConLoan!DF$32</f>
        <v/>
      </c>
      <c r="DG23" s="402">
        <f>ConLoan!DG$32</f>
        <v/>
      </c>
      <c r="DH23" s="402">
        <f>ConLoan!DH$32</f>
        <v/>
      </c>
      <c r="DI23" s="402">
        <f>ConLoan!DI$32</f>
        <v/>
      </c>
      <c r="DJ23" s="402">
        <f>ConLoan!DJ$32</f>
        <v/>
      </c>
      <c r="DK23" s="402">
        <f>ConLoan!DK$32</f>
        <v/>
      </c>
      <c r="DL23" s="402">
        <f>ConLoan!DL$32</f>
        <v/>
      </c>
      <c r="DM23" s="402">
        <f>ConLoan!DM$32</f>
        <v/>
      </c>
      <c r="DN23" s="402">
        <f>ConLoan!DN$32</f>
        <v/>
      </c>
      <c r="DO23" s="402">
        <f>ConLoan!DO$32</f>
        <v/>
      </c>
      <c r="DP23" s="402">
        <f>ConLoan!DP$32</f>
        <v/>
      </c>
      <c r="DQ23" s="402">
        <f>ConLoan!DQ$32</f>
        <v/>
      </c>
      <c r="DR23" s="402">
        <f>ConLoan!DR$32</f>
        <v/>
      </c>
      <c r="DS23" s="402">
        <f>ConLoan!DS$32</f>
        <v/>
      </c>
      <c r="DT23" s="402">
        <f>ConLoan!DT$32</f>
        <v/>
      </c>
      <c r="DU23" s="402">
        <f>ConLoan!DU$32</f>
        <v/>
      </c>
      <c r="DV23" s="402">
        <f>ConLoan!DV$32</f>
        <v/>
      </c>
      <c r="DW23" s="402">
        <f>ConLoan!DW$32</f>
        <v/>
      </c>
      <c r="DX23" s="402">
        <f>ConLoan!DX$32</f>
        <v/>
      </c>
      <c r="DY23" s="402">
        <f>ConLoan!DY$32</f>
        <v/>
      </c>
      <c r="DZ23" s="402">
        <f>ConLoan!DZ$32</f>
        <v/>
      </c>
      <c r="EA23" s="402">
        <f>ConLoan!EA$32</f>
        <v/>
      </c>
      <c r="EB23" s="402">
        <f>ConLoan!EB$32</f>
        <v/>
      </c>
      <c r="EC23" s="402">
        <f>ConLoan!EC$32</f>
        <v/>
      </c>
      <c r="ED23" s="402">
        <f>ConLoan!ED$32</f>
        <v/>
      </c>
      <c r="EE23" s="402">
        <f>ConLoan!EE$32</f>
        <v/>
      </c>
      <c r="EF23" s="402">
        <f>ConLoan!EF$32</f>
        <v/>
      </c>
      <c r="EG23" s="402">
        <f>ConLoan!EG$32</f>
        <v/>
      </c>
      <c r="EH23" s="402">
        <f>ConLoan!EH$32</f>
        <v/>
      </c>
      <c r="EI23" s="402">
        <f>ConLoan!EI$32</f>
        <v/>
      </c>
      <c r="EJ23" s="402">
        <f>ConLoan!EJ$32</f>
        <v/>
      </c>
      <c r="EK23" s="402">
        <f>ConLoan!EK$32</f>
        <v/>
      </c>
      <c r="EL23" s="402">
        <f>ConLoan!EL$32</f>
        <v/>
      </c>
      <c r="EM23" s="402">
        <f>ConLoan!EM$32</f>
        <v/>
      </c>
      <c r="EN23" s="402">
        <f>ConLoan!EN$32</f>
        <v/>
      </c>
      <c r="EO23" s="402">
        <f>ConLoan!EO$32</f>
        <v/>
      </c>
      <c r="EP23" s="402">
        <f>ConLoan!EP$32</f>
        <v/>
      </c>
      <c r="EQ23" s="402">
        <f>ConLoan!EQ$32</f>
        <v/>
      </c>
      <c r="ER23" s="402">
        <f>ConLoan!ER$32</f>
        <v/>
      </c>
      <c r="ES23" s="402">
        <f>ConLoan!ES$32</f>
        <v/>
      </c>
      <c r="ET23" s="402">
        <f>ConLoan!ET$32</f>
        <v/>
      </c>
      <c r="EU23" s="402">
        <f>ConLoan!EU$32</f>
        <v/>
      </c>
      <c r="EV23" s="402">
        <f>ConLoan!EV$32</f>
        <v/>
      </c>
      <c r="EW23" s="402">
        <f>ConLoan!EW$32</f>
        <v/>
      </c>
      <c r="EX23" s="402">
        <f>ConLoan!EX$32</f>
        <v/>
      </c>
      <c r="EY23" s="402">
        <f>ConLoan!EY$32</f>
        <v/>
      </c>
      <c r="EZ23" s="402">
        <f>ConLoan!EZ$32</f>
        <v/>
      </c>
      <c r="FA23" s="402">
        <f>ConLoan!FA$32</f>
        <v/>
      </c>
      <c r="FB23" s="402">
        <f>ConLoan!FB$32</f>
        <v/>
      </c>
      <c r="FC23" s="402">
        <f>ConLoan!FC$32</f>
        <v/>
      </c>
      <c r="FD23" s="402">
        <f>ConLoan!FD$32</f>
        <v/>
      </c>
      <c r="FE23" s="402">
        <f>ConLoan!FE$32</f>
        <v/>
      </c>
      <c r="FF23" s="402">
        <f>ConLoan!FF$32</f>
        <v/>
      </c>
      <c r="FG23" s="402">
        <f>ConLoan!FG$32</f>
        <v/>
      </c>
      <c r="FH23" s="402">
        <f>ConLoan!FH$32</f>
        <v/>
      </c>
      <c r="FI23" s="402">
        <f>ConLoan!FI$32</f>
        <v/>
      </c>
      <c r="FJ23" s="402">
        <f>ConLoan!FJ$32</f>
        <v/>
      </c>
      <c r="FK23" s="402">
        <f>ConLoan!FK$32</f>
        <v/>
      </c>
      <c r="FL23" s="402">
        <f>ConLoan!FL$32</f>
        <v/>
      </c>
      <c r="FM23" s="402">
        <f>ConLoan!FM$32</f>
        <v/>
      </c>
      <c r="FN23" s="402">
        <f>ConLoan!FN$32</f>
        <v/>
      </c>
      <c r="FO23" s="402">
        <f>ConLoan!FO$32</f>
        <v/>
      </c>
      <c r="FP23" s="402">
        <f>ConLoan!FP$32</f>
        <v/>
      </c>
      <c r="FQ23" s="402">
        <f>ConLoan!FQ$32</f>
        <v/>
      </c>
      <c r="FR23" s="402">
        <f>ConLoan!FR$32</f>
        <v/>
      </c>
      <c r="FS23" s="402">
        <f>ConLoan!FS$32</f>
        <v/>
      </c>
      <c r="FT23" s="402">
        <f>ConLoan!FT$32</f>
        <v/>
      </c>
      <c r="FU23" s="402">
        <f>ConLoan!FU$32</f>
        <v/>
      </c>
      <c r="FV23" s="402">
        <f>ConLoan!FV$32</f>
        <v/>
      </c>
      <c r="FW23" s="402">
        <f>ConLoan!FW$32</f>
        <v/>
      </c>
      <c r="FX23" s="402">
        <f>ConLoan!FX$32</f>
        <v/>
      </c>
      <c r="FY23" s="402">
        <f>ConLoan!FY$32</f>
        <v/>
      </c>
      <c r="FZ23" s="402">
        <f>ConLoan!FZ$32</f>
        <v/>
      </c>
      <c r="GA23" s="402">
        <f>ConLoan!GA$32</f>
        <v/>
      </c>
      <c r="GB23" s="402">
        <f>ConLoan!GB$32</f>
        <v/>
      </c>
      <c r="GC23" s="402">
        <f>ConLoan!GC$32</f>
        <v/>
      </c>
      <c r="GD23" s="402">
        <f>ConLoan!GD$32</f>
        <v/>
      </c>
      <c r="GE23" s="402">
        <f>ConLoan!GE$32</f>
        <v/>
      </c>
      <c r="GF23" s="402">
        <f>ConLoan!GF$32</f>
        <v/>
      </c>
      <c r="GG23" s="402">
        <f>ConLoan!GG$32</f>
        <v/>
      </c>
      <c r="GH23" s="402">
        <f>ConLoan!GH$32</f>
        <v/>
      </c>
      <c r="GI23" s="402">
        <f>ConLoan!GI$32</f>
        <v/>
      </c>
      <c r="GJ23" s="402">
        <f>ConLoan!GJ$32</f>
        <v/>
      </c>
      <c r="GK23" s="402">
        <f>ConLoan!GK$32</f>
        <v/>
      </c>
      <c r="GL23" s="402">
        <f>ConLoan!GL$32</f>
        <v/>
      </c>
      <c r="GM23" s="402">
        <f>ConLoan!GM$32</f>
        <v/>
      </c>
      <c r="GN23" s="402">
        <f>ConLoan!GN$32</f>
        <v/>
      </c>
      <c r="GO23" s="402">
        <f>ConLoan!GO$32</f>
        <v/>
      </c>
      <c r="GP23" s="402">
        <f>ConLoan!GP$32</f>
        <v/>
      </c>
      <c r="GQ23" s="402">
        <f>ConLoan!GQ$32</f>
        <v/>
      </c>
      <c r="GR23" s="402">
        <f>ConLoan!GR$32</f>
        <v/>
      </c>
      <c r="GS23" s="402">
        <f>ConLoan!GS$32</f>
        <v/>
      </c>
      <c r="GT23" s="402">
        <f>ConLoan!GT$32</f>
        <v/>
      </c>
      <c r="GU23" s="402">
        <f>ConLoan!GU$32</f>
        <v/>
      </c>
      <c r="GV23" s="402">
        <f>ConLoan!GV$32</f>
        <v/>
      </c>
      <c r="GW23" s="402">
        <f>ConLoan!GW$32</f>
        <v/>
      </c>
      <c r="GX23" s="402">
        <f>ConLoan!GX$32</f>
        <v/>
      </c>
      <c r="GY23" s="402">
        <f>ConLoan!GY$32</f>
        <v/>
      </c>
      <c r="GZ23" s="402">
        <f>ConLoan!GZ$32</f>
        <v/>
      </c>
      <c r="HA23" s="402">
        <f>ConLoan!HA$32</f>
        <v/>
      </c>
      <c r="HB23" s="402">
        <f>ConLoan!HB$32</f>
        <v/>
      </c>
      <c r="HC23" s="402">
        <f>ConLoan!HC$32</f>
        <v/>
      </c>
      <c r="HD23" s="402">
        <f>ConLoan!HD$32</f>
        <v/>
      </c>
      <c r="HE23" s="402">
        <f>ConLoan!HE$32</f>
        <v/>
      </c>
      <c r="HF23" s="402">
        <f>ConLoan!HF$32</f>
        <v/>
      </c>
      <c r="HG23" s="402">
        <f>ConLoan!HG$32</f>
        <v/>
      </c>
      <c r="HH23" s="402">
        <f>ConLoan!HH$32</f>
        <v/>
      </c>
      <c r="HI23" s="402">
        <f>ConLoan!HI$32</f>
        <v/>
      </c>
      <c r="HJ23" s="402">
        <f>ConLoan!HJ$32</f>
        <v/>
      </c>
      <c r="HK23" s="402">
        <f>ConLoan!HK$32</f>
        <v/>
      </c>
      <c r="HL23" s="402">
        <f>ConLoan!HL$32</f>
        <v/>
      </c>
      <c r="HM23" s="402">
        <f>ConLoan!HM$32</f>
        <v/>
      </c>
      <c r="HN23" s="402">
        <f>ConLoan!HN$32</f>
        <v/>
      </c>
      <c r="HO23" s="402">
        <f>ConLoan!HO$32</f>
        <v/>
      </c>
      <c r="HP23" s="402">
        <f>ConLoan!HP$32</f>
        <v/>
      </c>
      <c r="HQ23" s="402">
        <f>ConLoan!HQ$32</f>
        <v/>
      </c>
      <c r="HR23" s="402">
        <f>ConLoan!HR$32</f>
        <v/>
      </c>
      <c r="HS23" s="402">
        <f>ConLoan!HS$32</f>
        <v/>
      </c>
      <c r="HT23" s="402">
        <f>ConLoan!HT$32</f>
        <v/>
      </c>
      <c r="HU23" s="402">
        <f>ConLoan!HU$32</f>
        <v/>
      </c>
      <c r="HV23" s="402">
        <f>ConLoan!HV$32</f>
        <v/>
      </c>
      <c r="HW23" s="402">
        <f>ConLoan!HW$32</f>
        <v/>
      </c>
      <c r="HX23" s="402">
        <f>ConLoan!HX$32</f>
        <v/>
      </c>
      <c r="HY23" s="402">
        <f>ConLoan!HY$32</f>
        <v/>
      </c>
      <c r="HZ23" s="402">
        <f>ConLoan!HZ$32</f>
        <v/>
      </c>
      <c r="IA23" s="402">
        <f>ConLoan!IA$32</f>
        <v/>
      </c>
      <c r="IB23" s="402">
        <f>ConLoan!IB$32</f>
        <v/>
      </c>
      <c r="IC23" s="402">
        <f>ConLoan!IC$32</f>
        <v/>
      </c>
      <c r="ID23" s="402">
        <f>ConLoan!ID$32</f>
        <v/>
      </c>
      <c r="IE23" s="402">
        <f>ConLoan!IE$32</f>
        <v/>
      </c>
      <c r="IF23" s="402">
        <f>ConLoan!IF$32</f>
        <v/>
      </c>
      <c r="IG23" s="402">
        <f>ConLoan!IG$32</f>
        <v/>
      </c>
      <c r="IH23" s="402">
        <f>ConLoan!IH$32</f>
        <v/>
      </c>
      <c r="II23" s="402">
        <f>ConLoan!II$32</f>
        <v/>
      </c>
      <c r="IJ23" s="402">
        <f>ConLoan!IJ$32</f>
        <v/>
      </c>
      <c r="IK23" s="402">
        <f>ConLoan!IK$32</f>
        <v/>
      </c>
      <c r="IL23" s="402">
        <f>ConLoan!IL$32</f>
        <v/>
      </c>
      <c r="IM23" s="402">
        <f>ConLoan!IM$32</f>
        <v/>
      </c>
      <c r="IN23" s="402">
        <f>ConLoan!IN$32</f>
        <v/>
      </c>
      <c r="IO23" s="402">
        <f>ConLoan!IO$32</f>
        <v/>
      </c>
      <c r="IP23" s="402">
        <f>ConLoan!IP$32</f>
        <v/>
      </c>
      <c r="IQ23" s="402">
        <f>ConLoan!IQ$32</f>
        <v/>
      </c>
      <c r="IR23" s="402">
        <f>ConLoan!IR$32</f>
        <v/>
      </c>
      <c r="IS23" s="402">
        <f>ConLoan!IS$32</f>
        <v/>
      </c>
      <c r="IT23" s="402">
        <f>ConLoan!IT$32</f>
        <v/>
      </c>
      <c r="IU23" s="402">
        <f>ConLoan!IU$32</f>
        <v/>
      </c>
      <c r="IV23" s="402">
        <f>ConLoan!IV$32</f>
        <v/>
      </c>
      <c r="IW23" s="402">
        <f>ConLoan!IW$32</f>
        <v/>
      </c>
      <c r="IX23" s="402">
        <f>ConLoan!IX$32</f>
        <v/>
      </c>
      <c r="IY23" s="402">
        <f>ConLoan!IY$32</f>
        <v/>
      </c>
      <c r="IZ23" s="402">
        <f>ConLoan!IZ$32</f>
        <v/>
      </c>
      <c r="JA23" s="402">
        <f>ConLoan!JA$32</f>
        <v/>
      </c>
      <c r="JB23" s="402">
        <f>ConLoan!JB$32</f>
        <v/>
      </c>
      <c r="JC23" s="402">
        <f>ConLoan!JC$32</f>
        <v/>
      </c>
      <c r="JD23" s="402">
        <f>ConLoan!JD$32</f>
        <v/>
      </c>
      <c r="JE23" s="402">
        <f>ConLoan!JE$32</f>
        <v/>
      </c>
      <c r="JF23" s="402">
        <f>ConLoan!JF$32</f>
        <v/>
      </c>
      <c r="JG23" s="402">
        <f>ConLoan!JG$32</f>
        <v/>
      </c>
      <c r="JH23" s="402">
        <f>ConLoan!JH$32</f>
        <v/>
      </c>
      <c r="JI23" s="402">
        <f>ConLoan!JI$32</f>
        <v/>
      </c>
      <c r="JJ23" s="402">
        <f>ConLoan!JJ$32</f>
        <v/>
      </c>
      <c r="JK23" s="402">
        <f>ConLoan!JK$32</f>
        <v/>
      </c>
      <c r="JL23" s="402">
        <f>ConLoan!JL$32</f>
        <v/>
      </c>
      <c r="JM23" s="402">
        <f>ConLoan!JM$32</f>
        <v/>
      </c>
      <c r="JN23" s="402">
        <f>ConLoan!JN$32</f>
        <v/>
      </c>
      <c r="JO23" s="402">
        <f>ConLoan!JO$32</f>
        <v/>
      </c>
      <c r="JP23" s="402">
        <f>ConLoan!JP$32</f>
        <v/>
      </c>
      <c r="JQ23" s="402">
        <f>ConLoan!JQ$32</f>
        <v/>
      </c>
      <c r="JR23" s="402">
        <f>ConLoan!JR$32</f>
        <v/>
      </c>
      <c r="JS23" s="402">
        <f>ConLoan!JS$32</f>
        <v/>
      </c>
      <c r="JT23" s="402">
        <f>ConLoan!JT$32</f>
        <v/>
      </c>
      <c r="JU23" s="402">
        <f>ConLoan!JU$32</f>
        <v/>
      </c>
      <c r="JV23" s="402">
        <f>ConLoan!JV$32</f>
        <v/>
      </c>
      <c r="JW23" s="402">
        <f>ConLoan!JW$32</f>
        <v/>
      </c>
      <c r="JX23" s="402">
        <f>ConLoan!JX$32</f>
        <v/>
      </c>
      <c r="JY23" s="402">
        <f>ConLoan!JY$32</f>
        <v/>
      </c>
      <c r="JZ23" s="402">
        <f>ConLoan!JZ$32</f>
        <v/>
      </c>
      <c r="KA23" s="402">
        <f>ConLoan!KA$32</f>
        <v/>
      </c>
      <c r="KB23" s="402">
        <f>ConLoan!KB$32</f>
        <v/>
      </c>
      <c r="KC23" s="402">
        <f>ConLoan!KC$32</f>
        <v/>
      </c>
      <c r="KD23" s="402">
        <f>ConLoan!KD$32</f>
        <v/>
      </c>
      <c r="KE23" s="402">
        <f>ConLoan!KE$32</f>
        <v/>
      </c>
      <c r="KF23" s="402">
        <f>ConLoan!KF$32</f>
        <v/>
      </c>
      <c r="KG23" s="402">
        <f>ConLoan!KG$32</f>
        <v/>
      </c>
      <c r="KH23" s="402">
        <f>ConLoan!KH$32</f>
        <v/>
      </c>
      <c r="KI23" s="402">
        <f>ConLoan!KI$32</f>
        <v/>
      </c>
      <c r="KJ23" s="402">
        <f>ConLoan!KJ$32</f>
        <v/>
      </c>
      <c r="KK23" s="402">
        <f>ConLoan!KK$32</f>
        <v/>
      </c>
      <c r="KL23" s="402">
        <f>ConLoan!KL$32</f>
        <v/>
      </c>
      <c r="KM23" s="402">
        <f>ConLoan!KM$32</f>
        <v/>
      </c>
      <c r="KN23" s="402">
        <f>ConLoan!KN$32</f>
        <v/>
      </c>
      <c r="KO23" s="402">
        <f>ConLoan!KO$32</f>
        <v/>
      </c>
      <c r="KP23" s="402">
        <f>ConLoan!KP$32</f>
        <v/>
      </c>
      <c r="KQ23" s="402">
        <f>ConLoan!KQ$32</f>
        <v/>
      </c>
      <c r="KR23" s="402">
        <f>ConLoan!KR$32</f>
        <v/>
      </c>
      <c r="KS23" s="402">
        <f>ConLoan!KS$32</f>
        <v/>
      </c>
      <c r="KT23" s="402">
        <f>ConLoan!KT$32</f>
        <v/>
      </c>
      <c r="KU23" s="402">
        <f>ConLoan!KU$32</f>
        <v/>
      </c>
      <c r="KV23" s="402">
        <f>ConLoan!KV$32</f>
        <v/>
      </c>
      <c r="KW23" s="402">
        <f>ConLoan!KW$32</f>
        <v/>
      </c>
      <c r="KX23" s="402">
        <f>ConLoan!KX$32</f>
        <v/>
      </c>
      <c r="KY23" s="402">
        <f>ConLoan!KY$32</f>
        <v/>
      </c>
      <c r="KZ23" s="402">
        <f>ConLoan!KZ$32</f>
        <v/>
      </c>
      <c r="LA23" s="402">
        <f>ConLoan!LA$32</f>
        <v/>
      </c>
      <c r="LB23" s="402">
        <f>ConLoan!LB$32</f>
        <v/>
      </c>
      <c r="LC23" s="402">
        <f>ConLoan!LC$32</f>
        <v/>
      </c>
      <c r="LD23" s="402">
        <f>ConLoan!LD$32</f>
        <v/>
      </c>
      <c r="LE23" s="402">
        <f>ConLoan!LE$32</f>
        <v/>
      </c>
      <c r="LF23" s="402">
        <f>ConLoan!LF$32</f>
        <v/>
      </c>
      <c r="LG23" s="402">
        <f>ConLoan!LG$32</f>
        <v/>
      </c>
      <c r="LH23" s="402">
        <f>ConLoan!LH$32</f>
        <v/>
      </c>
      <c r="LI23" s="402">
        <f>ConLoan!LI$32</f>
        <v/>
      </c>
      <c r="LJ23" s="402">
        <f>ConLoan!LJ$32</f>
        <v/>
      </c>
      <c r="LK23" s="402">
        <f>ConLoan!LK$32</f>
        <v/>
      </c>
      <c r="LL23" s="402">
        <f>ConLoan!LL$32</f>
        <v/>
      </c>
      <c r="LM23" s="402">
        <f>ConLoan!LM$32</f>
        <v/>
      </c>
      <c r="LN23" s="402">
        <f>ConLoan!LN$32</f>
        <v/>
      </c>
      <c r="LO23" s="402">
        <f>ConLoan!LO$32</f>
        <v/>
      </c>
      <c r="LP23" s="402">
        <f>ConLoan!LP$32</f>
        <v/>
      </c>
      <c r="LQ23" s="402">
        <f>ConLoan!LQ$32</f>
        <v/>
      </c>
      <c r="LR23" s="402">
        <f>ConLoan!LR$32</f>
        <v/>
      </c>
      <c r="LS23" s="402">
        <f>ConLoan!LS$32</f>
        <v/>
      </c>
      <c r="LT23" s="402">
        <f>ConLoan!LT$32</f>
        <v/>
      </c>
      <c r="LU23" s="402">
        <f>ConLoan!LU$32</f>
        <v/>
      </c>
      <c r="LV23" s="402">
        <f>ConLoan!LV$32</f>
        <v/>
      </c>
      <c r="LW23" s="402">
        <f>ConLoan!LW$32</f>
        <v/>
      </c>
      <c r="LX23" s="402">
        <f>ConLoan!LX$32</f>
        <v/>
      </c>
      <c r="LY23" s="402">
        <f>ConLoan!LY$32</f>
        <v/>
      </c>
      <c r="LZ23" s="402">
        <f>ConLoan!LZ$32</f>
        <v/>
      </c>
      <c r="MA23" s="402">
        <f>ConLoan!MA$32</f>
        <v/>
      </c>
      <c r="MB23" s="402">
        <f>ConLoan!MB$32</f>
        <v/>
      </c>
      <c r="MC23" s="402">
        <f>ConLoan!MC$32</f>
        <v/>
      </c>
      <c r="MD23" s="402">
        <f>ConLoan!MD$32</f>
        <v/>
      </c>
      <c r="ME23" s="402">
        <f>ConLoan!ME$32</f>
        <v/>
      </c>
      <c r="MF23" s="402">
        <f>ConLoan!MF$32</f>
        <v/>
      </c>
      <c r="MG23" s="402">
        <f>ConLoan!MG$32</f>
        <v/>
      </c>
      <c r="MH23" s="402">
        <f>ConLoan!MH$32</f>
        <v/>
      </c>
      <c r="MI23" s="402">
        <f>ConLoan!MI$32</f>
        <v/>
      </c>
      <c r="MJ23" s="402">
        <f>ConLoan!MJ$32</f>
        <v/>
      </c>
      <c r="MK23" s="402">
        <f>ConLoan!MK$32</f>
        <v/>
      </c>
      <c r="ML23" s="402">
        <f>ConLoan!ML$32</f>
        <v/>
      </c>
      <c r="MM23" s="402">
        <f>ConLoan!MM$32</f>
        <v/>
      </c>
      <c r="MN23" s="402">
        <f>ConLoan!MN$32</f>
        <v/>
      </c>
      <c r="MO23" s="402">
        <f>ConLoan!MO$32</f>
        <v/>
      </c>
      <c r="MP23" s="402">
        <f>ConLoan!MP$32</f>
        <v/>
      </c>
      <c r="MQ23" s="402">
        <f>ConLoan!MQ$32</f>
        <v/>
      </c>
      <c r="MR23" s="402">
        <f>ConLoan!MR$32</f>
        <v/>
      </c>
      <c r="MS23" s="402">
        <f>ConLoan!MS$32</f>
        <v/>
      </c>
      <c r="MT23" s="402">
        <f>ConLoan!MT$32</f>
        <v/>
      </c>
      <c r="MU23" s="402">
        <f>ConLoan!MU$32</f>
        <v/>
      </c>
      <c r="MV23" s="402">
        <f>ConLoan!MV$32</f>
        <v/>
      </c>
      <c r="MW23" s="402">
        <f>ConLoan!MW$32</f>
        <v/>
      </c>
      <c r="MX23" s="402">
        <f>ConLoan!MX$32</f>
        <v/>
      </c>
      <c r="MY23" s="402">
        <f>ConLoan!MY$32</f>
        <v/>
      </c>
      <c r="MZ23" s="402">
        <f>ConLoan!MZ$32</f>
        <v/>
      </c>
      <c r="NA23" s="402">
        <f>ConLoan!NA$32</f>
        <v/>
      </c>
      <c r="NB23" s="402">
        <f>ConLoan!NB$32</f>
        <v/>
      </c>
      <c r="NC23" s="402">
        <f>ConLoan!NC$32</f>
        <v/>
      </c>
      <c r="ND23" s="402">
        <f>ConLoan!ND$32</f>
        <v/>
      </c>
      <c r="NE23" s="402">
        <f>ConLoan!NE$32</f>
        <v/>
      </c>
      <c r="NF23" s="402">
        <f>ConLoan!NF$32</f>
        <v/>
      </c>
      <c r="NG23" s="402">
        <f>ConLoan!NG$32</f>
        <v/>
      </c>
      <c r="NH23" s="402">
        <f>ConLoan!NH$32</f>
        <v/>
      </c>
      <c r="NI23" s="402">
        <f>ConLoan!NI$32</f>
        <v/>
      </c>
      <c r="NJ23" s="402">
        <f>ConLoan!NJ$32</f>
        <v/>
      </c>
      <c r="NK23" s="402">
        <f>ConLoan!NK$32</f>
        <v/>
      </c>
      <c r="NL23" s="402">
        <f>ConLoan!NL$32</f>
        <v/>
      </c>
    </row>
    <row r="24">
      <c r="B24" s="316" t="inlineStr">
        <is>
          <t>Permanent Loan Balance (EOM)</t>
        </is>
      </c>
      <c r="D24" s="402">
        <f>INDEX(E24:NL24,HoldPeriodMonths)</f>
        <v/>
      </c>
      <c r="E24" s="402">
        <f>PermLoan!E$30</f>
        <v/>
      </c>
      <c r="F24" s="402">
        <f>PermLoan!F$30</f>
        <v/>
      </c>
      <c r="G24" s="402">
        <f>PermLoan!G$30</f>
        <v/>
      </c>
      <c r="H24" s="402">
        <f>PermLoan!H$30</f>
        <v/>
      </c>
      <c r="I24" s="402">
        <f>PermLoan!I$30</f>
        <v/>
      </c>
      <c r="J24" s="402">
        <f>PermLoan!J$30</f>
        <v/>
      </c>
      <c r="K24" s="402">
        <f>PermLoan!K$30</f>
        <v/>
      </c>
      <c r="L24" s="402">
        <f>PermLoan!L$30</f>
        <v/>
      </c>
      <c r="M24" s="402">
        <f>PermLoan!M$30</f>
        <v/>
      </c>
      <c r="N24" s="402">
        <f>PermLoan!N$30</f>
        <v/>
      </c>
      <c r="O24" s="402">
        <f>PermLoan!O$30</f>
        <v/>
      </c>
      <c r="P24" s="402">
        <f>PermLoan!P$30</f>
        <v/>
      </c>
      <c r="Q24" s="402">
        <f>PermLoan!Q$30</f>
        <v/>
      </c>
      <c r="R24" s="402">
        <f>PermLoan!R$30</f>
        <v/>
      </c>
      <c r="S24" s="402">
        <f>PermLoan!S$30</f>
        <v/>
      </c>
      <c r="T24" s="402">
        <f>PermLoan!T$30</f>
        <v/>
      </c>
      <c r="U24" s="402">
        <f>PermLoan!U$30</f>
        <v/>
      </c>
      <c r="V24" s="402">
        <f>PermLoan!V$30</f>
        <v/>
      </c>
      <c r="W24" s="402">
        <f>PermLoan!W$30</f>
        <v/>
      </c>
      <c r="X24" s="402">
        <f>PermLoan!X$30</f>
        <v/>
      </c>
      <c r="Y24" s="402">
        <f>PermLoan!Y$30</f>
        <v/>
      </c>
      <c r="Z24" s="402">
        <f>PermLoan!Z$30</f>
        <v/>
      </c>
      <c r="AA24" s="402">
        <f>PermLoan!AA$30</f>
        <v/>
      </c>
      <c r="AB24" s="402">
        <f>PermLoan!AB$30</f>
        <v/>
      </c>
      <c r="AC24" s="402">
        <f>PermLoan!AC$30</f>
        <v/>
      </c>
      <c r="AD24" s="402">
        <f>PermLoan!AD$30</f>
        <v/>
      </c>
      <c r="AE24" s="402">
        <f>PermLoan!AE$30</f>
        <v/>
      </c>
      <c r="AF24" s="402">
        <f>PermLoan!AF$30</f>
        <v/>
      </c>
      <c r="AG24" s="402">
        <f>PermLoan!AG$30</f>
        <v/>
      </c>
      <c r="AH24" s="402">
        <f>PermLoan!AH$30</f>
        <v/>
      </c>
      <c r="AI24" s="402">
        <f>PermLoan!AI$30</f>
        <v/>
      </c>
      <c r="AJ24" s="402">
        <f>PermLoan!AJ$30</f>
        <v/>
      </c>
      <c r="AK24" s="402">
        <f>PermLoan!AK$30</f>
        <v/>
      </c>
      <c r="AL24" s="402">
        <f>PermLoan!AL$30</f>
        <v/>
      </c>
      <c r="AM24" s="402">
        <f>PermLoan!AM$30</f>
        <v/>
      </c>
      <c r="AN24" s="402">
        <f>PermLoan!AN$30</f>
        <v/>
      </c>
      <c r="AO24" s="402">
        <f>PermLoan!AO$30</f>
        <v/>
      </c>
      <c r="AP24" s="402">
        <f>PermLoan!AP$30</f>
        <v/>
      </c>
      <c r="AQ24" s="402">
        <f>PermLoan!AQ$30</f>
        <v/>
      </c>
      <c r="AR24" s="402">
        <f>PermLoan!AR$30</f>
        <v/>
      </c>
      <c r="AS24" s="402">
        <f>PermLoan!AS$30</f>
        <v/>
      </c>
      <c r="AT24" s="402">
        <f>PermLoan!AT$30</f>
        <v/>
      </c>
      <c r="AU24" s="402">
        <f>PermLoan!AU$30</f>
        <v/>
      </c>
      <c r="AV24" s="402">
        <f>PermLoan!AV$30</f>
        <v/>
      </c>
      <c r="AW24" s="402">
        <f>PermLoan!AW$30</f>
        <v/>
      </c>
      <c r="AX24" s="402">
        <f>PermLoan!AX$30</f>
        <v/>
      </c>
      <c r="AY24" s="402">
        <f>PermLoan!AY$30</f>
        <v/>
      </c>
      <c r="AZ24" s="402">
        <f>PermLoan!AZ$30</f>
        <v/>
      </c>
      <c r="BA24" s="402">
        <f>PermLoan!BA$30</f>
        <v/>
      </c>
      <c r="BB24" s="402">
        <f>PermLoan!BB$30</f>
        <v/>
      </c>
      <c r="BC24" s="402">
        <f>PermLoan!BC$30</f>
        <v/>
      </c>
      <c r="BD24" s="402">
        <f>PermLoan!BD$30</f>
        <v/>
      </c>
      <c r="BE24" s="402">
        <f>PermLoan!BE$30</f>
        <v/>
      </c>
      <c r="BF24" s="402">
        <f>PermLoan!BF$30</f>
        <v/>
      </c>
      <c r="BG24" s="402">
        <f>PermLoan!BG$30</f>
        <v/>
      </c>
      <c r="BH24" s="402">
        <f>PermLoan!BH$30</f>
        <v/>
      </c>
      <c r="BI24" s="402">
        <f>PermLoan!BI$30</f>
        <v/>
      </c>
      <c r="BJ24" s="402">
        <f>PermLoan!BJ$30</f>
        <v/>
      </c>
      <c r="BK24" s="402">
        <f>PermLoan!BK$30</f>
        <v/>
      </c>
      <c r="BL24" s="402">
        <f>PermLoan!BL$30</f>
        <v/>
      </c>
      <c r="BM24" s="402">
        <f>PermLoan!BM$30</f>
        <v/>
      </c>
      <c r="BN24" s="402">
        <f>PermLoan!BN$30</f>
        <v/>
      </c>
      <c r="BO24" s="402">
        <f>PermLoan!BO$30</f>
        <v/>
      </c>
      <c r="BP24" s="402">
        <f>PermLoan!BP$30</f>
        <v/>
      </c>
      <c r="BQ24" s="402">
        <f>PermLoan!BQ$30</f>
        <v/>
      </c>
      <c r="BR24" s="402">
        <f>PermLoan!BR$30</f>
        <v/>
      </c>
      <c r="BS24" s="402">
        <f>PermLoan!BS$30</f>
        <v/>
      </c>
      <c r="BT24" s="402">
        <f>PermLoan!BT$30</f>
        <v/>
      </c>
      <c r="BU24" s="402">
        <f>PermLoan!BU$30</f>
        <v/>
      </c>
      <c r="BV24" s="402">
        <f>PermLoan!BV$30</f>
        <v/>
      </c>
      <c r="BW24" s="402">
        <f>PermLoan!BW$30</f>
        <v/>
      </c>
      <c r="BX24" s="402">
        <f>PermLoan!BX$30</f>
        <v/>
      </c>
      <c r="BY24" s="402">
        <f>PermLoan!BY$30</f>
        <v/>
      </c>
      <c r="BZ24" s="402">
        <f>PermLoan!BZ$30</f>
        <v/>
      </c>
      <c r="CA24" s="402">
        <f>PermLoan!CA$30</f>
        <v/>
      </c>
      <c r="CB24" s="402">
        <f>PermLoan!CB$30</f>
        <v/>
      </c>
      <c r="CC24" s="402">
        <f>PermLoan!CC$30</f>
        <v/>
      </c>
      <c r="CD24" s="402">
        <f>PermLoan!CD$30</f>
        <v/>
      </c>
      <c r="CE24" s="402">
        <f>PermLoan!CE$30</f>
        <v/>
      </c>
      <c r="CF24" s="402">
        <f>PermLoan!CF$30</f>
        <v/>
      </c>
      <c r="CG24" s="402">
        <f>PermLoan!CG$30</f>
        <v/>
      </c>
      <c r="CH24" s="402">
        <f>PermLoan!CH$30</f>
        <v/>
      </c>
      <c r="CI24" s="402">
        <f>PermLoan!CI$30</f>
        <v/>
      </c>
      <c r="CJ24" s="402">
        <f>PermLoan!CJ$30</f>
        <v/>
      </c>
      <c r="CK24" s="402">
        <f>PermLoan!CK$30</f>
        <v/>
      </c>
      <c r="CL24" s="402">
        <f>PermLoan!CL$30</f>
        <v/>
      </c>
      <c r="CM24" s="402">
        <f>PermLoan!CM$30</f>
        <v/>
      </c>
      <c r="CN24" s="402">
        <f>PermLoan!CN$30</f>
        <v/>
      </c>
      <c r="CO24" s="402">
        <f>PermLoan!CO$30</f>
        <v/>
      </c>
      <c r="CP24" s="402">
        <f>PermLoan!CP$30</f>
        <v/>
      </c>
      <c r="CQ24" s="402">
        <f>PermLoan!CQ$30</f>
        <v/>
      </c>
      <c r="CR24" s="402">
        <f>PermLoan!CR$30</f>
        <v/>
      </c>
      <c r="CS24" s="402">
        <f>PermLoan!CS$30</f>
        <v/>
      </c>
      <c r="CT24" s="402">
        <f>PermLoan!CT$30</f>
        <v/>
      </c>
      <c r="CU24" s="402">
        <f>PermLoan!CU$30</f>
        <v/>
      </c>
      <c r="CV24" s="402">
        <f>PermLoan!CV$30</f>
        <v/>
      </c>
      <c r="CW24" s="402">
        <f>PermLoan!CW$30</f>
        <v/>
      </c>
      <c r="CX24" s="402">
        <f>PermLoan!CX$30</f>
        <v/>
      </c>
      <c r="CY24" s="402">
        <f>PermLoan!CY$30</f>
        <v/>
      </c>
      <c r="CZ24" s="402">
        <f>PermLoan!CZ$30</f>
        <v/>
      </c>
      <c r="DA24" s="402">
        <f>PermLoan!DA$30</f>
        <v/>
      </c>
      <c r="DB24" s="402">
        <f>PermLoan!DB$30</f>
        <v/>
      </c>
      <c r="DC24" s="402">
        <f>PermLoan!DC$30</f>
        <v/>
      </c>
      <c r="DD24" s="402">
        <f>PermLoan!DD$30</f>
        <v/>
      </c>
      <c r="DE24" s="402">
        <f>PermLoan!DE$30</f>
        <v/>
      </c>
      <c r="DF24" s="402">
        <f>PermLoan!DF$30</f>
        <v/>
      </c>
      <c r="DG24" s="402">
        <f>PermLoan!DG$30</f>
        <v/>
      </c>
      <c r="DH24" s="402">
        <f>PermLoan!DH$30</f>
        <v/>
      </c>
      <c r="DI24" s="402">
        <f>PermLoan!DI$30</f>
        <v/>
      </c>
      <c r="DJ24" s="402">
        <f>PermLoan!DJ$30</f>
        <v/>
      </c>
      <c r="DK24" s="402">
        <f>PermLoan!DK$30</f>
        <v/>
      </c>
      <c r="DL24" s="402">
        <f>PermLoan!DL$30</f>
        <v/>
      </c>
      <c r="DM24" s="402">
        <f>PermLoan!DM$30</f>
        <v/>
      </c>
      <c r="DN24" s="402">
        <f>PermLoan!DN$30</f>
        <v/>
      </c>
      <c r="DO24" s="402">
        <f>PermLoan!DO$30</f>
        <v/>
      </c>
      <c r="DP24" s="402">
        <f>PermLoan!DP$30</f>
        <v/>
      </c>
      <c r="DQ24" s="402">
        <f>PermLoan!DQ$30</f>
        <v/>
      </c>
      <c r="DR24" s="402">
        <f>PermLoan!DR$30</f>
        <v/>
      </c>
      <c r="DS24" s="402">
        <f>PermLoan!DS$30</f>
        <v/>
      </c>
      <c r="DT24" s="402">
        <f>PermLoan!DT$30</f>
        <v/>
      </c>
      <c r="DU24" s="402">
        <f>PermLoan!DU$30</f>
        <v/>
      </c>
      <c r="DV24" s="402">
        <f>PermLoan!DV$30</f>
        <v/>
      </c>
      <c r="DW24" s="402">
        <f>PermLoan!DW$30</f>
        <v/>
      </c>
      <c r="DX24" s="402">
        <f>PermLoan!DX$30</f>
        <v/>
      </c>
      <c r="DY24" s="402">
        <f>PermLoan!DY$30</f>
        <v/>
      </c>
      <c r="DZ24" s="402">
        <f>PermLoan!DZ$30</f>
        <v/>
      </c>
      <c r="EA24" s="402">
        <f>PermLoan!EA$30</f>
        <v/>
      </c>
      <c r="EB24" s="402">
        <f>PermLoan!EB$30</f>
        <v/>
      </c>
      <c r="EC24" s="402">
        <f>PermLoan!EC$30</f>
        <v/>
      </c>
      <c r="ED24" s="402">
        <f>PermLoan!ED$30</f>
        <v/>
      </c>
      <c r="EE24" s="402">
        <f>PermLoan!EE$30</f>
        <v/>
      </c>
      <c r="EF24" s="402">
        <f>PermLoan!EF$30</f>
        <v/>
      </c>
      <c r="EG24" s="402">
        <f>PermLoan!EG$30</f>
        <v/>
      </c>
      <c r="EH24" s="402">
        <f>PermLoan!EH$30</f>
        <v/>
      </c>
      <c r="EI24" s="402">
        <f>PermLoan!EI$30</f>
        <v/>
      </c>
      <c r="EJ24" s="402">
        <f>PermLoan!EJ$30</f>
        <v/>
      </c>
      <c r="EK24" s="402">
        <f>PermLoan!EK$30</f>
        <v/>
      </c>
      <c r="EL24" s="402">
        <f>PermLoan!EL$30</f>
        <v/>
      </c>
      <c r="EM24" s="402">
        <f>PermLoan!EM$30</f>
        <v/>
      </c>
      <c r="EN24" s="402">
        <f>PermLoan!EN$30</f>
        <v/>
      </c>
      <c r="EO24" s="402">
        <f>PermLoan!EO$30</f>
        <v/>
      </c>
      <c r="EP24" s="402">
        <f>PermLoan!EP$30</f>
        <v/>
      </c>
      <c r="EQ24" s="402">
        <f>PermLoan!EQ$30</f>
        <v/>
      </c>
      <c r="ER24" s="402">
        <f>PermLoan!ER$30</f>
        <v/>
      </c>
      <c r="ES24" s="402">
        <f>PermLoan!ES$30</f>
        <v/>
      </c>
      <c r="ET24" s="402">
        <f>PermLoan!ET$30</f>
        <v/>
      </c>
      <c r="EU24" s="402">
        <f>PermLoan!EU$30</f>
        <v/>
      </c>
      <c r="EV24" s="402">
        <f>PermLoan!EV$30</f>
        <v/>
      </c>
      <c r="EW24" s="402">
        <f>PermLoan!EW$30</f>
        <v/>
      </c>
      <c r="EX24" s="402">
        <f>PermLoan!EX$30</f>
        <v/>
      </c>
      <c r="EY24" s="402">
        <f>PermLoan!EY$30</f>
        <v/>
      </c>
      <c r="EZ24" s="402">
        <f>PermLoan!EZ$30</f>
        <v/>
      </c>
      <c r="FA24" s="402">
        <f>PermLoan!FA$30</f>
        <v/>
      </c>
      <c r="FB24" s="402">
        <f>PermLoan!FB$30</f>
        <v/>
      </c>
      <c r="FC24" s="402">
        <f>PermLoan!FC$30</f>
        <v/>
      </c>
      <c r="FD24" s="402">
        <f>PermLoan!FD$30</f>
        <v/>
      </c>
      <c r="FE24" s="402">
        <f>PermLoan!FE$30</f>
        <v/>
      </c>
      <c r="FF24" s="402">
        <f>PermLoan!FF$30</f>
        <v/>
      </c>
      <c r="FG24" s="402">
        <f>PermLoan!FG$30</f>
        <v/>
      </c>
      <c r="FH24" s="402">
        <f>PermLoan!FH$30</f>
        <v/>
      </c>
      <c r="FI24" s="402">
        <f>PermLoan!FI$30</f>
        <v/>
      </c>
      <c r="FJ24" s="402">
        <f>PermLoan!FJ$30</f>
        <v/>
      </c>
      <c r="FK24" s="402">
        <f>PermLoan!FK$30</f>
        <v/>
      </c>
      <c r="FL24" s="402">
        <f>PermLoan!FL$30</f>
        <v/>
      </c>
      <c r="FM24" s="402">
        <f>PermLoan!FM$30</f>
        <v/>
      </c>
      <c r="FN24" s="402">
        <f>PermLoan!FN$30</f>
        <v/>
      </c>
      <c r="FO24" s="402">
        <f>PermLoan!FO$30</f>
        <v/>
      </c>
      <c r="FP24" s="402">
        <f>PermLoan!FP$30</f>
        <v/>
      </c>
      <c r="FQ24" s="402">
        <f>PermLoan!FQ$30</f>
        <v/>
      </c>
      <c r="FR24" s="402">
        <f>PermLoan!FR$30</f>
        <v/>
      </c>
      <c r="FS24" s="402">
        <f>PermLoan!FS$30</f>
        <v/>
      </c>
      <c r="FT24" s="402">
        <f>PermLoan!FT$30</f>
        <v/>
      </c>
      <c r="FU24" s="402">
        <f>PermLoan!FU$30</f>
        <v/>
      </c>
      <c r="FV24" s="402">
        <f>PermLoan!FV$30</f>
        <v/>
      </c>
      <c r="FW24" s="402">
        <f>PermLoan!FW$30</f>
        <v/>
      </c>
      <c r="FX24" s="402">
        <f>PermLoan!FX$30</f>
        <v/>
      </c>
      <c r="FY24" s="402">
        <f>PermLoan!FY$30</f>
        <v/>
      </c>
      <c r="FZ24" s="402">
        <f>PermLoan!FZ$30</f>
        <v/>
      </c>
      <c r="GA24" s="402">
        <f>PermLoan!GA$30</f>
        <v/>
      </c>
      <c r="GB24" s="402">
        <f>PermLoan!GB$30</f>
        <v/>
      </c>
      <c r="GC24" s="402">
        <f>PermLoan!GC$30</f>
        <v/>
      </c>
      <c r="GD24" s="402">
        <f>PermLoan!GD$30</f>
        <v/>
      </c>
      <c r="GE24" s="402">
        <f>PermLoan!GE$30</f>
        <v/>
      </c>
      <c r="GF24" s="402">
        <f>PermLoan!GF$30</f>
        <v/>
      </c>
      <c r="GG24" s="402">
        <f>PermLoan!GG$30</f>
        <v/>
      </c>
      <c r="GH24" s="402">
        <f>PermLoan!GH$30</f>
        <v/>
      </c>
      <c r="GI24" s="402">
        <f>PermLoan!GI$30</f>
        <v/>
      </c>
      <c r="GJ24" s="402">
        <f>PermLoan!GJ$30</f>
        <v/>
      </c>
      <c r="GK24" s="402">
        <f>PermLoan!GK$30</f>
        <v/>
      </c>
      <c r="GL24" s="402">
        <f>PermLoan!GL$30</f>
        <v/>
      </c>
      <c r="GM24" s="402">
        <f>PermLoan!GM$30</f>
        <v/>
      </c>
      <c r="GN24" s="402">
        <f>PermLoan!GN$30</f>
        <v/>
      </c>
      <c r="GO24" s="402">
        <f>PermLoan!GO$30</f>
        <v/>
      </c>
      <c r="GP24" s="402">
        <f>PermLoan!GP$30</f>
        <v/>
      </c>
      <c r="GQ24" s="402">
        <f>PermLoan!GQ$30</f>
        <v/>
      </c>
      <c r="GR24" s="402">
        <f>PermLoan!GR$30</f>
        <v/>
      </c>
      <c r="GS24" s="402">
        <f>PermLoan!GS$30</f>
        <v/>
      </c>
      <c r="GT24" s="402">
        <f>PermLoan!GT$30</f>
        <v/>
      </c>
      <c r="GU24" s="402">
        <f>PermLoan!GU$30</f>
        <v/>
      </c>
      <c r="GV24" s="402">
        <f>PermLoan!GV$30</f>
        <v/>
      </c>
      <c r="GW24" s="402">
        <f>PermLoan!GW$30</f>
        <v/>
      </c>
      <c r="GX24" s="402">
        <f>PermLoan!GX$30</f>
        <v/>
      </c>
      <c r="GY24" s="402">
        <f>PermLoan!GY$30</f>
        <v/>
      </c>
      <c r="GZ24" s="402">
        <f>PermLoan!GZ$30</f>
        <v/>
      </c>
      <c r="HA24" s="402">
        <f>PermLoan!HA$30</f>
        <v/>
      </c>
      <c r="HB24" s="402">
        <f>PermLoan!HB$30</f>
        <v/>
      </c>
      <c r="HC24" s="402">
        <f>PermLoan!HC$30</f>
        <v/>
      </c>
      <c r="HD24" s="402">
        <f>PermLoan!HD$30</f>
        <v/>
      </c>
      <c r="HE24" s="402">
        <f>PermLoan!HE$30</f>
        <v/>
      </c>
      <c r="HF24" s="402">
        <f>PermLoan!HF$30</f>
        <v/>
      </c>
      <c r="HG24" s="402">
        <f>PermLoan!HG$30</f>
        <v/>
      </c>
      <c r="HH24" s="402">
        <f>PermLoan!HH$30</f>
        <v/>
      </c>
      <c r="HI24" s="402">
        <f>PermLoan!HI$30</f>
        <v/>
      </c>
      <c r="HJ24" s="402">
        <f>PermLoan!HJ$30</f>
        <v/>
      </c>
      <c r="HK24" s="402">
        <f>PermLoan!HK$30</f>
        <v/>
      </c>
      <c r="HL24" s="402">
        <f>PermLoan!HL$30</f>
        <v/>
      </c>
      <c r="HM24" s="402">
        <f>PermLoan!HM$30</f>
        <v/>
      </c>
      <c r="HN24" s="402">
        <f>PermLoan!HN$30</f>
        <v/>
      </c>
      <c r="HO24" s="402">
        <f>PermLoan!HO$30</f>
        <v/>
      </c>
      <c r="HP24" s="402">
        <f>PermLoan!HP$30</f>
        <v/>
      </c>
      <c r="HQ24" s="402">
        <f>PermLoan!HQ$30</f>
        <v/>
      </c>
      <c r="HR24" s="402">
        <f>PermLoan!HR$30</f>
        <v/>
      </c>
      <c r="HS24" s="402">
        <f>PermLoan!HS$30</f>
        <v/>
      </c>
      <c r="HT24" s="402">
        <f>PermLoan!HT$30</f>
        <v/>
      </c>
      <c r="HU24" s="402">
        <f>PermLoan!HU$30</f>
        <v/>
      </c>
      <c r="HV24" s="402">
        <f>PermLoan!HV$30</f>
        <v/>
      </c>
      <c r="HW24" s="402">
        <f>PermLoan!HW$30</f>
        <v/>
      </c>
      <c r="HX24" s="402">
        <f>PermLoan!HX$30</f>
        <v/>
      </c>
      <c r="HY24" s="402">
        <f>PermLoan!HY$30</f>
        <v/>
      </c>
      <c r="HZ24" s="402">
        <f>PermLoan!HZ$30</f>
        <v/>
      </c>
      <c r="IA24" s="402">
        <f>PermLoan!IA$30</f>
        <v/>
      </c>
      <c r="IB24" s="402">
        <f>PermLoan!IB$30</f>
        <v/>
      </c>
      <c r="IC24" s="402">
        <f>PermLoan!IC$30</f>
        <v/>
      </c>
      <c r="ID24" s="402">
        <f>PermLoan!ID$30</f>
        <v/>
      </c>
      <c r="IE24" s="402">
        <f>PermLoan!IE$30</f>
        <v/>
      </c>
      <c r="IF24" s="402">
        <f>PermLoan!IF$30</f>
        <v/>
      </c>
      <c r="IG24" s="402">
        <f>PermLoan!IG$30</f>
        <v/>
      </c>
      <c r="IH24" s="402">
        <f>PermLoan!IH$30</f>
        <v/>
      </c>
      <c r="II24" s="402">
        <f>PermLoan!II$30</f>
        <v/>
      </c>
      <c r="IJ24" s="402">
        <f>PermLoan!IJ$30</f>
        <v/>
      </c>
      <c r="IK24" s="402">
        <f>PermLoan!IK$30</f>
        <v/>
      </c>
      <c r="IL24" s="402">
        <f>PermLoan!IL$30</f>
        <v/>
      </c>
      <c r="IM24" s="402">
        <f>PermLoan!IM$30</f>
        <v/>
      </c>
      <c r="IN24" s="402">
        <f>PermLoan!IN$30</f>
        <v/>
      </c>
      <c r="IO24" s="402">
        <f>PermLoan!IO$30</f>
        <v/>
      </c>
      <c r="IP24" s="402">
        <f>PermLoan!IP$30</f>
        <v/>
      </c>
      <c r="IQ24" s="402">
        <f>PermLoan!IQ$30</f>
        <v/>
      </c>
      <c r="IR24" s="402">
        <f>PermLoan!IR$30</f>
        <v/>
      </c>
      <c r="IS24" s="402">
        <f>PermLoan!IS$30</f>
        <v/>
      </c>
      <c r="IT24" s="402">
        <f>PermLoan!IT$30</f>
        <v/>
      </c>
      <c r="IU24" s="402">
        <f>PermLoan!IU$30</f>
        <v/>
      </c>
      <c r="IV24" s="402">
        <f>PermLoan!IV$30</f>
        <v/>
      </c>
      <c r="IW24" s="402">
        <f>PermLoan!IW$30</f>
        <v/>
      </c>
      <c r="IX24" s="402">
        <f>PermLoan!IX$30</f>
        <v/>
      </c>
      <c r="IY24" s="402">
        <f>PermLoan!IY$30</f>
        <v/>
      </c>
      <c r="IZ24" s="402">
        <f>PermLoan!IZ$30</f>
        <v/>
      </c>
      <c r="JA24" s="402">
        <f>PermLoan!JA$30</f>
        <v/>
      </c>
      <c r="JB24" s="402">
        <f>PermLoan!JB$30</f>
        <v/>
      </c>
      <c r="JC24" s="402">
        <f>PermLoan!JC$30</f>
        <v/>
      </c>
      <c r="JD24" s="402">
        <f>PermLoan!JD$30</f>
        <v/>
      </c>
      <c r="JE24" s="402">
        <f>PermLoan!JE$30</f>
        <v/>
      </c>
      <c r="JF24" s="402">
        <f>PermLoan!JF$30</f>
        <v/>
      </c>
      <c r="JG24" s="402">
        <f>PermLoan!JG$30</f>
        <v/>
      </c>
      <c r="JH24" s="402">
        <f>PermLoan!JH$30</f>
        <v/>
      </c>
      <c r="JI24" s="402">
        <f>PermLoan!JI$30</f>
        <v/>
      </c>
      <c r="JJ24" s="402">
        <f>PermLoan!JJ$30</f>
        <v/>
      </c>
      <c r="JK24" s="402">
        <f>PermLoan!JK$30</f>
        <v/>
      </c>
      <c r="JL24" s="402">
        <f>PermLoan!JL$30</f>
        <v/>
      </c>
      <c r="JM24" s="402">
        <f>PermLoan!JM$30</f>
        <v/>
      </c>
      <c r="JN24" s="402">
        <f>PermLoan!JN$30</f>
        <v/>
      </c>
      <c r="JO24" s="402">
        <f>PermLoan!JO$30</f>
        <v/>
      </c>
      <c r="JP24" s="402">
        <f>PermLoan!JP$30</f>
        <v/>
      </c>
      <c r="JQ24" s="402">
        <f>PermLoan!JQ$30</f>
        <v/>
      </c>
      <c r="JR24" s="402">
        <f>PermLoan!JR$30</f>
        <v/>
      </c>
      <c r="JS24" s="402">
        <f>PermLoan!JS$30</f>
        <v/>
      </c>
      <c r="JT24" s="402">
        <f>PermLoan!JT$30</f>
        <v/>
      </c>
      <c r="JU24" s="402">
        <f>PermLoan!JU$30</f>
        <v/>
      </c>
      <c r="JV24" s="402">
        <f>PermLoan!JV$30</f>
        <v/>
      </c>
      <c r="JW24" s="402">
        <f>PermLoan!JW$30</f>
        <v/>
      </c>
      <c r="JX24" s="402">
        <f>PermLoan!JX$30</f>
        <v/>
      </c>
      <c r="JY24" s="402">
        <f>PermLoan!JY$30</f>
        <v/>
      </c>
      <c r="JZ24" s="402">
        <f>PermLoan!JZ$30</f>
        <v/>
      </c>
      <c r="KA24" s="402">
        <f>PermLoan!KA$30</f>
        <v/>
      </c>
      <c r="KB24" s="402">
        <f>PermLoan!KB$30</f>
        <v/>
      </c>
      <c r="KC24" s="402">
        <f>PermLoan!KC$30</f>
        <v/>
      </c>
      <c r="KD24" s="402">
        <f>PermLoan!KD$30</f>
        <v/>
      </c>
      <c r="KE24" s="402">
        <f>PermLoan!KE$30</f>
        <v/>
      </c>
      <c r="KF24" s="402">
        <f>PermLoan!KF$30</f>
        <v/>
      </c>
      <c r="KG24" s="402">
        <f>PermLoan!KG$30</f>
        <v/>
      </c>
      <c r="KH24" s="402">
        <f>PermLoan!KH$30</f>
        <v/>
      </c>
      <c r="KI24" s="402">
        <f>PermLoan!KI$30</f>
        <v/>
      </c>
      <c r="KJ24" s="402">
        <f>PermLoan!KJ$30</f>
        <v/>
      </c>
      <c r="KK24" s="402">
        <f>PermLoan!KK$30</f>
        <v/>
      </c>
      <c r="KL24" s="402">
        <f>PermLoan!KL$30</f>
        <v/>
      </c>
      <c r="KM24" s="402">
        <f>PermLoan!KM$30</f>
        <v/>
      </c>
      <c r="KN24" s="402">
        <f>PermLoan!KN$30</f>
        <v/>
      </c>
      <c r="KO24" s="402">
        <f>PermLoan!KO$30</f>
        <v/>
      </c>
      <c r="KP24" s="402">
        <f>PermLoan!KP$30</f>
        <v/>
      </c>
      <c r="KQ24" s="402">
        <f>PermLoan!KQ$30</f>
        <v/>
      </c>
      <c r="KR24" s="402">
        <f>PermLoan!KR$30</f>
        <v/>
      </c>
      <c r="KS24" s="402">
        <f>PermLoan!KS$30</f>
        <v/>
      </c>
      <c r="KT24" s="402">
        <f>PermLoan!KT$30</f>
        <v/>
      </c>
      <c r="KU24" s="402">
        <f>PermLoan!KU$30</f>
        <v/>
      </c>
      <c r="KV24" s="402">
        <f>PermLoan!KV$30</f>
        <v/>
      </c>
      <c r="KW24" s="402">
        <f>PermLoan!KW$30</f>
        <v/>
      </c>
      <c r="KX24" s="402">
        <f>PermLoan!KX$30</f>
        <v/>
      </c>
      <c r="KY24" s="402">
        <f>PermLoan!KY$30</f>
        <v/>
      </c>
      <c r="KZ24" s="402">
        <f>PermLoan!KZ$30</f>
        <v/>
      </c>
      <c r="LA24" s="402">
        <f>PermLoan!LA$30</f>
        <v/>
      </c>
      <c r="LB24" s="402">
        <f>PermLoan!LB$30</f>
        <v/>
      </c>
      <c r="LC24" s="402">
        <f>PermLoan!LC$30</f>
        <v/>
      </c>
      <c r="LD24" s="402">
        <f>PermLoan!LD$30</f>
        <v/>
      </c>
      <c r="LE24" s="402">
        <f>PermLoan!LE$30</f>
        <v/>
      </c>
      <c r="LF24" s="402">
        <f>PermLoan!LF$30</f>
        <v/>
      </c>
      <c r="LG24" s="402">
        <f>PermLoan!LG$30</f>
        <v/>
      </c>
      <c r="LH24" s="402">
        <f>PermLoan!LH$30</f>
        <v/>
      </c>
      <c r="LI24" s="402">
        <f>PermLoan!LI$30</f>
        <v/>
      </c>
      <c r="LJ24" s="402">
        <f>PermLoan!LJ$30</f>
        <v/>
      </c>
      <c r="LK24" s="402">
        <f>PermLoan!LK$30</f>
        <v/>
      </c>
      <c r="LL24" s="402">
        <f>PermLoan!LL$30</f>
        <v/>
      </c>
      <c r="LM24" s="402">
        <f>PermLoan!LM$30</f>
        <v/>
      </c>
      <c r="LN24" s="402">
        <f>PermLoan!LN$30</f>
        <v/>
      </c>
      <c r="LO24" s="402">
        <f>PermLoan!LO$30</f>
        <v/>
      </c>
      <c r="LP24" s="402">
        <f>PermLoan!LP$30</f>
        <v/>
      </c>
      <c r="LQ24" s="402">
        <f>PermLoan!LQ$30</f>
        <v/>
      </c>
      <c r="LR24" s="402">
        <f>PermLoan!LR$30</f>
        <v/>
      </c>
      <c r="LS24" s="402">
        <f>PermLoan!LS$30</f>
        <v/>
      </c>
      <c r="LT24" s="402">
        <f>PermLoan!LT$30</f>
        <v/>
      </c>
      <c r="LU24" s="402">
        <f>PermLoan!LU$30</f>
        <v/>
      </c>
      <c r="LV24" s="402">
        <f>PermLoan!LV$30</f>
        <v/>
      </c>
      <c r="LW24" s="402">
        <f>PermLoan!LW$30</f>
        <v/>
      </c>
      <c r="LX24" s="402">
        <f>PermLoan!LX$30</f>
        <v/>
      </c>
      <c r="LY24" s="402">
        <f>PermLoan!LY$30</f>
        <v/>
      </c>
      <c r="LZ24" s="402">
        <f>PermLoan!LZ$30</f>
        <v/>
      </c>
      <c r="MA24" s="402">
        <f>PermLoan!MA$30</f>
        <v/>
      </c>
      <c r="MB24" s="402">
        <f>PermLoan!MB$30</f>
        <v/>
      </c>
      <c r="MC24" s="402">
        <f>PermLoan!MC$30</f>
        <v/>
      </c>
      <c r="MD24" s="402">
        <f>PermLoan!MD$30</f>
        <v/>
      </c>
      <c r="ME24" s="402">
        <f>PermLoan!ME$30</f>
        <v/>
      </c>
      <c r="MF24" s="402">
        <f>PermLoan!MF$30</f>
        <v/>
      </c>
      <c r="MG24" s="402">
        <f>PermLoan!MG$30</f>
        <v/>
      </c>
      <c r="MH24" s="402">
        <f>PermLoan!MH$30</f>
        <v/>
      </c>
      <c r="MI24" s="402">
        <f>PermLoan!MI$30</f>
        <v/>
      </c>
      <c r="MJ24" s="402">
        <f>PermLoan!MJ$30</f>
        <v/>
      </c>
      <c r="MK24" s="402">
        <f>PermLoan!MK$30</f>
        <v/>
      </c>
      <c r="ML24" s="402">
        <f>PermLoan!ML$30</f>
        <v/>
      </c>
      <c r="MM24" s="402">
        <f>PermLoan!MM$30</f>
        <v/>
      </c>
      <c r="MN24" s="402">
        <f>PermLoan!MN$30</f>
        <v/>
      </c>
      <c r="MO24" s="402">
        <f>PermLoan!MO$30</f>
        <v/>
      </c>
      <c r="MP24" s="402">
        <f>PermLoan!MP$30</f>
        <v/>
      </c>
      <c r="MQ24" s="402">
        <f>PermLoan!MQ$30</f>
        <v/>
      </c>
      <c r="MR24" s="402">
        <f>PermLoan!MR$30</f>
        <v/>
      </c>
      <c r="MS24" s="402">
        <f>PermLoan!MS$30</f>
        <v/>
      </c>
      <c r="MT24" s="402">
        <f>PermLoan!MT$30</f>
        <v/>
      </c>
      <c r="MU24" s="402">
        <f>PermLoan!MU$30</f>
        <v/>
      </c>
      <c r="MV24" s="402">
        <f>PermLoan!MV$30</f>
        <v/>
      </c>
      <c r="MW24" s="402">
        <f>PermLoan!MW$30</f>
        <v/>
      </c>
      <c r="MX24" s="402">
        <f>PermLoan!MX$30</f>
        <v/>
      </c>
      <c r="MY24" s="402">
        <f>PermLoan!MY$30</f>
        <v/>
      </c>
      <c r="MZ24" s="402">
        <f>PermLoan!MZ$30</f>
        <v/>
      </c>
      <c r="NA24" s="402">
        <f>PermLoan!NA$30</f>
        <v/>
      </c>
      <c r="NB24" s="402">
        <f>PermLoan!NB$30</f>
        <v/>
      </c>
      <c r="NC24" s="402">
        <f>PermLoan!NC$30</f>
        <v/>
      </c>
      <c r="ND24" s="402">
        <f>PermLoan!ND$30</f>
        <v/>
      </c>
      <c r="NE24" s="402">
        <f>PermLoan!NE$30</f>
        <v/>
      </c>
      <c r="NF24" s="402">
        <f>PermLoan!NF$30</f>
        <v/>
      </c>
      <c r="NG24" s="402">
        <f>PermLoan!NG$30</f>
        <v/>
      </c>
      <c r="NH24" s="402">
        <f>PermLoan!NH$30</f>
        <v/>
      </c>
      <c r="NI24" s="402">
        <f>PermLoan!NI$30</f>
        <v/>
      </c>
      <c r="NJ24" s="402">
        <f>PermLoan!NJ$30</f>
        <v/>
      </c>
      <c r="NK24" s="402">
        <f>PermLoan!NK$30</f>
        <v/>
      </c>
      <c r="NL24" s="402">
        <f>PermLoan!NL$30</f>
        <v/>
      </c>
    </row>
    <row r="25">
      <c r="B25" s="316" t="inlineStr">
        <is>
          <t>Interest Reserve Balance (EOM)</t>
        </is>
      </c>
      <c r="D25" s="402">
        <f>INDEX(E25:NL25,HoldPeriodMonths)</f>
        <v/>
      </c>
      <c r="E25" s="402">
        <f>ConLoan!E$51</f>
        <v/>
      </c>
      <c r="F25" s="402">
        <f>ConLoan!F$51</f>
        <v/>
      </c>
      <c r="G25" s="402">
        <f>ConLoan!G$51</f>
        <v/>
      </c>
      <c r="H25" s="402">
        <f>ConLoan!H$51</f>
        <v/>
      </c>
      <c r="I25" s="402">
        <f>ConLoan!I$51</f>
        <v/>
      </c>
      <c r="J25" s="402">
        <f>ConLoan!J$51</f>
        <v/>
      </c>
      <c r="K25" s="402">
        <f>ConLoan!K$51</f>
        <v/>
      </c>
      <c r="L25" s="402">
        <f>ConLoan!L$51</f>
        <v/>
      </c>
      <c r="M25" s="402">
        <f>ConLoan!M$51</f>
        <v/>
      </c>
      <c r="N25" s="402">
        <f>ConLoan!N$51</f>
        <v/>
      </c>
      <c r="O25" s="402">
        <f>ConLoan!O$51</f>
        <v/>
      </c>
      <c r="P25" s="402">
        <f>ConLoan!P$51</f>
        <v/>
      </c>
      <c r="Q25" s="402">
        <f>ConLoan!Q$51</f>
        <v/>
      </c>
      <c r="R25" s="402">
        <f>ConLoan!R$51</f>
        <v/>
      </c>
      <c r="S25" s="402">
        <f>ConLoan!S$51</f>
        <v/>
      </c>
      <c r="T25" s="402">
        <f>ConLoan!T$51</f>
        <v/>
      </c>
      <c r="U25" s="402">
        <f>ConLoan!U$51</f>
        <v/>
      </c>
      <c r="V25" s="402">
        <f>ConLoan!V$51</f>
        <v/>
      </c>
      <c r="W25" s="402">
        <f>ConLoan!W$51</f>
        <v/>
      </c>
      <c r="X25" s="402">
        <f>ConLoan!X$51</f>
        <v/>
      </c>
      <c r="Y25" s="402">
        <f>ConLoan!Y$51</f>
        <v/>
      </c>
      <c r="Z25" s="402">
        <f>ConLoan!Z$51</f>
        <v/>
      </c>
      <c r="AA25" s="402">
        <f>ConLoan!AA$51</f>
        <v/>
      </c>
      <c r="AB25" s="402">
        <f>ConLoan!AB$51</f>
        <v/>
      </c>
      <c r="AC25" s="402">
        <f>ConLoan!AC$51</f>
        <v/>
      </c>
      <c r="AD25" s="402">
        <f>ConLoan!AD$51</f>
        <v/>
      </c>
      <c r="AE25" s="402">
        <f>ConLoan!AE$51</f>
        <v/>
      </c>
      <c r="AF25" s="402">
        <f>ConLoan!AF$51</f>
        <v/>
      </c>
      <c r="AG25" s="402">
        <f>ConLoan!AG$51</f>
        <v/>
      </c>
      <c r="AH25" s="402">
        <f>ConLoan!AH$51</f>
        <v/>
      </c>
      <c r="AI25" s="402">
        <f>ConLoan!AI$51</f>
        <v/>
      </c>
      <c r="AJ25" s="402">
        <f>ConLoan!AJ$51</f>
        <v/>
      </c>
      <c r="AK25" s="402">
        <f>ConLoan!AK$51</f>
        <v/>
      </c>
      <c r="AL25" s="402">
        <f>ConLoan!AL$51</f>
        <v/>
      </c>
      <c r="AM25" s="402">
        <f>ConLoan!AM$51</f>
        <v/>
      </c>
      <c r="AN25" s="402">
        <f>ConLoan!AN$51</f>
        <v/>
      </c>
      <c r="AO25" s="402">
        <f>ConLoan!AO$51</f>
        <v/>
      </c>
      <c r="AP25" s="402">
        <f>ConLoan!AP$51</f>
        <v/>
      </c>
      <c r="AQ25" s="402">
        <f>ConLoan!AQ$51</f>
        <v/>
      </c>
      <c r="AR25" s="402">
        <f>ConLoan!AR$51</f>
        <v/>
      </c>
      <c r="AS25" s="402">
        <f>ConLoan!AS$51</f>
        <v/>
      </c>
      <c r="AT25" s="402">
        <f>ConLoan!AT$51</f>
        <v/>
      </c>
      <c r="AU25" s="402">
        <f>ConLoan!AU$51</f>
        <v/>
      </c>
      <c r="AV25" s="402">
        <f>ConLoan!AV$51</f>
        <v/>
      </c>
      <c r="AW25" s="402">
        <f>ConLoan!AW$51</f>
        <v/>
      </c>
      <c r="AX25" s="402">
        <f>ConLoan!AX$51</f>
        <v/>
      </c>
      <c r="AY25" s="402">
        <f>ConLoan!AY$51</f>
        <v/>
      </c>
      <c r="AZ25" s="402">
        <f>ConLoan!AZ$51</f>
        <v/>
      </c>
      <c r="BA25" s="402">
        <f>ConLoan!BA$51</f>
        <v/>
      </c>
      <c r="BB25" s="402">
        <f>ConLoan!BB$51</f>
        <v/>
      </c>
      <c r="BC25" s="402">
        <f>ConLoan!BC$51</f>
        <v/>
      </c>
      <c r="BD25" s="402">
        <f>ConLoan!BD$51</f>
        <v/>
      </c>
      <c r="BE25" s="402">
        <f>ConLoan!BE$51</f>
        <v/>
      </c>
      <c r="BF25" s="402">
        <f>ConLoan!BF$51</f>
        <v/>
      </c>
      <c r="BG25" s="402">
        <f>ConLoan!BG$51</f>
        <v/>
      </c>
      <c r="BH25" s="402">
        <f>ConLoan!BH$51</f>
        <v/>
      </c>
      <c r="BI25" s="402">
        <f>ConLoan!BI$51</f>
        <v/>
      </c>
      <c r="BJ25" s="402">
        <f>ConLoan!BJ$51</f>
        <v/>
      </c>
      <c r="BK25" s="402">
        <f>ConLoan!BK$51</f>
        <v/>
      </c>
      <c r="BL25" s="402">
        <f>ConLoan!BL$51</f>
        <v/>
      </c>
      <c r="BM25" s="402">
        <f>ConLoan!BM$51</f>
        <v/>
      </c>
      <c r="BN25" s="402">
        <f>ConLoan!BN$51</f>
        <v/>
      </c>
      <c r="BO25" s="402">
        <f>ConLoan!BO$51</f>
        <v/>
      </c>
      <c r="BP25" s="402">
        <f>ConLoan!BP$51</f>
        <v/>
      </c>
      <c r="BQ25" s="402">
        <f>ConLoan!BQ$51</f>
        <v/>
      </c>
      <c r="BR25" s="402">
        <f>ConLoan!BR$51</f>
        <v/>
      </c>
      <c r="BS25" s="402">
        <f>ConLoan!BS$51</f>
        <v/>
      </c>
      <c r="BT25" s="402">
        <f>ConLoan!BT$51</f>
        <v/>
      </c>
      <c r="BU25" s="402">
        <f>ConLoan!BU$51</f>
        <v/>
      </c>
      <c r="BV25" s="402">
        <f>ConLoan!BV$51</f>
        <v/>
      </c>
      <c r="BW25" s="402">
        <f>ConLoan!BW$51</f>
        <v/>
      </c>
      <c r="BX25" s="402">
        <f>ConLoan!BX$51</f>
        <v/>
      </c>
      <c r="BY25" s="402">
        <f>ConLoan!BY$51</f>
        <v/>
      </c>
      <c r="BZ25" s="402">
        <f>ConLoan!BZ$51</f>
        <v/>
      </c>
      <c r="CA25" s="402">
        <f>ConLoan!CA$51</f>
        <v/>
      </c>
      <c r="CB25" s="402">
        <f>ConLoan!CB$51</f>
        <v/>
      </c>
      <c r="CC25" s="402">
        <f>ConLoan!CC$51</f>
        <v/>
      </c>
      <c r="CD25" s="402">
        <f>ConLoan!CD$51</f>
        <v/>
      </c>
      <c r="CE25" s="402">
        <f>ConLoan!CE$51</f>
        <v/>
      </c>
      <c r="CF25" s="402">
        <f>ConLoan!CF$51</f>
        <v/>
      </c>
      <c r="CG25" s="402">
        <f>ConLoan!CG$51</f>
        <v/>
      </c>
      <c r="CH25" s="402">
        <f>ConLoan!CH$51</f>
        <v/>
      </c>
      <c r="CI25" s="402">
        <f>ConLoan!CI$51</f>
        <v/>
      </c>
      <c r="CJ25" s="402">
        <f>ConLoan!CJ$51</f>
        <v/>
      </c>
      <c r="CK25" s="402">
        <f>ConLoan!CK$51</f>
        <v/>
      </c>
      <c r="CL25" s="402">
        <f>ConLoan!CL$51</f>
        <v/>
      </c>
      <c r="CM25" s="402">
        <f>ConLoan!CM$51</f>
        <v/>
      </c>
      <c r="CN25" s="402">
        <f>ConLoan!CN$51</f>
        <v/>
      </c>
      <c r="CO25" s="402">
        <f>ConLoan!CO$51</f>
        <v/>
      </c>
      <c r="CP25" s="402">
        <f>ConLoan!CP$51</f>
        <v/>
      </c>
      <c r="CQ25" s="402">
        <f>ConLoan!CQ$51</f>
        <v/>
      </c>
      <c r="CR25" s="402">
        <f>ConLoan!CR$51</f>
        <v/>
      </c>
      <c r="CS25" s="402">
        <f>ConLoan!CS$51</f>
        <v/>
      </c>
      <c r="CT25" s="402">
        <f>ConLoan!CT$51</f>
        <v/>
      </c>
      <c r="CU25" s="402">
        <f>ConLoan!CU$51</f>
        <v/>
      </c>
      <c r="CV25" s="402">
        <f>ConLoan!CV$51</f>
        <v/>
      </c>
      <c r="CW25" s="402">
        <f>ConLoan!CW$51</f>
        <v/>
      </c>
      <c r="CX25" s="402">
        <f>ConLoan!CX$51</f>
        <v/>
      </c>
      <c r="CY25" s="402">
        <f>ConLoan!CY$51</f>
        <v/>
      </c>
      <c r="CZ25" s="402">
        <f>ConLoan!CZ$51</f>
        <v/>
      </c>
      <c r="DA25" s="402">
        <f>ConLoan!DA$51</f>
        <v/>
      </c>
      <c r="DB25" s="402">
        <f>ConLoan!DB$51</f>
        <v/>
      </c>
      <c r="DC25" s="402">
        <f>ConLoan!DC$51</f>
        <v/>
      </c>
      <c r="DD25" s="402">
        <f>ConLoan!DD$51</f>
        <v/>
      </c>
      <c r="DE25" s="402">
        <f>ConLoan!DE$51</f>
        <v/>
      </c>
      <c r="DF25" s="402">
        <f>ConLoan!DF$51</f>
        <v/>
      </c>
      <c r="DG25" s="402">
        <f>ConLoan!DG$51</f>
        <v/>
      </c>
      <c r="DH25" s="402">
        <f>ConLoan!DH$51</f>
        <v/>
      </c>
      <c r="DI25" s="402">
        <f>ConLoan!DI$51</f>
        <v/>
      </c>
      <c r="DJ25" s="402">
        <f>ConLoan!DJ$51</f>
        <v/>
      </c>
      <c r="DK25" s="402">
        <f>ConLoan!DK$51</f>
        <v/>
      </c>
      <c r="DL25" s="402">
        <f>ConLoan!DL$51</f>
        <v/>
      </c>
      <c r="DM25" s="402">
        <f>ConLoan!DM$51</f>
        <v/>
      </c>
      <c r="DN25" s="402">
        <f>ConLoan!DN$51</f>
        <v/>
      </c>
      <c r="DO25" s="402">
        <f>ConLoan!DO$51</f>
        <v/>
      </c>
      <c r="DP25" s="402">
        <f>ConLoan!DP$51</f>
        <v/>
      </c>
      <c r="DQ25" s="402">
        <f>ConLoan!DQ$51</f>
        <v/>
      </c>
      <c r="DR25" s="402">
        <f>ConLoan!DR$51</f>
        <v/>
      </c>
      <c r="DS25" s="402">
        <f>ConLoan!DS$51</f>
        <v/>
      </c>
      <c r="DT25" s="402">
        <f>ConLoan!DT$51</f>
        <v/>
      </c>
      <c r="DU25" s="402">
        <f>ConLoan!DU$51</f>
        <v/>
      </c>
      <c r="DV25" s="402">
        <f>ConLoan!DV$51</f>
        <v/>
      </c>
      <c r="DW25" s="402">
        <f>ConLoan!DW$51</f>
        <v/>
      </c>
      <c r="DX25" s="402">
        <f>ConLoan!DX$51</f>
        <v/>
      </c>
      <c r="DY25" s="402">
        <f>ConLoan!DY$51</f>
        <v/>
      </c>
      <c r="DZ25" s="402">
        <f>ConLoan!DZ$51</f>
        <v/>
      </c>
      <c r="EA25" s="402">
        <f>ConLoan!EA$51</f>
        <v/>
      </c>
      <c r="EB25" s="402">
        <f>ConLoan!EB$51</f>
        <v/>
      </c>
      <c r="EC25" s="402">
        <f>ConLoan!EC$51</f>
        <v/>
      </c>
      <c r="ED25" s="402">
        <f>ConLoan!ED$51</f>
        <v/>
      </c>
      <c r="EE25" s="402">
        <f>ConLoan!EE$51</f>
        <v/>
      </c>
      <c r="EF25" s="402">
        <f>ConLoan!EF$51</f>
        <v/>
      </c>
      <c r="EG25" s="402">
        <f>ConLoan!EG$51</f>
        <v/>
      </c>
      <c r="EH25" s="402">
        <f>ConLoan!EH$51</f>
        <v/>
      </c>
      <c r="EI25" s="402">
        <f>ConLoan!EI$51</f>
        <v/>
      </c>
      <c r="EJ25" s="402">
        <f>ConLoan!EJ$51</f>
        <v/>
      </c>
      <c r="EK25" s="402">
        <f>ConLoan!EK$51</f>
        <v/>
      </c>
      <c r="EL25" s="402">
        <f>ConLoan!EL$51</f>
        <v/>
      </c>
      <c r="EM25" s="402">
        <f>ConLoan!EM$51</f>
        <v/>
      </c>
      <c r="EN25" s="402">
        <f>ConLoan!EN$51</f>
        <v/>
      </c>
      <c r="EO25" s="402">
        <f>ConLoan!EO$51</f>
        <v/>
      </c>
      <c r="EP25" s="402">
        <f>ConLoan!EP$51</f>
        <v/>
      </c>
      <c r="EQ25" s="402">
        <f>ConLoan!EQ$51</f>
        <v/>
      </c>
      <c r="ER25" s="402">
        <f>ConLoan!ER$51</f>
        <v/>
      </c>
      <c r="ES25" s="402">
        <f>ConLoan!ES$51</f>
        <v/>
      </c>
      <c r="ET25" s="402">
        <f>ConLoan!ET$51</f>
        <v/>
      </c>
      <c r="EU25" s="402">
        <f>ConLoan!EU$51</f>
        <v/>
      </c>
      <c r="EV25" s="402">
        <f>ConLoan!EV$51</f>
        <v/>
      </c>
      <c r="EW25" s="402">
        <f>ConLoan!EW$51</f>
        <v/>
      </c>
      <c r="EX25" s="402">
        <f>ConLoan!EX$51</f>
        <v/>
      </c>
      <c r="EY25" s="402">
        <f>ConLoan!EY$51</f>
        <v/>
      </c>
      <c r="EZ25" s="402">
        <f>ConLoan!EZ$51</f>
        <v/>
      </c>
      <c r="FA25" s="402">
        <f>ConLoan!FA$51</f>
        <v/>
      </c>
      <c r="FB25" s="402">
        <f>ConLoan!FB$51</f>
        <v/>
      </c>
      <c r="FC25" s="402">
        <f>ConLoan!FC$51</f>
        <v/>
      </c>
      <c r="FD25" s="402">
        <f>ConLoan!FD$51</f>
        <v/>
      </c>
      <c r="FE25" s="402">
        <f>ConLoan!FE$51</f>
        <v/>
      </c>
      <c r="FF25" s="402">
        <f>ConLoan!FF$51</f>
        <v/>
      </c>
      <c r="FG25" s="402">
        <f>ConLoan!FG$51</f>
        <v/>
      </c>
      <c r="FH25" s="402">
        <f>ConLoan!FH$51</f>
        <v/>
      </c>
      <c r="FI25" s="402">
        <f>ConLoan!FI$51</f>
        <v/>
      </c>
      <c r="FJ25" s="402">
        <f>ConLoan!FJ$51</f>
        <v/>
      </c>
      <c r="FK25" s="402">
        <f>ConLoan!FK$51</f>
        <v/>
      </c>
      <c r="FL25" s="402">
        <f>ConLoan!FL$51</f>
        <v/>
      </c>
      <c r="FM25" s="402">
        <f>ConLoan!FM$51</f>
        <v/>
      </c>
      <c r="FN25" s="402">
        <f>ConLoan!FN$51</f>
        <v/>
      </c>
      <c r="FO25" s="402">
        <f>ConLoan!FO$51</f>
        <v/>
      </c>
      <c r="FP25" s="402">
        <f>ConLoan!FP$51</f>
        <v/>
      </c>
      <c r="FQ25" s="402">
        <f>ConLoan!FQ$51</f>
        <v/>
      </c>
      <c r="FR25" s="402">
        <f>ConLoan!FR$51</f>
        <v/>
      </c>
      <c r="FS25" s="402">
        <f>ConLoan!FS$51</f>
        <v/>
      </c>
      <c r="FT25" s="402">
        <f>ConLoan!FT$51</f>
        <v/>
      </c>
      <c r="FU25" s="402">
        <f>ConLoan!FU$51</f>
        <v/>
      </c>
      <c r="FV25" s="402">
        <f>ConLoan!FV$51</f>
        <v/>
      </c>
      <c r="FW25" s="402">
        <f>ConLoan!FW$51</f>
        <v/>
      </c>
      <c r="FX25" s="402">
        <f>ConLoan!FX$51</f>
        <v/>
      </c>
      <c r="FY25" s="402">
        <f>ConLoan!FY$51</f>
        <v/>
      </c>
      <c r="FZ25" s="402">
        <f>ConLoan!FZ$51</f>
        <v/>
      </c>
      <c r="GA25" s="402">
        <f>ConLoan!GA$51</f>
        <v/>
      </c>
      <c r="GB25" s="402">
        <f>ConLoan!GB$51</f>
        <v/>
      </c>
      <c r="GC25" s="402">
        <f>ConLoan!GC$51</f>
        <v/>
      </c>
      <c r="GD25" s="402">
        <f>ConLoan!GD$51</f>
        <v/>
      </c>
      <c r="GE25" s="402">
        <f>ConLoan!GE$51</f>
        <v/>
      </c>
      <c r="GF25" s="402">
        <f>ConLoan!GF$51</f>
        <v/>
      </c>
      <c r="GG25" s="402">
        <f>ConLoan!GG$51</f>
        <v/>
      </c>
      <c r="GH25" s="402">
        <f>ConLoan!GH$51</f>
        <v/>
      </c>
      <c r="GI25" s="402">
        <f>ConLoan!GI$51</f>
        <v/>
      </c>
      <c r="GJ25" s="402">
        <f>ConLoan!GJ$51</f>
        <v/>
      </c>
      <c r="GK25" s="402">
        <f>ConLoan!GK$51</f>
        <v/>
      </c>
      <c r="GL25" s="402">
        <f>ConLoan!GL$51</f>
        <v/>
      </c>
      <c r="GM25" s="402">
        <f>ConLoan!GM$51</f>
        <v/>
      </c>
      <c r="GN25" s="402">
        <f>ConLoan!GN$51</f>
        <v/>
      </c>
      <c r="GO25" s="402">
        <f>ConLoan!GO$51</f>
        <v/>
      </c>
      <c r="GP25" s="402">
        <f>ConLoan!GP$51</f>
        <v/>
      </c>
      <c r="GQ25" s="402">
        <f>ConLoan!GQ$51</f>
        <v/>
      </c>
      <c r="GR25" s="402">
        <f>ConLoan!GR$51</f>
        <v/>
      </c>
      <c r="GS25" s="402">
        <f>ConLoan!GS$51</f>
        <v/>
      </c>
      <c r="GT25" s="402">
        <f>ConLoan!GT$51</f>
        <v/>
      </c>
      <c r="GU25" s="402">
        <f>ConLoan!GU$51</f>
        <v/>
      </c>
      <c r="GV25" s="402">
        <f>ConLoan!GV$51</f>
        <v/>
      </c>
      <c r="GW25" s="402">
        <f>ConLoan!GW$51</f>
        <v/>
      </c>
      <c r="GX25" s="402">
        <f>ConLoan!GX$51</f>
        <v/>
      </c>
      <c r="GY25" s="402">
        <f>ConLoan!GY$51</f>
        <v/>
      </c>
      <c r="GZ25" s="402">
        <f>ConLoan!GZ$51</f>
        <v/>
      </c>
      <c r="HA25" s="402">
        <f>ConLoan!HA$51</f>
        <v/>
      </c>
      <c r="HB25" s="402">
        <f>ConLoan!HB$51</f>
        <v/>
      </c>
      <c r="HC25" s="402">
        <f>ConLoan!HC$51</f>
        <v/>
      </c>
      <c r="HD25" s="402">
        <f>ConLoan!HD$51</f>
        <v/>
      </c>
      <c r="HE25" s="402">
        <f>ConLoan!HE$51</f>
        <v/>
      </c>
      <c r="HF25" s="402">
        <f>ConLoan!HF$51</f>
        <v/>
      </c>
      <c r="HG25" s="402">
        <f>ConLoan!HG$51</f>
        <v/>
      </c>
      <c r="HH25" s="402">
        <f>ConLoan!HH$51</f>
        <v/>
      </c>
      <c r="HI25" s="402">
        <f>ConLoan!HI$51</f>
        <v/>
      </c>
      <c r="HJ25" s="402">
        <f>ConLoan!HJ$51</f>
        <v/>
      </c>
      <c r="HK25" s="402">
        <f>ConLoan!HK$51</f>
        <v/>
      </c>
      <c r="HL25" s="402">
        <f>ConLoan!HL$51</f>
        <v/>
      </c>
      <c r="HM25" s="402">
        <f>ConLoan!HM$51</f>
        <v/>
      </c>
      <c r="HN25" s="402">
        <f>ConLoan!HN$51</f>
        <v/>
      </c>
      <c r="HO25" s="402">
        <f>ConLoan!HO$51</f>
        <v/>
      </c>
      <c r="HP25" s="402">
        <f>ConLoan!HP$51</f>
        <v/>
      </c>
      <c r="HQ25" s="402">
        <f>ConLoan!HQ$51</f>
        <v/>
      </c>
      <c r="HR25" s="402">
        <f>ConLoan!HR$51</f>
        <v/>
      </c>
      <c r="HS25" s="402">
        <f>ConLoan!HS$51</f>
        <v/>
      </c>
      <c r="HT25" s="402">
        <f>ConLoan!HT$51</f>
        <v/>
      </c>
      <c r="HU25" s="402">
        <f>ConLoan!HU$51</f>
        <v/>
      </c>
      <c r="HV25" s="402">
        <f>ConLoan!HV$51</f>
        <v/>
      </c>
      <c r="HW25" s="402">
        <f>ConLoan!HW$51</f>
        <v/>
      </c>
      <c r="HX25" s="402">
        <f>ConLoan!HX$51</f>
        <v/>
      </c>
      <c r="HY25" s="402">
        <f>ConLoan!HY$51</f>
        <v/>
      </c>
      <c r="HZ25" s="402">
        <f>ConLoan!HZ$51</f>
        <v/>
      </c>
      <c r="IA25" s="402">
        <f>ConLoan!IA$51</f>
        <v/>
      </c>
      <c r="IB25" s="402">
        <f>ConLoan!IB$51</f>
        <v/>
      </c>
      <c r="IC25" s="402">
        <f>ConLoan!IC$51</f>
        <v/>
      </c>
      <c r="ID25" s="402">
        <f>ConLoan!ID$51</f>
        <v/>
      </c>
      <c r="IE25" s="402">
        <f>ConLoan!IE$51</f>
        <v/>
      </c>
      <c r="IF25" s="402">
        <f>ConLoan!IF$51</f>
        <v/>
      </c>
      <c r="IG25" s="402">
        <f>ConLoan!IG$51</f>
        <v/>
      </c>
      <c r="IH25" s="402">
        <f>ConLoan!IH$51</f>
        <v/>
      </c>
      <c r="II25" s="402">
        <f>ConLoan!II$51</f>
        <v/>
      </c>
      <c r="IJ25" s="402">
        <f>ConLoan!IJ$51</f>
        <v/>
      </c>
      <c r="IK25" s="402">
        <f>ConLoan!IK$51</f>
        <v/>
      </c>
      <c r="IL25" s="402">
        <f>ConLoan!IL$51</f>
        <v/>
      </c>
      <c r="IM25" s="402">
        <f>ConLoan!IM$51</f>
        <v/>
      </c>
      <c r="IN25" s="402">
        <f>ConLoan!IN$51</f>
        <v/>
      </c>
      <c r="IO25" s="402">
        <f>ConLoan!IO$51</f>
        <v/>
      </c>
      <c r="IP25" s="402">
        <f>ConLoan!IP$51</f>
        <v/>
      </c>
      <c r="IQ25" s="402">
        <f>ConLoan!IQ$51</f>
        <v/>
      </c>
      <c r="IR25" s="402">
        <f>ConLoan!IR$51</f>
        <v/>
      </c>
      <c r="IS25" s="402">
        <f>ConLoan!IS$51</f>
        <v/>
      </c>
      <c r="IT25" s="402">
        <f>ConLoan!IT$51</f>
        <v/>
      </c>
      <c r="IU25" s="402">
        <f>ConLoan!IU$51</f>
        <v/>
      </c>
      <c r="IV25" s="402">
        <f>ConLoan!IV$51</f>
        <v/>
      </c>
      <c r="IW25" s="402">
        <f>ConLoan!IW$51</f>
        <v/>
      </c>
      <c r="IX25" s="402">
        <f>ConLoan!IX$51</f>
        <v/>
      </c>
      <c r="IY25" s="402">
        <f>ConLoan!IY$51</f>
        <v/>
      </c>
      <c r="IZ25" s="402">
        <f>ConLoan!IZ$51</f>
        <v/>
      </c>
      <c r="JA25" s="402">
        <f>ConLoan!JA$51</f>
        <v/>
      </c>
      <c r="JB25" s="402">
        <f>ConLoan!JB$51</f>
        <v/>
      </c>
      <c r="JC25" s="402">
        <f>ConLoan!JC$51</f>
        <v/>
      </c>
      <c r="JD25" s="402">
        <f>ConLoan!JD$51</f>
        <v/>
      </c>
      <c r="JE25" s="402">
        <f>ConLoan!JE$51</f>
        <v/>
      </c>
      <c r="JF25" s="402">
        <f>ConLoan!JF$51</f>
        <v/>
      </c>
      <c r="JG25" s="402">
        <f>ConLoan!JG$51</f>
        <v/>
      </c>
      <c r="JH25" s="402">
        <f>ConLoan!JH$51</f>
        <v/>
      </c>
      <c r="JI25" s="402">
        <f>ConLoan!JI$51</f>
        <v/>
      </c>
      <c r="JJ25" s="402">
        <f>ConLoan!JJ$51</f>
        <v/>
      </c>
      <c r="JK25" s="402">
        <f>ConLoan!JK$51</f>
        <v/>
      </c>
      <c r="JL25" s="402">
        <f>ConLoan!JL$51</f>
        <v/>
      </c>
      <c r="JM25" s="402">
        <f>ConLoan!JM$51</f>
        <v/>
      </c>
      <c r="JN25" s="402">
        <f>ConLoan!JN$51</f>
        <v/>
      </c>
      <c r="JO25" s="402">
        <f>ConLoan!JO$51</f>
        <v/>
      </c>
      <c r="JP25" s="402">
        <f>ConLoan!JP$51</f>
        <v/>
      </c>
      <c r="JQ25" s="402">
        <f>ConLoan!JQ$51</f>
        <v/>
      </c>
      <c r="JR25" s="402">
        <f>ConLoan!JR$51</f>
        <v/>
      </c>
      <c r="JS25" s="402">
        <f>ConLoan!JS$51</f>
        <v/>
      </c>
      <c r="JT25" s="402">
        <f>ConLoan!JT$51</f>
        <v/>
      </c>
      <c r="JU25" s="402">
        <f>ConLoan!JU$51</f>
        <v/>
      </c>
      <c r="JV25" s="402">
        <f>ConLoan!JV$51</f>
        <v/>
      </c>
      <c r="JW25" s="402">
        <f>ConLoan!JW$51</f>
        <v/>
      </c>
      <c r="JX25" s="402">
        <f>ConLoan!JX$51</f>
        <v/>
      </c>
      <c r="JY25" s="402">
        <f>ConLoan!JY$51</f>
        <v/>
      </c>
      <c r="JZ25" s="402">
        <f>ConLoan!JZ$51</f>
        <v/>
      </c>
      <c r="KA25" s="402">
        <f>ConLoan!KA$51</f>
        <v/>
      </c>
      <c r="KB25" s="402">
        <f>ConLoan!KB$51</f>
        <v/>
      </c>
      <c r="KC25" s="402">
        <f>ConLoan!KC$51</f>
        <v/>
      </c>
      <c r="KD25" s="402">
        <f>ConLoan!KD$51</f>
        <v/>
      </c>
      <c r="KE25" s="402">
        <f>ConLoan!KE$51</f>
        <v/>
      </c>
      <c r="KF25" s="402">
        <f>ConLoan!KF$51</f>
        <v/>
      </c>
      <c r="KG25" s="402">
        <f>ConLoan!KG$51</f>
        <v/>
      </c>
      <c r="KH25" s="402">
        <f>ConLoan!KH$51</f>
        <v/>
      </c>
      <c r="KI25" s="402">
        <f>ConLoan!KI$51</f>
        <v/>
      </c>
      <c r="KJ25" s="402">
        <f>ConLoan!KJ$51</f>
        <v/>
      </c>
      <c r="KK25" s="402">
        <f>ConLoan!KK$51</f>
        <v/>
      </c>
      <c r="KL25" s="402">
        <f>ConLoan!KL$51</f>
        <v/>
      </c>
      <c r="KM25" s="402">
        <f>ConLoan!KM$51</f>
        <v/>
      </c>
      <c r="KN25" s="402">
        <f>ConLoan!KN$51</f>
        <v/>
      </c>
      <c r="KO25" s="402">
        <f>ConLoan!KO$51</f>
        <v/>
      </c>
      <c r="KP25" s="402">
        <f>ConLoan!KP$51</f>
        <v/>
      </c>
      <c r="KQ25" s="402">
        <f>ConLoan!KQ$51</f>
        <v/>
      </c>
      <c r="KR25" s="402">
        <f>ConLoan!KR$51</f>
        <v/>
      </c>
      <c r="KS25" s="402">
        <f>ConLoan!KS$51</f>
        <v/>
      </c>
      <c r="KT25" s="402">
        <f>ConLoan!KT$51</f>
        <v/>
      </c>
      <c r="KU25" s="402">
        <f>ConLoan!KU$51</f>
        <v/>
      </c>
      <c r="KV25" s="402">
        <f>ConLoan!KV$51</f>
        <v/>
      </c>
      <c r="KW25" s="402">
        <f>ConLoan!KW$51</f>
        <v/>
      </c>
      <c r="KX25" s="402">
        <f>ConLoan!KX$51</f>
        <v/>
      </c>
      <c r="KY25" s="402">
        <f>ConLoan!KY$51</f>
        <v/>
      </c>
      <c r="KZ25" s="402">
        <f>ConLoan!KZ$51</f>
        <v/>
      </c>
      <c r="LA25" s="402">
        <f>ConLoan!LA$51</f>
        <v/>
      </c>
      <c r="LB25" s="402">
        <f>ConLoan!LB$51</f>
        <v/>
      </c>
      <c r="LC25" s="402">
        <f>ConLoan!LC$51</f>
        <v/>
      </c>
      <c r="LD25" s="402">
        <f>ConLoan!LD$51</f>
        <v/>
      </c>
      <c r="LE25" s="402">
        <f>ConLoan!LE$51</f>
        <v/>
      </c>
      <c r="LF25" s="402">
        <f>ConLoan!LF$51</f>
        <v/>
      </c>
      <c r="LG25" s="402">
        <f>ConLoan!LG$51</f>
        <v/>
      </c>
      <c r="LH25" s="402">
        <f>ConLoan!LH$51</f>
        <v/>
      </c>
      <c r="LI25" s="402">
        <f>ConLoan!LI$51</f>
        <v/>
      </c>
      <c r="LJ25" s="402">
        <f>ConLoan!LJ$51</f>
        <v/>
      </c>
      <c r="LK25" s="402">
        <f>ConLoan!LK$51</f>
        <v/>
      </c>
      <c r="LL25" s="402">
        <f>ConLoan!LL$51</f>
        <v/>
      </c>
      <c r="LM25" s="402">
        <f>ConLoan!LM$51</f>
        <v/>
      </c>
      <c r="LN25" s="402">
        <f>ConLoan!LN$51</f>
        <v/>
      </c>
      <c r="LO25" s="402">
        <f>ConLoan!LO$51</f>
        <v/>
      </c>
      <c r="LP25" s="402">
        <f>ConLoan!LP$51</f>
        <v/>
      </c>
      <c r="LQ25" s="402">
        <f>ConLoan!LQ$51</f>
        <v/>
      </c>
      <c r="LR25" s="402">
        <f>ConLoan!LR$51</f>
        <v/>
      </c>
      <c r="LS25" s="402">
        <f>ConLoan!LS$51</f>
        <v/>
      </c>
      <c r="LT25" s="402">
        <f>ConLoan!LT$51</f>
        <v/>
      </c>
      <c r="LU25" s="402">
        <f>ConLoan!LU$51</f>
        <v/>
      </c>
      <c r="LV25" s="402">
        <f>ConLoan!LV$51</f>
        <v/>
      </c>
      <c r="LW25" s="402">
        <f>ConLoan!LW$51</f>
        <v/>
      </c>
      <c r="LX25" s="402">
        <f>ConLoan!LX$51</f>
        <v/>
      </c>
      <c r="LY25" s="402">
        <f>ConLoan!LY$51</f>
        <v/>
      </c>
      <c r="LZ25" s="402">
        <f>ConLoan!LZ$51</f>
        <v/>
      </c>
      <c r="MA25" s="402">
        <f>ConLoan!MA$51</f>
        <v/>
      </c>
      <c r="MB25" s="402">
        <f>ConLoan!MB$51</f>
        <v/>
      </c>
      <c r="MC25" s="402">
        <f>ConLoan!MC$51</f>
        <v/>
      </c>
      <c r="MD25" s="402">
        <f>ConLoan!MD$51</f>
        <v/>
      </c>
      <c r="ME25" s="402">
        <f>ConLoan!ME$51</f>
        <v/>
      </c>
      <c r="MF25" s="402">
        <f>ConLoan!MF$51</f>
        <v/>
      </c>
      <c r="MG25" s="402">
        <f>ConLoan!MG$51</f>
        <v/>
      </c>
      <c r="MH25" s="402">
        <f>ConLoan!MH$51</f>
        <v/>
      </c>
      <c r="MI25" s="402">
        <f>ConLoan!MI$51</f>
        <v/>
      </c>
      <c r="MJ25" s="402">
        <f>ConLoan!MJ$51</f>
        <v/>
      </c>
      <c r="MK25" s="402">
        <f>ConLoan!MK$51</f>
        <v/>
      </c>
      <c r="ML25" s="402">
        <f>ConLoan!ML$51</f>
        <v/>
      </c>
      <c r="MM25" s="402">
        <f>ConLoan!MM$51</f>
        <v/>
      </c>
      <c r="MN25" s="402">
        <f>ConLoan!MN$51</f>
        <v/>
      </c>
      <c r="MO25" s="402">
        <f>ConLoan!MO$51</f>
        <v/>
      </c>
      <c r="MP25" s="402">
        <f>ConLoan!MP$51</f>
        <v/>
      </c>
      <c r="MQ25" s="402">
        <f>ConLoan!MQ$51</f>
        <v/>
      </c>
      <c r="MR25" s="402">
        <f>ConLoan!MR$51</f>
        <v/>
      </c>
      <c r="MS25" s="402">
        <f>ConLoan!MS$51</f>
        <v/>
      </c>
      <c r="MT25" s="402">
        <f>ConLoan!MT$51</f>
        <v/>
      </c>
      <c r="MU25" s="402">
        <f>ConLoan!MU$51</f>
        <v/>
      </c>
      <c r="MV25" s="402">
        <f>ConLoan!MV$51</f>
        <v/>
      </c>
      <c r="MW25" s="402">
        <f>ConLoan!MW$51</f>
        <v/>
      </c>
      <c r="MX25" s="402">
        <f>ConLoan!MX$51</f>
        <v/>
      </c>
      <c r="MY25" s="402">
        <f>ConLoan!MY$51</f>
        <v/>
      </c>
      <c r="MZ25" s="402">
        <f>ConLoan!MZ$51</f>
        <v/>
      </c>
      <c r="NA25" s="402">
        <f>ConLoan!NA$51</f>
        <v/>
      </c>
      <c r="NB25" s="402">
        <f>ConLoan!NB$51</f>
        <v/>
      </c>
      <c r="NC25" s="402">
        <f>ConLoan!NC$51</f>
        <v/>
      </c>
      <c r="ND25" s="402">
        <f>ConLoan!ND$51</f>
        <v/>
      </c>
      <c r="NE25" s="402">
        <f>ConLoan!NE$51</f>
        <v/>
      </c>
      <c r="NF25" s="402">
        <f>ConLoan!NF$51</f>
        <v/>
      </c>
      <c r="NG25" s="402">
        <f>ConLoan!NG$51</f>
        <v/>
      </c>
      <c r="NH25" s="402">
        <f>ConLoan!NH$51</f>
        <v/>
      </c>
      <c r="NI25" s="402">
        <f>ConLoan!NI$51</f>
        <v/>
      </c>
      <c r="NJ25" s="402">
        <f>ConLoan!NJ$51</f>
        <v/>
      </c>
      <c r="NK25" s="402">
        <f>ConLoan!NK$51</f>
        <v/>
      </c>
      <c r="NL25" s="402">
        <f>ConLoan!NL$51</f>
        <v/>
      </c>
    </row>
    <row r="26">
      <c r="B26" s="384" t="inlineStr">
        <is>
          <t>Equity</t>
        </is>
      </c>
      <c r="D26" s="401" t="inlineStr"/>
      <c r="E26" s="155" t="n"/>
      <c r="F26" s="155" t="n"/>
      <c r="G26" s="155" t="n"/>
      <c r="H26" s="155" t="n"/>
      <c r="I26" s="155" t="n"/>
      <c r="J26" s="155" t="n"/>
      <c r="K26" s="155" t="n"/>
      <c r="L26" s="155" t="n"/>
      <c r="M26" s="155" t="n"/>
      <c r="N26" s="155" t="n"/>
      <c r="O26" s="155" t="n"/>
      <c r="P26" s="155" t="n"/>
      <c r="Q26" s="155" t="n"/>
      <c r="R26" s="155" t="n"/>
      <c r="S26" s="155" t="n"/>
      <c r="T26" s="155" t="n"/>
      <c r="U26" s="155" t="n"/>
      <c r="V26" s="155" t="n"/>
      <c r="W26" s="155" t="n"/>
      <c r="X26" s="155" t="n"/>
      <c r="Y26" s="155" t="n"/>
      <c r="Z26" s="155" t="n"/>
      <c r="AA26" s="155" t="n"/>
      <c r="AB26" s="155" t="n"/>
      <c r="AC26" s="155" t="n"/>
      <c r="AD26" s="155" t="n"/>
      <c r="AE26" s="155" t="n"/>
      <c r="AF26" s="155" t="n"/>
      <c r="AG26" s="155" t="n"/>
      <c r="AH26" s="155" t="n"/>
      <c r="AI26" s="155" t="n"/>
      <c r="AJ26" s="155" t="n"/>
      <c r="AK26" s="155" t="n"/>
      <c r="AL26" s="155" t="n"/>
      <c r="AM26" s="155" t="n"/>
      <c r="AN26" s="155" t="n"/>
      <c r="AO26" s="155" t="n"/>
      <c r="AP26" s="155" t="n"/>
      <c r="AQ26" s="155" t="n"/>
      <c r="AR26" s="155" t="n"/>
      <c r="AS26" s="155" t="n"/>
      <c r="AT26" s="155" t="n"/>
      <c r="AU26" s="155" t="n"/>
      <c r="AV26" s="155" t="n"/>
      <c r="AW26" s="155" t="n"/>
      <c r="AX26" s="155" t="n"/>
      <c r="AY26" s="155" t="n"/>
      <c r="AZ26" s="155" t="n"/>
      <c r="BA26" s="155" t="n"/>
      <c r="BB26" s="155" t="n"/>
      <c r="BC26" s="155" t="n"/>
      <c r="BD26" s="155" t="n"/>
      <c r="BE26" s="155" t="n"/>
      <c r="BF26" s="155" t="n"/>
      <c r="BG26" s="155" t="n"/>
      <c r="BH26" s="155" t="n"/>
      <c r="BI26" s="155" t="n"/>
      <c r="BJ26" s="155" t="n"/>
      <c r="BK26" s="155" t="n"/>
      <c r="BL26" s="155" t="n"/>
      <c r="BM26" s="155" t="n"/>
      <c r="BN26" s="155" t="n"/>
      <c r="BO26" s="155" t="n"/>
      <c r="BP26" s="155" t="n"/>
      <c r="BQ26" s="155" t="n"/>
      <c r="BR26" s="155" t="n"/>
      <c r="BS26" s="155" t="n"/>
      <c r="BT26" s="155" t="n"/>
      <c r="BU26" s="155" t="n"/>
      <c r="BV26" s="155" t="n"/>
      <c r="BW26" s="155" t="n"/>
      <c r="BX26" s="155" t="n"/>
      <c r="BY26" s="155" t="n"/>
      <c r="BZ26" s="155" t="n"/>
      <c r="CA26" s="155" t="n"/>
      <c r="CB26" s="155" t="n"/>
      <c r="CC26" s="155" t="n"/>
      <c r="CD26" s="155" t="n"/>
      <c r="CE26" s="155" t="n"/>
      <c r="CF26" s="155" t="n"/>
      <c r="CG26" s="155" t="n"/>
      <c r="CH26" s="155" t="n"/>
      <c r="CI26" s="155" t="n"/>
      <c r="CJ26" s="155" t="n"/>
      <c r="CK26" s="155" t="n"/>
      <c r="CL26" s="155" t="n"/>
      <c r="CM26" s="155" t="n"/>
      <c r="CN26" s="155" t="n"/>
      <c r="CO26" s="155" t="n"/>
      <c r="CP26" s="155" t="n"/>
      <c r="CQ26" s="155" t="n"/>
      <c r="CR26" s="155" t="n"/>
      <c r="CS26" s="155" t="n"/>
      <c r="CT26" s="155" t="n"/>
      <c r="CU26" s="155" t="n"/>
      <c r="CV26" s="155" t="n"/>
      <c r="CW26" s="155" t="n"/>
      <c r="CX26" s="155" t="n"/>
      <c r="CY26" s="155" t="n"/>
      <c r="CZ26" s="155" t="n"/>
      <c r="DA26" s="155" t="n"/>
      <c r="DB26" s="155" t="n"/>
      <c r="DC26" s="155" t="n"/>
      <c r="DD26" s="155" t="n"/>
      <c r="DE26" s="155" t="n"/>
      <c r="DF26" s="155" t="n"/>
      <c r="DG26" s="155" t="n"/>
      <c r="DH26" s="155" t="n"/>
      <c r="DI26" s="155" t="n"/>
      <c r="DJ26" s="155" t="n"/>
      <c r="DK26" s="155" t="n"/>
      <c r="DL26" s="155" t="n"/>
      <c r="DM26" s="155" t="n"/>
      <c r="DN26" s="155" t="n"/>
      <c r="DO26" s="155" t="n"/>
      <c r="DP26" s="155" t="n"/>
      <c r="DQ26" s="155" t="n"/>
      <c r="DR26" s="155" t="n"/>
      <c r="DS26" s="155" t="n"/>
      <c r="DT26" s="155" t="n"/>
      <c r="DU26" s="155" t="n"/>
      <c r="DV26" s="155" t="n"/>
      <c r="DW26" s="155" t="n"/>
      <c r="DX26" s="155" t="n"/>
      <c r="DY26" s="155" t="n"/>
      <c r="DZ26" s="155" t="n"/>
      <c r="EA26" s="155" t="n"/>
      <c r="EB26" s="155" t="n"/>
      <c r="EC26" s="155" t="n"/>
      <c r="ED26" s="155" t="n"/>
      <c r="EE26" s="155" t="n"/>
      <c r="EF26" s="155" t="n"/>
      <c r="EG26" s="155" t="n"/>
      <c r="EH26" s="155" t="n"/>
      <c r="EI26" s="155" t="n"/>
      <c r="EJ26" s="155" t="n"/>
      <c r="EK26" s="155" t="n"/>
      <c r="EL26" s="155" t="n"/>
      <c r="EM26" s="155" t="n"/>
      <c r="EN26" s="155" t="n"/>
      <c r="EO26" s="155" t="n"/>
      <c r="EP26" s="155" t="n"/>
      <c r="EQ26" s="155" t="n"/>
      <c r="ER26" s="155" t="n"/>
      <c r="ES26" s="155" t="n"/>
      <c r="ET26" s="155" t="n"/>
      <c r="EU26" s="155" t="n"/>
      <c r="EV26" s="155" t="n"/>
      <c r="EW26" s="155" t="n"/>
      <c r="EX26" s="155" t="n"/>
      <c r="EY26" s="155" t="n"/>
      <c r="EZ26" s="155" t="n"/>
      <c r="FA26" s="155" t="n"/>
      <c r="FB26" s="155" t="n"/>
      <c r="FC26" s="155" t="n"/>
      <c r="FD26" s="155" t="n"/>
      <c r="FE26" s="155" t="n"/>
      <c r="FF26" s="155" t="n"/>
      <c r="FG26" s="155" t="n"/>
      <c r="FH26" s="155" t="n"/>
      <c r="FI26" s="155" t="n"/>
      <c r="FJ26" s="155" t="n"/>
      <c r="FK26" s="155" t="n"/>
      <c r="FL26" s="155" t="n"/>
      <c r="FM26" s="155" t="n"/>
      <c r="FN26" s="155" t="n"/>
      <c r="FO26" s="155" t="n"/>
      <c r="FP26" s="155" t="n"/>
      <c r="FQ26" s="155" t="n"/>
      <c r="FR26" s="155" t="n"/>
      <c r="FS26" s="155" t="n"/>
      <c r="FT26" s="155" t="n"/>
      <c r="FU26" s="155" t="n"/>
      <c r="FV26" s="155" t="n"/>
      <c r="FW26" s="155" t="n"/>
      <c r="FX26" s="155" t="n"/>
      <c r="FY26" s="155" t="n"/>
      <c r="FZ26" s="155" t="n"/>
      <c r="GA26" s="155" t="n"/>
      <c r="GB26" s="155" t="n"/>
      <c r="GC26" s="155" t="n"/>
      <c r="GD26" s="155" t="n"/>
      <c r="GE26" s="155" t="n"/>
      <c r="GF26" s="155" t="n"/>
      <c r="GG26" s="155" t="n"/>
      <c r="GH26" s="155" t="n"/>
      <c r="GI26" s="155" t="n"/>
      <c r="GJ26" s="155" t="n"/>
      <c r="GK26" s="155" t="n"/>
      <c r="GL26" s="155" t="n"/>
      <c r="GM26" s="155" t="n"/>
      <c r="GN26" s="155" t="n"/>
      <c r="GO26" s="155" t="n"/>
      <c r="GP26" s="155" t="n"/>
      <c r="GQ26" s="155" t="n"/>
      <c r="GR26" s="155" t="n"/>
      <c r="GS26" s="155" t="n"/>
      <c r="GT26" s="155" t="n"/>
      <c r="GU26" s="155" t="n"/>
      <c r="GV26" s="155" t="n"/>
      <c r="GW26" s="155" t="n"/>
      <c r="GX26" s="155" t="n"/>
      <c r="GY26" s="155" t="n"/>
      <c r="GZ26" s="155" t="n"/>
      <c r="HA26" s="155" t="n"/>
      <c r="HB26" s="155" t="n"/>
      <c r="HC26" s="155" t="n"/>
      <c r="HD26" s="155" t="n"/>
      <c r="HE26" s="155" t="n"/>
      <c r="HF26" s="155" t="n"/>
      <c r="HG26" s="155" t="n"/>
      <c r="HH26" s="155" t="n"/>
      <c r="HI26" s="155" t="n"/>
      <c r="HJ26" s="155" t="n"/>
      <c r="HK26" s="155" t="n"/>
      <c r="HL26" s="155" t="n"/>
      <c r="HM26" s="155" t="n"/>
      <c r="HN26" s="155" t="n"/>
      <c r="HO26" s="155" t="n"/>
      <c r="HP26" s="155" t="n"/>
      <c r="HQ26" s="155" t="n"/>
      <c r="HR26" s="155" t="n"/>
      <c r="HS26" s="155" t="n"/>
      <c r="HT26" s="155" t="n"/>
      <c r="HU26" s="155" t="n"/>
      <c r="HV26" s="155" t="n"/>
      <c r="HW26" s="155" t="n"/>
      <c r="HX26" s="155" t="n"/>
      <c r="HY26" s="155" t="n"/>
      <c r="HZ26" s="155" t="n"/>
      <c r="IA26" s="155" t="n"/>
      <c r="IB26" s="155" t="n"/>
      <c r="IC26" s="155" t="n"/>
      <c r="ID26" s="155" t="n"/>
      <c r="IE26" s="155" t="n"/>
      <c r="IF26" s="155" t="n"/>
      <c r="IG26" s="155" t="n"/>
      <c r="IH26" s="155" t="n"/>
      <c r="II26" s="155" t="n"/>
      <c r="IJ26" s="155" t="n"/>
      <c r="IK26" s="155" t="n"/>
      <c r="IL26" s="155" t="n"/>
      <c r="IM26" s="155" t="n"/>
      <c r="IN26" s="155" t="n"/>
      <c r="IO26" s="155" t="n"/>
      <c r="IP26" s="155" t="n"/>
      <c r="IQ26" s="155" t="n"/>
      <c r="IR26" s="155" t="n"/>
      <c r="IS26" s="155" t="n"/>
      <c r="IT26" s="155" t="n"/>
      <c r="IU26" s="155" t="n"/>
      <c r="IV26" s="155" t="n"/>
      <c r="IW26" s="155" t="n"/>
      <c r="IX26" s="155" t="n"/>
      <c r="IY26" s="155" t="n"/>
      <c r="IZ26" s="155" t="n"/>
      <c r="JA26" s="155" t="n"/>
      <c r="JB26" s="155" t="n"/>
      <c r="JC26" s="155" t="n"/>
      <c r="JD26" s="155" t="n"/>
      <c r="JE26" s="155" t="n"/>
      <c r="JF26" s="155" t="n"/>
      <c r="JG26" s="155" t="n"/>
      <c r="JH26" s="155" t="n"/>
      <c r="JI26" s="155" t="n"/>
      <c r="JJ26" s="155" t="n"/>
      <c r="JK26" s="155" t="n"/>
      <c r="JL26" s="155" t="n"/>
      <c r="JM26" s="155" t="n"/>
      <c r="JN26" s="155" t="n"/>
      <c r="JO26" s="155" t="n"/>
      <c r="JP26" s="155" t="n"/>
      <c r="JQ26" s="155" t="n"/>
      <c r="JR26" s="155" t="n"/>
      <c r="JS26" s="155" t="n"/>
      <c r="JT26" s="155" t="n"/>
      <c r="JU26" s="155" t="n"/>
      <c r="JV26" s="155" t="n"/>
      <c r="JW26" s="155" t="n"/>
      <c r="JX26" s="155" t="n"/>
      <c r="JY26" s="155" t="n"/>
      <c r="JZ26" s="155" t="n"/>
      <c r="KA26" s="155" t="n"/>
      <c r="KB26" s="155" t="n"/>
      <c r="KC26" s="155" t="n"/>
      <c r="KD26" s="155" t="n"/>
      <c r="KE26" s="155" t="n"/>
      <c r="KF26" s="155" t="n"/>
      <c r="KG26" s="155" t="n"/>
      <c r="KH26" s="155" t="n"/>
      <c r="KI26" s="155" t="n"/>
      <c r="KJ26" s="155" t="n"/>
      <c r="KK26" s="155" t="n"/>
      <c r="KL26" s="155" t="n"/>
      <c r="KM26" s="155" t="n"/>
      <c r="KN26" s="155" t="n"/>
      <c r="KO26" s="155" t="n"/>
      <c r="KP26" s="155" t="n"/>
      <c r="KQ26" s="155" t="n"/>
      <c r="KR26" s="155" t="n"/>
      <c r="KS26" s="155" t="n"/>
      <c r="KT26" s="155" t="n"/>
      <c r="KU26" s="155" t="n"/>
      <c r="KV26" s="155" t="n"/>
      <c r="KW26" s="155" t="n"/>
      <c r="KX26" s="155" t="n"/>
      <c r="KY26" s="155" t="n"/>
      <c r="KZ26" s="155" t="n"/>
      <c r="LA26" s="155" t="n"/>
      <c r="LB26" s="155" t="n"/>
      <c r="LC26" s="155" t="n"/>
      <c r="LD26" s="155" t="n"/>
      <c r="LE26" s="155" t="n"/>
      <c r="LF26" s="155" t="n"/>
      <c r="LG26" s="155" t="n"/>
      <c r="LH26" s="155" t="n"/>
      <c r="LI26" s="155" t="n"/>
      <c r="LJ26" s="155" t="n"/>
      <c r="LK26" s="155" t="n"/>
      <c r="LL26" s="155" t="n"/>
      <c r="LM26" s="155" t="n"/>
      <c r="LN26" s="155" t="n"/>
      <c r="LO26" s="155" t="n"/>
      <c r="LP26" s="155" t="n"/>
      <c r="LQ26" s="155" t="n"/>
      <c r="LR26" s="155" t="n"/>
      <c r="LS26" s="155" t="n"/>
      <c r="LT26" s="155" t="n"/>
      <c r="LU26" s="155" t="n"/>
      <c r="LV26" s="155" t="n"/>
      <c r="LW26" s="155" t="n"/>
      <c r="LX26" s="155" t="n"/>
      <c r="LY26" s="155" t="n"/>
      <c r="LZ26" s="155" t="n"/>
      <c r="MA26" s="155" t="n"/>
      <c r="MB26" s="155" t="n"/>
      <c r="MC26" s="155" t="n"/>
      <c r="MD26" s="155" t="n"/>
      <c r="ME26" s="155" t="n"/>
      <c r="MF26" s="155" t="n"/>
      <c r="MG26" s="155" t="n"/>
      <c r="MH26" s="155" t="n"/>
      <c r="MI26" s="155" t="n"/>
      <c r="MJ26" s="155" t="n"/>
      <c r="MK26" s="155" t="n"/>
      <c r="ML26" s="155" t="n"/>
      <c r="MM26" s="155" t="n"/>
      <c r="MN26" s="155" t="n"/>
      <c r="MO26" s="155" t="n"/>
      <c r="MP26" s="155" t="n"/>
      <c r="MQ26" s="155" t="n"/>
      <c r="MR26" s="155" t="n"/>
      <c r="MS26" s="155" t="n"/>
      <c r="MT26" s="155" t="n"/>
      <c r="MU26" s="155" t="n"/>
      <c r="MV26" s="155" t="n"/>
      <c r="MW26" s="155" t="n"/>
      <c r="MX26" s="155" t="n"/>
      <c r="MY26" s="155" t="n"/>
      <c r="MZ26" s="155" t="n"/>
      <c r="NA26" s="155" t="n"/>
      <c r="NB26" s="155" t="n"/>
      <c r="NC26" s="155" t="n"/>
      <c r="ND26" s="155" t="n"/>
      <c r="NE26" s="155" t="n"/>
      <c r="NF26" s="155" t="n"/>
      <c r="NG26" s="155" t="n"/>
      <c r="NH26" s="155" t="n"/>
      <c r="NI26" s="155" t="n"/>
      <c r="NJ26" s="155" t="n"/>
      <c r="NK26" s="155" t="n"/>
      <c r="NL26" s="155" t="n"/>
    </row>
    <row r="27">
      <c r="B27" s="316" t="inlineStr">
        <is>
          <t>Equity Contribution</t>
        </is>
      </c>
      <c r="D27" s="402">
        <f>SUM(E27:NL27)</f>
        <v/>
      </c>
      <c r="E27" s="402">
        <f>ConLoan!E$27</f>
        <v/>
      </c>
      <c r="F27" s="402">
        <f>ConLoan!F$27</f>
        <v/>
      </c>
      <c r="G27" s="402">
        <f>ConLoan!G$27</f>
        <v/>
      </c>
      <c r="H27" s="402">
        <f>ConLoan!H$27</f>
        <v/>
      </c>
      <c r="I27" s="402">
        <f>ConLoan!I$27</f>
        <v/>
      </c>
      <c r="J27" s="402">
        <f>ConLoan!J$27</f>
        <v/>
      </c>
      <c r="K27" s="402">
        <f>ConLoan!K$27</f>
        <v/>
      </c>
      <c r="L27" s="402">
        <f>ConLoan!L$27</f>
        <v/>
      </c>
      <c r="M27" s="402">
        <f>ConLoan!M$27</f>
        <v/>
      </c>
      <c r="N27" s="402">
        <f>ConLoan!N$27</f>
        <v/>
      </c>
      <c r="O27" s="402">
        <f>ConLoan!O$27</f>
        <v/>
      </c>
      <c r="P27" s="402">
        <f>ConLoan!P$27</f>
        <v/>
      </c>
      <c r="Q27" s="402">
        <f>ConLoan!Q$27</f>
        <v/>
      </c>
      <c r="R27" s="402">
        <f>ConLoan!R$27</f>
        <v/>
      </c>
      <c r="S27" s="402">
        <f>ConLoan!S$27</f>
        <v/>
      </c>
      <c r="T27" s="402">
        <f>ConLoan!T$27</f>
        <v/>
      </c>
      <c r="U27" s="402">
        <f>ConLoan!U$27</f>
        <v/>
      </c>
      <c r="V27" s="402">
        <f>ConLoan!V$27</f>
        <v/>
      </c>
      <c r="W27" s="402">
        <f>ConLoan!W$27</f>
        <v/>
      </c>
      <c r="X27" s="402">
        <f>ConLoan!X$27</f>
        <v/>
      </c>
      <c r="Y27" s="402">
        <f>ConLoan!Y$27</f>
        <v/>
      </c>
      <c r="Z27" s="402">
        <f>ConLoan!Z$27</f>
        <v/>
      </c>
      <c r="AA27" s="402">
        <f>ConLoan!AA$27</f>
        <v/>
      </c>
      <c r="AB27" s="402">
        <f>ConLoan!AB$27</f>
        <v/>
      </c>
      <c r="AC27" s="402">
        <f>ConLoan!AC$27</f>
        <v/>
      </c>
      <c r="AD27" s="402">
        <f>ConLoan!AD$27</f>
        <v/>
      </c>
      <c r="AE27" s="402">
        <f>ConLoan!AE$27</f>
        <v/>
      </c>
      <c r="AF27" s="402">
        <f>ConLoan!AF$27</f>
        <v/>
      </c>
      <c r="AG27" s="402">
        <f>ConLoan!AG$27</f>
        <v/>
      </c>
      <c r="AH27" s="402">
        <f>ConLoan!AH$27</f>
        <v/>
      </c>
      <c r="AI27" s="402">
        <f>ConLoan!AI$27</f>
        <v/>
      </c>
      <c r="AJ27" s="402">
        <f>ConLoan!AJ$27</f>
        <v/>
      </c>
      <c r="AK27" s="402">
        <f>ConLoan!AK$27</f>
        <v/>
      </c>
      <c r="AL27" s="402">
        <f>ConLoan!AL$27</f>
        <v/>
      </c>
      <c r="AM27" s="402">
        <f>ConLoan!AM$27</f>
        <v/>
      </c>
      <c r="AN27" s="402">
        <f>ConLoan!AN$27</f>
        <v/>
      </c>
      <c r="AO27" s="402">
        <f>ConLoan!AO$27</f>
        <v/>
      </c>
      <c r="AP27" s="402">
        <f>ConLoan!AP$27</f>
        <v/>
      </c>
      <c r="AQ27" s="402">
        <f>ConLoan!AQ$27</f>
        <v/>
      </c>
      <c r="AR27" s="402">
        <f>ConLoan!AR$27</f>
        <v/>
      </c>
      <c r="AS27" s="402">
        <f>ConLoan!AS$27</f>
        <v/>
      </c>
      <c r="AT27" s="402">
        <f>ConLoan!AT$27</f>
        <v/>
      </c>
      <c r="AU27" s="402">
        <f>ConLoan!AU$27</f>
        <v/>
      </c>
      <c r="AV27" s="402">
        <f>ConLoan!AV$27</f>
        <v/>
      </c>
      <c r="AW27" s="402">
        <f>ConLoan!AW$27</f>
        <v/>
      </c>
      <c r="AX27" s="402">
        <f>ConLoan!AX$27</f>
        <v/>
      </c>
      <c r="AY27" s="402">
        <f>ConLoan!AY$27</f>
        <v/>
      </c>
      <c r="AZ27" s="402">
        <f>ConLoan!AZ$27</f>
        <v/>
      </c>
      <c r="BA27" s="402">
        <f>ConLoan!BA$27</f>
        <v/>
      </c>
      <c r="BB27" s="402">
        <f>ConLoan!BB$27</f>
        <v/>
      </c>
      <c r="BC27" s="402">
        <f>ConLoan!BC$27</f>
        <v/>
      </c>
      <c r="BD27" s="402">
        <f>ConLoan!BD$27</f>
        <v/>
      </c>
      <c r="BE27" s="402">
        <f>ConLoan!BE$27</f>
        <v/>
      </c>
      <c r="BF27" s="402">
        <f>ConLoan!BF$27</f>
        <v/>
      </c>
      <c r="BG27" s="402">
        <f>ConLoan!BG$27</f>
        <v/>
      </c>
      <c r="BH27" s="402">
        <f>ConLoan!BH$27</f>
        <v/>
      </c>
      <c r="BI27" s="402">
        <f>ConLoan!BI$27</f>
        <v/>
      </c>
      <c r="BJ27" s="402">
        <f>ConLoan!BJ$27</f>
        <v/>
      </c>
      <c r="BK27" s="402">
        <f>ConLoan!BK$27</f>
        <v/>
      </c>
      <c r="BL27" s="402">
        <f>ConLoan!BL$27</f>
        <v/>
      </c>
      <c r="BM27" s="402">
        <f>ConLoan!BM$27</f>
        <v/>
      </c>
      <c r="BN27" s="402">
        <f>ConLoan!BN$27</f>
        <v/>
      </c>
      <c r="BO27" s="402">
        <f>ConLoan!BO$27</f>
        <v/>
      </c>
      <c r="BP27" s="402">
        <f>ConLoan!BP$27</f>
        <v/>
      </c>
      <c r="BQ27" s="402">
        <f>ConLoan!BQ$27</f>
        <v/>
      </c>
      <c r="BR27" s="402">
        <f>ConLoan!BR$27</f>
        <v/>
      </c>
      <c r="BS27" s="402">
        <f>ConLoan!BS$27</f>
        <v/>
      </c>
      <c r="BT27" s="402">
        <f>ConLoan!BT$27</f>
        <v/>
      </c>
      <c r="BU27" s="402">
        <f>ConLoan!BU$27</f>
        <v/>
      </c>
      <c r="BV27" s="402">
        <f>ConLoan!BV$27</f>
        <v/>
      </c>
      <c r="BW27" s="402">
        <f>ConLoan!BW$27</f>
        <v/>
      </c>
      <c r="BX27" s="402">
        <f>ConLoan!BX$27</f>
        <v/>
      </c>
      <c r="BY27" s="402">
        <f>ConLoan!BY$27</f>
        <v/>
      </c>
      <c r="BZ27" s="402">
        <f>ConLoan!BZ$27</f>
        <v/>
      </c>
      <c r="CA27" s="402">
        <f>ConLoan!CA$27</f>
        <v/>
      </c>
      <c r="CB27" s="402">
        <f>ConLoan!CB$27</f>
        <v/>
      </c>
      <c r="CC27" s="402">
        <f>ConLoan!CC$27</f>
        <v/>
      </c>
      <c r="CD27" s="402">
        <f>ConLoan!CD$27</f>
        <v/>
      </c>
      <c r="CE27" s="402">
        <f>ConLoan!CE$27</f>
        <v/>
      </c>
      <c r="CF27" s="402">
        <f>ConLoan!CF$27</f>
        <v/>
      </c>
      <c r="CG27" s="402">
        <f>ConLoan!CG$27</f>
        <v/>
      </c>
      <c r="CH27" s="402">
        <f>ConLoan!CH$27</f>
        <v/>
      </c>
      <c r="CI27" s="402">
        <f>ConLoan!CI$27</f>
        <v/>
      </c>
      <c r="CJ27" s="402">
        <f>ConLoan!CJ$27</f>
        <v/>
      </c>
      <c r="CK27" s="402">
        <f>ConLoan!CK$27</f>
        <v/>
      </c>
      <c r="CL27" s="402">
        <f>ConLoan!CL$27</f>
        <v/>
      </c>
      <c r="CM27" s="402">
        <f>ConLoan!CM$27</f>
        <v/>
      </c>
      <c r="CN27" s="402">
        <f>ConLoan!CN$27</f>
        <v/>
      </c>
      <c r="CO27" s="402">
        <f>ConLoan!CO$27</f>
        <v/>
      </c>
      <c r="CP27" s="402">
        <f>ConLoan!CP$27</f>
        <v/>
      </c>
      <c r="CQ27" s="402">
        <f>ConLoan!CQ$27</f>
        <v/>
      </c>
      <c r="CR27" s="402">
        <f>ConLoan!CR$27</f>
        <v/>
      </c>
      <c r="CS27" s="402">
        <f>ConLoan!CS$27</f>
        <v/>
      </c>
      <c r="CT27" s="402">
        <f>ConLoan!CT$27</f>
        <v/>
      </c>
      <c r="CU27" s="402">
        <f>ConLoan!CU$27</f>
        <v/>
      </c>
      <c r="CV27" s="402">
        <f>ConLoan!CV$27</f>
        <v/>
      </c>
      <c r="CW27" s="402">
        <f>ConLoan!CW$27</f>
        <v/>
      </c>
      <c r="CX27" s="402">
        <f>ConLoan!CX$27</f>
        <v/>
      </c>
      <c r="CY27" s="402">
        <f>ConLoan!CY$27</f>
        <v/>
      </c>
      <c r="CZ27" s="402">
        <f>ConLoan!CZ$27</f>
        <v/>
      </c>
      <c r="DA27" s="402">
        <f>ConLoan!DA$27</f>
        <v/>
      </c>
      <c r="DB27" s="402">
        <f>ConLoan!DB$27</f>
        <v/>
      </c>
      <c r="DC27" s="402">
        <f>ConLoan!DC$27</f>
        <v/>
      </c>
      <c r="DD27" s="402">
        <f>ConLoan!DD$27</f>
        <v/>
      </c>
      <c r="DE27" s="402">
        <f>ConLoan!DE$27</f>
        <v/>
      </c>
      <c r="DF27" s="402">
        <f>ConLoan!DF$27</f>
        <v/>
      </c>
      <c r="DG27" s="402">
        <f>ConLoan!DG$27</f>
        <v/>
      </c>
      <c r="DH27" s="402">
        <f>ConLoan!DH$27</f>
        <v/>
      </c>
      <c r="DI27" s="402">
        <f>ConLoan!DI$27</f>
        <v/>
      </c>
      <c r="DJ27" s="402">
        <f>ConLoan!DJ$27</f>
        <v/>
      </c>
      <c r="DK27" s="402">
        <f>ConLoan!DK$27</f>
        <v/>
      </c>
      <c r="DL27" s="402">
        <f>ConLoan!DL$27</f>
        <v/>
      </c>
      <c r="DM27" s="402">
        <f>ConLoan!DM$27</f>
        <v/>
      </c>
      <c r="DN27" s="402">
        <f>ConLoan!DN$27</f>
        <v/>
      </c>
      <c r="DO27" s="402">
        <f>ConLoan!DO$27</f>
        <v/>
      </c>
      <c r="DP27" s="402">
        <f>ConLoan!DP$27</f>
        <v/>
      </c>
      <c r="DQ27" s="402">
        <f>ConLoan!DQ$27</f>
        <v/>
      </c>
      <c r="DR27" s="402">
        <f>ConLoan!DR$27</f>
        <v/>
      </c>
      <c r="DS27" s="402">
        <f>ConLoan!DS$27</f>
        <v/>
      </c>
      <c r="DT27" s="402">
        <f>ConLoan!DT$27</f>
        <v/>
      </c>
      <c r="DU27" s="402">
        <f>ConLoan!DU$27</f>
        <v/>
      </c>
      <c r="DV27" s="402">
        <f>ConLoan!DV$27</f>
        <v/>
      </c>
      <c r="DW27" s="402">
        <f>ConLoan!DW$27</f>
        <v/>
      </c>
      <c r="DX27" s="402">
        <f>ConLoan!DX$27</f>
        <v/>
      </c>
      <c r="DY27" s="402">
        <f>ConLoan!DY$27</f>
        <v/>
      </c>
      <c r="DZ27" s="402">
        <f>ConLoan!DZ$27</f>
        <v/>
      </c>
      <c r="EA27" s="402">
        <f>ConLoan!EA$27</f>
        <v/>
      </c>
      <c r="EB27" s="402">
        <f>ConLoan!EB$27</f>
        <v/>
      </c>
      <c r="EC27" s="402">
        <f>ConLoan!EC$27</f>
        <v/>
      </c>
      <c r="ED27" s="402">
        <f>ConLoan!ED$27</f>
        <v/>
      </c>
      <c r="EE27" s="402">
        <f>ConLoan!EE$27</f>
        <v/>
      </c>
      <c r="EF27" s="402">
        <f>ConLoan!EF$27</f>
        <v/>
      </c>
      <c r="EG27" s="402">
        <f>ConLoan!EG$27</f>
        <v/>
      </c>
      <c r="EH27" s="402">
        <f>ConLoan!EH$27</f>
        <v/>
      </c>
      <c r="EI27" s="402">
        <f>ConLoan!EI$27</f>
        <v/>
      </c>
      <c r="EJ27" s="402">
        <f>ConLoan!EJ$27</f>
        <v/>
      </c>
      <c r="EK27" s="402">
        <f>ConLoan!EK$27</f>
        <v/>
      </c>
      <c r="EL27" s="402">
        <f>ConLoan!EL$27</f>
        <v/>
      </c>
      <c r="EM27" s="402">
        <f>ConLoan!EM$27</f>
        <v/>
      </c>
      <c r="EN27" s="402">
        <f>ConLoan!EN$27</f>
        <v/>
      </c>
      <c r="EO27" s="402">
        <f>ConLoan!EO$27</f>
        <v/>
      </c>
      <c r="EP27" s="402">
        <f>ConLoan!EP$27</f>
        <v/>
      </c>
      <c r="EQ27" s="402">
        <f>ConLoan!EQ$27</f>
        <v/>
      </c>
      <c r="ER27" s="402">
        <f>ConLoan!ER$27</f>
        <v/>
      </c>
      <c r="ES27" s="402">
        <f>ConLoan!ES$27</f>
        <v/>
      </c>
      <c r="ET27" s="402">
        <f>ConLoan!ET$27</f>
        <v/>
      </c>
      <c r="EU27" s="402">
        <f>ConLoan!EU$27</f>
        <v/>
      </c>
      <c r="EV27" s="402">
        <f>ConLoan!EV$27</f>
        <v/>
      </c>
      <c r="EW27" s="402">
        <f>ConLoan!EW$27</f>
        <v/>
      </c>
      <c r="EX27" s="402">
        <f>ConLoan!EX$27</f>
        <v/>
      </c>
      <c r="EY27" s="402">
        <f>ConLoan!EY$27</f>
        <v/>
      </c>
      <c r="EZ27" s="402">
        <f>ConLoan!EZ$27</f>
        <v/>
      </c>
      <c r="FA27" s="402">
        <f>ConLoan!FA$27</f>
        <v/>
      </c>
      <c r="FB27" s="402">
        <f>ConLoan!FB$27</f>
        <v/>
      </c>
      <c r="FC27" s="402">
        <f>ConLoan!FC$27</f>
        <v/>
      </c>
      <c r="FD27" s="402">
        <f>ConLoan!FD$27</f>
        <v/>
      </c>
      <c r="FE27" s="402">
        <f>ConLoan!FE$27</f>
        <v/>
      </c>
      <c r="FF27" s="402">
        <f>ConLoan!FF$27</f>
        <v/>
      </c>
      <c r="FG27" s="402">
        <f>ConLoan!FG$27</f>
        <v/>
      </c>
      <c r="FH27" s="402">
        <f>ConLoan!FH$27</f>
        <v/>
      </c>
      <c r="FI27" s="402">
        <f>ConLoan!FI$27</f>
        <v/>
      </c>
      <c r="FJ27" s="402">
        <f>ConLoan!FJ$27</f>
        <v/>
      </c>
      <c r="FK27" s="402">
        <f>ConLoan!FK$27</f>
        <v/>
      </c>
      <c r="FL27" s="402">
        <f>ConLoan!FL$27</f>
        <v/>
      </c>
      <c r="FM27" s="402">
        <f>ConLoan!FM$27</f>
        <v/>
      </c>
      <c r="FN27" s="402">
        <f>ConLoan!FN$27</f>
        <v/>
      </c>
      <c r="FO27" s="402">
        <f>ConLoan!FO$27</f>
        <v/>
      </c>
      <c r="FP27" s="402">
        <f>ConLoan!FP$27</f>
        <v/>
      </c>
      <c r="FQ27" s="402">
        <f>ConLoan!FQ$27</f>
        <v/>
      </c>
      <c r="FR27" s="402">
        <f>ConLoan!FR$27</f>
        <v/>
      </c>
      <c r="FS27" s="402">
        <f>ConLoan!FS$27</f>
        <v/>
      </c>
      <c r="FT27" s="402">
        <f>ConLoan!FT$27</f>
        <v/>
      </c>
      <c r="FU27" s="402">
        <f>ConLoan!FU$27</f>
        <v/>
      </c>
      <c r="FV27" s="402">
        <f>ConLoan!FV$27</f>
        <v/>
      </c>
      <c r="FW27" s="402">
        <f>ConLoan!FW$27</f>
        <v/>
      </c>
      <c r="FX27" s="402">
        <f>ConLoan!FX$27</f>
        <v/>
      </c>
      <c r="FY27" s="402">
        <f>ConLoan!FY$27</f>
        <v/>
      </c>
      <c r="FZ27" s="402">
        <f>ConLoan!FZ$27</f>
        <v/>
      </c>
      <c r="GA27" s="402">
        <f>ConLoan!GA$27</f>
        <v/>
      </c>
      <c r="GB27" s="402">
        <f>ConLoan!GB$27</f>
        <v/>
      </c>
      <c r="GC27" s="402">
        <f>ConLoan!GC$27</f>
        <v/>
      </c>
      <c r="GD27" s="402">
        <f>ConLoan!GD$27</f>
        <v/>
      </c>
      <c r="GE27" s="402">
        <f>ConLoan!GE$27</f>
        <v/>
      </c>
      <c r="GF27" s="402">
        <f>ConLoan!GF$27</f>
        <v/>
      </c>
      <c r="GG27" s="402">
        <f>ConLoan!GG$27</f>
        <v/>
      </c>
      <c r="GH27" s="402">
        <f>ConLoan!GH$27</f>
        <v/>
      </c>
      <c r="GI27" s="402">
        <f>ConLoan!GI$27</f>
        <v/>
      </c>
      <c r="GJ27" s="402">
        <f>ConLoan!GJ$27</f>
        <v/>
      </c>
      <c r="GK27" s="402">
        <f>ConLoan!GK$27</f>
        <v/>
      </c>
      <c r="GL27" s="402">
        <f>ConLoan!GL$27</f>
        <v/>
      </c>
      <c r="GM27" s="402">
        <f>ConLoan!GM$27</f>
        <v/>
      </c>
      <c r="GN27" s="402">
        <f>ConLoan!GN$27</f>
        <v/>
      </c>
      <c r="GO27" s="402">
        <f>ConLoan!GO$27</f>
        <v/>
      </c>
      <c r="GP27" s="402">
        <f>ConLoan!GP$27</f>
        <v/>
      </c>
      <c r="GQ27" s="402">
        <f>ConLoan!GQ$27</f>
        <v/>
      </c>
      <c r="GR27" s="402">
        <f>ConLoan!GR$27</f>
        <v/>
      </c>
      <c r="GS27" s="402">
        <f>ConLoan!GS$27</f>
        <v/>
      </c>
      <c r="GT27" s="402">
        <f>ConLoan!GT$27</f>
        <v/>
      </c>
      <c r="GU27" s="402">
        <f>ConLoan!GU$27</f>
        <v/>
      </c>
      <c r="GV27" s="402">
        <f>ConLoan!GV$27</f>
        <v/>
      </c>
      <c r="GW27" s="402">
        <f>ConLoan!GW$27</f>
        <v/>
      </c>
      <c r="GX27" s="402">
        <f>ConLoan!GX$27</f>
        <v/>
      </c>
      <c r="GY27" s="402">
        <f>ConLoan!GY$27</f>
        <v/>
      </c>
      <c r="GZ27" s="402">
        <f>ConLoan!GZ$27</f>
        <v/>
      </c>
      <c r="HA27" s="402">
        <f>ConLoan!HA$27</f>
        <v/>
      </c>
      <c r="HB27" s="402">
        <f>ConLoan!HB$27</f>
        <v/>
      </c>
      <c r="HC27" s="402">
        <f>ConLoan!HC$27</f>
        <v/>
      </c>
      <c r="HD27" s="402">
        <f>ConLoan!HD$27</f>
        <v/>
      </c>
      <c r="HE27" s="402">
        <f>ConLoan!HE$27</f>
        <v/>
      </c>
      <c r="HF27" s="402">
        <f>ConLoan!HF$27</f>
        <v/>
      </c>
      <c r="HG27" s="402">
        <f>ConLoan!HG$27</f>
        <v/>
      </c>
      <c r="HH27" s="402">
        <f>ConLoan!HH$27</f>
        <v/>
      </c>
      <c r="HI27" s="402">
        <f>ConLoan!HI$27</f>
        <v/>
      </c>
      <c r="HJ27" s="402">
        <f>ConLoan!HJ$27</f>
        <v/>
      </c>
      <c r="HK27" s="402">
        <f>ConLoan!HK$27</f>
        <v/>
      </c>
      <c r="HL27" s="402">
        <f>ConLoan!HL$27</f>
        <v/>
      </c>
      <c r="HM27" s="402">
        <f>ConLoan!HM$27</f>
        <v/>
      </c>
      <c r="HN27" s="402">
        <f>ConLoan!HN$27</f>
        <v/>
      </c>
      <c r="HO27" s="402">
        <f>ConLoan!HO$27</f>
        <v/>
      </c>
      <c r="HP27" s="402">
        <f>ConLoan!HP$27</f>
        <v/>
      </c>
      <c r="HQ27" s="402">
        <f>ConLoan!HQ$27</f>
        <v/>
      </c>
      <c r="HR27" s="402">
        <f>ConLoan!HR$27</f>
        <v/>
      </c>
      <c r="HS27" s="402">
        <f>ConLoan!HS$27</f>
        <v/>
      </c>
      <c r="HT27" s="402">
        <f>ConLoan!HT$27</f>
        <v/>
      </c>
      <c r="HU27" s="402">
        <f>ConLoan!HU$27</f>
        <v/>
      </c>
      <c r="HV27" s="402">
        <f>ConLoan!HV$27</f>
        <v/>
      </c>
      <c r="HW27" s="402">
        <f>ConLoan!HW$27</f>
        <v/>
      </c>
      <c r="HX27" s="402">
        <f>ConLoan!HX$27</f>
        <v/>
      </c>
      <c r="HY27" s="402">
        <f>ConLoan!HY$27</f>
        <v/>
      </c>
      <c r="HZ27" s="402">
        <f>ConLoan!HZ$27</f>
        <v/>
      </c>
      <c r="IA27" s="402">
        <f>ConLoan!IA$27</f>
        <v/>
      </c>
      <c r="IB27" s="402">
        <f>ConLoan!IB$27</f>
        <v/>
      </c>
      <c r="IC27" s="402">
        <f>ConLoan!IC$27</f>
        <v/>
      </c>
      <c r="ID27" s="402">
        <f>ConLoan!ID$27</f>
        <v/>
      </c>
      <c r="IE27" s="402">
        <f>ConLoan!IE$27</f>
        <v/>
      </c>
      <c r="IF27" s="402">
        <f>ConLoan!IF$27</f>
        <v/>
      </c>
      <c r="IG27" s="402">
        <f>ConLoan!IG$27</f>
        <v/>
      </c>
      <c r="IH27" s="402">
        <f>ConLoan!IH$27</f>
        <v/>
      </c>
      <c r="II27" s="402">
        <f>ConLoan!II$27</f>
        <v/>
      </c>
      <c r="IJ27" s="402">
        <f>ConLoan!IJ$27</f>
        <v/>
      </c>
      <c r="IK27" s="402">
        <f>ConLoan!IK$27</f>
        <v/>
      </c>
      <c r="IL27" s="402">
        <f>ConLoan!IL$27</f>
        <v/>
      </c>
      <c r="IM27" s="402">
        <f>ConLoan!IM$27</f>
        <v/>
      </c>
      <c r="IN27" s="402">
        <f>ConLoan!IN$27</f>
        <v/>
      </c>
      <c r="IO27" s="402">
        <f>ConLoan!IO$27</f>
        <v/>
      </c>
      <c r="IP27" s="402">
        <f>ConLoan!IP$27</f>
        <v/>
      </c>
      <c r="IQ27" s="402">
        <f>ConLoan!IQ$27</f>
        <v/>
      </c>
      <c r="IR27" s="402">
        <f>ConLoan!IR$27</f>
        <v/>
      </c>
      <c r="IS27" s="402">
        <f>ConLoan!IS$27</f>
        <v/>
      </c>
      <c r="IT27" s="402">
        <f>ConLoan!IT$27</f>
        <v/>
      </c>
      <c r="IU27" s="402">
        <f>ConLoan!IU$27</f>
        <v/>
      </c>
      <c r="IV27" s="402">
        <f>ConLoan!IV$27</f>
        <v/>
      </c>
      <c r="IW27" s="402">
        <f>ConLoan!IW$27</f>
        <v/>
      </c>
      <c r="IX27" s="402">
        <f>ConLoan!IX$27</f>
        <v/>
      </c>
      <c r="IY27" s="402">
        <f>ConLoan!IY$27</f>
        <v/>
      </c>
      <c r="IZ27" s="402">
        <f>ConLoan!IZ$27</f>
        <v/>
      </c>
      <c r="JA27" s="402">
        <f>ConLoan!JA$27</f>
        <v/>
      </c>
      <c r="JB27" s="402">
        <f>ConLoan!JB$27</f>
        <v/>
      </c>
      <c r="JC27" s="402">
        <f>ConLoan!JC$27</f>
        <v/>
      </c>
      <c r="JD27" s="402">
        <f>ConLoan!JD$27</f>
        <v/>
      </c>
      <c r="JE27" s="402">
        <f>ConLoan!JE$27</f>
        <v/>
      </c>
      <c r="JF27" s="402">
        <f>ConLoan!JF$27</f>
        <v/>
      </c>
      <c r="JG27" s="402">
        <f>ConLoan!JG$27</f>
        <v/>
      </c>
      <c r="JH27" s="402">
        <f>ConLoan!JH$27</f>
        <v/>
      </c>
      <c r="JI27" s="402">
        <f>ConLoan!JI$27</f>
        <v/>
      </c>
      <c r="JJ27" s="402">
        <f>ConLoan!JJ$27</f>
        <v/>
      </c>
      <c r="JK27" s="402">
        <f>ConLoan!JK$27</f>
        <v/>
      </c>
      <c r="JL27" s="402">
        <f>ConLoan!JL$27</f>
        <v/>
      </c>
      <c r="JM27" s="402">
        <f>ConLoan!JM$27</f>
        <v/>
      </c>
      <c r="JN27" s="402">
        <f>ConLoan!JN$27</f>
        <v/>
      </c>
      <c r="JO27" s="402">
        <f>ConLoan!JO$27</f>
        <v/>
      </c>
      <c r="JP27" s="402">
        <f>ConLoan!JP$27</f>
        <v/>
      </c>
      <c r="JQ27" s="402">
        <f>ConLoan!JQ$27</f>
        <v/>
      </c>
      <c r="JR27" s="402">
        <f>ConLoan!JR$27</f>
        <v/>
      </c>
      <c r="JS27" s="402">
        <f>ConLoan!JS$27</f>
        <v/>
      </c>
      <c r="JT27" s="402">
        <f>ConLoan!JT$27</f>
        <v/>
      </c>
      <c r="JU27" s="402">
        <f>ConLoan!JU$27</f>
        <v/>
      </c>
      <c r="JV27" s="402">
        <f>ConLoan!JV$27</f>
        <v/>
      </c>
      <c r="JW27" s="402">
        <f>ConLoan!JW$27</f>
        <v/>
      </c>
      <c r="JX27" s="402">
        <f>ConLoan!JX$27</f>
        <v/>
      </c>
      <c r="JY27" s="402">
        <f>ConLoan!JY$27</f>
        <v/>
      </c>
      <c r="JZ27" s="402">
        <f>ConLoan!JZ$27</f>
        <v/>
      </c>
      <c r="KA27" s="402">
        <f>ConLoan!KA$27</f>
        <v/>
      </c>
      <c r="KB27" s="402">
        <f>ConLoan!KB$27</f>
        <v/>
      </c>
      <c r="KC27" s="402">
        <f>ConLoan!KC$27</f>
        <v/>
      </c>
      <c r="KD27" s="402">
        <f>ConLoan!KD$27</f>
        <v/>
      </c>
      <c r="KE27" s="402">
        <f>ConLoan!KE$27</f>
        <v/>
      </c>
      <c r="KF27" s="402">
        <f>ConLoan!KF$27</f>
        <v/>
      </c>
      <c r="KG27" s="402">
        <f>ConLoan!KG$27</f>
        <v/>
      </c>
      <c r="KH27" s="402">
        <f>ConLoan!KH$27</f>
        <v/>
      </c>
      <c r="KI27" s="402">
        <f>ConLoan!KI$27</f>
        <v/>
      </c>
      <c r="KJ27" s="402">
        <f>ConLoan!KJ$27</f>
        <v/>
      </c>
      <c r="KK27" s="402">
        <f>ConLoan!KK$27</f>
        <v/>
      </c>
      <c r="KL27" s="402">
        <f>ConLoan!KL$27</f>
        <v/>
      </c>
      <c r="KM27" s="402">
        <f>ConLoan!KM$27</f>
        <v/>
      </c>
      <c r="KN27" s="402">
        <f>ConLoan!KN$27</f>
        <v/>
      </c>
      <c r="KO27" s="402">
        <f>ConLoan!KO$27</f>
        <v/>
      </c>
      <c r="KP27" s="402">
        <f>ConLoan!KP$27</f>
        <v/>
      </c>
      <c r="KQ27" s="402">
        <f>ConLoan!KQ$27</f>
        <v/>
      </c>
      <c r="KR27" s="402">
        <f>ConLoan!KR$27</f>
        <v/>
      </c>
      <c r="KS27" s="402">
        <f>ConLoan!KS$27</f>
        <v/>
      </c>
      <c r="KT27" s="402">
        <f>ConLoan!KT$27</f>
        <v/>
      </c>
      <c r="KU27" s="402">
        <f>ConLoan!KU$27</f>
        <v/>
      </c>
      <c r="KV27" s="402">
        <f>ConLoan!KV$27</f>
        <v/>
      </c>
      <c r="KW27" s="402">
        <f>ConLoan!KW$27</f>
        <v/>
      </c>
      <c r="KX27" s="402">
        <f>ConLoan!KX$27</f>
        <v/>
      </c>
      <c r="KY27" s="402">
        <f>ConLoan!KY$27</f>
        <v/>
      </c>
      <c r="KZ27" s="402">
        <f>ConLoan!KZ$27</f>
        <v/>
      </c>
      <c r="LA27" s="402">
        <f>ConLoan!LA$27</f>
        <v/>
      </c>
      <c r="LB27" s="402">
        <f>ConLoan!LB$27</f>
        <v/>
      </c>
      <c r="LC27" s="402">
        <f>ConLoan!LC$27</f>
        <v/>
      </c>
      <c r="LD27" s="402">
        <f>ConLoan!LD$27</f>
        <v/>
      </c>
      <c r="LE27" s="402">
        <f>ConLoan!LE$27</f>
        <v/>
      </c>
      <c r="LF27" s="402">
        <f>ConLoan!LF$27</f>
        <v/>
      </c>
      <c r="LG27" s="402">
        <f>ConLoan!LG$27</f>
        <v/>
      </c>
      <c r="LH27" s="402">
        <f>ConLoan!LH$27</f>
        <v/>
      </c>
      <c r="LI27" s="402">
        <f>ConLoan!LI$27</f>
        <v/>
      </c>
      <c r="LJ27" s="402">
        <f>ConLoan!LJ$27</f>
        <v/>
      </c>
      <c r="LK27" s="402">
        <f>ConLoan!LK$27</f>
        <v/>
      </c>
      <c r="LL27" s="402">
        <f>ConLoan!LL$27</f>
        <v/>
      </c>
      <c r="LM27" s="402">
        <f>ConLoan!LM$27</f>
        <v/>
      </c>
      <c r="LN27" s="402">
        <f>ConLoan!LN$27</f>
        <v/>
      </c>
      <c r="LO27" s="402">
        <f>ConLoan!LO$27</f>
        <v/>
      </c>
      <c r="LP27" s="402">
        <f>ConLoan!LP$27</f>
        <v/>
      </c>
      <c r="LQ27" s="402">
        <f>ConLoan!LQ$27</f>
        <v/>
      </c>
      <c r="LR27" s="402">
        <f>ConLoan!LR$27</f>
        <v/>
      </c>
      <c r="LS27" s="402">
        <f>ConLoan!LS$27</f>
        <v/>
      </c>
      <c r="LT27" s="402">
        <f>ConLoan!LT$27</f>
        <v/>
      </c>
      <c r="LU27" s="402">
        <f>ConLoan!LU$27</f>
        <v/>
      </c>
      <c r="LV27" s="402">
        <f>ConLoan!LV$27</f>
        <v/>
      </c>
      <c r="LW27" s="402">
        <f>ConLoan!LW$27</f>
        <v/>
      </c>
      <c r="LX27" s="402">
        <f>ConLoan!LX$27</f>
        <v/>
      </c>
      <c r="LY27" s="402">
        <f>ConLoan!LY$27</f>
        <v/>
      </c>
      <c r="LZ27" s="402">
        <f>ConLoan!LZ$27</f>
        <v/>
      </c>
      <c r="MA27" s="402">
        <f>ConLoan!MA$27</f>
        <v/>
      </c>
      <c r="MB27" s="402">
        <f>ConLoan!MB$27</f>
        <v/>
      </c>
      <c r="MC27" s="402">
        <f>ConLoan!MC$27</f>
        <v/>
      </c>
      <c r="MD27" s="402">
        <f>ConLoan!MD$27</f>
        <v/>
      </c>
      <c r="ME27" s="402">
        <f>ConLoan!ME$27</f>
        <v/>
      </c>
      <c r="MF27" s="402">
        <f>ConLoan!MF$27</f>
        <v/>
      </c>
      <c r="MG27" s="402">
        <f>ConLoan!MG$27</f>
        <v/>
      </c>
      <c r="MH27" s="402">
        <f>ConLoan!MH$27</f>
        <v/>
      </c>
      <c r="MI27" s="402">
        <f>ConLoan!MI$27</f>
        <v/>
      </c>
      <c r="MJ27" s="402">
        <f>ConLoan!MJ$27</f>
        <v/>
      </c>
      <c r="MK27" s="402">
        <f>ConLoan!MK$27</f>
        <v/>
      </c>
      <c r="ML27" s="402">
        <f>ConLoan!ML$27</f>
        <v/>
      </c>
      <c r="MM27" s="402">
        <f>ConLoan!MM$27</f>
        <v/>
      </c>
      <c r="MN27" s="402">
        <f>ConLoan!MN$27</f>
        <v/>
      </c>
      <c r="MO27" s="402">
        <f>ConLoan!MO$27</f>
        <v/>
      </c>
      <c r="MP27" s="402">
        <f>ConLoan!MP$27</f>
        <v/>
      </c>
      <c r="MQ27" s="402">
        <f>ConLoan!MQ$27</f>
        <v/>
      </c>
      <c r="MR27" s="402">
        <f>ConLoan!MR$27</f>
        <v/>
      </c>
      <c r="MS27" s="402">
        <f>ConLoan!MS$27</f>
        <v/>
      </c>
      <c r="MT27" s="402">
        <f>ConLoan!MT$27</f>
        <v/>
      </c>
      <c r="MU27" s="402">
        <f>ConLoan!MU$27</f>
        <v/>
      </c>
      <c r="MV27" s="402">
        <f>ConLoan!MV$27</f>
        <v/>
      </c>
      <c r="MW27" s="402">
        <f>ConLoan!MW$27</f>
        <v/>
      </c>
      <c r="MX27" s="402">
        <f>ConLoan!MX$27</f>
        <v/>
      </c>
      <c r="MY27" s="402">
        <f>ConLoan!MY$27</f>
        <v/>
      </c>
      <c r="MZ27" s="402">
        <f>ConLoan!MZ$27</f>
        <v/>
      </c>
      <c r="NA27" s="402">
        <f>ConLoan!NA$27</f>
        <v/>
      </c>
      <c r="NB27" s="402">
        <f>ConLoan!NB$27</f>
        <v/>
      </c>
      <c r="NC27" s="402">
        <f>ConLoan!NC$27</f>
        <v/>
      </c>
      <c r="ND27" s="402">
        <f>ConLoan!ND$27</f>
        <v/>
      </c>
      <c r="NE27" s="402">
        <f>ConLoan!NE$27</f>
        <v/>
      </c>
      <c r="NF27" s="402">
        <f>ConLoan!NF$27</f>
        <v/>
      </c>
      <c r="NG27" s="402">
        <f>ConLoan!NG$27</f>
        <v/>
      </c>
      <c r="NH27" s="402">
        <f>ConLoan!NH$27</f>
        <v/>
      </c>
      <c r="NI27" s="402">
        <f>ConLoan!NI$27</f>
        <v/>
      </c>
      <c r="NJ27" s="402">
        <f>ConLoan!NJ$27</f>
        <v/>
      </c>
      <c r="NK27" s="402">
        <f>ConLoan!NK$27</f>
        <v/>
      </c>
      <c r="NL27" s="402">
        <f>ConLoan!NL$27</f>
        <v/>
      </c>
    </row>
    <row r="28">
      <c r="B28" s="316" t="inlineStr">
        <is>
          <t>Refi Cash Distribution</t>
        </is>
      </c>
      <c r="D28" s="402">
        <f>SUM(E28:NL28)</f>
        <v/>
      </c>
      <c r="E28" s="402">
        <f>IF(E$3=RefiMonth,RefiCashOut,0)</f>
        <v/>
      </c>
      <c r="F28" s="402">
        <f>IF(F$3=RefiMonth,RefiCashOut,0)</f>
        <v/>
      </c>
      <c r="G28" s="402">
        <f>IF(G$3=RefiMonth,RefiCashOut,0)</f>
        <v/>
      </c>
      <c r="H28" s="402">
        <f>IF(H$3=RefiMonth,RefiCashOut,0)</f>
        <v/>
      </c>
      <c r="I28" s="402">
        <f>IF(I$3=RefiMonth,RefiCashOut,0)</f>
        <v/>
      </c>
      <c r="J28" s="402">
        <f>IF(J$3=RefiMonth,RefiCashOut,0)</f>
        <v/>
      </c>
      <c r="K28" s="402">
        <f>IF(K$3=RefiMonth,RefiCashOut,0)</f>
        <v/>
      </c>
      <c r="L28" s="402">
        <f>IF(L$3=RefiMonth,RefiCashOut,0)</f>
        <v/>
      </c>
      <c r="M28" s="402">
        <f>IF(M$3=RefiMonth,RefiCashOut,0)</f>
        <v/>
      </c>
      <c r="N28" s="402">
        <f>IF(N$3=RefiMonth,RefiCashOut,0)</f>
        <v/>
      </c>
      <c r="O28" s="402">
        <f>IF(O$3=RefiMonth,RefiCashOut,0)</f>
        <v/>
      </c>
      <c r="P28" s="402">
        <f>IF(P$3=RefiMonth,RefiCashOut,0)</f>
        <v/>
      </c>
      <c r="Q28" s="402">
        <f>IF(Q$3=RefiMonth,RefiCashOut,0)</f>
        <v/>
      </c>
      <c r="R28" s="402">
        <f>IF(R$3=RefiMonth,RefiCashOut,0)</f>
        <v/>
      </c>
      <c r="S28" s="402">
        <f>IF(S$3=RefiMonth,RefiCashOut,0)</f>
        <v/>
      </c>
      <c r="T28" s="402">
        <f>IF(T$3=RefiMonth,RefiCashOut,0)</f>
        <v/>
      </c>
      <c r="U28" s="402">
        <f>IF(U$3=RefiMonth,RefiCashOut,0)</f>
        <v/>
      </c>
      <c r="V28" s="402">
        <f>IF(V$3=RefiMonth,RefiCashOut,0)</f>
        <v/>
      </c>
      <c r="W28" s="402">
        <f>IF(W$3=RefiMonth,RefiCashOut,0)</f>
        <v/>
      </c>
      <c r="X28" s="402">
        <f>IF(X$3=RefiMonth,RefiCashOut,0)</f>
        <v/>
      </c>
      <c r="Y28" s="402">
        <f>IF(Y$3=RefiMonth,RefiCashOut,0)</f>
        <v/>
      </c>
      <c r="Z28" s="402">
        <f>IF(Z$3=RefiMonth,RefiCashOut,0)</f>
        <v/>
      </c>
      <c r="AA28" s="402">
        <f>IF(AA$3=RefiMonth,RefiCashOut,0)</f>
        <v/>
      </c>
      <c r="AB28" s="402">
        <f>IF(AB$3=RefiMonth,RefiCashOut,0)</f>
        <v/>
      </c>
      <c r="AC28" s="402">
        <f>IF(AC$3=RefiMonth,RefiCashOut,0)</f>
        <v/>
      </c>
      <c r="AD28" s="402">
        <f>IF(AD$3=RefiMonth,RefiCashOut,0)</f>
        <v/>
      </c>
      <c r="AE28" s="402">
        <f>IF(AE$3=RefiMonth,RefiCashOut,0)</f>
        <v/>
      </c>
      <c r="AF28" s="402">
        <f>IF(AF$3=RefiMonth,RefiCashOut,0)</f>
        <v/>
      </c>
      <c r="AG28" s="402">
        <f>IF(AG$3=RefiMonth,RefiCashOut,0)</f>
        <v/>
      </c>
      <c r="AH28" s="402">
        <f>IF(AH$3=RefiMonth,RefiCashOut,0)</f>
        <v/>
      </c>
      <c r="AI28" s="402">
        <f>IF(AI$3=RefiMonth,RefiCashOut,0)</f>
        <v/>
      </c>
      <c r="AJ28" s="402">
        <f>IF(AJ$3=RefiMonth,RefiCashOut,0)</f>
        <v/>
      </c>
      <c r="AK28" s="402">
        <f>IF(AK$3=RefiMonth,RefiCashOut,0)</f>
        <v/>
      </c>
      <c r="AL28" s="402">
        <f>IF(AL$3=RefiMonth,RefiCashOut,0)</f>
        <v/>
      </c>
      <c r="AM28" s="402">
        <f>IF(AM$3=RefiMonth,RefiCashOut,0)</f>
        <v/>
      </c>
      <c r="AN28" s="402">
        <f>IF(AN$3=RefiMonth,RefiCashOut,0)</f>
        <v/>
      </c>
      <c r="AO28" s="402">
        <f>IF(AO$3=RefiMonth,RefiCashOut,0)</f>
        <v/>
      </c>
      <c r="AP28" s="402">
        <f>IF(AP$3=RefiMonth,RefiCashOut,0)</f>
        <v/>
      </c>
      <c r="AQ28" s="402">
        <f>IF(AQ$3=RefiMonth,RefiCashOut,0)</f>
        <v/>
      </c>
      <c r="AR28" s="402">
        <f>IF(AR$3=RefiMonth,RefiCashOut,0)</f>
        <v/>
      </c>
      <c r="AS28" s="402">
        <f>IF(AS$3=RefiMonth,RefiCashOut,0)</f>
        <v/>
      </c>
      <c r="AT28" s="402">
        <f>IF(AT$3=RefiMonth,RefiCashOut,0)</f>
        <v/>
      </c>
      <c r="AU28" s="402">
        <f>IF(AU$3=RefiMonth,RefiCashOut,0)</f>
        <v/>
      </c>
      <c r="AV28" s="402">
        <f>IF(AV$3=RefiMonth,RefiCashOut,0)</f>
        <v/>
      </c>
      <c r="AW28" s="402">
        <f>IF(AW$3=RefiMonth,RefiCashOut,0)</f>
        <v/>
      </c>
      <c r="AX28" s="402">
        <f>IF(AX$3=RefiMonth,RefiCashOut,0)</f>
        <v/>
      </c>
      <c r="AY28" s="402">
        <f>IF(AY$3=RefiMonth,RefiCashOut,0)</f>
        <v/>
      </c>
      <c r="AZ28" s="402">
        <f>IF(AZ$3=RefiMonth,RefiCashOut,0)</f>
        <v/>
      </c>
      <c r="BA28" s="402">
        <f>IF(BA$3=RefiMonth,RefiCashOut,0)</f>
        <v/>
      </c>
      <c r="BB28" s="402">
        <f>IF(BB$3=RefiMonth,RefiCashOut,0)</f>
        <v/>
      </c>
      <c r="BC28" s="402">
        <f>IF(BC$3=RefiMonth,RefiCashOut,0)</f>
        <v/>
      </c>
      <c r="BD28" s="402">
        <f>IF(BD$3=RefiMonth,RefiCashOut,0)</f>
        <v/>
      </c>
      <c r="BE28" s="402">
        <f>IF(BE$3=RefiMonth,RefiCashOut,0)</f>
        <v/>
      </c>
      <c r="BF28" s="402">
        <f>IF(BF$3=RefiMonth,RefiCashOut,0)</f>
        <v/>
      </c>
      <c r="BG28" s="402">
        <f>IF(BG$3=RefiMonth,RefiCashOut,0)</f>
        <v/>
      </c>
      <c r="BH28" s="402">
        <f>IF(BH$3=RefiMonth,RefiCashOut,0)</f>
        <v/>
      </c>
      <c r="BI28" s="402">
        <f>IF(BI$3=RefiMonth,RefiCashOut,0)</f>
        <v/>
      </c>
      <c r="BJ28" s="402">
        <f>IF(BJ$3=RefiMonth,RefiCashOut,0)</f>
        <v/>
      </c>
      <c r="BK28" s="402">
        <f>IF(BK$3=RefiMonth,RefiCashOut,0)</f>
        <v/>
      </c>
      <c r="BL28" s="402">
        <f>IF(BL$3=RefiMonth,RefiCashOut,0)</f>
        <v/>
      </c>
      <c r="BM28" s="402">
        <f>IF(BM$3=RefiMonth,RefiCashOut,0)</f>
        <v/>
      </c>
      <c r="BN28" s="402">
        <f>IF(BN$3=RefiMonth,RefiCashOut,0)</f>
        <v/>
      </c>
      <c r="BO28" s="402">
        <f>IF(BO$3=RefiMonth,RefiCashOut,0)</f>
        <v/>
      </c>
      <c r="BP28" s="402">
        <f>IF(BP$3=RefiMonth,RefiCashOut,0)</f>
        <v/>
      </c>
      <c r="BQ28" s="402">
        <f>IF(BQ$3=RefiMonth,RefiCashOut,0)</f>
        <v/>
      </c>
      <c r="BR28" s="402">
        <f>IF(BR$3=RefiMonth,RefiCashOut,0)</f>
        <v/>
      </c>
      <c r="BS28" s="402">
        <f>IF(BS$3=RefiMonth,RefiCashOut,0)</f>
        <v/>
      </c>
      <c r="BT28" s="402">
        <f>IF(BT$3=RefiMonth,RefiCashOut,0)</f>
        <v/>
      </c>
      <c r="BU28" s="402">
        <f>IF(BU$3=RefiMonth,RefiCashOut,0)</f>
        <v/>
      </c>
      <c r="BV28" s="402">
        <f>IF(BV$3=RefiMonth,RefiCashOut,0)</f>
        <v/>
      </c>
      <c r="BW28" s="402">
        <f>IF(BW$3=RefiMonth,RefiCashOut,0)</f>
        <v/>
      </c>
      <c r="BX28" s="402">
        <f>IF(BX$3=RefiMonth,RefiCashOut,0)</f>
        <v/>
      </c>
      <c r="BY28" s="402">
        <f>IF(BY$3=RefiMonth,RefiCashOut,0)</f>
        <v/>
      </c>
      <c r="BZ28" s="402">
        <f>IF(BZ$3=RefiMonth,RefiCashOut,0)</f>
        <v/>
      </c>
      <c r="CA28" s="402">
        <f>IF(CA$3=RefiMonth,RefiCashOut,0)</f>
        <v/>
      </c>
      <c r="CB28" s="402">
        <f>IF(CB$3=RefiMonth,RefiCashOut,0)</f>
        <v/>
      </c>
      <c r="CC28" s="402">
        <f>IF(CC$3=RefiMonth,RefiCashOut,0)</f>
        <v/>
      </c>
      <c r="CD28" s="402">
        <f>IF(CD$3=RefiMonth,RefiCashOut,0)</f>
        <v/>
      </c>
      <c r="CE28" s="402">
        <f>IF(CE$3=RefiMonth,RefiCashOut,0)</f>
        <v/>
      </c>
      <c r="CF28" s="402">
        <f>IF(CF$3=RefiMonth,RefiCashOut,0)</f>
        <v/>
      </c>
      <c r="CG28" s="402">
        <f>IF(CG$3=RefiMonth,RefiCashOut,0)</f>
        <v/>
      </c>
      <c r="CH28" s="402">
        <f>IF(CH$3=RefiMonth,RefiCashOut,0)</f>
        <v/>
      </c>
      <c r="CI28" s="402">
        <f>IF(CI$3=RefiMonth,RefiCashOut,0)</f>
        <v/>
      </c>
      <c r="CJ28" s="402">
        <f>IF(CJ$3=RefiMonth,RefiCashOut,0)</f>
        <v/>
      </c>
      <c r="CK28" s="402">
        <f>IF(CK$3=RefiMonth,RefiCashOut,0)</f>
        <v/>
      </c>
      <c r="CL28" s="402">
        <f>IF(CL$3=RefiMonth,RefiCashOut,0)</f>
        <v/>
      </c>
      <c r="CM28" s="402">
        <f>IF(CM$3=RefiMonth,RefiCashOut,0)</f>
        <v/>
      </c>
      <c r="CN28" s="402">
        <f>IF(CN$3=RefiMonth,RefiCashOut,0)</f>
        <v/>
      </c>
      <c r="CO28" s="402">
        <f>IF(CO$3=RefiMonth,RefiCashOut,0)</f>
        <v/>
      </c>
      <c r="CP28" s="402">
        <f>IF(CP$3=RefiMonth,RefiCashOut,0)</f>
        <v/>
      </c>
      <c r="CQ28" s="402">
        <f>IF(CQ$3=RefiMonth,RefiCashOut,0)</f>
        <v/>
      </c>
      <c r="CR28" s="402">
        <f>IF(CR$3=RefiMonth,RefiCashOut,0)</f>
        <v/>
      </c>
      <c r="CS28" s="402">
        <f>IF(CS$3=RefiMonth,RefiCashOut,0)</f>
        <v/>
      </c>
      <c r="CT28" s="402">
        <f>IF(CT$3=RefiMonth,RefiCashOut,0)</f>
        <v/>
      </c>
      <c r="CU28" s="402">
        <f>IF(CU$3=RefiMonth,RefiCashOut,0)</f>
        <v/>
      </c>
      <c r="CV28" s="402">
        <f>IF(CV$3=RefiMonth,RefiCashOut,0)</f>
        <v/>
      </c>
      <c r="CW28" s="402">
        <f>IF(CW$3=RefiMonth,RefiCashOut,0)</f>
        <v/>
      </c>
      <c r="CX28" s="402">
        <f>IF(CX$3=RefiMonth,RefiCashOut,0)</f>
        <v/>
      </c>
      <c r="CY28" s="402">
        <f>IF(CY$3=RefiMonth,RefiCashOut,0)</f>
        <v/>
      </c>
      <c r="CZ28" s="402">
        <f>IF(CZ$3=RefiMonth,RefiCashOut,0)</f>
        <v/>
      </c>
      <c r="DA28" s="402">
        <f>IF(DA$3=RefiMonth,RefiCashOut,0)</f>
        <v/>
      </c>
      <c r="DB28" s="402">
        <f>IF(DB$3=RefiMonth,RefiCashOut,0)</f>
        <v/>
      </c>
      <c r="DC28" s="402">
        <f>IF(DC$3=RefiMonth,RefiCashOut,0)</f>
        <v/>
      </c>
      <c r="DD28" s="402">
        <f>IF(DD$3=RefiMonth,RefiCashOut,0)</f>
        <v/>
      </c>
      <c r="DE28" s="402">
        <f>IF(DE$3=RefiMonth,RefiCashOut,0)</f>
        <v/>
      </c>
      <c r="DF28" s="402">
        <f>IF(DF$3=RefiMonth,RefiCashOut,0)</f>
        <v/>
      </c>
      <c r="DG28" s="402">
        <f>IF(DG$3=RefiMonth,RefiCashOut,0)</f>
        <v/>
      </c>
      <c r="DH28" s="402">
        <f>IF(DH$3=RefiMonth,RefiCashOut,0)</f>
        <v/>
      </c>
      <c r="DI28" s="402">
        <f>IF(DI$3=RefiMonth,RefiCashOut,0)</f>
        <v/>
      </c>
      <c r="DJ28" s="402">
        <f>IF(DJ$3=RefiMonth,RefiCashOut,0)</f>
        <v/>
      </c>
      <c r="DK28" s="402">
        <f>IF(DK$3=RefiMonth,RefiCashOut,0)</f>
        <v/>
      </c>
      <c r="DL28" s="402">
        <f>IF(DL$3=RefiMonth,RefiCashOut,0)</f>
        <v/>
      </c>
      <c r="DM28" s="402">
        <f>IF(DM$3=RefiMonth,RefiCashOut,0)</f>
        <v/>
      </c>
      <c r="DN28" s="402">
        <f>IF(DN$3=RefiMonth,RefiCashOut,0)</f>
        <v/>
      </c>
      <c r="DO28" s="402">
        <f>IF(DO$3=RefiMonth,RefiCashOut,0)</f>
        <v/>
      </c>
      <c r="DP28" s="402">
        <f>IF(DP$3=RefiMonth,RefiCashOut,0)</f>
        <v/>
      </c>
      <c r="DQ28" s="402">
        <f>IF(DQ$3=RefiMonth,RefiCashOut,0)</f>
        <v/>
      </c>
      <c r="DR28" s="402">
        <f>IF(DR$3=RefiMonth,RefiCashOut,0)</f>
        <v/>
      </c>
      <c r="DS28" s="402">
        <f>IF(DS$3=RefiMonth,RefiCashOut,0)</f>
        <v/>
      </c>
      <c r="DT28" s="402">
        <f>IF(DT$3=RefiMonth,RefiCashOut,0)</f>
        <v/>
      </c>
      <c r="DU28" s="402">
        <f>IF(DU$3=RefiMonth,RefiCashOut,0)</f>
        <v/>
      </c>
      <c r="DV28" s="402">
        <f>IF(DV$3=RefiMonth,RefiCashOut,0)</f>
        <v/>
      </c>
      <c r="DW28" s="402">
        <f>IF(DW$3=RefiMonth,RefiCashOut,0)</f>
        <v/>
      </c>
      <c r="DX28" s="402">
        <f>IF(DX$3=RefiMonth,RefiCashOut,0)</f>
        <v/>
      </c>
      <c r="DY28" s="402">
        <f>IF(DY$3=RefiMonth,RefiCashOut,0)</f>
        <v/>
      </c>
      <c r="DZ28" s="402">
        <f>IF(DZ$3=RefiMonth,RefiCashOut,0)</f>
        <v/>
      </c>
      <c r="EA28" s="402">
        <f>IF(EA$3=RefiMonth,RefiCashOut,0)</f>
        <v/>
      </c>
      <c r="EB28" s="402">
        <f>IF(EB$3=RefiMonth,RefiCashOut,0)</f>
        <v/>
      </c>
      <c r="EC28" s="402">
        <f>IF(EC$3=RefiMonth,RefiCashOut,0)</f>
        <v/>
      </c>
      <c r="ED28" s="402">
        <f>IF(ED$3=RefiMonth,RefiCashOut,0)</f>
        <v/>
      </c>
      <c r="EE28" s="402">
        <f>IF(EE$3=RefiMonth,RefiCashOut,0)</f>
        <v/>
      </c>
      <c r="EF28" s="402">
        <f>IF(EF$3=RefiMonth,RefiCashOut,0)</f>
        <v/>
      </c>
      <c r="EG28" s="402">
        <f>IF(EG$3=RefiMonth,RefiCashOut,0)</f>
        <v/>
      </c>
      <c r="EH28" s="402">
        <f>IF(EH$3=RefiMonth,RefiCashOut,0)</f>
        <v/>
      </c>
      <c r="EI28" s="402">
        <f>IF(EI$3=RefiMonth,RefiCashOut,0)</f>
        <v/>
      </c>
      <c r="EJ28" s="402">
        <f>IF(EJ$3=RefiMonth,RefiCashOut,0)</f>
        <v/>
      </c>
      <c r="EK28" s="402">
        <f>IF(EK$3=RefiMonth,RefiCashOut,0)</f>
        <v/>
      </c>
      <c r="EL28" s="402">
        <f>IF(EL$3=RefiMonth,RefiCashOut,0)</f>
        <v/>
      </c>
      <c r="EM28" s="402">
        <f>IF(EM$3=RefiMonth,RefiCashOut,0)</f>
        <v/>
      </c>
      <c r="EN28" s="402">
        <f>IF(EN$3=RefiMonth,RefiCashOut,0)</f>
        <v/>
      </c>
      <c r="EO28" s="402">
        <f>IF(EO$3=RefiMonth,RefiCashOut,0)</f>
        <v/>
      </c>
      <c r="EP28" s="402">
        <f>IF(EP$3=RefiMonth,RefiCashOut,0)</f>
        <v/>
      </c>
      <c r="EQ28" s="402">
        <f>IF(EQ$3=RefiMonth,RefiCashOut,0)</f>
        <v/>
      </c>
      <c r="ER28" s="402">
        <f>IF(ER$3=RefiMonth,RefiCashOut,0)</f>
        <v/>
      </c>
      <c r="ES28" s="402">
        <f>IF(ES$3=RefiMonth,RefiCashOut,0)</f>
        <v/>
      </c>
      <c r="ET28" s="402">
        <f>IF(ET$3=RefiMonth,RefiCashOut,0)</f>
        <v/>
      </c>
      <c r="EU28" s="402">
        <f>IF(EU$3=RefiMonth,RefiCashOut,0)</f>
        <v/>
      </c>
      <c r="EV28" s="402">
        <f>IF(EV$3=RefiMonth,RefiCashOut,0)</f>
        <v/>
      </c>
      <c r="EW28" s="402">
        <f>IF(EW$3=RefiMonth,RefiCashOut,0)</f>
        <v/>
      </c>
      <c r="EX28" s="402">
        <f>IF(EX$3=RefiMonth,RefiCashOut,0)</f>
        <v/>
      </c>
      <c r="EY28" s="402">
        <f>IF(EY$3=RefiMonth,RefiCashOut,0)</f>
        <v/>
      </c>
      <c r="EZ28" s="402">
        <f>IF(EZ$3=RefiMonth,RefiCashOut,0)</f>
        <v/>
      </c>
      <c r="FA28" s="402">
        <f>IF(FA$3=RefiMonth,RefiCashOut,0)</f>
        <v/>
      </c>
      <c r="FB28" s="402">
        <f>IF(FB$3=RefiMonth,RefiCashOut,0)</f>
        <v/>
      </c>
      <c r="FC28" s="402">
        <f>IF(FC$3=RefiMonth,RefiCashOut,0)</f>
        <v/>
      </c>
      <c r="FD28" s="402">
        <f>IF(FD$3=RefiMonth,RefiCashOut,0)</f>
        <v/>
      </c>
      <c r="FE28" s="402">
        <f>IF(FE$3=RefiMonth,RefiCashOut,0)</f>
        <v/>
      </c>
      <c r="FF28" s="402">
        <f>IF(FF$3=RefiMonth,RefiCashOut,0)</f>
        <v/>
      </c>
      <c r="FG28" s="402">
        <f>IF(FG$3=RefiMonth,RefiCashOut,0)</f>
        <v/>
      </c>
      <c r="FH28" s="402">
        <f>IF(FH$3=RefiMonth,RefiCashOut,0)</f>
        <v/>
      </c>
      <c r="FI28" s="402">
        <f>IF(FI$3=RefiMonth,RefiCashOut,0)</f>
        <v/>
      </c>
      <c r="FJ28" s="402">
        <f>IF(FJ$3=RefiMonth,RefiCashOut,0)</f>
        <v/>
      </c>
      <c r="FK28" s="402">
        <f>IF(FK$3=RefiMonth,RefiCashOut,0)</f>
        <v/>
      </c>
      <c r="FL28" s="402">
        <f>IF(FL$3=RefiMonth,RefiCashOut,0)</f>
        <v/>
      </c>
      <c r="FM28" s="402">
        <f>IF(FM$3=RefiMonth,RefiCashOut,0)</f>
        <v/>
      </c>
      <c r="FN28" s="402">
        <f>IF(FN$3=RefiMonth,RefiCashOut,0)</f>
        <v/>
      </c>
      <c r="FO28" s="402">
        <f>IF(FO$3=RefiMonth,RefiCashOut,0)</f>
        <v/>
      </c>
      <c r="FP28" s="402">
        <f>IF(FP$3=RefiMonth,RefiCashOut,0)</f>
        <v/>
      </c>
      <c r="FQ28" s="402">
        <f>IF(FQ$3=RefiMonth,RefiCashOut,0)</f>
        <v/>
      </c>
      <c r="FR28" s="402">
        <f>IF(FR$3=RefiMonth,RefiCashOut,0)</f>
        <v/>
      </c>
      <c r="FS28" s="402">
        <f>IF(FS$3=RefiMonth,RefiCashOut,0)</f>
        <v/>
      </c>
      <c r="FT28" s="402">
        <f>IF(FT$3=RefiMonth,RefiCashOut,0)</f>
        <v/>
      </c>
      <c r="FU28" s="402">
        <f>IF(FU$3=RefiMonth,RefiCashOut,0)</f>
        <v/>
      </c>
      <c r="FV28" s="402">
        <f>IF(FV$3=RefiMonth,RefiCashOut,0)</f>
        <v/>
      </c>
      <c r="FW28" s="402">
        <f>IF(FW$3=RefiMonth,RefiCashOut,0)</f>
        <v/>
      </c>
      <c r="FX28" s="402">
        <f>IF(FX$3=RefiMonth,RefiCashOut,0)</f>
        <v/>
      </c>
      <c r="FY28" s="402">
        <f>IF(FY$3=RefiMonth,RefiCashOut,0)</f>
        <v/>
      </c>
      <c r="FZ28" s="402">
        <f>IF(FZ$3=RefiMonth,RefiCashOut,0)</f>
        <v/>
      </c>
      <c r="GA28" s="402">
        <f>IF(GA$3=RefiMonth,RefiCashOut,0)</f>
        <v/>
      </c>
      <c r="GB28" s="402">
        <f>IF(GB$3=RefiMonth,RefiCashOut,0)</f>
        <v/>
      </c>
      <c r="GC28" s="402">
        <f>IF(GC$3=RefiMonth,RefiCashOut,0)</f>
        <v/>
      </c>
      <c r="GD28" s="402">
        <f>IF(GD$3=RefiMonth,RefiCashOut,0)</f>
        <v/>
      </c>
      <c r="GE28" s="402">
        <f>IF(GE$3=RefiMonth,RefiCashOut,0)</f>
        <v/>
      </c>
      <c r="GF28" s="402">
        <f>IF(GF$3=RefiMonth,RefiCashOut,0)</f>
        <v/>
      </c>
      <c r="GG28" s="402">
        <f>IF(GG$3=RefiMonth,RefiCashOut,0)</f>
        <v/>
      </c>
      <c r="GH28" s="402">
        <f>IF(GH$3=RefiMonth,RefiCashOut,0)</f>
        <v/>
      </c>
      <c r="GI28" s="402">
        <f>IF(GI$3=RefiMonth,RefiCashOut,0)</f>
        <v/>
      </c>
      <c r="GJ28" s="402">
        <f>IF(GJ$3=RefiMonth,RefiCashOut,0)</f>
        <v/>
      </c>
      <c r="GK28" s="402">
        <f>IF(GK$3=RefiMonth,RefiCashOut,0)</f>
        <v/>
      </c>
      <c r="GL28" s="402">
        <f>IF(GL$3=RefiMonth,RefiCashOut,0)</f>
        <v/>
      </c>
      <c r="GM28" s="402">
        <f>IF(GM$3=RefiMonth,RefiCashOut,0)</f>
        <v/>
      </c>
      <c r="GN28" s="402">
        <f>IF(GN$3=RefiMonth,RefiCashOut,0)</f>
        <v/>
      </c>
      <c r="GO28" s="402">
        <f>IF(GO$3=RefiMonth,RefiCashOut,0)</f>
        <v/>
      </c>
      <c r="GP28" s="402">
        <f>IF(GP$3=RefiMonth,RefiCashOut,0)</f>
        <v/>
      </c>
      <c r="GQ28" s="402">
        <f>IF(GQ$3=RefiMonth,RefiCashOut,0)</f>
        <v/>
      </c>
      <c r="GR28" s="402">
        <f>IF(GR$3=RefiMonth,RefiCashOut,0)</f>
        <v/>
      </c>
      <c r="GS28" s="402">
        <f>IF(GS$3=RefiMonth,RefiCashOut,0)</f>
        <v/>
      </c>
      <c r="GT28" s="402">
        <f>IF(GT$3=RefiMonth,RefiCashOut,0)</f>
        <v/>
      </c>
      <c r="GU28" s="402">
        <f>IF(GU$3=RefiMonth,RefiCashOut,0)</f>
        <v/>
      </c>
      <c r="GV28" s="402">
        <f>IF(GV$3=RefiMonth,RefiCashOut,0)</f>
        <v/>
      </c>
      <c r="GW28" s="402">
        <f>IF(GW$3=RefiMonth,RefiCashOut,0)</f>
        <v/>
      </c>
      <c r="GX28" s="402">
        <f>IF(GX$3=RefiMonth,RefiCashOut,0)</f>
        <v/>
      </c>
      <c r="GY28" s="402">
        <f>IF(GY$3=RefiMonth,RefiCashOut,0)</f>
        <v/>
      </c>
      <c r="GZ28" s="402">
        <f>IF(GZ$3=RefiMonth,RefiCashOut,0)</f>
        <v/>
      </c>
      <c r="HA28" s="402">
        <f>IF(HA$3=RefiMonth,RefiCashOut,0)</f>
        <v/>
      </c>
      <c r="HB28" s="402">
        <f>IF(HB$3=RefiMonth,RefiCashOut,0)</f>
        <v/>
      </c>
      <c r="HC28" s="402">
        <f>IF(HC$3=RefiMonth,RefiCashOut,0)</f>
        <v/>
      </c>
      <c r="HD28" s="402">
        <f>IF(HD$3=RefiMonth,RefiCashOut,0)</f>
        <v/>
      </c>
      <c r="HE28" s="402">
        <f>IF(HE$3=RefiMonth,RefiCashOut,0)</f>
        <v/>
      </c>
      <c r="HF28" s="402">
        <f>IF(HF$3=RefiMonth,RefiCashOut,0)</f>
        <v/>
      </c>
      <c r="HG28" s="402">
        <f>IF(HG$3=RefiMonth,RefiCashOut,0)</f>
        <v/>
      </c>
      <c r="HH28" s="402">
        <f>IF(HH$3=RefiMonth,RefiCashOut,0)</f>
        <v/>
      </c>
      <c r="HI28" s="402">
        <f>IF(HI$3=RefiMonth,RefiCashOut,0)</f>
        <v/>
      </c>
      <c r="HJ28" s="402">
        <f>IF(HJ$3=RefiMonth,RefiCashOut,0)</f>
        <v/>
      </c>
      <c r="HK28" s="402">
        <f>IF(HK$3=RefiMonth,RefiCashOut,0)</f>
        <v/>
      </c>
      <c r="HL28" s="402">
        <f>IF(HL$3=RefiMonth,RefiCashOut,0)</f>
        <v/>
      </c>
      <c r="HM28" s="402">
        <f>IF(HM$3=RefiMonth,RefiCashOut,0)</f>
        <v/>
      </c>
      <c r="HN28" s="402">
        <f>IF(HN$3=RefiMonth,RefiCashOut,0)</f>
        <v/>
      </c>
      <c r="HO28" s="402">
        <f>IF(HO$3=RefiMonth,RefiCashOut,0)</f>
        <v/>
      </c>
      <c r="HP28" s="402">
        <f>IF(HP$3=RefiMonth,RefiCashOut,0)</f>
        <v/>
      </c>
      <c r="HQ28" s="402">
        <f>IF(HQ$3=RefiMonth,RefiCashOut,0)</f>
        <v/>
      </c>
      <c r="HR28" s="402">
        <f>IF(HR$3=RefiMonth,RefiCashOut,0)</f>
        <v/>
      </c>
      <c r="HS28" s="402">
        <f>IF(HS$3=RefiMonth,RefiCashOut,0)</f>
        <v/>
      </c>
      <c r="HT28" s="402">
        <f>IF(HT$3=RefiMonth,RefiCashOut,0)</f>
        <v/>
      </c>
      <c r="HU28" s="402">
        <f>IF(HU$3=RefiMonth,RefiCashOut,0)</f>
        <v/>
      </c>
      <c r="HV28" s="402">
        <f>IF(HV$3=RefiMonth,RefiCashOut,0)</f>
        <v/>
      </c>
      <c r="HW28" s="402">
        <f>IF(HW$3=RefiMonth,RefiCashOut,0)</f>
        <v/>
      </c>
      <c r="HX28" s="402">
        <f>IF(HX$3=RefiMonth,RefiCashOut,0)</f>
        <v/>
      </c>
      <c r="HY28" s="402">
        <f>IF(HY$3=RefiMonth,RefiCashOut,0)</f>
        <v/>
      </c>
      <c r="HZ28" s="402">
        <f>IF(HZ$3=RefiMonth,RefiCashOut,0)</f>
        <v/>
      </c>
      <c r="IA28" s="402">
        <f>IF(IA$3=RefiMonth,RefiCashOut,0)</f>
        <v/>
      </c>
      <c r="IB28" s="402">
        <f>IF(IB$3=RefiMonth,RefiCashOut,0)</f>
        <v/>
      </c>
      <c r="IC28" s="402">
        <f>IF(IC$3=RefiMonth,RefiCashOut,0)</f>
        <v/>
      </c>
      <c r="ID28" s="402">
        <f>IF(ID$3=RefiMonth,RefiCashOut,0)</f>
        <v/>
      </c>
      <c r="IE28" s="402">
        <f>IF(IE$3=RefiMonth,RefiCashOut,0)</f>
        <v/>
      </c>
      <c r="IF28" s="402">
        <f>IF(IF$3=RefiMonth,RefiCashOut,0)</f>
        <v/>
      </c>
      <c r="IG28" s="402">
        <f>IF(IG$3=RefiMonth,RefiCashOut,0)</f>
        <v/>
      </c>
      <c r="IH28" s="402">
        <f>IF(IH$3=RefiMonth,RefiCashOut,0)</f>
        <v/>
      </c>
      <c r="II28" s="402">
        <f>IF(II$3=RefiMonth,RefiCashOut,0)</f>
        <v/>
      </c>
      <c r="IJ28" s="402">
        <f>IF(IJ$3=RefiMonth,RefiCashOut,0)</f>
        <v/>
      </c>
      <c r="IK28" s="402">
        <f>IF(IK$3=RefiMonth,RefiCashOut,0)</f>
        <v/>
      </c>
      <c r="IL28" s="402">
        <f>IF(IL$3=RefiMonth,RefiCashOut,0)</f>
        <v/>
      </c>
      <c r="IM28" s="402">
        <f>IF(IM$3=RefiMonth,RefiCashOut,0)</f>
        <v/>
      </c>
      <c r="IN28" s="402">
        <f>IF(IN$3=RefiMonth,RefiCashOut,0)</f>
        <v/>
      </c>
      <c r="IO28" s="402">
        <f>IF(IO$3=RefiMonth,RefiCashOut,0)</f>
        <v/>
      </c>
      <c r="IP28" s="402">
        <f>IF(IP$3=RefiMonth,RefiCashOut,0)</f>
        <v/>
      </c>
      <c r="IQ28" s="402">
        <f>IF(IQ$3=RefiMonth,RefiCashOut,0)</f>
        <v/>
      </c>
      <c r="IR28" s="402">
        <f>IF(IR$3=RefiMonth,RefiCashOut,0)</f>
        <v/>
      </c>
      <c r="IS28" s="402">
        <f>IF(IS$3=RefiMonth,RefiCashOut,0)</f>
        <v/>
      </c>
      <c r="IT28" s="402">
        <f>IF(IT$3=RefiMonth,RefiCashOut,0)</f>
        <v/>
      </c>
      <c r="IU28" s="402">
        <f>IF(IU$3=RefiMonth,RefiCashOut,0)</f>
        <v/>
      </c>
      <c r="IV28" s="402">
        <f>IF(IV$3=RefiMonth,RefiCashOut,0)</f>
        <v/>
      </c>
      <c r="IW28" s="402">
        <f>IF(IW$3=RefiMonth,RefiCashOut,0)</f>
        <v/>
      </c>
      <c r="IX28" s="402">
        <f>IF(IX$3=RefiMonth,RefiCashOut,0)</f>
        <v/>
      </c>
      <c r="IY28" s="402">
        <f>IF(IY$3=RefiMonth,RefiCashOut,0)</f>
        <v/>
      </c>
      <c r="IZ28" s="402">
        <f>IF(IZ$3=RefiMonth,RefiCashOut,0)</f>
        <v/>
      </c>
      <c r="JA28" s="402">
        <f>IF(JA$3=RefiMonth,RefiCashOut,0)</f>
        <v/>
      </c>
      <c r="JB28" s="402">
        <f>IF(JB$3=RefiMonth,RefiCashOut,0)</f>
        <v/>
      </c>
      <c r="JC28" s="402">
        <f>IF(JC$3=RefiMonth,RefiCashOut,0)</f>
        <v/>
      </c>
      <c r="JD28" s="402">
        <f>IF(JD$3=RefiMonth,RefiCashOut,0)</f>
        <v/>
      </c>
      <c r="JE28" s="402">
        <f>IF(JE$3=RefiMonth,RefiCashOut,0)</f>
        <v/>
      </c>
      <c r="JF28" s="402">
        <f>IF(JF$3=RefiMonth,RefiCashOut,0)</f>
        <v/>
      </c>
      <c r="JG28" s="402">
        <f>IF(JG$3=RefiMonth,RefiCashOut,0)</f>
        <v/>
      </c>
      <c r="JH28" s="402">
        <f>IF(JH$3=RefiMonth,RefiCashOut,0)</f>
        <v/>
      </c>
      <c r="JI28" s="402">
        <f>IF(JI$3=RefiMonth,RefiCashOut,0)</f>
        <v/>
      </c>
      <c r="JJ28" s="402">
        <f>IF(JJ$3=RefiMonth,RefiCashOut,0)</f>
        <v/>
      </c>
      <c r="JK28" s="402">
        <f>IF(JK$3=RefiMonth,RefiCashOut,0)</f>
        <v/>
      </c>
      <c r="JL28" s="402">
        <f>IF(JL$3=RefiMonth,RefiCashOut,0)</f>
        <v/>
      </c>
      <c r="JM28" s="402">
        <f>IF(JM$3=RefiMonth,RefiCashOut,0)</f>
        <v/>
      </c>
      <c r="JN28" s="402">
        <f>IF(JN$3=RefiMonth,RefiCashOut,0)</f>
        <v/>
      </c>
      <c r="JO28" s="402">
        <f>IF(JO$3=RefiMonth,RefiCashOut,0)</f>
        <v/>
      </c>
      <c r="JP28" s="402">
        <f>IF(JP$3=RefiMonth,RefiCashOut,0)</f>
        <v/>
      </c>
      <c r="JQ28" s="402">
        <f>IF(JQ$3=RefiMonth,RefiCashOut,0)</f>
        <v/>
      </c>
      <c r="JR28" s="402">
        <f>IF(JR$3=RefiMonth,RefiCashOut,0)</f>
        <v/>
      </c>
      <c r="JS28" s="402">
        <f>IF(JS$3=RefiMonth,RefiCashOut,0)</f>
        <v/>
      </c>
      <c r="JT28" s="402">
        <f>IF(JT$3=RefiMonth,RefiCashOut,0)</f>
        <v/>
      </c>
      <c r="JU28" s="402">
        <f>IF(JU$3=RefiMonth,RefiCashOut,0)</f>
        <v/>
      </c>
      <c r="JV28" s="402">
        <f>IF(JV$3=RefiMonth,RefiCashOut,0)</f>
        <v/>
      </c>
      <c r="JW28" s="402">
        <f>IF(JW$3=RefiMonth,RefiCashOut,0)</f>
        <v/>
      </c>
      <c r="JX28" s="402">
        <f>IF(JX$3=RefiMonth,RefiCashOut,0)</f>
        <v/>
      </c>
      <c r="JY28" s="402">
        <f>IF(JY$3=RefiMonth,RefiCashOut,0)</f>
        <v/>
      </c>
      <c r="JZ28" s="402">
        <f>IF(JZ$3=RefiMonth,RefiCashOut,0)</f>
        <v/>
      </c>
      <c r="KA28" s="402">
        <f>IF(KA$3=RefiMonth,RefiCashOut,0)</f>
        <v/>
      </c>
      <c r="KB28" s="402">
        <f>IF(KB$3=RefiMonth,RefiCashOut,0)</f>
        <v/>
      </c>
      <c r="KC28" s="402">
        <f>IF(KC$3=RefiMonth,RefiCashOut,0)</f>
        <v/>
      </c>
      <c r="KD28" s="402">
        <f>IF(KD$3=RefiMonth,RefiCashOut,0)</f>
        <v/>
      </c>
      <c r="KE28" s="402">
        <f>IF(KE$3=RefiMonth,RefiCashOut,0)</f>
        <v/>
      </c>
      <c r="KF28" s="402">
        <f>IF(KF$3=RefiMonth,RefiCashOut,0)</f>
        <v/>
      </c>
      <c r="KG28" s="402">
        <f>IF(KG$3=RefiMonth,RefiCashOut,0)</f>
        <v/>
      </c>
      <c r="KH28" s="402">
        <f>IF(KH$3=RefiMonth,RefiCashOut,0)</f>
        <v/>
      </c>
      <c r="KI28" s="402">
        <f>IF(KI$3=RefiMonth,RefiCashOut,0)</f>
        <v/>
      </c>
      <c r="KJ28" s="402">
        <f>IF(KJ$3=RefiMonth,RefiCashOut,0)</f>
        <v/>
      </c>
      <c r="KK28" s="402">
        <f>IF(KK$3=RefiMonth,RefiCashOut,0)</f>
        <v/>
      </c>
      <c r="KL28" s="402">
        <f>IF(KL$3=RefiMonth,RefiCashOut,0)</f>
        <v/>
      </c>
      <c r="KM28" s="402">
        <f>IF(KM$3=RefiMonth,RefiCashOut,0)</f>
        <v/>
      </c>
      <c r="KN28" s="402">
        <f>IF(KN$3=RefiMonth,RefiCashOut,0)</f>
        <v/>
      </c>
      <c r="KO28" s="402">
        <f>IF(KO$3=RefiMonth,RefiCashOut,0)</f>
        <v/>
      </c>
      <c r="KP28" s="402">
        <f>IF(KP$3=RefiMonth,RefiCashOut,0)</f>
        <v/>
      </c>
      <c r="KQ28" s="402">
        <f>IF(KQ$3=RefiMonth,RefiCashOut,0)</f>
        <v/>
      </c>
      <c r="KR28" s="402">
        <f>IF(KR$3=RefiMonth,RefiCashOut,0)</f>
        <v/>
      </c>
      <c r="KS28" s="402">
        <f>IF(KS$3=RefiMonth,RefiCashOut,0)</f>
        <v/>
      </c>
      <c r="KT28" s="402">
        <f>IF(KT$3=RefiMonth,RefiCashOut,0)</f>
        <v/>
      </c>
      <c r="KU28" s="402">
        <f>IF(KU$3=RefiMonth,RefiCashOut,0)</f>
        <v/>
      </c>
      <c r="KV28" s="402">
        <f>IF(KV$3=RefiMonth,RefiCashOut,0)</f>
        <v/>
      </c>
      <c r="KW28" s="402">
        <f>IF(KW$3=RefiMonth,RefiCashOut,0)</f>
        <v/>
      </c>
      <c r="KX28" s="402">
        <f>IF(KX$3=RefiMonth,RefiCashOut,0)</f>
        <v/>
      </c>
      <c r="KY28" s="402">
        <f>IF(KY$3=RefiMonth,RefiCashOut,0)</f>
        <v/>
      </c>
      <c r="KZ28" s="402">
        <f>IF(KZ$3=RefiMonth,RefiCashOut,0)</f>
        <v/>
      </c>
      <c r="LA28" s="402">
        <f>IF(LA$3=RefiMonth,RefiCashOut,0)</f>
        <v/>
      </c>
      <c r="LB28" s="402">
        <f>IF(LB$3=RefiMonth,RefiCashOut,0)</f>
        <v/>
      </c>
      <c r="LC28" s="402">
        <f>IF(LC$3=RefiMonth,RefiCashOut,0)</f>
        <v/>
      </c>
      <c r="LD28" s="402">
        <f>IF(LD$3=RefiMonth,RefiCashOut,0)</f>
        <v/>
      </c>
      <c r="LE28" s="402">
        <f>IF(LE$3=RefiMonth,RefiCashOut,0)</f>
        <v/>
      </c>
      <c r="LF28" s="402">
        <f>IF(LF$3=RefiMonth,RefiCashOut,0)</f>
        <v/>
      </c>
      <c r="LG28" s="402">
        <f>IF(LG$3=RefiMonth,RefiCashOut,0)</f>
        <v/>
      </c>
      <c r="LH28" s="402">
        <f>IF(LH$3=RefiMonth,RefiCashOut,0)</f>
        <v/>
      </c>
      <c r="LI28" s="402">
        <f>IF(LI$3=RefiMonth,RefiCashOut,0)</f>
        <v/>
      </c>
      <c r="LJ28" s="402">
        <f>IF(LJ$3=RefiMonth,RefiCashOut,0)</f>
        <v/>
      </c>
      <c r="LK28" s="402">
        <f>IF(LK$3=RefiMonth,RefiCashOut,0)</f>
        <v/>
      </c>
      <c r="LL28" s="402">
        <f>IF(LL$3=RefiMonth,RefiCashOut,0)</f>
        <v/>
      </c>
      <c r="LM28" s="402">
        <f>IF(LM$3=RefiMonth,RefiCashOut,0)</f>
        <v/>
      </c>
      <c r="LN28" s="402">
        <f>IF(LN$3=RefiMonth,RefiCashOut,0)</f>
        <v/>
      </c>
      <c r="LO28" s="402">
        <f>IF(LO$3=RefiMonth,RefiCashOut,0)</f>
        <v/>
      </c>
      <c r="LP28" s="402">
        <f>IF(LP$3=RefiMonth,RefiCashOut,0)</f>
        <v/>
      </c>
      <c r="LQ28" s="402">
        <f>IF(LQ$3=RefiMonth,RefiCashOut,0)</f>
        <v/>
      </c>
      <c r="LR28" s="402">
        <f>IF(LR$3=RefiMonth,RefiCashOut,0)</f>
        <v/>
      </c>
      <c r="LS28" s="402">
        <f>IF(LS$3=RefiMonth,RefiCashOut,0)</f>
        <v/>
      </c>
      <c r="LT28" s="402">
        <f>IF(LT$3=RefiMonth,RefiCashOut,0)</f>
        <v/>
      </c>
      <c r="LU28" s="402">
        <f>IF(LU$3=RefiMonth,RefiCashOut,0)</f>
        <v/>
      </c>
      <c r="LV28" s="402">
        <f>IF(LV$3=RefiMonth,RefiCashOut,0)</f>
        <v/>
      </c>
      <c r="LW28" s="402">
        <f>IF(LW$3=RefiMonth,RefiCashOut,0)</f>
        <v/>
      </c>
      <c r="LX28" s="402">
        <f>IF(LX$3=RefiMonth,RefiCashOut,0)</f>
        <v/>
      </c>
      <c r="LY28" s="402">
        <f>IF(LY$3=RefiMonth,RefiCashOut,0)</f>
        <v/>
      </c>
      <c r="LZ28" s="402">
        <f>IF(LZ$3=RefiMonth,RefiCashOut,0)</f>
        <v/>
      </c>
      <c r="MA28" s="402">
        <f>IF(MA$3=RefiMonth,RefiCashOut,0)</f>
        <v/>
      </c>
      <c r="MB28" s="402">
        <f>IF(MB$3=RefiMonth,RefiCashOut,0)</f>
        <v/>
      </c>
      <c r="MC28" s="402">
        <f>IF(MC$3=RefiMonth,RefiCashOut,0)</f>
        <v/>
      </c>
      <c r="MD28" s="402">
        <f>IF(MD$3=RefiMonth,RefiCashOut,0)</f>
        <v/>
      </c>
      <c r="ME28" s="402">
        <f>IF(ME$3=RefiMonth,RefiCashOut,0)</f>
        <v/>
      </c>
      <c r="MF28" s="402">
        <f>IF(MF$3=RefiMonth,RefiCashOut,0)</f>
        <v/>
      </c>
      <c r="MG28" s="402">
        <f>IF(MG$3=RefiMonth,RefiCashOut,0)</f>
        <v/>
      </c>
      <c r="MH28" s="402">
        <f>IF(MH$3=RefiMonth,RefiCashOut,0)</f>
        <v/>
      </c>
      <c r="MI28" s="402">
        <f>IF(MI$3=RefiMonth,RefiCashOut,0)</f>
        <v/>
      </c>
      <c r="MJ28" s="402">
        <f>IF(MJ$3=RefiMonth,RefiCashOut,0)</f>
        <v/>
      </c>
      <c r="MK28" s="402">
        <f>IF(MK$3=RefiMonth,RefiCashOut,0)</f>
        <v/>
      </c>
      <c r="ML28" s="402">
        <f>IF(ML$3=RefiMonth,RefiCashOut,0)</f>
        <v/>
      </c>
      <c r="MM28" s="402">
        <f>IF(MM$3=RefiMonth,RefiCashOut,0)</f>
        <v/>
      </c>
      <c r="MN28" s="402">
        <f>IF(MN$3=RefiMonth,RefiCashOut,0)</f>
        <v/>
      </c>
      <c r="MO28" s="402">
        <f>IF(MO$3=RefiMonth,RefiCashOut,0)</f>
        <v/>
      </c>
      <c r="MP28" s="402">
        <f>IF(MP$3=RefiMonth,RefiCashOut,0)</f>
        <v/>
      </c>
      <c r="MQ28" s="402">
        <f>IF(MQ$3=RefiMonth,RefiCashOut,0)</f>
        <v/>
      </c>
      <c r="MR28" s="402">
        <f>IF(MR$3=RefiMonth,RefiCashOut,0)</f>
        <v/>
      </c>
      <c r="MS28" s="402">
        <f>IF(MS$3=RefiMonth,RefiCashOut,0)</f>
        <v/>
      </c>
      <c r="MT28" s="402">
        <f>IF(MT$3=RefiMonth,RefiCashOut,0)</f>
        <v/>
      </c>
      <c r="MU28" s="402">
        <f>IF(MU$3=RefiMonth,RefiCashOut,0)</f>
        <v/>
      </c>
      <c r="MV28" s="402">
        <f>IF(MV$3=RefiMonth,RefiCashOut,0)</f>
        <v/>
      </c>
      <c r="MW28" s="402">
        <f>IF(MW$3=RefiMonth,RefiCashOut,0)</f>
        <v/>
      </c>
      <c r="MX28" s="402">
        <f>IF(MX$3=RefiMonth,RefiCashOut,0)</f>
        <v/>
      </c>
      <c r="MY28" s="402">
        <f>IF(MY$3=RefiMonth,RefiCashOut,0)</f>
        <v/>
      </c>
      <c r="MZ28" s="402">
        <f>IF(MZ$3=RefiMonth,RefiCashOut,0)</f>
        <v/>
      </c>
      <c r="NA28" s="402">
        <f>IF(NA$3=RefiMonth,RefiCashOut,0)</f>
        <v/>
      </c>
      <c r="NB28" s="402">
        <f>IF(NB$3=RefiMonth,RefiCashOut,0)</f>
        <v/>
      </c>
      <c r="NC28" s="402">
        <f>IF(NC$3=RefiMonth,RefiCashOut,0)</f>
        <v/>
      </c>
      <c r="ND28" s="402">
        <f>IF(ND$3=RefiMonth,RefiCashOut,0)</f>
        <v/>
      </c>
      <c r="NE28" s="402">
        <f>IF(NE$3=RefiMonth,RefiCashOut,0)</f>
        <v/>
      </c>
      <c r="NF28" s="402">
        <f>IF(NF$3=RefiMonth,RefiCashOut,0)</f>
        <v/>
      </c>
      <c r="NG28" s="402">
        <f>IF(NG$3=RefiMonth,RefiCashOut,0)</f>
        <v/>
      </c>
      <c r="NH28" s="402">
        <f>IF(NH$3=RefiMonth,RefiCashOut,0)</f>
        <v/>
      </c>
      <c r="NI28" s="402">
        <f>IF(NI$3=RefiMonth,RefiCashOut,0)</f>
        <v/>
      </c>
      <c r="NJ28" s="402">
        <f>IF(NJ$3=RefiMonth,RefiCashOut,0)</f>
        <v/>
      </c>
      <c r="NK28" s="402">
        <f>IF(NK$3=RefiMonth,RefiCashOut,0)</f>
        <v/>
      </c>
      <c r="NL28" s="402">
        <f>IF(NL$3=RefiMonth,RefiCashOut,0)</f>
        <v/>
      </c>
    </row>
    <row r="29">
      <c r="B29" s="384" t="inlineStr">
        <is>
          <t>Operations</t>
        </is>
      </c>
      <c r="D29" s="401" t="inlineStr"/>
      <c r="E29" s="155" t="n"/>
      <c r="F29" s="155" t="n"/>
      <c r="G29" s="155" t="n"/>
      <c r="H29" s="155" t="n"/>
      <c r="I29" s="155" t="n"/>
      <c r="J29" s="155" t="n"/>
      <c r="K29" s="155" t="n"/>
      <c r="L29" s="155" t="n"/>
      <c r="M29" s="155" t="n"/>
      <c r="N29" s="155" t="n"/>
      <c r="O29" s="155" t="n"/>
      <c r="P29" s="155" t="n"/>
      <c r="Q29" s="155" t="n"/>
      <c r="R29" s="155" t="n"/>
      <c r="S29" s="155" t="n"/>
      <c r="T29" s="155" t="n"/>
      <c r="U29" s="155" t="n"/>
      <c r="V29" s="155" t="n"/>
      <c r="W29" s="155" t="n"/>
      <c r="X29" s="155" t="n"/>
      <c r="Y29" s="155" t="n"/>
      <c r="Z29" s="155" t="n"/>
      <c r="AA29" s="155" t="n"/>
      <c r="AB29" s="155" t="n"/>
      <c r="AC29" s="155" t="n"/>
      <c r="AD29" s="155" t="n"/>
      <c r="AE29" s="155" t="n"/>
      <c r="AF29" s="155" t="n"/>
      <c r="AG29" s="155" t="n"/>
      <c r="AH29" s="155" t="n"/>
      <c r="AI29" s="155" t="n"/>
      <c r="AJ29" s="155" t="n"/>
      <c r="AK29" s="155" t="n"/>
      <c r="AL29" s="155" t="n"/>
      <c r="AM29" s="155" t="n"/>
      <c r="AN29" s="155" t="n"/>
      <c r="AO29" s="155" t="n"/>
      <c r="AP29" s="155" t="n"/>
      <c r="AQ29" s="155" t="n"/>
      <c r="AR29" s="155" t="n"/>
      <c r="AS29" s="155" t="n"/>
      <c r="AT29" s="155" t="n"/>
      <c r="AU29" s="155" t="n"/>
      <c r="AV29" s="155" t="n"/>
      <c r="AW29" s="155" t="n"/>
      <c r="AX29" s="155" t="n"/>
      <c r="AY29" s="155" t="n"/>
      <c r="AZ29" s="155" t="n"/>
      <c r="BA29" s="155" t="n"/>
      <c r="BB29" s="155" t="n"/>
      <c r="BC29" s="155" t="n"/>
      <c r="BD29" s="155" t="n"/>
      <c r="BE29" s="155" t="n"/>
      <c r="BF29" s="155" t="n"/>
      <c r="BG29" s="155" t="n"/>
      <c r="BH29" s="155" t="n"/>
      <c r="BI29" s="155" t="n"/>
      <c r="BJ29" s="155" t="n"/>
      <c r="BK29" s="155" t="n"/>
      <c r="BL29" s="155" t="n"/>
      <c r="BM29" s="155" t="n"/>
      <c r="BN29" s="155" t="n"/>
      <c r="BO29" s="155" t="n"/>
      <c r="BP29" s="155" t="n"/>
      <c r="BQ29" s="155" t="n"/>
      <c r="BR29" s="155" t="n"/>
      <c r="BS29" s="155" t="n"/>
      <c r="BT29" s="155" t="n"/>
      <c r="BU29" s="155" t="n"/>
      <c r="BV29" s="155" t="n"/>
      <c r="BW29" s="155" t="n"/>
      <c r="BX29" s="155" t="n"/>
      <c r="BY29" s="155" t="n"/>
      <c r="BZ29" s="155" t="n"/>
      <c r="CA29" s="155" t="n"/>
      <c r="CB29" s="155" t="n"/>
      <c r="CC29" s="155" t="n"/>
      <c r="CD29" s="155" t="n"/>
      <c r="CE29" s="155" t="n"/>
      <c r="CF29" s="155" t="n"/>
      <c r="CG29" s="155" t="n"/>
      <c r="CH29" s="155" t="n"/>
      <c r="CI29" s="155" t="n"/>
      <c r="CJ29" s="155" t="n"/>
      <c r="CK29" s="155" t="n"/>
      <c r="CL29" s="155" t="n"/>
      <c r="CM29" s="155" t="n"/>
      <c r="CN29" s="155" t="n"/>
      <c r="CO29" s="155" t="n"/>
      <c r="CP29" s="155" t="n"/>
      <c r="CQ29" s="155" t="n"/>
      <c r="CR29" s="155" t="n"/>
      <c r="CS29" s="155" t="n"/>
      <c r="CT29" s="155" t="n"/>
      <c r="CU29" s="155" t="n"/>
      <c r="CV29" s="155" t="n"/>
      <c r="CW29" s="155" t="n"/>
      <c r="CX29" s="155" t="n"/>
      <c r="CY29" s="155" t="n"/>
      <c r="CZ29" s="155" t="n"/>
      <c r="DA29" s="155" t="n"/>
      <c r="DB29" s="155" t="n"/>
      <c r="DC29" s="155" t="n"/>
      <c r="DD29" s="155" t="n"/>
      <c r="DE29" s="155" t="n"/>
      <c r="DF29" s="155" t="n"/>
      <c r="DG29" s="155" t="n"/>
      <c r="DH29" s="155" t="n"/>
      <c r="DI29" s="155" t="n"/>
      <c r="DJ29" s="155" t="n"/>
      <c r="DK29" s="155" t="n"/>
      <c r="DL29" s="155" t="n"/>
      <c r="DM29" s="155" t="n"/>
      <c r="DN29" s="155" t="n"/>
      <c r="DO29" s="155" t="n"/>
      <c r="DP29" s="155" t="n"/>
      <c r="DQ29" s="155" t="n"/>
      <c r="DR29" s="155" t="n"/>
      <c r="DS29" s="155" t="n"/>
      <c r="DT29" s="155" t="n"/>
      <c r="DU29" s="155" t="n"/>
      <c r="DV29" s="155" t="n"/>
      <c r="DW29" s="155" t="n"/>
      <c r="DX29" s="155" t="n"/>
      <c r="DY29" s="155" t="n"/>
      <c r="DZ29" s="155" t="n"/>
      <c r="EA29" s="155" t="n"/>
      <c r="EB29" s="155" t="n"/>
      <c r="EC29" s="155" t="n"/>
      <c r="ED29" s="155" t="n"/>
      <c r="EE29" s="155" t="n"/>
      <c r="EF29" s="155" t="n"/>
      <c r="EG29" s="155" t="n"/>
      <c r="EH29" s="155" t="n"/>
      <c r="EI29" s="155" t="n"/>
      <c r="EJ29" s="155" t="n"/>
      <c r="EK29" s="155" t="n"/>
      <c r="EL29" s="155" t="n"/>
      <c r="EM29" s="155" t="n"/>
      <c r="EN29" s="155" t="n"/>
      <c r="EO29" s="155" t="n"/>
      <c r="EP29" s="155" t="n"/>
      <c r="EQ29" s="155" t="n"/>
      <c r="ER29" s="155" t="n"/>
      <c r="ES29" s="155" t="n"/>
      <c r="ET29" s="155" t="n"/>
      <c r="EU29" s="155" t="n"/>
      <c r="EV29" s="155" t="n"/>
      <c r="EW29" s="155" t="n"/>
      <c r="EX29" s="155" t="n"/>
      <c r="EY29" s="155" t="n"/>
      <c r="EZ29" s="155" t="n"/>
      <c r="FA29" s="155" t="n"/>
      <c r="FB29" s="155" t="n"/>
      <c r="FC29" s="155" t="n"/>
      <c r="FD29" s="155" t="n"/>
      <c r="FE29" s="155" t="n"/>
      <c r="FF29" s="155" t="n"/>
      <c r="FG29" s="155" t="n"/>
      <c r="FH29" s="155" t="n"/>
      <c r="FI29" s="155" t="n"/>
      <c r="FJ29" s="155" t="n"/>
      <c r="FK29" s="155" t="n"/>
      <c r="FL29" s="155" t="n"/>
      <c r="FM29" s="155" t="n"/>
      <c r="FN29" s="155" t="n"/>
      <c r="FO29" s="155" t="n"/>
      <c r="FP29" s="155" t="n"/>
      <c r="FQ29" s="155" t="n"/>
      <c r="FR29" s="155" t="n"/>
      <c r="FS29" s="155" t="n"/>
      <c r="FT29" s="155" t="n"/>
      <c r="FU29" s="155" t="n"/>
      <c r="FV29" s="155" t="n"/>
      <c r="FW29" s="155" t="n"/>
      <c r="FX29" s="155" t="n"/>
      <c r="FY29" s="155" t="n"/>
      <c r="FZ29" s="155" t="n"/>
      <c r="GA29" s="155" t="n"/>
      <c r="GB29" s="155" t="n"/>
      <c r="GC29" s="155" t="n"/>
      <c r="GD29" s="155" t="n"/>
      <c r="GE29" s="155" t="n"/>
      <c r="GF29" s="155" t="n"/>
      <c r="GG29" s="155" t="n"/>
      <c r="GH29" s="155" t="n"/>
      <c r="GI29" s="155" t="n"/>
      <c r="GJ29" s="155" t="n"/>
      <c r="GK29" s="155" t="n"/>
      <c r="GL29" s="155" t="n"/>
      <c r="GM29" s="155" t="n"/>
      <c r="GN29" s="155" t="n"/>
      <c r="GO29" s="155" t="n"/>
      <c r="GP29" s="155" t="n"/>
      <c r="GQ29" s="155" t="n"/>
      <c r="GR29" s="155" t="n"/>
      <c r="GS29" s="155" t="n"/>
      <c r="GT29" s="155" t="n"/>
      <c r="GU29" s="155" t="n"/>
      <c r="GV29" s="155" t="n"/>
      <c r="GW29" s="155" t="n"/>
      <c r="GX29" s="155" t="n"/>
      <c r="GY29" s="155" t="n"/>
      <c r="GZ29" s="155" t="n"/>
      <c r="HA29" s="155" t="n"/>
      <c r="HB29" s="155" t="n"/>
      <c r="HC29" s="155" t="n"/>
      <c r="HD29" s="155" t="n"/>
      <c r="HE29" s="155" t="n"/>
      <c r="HF29" s="155" t="n"/>
      <c r="HG29" s="155" t="n"/>
      <c r="HH29" s="155" t="n"/>
      <c r="HI29" s="155" t="n"/>
      <c r="HJ29" s="155" t="n"/>
      <c r="HK29" s="155" t="n"/>
      <c r="HL29" s="155" t="n"/>
      <c r="HM29" s="155" t="n"/>
      <c r="HN29" s="155" t="n"/>
      <c r="HO29" s="155" t="n"/>
      <c r="HP29" s="155" t="n"/>
      <c r="HQ29" s="155" t="n"/>
      <c r="HR29" s="155" t="n"/>
      <c r="HS29" s="155" t="n"/>
      <c r="HT29" s="155" t="n"/>
      <c r="HU29" s="155" t="n"/>
      <c r="HV29" s="155" t="n"/>
      <c r="HW29" s="155" t="n"/>
      <c r="HX29" s="155" t="n"/>
      <c r="HY29" s="155" t="n"/>
      <c r="HZ29" s="155" t="n"/>
      <c r="IA29" s="155" t="n"/>
      <c r="IB29" s="155" t="n"/>
      <c r="IC29" s="155" t="n"/>
      <c r="ID29" s="155" t="n"/>
      <c r="IE29" s="155" t="n"/>
      <c r="IF29" s="155" t="n"/>
      <c r="IG29" s="155" t="n"/>
      <c r="IH29" s="155" t="n"/>
      <c r="II29" s="155" t="n"/>
      <c r="IJ29" s="155" t="n"/>
      <c r="IK29" s="155" t="n"/>
      <c r="IL29" s="155" t="n"/>
      <c r="IM29" s="155" t="n"/>
      <c r="IN29" s="155" t="n"/>
      <c r="IO29" s="155" t="n"/>
      <c r="IP29" s="155" t="n"/>
      <c r="IQ29" s="155" t="n"/>
      <c r="IR29" s="155" t="n"/>
      <c r="IS29" s="155" t="n"/>
      <c r="IT29" s="155" t="n"/>
      <c r="IU29" s="155" t="n"/>
      <c r="IV29" s="155" t="n"/>
      <c r="IW29" s="155" t="n"/>
      <c r="IX29" s="155" t="n"/>
      <c r="IY29" s="155" t="n"/>
      <c r="IZ29" s="155" t="n"/>
      <c r="JA29" s="155" t="n"/>
      <c r="JB29" s="155" t="n"/>
      <c r="JC29" s="155" t="n"/>
      <c r="JD29" s="155" t="n"/>
      <c r="JE29" s="155" t="n"/>
      <c r="JF29" s="155" t="n"/>
      <c r="JG29" s="155" t="n"/>
      <c r="JH29" s="155" t="n"/>
      <c r="JI29" s="155" t="n"/>
      <c r="JJ29" s="155" t="n"/>
      <c r="JK29" s="155" t="n"/>
      <c r="JL29" s="155" t="n"/>
      <c r="JM29" s="155" t="n"/>
      <c r="JN29" s="155" t="n"/>
      <c r="JO29" s="155" t="n"/>
      <c r="JP29" s="155" t="n"/>
      <c r="JQ29" s="155" t="n"/>
      <c r="JR29" s="155" t="n"/>
      <c r="JS29" s="155" t="n"/>
      <c r="JT29" s="155" t="n"/>
      <c r="JU29" s="155" t="n"/>
      <c r="JV29" s="155" t="n"/>
      <c r="JW29" s="155" t="n"/>
      <c r="JX29" s="155" t="n"/>
      <c r="JY29" s="155" t="n"/>
      <c r="JZ29" s="155" t="n"/>
      <c r="KA29" s="155" t="n"/>
      <c r="KB29" s="155" t="n"/>
      <c r="KC29" s="155" t="n"/>
      <c r="KD29" s="155" t="n"/>
      <c r="KE29" s="155" t="n"/>
      <c r="KF29" s="155" t="n"/>
      <c r="KG29" s="155" t="n"/>
      <c r="KH29" s="155" t="n"/>
      <c r="KI29" s="155" t="n"/>
      <c r="KJ29" s="155" t="n"/>
      <c r="KK29" s="155" t="n"/>
      <c r="KL29" s="155" t="n"/>
      <c r="KM29" s="155" t="n"/>
      <c r="KN29" s="155" t="n"/>
      <c r="KO29" s="155" t="n"/>
      <c r="KP29" s="155" t="n"/>
      <c r="KQ29" s="155" t="n"/>
      <c r="KR29" s="155" t="n"/>
      <c r="KS29" s="155" t="n"/>
      <c r="KT29" s="155" t="n"/>
      <c r="KU29" s="155" t="n"/>
      <c r="KV29" s="155" t="n"/>
      <c r="KW29" s="155" t="n"/>
      <c r="KX29" s="155" t="n"/>
      <c r="KY29" s="155" t="n"/>
      <c r="KZ29" s="155" t="n"/>
      <c r="LA29" s="155" t="n"/>
      <c r="LB29" s="155" t="n"/>
      <c r="LC29" s="155" t="n"/>
      <c r="LD29" s="155" t="n"/>
      <c r="LE29" s="155" t="n"/>
      <c r="LF29" s="155" t="n"/>
      <c r="LG29" s="155" t="n"/>
      <c r="LH29" s="155" t="n"/>
      <c r="LI29" s="155" t="n"/>
      <c r="LJ29" s="155" t="n"/>
      <c r="LK29" s="155" t="n"/>
      <c r="LL29" s="155" t="n"/>
      <c r="LM29" s="155" t="n"/>
      <c r="LN29" s="155" t="n"/>
      <c r="LO29" s="155" t="n"/>
      <c r="LP29" s="155" t="n"/>
      <c r="LQ29" s="155" t="n"/>
      <c r="LR29" s="155" t="n"/>
      <c r="LS29" s="155" t="n"/>
      <c r="LT29" s="155" t="n"/>
      <c r="LU29" s="155" t="n"/>
      <c r="LV29" s="155" t="n"/>
      <c r="LW29" s="155" t="n"/>
      <c r="LX29" s="155" t="n"/>
      <c r="LY29" s="155" t="n"/>
      <c r="LZ29" s="155" t="n"/>
      <c r="MA29" s="155" t="n"/>
      <c r="MB29" s="155" t="n"/>
      <c r="MC29" s="155" t="n"/>
      <c r="MD29" s="155" t="n"/>
      <c r="ME29" s="155" t="n"/>
      <c r="MF29" s="155" t="n"/>
      <c r="MG29" s="155" t="n"/>
      <c r="MH29" s="155" t="n"/>
      <c r="MI29" s="155" t="n"/>
      <c r="MJ29" s="155" t="n"/>
      <c r="MK29" s="155" t="n"/>
      <c r="ML29" s="155" t="n"/>
      <c r="MM29" s="155" t="n"/>
      <c r="MN29" s="155" t="n"/>
      <c r="MO29" s="155" t="n"/>
      <c r="MP29" s="155" t="n"/>
      <c r="MQ29" s="155" t="n"/>
      <c r="MR29" s="155" t="n"/>
      <c r="MS29" s="155" t="n"/>
      <c r="MT29" s="155" t="n"/>
      <c r="MU29" s="155" t="n"/>
      <c r="MV29" s="155" t="n"/>
      <c r="MW29" s="155" t="n"/>
      <c r="MX29" s="155" t="n"/>
      <c r="MY29" s="155" t="n"/>
      <c r="MZ29" s="155" t="n"/>
      <c r="NA29" s="155" t="n"/>
      <c r="NB29" s="155" t="n"/>
      <c r="NC29" s="155" t="n"/>
      <c r="ND29" s="155" t="n"/>
      <c r="NE29" s="155" t="n"/>
      <c r="NF29" s="155" t="n"/>
      <c r="NG29" s="155" t="n"/>
      <c r="NH29" s="155" t="n"/>
      <c r="NI29" s="155" t="n"/>
      <c r="NJ29" s="155" t="n"/>
      <c r="NK29" s="155" t="n"/>
      <c r="NL29" s="155" t="n"/>
    </row>
    <row r="30">
      <c r="B30" s="316" t="inlineStr">
        <is>
          <t>Effective Gross Income</t>
        </is>
      </c>
      <c r="D30" s="402">
        <f>SUM(E30:NL30)</f>
        <v/>
      </c>
      <c r="E30" s="402">
        <f>Operating!E$23</f>
        <v/>
      </c>
      <c r="F30" s="402">
        <f>Operating!F$23</f>
        <v/>
      </c>
      <c r="G30" s="402">
        <f>Operating!G$23</f>
        <v/>
      </c>
      <c r="H30" s="402">
        <f>Operating!H$23</f>
        <v/>
      </c>
      <c r="I30" s="402">
        <f>Operating!I$23</f>
        <v/>
      </c>
      <c r="J30" s="402">
        <f>Operating!J$23</f>
        <v/>
      </c>
      <c r="K30" s="402">
        <f>Operating!K$23</f>
        <v/>
      </c>
      <c r="L30" s="402">
        <f>Operating!L$23</f>
        <v/>
      </c>
      <c r="M30" s="402">
        <f>Operating!M$23</f>
        <v/>
      </c>
      <c r="N30" s="402">
        <f>Operating!N$23</f>
        <v/>
      </c>
      <c r="O30" s="402">
        <f>Operating!O$23</f>
        <v/>
      </c>
      <c r="P30" s="402">
        <f>Operating!P$23</f>
        <v/>
      </c>
      <c r="Q30" s="402">
        <f>Operating!Q$23</f>
        <v/>
      </c>
      <c r="R30" s="402">
        <f>Operating!R$23</f>
        <v/>
      </c>
      <c r="S30" s="402">
        <f>Operating!S$23</f>
        <v/>
      </c>
      <c r="T30" s="402">
        <f>Operating!T$23</f>
        <v/>
      </c>
      <c r="U30" s="402">
        <f>Operating!U$23</f>
        <v/>
      </c>
      <c r="V30" s="402">
        <f>Operating!V$23</f>
        <v/>
      </c>
      <c r="W30" s="402">
        <f>Operating!W$23</f>
        <v/>
      </c>
      <c r="X30" s="402">
        <f>Operating!X$23</f>
        <v/>
      </c>
      <c r="Y30" s="402">
        <f>Operating!Y$23</f>
        <v/>
      </c>
      <c r="Z30" s="402">
        <f>Operating!Z$23</f>
        <v/>
      </c>
      <c r="AA30" s="402">
        <f>Operating!AA$23</f>
        <v/>
      </c>
      <c r="AB30" s="402">
        <f>Operating!AB$23</f>
        <v/>
      </c>
      <c r="AC30" s="402">
        <f>Operating!AC$23</f>
        <v/>
      </c>
      <c r="AD30" s="402">
        <f>Operating!AD$23</f>
        <v/>
      </c>
      <c r="AE30" s="402">
        <f>Operating!AE$23</f>
        <v/>
      </c>
      <c r="AF30" s="402">
        <f>Operating!AF$23</f>
        <v/>
      </c>
      <c r="AG30" s="402">
        <f>Operating!AG$23</f>
        <v/>
      </c>
      <c r="AH30" s="402">
        <f>Operating!AH$23</f>
        <v/>
      </c>
      <c r="AI30" s="402">
        <f>Operating!AI$23</f>
        <v/>
      </c>
      <c r="AJ30" s="402">
        <f>Operating!AJ$23</f>
        <v/>
      </c>
      <c r="AK30" s="402">
        <f>Operating!AK$23</f>
        <v/>
      </c>
      <c r="AL30" s="402">
        <f>Operating!AL$23</f>
        <v/>
      </c>
      <c r="AM30" s="402">
        <f>Operating!AM$23</f>
        <v/>
      </c>
      <c r="AN30" s="402">
        <f>Operating!AN$23</f>
        <v/>
      </c>
      <c r="AO30" s="402">
        <f>Operating!AO$23</f>
        <v/>
      </c>
      <c r="AP30" s="402">
        <f>Operating!AP$23</f>
        <v/>
      </c>
      <c r="AQ30" s="402">
        <f>Operating!AQ$23</f>
        <v/>
      </c>
      <c r="AR30" s="402">
        <f>Operating!AR$23</f>
        <v/>
      </c>
      <c r="AS30" s="402">
        <f>Operating!AS$23</f>
        <v/>
      </c>
      <c r="AT30" s="402">
        <f>Operating!AT$23</f>
        <v/>
      </c>
      <c r="AU30" s="402">
        <f>Operating!AU$23</f>
        <v/>
      </c>
      <c r="AV30" s="402">
        <f>Operating!AV$23</f>
        <v/>
      </c>
      <c r="AW30" s="402">
        <f>Operating!AW$23</f>
        <v/>
      </c>
      <c r="AX30" s="402">
        <f>Operating!AX$23</f>
        <v/>
      </c>
      <c r="AY30" s="402">
        <f>Operating!AY$23</f>
        <v/>
      </c>
      <c r="AZ30" s="402">
        <f>Operating!AZ$23</f>
        <v/>
      </c>
      <c r="BA30" s="402">
        <f>Operating!BA$23</f>
        <v/>
      </c>
      <c r="BB30" s="402">
        <f>Operating!BB$23</f>
        <v/>
      </c>
      <c r="BC30" s="402">
        <f>Operating!BC$23</f>
        <v/>
      </c>
      <c r="BD30" s="402">
        <f>Operating!BD$23</f>
        <v/>
      </c>
      <c r="BE30" s="402">
        <f>Operating!BE$23</f>
        <v/>
      </c>
      <c r="BF30" s="402">
        <f>Operating!BF$23</f>
        <v/>
      </c>
      <c r="BG30" s="402">
        <f>Operating!BG$23</f>
        <v/>
      </c>
      <c r="BH30" s="402">
        <f>Operating!BH$23</f>
        <v/>
      </c>
      <c r="BI30" s="402">
        <f>Operating!BI$23</f>
        <v/>
      </c>
      <c r="BJ30" s="402">
        <f>Operating!BJ$23</f>
        <v/>
      </c>
      <c r="BK30" s="402">
        <f>Operating!BK$23</f>
        <v/>
      </c>
      <c r="BL30" s="402">
        <f>Operating!BL$23</f>
        <v/>
      </c>
      <c r="BM30" s="402">
        <f>Operating!BM$23</f>
        <v/>
      </c>
      <c r="BN30" s="402">
        <f>Operating!BN$23</f>
        <v/>
      </c>
      <c r="BO30" s="402">
        <f>Operating!BO$23</f>
        <v/>
      </c>
      <c r="BP30" s="402">
        <f>Operating!BP$23</f>
        <v/>
      </c>
      <c r="BQ30" s="402">
        <f>Operating!BQ$23</f>
        <v/>
      </c>
      <c r="BR30" s="402">
        <f>Operating!BR$23</f>
        <v/>
      </c>
      <c r="BS30" s="402">
        <f>Operating!BS$23</f>
        <v/>
      </c>
      <c r="BT30" s="402">
        <f>Operating!BT$23</f>
        <v/>
      </c>
      <c r="BU30" s="402">
        <f>Operating!BU$23</f>
        <v/>
      </c>
      <c r="BV30" s="402">
        <f>Operating!BV$23</f>
        <v/>
      </c>
      <c r="BW30" s="402">
        <f>Operating!BW$23</f>
        <v/>
      </c>
      <c r="BX30" s="402">
        <f>Operating!BX$23</f>
        <v/>
      </c>
      <c r="BY30" s="402">
        <f>Operating!BY$23</f>
        <v/>
      </c>
      <c r="BZ30" s="402">
        <f>Operating!BZ$23</f>
        <v/>
      </c>
      <c r="CA30" s="402">
        <f>Operating!CA$23</f>
        <v/>
      </c>
      <c r="CB30" s="402">
        <f>Operating!CB$23</f>
        <v/>
      </c>
      <c r="CC30" s="402">
        <f>Operating!CC$23</f>
        <v/>
      </c>
      <c r="CD30" s="402">
        <f>Operating!CD$23</f>
        <v/>
      </c>
      <c r="CE30" s="402">
        <f>Operating!CE$23</f>
        <v/>
      </c>
      <c r="CF30" s="402">
        <f>Operating!CF$23</f>
        <v/>
      </c>
      <c r="CG30" s="402">
        <f>Operating!CG$23</f>
        <v/>
      </c>
      <c r="CH30" s="402">
        <f>Operating!CH$23</f>
        <v/>
      </c>
      <c r="CI30" s="402">
        <f>Operating!CI$23</f>
        <v/>
      </c>
      <c r="CJ30" s="402">
        <f>Operating!CJ$23</f>
        <v/>
      </c>
      <c r="CK30" s="402">
        <f>Operating!CK$23</f>
        <v/>
      </c>
      <c r="CL30" s="402">
        <f>Operating!CL$23</f>
        <v/>
      </c>
      <c r="CM30" s="402">
        <f>Operating!CM$23</f>
        <v/>
      </c>
      <c r="CN30" s="402">
        <f>Operating!CN$23</f>
        <v/>
      </c>
      <c r="CO30" s="402">
        <f>Operating!CO$23</f>
        <v/>
      </c>
      <c r="CP30" s="402">
        <f>Operating!CP$23</f>
        <v/>
      </c>
      <c r="CQ30" s="402">
        <f>Operating!CQ$23</f>
        <v/>
      </c>
      <c r="CR30" s="402">
        <f>Operating!CR$23</f>
        <v/>
      </c>
      <c r="CS30" s="402">
        <f>Operating!CS$23</f>
        <v/>
      </c>
      <c r="CT30" s="402">
        <f>Operating!CT$23</f>
        <v/>
      </c>
      <c r="CU30" s="402">
        <f>Operating!CU$23</f>
        <v/>
      </c>
      <c r="CV30" s="402">
        <f>Operating!CV$23</f>
        <v/>
      </c>
      <c r="CW30" s="402">
        <f>Operating!CW$23</f>
        <v/>
      </c>
      <c r="CX30" s="402">
        <f>Operating!CX$23</f>
        <v/>
      </c>
      <c r="CY30" s="402">
        <f>Operating!CY$23</f>
        <v/>
      </c>
      <c r="CZ30" s="402">
        <f>Operating!CZ$23</f>
        <v/>
      </c>
      <c r="DA30" s="402">
        <f>Operating!DA$23</f>
        <v/>
      </c>
      <c r="DB30" s="402">
        <f>Operating!DB$23</f>
        <v/>
      </c>
      <c r="DC30" s="402">
        <f>Operating!DC$23</f>
        <v/>
      </c>
      <c r="DD30" s="402">
        <f>Operating!DD$23</f>
        <v/>
      </c>
      <c r="DE30" s="402">
        <f>Operating!DE$23</f>
        <v/>
      </c>
      <c r="DF30" s="402">
        <f>Operating!DF$23</f>
        <v/>
      </c>
      <c r="DG30" s="402">
        <f>Operating!DG$23</f>
        <v/>
      </c>
      <c r="DH30" s="402">
        <f>Operating!DH$23</f>
        <v/>
      </c>
      <c r="DI30" s="402">
        <f>Operating!DI$23</f>
        <v/>
      </c>
      <c r="DJ30" s="402">
        <f>Operating!DJ$23</f>
        <v/>
      </c>
      <c r="DK30" s="402">
        <f>Operating!DK$23</f>
        <v/>
      </c>
      <c r="DL30" s="402">
        <f>Operating!DL$23</f>
        <v/>
      </c>
      <c r="DM30" s="402">
        <f>Operating!DM$23</f>
        <v/>
      </c>
      <c r="DN30" s="402">
        <f>Operating!DN$23</f>
        <v/>
      </c>
      <c r="DO30" s="402">
        <f>Operating!DO$23</f>
        <v/>
      </c>
      <c r="DP30" s="402">
        <f>Operating!DP$23</f>
        <v/>
      </c>
      <c r="DQ30" s="402">
        <f>Operating!DQ$23</f>
        <v/>
      </c>
      <c r="DR30" s="402">
        <f>Operating!DR$23</f>
        <v/>
      </c>
      <c r="DS30" s="402">
        <f>Operating!DS$23</f>
        <v/>
      </c>
      <c r="DT30" s="402">
        <f>Operating!DT$23</f>
        <v/>
      </c>
      <c r="DU30" s="402">
        <f>Operating!DU$23</f>
        <v/>
      </c>
      <c r="DV30" s="402">
        <f>Operating!DV$23</f>
        <v/>
      </c>
      <c r="DW30" s="402">
        <f>Operating!DW$23</f>
        <v/>
      </c>
      <c r="DX30" s="402">
        <f>Operating!DX$23</f>
        <v/>
      </c>
      <c r="DY30" s="402">
        <f>Operating!DY$23</f>
        <v/>
      </c>
      <c r="DZ30" s="402">
        <f>Operating!DZ$23</f>
        <v/>
      </c>
      <c r="EA30" s="402">
        <f>Operating!EA$23</f>
        <v/>
      </c>
      <c r="EB30" s="402">
        <f>Operating!EB$23</f>
        <v/>
      </c>
      <c r="EC30" s="402">
        <f>Operating!EC$23</f>
        <v/>
      </c>
      <c r="ED30" s="402">
        <f>Operating!ED$23</f>
        <v/>
      </c>
      <c r="EE30" s="402">
        <f>Operating!EE$23</f>
        <v/>
      </c>
      <c r="EF30" s="402">
        <f>Operating!EF$23</f>
        <v/>
      </c>
      <c r="EG30" s="402">
        <f>Operating!EG$23</f>
        <v/>
      </c>
      <c r="EH30" s="402">
        <f>Operating!EH$23</f>
        <v/>
      </c>
      <c r="EI30" s="402">
        <f>Operating!EI$23</f>
        <v/>
      </c>
      <c r="EJ30" s="402">
        <f>Operating!EJ$23</f>
        <v/>
      </c>
      <c r="EK30" s="402">
        <f>Operating!EK$23</f>
        <v/>
      </c>
      <c r="EL30" s="402">
        <f>Operating!EL$23</f>
        <v/>
      </c>
      <c r="EM30" s="402">
        <f>Operating!EM$23</f>
        <v/>
      </c>
      <c r="EN30" s="402">
        <f>Operating!EN$23</f>
        <v/>
      </c>
      <c r="EO30" s="402">
        <f>Operating!EO$23</f>
        <v/>
      </c>
      <c r="EP30" s="402">
        <f>Operating!EP$23</f>
        <v/>
      </c>
      <c r="EQ30" s="402">
        <f>Operating!EQ$23</f>
        <v/>
      </c>
      <c r="ER30" s="402">
        <f>Operating!ER$23</f>
        <v/>
      </c>
      <c r="ES30" s="402">
        <f>Operating!ES$23</f>
        <v/>
      </c>
      <c r="ET30" s="402">
        <f>Operating!ET$23</f>
        <v/>
      </c>
      <c r="EU30" s="402">
        <f>Operating!EU$23</f>
        <v/>
      </c>
      <c r="EV30" s="402">
        <f>Operating!EV$23</f>
        <v/>
      </c>
      <c r="EW30" s="402">
        <f>Operating!EW$23</f>
        <v/>
      </c>
      <c r="EX30" s="402">
        <f>Operating!EX$23</f>
        <v/>
      </c>
      <c r="EY30" s="402">
        <f>Operating!EY$23</f>
        <v/>
      </c>
      <c r="EZ30" s="402">
        <f>Operating!EZ$23</f>
        <v/>
      </c>
      <c r="FA30" s="402">
        <f>Operating!FA$23</f>
        <v/>
      </c>
      <c r="FB30" s="402">
        <f>Operating!FB$23</f>
        <v/>
      </c>
      <c r="FC30" s="402">
        <f>Operating!FC$23</f>
        <v/>
      </c>
      <c r="FD30" s="402">
        <f>Operating!FD$23</f>
        <v/>
      </c>
      <c r="FE30" s="402">
        <f>Operating!FE$23</f>
        <v/>
      </c>
      <c r="FF30" s="402">
        <f>Operating!FF$23</f>
        <v/>
      </c>
      <c r="FG30" s="402">
        <f>Operating!FG$23</f>
        <v/>
      </c>
      <c r="FH30" s="402">
        <f>Operating!FH$23</f>
        <v/>
      </c>
      <c r="FI30" s="402">
        <f>Operating!FI$23</f>
        <v/>
      </c>
      <c r="FJ30" s="402">
        <f>Operating!FJ$23</f>
        <v/>
      </c>
      <c r="FK30" s="402">
        <f>Operating!FK$23</f>
        <v/>
      </c>
      <c r="FL30" s="402">
        <f>Operating!FL$23</f>
        <v/>
      </c>
      <c r="FM30" s="402">
        <f>Operating!FM$23</f>
        <v/>
      </c>
      <c r="FN30" s="402">
        <f>Operating!FN$23</f>
        <v/>
      </c>
      <c r="FO30" s="402">
        <f>Operating!FO$23</f>
        <v/>
      </c>
      <c r="FP30" s="402">
        <f>Operating!FP$23</f>
        <v/>
      </c>
      <c r="FQ30" s="402">
        <f>Operating!FQ$23</f>
        <v/>
      </c>
      <c r="FR30" s="402">
        <f>Operating!FR$23</f>
        <v/>
      </c>
      <c r="FS30" s="402">
        <f>Operating!FS$23</f>
        <v/>
      </c>
      <c r="FT30" s="402">
        <f>Operating!FT$23</f>
        <v/>
      </c>
      <c r="FU30" s="402">
        <f>Operating!FU$23</f>
        <v/>
      </c>
      <c r="FV30" s="402">
        <f>Operating!FV$23</f>
        <v/>
      </c>
      <c r="FW30" s="402">
        <f>Operating!FW$23</f>
        <v/>
      </c>
      <c r="FX30" s="402">
        <f>Operating!FX$23</f>
        <v/>
      </c>
      <c r="FY30" s="402">
        <f>Operating!FY$23</f>
        <v/>
      </c>
      <c r="FZ30" s="402">
        <f>Operating!FZ$23</f>
        <v/>
      </c>
      <c r="GA30" s="402">
        <f>Operating!GA$23</f>
        <v/>
      </c>
      <c r="GB30" s="402">
        <f>Operating!GB$23</f>
        <v/>
      </c>
      <c r="GC30" s="402">
        <f>Operating!GC$23</f>
        <v/>
      </c>
      <c r="GD30" s="402">
        <f>Operating!GD$23</f>
        <v/>
      </c>
      <c r="GE30" s="402">
        <f>Operating!GE$23</f>
        <v/>
      </c>
      <c r="GF30" s="402">
        <f>Operating!GF$23</f>
        <v/>
      </c>
      <c r="GG30" s="402">
        <f>Operating!GG$23</f>
        <v/>
      </c>
      <c r="GH30" s="402">
        <f>Operating!GH$23</f>
        <v/>
      </c>
      <c r="GI30" s="402">
        <f>Operating!GI$23</f>
        <v/>
      </c>
      <c r="GJ30" s="402">
        <f>Operating!GJ$23</f>
        <v/>
      </c>
      <c r="GK30" s="402">
        <f>Operating!GK$23</f>
        <v/>
      </c>
      <c r="GL30" s="402">
        <f>Operating!GL$23</f>
        <v/>
      </c>
      <c r="GM30" s="402">
        <f>Operating!GM$23</f>
        <v/>
      </c>
      <c r="GN30" s="402">
        <f>Operating!GN$23</f>
        <v/>
      </c>
      <c r="GO30" s="402">
        <f>Operating!GO$23</f>
        <v/>
      </c>
      <c r="GP30" s="402">
        <f>Operating!GP$23</f>
        <v/>
      </c>
      <c r="GQ30" s="402">
        <f>Operating!GQ$23</f>
        <v/>
      </c>
      <c r="GR30" s="402">
        <f>Operating!GR$23</f>
        <v/>
      </c>
      <c r="GS30" s="402">
        <f>Operating!GS$23</f>
        <v/>
      </c>
      <c r="GT30" s="402">
        <f>Operating!GT$23</f>
        <v/>
      </c>
      <c r="GU30" s="402">
        <f>Operating!GU$23</f>
        <v/>
      </c>
      <c r="GV30" s="402">
        <f>Operating!GV$23</f>
        <v/>
      </c>
      <c r="GW30" s="402">
        <f>Operating!GW$23</f>
        <v/>
      </c>
      <c r="GX30" s="402">
        <f>Operating!GX$23</f>
        <v/>
      </c>
      <c r="GY30" s="402">
        <f>Operating!GY$23</f>
        <v/>
      </c>
      <c r="GZ30" s="402">
        <f>Operating!GZ$23</f>
        <v/>
      </c>
      <c r="HA30" s="402">
        <f>Operating!HA$23</f>
        <v/>
      </c>
      <c r="HB30" s="402">
        <f>Operating!HB$23</f>
        <v/>
      </c>
      <c r="HC30" s="402">
        <f>Operating!HC$23</f>
        <v/>
      </c>
      <c r="HD30" s="402">
        <f>Operating!HD$23</f>
        <v/>
      </c>
      <c r="HE30" s="402">
        <f>Operating!HE$23</f>
        <v/>
      </c>
      <c r="HF30" s="402">
        <f>Operating!HF$23</f>
        <v/>
      </c>
      <c r="HG30" s="402">
        <f>Operating!HG$23</f>
        <v/>
      </c>
      <c r="HH30" s="402">
        <f>Operating!HH$23</f>
        <v/>
      </c>
      <c r="HI30" s="402">
        <f>Operating!HI$23</f>
        <v/>
      </c>
      <c r="HJ30" s="402">
        <f>Operating!HJ$23</f>
        <v/>
      </c>
      <c r="HK30" s="402">
        <f>Operating!HK$23</f>
        <v/>
      </c>
      <c r="HL30" s="402">
        <f>Operating!HL$23</f>
        <v/>
      </c>
      <c r="HM30" s="402">
        <f>Operating!HM$23</f>
        <v/>
      </c>
      <c r="HN30" s="402">
        <f>Operating!HN$23</f>
        <v/>
      </c>
      <c r="HO30" s="402">
        <f>Operating!HO$23</f>
        <v/>
      </c>
      <c r="HP30" s="402">
        <f>Operating!HP$23</f>
        <v/>
      </c>
      <c r="HQ30" s="402">
        <f>Operating!HQ$23</f>
        <v/>
      </c>
      <c r="HR30" s="402">
        <f>Operating!HR$23</f>
        <v/>
      </c>
      <c r="HS30" s="402">
        <f>Operating!HS$23</f>
        <v/>
      </c>
      <c r="HT30" s="402">
        <f>Operating!HT$23</f>
        <v/>
      </c>
      <c r="HU30" s="402">
        <f>Operating!HU$23</f>
        <v/>
      </c>
      <c r="HV30" s="402">
        <f>Operating!HV$23</f>
        <v/>
      </c>
      <c r="HW30" s="402">
        <f>Operating!HW$23</f>
        <v/>
      </c>
      <c r="HX30" s="402">
        <f>Operating!HX$23</f>
        <v/>
      </c>
      <c r="HY30" s="402">
        <f>Operating!HY$23</f>
        <v/>
      </c>
      <c r="HZ30" s="402">
        <f>Operating!HZ$23</f>
        <v/>
      </c>
      <c r="IA30" s="402">
        <f>Operating!IA$23</f>
        <v/>
      </c>
      <c r="IB30" s="402">
        <f>Operating!IB$23</f>
        <v/>
      </c>
      <c r="IC30" s="402">
        <f>Operating!IC$23</f>
        <v/>
      </c>
      <c r="ID30" s="402">
        <f>Operating!ID$23</f>
        <v/>
      </c>
      <c r="IE30" s="402">
        <f>Operating!IE$23</f>
        <v/>
      </c>
      <c r="IF30" s="402">
        <f>Operating!IF$23</f>
        <v/>
      </c>
      <c r="IG30" s="402">
        <f>Operating!IG$23</f>
        <v/>
      </c>
      <c r="IH30" s="402">
        <f>Operating!IH$23</f>
        <v/>
      </c>
      <c r="II30" s="402">
        <f>Operating!II$23</f>
        <v/>
      </c>
      <c r="IJ30" s="402">
        <f>Operating!IJ$23</f>
        <v/>
      </c>
      <c r="IK30" s="402">
        <f>Operating!IK$23</f>
        <v/>
      </c>
      <c r="IL30" s="402">
        <f>Operating!IL$23</f>
        <v/>
      </c>
      <c r="IM30" s="402">
        <f>Operating!IM$23</f>
        <v/>
      </c>
      <c r="IN30" s="402">
        <f>Operating!IN$23</f>
        <v/>
      </c>
      <c r="IO30" s="402">
        <f>Operating!IO$23</f>
        <v/>
      </c>
      <c r="IP30" s="402">
        <f>Operating!IP$23</f>
        <v/>
      </c>
      <c r="IQ30" s="402">
        <f>Operating!IQ$23</f>
        <v/>
      </c>
      <c r="IR30" s="402">
        <f>Operating!IR$23</f>
        <v/>
      </c>
      <c r="IS30" s="402">
        <f>Operating!IS$23</f>
        <v/>
      </c>
      <c r="IT30" s="402">
        <f>Operating!IT$23</f>
        <v/>
      </c>
      <c r="IU30" s="402">
        <f>Operating!IU$23</f>
        <v/>
      </c>
      <c r="IV30" s="402">
        <f>Operating!IV$23</f>
        <v/>
      </c>
      <c r="IW30" s="402">
        <f>Operating!IW$23</f>
        <v/>
      </c>
      <c r="IX30" s="402">
        <f>Operating!IX$23</f>
        <v/>
      </c>
      <c r="IY30" s="402">
        <f>Operating!IY$23</f>
        <v/>
      </c>
      <c r="IZ30" s="402">
        <f>Operating!IZ$23</f>
        <v/>
      </c>
      <c r="JA30" s="402">
        <f>Operating!JA$23</f>
        <v/>
      </c>
      <c r="JB30" s="402">
        <f>Operating!JB$23</f>
        <v/>
      </c>
      <c r="JC30" s="402">
        <f>Operating!JC$23</f>
        <v/>
      </c>
      <c r="JD30" s="402">
        <f>Operating!JD$23</f>
        <v/>
      </c>
      <c r="JE30" s="402">
        <f>Operating!JE$23</f>
        <v/>
      </c>
      <c r="JF30" s="402">
        <f>Operating!JF$23</f>
        <v/>
      </c>
      <c r="JG30" s="402">
        <f>Operating!JG$23</f>
        <v/>
      </c>
      <c r="JH30" s="402">
        <f>Operating!JH$23</f>
        <v/>
      </c>
      <c r="JI30" s="402">
        <f>Operating!JI$23</f>
        <v/>
      </c>
      <c r="JJ30" s="402">
        <f>Operating!JJ$23</f>
        <v/>
      </c>
      <c r="JK30" s="402">
        <f>Operating!JK$23</f>
        <v/>
      </c>
      <c r="JL30" s="402">
        <f>Operating!JL$23</f>
        <v/>
      </c>
      <c r="JM30" s="402">
        <f>Operating!JM$23</f>
        <v/>
      </c>
      <c r="JN30" s="402">
        <f>Operating!JN$23</f>
        <v/>
      </c>
      <c r="JO30" s="402">
        <f>Operating!JO$23</f>
        <v/>
      </c>
      <c r="JP30" s="402">
        <f>Operating!JP$23</f>
        <v/>
      </c>
      <c r="JQ30" s="402">
        <f>Operating!JQ$23</f>
        <v/>
      </c>
      <c r="JR30" s="402">
        <f>Operating!JR$23</f>
        <v/>
      </c>
      <c r="JS30" s="402">
        <f>Operating!JS$23</f>
        <v/>
      </c>
      <c r="JT30" s="402">
        <f>Operating!JT$23</f>
        <v/>
      </c>
      <c r="JU30" s="402">
        <f>Operating!JU$23</f>
        <v/>
      </c>
      <c r="JV30" s="402">
        <f>Operating!JV$23</f>
        <v/>
      </c>
      <c r="JW30" s="402">
        <f>Operating!JW$23</f>
        <v/>
      </c>
      <c r="JX30" s="402">
        <f>Operating!JX$23</f>
        <v/>
      </c>
      <c r="JY30" s="402">
        <f>Operating!JY$23</f>
        <v/>
      </c>
      <c r="JZ30" s="402">
        <f>Operating!JZ$23</f>
        <v/>
      </c>
      <c r="KA30" s="402">
        <f>Operating!KA$23</f>
        <v/>
      </c>
      <c r="KB30" s="402">
        <f>Operating!KB$23</f>
        <v/>
      </c>
      <c r="KC30" s="402">
        <f>Operating!KC$23</f>
        <v/>
      </c>
      <c r="KD30" s="402">
        <f>Operating!KD$23</f>
        <v/>
      </c>
      <c r="KE30" s="402">
        <f>Operating!KE$23</f>
        <v/>
      </c>
      <c r="KF30" s="402">
        <f>Operating!KF$23</f>
        <v/>
      </c>
      <c r="KG30" s="402">
        <f>Operating!KG$23</f>
        <v/>
      </c>
      <c r="KH30" s="402">
        <f>Operating!KH$23</f>
        <v/>
      </c>
      <c r="KI30" s="402">
        <f>Operating!KI$23</f>
        <v/>
      </c>
      <c r="KJ30" s="402">
        <f>Operating!KJ$23</f>
        <v/>
      </c>
      <c r="KK30" s="402">
        <f>Operating!KK$23</f>
        <v/>
      </c>
      <c r="KL30" s="402">
        <f>Operating!KL$23</f>
        <v/>
      </c>
      <c r="KM30" s="402">
        <f>Operating!KM$23</f>
        <v/>
      </c>
      <c r="KN30" s="402">
        <f>Operating!KN$23</f>
        <v/>
      </c>
      <c r="KO30" s="402">
        <f>Operating!KO$23</f>
        <v/>
      </c>
      <c r="KP30" s="402">
        <f>Operating!KP$23</f>
        <v/>
      </c>
      <c r="KQ30" s="402">
        <f>Operating!KQ$23</f>
        <v/>
      </c>
      <c r="KR30" s="402">
        <f>Operating!KR$23</f>
        <v/>
      </c>
      <c r="KS30" s="402">
        <f>Operating!KS$23</f>
        <v/>
      </c>
      <c r="KT30" s="402">
        <f>Operating!KT$23</f>
        <v/>
      </c>
      <c r="KU30" s="402">
        <f>Operating!KU$23</f>
        <v/>
      </c>
      <c r="KV30" s="402">
        <f>Operating!KV$23</f>
        <v/>
      </c>
      <c r="KW30" s="402">
        <f>Operating!KW$23</f>
        <v/>
      </c>
      <c r="KX30" s="402">
        <f>Operating!KX$23</f>
        <v/>
      </c>
      <c r="KY30" s="402">
        <f>Operating!KY$23</f>
        <v/>
      </c>
      <c r="KZ30" s="402">
        <f>Operating!KZ$23</f>
        <v/>
      </c>
      <c r="LA30" s="402">
        <f>Operating!LA$23</f>
        <v/>
      </c>
      <c r="LB30" s="402">
        <f>Operating!LB$23</f>
        <v/>
      </c>
      <c r="LC30" s="402">
        <f>Operating!LC$23</f>
        <v/>
      </c>
      <c r="LD30" s="402">
        <f>Operating!LD$23</f>
        <v/>
      </c>
      <c r="LE30" s="402">
        <f>Operating!LE$23</f>
        <v/>
      </c>
      <c r="LF30" s="402">
        <f>Operating!LF$23</f>
        <v/>
      </c>
      <c r="LG30" s="402">
        <f>Operating!LG$23</f>
        <v/>
      </c>
      <c r="LH30" s="402">
        <f>Operating!LH$23</f>
        <v/>
      </c>
      <c r="LI30" s="402">
        <f>Operating!LI$23</f>
        <v/>
      </c>
      <c r="LJ30" s="402">
        <f>Operating!LJ$23</f>
        <v/>
      </c>
      <c r="LK30" s="402">
        <f>Operating!LK$23</f>
        <v/>
      </c>
      <c r="LL30" s="402">
        <f>Operating!LL$23</f>
        <v/>
      </c>
      <c r="LM30" s="402">
        <f>Operating!LM$23</f>
        <v/>
      </c>
      <c r="LN30" s="402">
        <f>Operating!LN$23</f>
        <v/>
      </c>
      <c r="LO30" s="402">
        <f>Operating!LO$23</f>
        <v/>
      </c>
      <c r="LP30" s="402">
        <f>Operating!LP$23</f>
        <v/>
      </c>
      <c r="LQ30" s="402">
        <f>Operating!LQ$23</f>
        <v/>
      </c>
      <c r="LR30" s="402">
        <f>Operating!LR$23</f>
        <v/>
      </c>
      <c r="LS30" s="402">
        <f>Operating!LS$23</f>
        <v/>
      </c>
      <c r="LT30" s="402">
        <f>Operating!LT$23</f>
        <v/>
      </c>
      <c r="LU30" s="402">
        <f>Operating!LU$23</f>
        <v/>
      </c>
      <c r="LV30" s="402">
        <f>Operating!LV$23</f>
        <v/>
      </c>
      <c r="LW30" s="402">
        <f>Operating!LW$23</f>
        <v/>
      </c>
      <c r="LX30" s="402">
        <f>Operating!LX$23</f>
        <v/>
      </c>
      <c r="LY30" s="402">
        <f>Operating!LY$23</f>
        <v/>
      </c>
      <c r="LZ30" s="402">
        <f>Operating!LZ$23</f>
        <v/>
      </c>
      <c r="MA30" s="402">
        <f>Operating!MA$23</f>
        <v/>
      </c>
      <c r="MB30" s="402">
        <f>Operating!MB$23</f>
        <v/>
      </c>
      <c r="MC30" s="402">
        <f>Operating!MC$23</f>
        <v/>
      </c>
      <c r="MD30" s="402">
        <f>Operating!MD$23</f>
        <v/>
      </c>
      <c r="ME30" s="402">
        <f>Operating!ME$23</f>
        <v/>
      </c>
      <c r="MF30" s="402">
        <f>Operating!MF$23</f>
        <v/>
      </c>
      <c r="MG30" s="402">
        <f>Operating!MG$23</f>
        <v/>
      </c>
      <c r="MH30" s="402">
        <f>Operating!MH$23</f>
        <v/>
      </c>
      <c r="MI30" s="402">
        <f>Operating!MI$23</f>
        <v/>
      </c>
      <c r="MJ30" s="402">
        <f>Operating!MJ$23</f>
        <v/>
      </c>
      <c r="MK30" s="402">
        <f>Operating!MK$23</f>
        <v/>
      </c>
      <c r="ML30" s="402">
        <f>Operating!ML$23</f>
        <v/>
      </c>
      <c r="MM30" s="402">
        <f>Operating!MM$23</f>
        <v/>
      </c>
      <c r="MN30" s="402">
        <f>Operating!MN$23</f>
        <v/>
      </c>
      <c r="MO30" s="402">
        <f>Operating!MO$23</f>
        <v/>
      </c>
      <c r="MP30" s="402">
        <f>Operating!MP$23</f>
        <v/>
      </c>
      <c r="MQ30" s="402">
        <f>Operating!MQ$23</f>
        <v/>
      </c>
      <c r="MR30" s="402">
        <f>Operating!MR$23</f>
        <v/>
      </c>
      <c r="MS30" s="402">
        <f>Operating!MS$23</f>
        <v/>
      </c>
      <c r="MT30" s="402">
        <f>Operating!MT$23</f>
        <v/>
      </c>
      <c r="MU30" s="402">
        <f>Operating!MU$23</f>
        <v/>
      </c>
      <c r="MV30" s="402">
        <f>Operating!MV$23</f>
        <v/>
      </c>
      <c r="MW30" s="402">
        <f>Operating!MW$23</f>
        <v/>
      </c>
      <c r="MX30" s="402">
        <f>Operating!MX$23</f>
        <v/>
      </c>
      <c r="MY30" s="402">
        <f>Operating!MY$23</f>
        <v/>
      </c>
      <c r="MZ30" s="402">
        <f>Operating!MZ$23</f>
        <v/>
      </c>
      <c r="NA30" s="402">
        <f>Operating!NA$23</f>
        <v/>
      </c>
      <c r="NB30" s="402">
        <f>Operating!NB$23</f>
        <v/>
      </c>
      <c r="NC30" s="402">
        <f>Operating!NC$23</f>
        <v/>
      </c>
      <c r="ND30" s="402">
        <f>Operating!ND$23</f>
        <v/>
      </c>
      <c r="NE30" s="402">
        <f>Operating!NE$23</f>
        <v/>
      </c>
      <c r="NF30" s="402">
        <f>Operating!NF$23</f>
        <v/>
      </c>
      <c r="NG30" s="402">
        <f>Operating!NG$23</f>
        <v/>
      </c>
      <c r="NH30" s="402">
        <f>Operating!NH$23</f>
        <v/>
      </c>
      <c r="NI30" s="402">
        <f>Operating!NI$23</f>
        <v/>
      </c>
      <c r="NJ30" s="402">
        <f>Operating!NJ$23</f>
        <v/>
      </c>
      <c r="NK30" s="402">
        <f>Operating!NK$23</f>
        <v/>
      </c>
      <c r="NL30" s="402">
        <f>Operating!NL$23</f>
        <v/>
      </c>
    </row>
    <row r="31">
      <c r="B31" s="316" t="inlineStr">
        <is>
          <t>Total Operating Expenses</t>
        </is>
      </c>
      <c r="D31" s="402">
        <f>SUM(E31:NL31)</f>
        <v/>
      </c>
      <c r="E31" s="402">
        <f>-Operating!E$37</f>
        <v/>
      </c>
      <c r="F31" s="402">
        <f>-Operating!F$37</f>
        <v/>
      </c>
      <c r="G31" s="402">
        <f>-Operating!G$37</f>
        <v/>
      </c>
      <c r="H31" s="402">
        <f>-Operating!H$37</f>
        <v/>
      </c>
      <c r="I31" s="402">
        <f>-Operating!I$37</f>
        <v/>
      </c>
      <c r="J31" s="402">
        <f>-Operating!J$37</f>
        <v/>
      </c>
      <c r="K31" s="402">
        <f>-Operating!K$37</f>
        <v/>
      </c>
      <c r="L31" s="402">
        <f>-Operating!L$37</f>
        <v/>
      </c>
      <c r="M31" s="402">
        <f>-Operating!M$37</f>
        <v/>
      </c>
      <c r="N31" s="402">
        <f>-Operating!N$37</f>
        <v/>
      </c>
      <c r="O31" s="402">
        <f>-Operating!O$37</f>
        <v/>
      </c>
      <c r="P31" s="402">
        <f>-Operating!P$37</f>
        <v/>
      </c>
      <c r="Q31" s="402">
        <f>-Operating!Q$37</f>
        <v/>
      </c>
      <c r="R31" s="402">
        <f>-Operating!R$37</f>
        <v/>
      </c>
      <c r="S31" s="402">
        <f>-Operating!S$37</f>
        <v/>
      </c>
      <c r="T31" s="402">
        <f>-Operating!T$37</f>
        <v/>
      </c>
      <c r="U31" s="402">
        <f>-Operating!U$37</f>
        <v/>
      </c>
      <c r="V31" s="402">
        <f>-Operating!V$37</f>
        <v/>
      </c>
      <c r="W31" s="402">
        <f>-Operating!W$37</f>
        <v/>
      </c>
      <c r="X31" s="402">
        <f>-Operating!X$37</f>
        <v/>
      </c>
      <c r="Y31" s="402">
        <f>-Operating!Y$37</f>
        <v/>
      </c>
      <c r="Z31" s="402">
        <f>-Operating!Z$37</f>
        <v/>
      </c>
      <c r="AA31" s="402">
        <f>-Operating!AA$37</f>
        <v/>
      </c>
      <c r="AB31" s="402">
        <f>-Operating!AB$37</f>
        <v/>
      </c>
      <c r="AC31" s="402">
        <f>-Operating!AC$37</f>
        <v/>
      </c>
      <c r="AD31" s="402">
        <f>-Operating!AD$37</f>
        <v/>
      </c>
      <c r="AE31" s="402">
        <f>-Operating!AE$37</f>
        <v/>
      </c>
      <c r="AF31" s="402">
        <f>-Operating!AF$37</f>
        <v/>
      </c>
      <c r="AG31" s="402">
        <f>-Operating!AG$37</f>
        <v/>
      </c>
      <c r="AH31" s="402">
        <f>-Operating!AH$37</f>
        <v/>
      </c>
      <c r="AI31" s="402">
        <f>-Operating!AI$37</f>
        <v/>
      </c>
      <c r="AJ31" s="402">
        <f>-Operating!AJ$37</f>
        <v/>
      </c>
      <c r="AK31" s="402">
        <f>-Operating!AK$37</f>
        <v/>
      </c>
      <c r="AL31" s="402">
        <f>-Operating!AL$37</f>
        <v/>
      </c>
      <c r="AM31" s="402">
        <f>-Operating!AM$37</f>
        <v/>
      </c>
      <c r="AN31" s="402">
        <f>-Operating!AN$37</f>
        <v/>
      </c>
      <c r="AO31" s="402">
        <f>-Operating!AO$37</f>
        <v/>
      </c>
      <c r="AP31" s="402">
        <f>-Operating!AP$37</f>
        <v/>
      </c>
      <c r="AQ31" s="402">
        <f>-Operating!AQ$37</f>
        <v/>
      </c>
      <c r="AR31" s="402">
        <f>-Operating!AR$37</f>
        <v/>
      </c>
      <c r="AS31" s="402">
        <f>-Operating!AS$37</f>
        <v/>
      </c>
      <c r="AT31" s="402">
        <f>-Operating!AT$37</f>
        <v/>
      </c>
      <c r="AU31" s="402">
        <f>-Operating!AU$37</f>
        <v/>
      </c>
      <c r="AV31" s="402">
        <f>-Operating!AV$37</f>
        <v/>
      </c>
      <c r="AW31" s="402">
        <f>-Operating!AW$37</f>
        <v/>
      </c>
      <c r="AX31" s="402">
        <f>-Operating!AX$37</f>
        <v/>
      </c>
      <c r="AY31" s="402">
        <f>-Operating!AY$37</f>
        <v/>
      </c>
      <c r="AZ31" s="402">
        <f>-Operating!AZ$37</f>
        <v/>
      </c>
      <c r="BA31" s="402">
        <f>-Operating!BA$37</f>
        <v/>
      </c>
      <c r="BB31" s="402">
        <f>-Operating!BB$37</f>
        <v/>
      </c>
      <c r="BC31" s="402">
        <f>-Operating!BC$37</f>
        <v/>
      </c>
      <c r="BD31" s="402">
        <f>-Operating!BD$37</f>
        <v/>
      </c>
      <c r="BE31" s="402">
        <f>-Operating!BE$37</f>
        <v/>
      </c>
      <c r="BF31" s="402">
        <f>-Operating!BF$37</f>
        <v/>
      </c>
      <c r="BG31" s="402">
        <f>-Operating!BG$37</f>
        <v/>
      </c>
      <c r="BH31" s="402">
        <f>-Operating!BH$37</f>
        <v/>
      </c>
      <c r="BI31" s="402">
        <f>-Operating!BI$37</f>
        <v/>
      </c>
      <c r="BJ31" s="402">
        <f>-Operating!BJ$37</f>
        <v/>
      </c>
      <c r="BK31" s="402">
        <f>-Operating!BK$37</f>
        <v/>
      </c>
      <c r="BL31" s="402">
        <f>-Operating!BL$37</f>
        <v/>
      </c>
      <c r="BM31" s="402">
        <f>-Operating!BM$37</f>
        <v/>
      </c>
      <c r="BN31" s="402">
        <f>-Operating!BN$37</f>
        <v/>
      </c>
      <c r="BO31" s="402">
        <f>-Operating!BO$37</f>
        <v/>
      </c>
      <c r="BP31" s="402">
        <f>-Operating!BP$37</f>
        <v/>
      </c>
      <c r="BQ31" s="402">
        <f>-Operating!BQ$37</f>
        <v/>
      </c>
      <c r="BR31" s="402">
        <f>-Operating!BR$37</f>
        <v/>
      </c>
      <c r="BS31" s="402">
        <f>-Operating!BS$37</f>
        <v/>
      </c>
      <c r="BT31" s="402">
        <f>-Operating!BT$37</f>
        <v/>
      </c>
      <c r="BU31" s="402">
        <f>-Operating!BU$37</f>
        <v/>
      </c>
      <c r="BV31" s="402">
        <f>-Operating!BV$37</f>
        <v/>
      </c>
      <c r="BW31" s="402">
        <f>-Operating!BW$37</f>
        <v/>
      </c>
      <c r="BX31" s="402">
        <f>-Operating!BX$37</f>
        <v/>
      </c>
      <c r="BY31" s="402">
        <f>-Operating!BY$37</f>
        <v/>
      </c>
      <c r="BZ31" s="402">
        <f>-Operating!BZ$37</f>
        <v/>
      </c>
      <c r="CA31" s="402">
        <f>-Operating!CA$37</f>
        <v/>
      </c>
      <c r="CB31" s="402">
        <f>-Operating!CB$37</f>
        <v/>
      </c>
      <c r="CC31" s="402">
        <f>-Operating!CC$37</f>
        <v/>
      </c>
      <c r="CD31" s="402">
        <f>-Operating!CD$37</f>
        <v/>
      </c>
      <c r="CE31" s="402">
        <f>-Operating!CE$37</f>
        <v/>
      </c>
      <c r="CF31" s="402">
        <f>-Operating!CF$37</f>
        <v/>
      </c>
      <c r="CG31" s="402">
        <f>-Operating!CG$37</f>
        <v/>
      </c>
      <c r="CH31" s="402">
        <f>-Operating!CH$37</f>
        <v/>
      </c>
      <c r="CI31" s="402">
        <f>-Operating!CI$37</f>
        <v/>
      </c>
      <c r="CJ31" s="402">
        <f>-Operating!CJ$37</f>
        <v/>
      </c>
      <c r="CK31" s="402">
        <f>-Operating!CK$37</f>
        <v/>
      </c>
      <c r="CL31" s="402">
        <f>-Operating!CL$37</f>
        <v/>
      </c>
      <c r="CM31" s="402">
        <f>-Operating!CM$37</f>
        <v/>
      </c>
      <c r="CN31" s="402">
        <f>-Operating!CN$37</f>
        <v/>
      </c>
      <c r="CO31" s="402">
        <f>-Operating!CO$37</f>
        <v/>
      </c>
      <c r="CP31" s="402">
        <f>-Operating!CP$37</f>
        <v/>
      </c>
      <c r="CQ31" s="402">
        <f>-Operating!CQ$37</f>
        <v/>
      </c>
      <c r="CR31" s="402">
        <f>-Operating!CR$37</f>
        <v/>
      </c>
      <c r="CS31" s="402">
        <f>-Operating!CS$37</f>
        <v/>
      </c>
      <c r="CT31" s="402">
        <f>-Operating!CT$37</f>
        <v/>
      </c>
      <c r="CU31" s="402">
        <f>-Operating!CU$37</f>
        <v/>
      </c>
      <c r="CV31" s="402">
        <f>-Operating!CV$37</f>
        <v/>
      </c>
      <c r="CW31" s="402">
        <f>-Operating!CW$37</f>
        <v/>
      </c>
      <c r="CX31" s="402">
        <f>-Operating!CX$37</f>
        <v/>
      </c>
      <c r="CY31" s="402">
        <f>-Operating!CY$37</f>
        <v/>
      </c>
      <c r="CZ31" s="402">
        <f>-Operating!CZ$37</f>
        <v/>
      </c>
      <c r="DA31" s="402">
        <f>-Operating!DA$37</f>
        <v/>
      </c>
      <c r="DB31" s="402">
        <f>-Operating!DB$37</f>
        <v/>
      </c>
      <c r="DC31" s="402">
        <f>-Operating!DC$37</f>
        <v/>
      </c>
      <c r="DD31" s="402">
        <f>-Operating!DD$37</f>
        <v/>
      </c>
      <c r="DE31" s="402">
        <f>-Operating!DE$37</f>
        <v/>
      </c>
      <c r="DF31" s="402">
        <f>-Operating!DF$37</f>
        <v/>
      </c>
      <c r="DG31" s="402">
        <f>-Operating!DG$37</f>
        <v/>
      </c>
      <c r="DH31" s="402">
        <f>-Operating!DH$37</f>
        <v/>
      </c>
      <c r="DI31" s="402">
        <f>-Operating!DI$37</f>
        <v/>
      </c>
      <c r="DJ31" s="402">
        <f>-Operating!DJ$37</f>
        <v/>
      </c>
      <c r="DK31" s="402">
        <f>-Operating!DK$37</f>
        <v/>
      </c>
      <c r="DL31" s="402">
        <f>-Operating!DL$37</f>
        <v/>
      </c>
      <c r="DM31" s="402">
        <f>-Operating!DM$37</f>
        <v/>
      </c>
      <c r="DN31" s="402">
        <f>-Operating!DN$37</f>
        <v/>
      </c>
      <c r="DO31" s="402">
        <f>-Operating!DO$37</f>
        <v/>
      </c>
      <c r="DP31" s="402">
        <f>-Operating!DP$37</f>
        <v/>
      </c>
      <c r="DQ31" s="402">
        <f>-Operating!DQ$37</f>
        <v/>
      </c>
      <c r="DR31" s="402">
        <f>-Operating!DR$37</f>
        <v/>
      </c>
      <c r="DS31" s="402">
        <f>-Operating!DS$37</f>
        <v/>
      </c>
      <c r="DT31" s="402">
        <f>-Operating!DT$37</f>
        <v/>
      </c>
      <c r="DU31" s="402">
        <f>-Operating!DU$37</f>
        <v/>
      </c>
      <c r="DV31" s="402">
        <f>-Operating!DV$37</f>
        <v/>
      </c>
      <c r="DW31" s="402">
        <f>-Operating!DW$37</f>
        <v/>
      </c>
      <c r="DX31" s="402">
        <f>-Operating!DX$37</f>
        <v/>
      </c>
      <c r="DY31" s="402">
        <f>-Operating!DY$37</f>
        <v/>
      </c>
      <c r="DZ31" s="402">
        <f>-Operating!DZ$37</f>
        <v/>
      </c>
      <c r="EA31" s="402">
        <f>-Operating!EA$37</f>
        <v/>
      </c>
      <c r="EB31" s="402">
        <f>-Operating!EB$37</f>
        <v/>
      </c>
      <c r="EC31" s="402">
        <f>-Operating!EC$37</f>
        <v/>
      </c>
      <c r="ED31" s="402">
        <f>-Operating!ED$37</f>
        <v/>
      </c>
      <c r="EE31" s="402">
        <f>-Operating!EE$37</f>
        <v/>
      </c>
      <c r="EF31" s="402">
        <f>-Operating!EF$37</f>
        <v/>
      </c>
      <c r="EG31" s="402">
        <f>-Operating!EG$37</f>
        <v/>
      </c>
      <c r="EH31" s="402">
        <f>-Operating!EH$37</f>
        <v/>
      </c>
      <c r="EI31" s="402">
        <f>-Operating!EI$37</f>
        <v/>
      </c>
      <c r="EJ31" s="402">
        <f>-Operating!EJ$37</f>
        <v/>
      </c>
      <c r="EK31" s="402">
        <f>-Operating!EK$37</f>
        <v/>
      </c>
      <c r="EL31" s="402">
        <f>-Operating!EL$37</f>
        <v/>
      </c>
      <c r="EM31" s="402">
        <f>-Operating!EM$37</f>
        <v/>
      </c>
      <c r="EN31" s="402">
        <f>-Operating!EN$37</f>
        <v/>
      </c>
      <c r="EO31" s="402">
        <f>-Operating!EO$37</f>
        <v/>
      </c>
      <c r="EP31" s="402">
        <f>-Operating!EP$37</f>
        <v/>
      </c>
      <c r="EQ31" s="402">
        <f>-Operating!EQ$37</f>
        <v/>
      </c>
      <c r="ER31" s="402">
        <f>-Operating!ER$37</f>
        <v/>
      </c>
      <c r="ES31" s="402">
        <f>-Operating!ES$37</f>
        <v/>
      </c>
      <c r="ET31" s="402">
        <f>-Operating!ET$37</f>
        <v/>
      </c>
      <c r="EU31" s="402">
        <f>-Operating!EU$37</f>
        <v/>
      </c>
      <c r="EV31" s="402">
        <f>-Operating!EV$37</f>
        <v/>
      </c>
      <c r="EW31" s="402">
        <f>-Operating!EW$37</f>
        <v/>
      </c>
      <c r="EX31" s="402">
        <f>-Operating!EX$37</f>
        <v/>
      </c>
      <c r="EY31" s="402">
        <f>-Operating!EY$37</f>
        <v/>
      </c>
      <c r="EZ31" s="402">
        <f>-Operating!EZ$37</f>
        <v/>
      </c>
      <c r="FA31" s="402">
        <f>-Operating!FA$37</f>
        <v/>
      </c>
      <c r="FB31" s="402">
        <f>-Operating!FB$37</f>
        <v/>
      </c>
      <c r="FC31" s="402">
        <f>-Operating!FC$37</f>
        <v/>
      </c>
      <c r="FD31" s="402">
        <f>-Operating!FD$37</f>
        <v/>
      </c>
      <c r="FE31" s="402">
        <f>-Operating!FE$37</f>
        <v/>
      </c>
      <c r="FF31" s="402">
        <f>-Operating!FF$37</f>
        <v/>
      </c>
      <c r="FG31" s="402">
        <f>-Operating!FG$37</f>
        <v/>
      </c>
      <c r="FH31" s="402">
        <f>-Operating!FH$37</f>
        <v/>
      </c>
      <c r="FI31" s="402">
        <f>-Operating!FI$37</f>
        <v/>
      </c>
      <c r="FJ31" s="402">
        <f>-Operating!FJ$37</f>
        <v/>
      </c>
      <c r="FK31" s="402">
        <f>-Operating!FK$37</f>
        <v/>
      </c>
      <c r="FL31" s="402">
        <f>-Operating!FL$37</f>
        <v/>
      </c>
      <c r="FM31" s="402">
        <f>-Operating!FM$37</f>
        <v/>
      </c>
      <c r="FN31" s="402">
        <f>-Operating!FN$37</f>
        <v/>
      </c>
      <c r="FO31" s="402">
        <f>-Operating!FO$37</f>
        <v/>
      </c>
      <c r="FP31" s="402">
        <f>-Operating!FP$37</f>
        <v/>
      </c>
      <c r="FQ31" s="402">
        <f>-Operating!FQ$37</f>
        <v/>
      </c>
      <c r="FR31" s="402">
        <f>-Operating!FR$37</f>
        <v/>
      </c>
      <c r="FS31" s="402">
        <f>-Operating!FS$37</f>
        <v/>
      </c>
      <c r="FT31" s="402">
        <f>-Operating!FT$37</f>
        <v/>
      </c>
      <c r="FU31" s="402">
        <f>-Operating!FU$37</f>
        <v/>
      </c>
      <c r="FV31" s="402">
        <f>-Operating!FV$37</f>
        <v/>
      </c>
      <c r="FW31" s="402">
        <f>-Operating!FW$37</f>
        <v/>
      </c>
      <c r="FX31" s="402">
        <f>-Operating!FX$37</f>
        <v/>
      </c>
      <c r="FY31" s="402">
        <f>-Operating!FY$37</f>
        <v/>
      </c>
      <c r="FZ31" s="402">
        <f>-Operating!FZ$37</f>
        <v/>
      </c>
      <c r="GA31" s="402">
        <f>-Operating!GA$37</f>
        <v/>
      </c>
      <c r="GB31" s="402">
        <f>-Operating!GB$37</f>
        <v/>
      </c>
      <c r="GC31" s="402">
        <f>-Operating!GC$37</f>
        <v/>
      </c>
      <c r="GD31" s="402">
        <f>-Operating!GD$37</f>
        <v/>
      </c>
      <c r="GE31" s="402">
        <f>-Operating!GE$37</f>
        <v/>
      </c>
      <c r="GF31" s="402">
        <f>-Operating!GF$37</f>
        <v/>
      </c>
      <c r="GG31" s="402">
        <f>-Operating!GG$37</f>
        <v/>
      </c>
      <c r="GH31" s="402">
        <f>-Operating!GH$37</f>
        <v/>
      </c>
      <c r="GI31" s="402">
        <f>-Operating!GI$37</f>
        <v/>
      </c>
      <c r="GJ31" s="402">
        <f>-Operating!GJ$37</f>
        <v/>
      </c>
      <c r="GK31" s="402">
        <f>-Operating!GK$37</f>
        <v/>
      </c>
      <c r="GL31" s="402">
        <f>-Operating!GL$37</f>
        <v/>
      </c>
      <c r="GM31" s="402">
        <f>-Operating!GM$37</f>
        <v/>
      </c>
      <c r="GN31" s="402">
        <f>-Operating!GN$37</f>
        <v/>
      </c>
      <c r="GO31" s="402">
        <f>-Operating!GO$37</f>
        <v/>
      </c>
      <c r="GP31" s="402">
        <f>-Operating!GP$37</f>
        <v/>
      </c>
      <c r="GQ31" s="402">
        <f>-Operating!GQ$37</f>
        <v/>
      </c>
      <c r="GR31" s="402">
        <f>-Operating!GR$37</f>
        <v/>
      </c>
      <c r="GS31" s="402">
        <f>-Operating!GS$37</f>
        <v/>
      </c>
      <c r="GT31" s="402">
        <f>-Operating!GT$37</f>
        <v/>
      </c>
      <c r="GU31" s="402">
        <f>-Operating!GU$37</f>
        <v/>
      </c>
      <c r="GV31" s="402">
        <f>-Operating!GV$37</f>
        <v/>
      </c>
      <c r="GW31" s="402">
        <f>-Operating!GW$37</f>
        <v/>
      </c>
      <c r="GX31" s="402">
        <f>-Operating!GX$37</f>
        <v/>
      </c>
      <c r="GY31" s="402">
        <f>-Operating!GY$37</f>
        <v/>
      </c>
      <c r="GZ31" s="402">
        <f>-Operating!GZ$37</f>
        <v/>
      </c>
      <c r="HA31" s="402">
        <f>-Operating!HA$37</f>
        <v/>
      </c>
      <c r="HB31" s="402">
        <f>-Operating!HB$37</f>
        <v/>
      </c>
      <c r="HC31" s="402">
        <f>-Operating!HC$37</f>
        <v/>
      </c>
      <c r="HD31" s="402">
        <f>-Operating!HD$37</f>
        <v/>
      </c>
      <c r="HE31" s="402">
        <f>-Operating!HE$37</f>
        <v/>
      </c>
      <c r="HF31" s="402">
        <f>-Operating!HF$37</f>
        <v/>
      </c>
      <c r="HG31" s="402">
        <f>-Operating!HG$37</f>
        <v/>
      </c>
      <c r="HH31" s="402">
        <f>-Operating!HH$37</f>
        <v/>
      </c>
      <c r="HI31" s="402">
        <f>-Operating!HI$37</f>
        <v/>
      </c>
      <c r="HJ31" s="402">
        <f>-Operating!HJ$37</f>
        <v/>
      </c>
      <c r="HK31" s="402">
        <f>-Operating!HK$37</f>
        <v/>
      </c>
      <c r="HL31" s="402">
        <f>-Operating!HL$37</f>
        <v/>
      </c>
      <c r="HM31" s="402">
        <f>-Operating!HM$37</f>
        <v/>
      </c>
      <c r="HN31" s="402">
        <f>-Operating!HN$37</f>
        <v/>
      </c>
      <c r="HO31" s="402">
        <f>-Operating!HO$37</f>
        <v/>
      </c>
      <c r="HP31" s="402">
        <f>-Operating!HP$37</f>
        <v/>
      </c>
      <c r="HQ31" s="402">
        <f>-Operating!HQ$37</f>
        <v/>
      </c>
      <c r="HR31" s="402">
        <f>-Operating!HR$37</f>
        <v/>
      </c>
      <c r="HS31" s="402">
        <f>-Operating!HS$37</f>
        <v/>
      </c>
      <c r="HT31" s="402">
        <f>-Operating!HT$37</f>
        <v/>
      </c>
      <c r="HU31" s="402">
        <f>-Operating!HU$37</f>
        <v/>
      </c>
      <c r="HV31" s="402">
        <f>-Operating!HV$37</f>
        <v/>
      </c>
      <c r="HW31" s="402">
        <f>-Operating!HW$37</f>
        <v/>
      </c>
      <c r="HX31" s="402">
        <f>-Operating!HX$37</f>
        <v/>
      </c>
      <c r="HY31" s="402">
        <f>-Operating!HY$37</f>
        <v/>
      </c>
      <c r="HZ31" s="402">
        <f>-Operating!HZ$37</f>
        <v/>
      </c>
      <c r="IA31" s="402">
        <f>-Operating!IA$37</f>
        <v/>
      </c>
      <c r="IB31" s="402">
        <f>-Operating!IB$37</f>
        <v/>
      </c>
      <c r="IC31" s="402">
        <f>-Operating!IC$37</f>
        <v/>
      </c>
      <c r="ID31" s="402">
        <f>-Operating!ID$37</f>
        <v/>
      </c>
      <c r="IE31" s="402">
        <f>-Operating!IE$37</f>
        <v/>
      </c>
      <c r="IF31" s="402">
        <f>-Operating!IF$37</f>
        <v/>
      </c>
      <c r="IG31" s="402">
        <f>-Operating!IG$37</f>
        <v/>
      </c>
      <c r="IH31" s="402">
        <f>-Operating!IH$37</f>
        <v/>
      </c>
      <c r="II31" s="402">
        <f>-Operating!II$37</f>
        <v/>
      </c>
      <c r="IJ31" s="402">
        <f>-Operating!IJ$37</f>
        <v/>
      </c>
      <c r="IK31" s="402">
        <f>-Operating!IK$37</f>
        <v/>
      </c>
      <c r="IL31" s="402">
        <f>-Operating!IL$37</f>
        <v/>
      </c>
      <c r="IM31" s="402">
        <f>-Operating!IM$37</f>
        <v/>
      </c>
      <c r="IN31" s="402">
        <f>-Operating!IN$37</f>
        <v/>
      </c>
      <c r="IO31" s="402">
        <f>-Operating!IO$37</f>
        <v/>
      </c>
      <c r="IP31" s="402">
        <f>-Operating!IP$37</f>
        <v/>
      </c>
      <c r="IQ31" s="402">
        <f>-Operating!IQ$37</f>
        <v/>
      </c>
      <c r="IR31" s="402">
        <f>-Operating!IR$37</f>
        <v/>
      </c>
      <c r="IS31" s="402">
        <f>-Operating!IS$37</f>
        <v/>
      </c>
      <c r="IT31" s="402">
        <f>-Operating!IT$37</f>
        <v/>
      </c>
      <c r="IU31" s="402">
        <f>-Operating!IU$37</f>
        <v/>
      </c>
      <c r="IV31" s="402">
        <f>-Operating!IV$37</f>
        <v/>
      </c>
      <c r="IW31" s="402">
        <f>-Operating!IW$37</f>
        <v/>
      </c>
      <c r="IX31" s="402">
        <f>-Operating!IX$37</f>
        <v/>
      </c>
      <c r="IY31" s="402">
        <f>-Operating!IY$37</f>
        <v/>
      </c>
      <c r="IZ31" s="402">
        <f>-Operating!IZ$37</f>
        <v/>
      </c>
      <c r="JA31" s="402">
        <f>-Operating!JA$37</f>
        <v/>
      </c>
      <c r="JB31" s="402">
        <f>-Operating!JB$37</f>
        <v/>
      </c>
      <c r="JC31" s="402">
        <f>-Operating!JC$37</f>
        <v/>
      </c>
      <c r="JD31" s="402">
        <f>-Operating!JD$37</f>
        <v/>
      </c>
      <c r="JE31" s="402">
        <f>-Operating!JE$37</f>
        <v/>
      </c>
      <c r="JF31" s="402">
        <f>-Operating!JF$37</f>
        <v/>
      </c>
      <c r="JG31" s="402">
        <f>-Operating!JG$37</f>
        <v/>
      </c>
      <c r="JH31" s="402">
        <f>-Operating!JH$37</f>
        <v/>
      </c>
      <c r="JI31" s="402">
        <f>-Operating!JI$37</f>
        <v/>
      </c>
      <c r="JJ31" s="402">
        <f>-Operating!JJ$37</f>
        <v/>
      </c>
      <c r="JK31" s="402">
        <f>-Operating!JK$37</f>
        <v/>
      </c>
      <c r="JL31" s="402">
        <f>-Operating!JL$37</f>
        <v/>
      </c>
      <c r="JM31" s="402">
        <f>-Operating!JM$37</f>
        <v/>
      </c>
      <c r="JN31" s="402">
        <f>-Operating!JN$37</f>
        <v/>
      </c>
      <c r="JO31" s="402">
        <f>-Operating!JO$37</f>
        <v/>
      </c>
      <c r="JP31" s="402">
        <f>-Operating!JP$37</f>
        <v/>
      </c>
      <c r="JQ31" s="402">
        <f>-Operating!JQ$37</f>
        <v/>
      </c>
      <c r="JR31" s="402">
        <f>-Operating!JR$37</f>
        <v/>
      </c>
      <c r="JS31" s="402">
        <f>-Operating!JS$37</f>
        <v/>
      </c>
      <c r="JT31" s="402">
        <f>-Operating!JT$37</f>
        <v/>
      </c>
      <c r="JU31" s="402">
        <f>-Operating!JU$37</f>
        <v/>
      </c>
      <c r="JV31" s="402">
        <f>-Operating!JV$37</f>
        <v/>
      </c>
      <c r="JW31" s="402">
        <f>-Operating!JW$37</f>
        <v/>
      </c>
      <c r="JX31" s="402">
        <f>-Operating!JX$37</f>
        <v/>
      </c>
      <c r="JY31" s="402">
        <f>-Operating!JY$37</f>
        <v/>
      </c>
      <c r="JZ31" s="402">
        <f>-Operating!JZ$37</f>
        <v/>
      </c>
      <c r="KA31" s="402">
        <f>-Operating!KA$37</f>
        <v/>
      </c>
      <c r="KB31" s="402">
        <f>-Operating!KB$37</f>
        <v/>
      </c>
      <c r="KC31" s="402">
        <f>-Operating!KC$37</f>
        <v/>
      </c>
      <c r="KD31" s="402">
        <f>-Operating!KD$37</f>
        <v/>
      </c>
      <c r="KE31" s="402">
        <f>-Operating!KE$37</f>
        <v/>
      </c>
      <c r="KF31" s="402">
        <f>-Operating!KF$37</f>
        <v/>
      </c>
      <c r="KG31" s="402">
        <f>-Operating!KG$37</f>
        <v/>
      </c>
      <c r="KH31" s="402">
        <f>-Operating!KH$37</f>
        <v/>
      </c>
      <c r="KI31" s="402">
        <f>-Operating!KI$37</f>
        <v/>
      </c>
      <c r="KJ31" s="402">
        <f>-Operating!KJ$37</f>
        <v/>
      </c>
      <c r="KK31" s="402">
        <f>-Operating!KK$37</f>
        <v/>
      </c>
      <c r="KL31" s="402">
        <f>-Operating!KL$37</f>
        <v/>
      </c>
      <c r="KM31" s="402">
        <f>-Operating!KM$37</f>
        <v/>
      </c>
      <c r="KN31" s="402">
        <f>-Operating!KN$37</f>
        <v/>
      </c>
      <c r="KO31" s="402">
        <f>-Operating!KO$37</f>
        <v/>
      </c>
      <c r="KP31" s="402">
        <f>-Operating!KP$37</f>
        <v/>
      </c>
      <c r="KQ31" s="402">
        <f>-Operating!KQ$37</f>
        <v/>
      </c>
      <c r="KR31" s="402">
        <f>-Operating!KR$37</f>
        <v/>
      </c>
      <c r="KS31" s="402">
        <f>-Operating!KS$37</f>
        <v/>
      </c>
      <c r="KT31" s="402">
        <f>-Operating!KT$37</f>
        <v/>
      </c>
      <c r="KU31" s="402">
        <f>-Operating!KU$37</f>
        <v/>
      </c>
      <c r="KV31" s="402">
        <f>-Operating!KV$37</f>
        <v/>
      </c>
      <c r="KW31" s="402">
        <f>-Operating!KW$37</f>
        <v/>
      </c>
      <c r="KX31" s="402">
        <f>-Operating!KX$37</f>
        <v/>
      </c>
      <c r="KY31" s="402">
        <f>-Operating!KY$37</f>
        <v/>
      </c>
      <c r="KZ31" s="402">
        <f>-Operating!KZ$37</f>
        <v/>
      </c>
      <c r="LA31" s="402">
        <f>-Operating!LA$37</f>
        <v/>
      </c>
      <c r="LB31" s="402">
        <f>-Operating!LB$37</f>
        <v/>
      </c>
      <c r="LC31" s="402">
        <f>-Operating!LC$37</f>
        <v/>
      </c>
      <c r="LD31" s="402">
        <f>-Operating!LD$37</f>
        <v/>
      </c>
      <c r="LE31" s="402">
        <f>-Operating!LE$37</f>
        <v/>
      </c>
      <c r="LF31" s="402">
        <f>-Operating!LF$37</f>
        <v/>
      </c>
      <c r="LG31" s="402">
        <f>-Operating!LG$37</f>
        <v/>
      </c>
      <c r="LH31" s="402">
        <f>-Operating!LH$37</f>
        <v/>
      </c>
      <c r="LI31" s="402">
        <f>-Operating!LI$37</f>
        <v/>
      </c>
      <c r="LJ31" s="402">
        <f>-Operating!LJ$37</f>
        <v/>
      </c>
      <c r="LK31" s="402">
        <f>-Operating!LK$37</f>
        <v/>
      </c>
      <c r="LL31" s="402">
        <f>-Operating!LL$37</f>
        <v/>
      </c>
      <c r="LM31" s="402">
        <f>-Operating!LM$37</f>
        <v/>
      </c>
      <c r="LN31" s="402">
        <f>-Operating!LN$37</f>
        <v/>
      </c>
      <c r="LO31" s="402">
        <f>-Operating!LO$37</f>
        <v/>
      </c>
      <c r="LP31" s="402">
        <f>-Operating!LP$37</f>
        <v/>
      </c>
      <c r="LQ31" s="402">
        <f>-Operating!LQ$37</f>
        <v/>
      </c>
      <c r="LR31" s="402">
        <f>-Operating!LR$37</f>
        <v/>
      </c>
      <c r="LS31" s="402">
        <f>-Operating!LS$37</f>
        <v/>
      </c>
      <c r="LT31" s="402">
        <f>-Operating!LT$37</f>
        <v/>
      </c>
      <c r="LU31" s="402">
        <f>-Operating!LU$37</f>
        <v/>
      </c>
      <c r="LV31" s="402">
        <f>-Operating!LV$37</f>
        <v/>
      </c>
      <c r="LW31" s="402">
        <f>-Operating!LW$37</f>
        <v/>
      </c>
      <c r="LX31" s="402">
        <f>-Operating!LX$37</f>
        <v/>
      </c>
      <c r="LY31" s="402">
        <f>-Operating!LY$37</f>
        <v/>
      </c>
      <c r="LZ31" s="402">
        <f>-Operating!LZ$37</f>
        <v/>
      </c>
      <c r="MA31" s="402">
        <f>-Operating!MA$37</f>
        <v/>
      </c>
      <c r="MB31" s="402">
        <f>-Operating!MB$37</f>
        <v/>
      </c>
      <c r="MC31" s="402">
        <f>-Operating!MC$37</f>
        <v/>
      </c>
      <c r="MD31" s="402">
        <f>-Operating!MD$37</f>
        <v/>
      </c>
      <c r="ME31" s="402">
        <f>-Operating!ME$37</f>
        <v/>
      </c>
      <c r="MF31" s="402">
        <f>-Operating!MF$37</f>
        <v/>
      </c>
      <c r="MG31" s="402">
        <f>-Operating!MG$37</f>
        <v/>
      </c>
      <c r="MH31" s="402">
        <f>-Operating!MH$37</f>
        <v/>
      </c>
      <c r="MI31" s="402">
        <f>-Operating!MI$37</f>
        <v/>
      </c>
      <c r="MJ31" s="402">
        <f>-Operating!MJ$37</f>
        <v/>
      </c>
      <c r="MK31" s="402">
        <f>-Operating!MK$37</f>
        <v/>
      </c>
      <c r="ML31" s="402">
        <f>-Operating!ML$37</f>
        <v/>
      </c>
      <c r="MM31" s="402">
        <f>-Operating!MM$37</f>
        <v/>
      </c>
      <c r="MN31" s="402">
        <f>-Operating!MN$37</f>
        <v/>
      </c>
      <c r="MO31" s="402">
        <f>-Operating!MO$37</f>
        <v/>
      </c>
      <c r="MP31" s="402">
        <f>-Operating!MP$37</f>
        <v/>
      </c>
      <c r="MQ31" s="402">
        <f>-Operating!MQ$37</f>
        <v/>
      </c>
      <c r="MR31" s="402">
        <f>-Operating!MR$37</f>
        <v/>
      </c>
      <c r="MS31" s="402">
        <f>-Operating!MS$37</f>
        <v/>
      </c>
      <c r="MT31" s="402">
        <f>-Operating!MT$37</f>
        <v/>
      </c>
      <c r="MU31" s="402">
        <f>-Operating!MU$37</f>
        <v/>
      </c>
      <c r="MV31" s="402">
        <f>-Operating!MV$37</f>
        <v/>
      </c>
      <c r="MW31" s="402">
        <f>-Operating!MW$37</f>
        <v/>
      </c>
      <c r="MX31" s="402">
        <f>-Operating!MX$37</f>
        <v/>
      </c>
      <c r="MY31" s="402">
        <f>-Operating!MY$37</f>
        <v/>
      </c>
      <c r="MZ31" s="402">
        <f>-Operating!MZ$37</f>
        <v/>
      </c>
      <c r="NA31" s="402">
        <f>-Operating!NA$37</f>
        <v/>
      </c>
      <c r="NB31" s="402">
        <f>-Operating!NB$37</f>
        <v/>
      </c>
      <c r="NC31" s="402">
        <f>-Operating!NC$37</f>
        <v/>
      </c>
      <c r="ND31" s="402">
        <f>-Operating!ND$37</f>
        <v/>
      </c>
      <c r="NE31" s="402">
        <f>-Operating!NE$37</f>
        <v/>
      </c>
      <c r="NF31" s="402">
        <f>-Operating!NF$37</f>
        <v/>
      </c>
      <c r="NG31" s="402">
        <f>-Operating!NG$37</f>
        <v/>
      </c>
      <c r="NH31" s="402">
        <f>-Operating!NH$37</f>
        <v/>
      </c>
      <c r="NI31" s="402">
        <f>-Operating!NI$37</f>
        <v/>
      </c>
      <c r="NJ31" s="402">
        <f>-Operating!NJ$37</f>
        <v/>
      </c>
      <c r="NK31" s="402">
        <f>-Operating!NK$37</f>
        <v/>
      </c>
      <c r="NL31" s="402">
        <f>-Operating!NL$37</f>
        <v/>
      </c>
    </row>
    <row r="32">
      <c r="B32" s="330" t="inlineStr">
        <is>
          <t>Net Operating Income</t>
        </is>
      </c>
      <c r="D32" s="403">
        <f>SUM(E32:NL32)</f>
        <v/>
      </c>
      <c r="E32" s="407">
        <f>Operating!E$38</f>
        <v/>
      </c>
      <c r="F32" s="407">
        <f>Operating!F$38</f>
        <v/>
      </c>
      <c r="G32" s="407">
        <f>Operating!G$38</f>
        <v/>
      </c>
      <c r="H32" s="407">
        <f>Operating!H$38</f>
        <v/>
      </c>
      <c r="I32" s="407">
        <f>Operating!I$38</f>
        <v/>
      </c>
      <c r="J32" s="407">
        <f>Operating!J$38</f>
        <v/>
      </c>
      <c r="K32" s="407">
        <f>Operating!K$38</f>
        <v/>
      </c>
      <c r="L32" s="407">
        <f>Operating!L$38</f>
        <v/>
      </c>
      <c r="M32" s="407">
        <f>Operating!M$38</f>
        <v/>
      </c>
      <c r="N32" s="407">
        <f>Operating!N$38</f>
        <v/>
      </c>
      <c r="O32" s="407">
        <f>Operating!O$38</f>
        <v/>
      </c>
      <c r="P32" s="407">
        <f>Operating!P$38</f>
        <v/>
      </c>
      <c r="Q32" s="407">
        <f>Operating!Q$38</f>
        <v/>
      </c>
      <c r="R32" s="407">
        <f>Operating!R$38</f>
        <v/>
      </c>
      <c r="S32" s="407">
        <f>Operating!S$38</f>
        <v/>
      </c>
      <c r="T32" s="407">
        <f>Operating!T$38</f>
        <v/>
      </c>
      <c r="U32" s="407">
        <f>Operating!U$38</f>
        <v/>
      </c>
      <c r="V32" s="407">
        <f>Operating!V$38</f>
        <v/>
      </c>
      <c r="W32" s="407">
        <f>Operating!W$38</f>
        <v/>
      </c>
      <c r="X32" s="407">
        <f>Operating!X$38</f>
        <v/>
      </c>
      <c r="Y32" s="407">
        <f>Operating!Y$38</f>
        <v/>
      </c>
      <c r="Z32" s="407">
        <f>Operating!Z$38</f>
        <v/>
      </c>
      <c r="AA32" s="407">
        <f>Operating!AA$38</f>
        <v/>
      </c>
      <c r="AB32" s="407">
        <f>Operating!AB$38</f>
        <v/>
      </c>
      <c r="AC32" s="407">
        <f>Operating!AC$38</f>
        <v/>
      </c>
      <c r="AD32" s="407">
        <f>Operating!AD$38</f>
        <v/>
      </c>
      <c r="AE32" s="407">
        <f>Operating!AE$38</f>
        <v/>
      </c>
      <c r="AF32" s="407">
        <f>Operating!AF$38</f>
        <v/>
      </c>
      <c r="AG32" s="407">
        <f>Operating!AG$38</f>
        <v/>
      </c>
      <c r="AH32" s="407">
        <f>Operating!AH$38</f>
        <v/>
      </c>
      <c r="AI32" s="407">
        <f>Operating!AI$38</f>
        <v/>
      </c>
      <c r="AJ32" s="407">
        <f>Operating!AJ$38</f>
        <v/>
      </c>
      <c r="AK32" s="407">
        <f>Operating!AK$38</f>
        <v/>
      </c>
      <c r="AL32" s="407">
        <f>Operating!AL$38</f>
        <v/>
      </c>
      <c r="AM32" s="407">
        <f>Operating!AM$38</f>
        <v/>
      </c>
      <c r="AN32" s="407">
        <f>Operating!AN$38</f>
        <v/>
      </c>
      <c r="AO32" s="407">
        <f>Operating!AO$38</f>
        <v/>
      </c>
      <c r="AP32" s="407">
        <f>Operating!AP$38</f>
        <v/>
      </c>
      <c r="AQ32" s="407">
        <f>Operating!AQ$38</f>
        <v/>
      </c>
      <c r="AR32" s="407">
        <f>Operating!AR$38</f>
        <v/>
      </c>
      <c r="AS32" s="407">
        <f>Operating!AS$38</f>
        <v/>
      </c>
      <c r="AT32" s="407">
        <f>Operating!AT$38</f>
        <v/>
      </c>
      <c r="AU32" s="407">
        <f>Operating!AU$38</f>
        <v/>
      </c>
      <c r="AV32" s="407">
        <f>Operating!AV$38</f>
        <v/>
      </c>
      <c r="AW32" s="407">
        <f>Operating!AW$38</f>
        <v/>
      </c>
      <c r="AX32" s="407">
        <f>Operating!AX$38</f>
        <v/>
      </c>
      <c r="AY32" s="407">
        <f>Operating!AY$38</f>
        <v/>
      </c>
      <c r="AZ32" s="407">
        <f>Operating!AZ$38</f>
        <v/>
      </c>
      <c r="BA32" s="407">
        <f>Operating!BA$38</f>
        <v/>
      </c>
      <c r="BB32" s="407">
        <f>Operating!BB$38</f>
        <v/>
      </c>
      <c r="BC32" s="407">
        <f>Operating!BC$38</f>
        <v/>
      </c>
      <c r="BD32" s="407">
        <f>Operating!BD$38</f>
        <v/>
      </c>
      <c r="BE32" s="407">
        <f>Operating!BE$38</f>
        <v/>
      </c>
      <c r="BF32" s="407">
        <f>Operating!BF$38</f>
        <v/>
      </c>
      <c r="BG32" s="407">
        <f>Operating!BG$38</f>
        <v/>
      </c>
      <c r="BH32" s="407">
        <f>Operating!BH$38</f>
        <v/>
      </c>
      <c r="BI32" s="407">
        <f>Operating!BI$38</f>
        <v/>
      </c>
      <c r="BJ32" s="407">
        <f>Operating!BJ$38</f>
        <v/>
      </c>
      <c r="BK32" s="407">
        <f>Operating!BK$38</f>
        <v/>
      </c>
      <c r="BL32" s="407">
        <f>Operating!BL$38</f>
        <v/>
      </c>
      <c r="BM32" s="407">
        <f>Operating!BM$38</f>
        <v/>
      </c>
      <c r="BN32" s="407">
        <f>Operating!BN$38</f>
        <v/>
      </c>
      <c r="BO32" s="407">
        <f>Operating!BO$38</f>
        <v/>
      </c>
      <c r="BP32" s="407">
        <f>Operating!BP$38</f>
        <v/>
      </c>
      <c r="BQ32" s="407">
        <f>Operating!BQ$38</f>
        <v/>
      </c>
      <c r="BR32" s="407">
        <f>Operating!BR$38</f>
        <v/>
      </c>
      <c r="BS32" s="407">
        <f>Operating!BS$38</f>
        <v/>
      </c>
      <c r="BT32" s="407">
        <f>Operating!BT$38</f>
        <v/>
      </c>
      <c r="BU32" s="407">
        <f>Operating!BU$38</f>
        <v/>
      </c>
      <c r="BV32" s="407">
        <f>Operating!BV$38</f>
        <v/>
      </c>
      <c r="BW32" s="407">
        <f>Operating!BW$38</f>
        <v/>
      </c>
      <c r="BX32" s="407">
        <f>Operating!BX$38</f>
        <v/>
      </c>
      <c r="BY32" s="407">
        <f>Operating!BY$38</f>
        <v/>
      </c>
      <c r="BZ32" s="407">
        <f>Operating!BZ$38</f>
        <v/>
      </c>
      <c r="CA32" s="407">
        <f>Operating!CA$38</f>
        <v/>
      </c>
      <c r="CB32" s="407">
        <f>Operating!CB$38</f>
        <v/>
      </c>
      <c r="CC32" s="407">
        <f>Operating!CC$38</f>
        <v/>
      </c>
      <c r="CD32" s="407">
        <f>Operating!CD$38</f>
        <v/>
      </c>
      <c r="CE32" s="407">
        <f>Operating!CE$38</f>
        <v/>
      </c>
      <c r="CF32" s="407">
        <f>Operating!CF$38</f>
        <v/>
      </c>
      <c r="CG32" s="407">
        <f>Operating!CG$38</f>
        <v/>
      </c>
      <c r="CH32" s="407">
        <f>Operating!CH$38</f>
        <v/>
      </c>
      <c r="CI32" s="407">
        <f>Operating!CI$38</f>
        <v/>
      </c>
      <c r="CJ32" s="407">
        <f>Operating!CJ$38</f>
        <v/>
      </c>
      <c r="CK32" s="407">
        <f>Operating!CK$38</f>
        <v/>
      </c>
      <c r="CL32" s="407">
        <f>Operating!CL$38</f>
        <v/>
      </c>
      <c r="CM32" s="407">
        <f>Operating!CM$38</f>
        <v/>
      </c>
      <c r="CN32" s="407">
        <f>Operating!CN$38</f>
        <v/>
      </c>
      <c r="CO32" s="407">
        <f>Operating!CO$38</f>
        <v/>
      </c>
      <c r="CP32" s="407">
        <f>Operating!CP$38</f>
        <v/>
      </c>
      <c r="CQ32" s="407">
        <f>Operating!CQ$38</f>
        <v/>
      </c>
      <c r="CR32" s="407">
        <f>Operating!CR$38</f>
        <v/>
      </c>
      <c r="CS32" s="407">
        <f>Operating!CS$38</f>
        <v/>
      </c>
      <c r="CT32" s="407">
        <f>Operating!CT$38</f>
        <v/>
      </c>
      <c r="CU32" s="407">
        <f>Operating!CU$38</f>
        <v/>
      </c>
      <c r="CV32" s="407">
        <f>Operating!CV$38</f>
        <v/>
      </c>
      <c r="CW32" s="407">
        <f>Operating!CW$38</f>
        <v/>
      </c>
      <c r="CX32" s="407">
        <f>Operating!CX$38</f>
        <v/>
      </c>
      <c r="CY32" s="407">
        <f>Operating!CY$38</f>
        <v/>
      </c>
      <c r="CZ32" s="407">
        <f>Operating!CZ$38</f>
        <v/>
      </c>
      <c r="DA32" s="407">
        <f>Operating!DA$38</f>
        <v/>
      </c>
      <c r="DB32" s="407">
        <f>Operating!DB$38</f>
        <v/>
      </c>
      <c r="DC32" s="407">
        <f>Operating!DC$38</f>
        <v/>
      </c>
      <c r="DD32" s="407">
        <f>Operating!DD$38</f>
        <v/>
      </c>
      <c r="DE32" s="407">
        <f>Operating!DE$38</f>
        <v/>
      </c>
      <c r="DF32" s="407">
        <f>Operating!DF$38</f>
        <v/>
      </c>
      <c r="DG32" s="407">
        <f>Operating!DG$38</f>
        <v/>
      </c>
      <c r="DH32" s="407">
        <f>Operating!DH$38</f>
        <v/>
      </c>
      <c r="DI32" s="407">
        <f>Operating!DI$38</f>
        <v/>
      </c>
      <c r="DJ32" s="407">
        <f>Operating!DJ$38</f>
        <v/>
      </c>
      <c r="DK32" s="407">
        <f>Operating!DK$38</f>
        <v/>
      </c>
      <c r="DL32" s="407">
        <f>Operating!DL$38</f>
        <v/>
      </c>
      <c r="DM32" s="407">
        <f>Operating!DM$38</f>
        <v/>
      </c>
      <c r="DN32" s="407">
        <f>Operating!DN$38</f>
        <v/>
      </c>
      <c r="DO32" s="407">
        <f>Operating!DO$38</f>
        <v/>
      </c>
      <c r="DP32" s="407">
        <f>Operating!DP$38</f>
        <v/>
      </c>
      <c r="DQ32" s="407">
        <f>Operating!DQ$38</f>
        <v/>
      </c>
      <c r="DR32" s="407">
        <f>Operating!DR$38</f>
        <v/>
      </c>
      <c r="DS32" s="407">
        <f>Operating!DS$38</f>
        <v/>
      </c>
      <c r="DT32" s="407">
        <f>Operating!DT$38</f>
        <v/>
      </c>
      <c r="DU32" s="407">
        <f>Operating!DU$38</f>
        <v/>
      </c>
      <c r="DV32" s="407">
        <f>Operating!DV$38</f>
        <v/>
      </c>
      <c r="DW32" s="407">
        <f>Operating!DW$38</f>
        <v/>
      </c>
      <c r="DX32" s="407">
        <f>Operating!DX$38</f>
        <v/>
      </c>
      <c r="DY32" s="407">
        <f>Operating!DY$38</f>
        <v/>
      </c>
      <c r="DZ32" s="407">
        <f>Operating!DZ$38</f>
        <v/>
      </c>
      <c r="EA32" s="407">
        <f>Operating!EA$38</f>
        <v/>
      </c>
      <c r="EB32" s="407">
        <f>Operating!EB$38</f>
        <v/>
      </c>
      <c r="EC32" s="407">
        <f>Operating!EC$38</f>
        <v/>
      </c>
      <c r="ED32" s="407">
        <f>Operating!ED$38</f>
        <v/>
      </c>
      <c r="EE32" s="407">
        <f>Operating!EE$38</f>
        <v/>
      </c>
      <c r="EF32" s="407">
        <f>Operating!EF$38</f>
        <v/>
      </c>
      <c r="EG32" s="407">
        <f>Operating!EG$38</f>
        <v/>
      </c>
      <c r="EH32" s="407">
        <f>Operating!EH$38</f>
        <v/>
      </c>
      <c r="EI32" s="407">
        <f>Operating!EI$38</f>
        <v/>
      </c>
      <c r="EJ32" s="407">
        <f>Operating!EJ$38</f>
        <v/>
      </c>
      <c r="EK32" s="407">
        <f>Operating!EK$38</f>
        <v/>
      </c>
      <c r="EL32" s="407">
        <f>Operating!EL$38</f>
        <v/>
      </c>
      <c r="EM32" s="407">
        <f>Operating!EM$38</f>
        <v/>
      </c>
      <c r="EN32" s="407">
        <f>Operating!EN$38</f>
        <v/>
      </c>
      <c r="EO32" s="407">
        <f>Operating!EO$38</f>
        <v/>
      </c>
      <c r="EP32" s="407">
        <f>Operating!EP$38</f>
        <v/>
      </c>
      <c r="EQ32" s="407">
        <f>Operating!EQ$38</f>
        <v/>
      </c>
      <c r="ER32" s="407">
        <f>Operating!ER$38</f>
        <v/>
      </c>
      <c r="ES32" s="407">
        <f>Operating!ES$38</f>
        <v/>
      </c>
      <c r="ET32" s="407">
        <f>Operating!ET$38</f>
        <v/>
      </c>
      <c r="EU32" s="407">
        <f>Operating!EU$38</f>
        <v/>
      </c>
      <c r="EV32" s="407">
        <f>Operating!EV$38</f>
        <v/>
      </c>
      <c r="EW32" s="407">
        <f>Operating!EW$38</f>
        <v/>
      </c>
      <c r="EX32" s="407">
        <f>Operating!EX$38</f>
        <v/>
      </c>
      <c r="EY32" s="407">
        <f>Operating!EY$38</f>
        <v/>
      </c>
      <c r="EZ32" s="407">
        <f>Operating!EZ$38</f>
        <v/>
      </c>
      <c r="FA32" s="407">
        <f>Operating!FA$38</f>
        <v/>
      </c>
      <c r="FB32" s="407">
        <f>Operating!FB$38</f>
        <v/>
      </c>
      <c r="FC32" s="407">
        <f>Operating!FC$38</f>
        <v/>
      </c>
      <c r="FD32" s="407">
        <f>Operating!FD$38</f>
        <v/>
      </c>
      <c r="FE32" s="407">
        <f>Operating!FE$38</f>
        <v/>
      </c>
      <c r="FF32" s="407">
        <f>Operating!FF$38</f>
        <v/>
      </c>
      <c r="FG32" s="407">
        <f>Operating!FG$38</f>
        <v/>
      </c>
      <c r="FH32" s="407">
        <f>Operating!FH$38</f>
        <v/>
      </c>
      <c r="FI32" s="407">
        <f>Operating!FI$38</f>
        <v/>
      </c>
      <c r="FJ32" s="407">
        <f>Operating!FJ$38</f>
        <v/>
      </c>
      <c r="FK32" s="407">
        <f>Operating!FK$38</f>
        <v/>
      </c>
      <c r="FL32" s="407">
        <f>Operating!FL$38</f>
        <v/>
      </c>
      <c r="FM32" s="407">
        <f>Operating!FM$38</f>
        <v/>
      </c>
      <c r="FN32" s="407">
        <f>Operating!FN$38</f>
        <v/>
      </c>
      <c r="FO32" s="407">
        <f>Operating!FO$38</f>
        <v/>
      </c>
      <c r="FP32" s="407">
        <f>Operating!FP$38</f>
        <v/>
      </c>
      <c r="FQ32" s="407">
        <f>Operating!FQ$38</f>
        <v/>
      </c>
      <c r="FR32" s="407">
        <f>Operating!FR$38</f>
        <v/>
      </c>
      <c r="FS32" s="407">
        <f>Operating!FS$38</f>
        <v/>
      </c>
      <c r="FT32" s="407">
        <f>Operating!FT$38</f>
        <v/>
      </c>
      <c r="FU32" s="407">
        <f>Operating!FU$38</f>
        <v/>
      </c>
      <c r="FV32" s="407">
        <f>Operating!FV$38</f>
        <v/>
      </c>
      <c r="FW32" s="407">
        <f>Operating!FW$38</f>
        <v/>
      </c>
      <c r="FX32" s="407">
        <f>Operating!FX$38</f>
        <v/>
      </c>
      <c r="FY32" s="407">
        <f>Operating!FY$38</f>
        <v/>
      </c>
      <c r="FZ32" s="407">
        <f>Operating!FZ$38</f>
        <v/>
      </c>
      <c r="GA32" s="407">
        <f>Operating!GA$38</f>
        <v/>
      </c>
      <c r="GB32" s="407">
        <f>Operating!GB$38</f>
        <v/>
      </c>
      <c r="GC32" s="407">
        <f>Operating!GC$38</f>
        <v/>
      </c>
      <c r="GD32" s="407">
        <f>Operating!GD$38</f>
        <v/>
      </c>
      <c r="GE32" s="407">
        <f>Operating!GE$38</f>
        <v/>
      </c>
      <c r="GF32" s="407">
        <f>Operating!GF$38</f>
        <v/>
      </c>
      <c r="GG32" s="407">
        <f>Operating!GG$38</f>
        <v/>
      </c>
      <c r="GH32" s="407">
        <f>Operating!GH$38</f>
        <v/>
      </c>
      <c r="GI32" s="407">
        <f>Operating!GI$38</f>
        <v/>
      </c>
      <c r="GJ32" s="407">
        <f>Operating!GJ$38</f>
        <v/>
      </c>
      <c r="GK32" s="407">
        <f>Operating!GK$38</f>
        <v/>
      </c>
      <c r="GL32" s="407">
        <f>Operating!GL$38</f>
        <v/>
      </c>
      <c r="GM32" s="407">
        <f>Operating!GM$38</f>
        <v/>
      </c>
      <c r="GN32" s="407">
        <f>Operating!GN$38</f>
        <v/>
      </c>
      <c r="GO32" s="407">
        <f>Operating!GO$38</f>
        <v/>
      </c>
      <c r="GP32" s="407">
        <f>Operating!GP$38</f>
        <v/>
      </c>
      <c r="GQ32" s="407">
        <f>Operating!GQ$38</f>
        <v/>
      </c>
      <c r="GR32" s="407">
        <f>Operating!GR$38</f>
        <v/>
      </c>
      <c r="GS32" s="407">
        <f>Operating!GS$38</f>
        <v/>
      </c>
      <c r="GT32" s="407">
        <f>Operating!GT$38</f>
        <v/>
      </c>
      <c r="GU32" s="407">
        <f>Operating!GU$38</f>
        <v/>
      </c>
      <c r="GV32" s="407">
        <f>Operating!GV$38</f>
        <v/>
      </c>
      <c r="GW32" s="407">
        <f>Operating!GW$38</f>
        <v/>
      </c>
      <c r="GX32" s="407">
        <f>Operating!GX$38</f>
        <v/>
      </c>
      <c r="GY32" s="407">
        <f>Operating!GY$38</f>
        <v/>
      </c>
      <c r="GZ32" s="407">
        <f>Operating!GZ$38</f>
        <v/>
      </c>
      <c r="HA32" s="407">
        <f>Operating!HA$38</f>
        <v/>
      </c>
      <c r="HB32" s="407">
        <f>Operating!HB$38</f>
        <v/>
      </c>
      <c r="HC32" s="407">
        <f>Operating!HC$38</f>
        <v/>
      </c>
      <c r="HD32" s="407">
        <f>Operating!HD$38</f>
        <v/>
      </c>
      <c r="HE32" s="407">
        <f>Operating!HE$38</f>
        <v/>
      </c>
      <c r="HF32" s="407">
        <f>Operating!HF$38</f>
        <v/>
      </c>
      <c r="HG32" s="407">
        <f>Operating!HG$38</f>
        <v/>
      </c>
      <c r="HH32" s="407">
        <f>Operating!HH$38</f>
        <v/>
      </c>
      <c r="HI32" s="407">
        <f>Operating!HI$38</f>
        <v/>
      </c>
      <c r="HJ32" s="407">
        <f>Operating!HJ$38</f>
        <v/>
      </c>
      <c r="HK32" s="407">
        <f>Operating!HK$38</f>
        <v/>
      </c>
      <c r="HL32" s="407">
        <f>Operating!HL$38</f>
        <v/>
      </c>
      <c r="HM32" s="407">
        <f>Operating!HM$38</f>
        <v/>
      </c>
      <c r="HN32" s="407">
        <f>Operating!HN$38</f>
        <v/>
      </c>
      <c r="HO32" s="407">
        <f>Operating!HO$38</f>
        <v/>
      </c>
      <c r="HP32" s="407">
        <f>Operating!HP$38</f>
        <v/>
      </c>
      <c r="HQ32" s="407">
        <f>Operating!HQ$38</f>
        <v/>
      </c>
      <c r="HR32" s="407">
        <f>Operating!HR$38</f>
        <v/>
      </c>
      <c r="HS32" s="407">
        <f>Operating!HS$38</f>
        <v/>
      </c>
      <c r="HT32" s="407">
        <f>Operating!HT$38</f>
        <v/>
      </c>
      <c r="HU32" s="407">
        <f>Operating!HU$38</f>
        <v/>
      </c>
      <c r="HV32" s="407">
        <f>Operating!HV$38</f>
        <v/>
      </c>
      <c r="HW32" s="407">
        <f>Operating!HW$38</f>
        <v/>
      </c>
      <c r="HX32" s="407">
        <f>Operating!HX$38</f>
        <v/>
      </c>
      <c r="HY32" s="407">
        <f>Operating!HY$38</f>
        <v/>
      </c>
      <c r="HZ32" s="407">
        <f>Operating!HZ$38</f>
        <v/>
      </c>
      <c r="IA32" s="407">
        <f>Operating!IA$38</f>
        <v/>
      </c>
      <c r="IB32" s="407">
        <f>Operating!IB$38</f>
        <v/>
      </c>
      <c r="IC32" s="407">
        <f>Operating!IC$38</f>
        <v/>
      </c>
      <c r="ID32" s="407">
        <f>Operating!ID$38</f>
        <v/>
      </c>
      <c r="IE32" s="407">
        <f>Operating!IE$38</f>
        <v/>
      </c>
      <c r="IF32" s="407">
        <f>Operating!IF$38</f>
        <v/>
      </c>
      <c r="IG32" s="407">
        <f>Operating!IG$38</f>
        <v/>
      </c>
      <c r="IH32" s="407">
        <f>Operating!IH$38</f>
        <v/>
      </c>
      <c r="II32" s="407">
        <f>Operating!II$38</f>
        <v/>
      </c>
      <c r="IJ32" s="407">
        <f>Operating!IJ$38</f>
        <v/>
      </c>
      <c r="IK32" s="407">
        <f>Operating!IK$38</f>
        <v/>
      </c>
      <c r="IL32" s="407">
        <f>Operating!IL$38</f>
        <v/>
      </c>
      <c r="IM32" s="407">
        <f>Operating!IM$38</f>
        <v/>
      </c>
      <c r="IN32" s="407">
        <f>Operating!IN$38</f>
        <v/>
      </c>
      <c r="IO32" s="407">
        <f>Operating!IO$38</f>
        <v/>
      </c>
      <c r="IP32" s="407">
        <f>Operating!IP$38</f>
        <v/>
      </c>
      <c r="IQ32" s="407">
        <f>Operating!IQ$38</f>
        <v/>
      </c>
      <c r="IR32" s="407">
        <f>Operating!IR$38</f>
        <v/>
      </c>
      <c r="IS32" s="407">
        <f>Operating!IS$38</f>
        <v/>
      </c>
      <c r="IT32" s="407">
        <f>Operating!IT$38</f>
        <v/>
      </c>
      <c r="IU32" s="407">
        <f>Operating!IU$38</f>
        <v/>
      </c>
      <c r="IV32" s="407">
        <f>Operating!IV$38</f>
        <v/>
      </c>
      <c r="IW32" s="407">
        <f>Operating!IW$38</f>
        <v/>
      </c>
      <c r="IX32" s="407">
        <f>Operating!IX$38</f>
        <v/>
      </c>
      <c r="IY32" s="407">
        <f>Operating!IY$38</f>
        <v/>
      </c>
      <c r="IZ32" s="407">
        <f>Operating!IZ$38</f>
        <v/>
      </c>
      <c r="JA32" s="407">
        <f>Operating!JA$38</f>
        <v/>
      </c>
      <c r="JB32" s="407">
        <f>Operating!JB$38</f>
        <v/>
      </c>
      <c r="JC32" s="407">
        <f>Operating!JC$38</f>
        <v/>
      </c>
      <c r="JD32" s="407">
        <f>Operating!JD$38</f>
        <v/>
      </c>
      <c r="JE32" s="407">
        <f>Operating!JE$38</f>
        <v/>
      </c>
      <c r="JF32" s="407">
        <f>Operating!JF$38</f>
        <v/>
      </c>
      <c r="JG32" s="407">
        <f>Operating!JG$38</f>
        <v/>
      </c>
      <c r="JH32" s="407">
        <f>Operating!JH$38</f>
        <v/>
      </c>
      <c r="JI32" s="407">
        <f>Operating!JI$38</f>
        <v/>
      </c>
      <c r="JJ32" s="407">
        <f>Operating!JJ$38</f>
        <v/>
      </c>
      <c r="JK32" s="407">
        <f>Operating!JK$38</f>
        <v/>
      </c>
      <c r="JL32" s="407">
        <f>Operating!JL$38</f>
        <v/>
      </c>
      <c r="JM32" s="407">
        <f>Operating!JM$38</f>
        <v/>
      </c>
      <c r="JN32" s="407">
        <f>Operating!JN$38</f>
        <v/>
      </c>
      <c r="JO32" s="407">
        <f>Operating!JO$38</f>
        <v/>
      </c>
      <c r="JP32" s="407">
        <f>Operating!JP$38</f>
        <v/>
      </c>
      <c r="JQ32" s="407">
        <f>Operating!JQ$38</f>
        <v/>
      </c>
      <c r="JR32" s="407">
        <f>Operating!JR$38</f>
        <v/>
      </c>
      <c r="JS32" s="407">
        <f>Operating!JS$38</f>
        <v/>
      </c>
      <c r="JT32" s="407">
        <f>Operating!JT$38</f>
        <v/>
      </c>
      <c r="JU32" s="407">
        <f>Operating!JU$38</f>
        <v/>
      </c>
      <c r="JV32" s="407">
        <f>Operating!JV$38</f>
        <v/>
      </c>
      <c r="JW32" s="407">
        <f>Operating!JW$38</f>
        <v/>
      </c>
      <c r="JX32" s="407">
        <f>Operating!JX$38</f>
        <v/>
      </c>
      <c r="JY32" s="407">
        <f>Operating!JY$38</f>
        <v/>
      </c>
      <c r="JZ32" s="407">
        <f>Operating!JZ$38</f>
        <v/>
      </c>
      <c r="KA32" s="407">
        <f>Operating!KA$38</f>
        <v/>
      </c>
      <c r="KB32" s="407">
        <f>Operating!KB$38</f>
        <v/>
      </c>
      <c r="KC32" s="407">
        <f>Operating!KC$38</f>
        <v/>
      </c>
      <c r="KD32" s="407">
        <f>Operating!KD$38</f>
        <v/>
      </c>
      <c r="KE32" s="407">
        <f>Operating!KE$38</f>
        <v/>
      </c>
      <c r="KF32" s="407">
        <f>Operating!KF$38</f>
        <v/>
      </c>
      <c r="KG32" s="407">
        <f>Operating!KG$38</f>
        <v/>
      </c>
      <c r="KH32" s="407">
        <f>Operating!KH$38</f>
        <v/>
      </c>
      <c r="KI32" s="407">
        <f>Operating!KI$38</f>
        <v/>
      </c>
      <c r="KJ32" s="407">
        <f>Operating!KJ$38</f>
        <v/>
      </c>
      <c r="KK32" s="407">
        <f>Operating!KK$38</f>
        <v/>
      </c>
      <c r="KL32" s="407">
        <f>Operating!KL$38</f>
        <v/>
      </c>
      <c r="KM32" s="407">
        <f>Operating!KM$38</f>
        <v/>
      </c>
      <c r="KN32" s="407">
        <f>Operating!KN$38</f>
        <v/>
      </c>
      <c r="KO32" s="407">
        <f>Operating!KO$38</f>
        <v/>
      </c>
      <c r="KP32" s="407">
        <f>Operating!KP$38</f>
        <v/>
      </c>
      <c r="KQ32" s="407">
        <f>Operating!KQ$38</f>
        <v/>
      </c>
      <c r="KR32" s="407">
        <f>Operating!KR$38</f>
        <v/>
      </c>
      <c r="KS32" s="407">
        <f>Operating!KS$38</f>
        <v/>
      </c>
      <c r="KT32" s="407">
        <f>Operating!KT$38</f>
        <v/>
      </c>
      <c r="KU32" s="407">
        <f>Operating!KU$38</f>
        <v/>
      </c>
      <c r="KV32" s="407">
        <f>Operating!KV$38</f>
        <v/>
      </c>
      <c r="KW32" s="407">
        <f>Operating!KW$38</f>
        <v/>
      </c>
      <c r="KX32" s="407">
        <f>Operating!KX$38</f>
        <v/>
      </c>
      <c r="KY32" s="407">
        <f>Operating!KY$38</f>
        <v/>
      </c>
      <c r="KZ32" s="407">
        <f>Operating!KZ$38</f>
        <v/>
      </c>
      <c r="LA32" s="407">
        <f>Operating!LA$38</f>
        <v/>
      </c>
      <c r="LB32" s="407">
        <f>Operating!LB$38</f>
        <v/>
      </c>
      <c r="LC32" s="407">
        <f>Operating!LC$38</f>
        <v/>
      </c>
      <c r="LD32" s="407">
        <f>Operating!LD$38</f>
        <v/>
      </c>
      <c r="LE32" s="407">
        <f>Operating!LE$38</f>
        <v/>
      </c>
      <c r="LF32" s="407">
        <f>Operating!LF$38</f>
        <v/>
      </c>
      <c r="LG32" s="407">
        <f>Operating!LG$38</f>
        <v/>
      </c>
      <c r="LH32" s="407">
        <f>Operating!LH$38</f>
        <v/>
      </c>
      <c r="LI32" s="407">
        <f>Operating!LI$38</f>
        <v/>
      </c>
      <c r="LJ32" s="407">
        <f>Operating!LJ$38</f>
        <v/>
      </c>
      <c r="LK32" s="407">
        <f>Operating!LK$38</f>
        <v/>
      </c>
      <c r="LL32" s="407">
        <f>Operating!LL$38</f>
        <v/>
      </c>
      <c r="LM32" s="407">
        <f>Operating!LM$38</f>
        <v/>
      </c>
      <c r="LN32" s="407">
        <f>Operating!LN$38</f>
        <v/>
      </c>
      <c r="LO32" s="407">
        <f>Operating!LO$38</f>
        <v/>
      </c>
      <c r="LP32" s="407">
        <f>Operating!LP$38</f>
        <v/>
      </c>
      <c r="LQ32" s="407">
        <f>Operating!LQ$38</f>
        <v/>
      </c>
      <c r="LR32" s="407">
        <f>Operating!LR$38</f>
        <v/>
      </c>
      <c r="LS32" s="407">
        <f>Operating!LS$38</f>
        <v/>
      </c>
      <c r="LT32" s="407">
        <f>Operating!LT$38</f>
        <v/>
      </c>
      <c r="LU32" s="407">
        <f>Operating!LU$38</f>
        <v/>
      </c>
      <c r="LV32" s="407">
        <f>Operating!LV$38</f>
        <v/>
      </c>
      <c r="LW32" s="407">
        <f>Operating!LW$38</f>
        <v/>
      </c>
      <c r="LX32" s="407">
        <f>Operating!LX$38</f>
        <v/>
      </c>
      <c r="LY32" s="407">
        <f>Operating!LY$38</f>
        <v/>
      </c>
      <c r="LZ32" s="407">
        <f>Operating!LZ$38</f>
        <v/>
      </c>
      <c r="MA32" s="407">
        <f>Operating!MA$38</f>
        <v/>
      </c>
      <c r="MB32" s="407">
        <f>Operating!MB$38</f>
        <v/>
      </c>
      <c r="MC32" s="407">
        <f>Operating!MC$38</f>
        <v/>
      </c>
      <c r="MD32" s="407">
        <f>Operating!MD$38</f>
        <v/>
      </c>
      <c r="ME32" s="407">
        <f>Operating!ME$38</f>
        <v/>
      </c>
      <c r="MF32" s="407">
        <f>Operating!MF$38</f>
        <v/>
      </c>
      <c r="MG32" s="407">
        <f>Operating!MG$38</f>
        <v/>
      </c>
      <c r="MH32" s="407">
        <f>Operating!MH$38</f>
        <v/>
      </c>
      <c r="MI32" s="407">
        <f>Operating!MI$38</f>
        <v/>
      </c>
      <c r="MJ32" s="407">
        <f>Operating!MJ$38</f>
        <v/>
      </c>
      <c r="MK32" s="407">
        <f>Operating!MK$38</f>
        <v/>
      </c>
      <c r="ML32" s="407">
        <f>Operating!ML$38</f>
        <v/>
      </c>
      <c r="MM32" s="407">
        <f>Operating!MM$38</f>
        <v/>
      </c>
      <c r="MN32" s="407">
        <f>Operating!MN$38</f>
        <v/>
      </c>
      <c r="MO32" s="407">
        <f>Operating!MO$38</f>
        <v/>
      </c>
      <c r="MP32" s="407">
        <f>Operating!MP$38</f>
        <v/>
      </c>
      <c r="MQ32" s="407">
        <f>Operating!MQ$38</f>
        <v/>
      </c>
      <c r="MR32" s="407">
        <f>Operating!MR$38</f>
        <v/>
      </c>
      <c r="MS32" s="407">
        <f>Operating!MS$38</f>
        <v/>
      </c>
      <c r="MT32" s="407">
        <f>Operating!MT$38</f>
        <v/>
      </c>
      <c r="MU32" s="407">
        <f>Operating!MU$38</f>
        <v/>
      </c>
      <c r="MV32" s="407">
        <f>Operating!MV$38</f>
        <v/>
      </c>
      <c r="MW32" s="407">
        <f>Operating!MW$38</f>
        <v/>
      </c>
      <c r="MX32" s="407">
        <f>Operating!MX$38</f>
        <v/>
      </c>
      <c r="MY32" s="407">
        <f>Operating!MY$38</f>
        <v/>
      </c>
      <c r="MZ32" s="407">
        <f>Operating!MZ$38</f>
        <v/>
      </c>
      <c r="NA32" s="407">
        <f>Operating!NA$38</f>
        <v/>
      </c>
      <c r="NB32" s="407">
        <f>Operating!NB$38</f>
        <v/>
      </c>
      <c r="NC32" s="407">
        <f>Operating!NC$38</f>
        <v/>
      </c>
      <c r="ND32" s="407">
        <f>Operating!ND$38</f>
        <v/>
      </c>
      <c r="NE32" s="407">
        <f>Operating!NE$38</f>
        <v/>
      </c>
      <c r="NF32" s="407">
        <f>Operating!NF$38</f>
        <v/>
      </c>
      <c r="NG32" s="407">
        <f>Operating!NG$38</f>
        <v/>
      </c>
      <c r="NH32" s="407">
        <f>Operating!NH$38</f>
        <v/>
      </c>
      <c r="NI32" s="407">
        <f>Operating!NI$38</f>
        <v/>
      </c>
      <c r="NJ32" s="407">
        <f>Operating!NJ$38</f>
        <v/>
      </c>
      <c r="NK32" s="407">
        <f>Operating!NK$38</f>
        <v/>
      </c>
      <c r="NL32" s="407">
        <f>Operating!NL$38</f>
        <v/>
      </c>
    </row>
    <row r="33">
      <c r="B33" s="316" t="inlineStr">
        <is>
          <t>Asset Management Fees</t>
        </is>
      </c>
      <c r="D33" s="402">
        <f>SUM(E33:NL33)</f>
        <v/>
      </c>
      <c r="E33" s="402">
        <f>-AssetMgmtFeePct*Operating!E$23</f>
        <v/>
      </c>
      <c r="F33" s="402">
        <f>-AssetMgmtFeePct*Operating!F$23</f>
        <v/>
      </c>
      <c r="G33" s="402">
        <f>-AssetMgmtFeePct*Operating!G$23</f>
        <v/>
      </c>
      <c r="H33" s="402">
        <f>-AssetMgmtFeePct*Operating!H$23</f>
        <v/>
      </c>
      <c r="I33" s="402">
        <f>-AssetMgmtFeePct*Operating!I$23</f>
        <v/>
      </c>
      <c r="J33" s="402">
        <f>-AssetMgmtFeePct*Operating!J$23</f>
        <v/>
      </c>
      <c r="K33" s="402">
        <f>-AssetMgmtFeePct*Operating!K$23</f>
        <v/>
      </c>
      <c r="L33" s="402">
        <f>-AssetMgmtFeePct*Operating!L$23</f>
        <v/>
      </c>
      <c r="M33" s="402">
        <f>-AssetMgmtFeePct*Operating!M$23</f>
        <v/>
      </c>
      <c r="N33" s="402">
        <f>-AssetMgmtFeePct*Operating!N$23</f>
        <v/>
      </c>
      <c r="O33" s="402">
        <f>-AssetMgmtFeePct*Operating!O$23</f>
        <v/>
      </c>
      <c r="P33" s="402">
        <f>-AssetMgmtFeePct*Operating!P$23</f>
        <v/>
      </c>
      <c r="Q33" s="402">
        <f>-AssetMgmtFeePct*Operating!Q$23</f>
        <v/>
      </c>
      <c r="R33" s="402">
        <f>-AssetMgmtFeePct*Operating!R$23</f>
        <v/>
      </c>
      <c r="S33" s="402">
        <f>-AssetMgmtFeePct*Operating!S$23</f>
        <v/>
      </c>
      <c r="T33" s="402">
        <f>-AssetMgmtFeePct*Operating!T$23</f>
        <v/>
      </c>
      <c r="U33" s="402">
        <f>-AssetMgmtFeePct*Operating!U$23</f>
        <v/>
      </c>
      <c r="V33" s="402">
        <f>-AssetMgmtFeePct*Operating!V$23</f>
        <v/>
      </c>
      <c r="W33" s="402">
        <f>-AssetMgmtFeePct*Operating!W$23</f>
        <v/>
      </c>
      <c r="X33" s="402">
        <f>-AssetMgmtFeePct*Operating!X$23</f>
        <v/>
      </c>
      <c r="Y33" s="402">
        <f>-AssetMgmtFeePct*Operating!Y$23</f>
        <v/>
      </c>
      <c r="Z33" s="402">
        <f>-AssetMgmtFeePct*Operating!Z$23</f>
        <v/>
      </c>
      <c r="AA33" s="402">
        <f>-AssetMgmtFeePct*Operating!AA$23</f>
        <v/>
      </c>
      <c r="AB33" s="402">
        <f>-AssetMgmtFeePct*Operating!AB$23</f>
        <v/>
      </c>
      <c r="AC33" s="402">
        <f>-AssetMgmtFeePct*Operating!AC$23</f>
        <v/>
      </c>
      <c r="AD33" s="402">
        <f>-AssetMgmtFeePct*Operating!AD$23</f>
        <v/>
      </c>
      <c r="AE33" s="402">
        <f>-AssetMgmtFeePct*Operating!AE$23</f>
        <v/>
      </c>
      <c r="AF33" s="402">
        <f>-AssetMgmtFeePct*Operating!AF$23</f>
        <v/>
      </c>
      <c r="AG33" s="402">
        <f>-AssetMgmtFeePct*Operating!AG$23</f>
        <v/>
      </c>
      <c r="AH33" s="402">
        <f>-AssetMgmtFeePct*Operating!AH$23</f>
        <v/>
      </c>
      <c r="AI33" s="402">
        <f>-AssetMgmtFeePct*Operating!AI$23</f>
        <v/>
      </c>
      <c r="AJ33" s="402">
        <f>-AssetMgmtFeePct*Operating!AJ$23</f>
        <v/>
      </c>
      <c r="AK33" s="402">
        <f>-AssetMgmtFeePct*Operating!AK$23</f>
        <v/>
      </c>
      <c r="AL33" s="402">
        <f>-AssetMgmtFeePct*Operating!AL$23</f>
        <v/>
      </c>
      <c r="AM33" s="402">
        <f>-AssetMgmtFeePct*Operating!AM$23</f>
        <v/>
      </c>
      <c r="AN33" s="402">
        <f>-AssetMgmtFeePct*Operating!AN$23</f>
        <v/>
      </c>
      <c r="AO33" s="402">
        <f>-AssetMgmtFeePct*Operating!AO$23</f>
        <v/>
      </c>
      <c r="AP33" s="402">
        <f>-AssetMgmtFeePct*Operating!AP$23</f>
        <v/>
      </c>
      <c r="AQ33" s="402">
        <f>-AssetMgmtFeePct*Operating!AQ$23</f>
        <v/>
      </c>
      <c r="AR33" s="402">
        <f>-AssetMgmtFeePct*Operating!AR$23</f>
        <v/>
      </c>
      <c r="AS33" s="402">
        <f>-AssetMgmtFeePct*Operating!AS$23</f>
        <v/>
      </c>
      <c r="AT33" s="402">
        <f>-AssetMgmtFeePct*Operating!AT$23</f>
        <v/>
      </c>
      <c r="AU33" s="402">
        <f>-AssetMgmtFeePct*Operating!AU$23</f>
        <v/>
      </c>
      <c r="AV33" s="402">
        <f>-AssetMgmtFeePct*Operating!AV$23</f>
        <v/>
      </c>
      <c r="AW33" s="402">
        <f>-AssetMgmtFeePct*Operating!AW$23</f>
        <v/>
      </c>
      <c r="AX33" s="402">
        <f>-AssetMgmtFeePct*Operating!AX$23</f>
        <v/>
      </c>
      <c r="AY33" s="402">
        <f>-AssetMgmtFeePct*Operating!AY$23</f>
        <v/>
      </c>
      <c r="AZ33" s="402">
        <f>-AssetMgmtFeePct*Operating!AZ$23</f>
        <v/>
      </c>
      <c r="BA33" s="402">
        <f>-AssetMgmtFeePct*Operating!BA$23</f>
        <v/>
      </c>
      <c r="BB33" s="402">
        <f>-AssetMgmtFeePct*Operating!BB$23</f>
        <v/>
      </c>
      <c r="BC33" s="402">
        <f>-AssetMgmtFeePct*Operating!BC$23</f>
        <v/>
      </c>
      <c r="BD33" s="402">
        <f>-AssetMgmtFeePct*Operating!BD$23</f>
        <v/>
      </c>
      <c r="BE33" s="402">
        <f>-AssetMgmtFeePct*Operating!BE$23</f>
        <v/>
      </c>
      <c r="BF33" s="402">
        <f>-AssetMgmtFeePct*Operating!BF$23</f>
        <v/>
      </c>
      <c r="BG33" s="402">
        <f>-AssetMgmtFeePct*Operating!BG$23</f>
        <v/>
      </c>
      <c r="BH33" s="402">
        <f>-AssetMgmtFeePct*Operating!BH$23</f>
        <v/>
      </c>
      <c r="BI33" s="402">
        <f>-AssetMgmtFeePct*Operating!BI$23</f>
        <v/>
      </c>
      <c r="BJ33" s="402">
        <f>-AssetMgmtFeePct*Operating!BJ$23</f>
        <v/>
      </c>
      <c r="BK33" s="402">
        <f>-AssetMgmtFeePct*Operating!BK$23</f>
        <v/>
      </c>
      <c r="BL33" s="402">
        <f>-AssetMgmtFeePct*Operating!BL$23</f>
        <v/>
      </c>
      <c r="BM33" s="402">
        <f>-AssetMgmtFeePct*Operating!BM$23</f>
        <v/>
      </c>
      <c r="BN33" s="402">
        <f>-AssetMgmtFeePct*Operating!BN$23</f>
        <v/>
      </c>
      <c r="BO33" s="402">
        <f>-AssetMgmtFeePct*Operating!BO$23</f>
        <v/>
      </c>
      <c r="BP33" s="402">
        <f>-AssetMgmtFeePct*Operating!BP$23</f>
        <v/>
      </c>
      <c r="BQ33" s="402">
        <f>-AssetMgmtFeePct*Operating!BQ$23</f>
        <v/>
      </c>
      <c r="BR33" s="402">
        <f>-AssetMgmtFeePct*Operating!BR$23</f>
        <v/>
      </c>
      <c r="BS33" s="402">
        <f>-AssetMgmtFeePct*Operating!BS$23</f>
        <v/>
      </c>
      <c r="BT33" s="402">
        <f>-AssetMgmtFeePct*Operating!BT$23</f>
        <v/>
      </c>
      <c r="BU33" s="402">
        <f>-AssetMgmtFeePct*Operating!BU$23</f>
        <v/>
      </c>
      <c r="BV33" s="402">
        <f>-AssetMgmtFeePct*Operating!BV$23</f>
        <v/>
      </c>
      <c r="BW33" s="402">
        <f>-AssetMgmtFeePct*Operating!BW$23</f>
        <v/>
      </c>
      <c r="BX33" s="402">
        <f>-AssetMgmtFeePct*Operating!BX$23</f>
        <v/>
      </c>
      <c r="BY33" s="402">
        <f>-AssetMgmtFeePct*Operating!BY$23</f>
        <v/>
      </c>
      <c r="BZ33" s="402">
        <f>-AssetMgmtFeePct*Operating!BZ$23</f>
        <v/>
      </c>
      <c r="CA33" s="402">
        <f>-AssetMgmtFeePct*Operating!CA$23</f>
        <v/>
      </c>
      <c r="CB33" s="402">
        <f>-AssetMgmtFeePct*Operating!CB$23</f>
        <v/>
      </c>
      <c r="CC33" s="402">
        <f>-AssetMgmtFeePct*Operating!CC$23</f>
        <v/>
      </c>
      <c r="CD33" s="402">
        <f>-AssetMgmtFeePct*Operating!CD$23</f>
        <v/>
      </c>
      <c r="CE33" s="402">
        <f>-AssetMgmtFeePct*Operating!CE$23</f>
        <v/>
      </c>
      <c r="CF33" s="402">
        <f>-AssetMgmtFeePct*Operating!CF$23</f>
        <v/>
      </c>
      <c r="CG33" s="402">
        <f>-AssetMgmtFeePct*Operating!CG$23</f>
        <v/>
      </c>
      <c r="CH33" s="402">
        <f>-AssetMgmtFeePct*Operating!CH$23</f>
        <v/>
      </c>
      <c r="CI33" s="402">
        <f>-AssetMgmtFeePct*Operating!CI$23</f>
        <v/>
      </c>
      <c r="CJ33" s="402">
        <f>-AssetMgmtFeePct*Operating!CJ$23</f>
        <v/>
      </c>
      <c r="CK33" s="402">
        <f>-AssetMgmtFeePct*Operating!CK$23</f>
        <v/>
      </c>
      <c r="CL33" s="402">
        <f>-AssetMgmtFeePct*Operating!CL$23</f>
        <v/>
      </c>
      <c r="CM33" s="402">
        <f>-AssetMgmtFeePct*Operating!CM$23</f>
        <v/>
      </c>
      <c r="CN33" s="402">
        <f>-AssetMgmtFeePct*Operating!CN$23</f>
        <v/>
      </c>
      <c r="CO33" s="402">
        <f>-AssetMgmtFeePct*Operating!CO$23</f>
        <v/>
      </c>
      <c r="CP33" s="402">
        <f>-AssetMgmtFeePct*Operating!CP$23</f>
        <v/>
      </c>
      <c r="CQ33" s="402">
        <f>-AssetMgmtFeePct*Operating!CQ$23</f>
        <v/>
      </c>
      <c r="CR33" s="402">
        <f>-AssetMgmtFeePct*Operating!CR$23</f>
        <v/>
      </c>
      <c r="CS33" s="402">
        <f>-AssetMgmtFeePct*Operating!CS$23</f>
        <v/>
      </c>
      <c r="CT33" s="402">
        <f>-AssetMgmtFeePct*Operating!CT$23</f>
        <v/>
      </c>
      <c r="CU33" s="402">
        <f>-AssetMgmtFeePct*Operating!CU$23</f>
        <v/>
      </c>
      <c r="CV33" s="402">
        <f>-AssetMgmtFeePct*Operating!CV$23</f>
        <v/>
      </c>
      <c r="CW33" s="402">
        <f>-AssetMgmtFeePct*Operating!CW$23</f>
        <v/>
      </c>
      <c r="CX33" s="402">
        <f>-AssetMgmtFeePct*Operating!CX$23</f>
        <v/>
      </c>
      <c r="CY33" s="402">
        <f>-AssetMgmtFeePct*Operating!CY$23</f>
        <v/>
      </c>
      <c r="CZ33" s="402">
        <f>-AssetMgmtFeePct*Operating!CZ$23</f>
        <v/>
      </c>
      <c r="DA33" s="402">
        <f>-AssetMgmtFeePct*Operating!DA$23</f>
        <v/>
      </c>
      <c r="DB33" s="402">
        <f>-AssetMgmtFeePct*Operating!DB$23</f>
        <v/>
      </c>
      <c r="DC33" s="402">
        <f>-AssetMgmtFeePct*Operating!DC$23</f>
        <v/>
      </c>
      <c r="DD33" s="402">
        <f>-AssetMgmtFeePct*Operating!DD$23</f>
        <v/>
      </c>
      <c r="DE33" s="402">
        <f>-AssetMgmtFeePct*Operating!DE$23</f>
        <v/>
      </c>
      <c r="DF33" s="402">
        <f>-AssetMgmtFeePct*Operating!DF$23</f>
        <v/>
      </c>
      <c r="DG33" s="402">
        <f>-AssetMgmtFeePct*Operating!DG$23</f>
        <v/>
      </c>
      <c r="DH33" s="402">
        <f>-AssetMgmtFeePct*Operating!DH$23</f>
        <v/>
      </c>
      <c r="DI33" s="402">
        <f>-AssetMgmtFeePct*Operating!DI$23</f>
        <v/>
      </c>
      <c r="DJ33" s="402">
        <f>-AssetMgmtFeePct*Operating!DJ$23</f>
        <v/>
      </c>
      <c r="DK33" s="402">
        <f>-AssetMgmtFeePct*Operating!DK$23</f>
        <v/>
      </c>
      <c r="DL33" s="402">
        <f>-AssetMgmtFeePct*Operating!DL$23</f>
        <v/>
      </c>
      <c r="DM33" s="402">
        <f>-AssetMgmtFeePct*Operating!DM$23</f>
        <v/>
      </c>
      <c r="DN33" s="402">
        <f>-AssetMgmtFeePct*Operating!DN$23</f>
        <v/>
      </c>
      <c r="DO33" s="402">
        <f>-AssetMgmtFeePct*Operating!DO$23</f>
        <v/>
      </c>
      <c r="DP33" s="402">
        <f>-AssetMgmtFeePct*Operating!DP$23</f>
        <v/>
      </c>
      <c r="DQ33" s="402">
        <f>-AssetMgmtFeePct*Operating!DQ$23</f>
        <v/>
      </c>
      <c r="DR33" s="402">
        <f>-AssetMgmtFeePct*Operating!DR$23</f>
        <v/>
      </c>
      <c r="DS33" s="402">
        <f>-AssetMgmtFeePct*Operating!DS$23</f>
        <v/>
      </c>
      <c r="DT33" s="402">
        <f>-AssetMgmtFeePct*Operating!DT$23</f>
        <v/>
      </c>
      <c r="DU33" s="402">
        <f>-AssetMgmtFeePct*Operating!DU$23</f>
        <v/>
      </c>
      <c r="DV33" s="402">
        <f>-AssetMgmtFeePct*Operating!DV$23</f>
        <v/>
      </c>
      <c r="DW33" s="402">
        <f>-AssetMgmtFeePct*Operating!DW$23</f>
        <v/>
      </c>
      <c r="DX33" s="402">
        <f>-AssetMgmtFeePct*Operating!DX$23</f>
        <v/>
      </c>
      <c r="DY33" s="402">
        <f>-AssetMgmtFeePct*Operating!DY$23</f>
        <v/>
      </c>
      <c r="DZ33" s="402">
        <f>-AssetMgmtFeePct*Operating!DZ$23</f>
        <v/>
      </c>
      <c r="EA33" s="402">
        <f>-AssetMgmtFeePct*Operating!EA$23</f>
        <v/>
      </c>
      <c r="EB33" s="402">
        <f>-AssetMgmtFeePct*Operating!EB$23</f>
        <v/>
      </c>
      <c r="EC33" s="402">
        <f>-AssetMgmtFeePct*Operating!EC$23</f>
        <v/>
      </c>
      <c r="ED33" s="402">
        <f>-AssetMgmtFeePct*Operating!ED$23</f>
        <v/>
      </c>
      <c r="EE33" s="402">
        <f>-AssetMgmtFeePct*Operating!EE$23</f>
        <v/>
      </c>
      <c r="EF33" s="402">
        <f>-AssetMgmtFeePct*Operating!EF$23</f>
        <v/>
      </c>
      <c r="EG33" s="402">
        <f>-AssetMgmtFeePct*Operating!EG$23</f>
        <v/>
      </c>
      <c r="EH33" s="402">
        <f>-AssetMgmtFeePct*Operating!EH$23</f>
        <v/>
      </c>
      <c r="EI33" s="402">
        <f>-AssetMgmtFeePct*Operating!EI$23</f>
        <v/>
      </c>
      <c r="EJ33" s="402">
        <f>-AssetMgmtFeePct*Operating!EJ$23</f>
        <v/>
      </c>
      <c r="EK33" s="402">
        <f>-AssetMgmtFeePct*Operating!EK$23</f>
        <v/>
      </c>
      <c r="EL33" s="402">
        <f>-AssetMgmtFeePct*Operating!EL$23</f>
        <v/>
      </c>
      <c r="EM33" s="402">
        <f>-AssetMgmtFeePct*Operating!EM$23</f>
        <v/>
      </c>
      <c r="EN33" s="402">
        <f>-AssetMgmtFeePct*Operating!EN$23</f>
        <v/>
      </c>
      <c r="EO33" s="402">
        <f>-AssetMgmtFeePct*Operating!EO$23</f>
        <v/>
      </c>
      <c r="EP33" s="402">
        <f>-AssetMgmtFeePct*Operating!EP$23</f>
        <v/>
      </c>
      <c r="EQ33" s="402">
        <f>-AssetMgmtFeePct*Operating!EQ$23</f>
        <v/>
      </c>
      <c r="ER33" s="402">
        <f>-AssetMgmtFeePct*Operating!ER$23</f>
        <v/>
      </c>
      <c r="ES33" s="402">
        <f>-AssetMgmtFeePct*Operating!ES$23</f>
        <v/>
      </c>
      <c r="ET33" s="402">
        <f>-AssetMgmtFeePct*Operating!ET$23</f>
        <v/>
      </c>
      <c r="EU33" s="402">
        <f>-AssetMgmtFeePct*Operating!EU$23</f>
        <v/>
      </c>
      <c r="EV33" s="402">
        <f>-AssetMgmtFeePct*Operating!EV$23</f>
        <v/>
      </c>
      <c r="EW33" s="402">
        <f>-AssetMgmtFeePct*Operating!EW$23</f>
        <v/>
      </c>
      <c r="EX33" s="402">
        <f>-AssetMgmtFeePct*Operating!EX$23</f>
        <v/>
      </c>
      <c r="EY33" s="402">
        <f>-AssetMgmtFeePct*Operating!EY$23</f>
        <v/>
      </c>
      <c r="EZ33" s="402">
        <f>-AssetMgmtFeePct*Operating!EZ$23</f>
        <v/>
      </c>
      <c r="FA33" s="402">
        <f>-AssetMgmtFeePct*Operating!FA$23</f>
        <v/>
      </c>
      <c r="FB33" s="402">
        <f>-AssetMgmtFeePct*Operating!FB$23</f>
        <v/>
      </c>
      <c r="FC33" s="402">
        <f>-AssetMgmtFeePct*Operating!FC$23</f>
        <v/>
      </c>
      <c r="FD33" s="402">
        <f>-AssetMgmtFeePct*Operating!FD$23</f>
        <v/>
      </c>
      <c r="FE33" s="402">
        <f>-AssetMgmtFeePct*Operating!FE$23</f>
        <v/>
      </c>
      <c r="FF33" s="402">
        <f>-AssetMgmtFeePct*Operating!FF$23</f>
        <v/>
      </c>
      <c r="FG33" s="402">
        <f>-AssetMgmtFeePct*Operating!FG$23</f>
        <v/>
      </c>
      <c r="FH33" s="402">
        <f>-AssetMgmtFeePct*Operating!FH$23</f>
        <v/>
      </c>
      <c r="FI33" s="402">
        <f>-AssetMgmtFeePct*Operating!FI$23</f>
        <v/>
      </c>
      <c r="FJ33" s="402">
        <f>-AssetMgmtFeePct*Operating!FJ$23</f>
        <v/>
      </c>
      <c r="FK33" s="402">
        <f>-AssetMgmtFeePct*Operating!FK$23</f>
        <v/>
      </c>
      <c r="FL33" s="402">
        <f>-AssetMgmtFeePct*Operating!FL$23</f>
        <v/>
      </c>
      <c r="FM33" s="402">
        <f>-AssetMgmtFeePct*Operating!FM$23</f>
        <v/>
      </c>
      <c r="FN33" s="402">
        <f>-AssetMgmtFeePct*Operating!FN$23</f>
        <v/>
      </c>
      <c r="FO33" s="402">
        <f>-AssetMgmtFeePct*Operating!FO$23</f>
        <v/>
      </c>
      <c r="FP33" s="402">
        <f>-AssetMgmtFeePct*Operating!FP$23</f>
        <v/>
      </c>
      <c r="FQ33" s="402">
        <f>-AssetMgmtFeePct*Operating!FQ$23</f>
        <v/>
      </c>
      <c r="FR33" s="402">
        <f>-AssetMgmtFeePct*Operating!FR$23</f>
        <v/>
      </c>
      <c r="FS33" s="402">
        <f>-AssetMgmtFeePct*Operating!FS$23</f>
        <v/>
      </c>
      <c r="FT33" s="402">
        <f>-AssetMgmtFeePct*Operating!FT$23</f>
        <v/>
      </c>
      <c r="FU33" s="402">
        <f>-AssetMgmtFeePct*Operating!FU$23</f>
        <v/>
      </c>
      <c r="FV33" s="402">
        <f>-AssetMgmtFeePct*Operating!FV$23</f>
        <v/>
      </c>
      <c r="FW33" s="402">
        <f>-AssetMgmtFeePct*Operating!FW$23</f>
        <v/>
      </c>
      <c r="FX33" s="402">
        <f>-AssetMgmtFeePct*Operating!FX$23</f>
        <v/>
      </c>
      <c r="FY33" s="402">
        <f>-AssetMgmtFeePct*Operating!FY$23</f>
        <v/>
      </c>
      <c r="FZ33" s="402">
        <f>-AssetMgmtFeePct*Operating!FZ$23</f>
        <v/>
      </c>
      <c r="GA33" s="402">
        <f>-AssetMgmtFeePct*Operating!GA$23</f>
        <v/>
      </c>
      <c r="GB33" s="402">
        <f>-AssetMgmtFeePct*Operating!GB$23</f>
        <v/>
      </c>
      <c r="GC33" s="402">
        <f>-AssetMgmtFeePct*Operating!GC$23</f>
        <v/>
      </c>
      <c r="GD33" s="402">
        <f>-AssetMgmtFeePct*Operating!GD$23</f>
        <v/>
      </c>
      <c r="GE33" s="402">
        <f>-AssetMgmtFeePct*Operating!GE$23</f>
        <v/>
      </c>
      <c r="GF33" s="402">
        <f>-AssetMgmtFeePct*Operating!GF$23</f>
        <v/>
      </c>
      <c r="GG33" s="402">
        <f>-AssetMgmtFeePct*Operating!GG$23</f>
        <v/>
      </c>
      <c r="GH33" s="402">
        <f>-AssetMgmtFeePct*Operating!GH$23</f>
        <v/>
      </c>
      <c r="GI33" s="402">
        <f>-AssetMgmtFeePct*Operating!GI$23</f>
        <v/>
      </c>
      <c r="GJ33" s="402">
        <f>-AssetMgmtFeePct*Operating!GJ$23</f>
        <v/>
      </c>
      <c r="GK33" s="402">
        <f>-AssetMgmtFeePct*Operating!GK$23</f>
        <v/>
      </c>
      <c r="GL33" s="402">
        <f>-AssetMgmtFeePct*Operating!GL$23</f>
        <v/>
      </c>
      <c r="GM33" s="402">
        <f>-AssetMgmtFeePct*Operating!GM$23</f>
        <v/>
      </c>
      <c r="GN33" s="402">
        <f>-AssetMgmtFeePct*Operating!GN$23</f>
        <v/>
      </c>
      <c r="GO33" s="402">
        <f>-AssetMgmtFeePct*Operating!GO$23</f>
        <v/>
      </c>
      <c r="GP33" s="402">
        <f>-AssetMgmtFeePct*Operating!GP$23</f>
        <v/>
      </c>
      <c r="GQ33" s="402">
        <f>-AssetMgmtFeePct*Operating!GQ$23</f>
        <v/>
      </c>
      <c r="GR33" s="402">
        <f>-AssetMgmtFeePct*Operating!GR$23</f>
        <v/>
      </c>
      <c r="GS33" s="402">
        <f>-AssetMgmtFeePct*Operating!GS$23</f>
        <v/>
      </c>
      <c r="GT33" s="402">
        <f>-AssetMgmtFeePct*Operating!GT$23</f>
        <v/>
      </c>
      <c r="GU33" s="402">
        <f>-AssetMgmtFeePct*Operating!GU$23</f>
        <v/>
      </c>
      <c r="GV33" s="402">
        <f>-AssetMgmtFeePct*Operating!GV$23</f>
        <v/>
      </c>
      <c r="GW33" s="402">
        <f>-AssetMgmtFeePct*Operating!GW$23</f>
        <v/>
      </c>
      <c r="GX33" s="402">
        <f>-AssetMgmtFeePct*Operating!GX$23</f>
        <v/>
      </c>
      <c r="GY33" s="402">
        <f>-AssetMgmtFeePct*Operating!GY$23</f>
        <v/>
      </c>
      <c r="GZ33" s="402">
        <f>-AssetMgmtFeePct*Operating!GZ$23</f>
        <v/>
      </c>
      <c r="HA33" s="402">
        <f>-AssetMgmtFeePct*Operating!HA$23</f>
        <v/>
      </c>
      <c r="HB33" s="402">
        <f>-AssetMgmtFeePct*Operating!HB$23</f>
        <v/>
      </c>
      <c r="HC33" s="402">
        <f>-AssetMgmtFeePct*Operating!HC$23</f>
        <v/>
      </c>
      <c r="HD33" s="402">
        <f>-AssetMgmtFeePct*Operating!HD$23</f>
        <v/>
      </c>
      <c r="HE33" s="402">
        <f>-AssetMgmtFeePct*Operating!HE$23</f>
        <v/>
      </c>
      <c r="HF33" s="402">
        <f>-AssetMgmtFeePct*Operating!HF$23</f>
        <v/>
      </c>
      <c r="HG33" s="402">
        <f>-AssetMgmtFeePct*Operating!HG$23</f>
        <v/>
      </c>
      <c r="HH33" s="402">
        <f>-AssetMgmtFeePct*Operating!HH$23</f>
        <v/>
      </c>
      <c r="HI33" s="402">
        <f>-AssetMgmtFeePct*Operating!HI$23</f>
        <v/>
      </c>
      <c r="HJ33" s="402">
        <f>-AssetMgmtFeePct*Operating!HJ$23</f>
        <v/>
      </c>
      <c r="HK33" s="402">
        <f>-AssetMgmtFeePct*Operating!HK$23</f>
        <v/>
      </c>
      <c r="HL33" s="402">
        <f>-AssetMgmtFeePct*Operating!HL$23</f>
        <v/>
      </c>
      <c r="HM33" s="402">
        <f>-AssetMgmtFeePct*Operating!HM$23</f>
        <v/>
      </c>
      <c r="HN33" s="402">
        <f>-AssetMgmtFeePct*Operating!HN$23</f>
        <v/>
      </c>
      <c r="HO33" s="402">
        <f>-AssetMgmtFeePct*Operating!HO$23</f>
        <v/>
      </c>
      <c r="HP33" s="402">
        <f>-AssetMgmtFeePct*Operating!HP$23</f>
        <v/>
      </c>
      <c r="HQ33" s="402">
        <f>-AssetMgmtFeePct*Operating!HQ$23</f>
        <v/>
      </c>
      <c r="HR33" s="402">
        <f>-AssetMgmtFeePct*Operating!HR$23</f>
        <v/>
      </c>
      <c r="HS33" s="402">
        <f>-AssetMgmtFeePct*Operating!HS$23</f>
        <v/>
      </c>
      <c r="HT33" s="402">
        <f>-AssetMgmtFeePct*Operating!HT$23</f>
        <v/>
      </c>
      <c r="HU33" s="402">
        <f>-AssetMgmtFeePct*Operating!HU$23</f>
        <v/>
      </c>
      <c r="HV33" s="402">
        <f>-AssetMgmtFeePct*Operating!HV$23</f>
        <v/>
      </c>
      <c r="HW33" s="402">
        <f>-AssetMgmtFeePct*Operating!HW$23</f>
        <v/>
      </c>
      <c r="HX33" s="402">
        <f>-AssetMgmtFeePct*Operating!HX$23</f>
        <v/>
      </c>
      <c r="HY33" s="402">
        <f>-AssetMgmtFeePct*Operating!HY$23</f>
        <v/>
      </c>
      <c r="HZ33" s="402">
        <f>-AssetMgmtFeePct*Operating!HZ$23</f>
        <v/>
      </c>
      <c r="IA33" s="402">
        <f>-AssetMgmtFeePct*Operating!IA$23</f>
        <v/>
      </c>
      <c r="IB33" s="402">
        <f>-AssetMgmtFeePct*Operating!IB$23</f>
        <v/>
      </c>
      <c r="IC33" s="402">
        <f>-AssetMgmtFeePct*Operating!IC$23</f>
        <v/>
      </c>
      <c r="ID33" s="402">
        <f>-AssetMgmtFeePct*Operating!ID$23</f>
        <v/>
      </c>
      <c r="IE33" s="402">
        <f>-AssetMgmtFeePct*Operating!IE$23</f>
        <v/>
      </c>
      <c r="IF33" s="402">
        <f>-AssetMgmtFeePct*Operating!IF$23</f>
        <v/>
      </c>
      <c r="IG33" s="402">
        <f>-AssetMgmtFeePct*Operating!IG$23</f>
        <v/>
      </c>
      <c r="IH33" s="402">
        <f>-AssetMgmtFeePct*Operating!IH$23</f>
        <v/>
      </c>
      <c r="II33" s="402">
        <f>-AssetMgmtFeePct*Operating!II$23</f>
        <v/>
      </c>
      <c r="IJ33" s="402">
        <f>-AssetMgmtFeePct*Operating!IJ$23</f>
        <v/>
      </c>
      <c r="IK33" s="402">
        <f>-AssetMgmtFeePct*Operating!IK$23</f>
        <v/>
      </c>
      <c r="IL33" s="402">
        <f>-AssetMgmtFeePct*Operating!IL$23</f>
        <v/>
      </c>
      <c r="IM33" s="402">
        <f>-AssetMgmtFeePct*Operating!IM$23</f>
        <v/>
      </c>
      <c r="IN33" s="402">
        <f>-AssetMgmtFeePct*Operating!IN$23</f>
        <v/>
      </c>
      <c r="IO33" s="402">
        <f>-AssetMgmtFeePct*Operating!IO$23</f>
        <v/>
      </c>
      <c r="IP33" s="402">
        <f>-AssetMgmtFeePct*Operating!IP$23</f>
        <v/>
      </c>
      <c r="IQ33" s="402">
        <f>-AssetMgmtFeePct*Operating!IQ$23</f>
        <v/>
      </c>
      <c r="IR33" s="402">
        <f>-AssetMgmtFeePct*Operating!IR$23</f>
        <v/>
      </c>
      <c r="IS33" s="402">
        <f>-AssetMgmtFeePct*Operating!IS$23</f>
        <v/>
      </c>
      <c r="IT33" s="402">
        <f>-AssetMgmtFeePct*Operating!IT$23</f>
        <v/>
      </c>
      <c r="IU33" s="402">
        <f>-AssetMgmtFeePct*Operating!IU$23</f>
        <v/>
      </c>
      <c r="IV33" s="402">
        <f>-AssetMgmtFeePct*Operating!IV$23</f>
        <v/>
      </c>
      <c r="IW33" s="402">
        <f>-AssetMgmtFeePct*Operating!IW$23</f>
        <v/>
      </c>
      <c r="IX33" s="402">
        <f>-AssetMgmtFeePct*Operating!IX$23</f>
        <v/>
      </c>
      <c r="IY33" s="402">
        <f>-AssetMgmtFeePct*Operating!IY$23</f>
        <v/>
      </c>
      <c r="IZ33" s="402">
        <f>-AssetMgmtFeePct*Operating!IZ$23</f>
        <v/>
      </c>
      <c r="JA33" s="402">
        <f>-AssetMgmtFeePct*Operating!JA$23</f>
        <v/>
      </c>
      <c r="JB33" s="402">
        <f>-AssetMgmtFeePct*Operating!JB$23</f>
        <v/>
      </c>
      <c r="JC33" s="402">
        <f>-AssetMgmtFeePct*Operating!JC$23</f>
        <v/>
      </c>
      <c r="JD33" s="402">
        <f>-AssetMgmtFeePct*Operating!JD$23</f>
        <v/>
      </c>
      <c r="JE33" s="402">
        <f>-AssetMgmtFeePct*Operating!JE$23</f>
        <v/>
      </c>
      <c r="JF33" s="402">
        <f>-AssetMgmtFeePct*Operating!JF$23</f>
        <v/>
      </c>
      <c r="JG33" s="402">
        <f>-AssetMgmtFeePct*Operating!JG$23</f>
        <v/>
      </c>
      <c r="JH33" s="402">
        <f>-AssetMgmtFeePct*Operating!JH$23</f>
        <v/>
      </c>
      <c r="JI33" s="402">
        <f>-AssetMgmtFeePct*Operating!JI$23</f>
        <v/>
      </c>
      <c r="JJ33" s="402">
        <f>-AssetMgmtFeePct*Operating!JJ$23</f>
        <v/>
      </c>
      <c r="JK33" s="402">
        <f>-AssetMgmtFeePct*Operating!JK$23</f>
        <v/>
      </c>
      <c r="JL33" s="402">
        <f>-AssetMgmtFeePct*Operating!JL$23</f>
        <v/>
      </c>
      <c r="JM33" s="402">
        <f>-AssetMgmtFeePct*Operating!JM$23</f>
        <v/>
      </c>
      <c r="JN33" s="402">
        <f>-AssetMgmtFeePct*Operating!JN$23</f>
        <v/>
      </c>
      <c r="JO33" s="402">
        <f>-AssetMgmtFeePct*Operating!JO$23</f>
        <v/>
      </c>
      <c r="JP33" s="402">
        <f>-AssetMgmtFeePct*Operating!JP$23</f>
        <v/>
      </c>
      <c r="JQ33" s="402">
        <f>-AssetMgmtFeePct*Operating!JQ$23</f>
        <v/>
      </c>
      <c r="JR33" s="402">
        <f>-AssetMgmtFeePct*Operating!JR$23</f>
        <v/>
      </c>
      <c r="JS33" s="402">
        <f>-AssetMgmtFeePct*Operating!JS$23</f>
        <v/>
      </c>
      <c r="JT33" s="402">
        <f>-AssetMgmtFeePct*Operating!JT$23</f>
        <v/>
      </c>
      <c r="JU33" s="402">
        <f>-AssetMgmtFeePct*Operating!JU$23</f>
        <v/>
      </c>
      <c r="JV33" s="402">
        <f>-AssetMgmtFeePct*Operating!JV$23</f>
        <v/>
      </c>
      <c r="JW33" s="402">
        <f>-AssetMgmtFeePct*Operating!JW$23</f>
        <v/>
      </c>
      <c r="JX33" s="402">
        <f>-AssetMgmtFeePct*Operating!JX$23</f>
        <v/>
      </c>
      <c r="JY33" s="402">
        <f>-AssetMgmtFeePct*Operating!JY$23</f>
        <v/>
      </c>
      <c r="JZ33" s="402">
        <f>-AssetMgmtFeePct*Operating!JZ$23</f>
        <v/>
      </c>
      <c r="KA33" s="402">
        <f>-AssetMgmtFeePct*Operating!KA$23</f>
        <v/>
      </c>
      <c r="KB33" s="402">
        <f>-AssetMgmtFeePct*Operating!KB$23</f>
        <v/>
      </c>
      <c r="KC33" s="402">
        <f>-AssetMgmtFeePct*Operating!KC$23</f>
        <v/>
      </c>
      <c r="KD33" s="402">
        <f>-AssetMgmtFeePct*Operating!KD$23</f>
        <v/>
      </c>
      <c r="KE33" s="402">
        <f>-AssetMgmtFeePct*Operating!KE$23</f>
        <v/>
      </c>
      <c r="KF33" s="402">
        <f>-AssetMgmtFeePct*Operating!KF$23</f>
        <v/>
      </c>
      <c r="KG33" s="402">
        <f>-AssetMgmtFeePct*Operating!KG$23</f>
        <v/>
      </c>
      <c r="KH33" s="402">
        <f>-AssetMgmtFeePct*Operating!KH$23</f>
        <v/>
      </c>
      <c r="KI33" s="402">
        <f>-AssetMgmtFeePct*Operating!KI$23</f>
        <v/>
      </c>
      <c r="KJ33" s="402">
        <f>-AssetMgmtFeePct*Operating!KJ$23</f>
        <v/>
      </c>
      <c r="KK33" s="402">
        <f>-AssetMgmtFeePct*Operating!KK$23</f>
        <v/>
      </c>
      <c r="KL33" s="402">
        <f>-AssetMgmtFeePct*Operating!KL$23</f>
        <v/>
      </c>
      <c r="KM33" s="402">
        <f>-AssetMgmtFeePct*Operating!KM$23</f>
        <v/>
      </c>
      <c r="KN33" s="402">
        <f>-AssetMgmtFeePct*Operating!KN$23</f>
        <v/>
      </c>
      <c r="KO33" s="402">
        <f>-AssetMgmtFeePct*Operating!KO$23</f>
        <v/>
      </c>
      <c r="KP33" s="402">
        <f>-AssetMgmtFeePct*Operating!KP$23</f>
        <v/>
      </c>
      <c r="KQ33" s="402">
        <f>-AssetMgmtFeePct*Operating!KQ$23</f>
        <v/>
      </c>
      <c r="KR33" s="402">
        <f>-AssetMgmtFeePct*Operating!KR$23</f>
        <v/>
      </c>
      <c r="KS33" s="402">
        <f>-AssetMgmtFeePct*Operating!KS$23</f>
        <v/>
      </c>
      <c r="KT33" s="402">
        <f>-AssetMgmtFeePct*Operating!KT$23</f>
        <v/>
      </c>
      <c r="KU33" s="402">
        <f>-AssetMgmtFeePct*Operating!KU$23</f>
        <v/>
      </c>
      <c r="KV33" s="402">
        <f>-AssetMgmtFeePct*Operating!KV$23</f>
        <v/>
      </c>
      <c r="KW33" s="402">
        <f>-AssetMgmtFeePct*Operating!KW$23</f>
        <v/>
      </c>
      <c r="KX33" s="402">
        <f>-AssetMgmtFeePct*Operating!KX$23</f>
        <v/>
      </c>
      <c r="KY33" s="402">
        <f>-AssetMgmtFeePct*Operating!KY$23</f>
        <v/>
      </c>
      <c r="KZ33" s="402">
        <f>-AssetMgmtFeePct*Operating!KZ$23</f>
        <v/>
      </c>
      <c r="LA33" s="402">
        <f>-AssetMgmtFeePct*Operating!LA$23</f>
        <v/>
      </c>
      <c r="LB33" s="402">
        <f>-AssetMgmtFeePct*Operating!LB$23</f>
        <v/>
      </c>
      <c r="LC33" s="402">
        <f>-AssetMgmtFeePct*Operating!LC$23</f>
        <v/>
      </c>
      <c r="LD33" s="402">
        <f>-AssetMgmtFeePct*Operating!LD$23</f>
        <v/>
      </c>
      <c r="LE33" s="402">
        <f>-AssetMgmtFeePct*Operating!LE$23</f>
        <v/>
      </c>
      <c r="LF33" s="402">
        <f>-AssetMgmtFeePct*Operating!LF$23</f>
        <v/>
      </c>
      <c r="LG33" s="402">
        <f>-AssetMgmtFeePct*Operating!LG$23</f>
        <v/>
      </c>
      <c r="LH33" s="402">
        <f>-AssetMgmtFeePct*Operating!LH$23</f>
        <v/>
      </c>
      <c r="LI33" s="402">
        <f>-AssetMgmtFeePct*Operating!LI$23</f>
        <v/>
      </c>
      <c r="LJ33" s="402">
        <f>-AssetMgmtFeePct*Operating!LJ$23</f>
        <v/>
      </c>
      <c r="LK33" s="402">
        <f>-AssetMgmtFeePct*Operating!LK$23</f>
        <v/>
      </c>
      <c r="LL33" s="402">
        <f>-AssetMgmtFeePct*Operating!LL$23</f>
        <v/>
      </c>
      <c r="LM33" s="402">
        <f>-AssetMgmtFeePct*Operating!LM$23</f>
        <v/>
      </c>
      <c r="LN33" s="402">
        <f>-AssetMgmtFeePct*Operating!LN$23</f>
        <v/>
      </c>
      <c r="LO33" s="402">
        <f>-AssetMgmtFeePct*Operating!LO$23</f>
        <v/>
      </c>
      <c r="LP33" s="402">
        <f>-AssetMgmtFeePct*Operating!LP$23</f>
        <v/>
      </c>
      <c r="LQ33" s="402">
        <f>-AssetMgmtFeePct*Operating!LQ$23</f>
        <v/>
      </c>
      <c r="LR33" s="402">
        <f>-AssetMgmtFeePct*Operating!LR$23</f>
        <v/>
      </c>
      <c r="LS33" s="402">
        <f>-AssetMgmtFeePct*Operating!LS$23</f>
        <v/>
      </c>
      <c r="LT33" s="402">
        <f>-AssetMgmtFeePct*Operating!LT$23</f>
        <v/>
      </c>
      <c r="LU33" s="402">
        <f>-AssetMgmtFeePct*Operating!LU$23</f>
        <v/>
      </c>
      <c r="LV33" s="402">
        <f>-AssetMgmtFeePct*Operating!LV$23</f>
        <v/>
      </c>
      <c r="LW33" s="402">
        <f>-AssetMgmtFeePct*Operating!LW$23</f>
        <v/>
      </c>
      <c r="LX33" s="402">
        <f>-AssetMgmtFeePct*Operating!LX$23</f>
        <v/>
      </c>
      <c r="LY33" s="402">
        <f>-AssetMgmtFeePct*Operating!LY$23</f>
        <v/>
      </c>
      <c r="LZ33" s="402">
        <f>-AssetMgmtFeePct*Operating!LZ$23</f>
        <v/>
      </c>
      <c r="MA33" s="402">
        <f>-AssetMgmtFeePct*Operating!MA$23</f>
        <v/>
      </c>
      <c r="MB33" s="402">
        <f>-AssetMgmtFeePct*Operating!MB$23</f>
        <v/>
      </c>
      <c r="MC33" s="402">
        <f>-AssetMgmtFeePct*Operating!MC$23</f>
        <v/>
      </c>
      <c r="MD33" s="402">
        <f>-AssetMgmtFeePct*Operating!MD$23</f>
        <v/>
      </c>
      <c r="ME33" s="402">
        <f>-AssetMgmtFeePct*Operating!ME$23</f>
        <v/>
      </c>
      <c r="MF33" s="402">
        <f>-AssetMgmtFeePct*Operating!MF$23</f>
        <v/>
      </c>
      <c r="MG33" s="402">
        <f>-AssetMgmtFeePct*Operating!MG$23</f>
        <v/>
      </c>
      <c r="MH33" s="402">
        <f>-AssetMgmtFeePct*Operating!MH$23</f>
        <v/>
      </c>
      <c r="MI33" s="402">
        <f>-AssetMgmtFeePct*Operating!MI$23</f>
        <v/>
      </c>
      <c r="MJ33" s="402">
        <f>-AssetMgmtFeePct*Operating!MJ$23</f>
        <v/>
      </c>
      <c r="MK33" s="402">
        <f>-AssetMgmtFeePct*Operating!MK$23</f>
        <v/>
      </c>
      <c r="ML33" s="402">
        <f>-AssetMgmtFeePct*Operating!ML$23</f>
        <v/>
      </c>
      <c r="MM33" s="402">
        <f>-AssetMgmtFeePct*Operating!MM$23</f>
        <v/>
      </c>
      <c r="MN33" s="402">
        <f>-AssetMgmtFeePct*Operating!MN$23</f>
        <v/>
      </c>
      <c r="MO33" s="402">
        <f>-AssetMgmtFeePct*Operating!MO$23</f>
        <v/>
      </c>
      <c r="MP33" s="402">
        <f>-AssetMgmtFeePct*Operating!MP$23</f>
        <v/>
      </c>
      <c r="MQ33" s="402">
        <f>-AssetMgmtFeePct*Operating!MQ$23</f>
        <v/>
      </c>
      <c r="MR33" s="402">
        <f>-AssetMgmtFeePct*Operating!MR$23</f>
        <v/>
      </c>
      <c r="MS33" s="402">
        <f>-AssetMgmtFeePct*Operating!MS$23</f>
        <v/>
      </c>
      <c r="MT33" s="402">
        <f>-AssetMgmtFeePct*Operating!MT$23</f>
        <v/>
      </c>
      <c r="MU33" s="402">
        <f>-AssetMgmtFeePct*Operating!MU$23</f>
        <v/>
      </c>
      <c r="MV33" s="402">
        <f>-AssetMgmtFeePct*Operating!MV$23</f>
        <v/>
      </c>
      <c r="MW33" s="402">
        <f>-AssetMgmtFeePct*Operating!MW$23</f>
        <v/>
      </c>
      <c r="MX33" s="402">
        <f>-AssetMgmtFeePct*Operating!MX$23</f>
        <v/>
      </c>
      <c r="MY33" s="402">
        <f>-AssetMgmtFeePct*Operating!MY$23</f>
        <v/>
      </c>
      <c r="MZ33" s="402">
        <f>-AssetMgmtFeePct*Operating!MZ$23</f>
        <v/>
      </c>
      <c r="NA33" s="402">
        <f>-AssetMgmtFeePct*Operating!NA$23</f>
        <v/>
      </c>
      <c r="NB33" s="402">
        <f>-AssetMgmtFeePct*Operating!NB$23</f>
        <v/>
      </c>
      <c r="NC33" s="402">
        <f>-AssetMgmtFeePct*Operating!NC$23</f>
        <v/>
      </c>
      <c r="ND33" s="402">
        <f>-AssetMgmtFeePct*Operating!ND$23</f>
        <v/>
      </c>
      <c r="NE33" s="402">
        <f>-AssetMgmtFeePct*Operating!NE$23</f>
        <v/>
      </c>
      <c r="NF33" s="402">
        <f>-AssetMgmtFeePct*Operating!NF$23</f>
        <v/>
      </c>
      <c r="NG33" s="402">
        <f>-AssetMgmtFeePct*Operating!NG$23</f>
        <v/>
      </c>
      <c r="NH33" s="402">
        <f>-AssetMgmtFeePct*Operating!NH$23</f>
        <v/>
      </c>
      <c r="NI33" s="402">
        <f>-AssetMgmtFeePct*Operating!NI$23</f>
        <v/>
      </c>
      <c r="NJ33" s="402">
        <f>-AssetMgmtFeePct*Operating!NJ$23</f>
        <v/>
      </c>
      <c r="NK33" s="402">
        <f>-AssetMgmtFeePct*Operating!NK$23</f>
        <v/>
      </c>
      <c r="NL33" s="402">
        <f>-AssetMgmtFeePct*Operating!NL$23</f>
        <v/>
      </c>
    </row>
    <row r="34">
      <c r="B34" s="316" t="inlineStr">
        <is>
          <t>Capital Reserves &amp; Tax Prep</t>
        </is>
      </c>
      <c r="D34" s="402">
        <f>SUM(E34:NL34)</f>
        <v/>
      </c>
      <c r="E34" s="402">
        <f>-(Operating!E$40-AssetMgmtFeePct*Operating!E$23)</f>
        <v/>
      </c>
      <c r="F34" s="402">
        <f>-(Operating!F$40-AssetMgmtFeePct*Operating!F$23)</f>
        <v/>
      </c>
      <c r="G34" s="402">
        <f>-(Operating!G$40-AssetMgmtFeePct*Operating!G$23)</f>
        <v/>
      </c>
      <c r="H34" s="402">
        <f>-(Operating!H$40-AssetMgmtFeePct*Operating!H$23)</f>
        <v/>
      </c>
      <c r="I34" s="402">
        <f>-(Operating!I$40-AssetMgmtFeePct*Operating!I$23)</f>
        <v/>
      </c>
      <c r="J34" s="402">
        <f>-(Operating!J$40-AssetMgmtFeePct*Operating!J$23)</f>
        <v/>
      </c>
      <c r="K34" s="402">
        <f>-(Operating!K$40-AssetMgmtFeePct*Operating!K$23)</f>
        <v/>
      </c>
      <c r="L34" s="402">
        <f>-(Operating!L$40-AssetMgmtFeePct*Operating!L$23)</f>
        <v/>
      </c>
      <c r="M34" s="402">
        <f>-(Operating!M$40-AssetMgmtFeePct*Operating!M$23)</f>
        <v/>
      </c>
      <c r="N34" s="402">
        <f>-(Operating!N$40-AssetMgmtFeePct*Operating!N$23)</f>
        <v/>
      </c>
      <c r="O34" s="402">
        <f>-(Operating!O$40-AssetMgmtFeePct*Operating!O$23)</f>
        <v/>
      </c>
      <c r="P34" s="402">
        <f>-(Operating!P$40-AssetMgmtFeePct*Operating!P$23)</f>
        <v/>
      </c>
      <c r="Q34" s="402">
        <f>-(Operating!Q$40-AssetMgmtFeePct*Operating!Q$23)</f>
        <v/>
      </c>
      <c r="R34" s="402">
        <f>-(Operating!R$40-AssetMgmtFeePct*Operating!R$23)</f>
        <v/>
      </c>
      <c r="S34" s="402">
        <f>-(Operating!S$40-AssetMgmtFeePct*Operating!S$23)</f>
        <v/>
      </c>
      <c r="T34" s="402">
        <f>-(Operating!T$40-AssetMgmtFeePct*Operating!T$23)</f>
        <v/>
      </c>
      <c r="U34" s="402">
        <f>-(Operating!U$40-AssetMgmtFeePct*Operating!U$23)</f>
        <v/>
      </c>
      <c r="V34" s="402">
        <f>-(Operating!V$40-AssetMgmtFeePct*Operating!V$23)</f>
        <v/>
      </c>
      <c r="W34" s="402">
        <f>-(Operating!W$40-AssetMgmtFeePct*Operating!W$23)</f>
        <v/>
      </c>
      <c r="X34" s="402">
        <f>-(Operating!X$40-AssetMgmtFeePct*Operating!X$23)</f>
        <v/>
      </c>
      <c r="Y34" s="402">
        <f>-(Operating!Y$40-AssetMgmtFeePct*Operating!Y$23)</f>
        <v/>
      </c>
      <c r="Z34" s="402">
        <f>-(Operating!Z$40-AssetMgmtFeePct*Operating!Z$23)</f>
        <v/>
      </c>
      <c r="AA34" s="402">
        <f>-(Operating!AA$40-AssetMgmtFeePct*Operating!AA$23)</f>
        <v/>
      </c>
      <c r="AB34" s="402">
        <f>-(Operating!AB$40-AssetMgmtFeePct*Operating!AB$23)</f>
        <v/>
      </c>
      <c r="AC34" s="402">
        <f>-(Operating!AC$40-AssetMgmtFeePct*Operating!AC$23)</f>
        <v/>
      </c>
      <c r="AD34" s="402">
        <f>-(Operating!AD$40-AssetMgmtFeePct*Operating!AD$23)</f>
        <v/>
      </c>
      <c r="AE34" s="402">
        <f>-(Operating!AE$40-AssetMgmtFeePct*Operating!AE$23)</f>
        <v/>
      </c>
      <c r="AF34" s="402">
        <f>-(Operating!AF$40-AssetMgmtFeePct*Operating!AF$23)</f>
        <v/>
      </c>
      <c r="AG34" s="402">
        <f>-(Operating!AG$40-AssetMgmtFeePct*Operating!AG$23)</f>
        <v/>
      </c>
      <c r="AH34" s="402">
        <f>-(Operating!AH$40-AssetMgmtFeePct*Operating!AH$23)</f>
        <v/>
      </c>
      <c r="AI34" s="402">
        <f>-(Operating!AI$40-AssetMgmtFeePct*Operating!AI$23)</f>
        <v/>
      </c>
      <c r="AJ34" s="402">
        <f>-(Operating!AJ$40-AssetMgmtFeePct*Operating!AJ$23)</f>
        <v/>
      </c>
      <c r="AK34" s="402">
        <f>-(Operating!AK$40-AssetMgmtFeePct*Operating!AK$23)</f>
        <v/>
      </c>
      <c r="AL34" s="402">
        <f>-(Operating!AL$40-AssetMgmtFeePct*Operating!AL$23)</f>
        <v/>
      </c>
      <c r="AM34" s="402">
        <f>-(Operating!AM$40-AssetMgmtFeePct*Operating!AM$23)</f>
        <v/>
      </c>
      <c r="AN34" s="402">
        <f>-(Operating!AN$40-AssetMgmtFeePct*Operating!AN$23)</f>
        <v/>
      </c>
      <c r="AO34" s="402">
        <f>-(Operating!AO$40-AssetMgmtFeePct*Operating!AO$23)</f>
        <v/>
      </c>
      <c r="AP34" s="402">
        <f>-(Operating!AP$40-AssetMgmtFeePct*Operating!AP$23)</f>
        <v/>
      </c>
      <c r="AQ34" s="402">
        <f>-(Operating!AQ$40-AssetMgmtFeePct*Operating!AQ$23)</f>
        <v/>
      </c>
      <c r="AR34" s="402">
        <f>-(Operating!AR$40-AssetMgmtFeePct*Operating!AR$23)</f>
        <v/>
      </c>
      <c r="AS34" s="402">
        <f>-(Operating!AS$40-AssetMgmtFeePct*Operating!AS$23)</f>
        <v/>
      </c>
      <c r="AT34" s="402">
        <f>-(Operating!AT$40-AssetMgmtFeePct*Operating!AT$23)</f>
        <v/>
      </c>
      <c r="AU34" s="402">
        <f>-(Operating!AU$40-AssetMgmtFeePct*Operating!AU$23)</f>
        <v/>
      </c>
      <c r="AV34" s="402">
        <f>-(Operating!AV$40-AssetMgmtFeePct*Operating!AV$23)</f>
        <v/>
      </c>
      <c r="AW34" s="402">
        <f>-(Operating!AW$40-AssetMgmtFeePct*Operating!AW$23)</f>
        <v/>
      </c>
      <c r="AX34" s="402">
        <f>-(Operating!AX$40-AssetMgmtFeePct*Operating!AX$23)</f>
        <v/>
      </c>
      <c r="AY34" s="402">
        <f>-(Operating!AY$40-AssetMgmtFeePct*Operating!AY$23)</f>
        <v/>
      </c>
      <c r="AZ34" s="402">
        <f>-(Operating!AZ$40-AssetMgmtFeePct*Operating!AZ$23)</f>
        <v/>
      </c>
      <c r="BA34" s="402">
        <f>-(Operating!BA$40-AssetMgmtFeePct*Operating!BA$23)</f>
        <v/>
      </c>
      <c r="BB34" s="402">
        <f>-(Operating!BB$40-AssetMgmtFeePct*Operating!BB$23)</f>
        <v/>
      </c>
      <c r="BC34" s="402">
        <f>-(Operating!BC$40-AssetMgmtFeePct*Operating!BC$23)</f>
        <v/>
      </c>
      <c r="BD34" s="402">
        <f>-(Operating!BD$40-AssetMgmtFeePct*Operating!BD$23)</f>
        <v/>
      </c>
      <c r="BE34" s="402">
        <f>-(Operating!BE$40-AssetMgmtFeePct*Operating!BE$23)</f>
        <v/>
      </c>
      <c r="BF34" s="402">
        <f>-(Operating!BF$40-AssetMgmtFeePct*Operating!BF$23)</f>
        <v/>
      </c>
      <c r="BG34" s="402">
        <f>-(Operating!BG$40-AssetMgmtFeePct*Operating!BG$23)</f>
        <v/>
      </c>
      <c r="BH34" s="402">
        <f>-(Operating!BH$40-AssetMgmtFeePct*Operating!BH$23)</f>
        <v/>
      </c>
      <c r="BI34" s="402">
        <f>-(Operating!BI$40-AssetMgmtFeePct*Operating!BI$23)</f>
        <v/>
      </c>
      <c r="BJ34" s="402">
        <f>-(Operating!BJ$40-AssetMgmtFeePct*Operating!BJ$23)</f>
        <v/>
      </c>
      <c r="BK34" s="402">
        <f>-(Operating!BK$40-AssetMgmtFeePct*Operating!BK$23)</f>
        <v/>
      </c>
      <c r="BL34" s="402">
        <f>-(Operating!BL$40-AssetMgmtFeePct*Operating!BL$23)</f>
        <v/>
      </c>
      <c r="BM34" s="402">
        <f>-(Operating!BM$40-AssetMgmtFeePct*Operating!BM$23)</f>
        <v/>
      </c>
      <c r="BN34" s="402">
        <f>-(Operating!BN$40-AssetMgmtFeePct*Operating!BN$23)</f>
        <v/>
      </c>
      <c r="BO34" s="402">
        <f>-(Operating!BO$40-AssetMgmtFeePct*Operating!BO$23)</f>
        <v/>
      </c>
      <c r="BP34" s="402">
        <f>-(Operating!BP$40-AssetMgmtFeePct*Operating!BP$23)</f>
        <v/>
      </c>
      <c r="BQ34" s="402">
        <f>-(Operating!BQ$40-AssetMgmtFeePct*Operating!BQ$23)</f>
        <v/>
      </c>
      <c r="BR34" s="402">
        <f>-(Operating!BR$40-AssetMgmtFeePct*Operating!BR$23)</f>
        <v/>
      </c>
      <c r="BS34" s="402">
        <f>-(Operating!BS$40-AssetMgmtFeePct*Operating!BS$23)</f>
        <v/>
      </c>
      <c r="BT34" s="402">
        <f>-(Operating!BT$40-AssetMgmtFeePct*Operating!BT$23)</f>
        <v/>
      </c>
      <c r="BU34" s="402">
        <f>-(Operating!BU$40-AssetMgmtFeePct*Operating!BU$23)</f>
        <v/>
      </c>
      <c r="BV34" s="402">
        <f>-(Operating!BV$40-AssetMgmtFeePct*Operating!BV$23)</f>
        <v/>
      </c>
      <c r="BW34" s="402">
        <f>-(Operating!BW$40-AssetMgmtFeePct*Operating!BW$23)</f>
        <v/>
      </c>
      <c r="BX34" s="402">
        <f>-(Operating!BX$40-AssetMgmtFeePct*Operating!BX$23)</f>
        <v/>
      </c>
      <c r="BY34" s="402">
        <f>-(Operating!BY$40-AssetMgmtFeePct*Operating!BY$23)</f>
        <v/>
      </c>
      <c r="BZ34" s="402">
        <f>-(Operating!BZ$40-AssetMgmtFeePct*Operating!BZ$23)</f>
        <v/>
      </c>
      <c r="CA34" s="402">
        <f>-(Operating!CA$40-AssetMgmtFeePct*Operating!CA$23)</f>
        <v/>
      </c>
      <c r="CB34" s="402">
        <f>-(Operating!CB$40-AssetMgmtFeePct*Operating!CB$23)</f>
        <v/>
      </c>
      <c r="CC34" s="402">
        <f>-(Operating!CC$40-AssetMgmtFeePct*Operating!CC$23)</f>
        <v/>
      </c>
      <c r="CD34" s="402">
        <f>-(Operating!CD$40-AssetMgmtFeePct*Operating!CD$23)</f>
        <v/>
      </c>
      <c r="CE34" s="402">
        <f>-(Operating!CE$40-AssetMgmtFeePct*Operating!CE$23)</f>
        <v/>
      </c>
      <c r="CF34" s="402">
        <f>-(Operating!CF$40-AssetMgmtFeePct*Operating!CF$23)</f>
        <v/>
      </c>
      <c r="CG34" s="402">
        <f>-(Operating!CG$40-AssetMgmtFeePct*Operating!CG$23)</f>
        <v/>
      </c>
      <c r="CH34" s="402">
        <f>-(Operating!CH$40-AssetMgmtFeePct*Operating!CH$23)</f>
        <v/>
      </c>
      <c r="CI34" s="402">
        <f>-(Operating!CI$40-AssetMgmtFeePct*Operating!CI$23)</f>
        <v/>
      </c>
      <c r="CJ34" s="402">
        <f>-(Operating!CJ$40-AssetMgmtFeePct*Operating!CJ$23)</f>
        <v/>
      </c>
      <c r="CK34" s="402">
        <f>-(Operating!CK$40-AssetMgmtFeePct*Operating!CK$23)</f>
        <v/>
      </c>
      <c r="CL34" s="402">
        <f>-(Operating!CL$40-AssetMgmtFeePct*Operating!CL$23)</f>
        <v/>
      </c>
      <c r="CM34" s="402">
        <f>-(Operating!CM$40-AssetMgmtFeePct*Operating!CM$23)</f>
        <v/>
      </c>
      <c r="CN34" s="402">
        <f>-(Operating!CN$40-AssetMgmtFeePct*Operating!CN$23)</f>
        <v/>
      </c>
      <c r="CO34" s="402">
        <f>-(Operating!CO$40-AssetMgmtFeePct*Operating!CO$23)</f>
        <v/>
      </c>
      <c r="CP34" s="402">
        <f>-(Operating!CP$40-AssetMgmtFeePct*Operating!CP$23)</f>
        <v/>
      </c>
      <c r="CQ34" s="402">
        <f>-(Operating!CQ$40-AssetMgmtFeePct*Operating!CQ$23)</f>
        <v/>
      </c>
      <c r="CR34" s="402">
        <f>-(Operating!CR$40-AssetMgmtFeePct*Operating!CR$23)</f>
        <v/>
      </c>
      <c r="CS34" s="402">
        <f>-(Operating!CS$40-AssetMgmtFeePct*Operating!CS$23)</f>
        <v/>
      </c>
      <c r="CT34" s="402">
        <f>-(Operating!CT$40-AssetMgmtFeePct*Operating!CT$23)</f>
        <v/>
      </c>
      <c r="CU34" s="402">
        <f>-(Operating!CU$40-AssetMgmtFeePct*Operating!CU$23)</f>
        <v/>
      </c>
      <c r="CV34" s="402">
        <f>-(Operating!CV$40-AssetMgmtFeePct*Operating!CV$23)</f>
        <v/>
      </c>
      <c r="CW34" s="402">
        <f>-(Operating!CW$40-AssetMgmtFeePct*Operating!CW$23)</f>
        <v/>
      </c>
      <c r="CX34" s="402">
        <f>-(Operating!CX$40-AssetMgmtFeePct*Operating!CX$23)</f>
        <v/>
      </c>
      <c r="CY34" s="402">
        <f>-(Operating!CY$40-AssetMgmtFeePct*Operating!CY$23)</f>
        <v/>
      </c>
      <c r="CZ34" s="402">
        <f>-(Operating!CZ$40-AssetMgmtFeePct*Operating!CZ$23)</f>
        <v/>
      </c>
      <c r="DA34" s="402">
        <f>-(Operating!DA$40-AssetMgmtFeePct*Operating!DA$23)</f>
        <v/>
      </c>
      <c r="DB34" s="402">
        <f>-(Operating!DB$40-AssetMgmtFeePct*Operating!DB$23)</f>
        <v/>
      </c>
      <c r="DC34" s="402">
        <f>-(Operating!DC$40-AssetMgmtFeePct*Operating!DC$23)</f>
        <v/>
      </c>
      <c r="DD34" s="402">
        <f>-(Operating!DD$40-AssetMgmtFeePct*Operating!DD$23)</f>
        <v/>
      </c>
      <c r="DE34" s="402">
        <f>-(Operating!DE$40-AssetMgmtFeePct*Operating!DE$23)</f>
        <v/>
      </c>
      <c r="DF34" s="402">
        <f>-(Operating!DF$40-AssetMgmtFeePct*Operating!DF$23)</f>
        <v/>
      </c>
      <c r="DG34" s="402">
        <f>-(Operating!DG$40-AssetMgmtFeePct*Operating!DG$23)</f>
        <v/>
      </c>
      <c r="DH34" s="402">
        <f>-(Operating!DH$40-AssetMgmtFeePct*Operating!DH$23)</f>
        <v/>
      </c>
      <c r="DI34" s="402">
        <f>-(Operating!DI$40-AssetMgmtFeePct*Operating!DI$23)</f>
        <v/>
      </c>
      <c r="DJ34" s="402">
        <f>-(Operating!DJ$40-AssetMgmtFeePct*Operating!DJ$23)</f>
        <v/>
      </c>
      <c r="DK34" s="402">
        <f>-(Operating!DK$40-AssetMgmtFeePct*Operating!DK$23)</f>
        <v/>
      </c>
      <c r="DL34" s="402">
        <f>-(Operating!DL$40-AssetMgmtFeePct*Operating!DL$23)</f>
        <v/>
      </c>
      <c r="DM34" s="402">
        <f>-(Operating!DM$40-AssetMgmtFeePct*Operating!DM$23)</f>
        <v/>
      </c>
      <c r="DN34" s="402">
        <f>-(Operating!DN$40-AssetMgmtFeePct*Operating!DN$23)</f>
        <v/>
      </c>
      <c r="DO34" s="402">
        <f>-(Operating!DO$40-AssetMgmtFeePct*Operating!DO$23)</f>
        <v/>
      </c>
      <c r="DP34" s="402">
        <f>-(Operating!DP$40-AssetMgmtFeePct*Operating!DP$23)</f>
        <v/>
      </c>
      <c r="DQ34" s="402">
        <f>-(Operating!DQ$40-AssetMgmtFeePct*Operating!DQ$23)</f>
        <v/>
      </c>
      <c r="DR34" s="402">
        <f>-(Operating!DR$40-AssetMgmtFeePct*Operating!DR$23)</f>
        <v/>
      </c>
      <c r="DS34" s="402">
        <f>-(Operating!DS$40-AssetMgmtFeePct*Operating!DS$23)</f>
        <v/>
      </c>
      <c r="DT34" s="402">
        <f>-(Operating!DT$40-AssetMgmtFeePct*Operating!DT$23)</f>
        <v/>
      </c>
      <c r="DU34" s="402">
        <f>-(Operating!DU$40-AssetMgmtFeePct*Operating!DU$23)</f>
        <v/>
      </c>
      <c r="DV34" s="402">
        <f>-(Operating!DV$40-AssetMgmtFeePct*Operating!DV$23)</f>
        <v/>
      </c>
      <c r="DW34" s="402">
        <f>-(Operating!DW$40-AssetMgmtFeePct*Operating!DW$23)</f>
        <v/>
      </c>
      <c r="DX34" s="402">
        <f>-(Operating!DX$40-AssetMgmtFeePct*Operating!DX$23)</f>
        <v/>
      </c>
      <c r="DY34" s="402">
        <f>-(Operating!DY$40-AssetMgmtFeePct*Operating!DY$23)</f>
        <v/>
      </c>
      <c r="DZ34" s="402">
        <f>-(Operating!DZ$40-AssetMgmtFeePct*Operating!DZ$23)</f>
        <v/>
      </c>
      <c r="EA34" s="402">
        <f>-(Operating!EA$40-AssetMgmtFeePct*Operating!EA$23)</f>
        <v/>
      </c>
      <c r="EB34" s="402">
        <f>-(Operating!EB$40-AssetMgmtFeePct*Operating!EB$23)</f>
        <v/>
      </c>
      <c r="EC34" s="402">
        <f>-(Operating!EC$40-AssetMgmtFeePct*Operating!EC$23)</f>
        <v/>
      </c>
      <c r="ED34" s="402">
        <f>-(Operating!ED$40-AssetMgmtFeePct*Operating!ED$23)</f>
        <v/>
      </c>
      <c r="EE34" s="402">
        <f>-(Operating!EE$40-AssetMgmtFeePct*Operating!EE$23)</f>
        <v/>
      </c>
      <c r="EF34" s="402">
        <f>-(Operating!EF$40-AssetMgmtFeePct*Operating!EF$23)</f>
        <v/>
      </c>
      <c r="EG34" s="402">
        <f>-(Operating!EG$40-AssetMgmtFeePct*Operating!EG$23)</f>
        <v/>
      </c>
      <c r="EH34" s="402">
        <f>-(Operating!EH$40-AssetMgmtFeePct*Operating!EH$23)</f>
        <v/>
      </c>
      <c r="EI34" s="402">
        <f>-(Operating!EI$40-AssetMgmtFeePct*Operating!EI$23)</f>
        <v/>
      </c>
      <c r="EJ34" s="402">
        <f>-(Operating!EJ$40-AssetMgmtFeePct*Operating!EJ$23)</f>
        <v/>
      </c>
      <c r="EK34" s="402">
        <f>-(Operating!EK$40-AssetMgmtFeePct*Operating!EK$23)</f>
        <v/>
      </c>
      <c r="EL34" s="402">
        <f>-(Operating!EL$40-AssetMgmtFeePct*Operating!EL$23)</f>
        <v/>
      </c>
      <c r="EM34" s="402">
        <f>-(Operating!EM$40-AssetMgmtFeePct*Operating!EM$23)</f>
        <v/>
      </c>
      <c r="EN34" s="402">
        <f>-(Operating!EN$40-AssetMgmtFeePct*Operating!EN$23)</f>
        <v/>
      </c>
      <c r="EO34" s="402">
        <f>-(Operating!EO$40-AssetMgmtFeePct*Operating!EO$23)</f>
        <v/>
      </c>
      <c r="EP34" s="402">
        <f>-(Operating!EP$40-AssetMgmtFeePct*Operating!EP$23)</f>
        <v/>
      </c>
      <c r="EQ34" s="402">
        <f>-(Operating!EQ$40-AssetMgmtFeePct*Operating!EQ$23)</f>
        <v/>
      </c>
      <c r="ER34" s="402">
        <f>-(Operating!ER$40-AssetMgmtFeePct*Operating!ER$23)</f>
        <v/>
      </c>
      <c r="ES34" s="402">
        <f>-(Operating!ES$40-AssetMgmtFeePct*Operating!ES$23)</f>
        <v/>
      </c>
      <c r="ET34" s="402">
        <f>-(Operating!ET$40-AssetMgmtFeePct*Operating!ET$23)</f>
        <v/>
      </c>
      <c r="EU34" s="402">
        <f>-(Operating!EU$40-AssetMgmtFeePct*Operating!EU$23)</f>
        <v/>
      </c>
      <c r="EV34" s="402">
        <f>-(Operating!EV$40-AssetMgmtFeePct*Operating!EV$23)</f>
        <v/>
      </c>
      <c r="EW34" s="402">
        <f>-(Operating!EW$40-AssetMgmtFeePct*Operating!EW$23)</f>
        <v/>
      </c>
      <c r="EX34" s="402">
        <f>-(Operating!EX$40-AssetMgmtFeePct*Operating!EX$23)</f>
        <v/>
      </c>
      <c r="EY34" s="402">
        <f>-(Operating!EY$40-AssetMgmtFeePct*Operating!EY$23)</f>
        <v/>
      </c>
      <c r="EZ34" s="402">
        <f>-(Operating!EZ$40-AssetMgmtFeePct*Operating!EZ$23)</f>
        <v/>
      </c>
      <c r="FA34" s="402">
        <f>-(Operating!FA$40-AssetMgmtFeePct*Operating!FA$23)</f>
        <v/>
      </c>
      <c r="FB34" s="402">
        <f>-(Operating!FB$40-AssetMgmtFeePct*Operating!FB$23)</f>
        <v/>
      </c>
      <c r="FC34" s="402">
        <f>-(Operating!FC$40-AssetMgmtFeePct*Operating!FC$23)</f>
        <v/>
      </c>
      <c r="FD34" s="402">
        <f>-(Operating!FD$40-AssetMgmtFeePct*Operating!FD$23)</f>
        <v/>
      </c>
      <c r="FE34" s="402">
        <f>-(Operating!FE$40-AssetMgmtFeePct*Operating!FE$23)</f>
        <v/>
      </c>
      <c r="FF34" s="402">
        <f>-(Operating!FF$40-AssetMgmtFeePct*Operating!FF$23)</f>
        <v/>
      </c>
      <c r="FG34" s="402">
        <f>-(Operating!FG$40-AssetMgmtFeePct*Operating!FG$23)</f>
        <v/>
      </c>
      <c r="FH34" s="402">
        <f>-(Operating!FH$40-AssetMgmtFeePct*Operating!FH$23)</f>
        <v/>
      </c>
      <c r="FI34" s="402">
        <f>-(Operating!FI$40-AssetMgmtFeePct*Operating!FI$23)</f>
        <v/>
      </c>
      <c r="FJ34" s="402">
        <f>-(Operating!FJ$40-AssetMgmtFeePct*Operating!FJ$23)</f>
        <v/>
      </c>
      <c r="FK34" s="402">
        <f>-(Operating!FK$40-AssetMgmtFeePct*Operating!FK$23)</f>
        <v/>
      </c>
      <c r="FL34" s="402">
        <f>-(Operating!FL$40-AssetMgmtFeePct*Operating!FL$23)</f>
        <v/>
      </c>
      <c r="FM34" s="402">
        <f>-(Operating!FM$40-AssetMgmtFeePct*Operating!FM$23)</f>
        <v/>
      </c>
      <c r="FN34" s="402">
        <f>-(Operating!FN$40-AssetMgmtFeePct*Operating!FN$23)</f>
        <v/>
      </c>
      <c r="FO34" s="402">
        <f>-(Operating!FO$40-AssetMgmtFeePct*Operating!FO$23)</f>
        <v/>
      </c>
      <c r="FP34" s="402">
        <f>-(Operating!FP$40-AssetMgmtFeePct*Operating!FP$23)</f>
        <v/>
      </c>
      <c r="FQ34" s="402">
        <f>-(Operating!FQ$40-AssetMgmtFeePct*Operating!FQ$23)</f>
        <v/>
      </c>
      <c r="FR34" s="402">
        <f>-(Operating!FR$40-AssetMgmtFeePct*Operating!FR$23)</f>
        <v/>
      </c>
      <c r="FS34" s="402">
        <f>-(Operating!FS$40-AssetMgmtFeePct*Operating!FS$23)</f>
        <v/>
      </c>
      <c r="FT34" s="402">
        <f>-(Operating!FT$40-AssetMgmtFeePct*Operating!FT$23)</f>
        <v/>
      </c>
      <c r="FU34" s="402">
        <f>-(Operating!FU$40-AssetMgmtFeePct*Operating!FU$23)</f>
        <v/>
      </c>
      <c r="FV34" s="402">
        <f>-(Operating!FV$40-AssetMgmtFeePct*Operating!FV$23)</f>
        <v/>
      </c>
      <c r="FW34" s="402">
        <f>-(Operating!FW$40-AssetMgmtFeePct*Operating!FW$23)</f>
        <v/>
      </c>
      <c r="FX34" s="402">
        <f>-(Operating!FX$40-AssetMgmtFeePct*Operating!FX$23)</f>
        <v/>
      </c>
      <c r="FY34" s="402">
        <f>-(Operating!FY$40-AssetMgmtFeePct*Operating!FY$23)</f>
        <v/>
      </c>
      <c r="FZ34" s="402">
        <f>-(Operating!FZ$40-AssetMgmtFeePct*Operating!FZ$23)</f>
        <v/>
      </c>
      <c r="GA34" s="402">
        <f>-(Operating!GA$40-AssetMgmtFeePct*Operating!GA$23)</f>
        <v/>
      </c>
      <c r="GB34" s="402">
        <f>-(Operating!GB$40-AssetMgmtFeePct*Operating!GB$23)</f>
        <v/>
      </c>
      <c r="GC34" s="402">
        <f>-(Operating!GC$40-AssetMgmtFeePct*Operating!GC$23)</f>
        <v/>
      </c>
      <c r="GD34" s="402">
        <f>-(Operating!GD$40-AssetMgmtFeePct*Operating!GD$23)</f>
        <v/>
      </c>
      <c r="GE34" s="402">
        <f>-(Operating!GE$40-AssetMgmtFeePct*Operating!GE$23)</f>
        <v/>
      </c>
      <c r="GF34" s="402">
        <f>-(Operating!GF$40-AssetMgmtFeePct*Operating!GF$23)</f>
        <v/>
      </c>
      <c r="GG34" s="402">
        <f>-(Operating!GG$40-AssetMgmtFeePct*Operating!GG$23)</f>
        <v/>
      </c>
      <c r="GH34" s="402">
        <f>-(Operating!GH$40-AssetMgmtFeePct*Operating!GH$23)</f>
        <v/>
      </c>
      <c r="GI34" s="402">
        <f>-(Operating!GI$40-AssetMgmtFeePct*Operating!GI$23)</f>
        <v/>
      </c>
      <c r="GJ34" s="402">
        <f>-(Operating!GJ$40-AssetMgmtFeePct*Operating!GJ$23)</f>
        <v/>
      </c>
      <c r="GK34" s="402">
        <f>-(Operating!GK$40-AssetMgmtFeePct*Operating!GK$23)</f>
        <v/>
      </c>
      <c r="GL34" s="402">
        <f>-(Operating!GL$40-AssetMgmtFeePct*Operating!GL$23)</f>
        <v/>
      </c>
      <c r="GM34" s="402">
        <f>-(Operating!GM$40-AssetMgmtFeePct*Operating!GM$23)</f>
        <v/>
      </c>
      <c r="GN34" s="402">
        <f>-(Operating!GN$40-AssetMgmtFeePct*Operating!GN$23)</f>
        <v/>
      </c>
      <c r="GO34" s="402">
        <f>-(Operating!GO$40-AssetMgmtFeePct*Operating!GO$23)</f>
        <v/>
      </c>
      <c r="GP34" s="402">
        <f>-(Operating!GP$40-AssetMgmtFeePct*Operating!GP$23)</f>
        <v/>
      </c>
      <c r="GQ34" s="402">
        <f>-(Operating!GQ$40-AssetMgmtFeePct*Operating!GQ$23)</f>
        <v/>
      </c>
      <c r="GR34" s="402">
        <f>-(Operating!GR$40-AssetMgmtFeePct*Operating!GR$23)</f>
        <v/>
      </c>
      <c r="GS34" s="402">
        <f>-(Operating!GS$40-AssetMgmtFeePct*Operating!GS$23)</f>
        <v/>
      </c>
      <c r="GT34" s="402">
        <f>-(Operating!GT$40-AssetMgmtFeePct*Operating!GT$23)</f>
        <v/>
      </c>
      <c r="GU34" s="402">
        <f>-(Operating!GU$40-AssetMgmtFeePct*Operating!GU$23)</f>
        <v/>
      </c>
      <c r="GV34" s="402">
        <f>-(Operating!GV$40-AssetMgmtFeePct*Operating!GV$23)</f>
        <v/>
      </c>
      <c r="GW34" s="402">
        <f>-(Operating!GW$40-AssetMgmtFeePct*Operating!GW$23)</f>
        <v/>
      </c>
      <c r="GX34" s="402">
        <f>-(Operating!GX$40-AssetMgmtFeePct*Operating!GX$23)</f>
        <v/>
      </c>
      <c r="GY34" s="402">
        <f>-(Operating!GY$40-AssetMgmtFeePct*Operating!GY$23)</f>
        <v/>
      </c>
      <c r="GZ34" s="402">
        <f>-(Operating!GZ$40-AssetMgmtFeePct*Operating!GZ$23)</f>
        <v/>
      </c>
      <c r="HA34" s="402">
        <f>-(Operating!HA$40-AssetMgmtFeePct*Operating!HA$23)</f>
        <v/>
      </c>
      <c r="HB34" s="402">
        <f>-(Operating!HB$40-AssetMgmtFeePct*Operating!HB$23)</f>
        <v/>
      </c>
      <c r="HC34" s="402">
        <f>-(Operating!HC$40-AssetMgmtFeePct*Operating!HC$23)</f>
        <v/>
      </c>
      <c r="HD34" s="402">
        <f>-(Operating!HD$40-AssetMgmtFeePct*Operating!HD$23)</f>
        <v/>
      </c>
      <c r="HE34" s="402">
        <f>-(Operating!HE$40-AssetMgmtFeePct*Operating!HE$23)</f>
        <v/>
      </c>
      <c r="HF34" s="402">
        <f>-(Operating!HF$40-AssetMgmtFeePct*Operating!HF$23)</f>
        <v/>
      </c>
      <c r="HG34" s="402">
        <f>-(Operating!HG$40-AssetMgmtFeePct*Operating!HG$23)</f>
        <v/>
      </c>
      <c r="HH34" s="402">
        <f>-(Operating!HH$40-AssetMgmtFeePct*Operating!HH$23)</f>
        <v/>
      </c>
      <c r="HI34" s="402">
        <f>-(Operating!HI$40-AssetMgmtFeePct*Operating!HI$23)</f>
        <v/>
      </c>
      <c r="HJ34" s="402">
        <f>-(Operating!HJ$40-AssetMgmtFeePct*Operating!HJ$23)</f>
        <v/>
      </c>
      <c r="HK34" s="402">
        <f>-(Operating!HK$40-AssetMgmtFeePct*Operating!HK$23)</f>
        <v/>
      </c>
      <c r="HL34" s="402">
        <f>-(Operating!HL$40-AssetMgmtFeePct*Operating!HL$23)</f>
        <v/>
      </c>
      <c r="HM34" s="402">
        <f>-(Operating!HM$40-AssetMgmtFeePct*Operating!HM$23)</f>
        <v/>
      </c>
      <c r="HN34" s="402">
        <f>-(Operating!HN$40-AssetMgmtFeePct*Operating!HN$23)</f>
        <v/>
      </c>
      <c r="HO34" s="402">
        <f>-(Operating!HO$40-AssetMgmtFeePct*Operating!HO$23)</f>
        <v/>
      </c>
      <c r="HP34" s="402">
        <f>-(Operating!HP$40-AssetMgmtFeePct*Operating!HP$23)</f>
        <v/>
      </c>
      <c r="HQ34" s="402">
        <f>-(Operating!HQ$40-AssetMgmtFeePct*Operating!HQ$23)</f>
        <v/>
      </c>
      <c r="HR34" s="402">
        <f>-(Operating!HR$40-AssetMgmtFeePct*Operating!HR$23)</f>
        <v/>
      </c>
      <c r="HS34" s="402">
        <f>-(Operating!HS$40-AssetMgmtFeePct*Operating!HS$23)</f>
        <v/>
      </c>
      <c r="HT34" s="402">
        <f>-(Operating!HT$40-AssetMgmtFeePct*Operating!HT$23)</f>
        <v/>
      </c>
      <c r="HU34" s="402">
        <f>-(Operating!HU$40-AssetMgmtFeePct*Operating!HU$23)</f>
        <v/>
      </c>
      <c r="HV34" s="402">
        <f>-(Operating!HV$40-AssetMgmtFeePct*Operating!HV$23)</f>
        <v/>
      </c>
      <c r="HW34" s="402">
        <f>-(Operating!HW$40-AssetMgmtFeePct*Operating!HW$23)</f>
        <v/>
      </c>
      <c r="HX34" s="402">
        <f>-(Operating!HX$40-AssetMgmtFeePct*Operating!HX$23)</f>
        <v/>
      </c>
      <c r="HY34" s="402">
        <f>-(Operating!HY$40-AssetMgmtFeePct*Operating!HY$23)</f>
        <v/>
      </c>
      <c r="HZ34" s="402">
        <f>-(Operating!HZ$40-AssetMgmtFeePct*Operating!HZ$23)</f>
        <v/>
      </c>
      <c r="IA34" s="402">
        <f>-(Operating!IA$40-AssetMgmtFeePct*Operating!IA$23)</f>
        <v/>
      </c>
      <c r="IB34" s="402">
        <f>-(Operating!IB$40-AssetMgmtFeePct*Operating!IB$23)</f>
        <v/>
      </c>
      <c r="IC34" s="402">
        <f>-(Operating!IC$40-AssetMgmtFeePct*Operating!IC$23)</f>
        <v/>
      </c>
      <c r="ID34" s="402">
        <f>-(Operating!ID$40-AssetMgmtFeePct*Operating!ID$23)</f>
        <v/>
      </c>
      <c r="IE34" s="402">
        <f>-(Operating!IE$40-AssetMgmtFeePct*Operating!IE$23)</f>
        <v/>
      </c>
      <c r="IF34" s="402">
        <f>-(Operating!IF$40-AssetMgmtFeePct*Operating!IF$23)</f>
        <v/>
      </c>
      <c r="IG34" s="402">
        <f>-(Operating!IG$40-AssetMgmtFeePct*Operating!IG$23)</f>
        <v/>
      </c>
      <c r="IH34" s="402">
        <f>-(Operating!IH$40-AssetMgmtFeePct*Operating!IH$23)</f>
        <v/>
      </c>
      <c r="II34" s="402">
        <f>-(Operating!II$40-AssetMgmtFeePct*Operating!II$23)</f>
        <v/>
      </c>
      <c r="IJ34" s="402">
        <f>-(Operating!IJ$40-AssetMgmtFeePct*Operating!IJ$23)</f>
        <v/>
      </c>
      <c r="IK34" s="402">
        <f>-(Operating!IK$40-AssetMgmtFeePct*Operating!IK$23)</f>
        <v/>
      </c>
      <c r="IL34" s="402">
        <f>-(Operating!IL$40-AssetMgmtFeePct*Operating!IL$23)</f>
        <v/>
      </c>
      <c r="IM34" s="402">
        <f>-(Operating!IM$40-AssetMgmtFeePct*Operating!IM$23)</f>
        <v/>
      </c>
      <c r="IN34" s="402">
        <f>-(Operating!IN$40-AssetMgmtFeePct*Operating!IN$23)</f>
        <v/>
      </c>
      <c r="IO34" s="402">
        <f>-(Operating!IO$40-AssetMgmtFeePct*Operating!IO$23)</f>
        <v/>
      </c>
      <c r="IP34" s="402">
        <f>-(Operating!IP$40-AssetMgmtFeePct*Operating!IP$23)</f>
        <v/>
      </c>
      <c r="IQ34" s="402">
        <f>-(Operating!IQ$40-AssetMgmtFeePct*Operating!IQ$23)</f>
        <v/>
      </c>
      <c r="IR34" s="402">
        <f>-(Operating!IR$40-AssetMgmtFeePct*Operating!IR$23)</f>
        <v/>
      </c>
      <c r="IS34" s="402">
        <f>-(Operating!IS$40-AssetMgmtFeePct*Operating!IS$23)</f>
        <v/>
      </c>
      <c r="IT34" s="402">
        <f>-(Operating!IT$40-AssetMgmtFeePct*Operating!IT$23)</f>
        <v/>
      </c>
      <c r="IU34" s="402">
        <f>-(Operating!IU$40-AssetMgmtFeePct*Operating!IU$23)</f>
        <v/>
      </c>
      <c r="IV34" s="402">
        <f>-(Operating!IV$40-AssetMgmtFeePct*Operating!IV$23)</f>
        <v/>
      </c>
      <c r="IW34" s="402">
        <f>-(Operating!IW$40-AssetMgmtFeePct*Operating!IW$23)</f>
        <v/>
      </c>
      <c r="IX34" s="402">
        <f>-(Operating!IX$40-AssetMgmtFeePct*Operating!IX$23)</f>
        <v/>
      </c>
      <c r="IY34" s="402">
        <f>-(Operating!IY$40-AssetMgmtFeePct*Operating!IY$23)</f>
        <v/>
      </c>
      <c r="IZ34" s="402">
        <f>-(Operating!IZ$40-AssetMgmtFeePct*Operating!IZ$23)</f>
        <v/>
      </c>
      <c r="JA34" s="402">
        <f>-(Operating!JA$40-AssetMgmtFeePct*Operating!JA$23)</f>
        <v/>
      </c>
      <c r="JB34" s="402">
        <f>-(Operating!JB$40-AssetMgmtFeePct*Operating!JB$23)</f>
        <v/>
      </c>
      <c r="JC34" s="402">
        <f>-(Operating!JC$40-AssetMgmtFeePct*Operating!JC$23)</f>
        <v/>
      </c>
      <c r="JD34" s="402">
        <f>-(Operating!JD$40-AssetMgmtFeePct*Operating!JD$23)</f>
        <v/>
      </c>
      <c r="JE34" s="402">
        <f>-(Operating!JE$40-AssetMgmtFeePct*Operating!JE$23)</f>
        <v/>
      </c>
      <c r="JF34" s="402">
        <f>-(Operating!JF$40-AssetMgmtFeePct*Operating!JF$23)</f>
        <v/>
      </c>
      <c r="JG34" s="402">
        <f>-(Operating!JG$40-AssetMgmtFeePct*Operating!JG$23)</f>
        <v/>
      </c>
      <c r="JH34" s="402">
        <f>-(Operating!JH$40-AssetMgmtFeePct*Operating!JH$23)</f>
        <v/>
      </c>
      <c r="JI34" s="402">
        <f>-(Operating!JI$40-AssetMgmtFeePct*Operating!JI$23)</f>
        <v/>
      </c>
      <c r="JJ34" s="402">
        <f>-(Operating!JJ$40-AssetMgmtFeePct*Operating!JJ$23)</f>
        <v/>
      </c>
      <c r="JK34" s="402">
        <f>-(Operating!JK$40-AssetMgmtFeePct*Operating!JK$23)</f>
        <v/>
      </c>
      <c r="JL34" s="402">
        <f>-(Operating!JL$40-AssetMgmtFeePct*Operating!JL$23)</f>
        <v/>
      </c>
      <c r="JM34" s="402">
        <f>-(Operating!JM$40-AssetMgmtFeePct*Operating!JM$23)</f>
        <v/>
      </c>
      <c r="JN34" s="402">
        <f>-(Operating!JN$40-AssetMgmtFeePct*Operating!JN$23)</f>
        <v/>
      </c>
      <c r="JO34" s="402">
        <f>-(Operating!JO$40-AssetMgmtFeePct*Operating!JO$23)</f>
        <v/>
      </c>
      <c r="JP34" s="402">
        <f>-(Operating!JP$40-AssetMgmtFeePct*Operating!JP$23)</f>
        <v/>
      </c>
      <c r="JQ34" s="402">
        <f>-(Operating!JQ$40-AssetMgmtFeePct*Operating!JQ$23)</f>
        <v/>
      </c>
      <c r="JR34" s="402">
        <f>-(Operating!JR$40-AssetMgmtFeePct*Operating!JR$23)</f>
        <v/>
      </c>
      <c r="JS34" s="402">
        <f>-(Operating!JS$40-AssetMgmtFeePct*Operating!JS$23)</f>
        <v/>
      </c>
      <c r="JT34" s="402">
        <f>-(Operating!JT$40-AssetMgmtFeePct*Operating!JT$23)</f>
        <v/>
      </c>
      <c r="JU34" s="402">
        <f>-(Operating!JU$40-AssetMgmtFeePct*Operating!JU$23)</f>
        <v/>
      </c>
      <c r="JV34" s="402">
        <f>-(Operating!JV$40-AssetMgmtFeePct*Operating!JV$23)</f>
        <v/>
      </c>
      <c r="JW34" s="402">
        <f>-(Operating!JW$40-AssetMgmtFeePct*Operating!JW$23)</f>
        <v/>
      </c>
      <c r="JX34" s="402">
        <f>-(Operating!JX$40-AssetMgmtFeePct*Operating!JX$23)</f>
        <v/>
      </c>
      <c r="JY34" s="402">
        <f>-(Operating!JY$40-AssetMgmtFeePct*Operating!JY$23)</f>
        <v/>
      </c>
      <c r="JZ34" s="402">
        <f>-(Operating!JZ$40-AssetMgmtFeePct*Operating!JZ$23)</f>
        <v/>
      </c>
      <c r="KA34" s="402">
        <f>-(Operating!KA$40-AssetMgmtFeePct*Operating!KA$23)</f>
        <v/>
      </c>
      <c r="KB34" s="402">
        <f>-(Operating!KB$40-AssetMgmtFeePct*Operating!KB$23)</f>
        <v/>
      </c>
      <c r="KC34" s="402">
        <f>-(Operating!KC$40-AssetMgmtFeePct*Operating!KC$23)</f>
        <v/>
      </c>
      <c r="KD34" s="402">
        <f>-(Operating!KD$40-AssetMgmtFeePct*Operating!KD$23)</f>
        <v/>
      </c>
      <c r="KE34" s="402">
        <f>-(Operating!KE$40-AssetMgmtFeePct*Operating!KE$23)</f>
        <v/>
      </c>
      <c r="KF34" s="402">
        <f>-(Operating!KF$40-AssetMgmtFeePct*Operating!KF$23)</f>
        <v/>
      </c>
      <c r="KG34" s="402">
        <f>-(Operating!KG$40-AssetMgmtFeePct*Operating!KG$23)</f>
        <v/>
      </c>
      <c r="KH34" s="402">
        <f>-(Operating!KH$40-AssetMgmtFeePct*Operating!KH$23)</f>
        <v/>
      </c>
      <c r="KI34" s="402">
        <f>-(Operating!KI$40-AssetMgmtFeePct*Operating!KI$23)</f>
        <v/>
      </c>
      <c r="KJ34" s="402">
        <f>-(Operating!KJ$40-AssetMgmtFeePct*Operating!KJ$23)</f>
        <v/>
      </c>
      <c r="KK34" s="402">
        <f>-(Operating!KK$40-AssetMgmtFeePct*Operating!KK$23)</f>
        <v/>
      </c>
      <c r="KL34" s="402">
        <f>-(Operating!KL$40-AssetMgmtFeePct*Operating!KL$23)</f>
        <v/>
      </c>
      <c r="KM34" s="402">
        <f>-(Operating!KM$40-AssetMgmtFeePct*Operating!KM$23)</f>
        <v/>
      </c>
      <c r="KN34" s="402">
        <f>-(Operating!KN$40-AssetMgmtFeePct*Operating!KN$23)</f>
        <v/>
      </c>
      <c r="KO34" s="402">
        <f>-(Operating!KO$40-AssetMgmtFeePct*Operating!KO$23)</f>
        <v/>
      </c>
      <c r="KP34" s="402">
        <f>-(Operating!KP$40-AssetMgmtFeePct*Operating!KP$23)</f>
        <v/>
      </c>
      <c r="KQ34" s="402">
        <f>-(Operating!KQ$40-AssetMgmtFeePct*Operating!KQ$23)</f>
        <v/>
      </c>
      <c r="KR34" s="402">
        <f>-(Operating!KR$40-AssetMgmtFeePct*Operating!KR$23)</f>
        <v/>
      </c>
      <c r="KS34" s="402">
        <f>-(Operating!KS$40-AssetMgmtFeePct*Operating!KS$23)</f>
        <v/>
      </c>
      <c r="KT34" s="402">
        <f>-(Operating!KT$40-AssetMgmtFeePct*Operating!KT$23)</f>
        <v/>
      </c>
      <c r="KU34" s="402">
        <f>-(Operating!KU$40-AssetMgmtFeePct*Operating!KU$23)</f>
        <v/>
      </c>
      <c r="KV34" s="402">
        <f>-(Operating!KV$40-AssetMgmtFeePct*Operating!KV$23)</f>
        <v/>
      </c>
      <c r="KW34" s="402">
        <f>-(Operating!KW$40-AssetMgmtFeePct*Operating!KW$23)</f>
        <v/>
      </c>
      <c r="KX34" s="402">
        <f>-(Operating!KX$40-AssetMgmtFeePct*Operating!KX$23)</f>
        <v/>
      </c>
      <c r="KY34" s="402">
        <f>-(Operating!KY$40-AssetMgmtFeePct*Operating!KY$23)</f>
        <v/>
      </c>
      <c r="KZ34" s="402">
        <f>-(Operating!KZ$40-AssetMgmtFeePct*Operating!KZ$23)</f>
        <v/>
      </c>
      <c r="LA34" s="402">
        <f>-(Operating!LA$40-AssetMgmtFeePct*Operating!LA$23)</f>
        <v/>
      </c>
      <c r="LB34" s="402">
        <f>-(Operating!LB$40-AssetMgmtFeePct*Operating!LB$23)</f>
        <v/>
      </c>
      <c r="LC34" s="402">
        <f>-(Operating!LC$40-AssetMgmtFeePct*Operating!LC$23)</f>
        <v/>
      </c>
      <c r="LD34" s="402">
        <f>-(Operating!LD$40-AssetMgmtFeePct*Operating!LD$23)</f>
        <v/>
      </c>
      <c r="LE34" s="402">
        <f>-(Operating!LE$40-AssetMgmtFeePct*Operating!LE$23)</f>
        <v/>
      </c>
      <c r="LF34" s="402">
        <f>-(Operating!LF$40-AssetMgmtFeePct*Operating!LF$23)</f>
        <v/>
      </c>
      <c r="LG34" s="402">
        <f>-(Operating!LG$40-AssetMgmtFeePct*Operating!LG$23)</f>
        <v/>
      </c>
      <c r="LH34" s="402">
        <f>-(Operating!LH$40-AssetMgmtFeePct*Operating!LH$23)</f>
        <v/>
      </c>
      <c r="LI34" s="402">
        <f>-(Operating!LI$40-AssetMgmtFeePct*Operating!LI$23)</f>
        <v/>
      </c>
      <c r="LJ34" s="402">
        <f>-(Operating!LJ$40-AssetMgmtFeePct*Operating!LJ$23)</f>
        <v/>
      </c>
      <c r="LK34" s="402">
        <f>-(Operating!LK$40-AssetMgmtFeePct*Operating!LK$23)</f>
        <v/>
      </c>
      <c r="LL34" s="402">
        <f>-(Operating!LL$40-AssetMgmtFeePct*Operating!LL$23)</f>
        <v/>
      </c>
      <c r="LM34" s="402">
        <f>-(Operating!LM$40-AssetMgmtFeePct*Operating!LM$23)</f>
        <v/>
      </c>
      <c r="LN34" s="402">
        <f>-(Operating!LN$40-AssetMgmtFeePct*Operating!LN$23)</f>
        <v/>
      </c>
      <c r="LO34" s="402">
        <f>-(Operating!LO$40-AssetMgmtFeePct*Operating!LO$23)</f>
        <v/>
      </c>
      <c r="LP34" s="402">
        <f>-(Operating!LP$40-AssetMgmtFeePct*Operating!LP$23)</f>
        <v/>
      </c>
      <c r="LQ34" s="402">
        <f>-(Operating!LQ$40-AssetMgmtFeePct*Operating!LQ$23)</f>
        <v/>
      </c>
      <c r="LR34" s="402">
        <f>-(Operating!LR$40-AssetMgmtFeePct*Operating!LR$23)</f>
        <v/>
      </c>
      <c r="LS34" s="402">
        <f>-(Operating!LS$40-AssetMgmtFeePct*Operating!LS$23)</f>
        <v/>
      </c>
      <c r="LT34" s="402">
        <f>-(Operating!LT$40-AssetMgmtFeePct*Operating!LT$23)</f>
        <v/>
      </c>
      <c r="LU34" s="402">
        <f>-(Operating!LU$40-AssetMgmtFeePct*Operating!LU$23)</f>
        <v/>
      </c>
      <c r="LV34" s="402">
        <f>-(Operating!LV$40-AssetMgmtFeePct*Operating!LV$23)</f>
        <v/>
      </c>
      <c r="LW34" s="402">
        <f>-(Operating!LW$40-AssetMgmtFeePct*Operating!LW$23)</f>
        <v/>
      </c>
      <c r="LX34" s="402">
        <f>-(Operating!LX$40-AssetMgmtFeePct*Operating!LX$23)</f>
        <v/>
      </c>
      <c r="LY34" s="402">
        <f>-(Operating!LY$40-AssetMgmtFeePct*Operating!LY$23)</f>
        <v/>
      </c>
      <c r="LZ34" s="402">
        <f>-(Operating!LZ$40-AssetMgmtFeePct*Operating!LZ$23)</f>
        <v/>
      </c>
      <c r="MA34" s="402">
        <f>-(Operating!MA$40-AssetMgmtFeePct*Operating!MA$23)</f>
        <v/>
      </c>
      <c r="MB34" s="402">
        <f>-(Operating!MB$40-AssetMgmtFeePct*Operating!MB$23)</f>
        <v/>
      </c>
      <c r="MC34" s="402">
        <f>-(Operating!MC$40-AssetMgmtFeePct*Operating!MC$23)</f>
        <v/>
      </c>
      <c r="MD34" s="402">
        <f>-(Operating!MD$40-AssetMgmtFeePct*Operating!MD$23)</f>
        <v/>
      </c>
      <c r="ME34" s="402">
        <f>-(Operating!ME$40-AssetMgmtFeePct*Operating!ME$23)</f>
        <v/>
      </c>
      <c r="MF34" s="402">
        <f>-(Operating!MF$40-AssetMgmtFeePct*Operating!MF$23)</f>
        <v/>
      </c>
      <c r="MG34" s="402">
        <f>-(Operating!MG$40-AssetMgmtFeePct*Operating!MG$23)</f>
        <v/>
      </c>
      <c r="MH34" s="402">
        <f>-(Operating!MH$40-AssetMgmtFeePct*Operating!MH$23)</f>
        <v/>
      </c>
      <c r="MI34" s="402">
        <f>-(Operating!MI$40-AssetMgmtFeePct*Operating!MI$23)</f>
        <v/>
      </c>
      <c r="MJ34" s="402">
        <f>-(Operating!MJ$40-AssetMgmtFeePct*Operating!MJ$23)</f>
        <v/>
      </c>
      <c r="MK34" s="402">
        <f>-(Operating!MK$40-AssetMgmtFeePct*Operating!MK$23)</f>
        <v/>
      </c>
      <c r="ML34" s="402">
        <f>-(Operating!ML$40-AssetMgmtFeePct*Operating!ML$23)</f>
        <v/>
      </c>
      <c r="MM34" s="402">
        <f>-(Operating!MM$40-AssetMgmtFeePct*Operating!MM$23)</f>
        <v/>
      </c>
      <c r="MN34" s="402">
        <f>-(Operating!MN$40-AssetMgmtFeePct*Operating!MN$23)</f>
        <v/>
      </c>
      <c r="MO34" s="402">
        <f>-(Operating!MO$40-AssetMgmtFeePct*Operating!MO$23)</f>
        <v/>
      </c>
      <c r="MP34" s="402">
        <f>-(Operating!MP$40-AssetMgmtFeePct*Operating!MP$23)</f>
        <v/>
      </c>
      <c r="MQ34" s="402">
        <f>-(Operating!MQ$40-AssetMgmtFeePct*Operating!MQ$23)</f>
        <v/>
      </c>
      <c r="MR34" s="402">
        <f>-(Operating!MR$40-AssetMgmtFeePct*Operating!MR$23)</f>
        <v/>
      </c>
      <c r="MS34" s="402">
        <f>-(Operating!MS$40-AssetMgmtFeePct*Operating!MS$23)</f>
        <v/>
      </c>
      <c r="MT34" s="402">
        <f>-(Operating!MT$40-AssetMgmtFeePct*Operating!MT$23)</f>
        <v/>
      </c>
      <c r="MU34" s="402">
        <f>-(Operating!MU$40-AssetMgmtFeePct*Operating!MU$23)</f>
        <v/>
      </c>
      <c r="MV34" s="402">
        <f>-(Operating!MV$40-AssetMgmtFeePct*Operating!MV$23)</f>
        <v/>
      </c>
      <c r="MW34" s="402">
        <f>-(Operating!MW$40-AssetMgmtFeePct*Operating!MW$23)</f>
        <v/>
      </c>
      <c r="MX34" s="402">
        <f>-(Operating!MX$40-AssetMgmtFeePct*Operating!MX$23)</f>
        <v/>
      </c>
      <c r="MY34" s="402">
        <f>-(Operating!MY$40-AssetMgmtFeePct*Operating!MY$23)</f>
        <v/>
      </c>
      <c r="MZ34" s="402">
        <f>-(Operating!MZ$40-AssetMgmtFeePct*Operating!MZ$23)</f>
        <v/>
      </c>
      <c r="NA34" s="402">
        <f>-(Operating!NA$40-AssetMgmtFeePct*Operating!NA$23)</f>
        <v/>
      </c>
      <c r="NB34" s="402">
        <f>-(Operating!NB$40-AssetMgmtFeePct*Operating!NB$23)</f>
        <v/>
      </c>
      <c r="NC34" s="402">
        <f>-(Operating!NC$40-AssetMgmtFeePct*Operating!NC$23)</f>
        <v/>
      </c>
      <c r="ND34" s="402">
        <f>-(Operating!ND$40-AssetMgmtFeePct*Operating!ND$23)</f>
        <v/>
      </c>
      <c r="NE34" s="402">
        <f>-(Operating!NE$40-AssetMgmtFeePct*Operating!NE$23)</f>
        <v/>
      </c>
      <c r="NF34" s="402">
        <f>-(Operating!NF$40-AssetMgmtFeePct*Operating!NF$23)</f>
        <v/>
      </c>
      <c r="NG34" s="402">
        <f>-(Operating!NG$40-AssetMgmtFeePct*Operating!NG$23)</f>
        <v/>
      </c>
      <c r="NH34" s="402">
        <f>-(Operating!NH$40-AssetMgmtFeePct*Operating!NH$23)</f>
        <v/>
      </c>
      <c r="NI34" s="402">
        <f>-(Operating!NI$40-AssetMgmtFeePct*Operating!NI$23)</f>
        <v/>
      </c>
      <c r="NJ34" s="402">
        <f>-(Operating!NJ$40-AssetMgmtFeePct*Operating!NJ$23)</f>
        <v/>
      </c>
      <c r="NK34" s="402">
        <f>-(Operating!NK$40-AssetMgmtFeePct*Operating!NK$23)</f>
        <v/>
      </c>
      <c r="NL34" s="402">
        <f>-(Operating!NL$40-AssetMgmtFeePct*Operating!NL$23)</f>
        <v/>
      </c>
    </row>
    <row r="35">
      <c r="B35" s="330" t="inlineStr">
        <is>
          <t>Property Operating Cash Flow</t>
        </is>
      </c>
      <c r="D35" s="403">
        <f>SUM(E35:NL35)</f>
        <v/>
      </c>
      <c r="E35" s="407">
        <f>Operating!E$42</f>
        <v/>
      </c>
      <c r="F35" s="407">
        <f>Operating!F$42</f>
        <v/>
      </c>
      <c r="G35" s="407">
        <f>Operating!G$42</f>
        <v/>
      </c>
      <c r="H35" s="407">
        <f>Operating!H$42</f>
        <v/>
      </c>
      <c r="I35" s="407">
        <f>Operating!I$42</f>
        <v/>
      </c>
      <c r="J35" s="407">
        <f>Operating!J$42</f>
        <v/>
      </c>
      <c r="K35" s="407">
        <f>Operating!K$42</f>
        <v/>
      </c>
      <c r="L35" s="407">
        <f>Operating!L$42</f>
        <v/>
      </c>
      <c r="M35" s="407">
        <f>Operating!M$42</f>
        <v/>
      </c>
      <c r="N35" s="407">
        <f>Operating!N$42</f>
        <v/>
      </c>
      <c r="O35" s="407">
        <f>Operating!O$42</f>
        <v/>
      </c>
      <c r="P35" s="407">
        <f>Operating!P$42</f>
        <v/>
      </c>
      <c r="Q35" s="407">
        <f>Operating!Q$42</f>
        <v/>
      </c>
      <c r="R35" s="407">
        <f>Operating!R$42</f>
        <v/>
      </c>
      <c r="S35" s="407">
        <f>Operating!S$42</f>
        <v/>
      </c>
      <c r="T35" s="407">
        <f>Operating!T$42</f>
        <v/>
      </c>
      <c r="U35" s="407">
        <f>Operating!U$42</f>
        <v/>
      </c>
      <c r="V35" s="407">
        <f>Operating!V$42</f>
        <v/>
      </c>
      <c r="W35" s="407">
        <f>Operating!W$42</f>
        <v/>
      </c>
      <c r="X35" s="407">
        <f>Operating!X$42</f>
        <v/>
      </c>
      <c r="Y35" s="407">
        <f>Operating!Y$42</f>
        <v/>
      </c>
      <c r="Z35" s="407">
        <f>Operating!Z$42</f>
        <v/>
      </c>
      <c r="AA35" s="407">
        <f>Operating!AA$42</f>
        <v/>
      </c>
      <c r="AB35" s="407">
        <f>Operating!AB$42</f>
        <v/>
      </c>
      <c r="AC35" s="407">
        <f>Operating!AC$42</f>
        <v/>
      </c>
      <c r="AD35" s="407">
        <f>Operating!AD$42</f>
        <v/>
      </c>
      <c r="AE35" s="407">
        <f>Operating!AE$42</f>
        <v/>
      </c>
      <c r="AF35" s="407">
        <f>Operating!AF$42</f>
        <v/>
      </c>
      <c r="AG35" s="407">
        <f>Operating!AG$42</f>
        <v/>
      </c>
      <c r="AH35" s="407">
        <f>Operating!AH$42</f>
        <v/>
      </c>
      <c r="AI35" s="407">
        <f>Operating!AI$42</f>
        <v/>
      </c>
      <c r="AJ35" s="407">
        <f>Operating!AJ$42</f>
        <v/>
      </c>
      <c r="AK35" s="407">
        <f>Operating!AK$42</f>
        <v/>
      </c>
      <c r="AL35" s="407">
        <f>Operating!AL$42</f>
        <v/>
      </c>
      <c r="AM35" s="407">
        <f>Operating!AM$42</f>
        <v/>
      </c>
      <c r="AN35" s="407">
        <f>Operating!AN$42</f>
        <v/>
      </c>
      <c r="AO35" s="407">
        <f>Operating!AO$42</f>
        <v/>
      </c>
      <c r="AP35" s="407">
        <f>Operating!AP$42</f>
        <v/>
      </c>
      <c r="AQ35" s="407">
        <f>Operating!AQ$42</f>
        <v/>
      </c>
      <c r="AR35" s="407">
        <f>Operating!AR$42</f>
        <v/>
      </c>
      <c r="AS35" s="407">
        <f>Operating!AS$42</f>
        <v/>
      </c>
      <c r="AT35" s="407">
        <f>Operating!AT$42</f>
        <v/>
      </c>
      <c r="AU35" s="407">
        <f>Operating!AU$42</f>
        <v/>
      </c>
      <c r="AV35" s="407">
        <f>Operating!AV$42</f>
        <v/>
      </c>
      <c r="AW35" s="407">
        <f>Operating!AW$42</f>
        <v/>
      </c>
      <c r="AX35" s="407">
        <f>Operating!AX$42</f>
        <v/>
      </c>
      <c r="AY35" s="407">
        <f>Operating!AY$42</f>
        <v/>
      </c>
      <c r="AZ35" s="407">
        <f>Operating!AZ$42</f>
        <v/>
      </c>
      <c r="BA35" s="407">
        <f>Operating!BA$42</f>
        <v/>
      </c>
      <c r="BB35" s="407">
        <f>Operating!BB$42</f>
        <v/>
      </c>
      <c r="BC35" s="407">
        <f>Operating!BC$42</f>
        <v/>
      </c>
      <c r="BD35" s="407">
        <f>Operating!BD$42</f>
        <v/>
      </c>
      <c r="BE35" s="407">
        <f>Operating!BE$42</f>
        <v/>
      </c>
      <c r="BF35" s="407">
        <f>Operating!BF$42</f>
        <v/>
      </c>
      <c r="BG35" s="407">
        <f>Operating!BG$42</f>
        <v/>
      </c>
      <c r="BH35" s="407">
        <f>Operating!BH$42</f>
        <v/>
      </c>
      <c r="BI35" s="407">
        <f>Operating!BI$42</f>
        <v/>
      </c>
      <c r="BJ35" s="407">
        <f>Operating!BJ$42</f>
        <v/>
      </c>
      <c r="BK35" s="407">
        <f>Operating!BK$42</f>
        <v/>
      </c>
      <c r="BL35" s="407">
        <f>Operating!BL$42</f>
        <v/>
      </c>
      <c r="BM35" s="407">
        <f>Operating!BM$42</f>
        <v/>
      </c>
      <c r="BN35" s="407">
        <f>Operating!BN$42</f>
        <v/>
      </c>
      <c r="BO35" s="407">
        <f>Operating!BO$42</f>
        <v/>
      </c>
      <c r="BP35" s="407">
        <f>Operating!BP$42</f>
        <v/>
      </c>
      <c r="BQ35" s="407">
        <f>Operating!BQ$42</f>
        <v/>
      </c>
      <c r="BR35" s="407">
        <f>Operating!BR$42</f>
        <v/>
      </c>
      <c r="BS35" s="407">
        <f>Operating!BS$42</f>
        <v/>
      </c>
      <c r="BT35" s="407">
        <f>Operating!BT$42</f>
        <v/>
      </c>
      <c r="BU35" s="407">
        <f>Operating!BU$42</f>
        <v/>
      </c>
      <c r="BV35" s="407">
        <f>Operating!BV$42</f>
        <v/>
      </c>
      <c r="BW35" s="407">
        <f>Operating!BW$42</f>
        <v/>
      </c>
      <c r="BX35" s="407">
        <f>Operating!BX$42</f>
        <v/>
      </c>
      <c r="BY35" s="407">
        <f>Operating!BY$42</f>
        <v/>
      </c>
      <c r="BZ35" s="407">
        <f>Operating!BZ$42</f>
        <v/>
      </c>
      <c r="CA35" s="407">
        <f>Operating!CA$42</f>
        <v/>
      </c>
      <c r="CB35" s="407">
        <f>Operating!CB$42</f>
        <v/>
      </c>
      <c r="CC35" s="407">
        <f>Operating!CC$42</f>
        <v/>
      </c>
      <c r="CD35" s="407">
        <f>Operating!CD$42</f>
        <v/>
      </c>
      <c r="CE35" s="407">
        <f>Operating!CE$42</f>
        <v/>
      </c>
      <c r="CF35" s="407">
        <f>Operating!CF$42</f>
        <v/>
      </c>
      <c r="CG35" s="407">
        <f>Operating!CG$42</f>
        <v/>
      </c>
      <c r="CH35" s="407">
        <f>Operating!CH$42</f>
        <v/>
      </c>
      <c r="CI35" s="407">
        <f>Operating!CI$42</f>
        <v/>
      </c>
      <c r="CJ35" s="407">
        <f>Operating!CJ$42</f>
        <v/>
      </c>
      <c r="CK35" s="407">
        <f>Operating!CK$42</f>
        <v/>
      </c>
      <c r="CL35" s="407">
        <f>Operating!CL$42</f>
        <v/>
      </c>
      <c r="CM35" s="407">
        <f>Operating!CM$42</f>
        <v/>
      </c>
      <c r="CN35" s="407">
        <f>Operating!CN$42</f>
        <v/>
      </c>
      <c r="CO35" s="407">
        <f>Operating!CO$42</f>
        <v/>
      </c>
      <c r="CP35" s="407">
        <f>Operating!CP$42</f>
        <v/>
      </c>
      <c r="CQ35" s="407">
        <f>Operating!CQ$42</f>
        <v/>
      </c>
      <c r="CR35" s="407">
        <f>Operating!CR$42</f>
        <v/>
      </c>
      <c r="CS35" s="407">
        <f>Operating!CS$42</f>
        <v/>
      </c>
      <c r="CT35" s="407">
        <f>Operating!CT$42</f>
        <v/>
      </c>
      <c r="CU35" s="407">
        <f>Operating!CU$42</f>
        <v/>
      </c>
      <c r="CV35" s="407">
        <f>Operating!CV$42</f>
        <v/>
      </c>
      <c r="CW35" s="407">
        <f>Operating!CW$42</f>
        <v/>
      </c>
      <c r="CX35" s="407">
        <f>Operating!CX$42</f>
        <v/>
      </c>
      <c r="CY35" s="407">
        <f>Operating!CY$42</f>
        <v/>
      </c>
      <c r="CZ35" s="407">
        <f>Operating!CZ$42</f>
        <v/>
      </c>
      <c r="DA35" s="407">
        <f>Operating!DA$42</f>
        <v/>
      </c>
      <c r="DB35" s="407">
        <f>Operating!DB$42</f>
        <v/>
      </c>
      <c r="DC35" s="407">
        <f>Operating!DC$42</f>
        <v/>
      </c>
      <c r="DD35" s="407">
        <f>Operating!DD$42</f>
        <v/>
      </c>
      <c r="DE35" s="407">
        <f>Operating!DE$42</f>
        <v/>
      </c>
      <c r="DF35" s="407">
        <f>Operating!DF$42</f>
        <v/>
      </c>
      <c r="DG35" s="407">
        <f>Operating!DG$42</f>
        <v/>
      </c>
      <c r="DH35" s="407">
        <f>Operating!DH$42</f>
        <v/>
      </c>
      <c r="DI35" s="407">
        <f>Operating!DI$42</f>
        <v/>
      </c>
      <c r="DJ35" s="407">
        <f>Operating!DJ$42</f>
        <v/>
      </c>
      <c r="DK35" s="407">
        <f>Operating!DK$42</f>
        <v/>
      </c>
      <c r="DL35" s="407">
        <f>Operating!DL$42</f>
        <v/>
      </c>
      <c r="DM35" s="407">
        <f>Operating!DM$42</f>
        <v/>
      </c>
      <c r="DN35" s="407">
        <f>Operating!DN$42</f>
        <v/>
      </c>
      <c r="DO35" s="407">
        <f>Operating!DO$42</f>
        <v/>
      </c>
      <c r="DP35" s="407">
        <f>Operating!DP$42</f>
        <v/>
      </c>
      <c r="DQ35" s="407">
        <f>Operating!DQ$42</f>
        <v/>
      </c>
      <c r="DR35" s="407">
        <f>Operating!DR$42</f>
        <v/>
      </c>
      <c r="DS35" s="407">
        <f>Operating!DS$42</f>
        <v/>
      </c>
      <c r="DT35" s="407">
        <f>Operating!DT$42</f>
        <v/>
      </c>
      <c r="DU35" s="407">
        <f>Operating!DU$42</f>
        <v/>
      </c>
      <c r="DV35" s="407">
        <f>Operating!DV$42</f>
        <v/>
      </c>
      <c r="DW35" s="407">
        <f>Operating!DW$42</f>
        <v/>
      </c>
      <c r="DX35" s="407">
        <f>Operating!DX$42</f>
        <v/>
      </c>
      <c r="DY35" s="407">
        <f>Operating!DY$42</f>
        <v/>
      </c>
      <c r="DZ35" s="407">
        <f>Operating!DZ$42</f>
        <v/>
      </c>
      <c r="EA35" s="407">
        <f>Operating!EA$42</f>
        <v/>
      </c>
      <c r="EB35" s="407">
        <f>Operating!EB$42</f>
        <v/>
      </c>
      <c r="EC35" s="407">
        <f>Operating!EC$42</f>
        <v/>
      </c>
      <c r="ED35" s="407">
        <f>Operating!ED$42</f>
        <v/>
      </c>
      <c r="EE35" s="407">
        <f>Operating!EE$42</f>
        <v/>
      </c>
      <c r="EF35" s="407">
        <f>Operating!EF$42</f>
        <v/>
      </c>
      <c r="EG35" s="407">
        <f>Operating!EG$42</f>
        <v/>
      </c>
      <c r="EH35" s="407">
        <f>Operating!EH$42</f>
        <v/>
      </c>
      <c r="EI35" s="407">
        <f>Operating!EI$42</f>
        <v/>
      </c>
      <c r="EJ35" s="407">
        <f>Operating!EJ$42</f>
        <v/>
      </c>
      <c r="EK35" s="407">
        <f>Operating!EK$42</f>
        <v/>
      </c>
      <c r="EL35" s="407">
        <f>Operating!EL$42</f>
        <v/>
      </c>
      <c r="EM35" s="407">
        <f>Operating!EM$42</f>
        <v/>
      </c>
      <c r="EN35" s="407">
        <f>Operating!EN$42</f>
        <v/>
      </c>
      <c r="EO35" s="407">
        <f>Operating!EO$42</f>
        <v/>
      </c>
      <c r="EP35" s="407">
        <f>Operating!EP$42</f>
        <v/>
      </c>
      <c r="EQ35" s="407">
        <f>Operating!EQ$42</f>
        <v/>
      </c>
      <c r="ER35" s="407">
        <f>Operating!ER$42</f>
        <v/>
      </c>
      <c r="ES35" s="407">
        <f>Operating!ES$42</f>
        <v/>
      </c>
      <c r="ET35" s="407">
        <f>Operating!ET$42</f>
        <v/>
      </c>
      <c r="EU35" s="407">
        <f>Operating!EU$42</f>
        <v/>
      </c>
      <c r="EV35" s="407">
        <f>Operating!EV$42</f>
        <v/>
      </c>
      <c r="EW35" s="407">
        <f>Operating!EW$42</f>
        <v/>
      </c>
      <c r="EX35" s="407">
        <f>Operating!EX$42</f>
        <v/>
      </c>
      <c r="EY35" s="407">
        <f>Operating!EY$42</f>
        <v/>
      </c>
      <c r="EZ35" s="407">
        <f>Operating!EZ$42</f>
        <v/>
      </c>
      <c r="FA35" s="407">
        <f>Operating!FA$42</f>
        <v/>
      </c>
      <c r="FB35" s="407">
        <f>Operating!FB$42</f>
        <v/>
      </c>
      <c r="FC35" s="407">
        <f>Operating!FC$42</f>
        <v/>
      </c>
      <c r="FD35" s="407">
        <f>Operating!FD$42</f>
        <v/>
      </c>
      <c r="FE35" s="407">
        <f>Operating!FE$42</f>
        <v/>
      </c>
      <c r="FF35" s="407">
        <f>Operating!FF$42</f>
        <v/>
      </c>
      <c r="FG35" s="407">
        <f>Operating!FG$42</f>
        <v/>
      </c>
      <c r="FH35" s="407">
        <f>Operating!FH$42</f>
        <v/>
      </c>
      <c r="FI35" s="407">
        <f>Operating!FI$42</f>
        <v/>
      </c>
      <c r="FJ35" s="407">
        <f>Operating!FJ$42</f>
        <v/>
      </c>
      <c r="FK35" s="407">
        <f>Operating!FK$42</f>
        <v/>
      </c>
      <c r="FL35" s="407">
        <f>Operating!FL$42</f>
        <v/>
      </c>
      <c r="FM35" s="407">
        <f>Operating!FM$42</f>
        <v/>
      </c>
      <c r="FN35" s="407">
        <f>Operating!FN$42</f>
        <v/>
      </c>
      <c r="FO35" s="407">
        <f>Operating!FO$42</f>
        <v/>
      </c>
      <c r="FP35" s="407">
        <f>Operating!FP$42</f>
        <v/>
      </c>
      <c r="FQ35" s="407">
        <f>Operating!FQ$42</f>
        <v/>
      </c>
      <c r="FR35" s="407">
        <f>Operating!FR$42</f>
        <v/>
      </c>
      <c r="FS35" s="407">
        <f>Operating!FS$42</f>
        <v/>
      </c>
      <c r="FT35" s="407">
        <f>Operating!FT$42</f>
        <v/>
      </c>
      <c r="FU35" s="407">
        <f>Operating!FU$42</f>
        <v/>
      </c>
      <c r="FV35" s="407">
        <f>Operating!FV$42</f>
        <v/>
      </c>
      <c r="FW35" s="407">
        <f>Operating!FW$42</f>
        <v/>
      </c>
      <c r="FX35" s="407">
        <f>Operating!FX$42</f>
        <v/>
      </c>
      <c r="FY35" s="407">
        <f>Operating!FY$42</f>
        <v/>
      </c>
      <c r="FZ35" s="407">
        <f>Operating!FZ$42</f>
        <v/>
      </c>
      <c r="GA35" s="407">
        <f>Operating!GA$42</f>
        <v/>
      </c>
      <c r="GB35" s="407">
        <f>Operating!GB$42</f>
        <v/>
      </c>
      <c r="GC35" s="407">
        <f>Operating!GC$42</f>
        <v/>
      </c>
      <c r="GD35" s="407">
        <f>Operating!GD$42</f>
        <v/>
      </c>
      <c r="GE35" s="407">
        <f>Operating!GE$42</f>
        <v/>
      </c>
      <c r="GF35" s="407">
        <f>Operating!GF$42</f>
        <v/>
      </c>
      <c r="GG35" s="407">
        <f>Operating!GG$42</f>
        <v/>
      </c>
      <c r="GH35" s="407">
        <f>Operating!GH$42</f>
        <v/>
      </c>
      <c r="GI35" s="407">
        <f>Operating!GI$42</f>
        <v/>
      </c>
      <c r="GJ35" s="407">
        <f>Operating!GJ$42</f>
        <v/>
      </c>
      <c r="GK35" s="407">
        <f>Operating!GK$42</f>
        <v/>
      </c>
      <c r="GL35" s="407">
        <f>Operating!GL$42</f>
        <v/>
      </c>
      <c r="GM35" s="407">
        <f>Operating!GM$42</f>
        <v/>
      </c>
      <c r="GN35" s="407">
        <f>Operating!GN$42</f>
        <v/>
      </c>
      <c r="GO35" s="407">
        <f>Operating!GO$42</f>
        <v/>
      </c>
      <c r="GP35" s="407">
        <f>Operating!GP$42</f>
        <v/>
      </c>
      <c r="GQ35" s="407">
        <f>Operating!GQ$42</f>
        <v/>
      </c>
      <c r="GR35" s="407">
        <f>Operating!GR$42</f>
        <v/>
      </c>
      <c r="GS35" s="407">
        <f>Operating!GS$42</f>
        <v/>
      </c>
      <c r="GT35" s="407">
        <f>Operating!GT$42</f>
        <v/>
      </c>
      <c r="GU35" s="407">
        <f>Operating!GU$42</f>
        <v/>
      </c>
      <c r="GV35" s="407">
        <f>Operating!GV$42</f>
        <v/>
      </c>
      <c r="GW35" s="407">
        <f>Operating!GW$42</f>
        <v/>
      </c>
      <c r="GX35" s="407">
        <f>Operating!GX$42</f>
        <v/>
      </c>
      <c r="GY35" s="407">
        <f>Operating!GY$42</f>
        <v/>
      </c>
      <c r="GZ35" s="407">
        <f>Operating!GZ$42</f>
        <v/>
      </c>
      <c r="HA35" s="407">
        <f>Operating!HA$42</f>
        <v/>
      </c>
      <c r="HB35" s="407">
        <f>Operating!HB$42</f>
        <v/>
      </c>
      <c r="HC35" s="407">
        <f>Operating!HC$42</f>
        <v/>
      </c>
      <c r="HD35" s="407">
        <f>Operating!HD$42</f>
        <v/>
      </c>
      <c r="HE35" s="407">
        <f>Operating!HE$42</f>
        <v/>
      </c>
      <c r="HF35" s="407">
        <f>Operating!HF$42</f>
        <v/>
      </c>
      <c r="HG35" s="407">
        <f>Operating!HG$42</f>
        <v/>
      </c>
      <c r="HH35" s="407">
        <f>Operating!HH$42</f>
        <v/>
      </c>
      <c r="HI35" s="407">
        <f>Operating!HI$42</f>
        <v/>
      </c>
      <c r="HJ35" s="407">
        <f>Operating!HJ$42</f>
        <v/>
      </c>
      <c r="HK35" s="407">
        <f>Operating!HK$42</f>
        <v/>
      </c>
      <c r="HL35" s="407">
        <f>Operating!HL$42</f>
        <v/>
      </c>
      <c r="HM35" s="407">
        <f>Operating!HM$42</f>
        <v/>
      </c>
      <c r="HN35" s="407">
        <f>Operating!HN$42</f>
        <v/>
      </c>
      <c r="HO35" s="407">
        <f>Operating!HO$42</f>
        <v/>
      </c>
      <c r="HP35" s="407">
        <f>Operating!HP$42</f>
        <v/>
      </c>
      <c r="HQ35" s="407">
        <f>Operating!HQ$42</f>
        <v/>
      </c>
      <c r="HR35" s="407">
        <f>Operating!HR$42</f>
        <v/>
      </c>
      <c r="HS35" s="407">
        <f>Operating!HS$42</f>
        <v/>
      </c>
      <c r="HT35" s="407">
        <f>Operating!HT$42</f>
        <v/>
      </c>
      <c r="HU35" s="407">
        <f>Operating!HU$42</f>
        <v/>
      </c>
      <c r="HV35" s="407">
        <f>Operating!HV$42</f>
        <v/>
      </c>
      <c r="HW35" s="407">
        <f>Operating!HW$42</f>
        <v/>
      </c>
      <c r="HX35" s="407">
        <f>Operating!HX$42</f>
        <v/>
      </c>
      <c r="HY35" s="407">
        <f>Operating!HY$42</f>
        <v/>
      </c>
      <c r="HZ35" s="407">
        <f>Operating!HZ$42</f>
        <v/>
      </c>
      <c r="IA35" s="407">
        <f>Operating!IA$42</f>
        <v/>
      </c>
      <c r="IB35" s="407">
        <f>Operating!IB$42</f>
        <v/>
      </c>
      <c r="IC35" s="407">
        <f>Operating!IC$42</f>
        <v/>
      </c>
      <c r="ID35" s="407">
        <f>Operating!ID$42</f>
        <v/>
      </c>
      <c r="IE35" s="407">
        <f>Operating!IE$42</f>
        <v/>
      </c>
      <c r="IF35" s="407">
        <f>Operating!IF$42</f>
        <v/>
      </c>
      <c r="IG35" s="407">
        <f>Operating!IG$42</f>
        <v/>
      </c>
      <c r="IH35" s="407">
        <f>Operating!IH$42</f>
        <v/>
      </c>
      <c r="II35" s="407">
        <f>Operating!II$42</f>
        <v/>
      </c>
      <c r="IJ35" s="407">
        <f>Operating!IJ$42</f>
        <v/>
      </c>
      <c r="IK35" s="407">
        <f>Operating!IK$42</f>
        <v/>
      </c>
      <c r="IL35" s="407">
        <f>Operating!IL$42</f>
        <v/>
      </c>
      <c r="IM35" s="407">
        <f>Operating!IM$42</f>
        <v/>
      </c>
      <c r="IN35" s="407">
        <f>Operating!IN$42</f>
        <v/>
      </c>
      <c r="IO35" s="407">
        <f>Operating!IO$42</f>
        <v/>
      </c>
      <c r="IP35" s="407">
        <f>Operating!IP$42</f>
        <v/>
      </c>
      <c r="IQ35" s="407">
        <f>Operating!IQ$42</f>
        <v/>
      </c>
      <c r="IR35" s="407">
        <f>Operating!IR$42</f>
        <v/>
      </c>
      <c r="IS35" s="407">
        <f>Operating!IS$42</f>
        <v/>
      </c>
      <c r="IT35" s="407">
        <f>Operating!IT$42</f>
        <v/>
      </c>
      <c r="IU35" s="407">
        <f>Operating!IU$42</f>
        <v/>
      </c>
      <c r="IV35" s="407">
        <f>Operating!IV$42</f>
        <v/>
      </c>
      <c r="IW35" s="407">
        <f>Operating!IW$42</f>
        <v/>
      </c>
      <c r="IX35" s="407">
        <f>Operating!IX$42</f>
        <v/>
      </c>
      <c r="IY35" s="407">
        <f>Operating!IY$42</f>
        <v/>
      </c>
      <c r="IZ35" s="407">
        <f>Operating!IZ$42</f>
        <v/>
      </c>
      <c r="JA35" s="407">
        <f>Operating!JA$42</f>
        <v/>
      </c>
      <c r="JB35" s="407">
        <f>Operating!JB$42</f>
        <v/>
      </c>
      <c r="JC35" s="407">
        <f>Operating!JC$42</f>
        <v/>
      </c>
      <c r="JD35" s="407">
        <f>Operating!JD$42</f>
        <v/>
      </c>
      <c r="JE35" s="407">
        <f>Operating!JE$42</f>
        <v/>
      </c>
      <c r="JF35" s="407">
        <f>Operating!JF$42</f>
        <v/>
      </c>
      <c r="JG35" s="407">
        <f>Operating!JG$42</f>
        <v/>
      </c>
      <c r="JH35" s="407">
        <f>Operating!JH$42</f>
        <v/>
      </c>
      <c r="JI35" s="407">
        <f>Operating!JI$42</f>
        <v/>
      </c>
      <c r="JJ35" s="407">
        <f>Operating!JJ$42</f>
        <v/>
      </c>
      <c r="JK35" s="407">
        <f>Operating!JK$42</f>
        <v/>
      </c>
      <c r="JL35" s="407">
        <f>Operating!JL$42</f>
        <v/>
      </c>
      <c r="JM35" s="407">
        <f>Operating!JM$42</f>
        <v/>
      </c>
      <c r="JN35" s="407">
        <f>Operating!JN$42</f>
        <v/>
      </c>
      <c r="JO35" s="407">
        <f>Operating!JO$42</f>
        <v/>
      </c>
      <c r="JP35" s="407">
        <f>Operating!JP$42</f>
        <v/>
      </c>
      <c r="JQ35" s="407">
        <f>Operating!JQ$42</f>
        <v/>
      </c>
      <c r="JR35" s="407">
        <f>Operating!JR$42</f>
        <v/>
      </c>
      <c r="JS35" s="407">
        <f>Operating!JS$42</f>
        <v/>
      </c>
      <c r="JT35" s="407">
        <f>Operating!JT$42</f>
        <v/>
      </c>
      <c r="JU35" s="407">
        <f>Operating!JU$42</f>
        <v/>
      </c>
      <c r="JV35" s="407">
        <f>Operating!JV$42</f>
        <v/>
      </c>
      <c r="JW35" s="407">
        <f>Operating!JW$42</f>
        <v/>
      </c>
      <c r="JX35" s="407">
        <f>Operating!JX$42</f>
        <v/>
      </c>
      <c r="JY35" s="407">
        <f>Operating!JY$42</f>
        <v/>
      </c>
      <c r="JZ35" s="407">
        <f>Operating!JZ$42</f>
        <v/>
      </c>
      <c r="KA35" s="407">
        <f>Operating!KA$42</f>
        <v/>
      </c>
      <c r="KB35" s="407">
        <f>Operating!KB$42</f>
        <v/>
      </c>
      <c r="KC35" s="407">
        <f>Operating!KC$42</f>
        <v/>
      </c>
      <c r="KD35" s="407">
        <f>Operating!KD$42</f>
        <v/>
      </c>
      <c r="KE35" s="407">
        <f>Operating!KE$42</f>
        <v/>
      </c>
      <c r="KF35" s="407">
        <f>Operating!KF$42</f>
        <v/>
      </c>
      <c r="KG35" s="407">
        <f>Operating!KG$42</f>
        <v/>
      </c>
      <c r="KH35" s="407">
        <f>Operating!KH$42</f>
        <v/>
      </c>
      <c r="KI35" s="407">
        <f>Operating!KI$42</f>
        <v/>
      </c>
      <c r="KJ35" s="407">
        <f>Operating!KJ$42</f>
        <v/>
      </c>
      <c r="KK35" s="407">
        <f>Operating!KK$42</f>
        <v/>
      </c>
      <c r="KL35" s="407">
        <f>Operating!KL$42</f>
        <v/>
      </c>
      <c r="KM35" s="407">
        <f>Operating!KM$42</f>
        <v/>
      </c>
      <c r="KN35" s="407">
        <f>Operating!KN$42</f>
        <v/>
      </c>
      <c r="KO35" s="407">
        <f>Operating!KO$42</f>
        <v/>
      </c>
      <c r="KP35" s="407">
        <f>Operating!KP$42</f>
        <v/>
      </c>
      <c r="KQ35" s="407">
        <f>Operating!KQ$42</f>
        <v/>
      </c>
      <c r="KR35" s="407">
        <f>Operating!KR$42</f>
        <v/>
      </c>
      <c r="KS35" s="407">
        <f>Operating!KS$42</f>
        <v/>
      </c>
      <c r="KT35" s="407">
        <f>Operating!KT$42</f>
        <v/>
      </c>
      <c r="KU35" s="407">
        <f>Operating!KU$42</f>
        <v/>
      </c>
      <c r="KV35" s="407">
        <f>Operating!KV$42</f>
        <v/>
      </c>
      <c r="KW35" s="407">
        <f>Operating!KW$42</f>
        <v/>
      </c>
      <c r="KX35" s="407">
        <f>Operating!KX$42</f>
        <v/>
      </c>
      <c r="KY35" s="407">
        <f>Operating!KY$42</f>
        <v/>
      </c>
      <c r="KZ35" s="407">
        <f>Operating!KZ$42</f>
        <v/>
      </c>
      <c r="LA35" s="407">
        <f>Operating!LA$42</f>
        <v/>
      </c>
      <c r="LB35" s="407">
        <f>Operating!LB$42</f>
        <v/>
      </c>
      <c r="LC35" s="407">
        <f>Operating!LC$42</f>
        <v/>
      </c>
      <c r="LD35" s="407">
        <f>Operating!LD$42</f>
        <v/>
      </c>
      <c r="LE35" s="407">
        <f>Operating!LE$42</f>
        <v/>
      </c>
      <c r="LF35" s="407">
        <f>Operating!LF$42</f>
        <v/>
      </c>
      <c r="LG35" s="407">
        <f>Operating!LG$42</f>
        <v/>
      </c>
      <c r="LH35" s="407">
        <f>Operating!LH$42</f>
        <v/>
      </c>
      <c r="LI35" s="407">
        <f>Operating!LI$42</f>
        <v/>
      </c>
      <c r="LJ35" s="407">
        <f>Operating!LJ$42</f>
        <v/>
      </c>
      <c r="LK35" s="407">
        <f>Operating!LK$42</f>
        <v/>
      </c>
      <c r="LL35" s="407">
        <f>Operating!LL$42</f>
        <v/>
      </c>
      <c r="LM35" s="407">
        <f>Operating!LM$42</f>
        <v/>
      </c>
      <c r="LN35" s="407">
        <f>Operating!LN$42</f>
        <v/>
      </c>
      <c r="LO35" s="407">
        <f>Operating!LO$42</f>
        <v/>
      </c>
      <c r="LP35" s="407">
        <f>Operating!LP$42</f>
        <v/>
      </c>
      <c r="LQ35" s="407">
        <f>Operating!LQ$42</f>
        <v/>
      </c>
      <c r="LR35" s="407">
        <f>Operating!LR$42</f>
        <v/>
      </c>
      <c r="LS35" s="407">
        <f>Operating!LS$42</f>
        <v/>
      </c>
      <c r="LT35" s="407">
        <f>Operating!LT$42</f>
        <v/>
      </c>
      <c r="LU35" s="407">
        <f>Operating!LU$42</f>
        <v/>
      </c>
      <c r="LV35" s="407">
        <f>Operating!LV$42</f>
        <v/>
      </c>
      <c r="LW35" s="407">
        <f>Operating!LW$42</f>
        <v/>
      </c>
      <c r="LX35" s="407">
        <f>Operating!LX$42</f>
        <v/>
      </c>
      <c r="LY35" s="407">
        <f>Operating!LY$42</f>
        <v/>
      </c>
      <c r="LZ35" s="407">
        <f>Operating!LZ$42</f>
        <v/>
      </c>
      <c r="MA35" s="407">
        <f>Operating!MA$42</f>
        <v/>
      </c>
      <c r="MB35" s="407">
        <f>Operating!MB$42</f>
        <v/>
      </c>
      <c r="MC35" s="407">
        <f>Operating!MC$42</f>
        <v/>
      </c>
      <c r="MD35" s="407">
        <f>Operating!MD$42</f>
        <v/>
      </c>
      <c r="ME35" s="407">
        <f>Operating!ME$42</f>
        <v/>
      </c>
      <c r="MF35" s="407">
        <f>Operating!MF$42</f>
        <v/>
      </c>
      <c r="MG35" s="407">
        <f>Operating!MG$42</f>
        <v/>
      </c>
      <c r="MH35" s="407">
        <f>Operating!MH$42</f>
        <v/>
      </c>
      <c r="MI35" s="407">
        <f>Operating!MI$42</f>
        <v/>
      </c>
      <c r="MJ35" s="407">
        <f>Operating!MJ$42</f>
        <v/>
      </c>
      <c r="MK35" s="407">
        <f>Operating!MK$42</f>
        <v/>
      </c>
      <c r="ML35" s="407">
        <f>Operating!ML$42</f>
        <v/>
      </c>
      <c r="MM35" s="407">
        <f>Operating!MM$42</f>
        <v/>
      </c>
      <c r="MN35" s="407">
        <f>Operating!MN$42</f>
        <v/>
      </c>
      <c r="MO35" s="407">
        <f>Operating!MO$42</f>
        <v/>
      </c>
      <c r="MP35" s="407">
        <f>Operating!MP$42</f>
        <v/>
      </c>
      <c r="MQ35" s="407">
        <f>Operating!MQ$42</f>
        <v/>
      </c>
      <c r="MR35" s="407">
        <f>Operating!MR$42</f>
        <v/>
      </c>
      <c r="MS35" s="407">
        <f>Operating!MS$42</f>
        <v/>
      </c>
      <c r="MT35" s="407">
        <f>Operating!MT$42</f>
        <v/>
      </c>
      <c r="MU35" s="407">
        <f>Operating!MU$42</f>
        <v/>
      </c>
      <c r="MV35" s="407">
        <f>Operating!MV$42</f>
        <v/>
      </c>
      <c r="MW35" s="407">
        <f>Operating!MW$42</f>
        <v/>
      </c>
      <c r="MX35" s="407">
        <f>Operating!MX$42</f>
        <v/>
      </c>
      <c r="MY35" s="407">
        <f>Operating!MY$42</f>
        <v/>
      </c>
      <c r="MZ35" s="407">
        <f>Operating!MZ$42</f>
        <v/>
      </c>
      <c r="NA35" s="407">
        <f>Operating!NA$42</f>
        <v/>
      </c>
      <c r="NB35" s="407">
        <f>Operating!NB$42</f>
        <v/>
      </c>
      <c r="NC35" s="407">
        <f>Operating!NC$42</f>
        <v/>
      </c>
      <c r="ND35" s="407">
        <f>Operating!ND$42</f>
        <v/>
      </c>
      <c r="NE35" s="407">
        <f>Operating!NE$42</f>
        <v/>
      </c>
      <c r="NF35" s="407">
        <f>Operating!NF$42</f>
        <v/>
      </c>
      <c r="NG35" s="407">
        <f>Operating!NG$42</f>
        <v/>
      </c>
      <c r="NH35" s="407">
        <f>Operating!NH$42</f>
        <v/>
      </c>
      <c r="NI35" s="407">
        <f>Operating!NI$42</f>
        <v/>
      </c>
      <c r="NJ35" s="407">
        <f>Operating!NJ$42</f>
        <v/>
      </c>
      <c r="NK35" s="407">
        <f>Operating!NK$42</f>
        <v/>
      </c>
      <c r="NL35" s="407">
        <f>Operating!NL$42</f>
        <v/>
      </c>
    </row>
    <row r="36">
      <c r="B36" s="384" t="inlineStr">
        <is>
          <t>Project Cash Flow</t>
        </is>
      </c>
      <c r="D36" s="401" t="inlineStr"/>
      <c r="E36" s="155" t="n"/>
      <c r="F36" s="155" t="n"/>
      <c r="G36" s="155" t="n"/>
      <c r="H36" s="155" t="n"/>
      <c r="I36" s="155" t="n"/>
      <c r="J36" s="155" t="n"/>
      <c r="K36" s="155" t="n"/>
      <c r="L36" s="155" t="n"/>
      <c r="M36" s="155" t="n"/>
      <c r="N36" s="155" t="n"/>
      <c r="O36" s="155" t="n"/>
      <c r="P36" s="155" t="n"/>
      <c r="Q36" s="155" t="n"/>
      <c r="R36" s="155" t="n"/>
      <c r="S36" s="155" t="n"/>
      <c r="T36" s="155" t="n"/>
      <c r="U36" s="155" t="n"/>
      <c r="V36" s="155" t="n"/>
      <c r="W36" s="155" t="n"/>
      <c r="X36" s="155" t="n"/>
      <c r="Y36" s="155" t="n"/>
      <c r="Z36" s="155" t="n"/>
      <c r="AA36" s="155" t="n"/>
      <c r="AB36" s="155" t="n"/>
      <c r="AC36" s="155" t="n"/>
      <c r="AD36" s="155" t="n"/>
      <c r="AE36" s="155" t="n"/>
      <c r="AF36" s="155" t="n"/>
      <c r="AG36" s="155" t="n"/>
      <c r="AH36" s="155" t="n"/>
      <c r="AI36" s="155" t="n"/>
      <c r="AJ36" s="155" t="n"/>
      <c r="AK36" s="155" t="n"/>
      <c r="AL36" s="155" t="n"/>
      <c r="AM36" s="155" t="n"/>
      <c r="AN36" s="155" t="n"/>
      <c r="AO36" s="155" t="n"/>
      <c r="AP36" s="155" t="n"/>
      <c r="AQ36" s="155" t="n"/>
      <c r="AR36" s="155" t="n"/>
      <c r="AS36" s="155" t="n"/>
      <c r="AT36" s="155" t="n"/>
      <c r="AU36" s="155" t="n"/>
      <c r="AV36" s="155" t="n"/>
      <c r="AW36" s="155" t="n"/>
      <c r="AX36" s="155" t="n"/>
      <c r="AY36" s="155" t="n"/>
      <c r="AZ36" s="155" t="n"/>
      <c r="BA36" s="155" t="n"/>
      <c r="BB36" s="155" t="n"/>
      <c r="BC36" s="155" t="n"/>
      <c r="BD36" s="155" t="n"/>
      <c r="BE36" s="155" t="n"/>
      <c r="BF36" s="155" t="n"/>
      <c r="BG36" s="155" t="n"/>
      <c r="BH36" s="155" t="n"/>
      <c r="BI36" s="155" t="n"/>
      <c r="BJ36" s="155" t="n"/>
      <c r="BK36" s="155" t="n"/>
      <c r="BL36" s="155" t="n"/>
      <c r="BM36" s="155" t="n"/>
      <c r="BN36" s="155" t="n"/>
      <c r="BO36" s="155" t="n"/>
      <c r="BP36" s="155" t="n"/>
      <c r="BQ36" s="155" t="n"/>
      <c r="BR36" s="155" t="n"/>
      <c r="BS36" s="155" t="n"/>
      <c r="BT36" s="155" t="n"/>
      <c r="BU36" s="155" t="n"/>
      <c r="BV36" s="155" t="n"/>
      <c r="BW36" s="155" t="n"/>
      <c r="BX36" s="155" t="n"/>
      <c r="BY36" s="155" t="n"/>
      <c r="BZ36" s="155" t="n"/>
      <c r="CA36" s="155" t="n"/>
      <c r="CB36" s="155" t="n"/>
      <c r="CC36" s="155" t="n"/>
      <c r="CD36" s="155" t="n"/>
      <c r="CE36" s="155" t="n"/>
      <c r="CF36" s="155" t="n"/>
      <c r="CG36" s="155" t="n"/>
      <c r="CH36" s="155" t="n"/>
      <c r="CI36" s="155" t="n"/>
      <c r="CJ36" s="155" t="n"/>
      <c r="CK36" s="155" t="n"/>
      <c r="CL36" s="155" t="n"/>
      <c r="CM36" s="155" t="n"/>
      <c r="CN36" s="155" t="n"/>
      <c r="CO36" s="155" t="n"/>
      <c r="CP36" s="155" t="n"/>
      <c r="CQ36" s="155" t="n"/>
      <c r="CR36" s="155" t="n"/>
      <c r="CS36" s="155" t="n"/>
      <c r="CT36" s="155" t="n"/>
      <c r="CU36" s="155" t="n"/>
      <c r="CV36" s="155" t="n"/>
      <c r="CW36" s="155" t="n"/>
      <c r="CX36" s="155" t="n"/>
      <c r="CY36" s="155" t="n"/>
      <c r="CZ36" s="155" t="n"/>
      <c r="DA36" s="155" t="n"/>
      <c r="DB36" s="155" t="n"/>
      <c r="DC36" s="155" t="n"/>
      <c r="DD36" s="155" t="n"/>
      <c r="DE36" s="155" t="n"/>
      <c r="DF36" s="155" t="n"/>
      <c r="DG36" s="155" t="n"/>
      <c r="DH36" s="155" t="n"/>
      <c r="DI36" s="155" t="n"/>
      <c r="DJ36" s="155" t="n"/>
      <c r="DK36" s="155" t="n"/>
      <c r="DL36" s="155" t="n"/>
      <c r="DM36" s="155" t="n"/>
      <c r="DN36" s="155" t="n"/>
      <c r="DO36" s="155" t="n"/>
      <c r="DP36" s="155" t="n"/>
      <c r="DQ36" s="155" t="n"/>
      <c r="DR36" s="155" t="n"/>
      <c r="DS36" s="155" t="n"/>
      <c r="DT36" s="155" t="n"/>
      <c r="DU36" s="155" t="n"/>
      <c r="DV36" s="155" t="n"/>
      <c r="DW36" s="155" t="n"/>
      <c r="DX36" s="155" t="n"/>
      <c r="DY36" s="155" t="n"/>
      <c r="DZ36" s="155" t="n"/>
      <c r="EA36" s="155" t="n"/>
      <c r="EB36" s="155" t="n"/>
      <c r="EC36" s="155" t="n"/>
      <c r="ED36" s="155" t="n"/>
      <c r="EE36" s="155" t="n"/>
      <c r="EF36" s="155" t="n"/>
      <c r="EG36" s="155" t="n"/>
      <c r="EH36" s="155" t="n"/>
      <c r="EI36" s="155" t="n"/>
      <c r="EJ36" s="155" t="n"/>
      <c r="EK36" s="155" t="n"/>
      <c r="EL36" s="155" t="n"/>
      <c r="EM36" s="155" t="n"/>
      <c r="EN36" s="155" t="n"/>
      <c r="EO36" s="155" t="n"/>
      <c r="EP36" s="155" t="n"/>
      <c r="EQ36" s="155" t="n"/>
      <c r="ER36" s="155" t="n"/>
      <c r="ES36" s="155" t="n"/>
      <c r="ET36" s="155" t="n"/>
      <c r="EU36" s="155" t="n"/>
      <c r="EV36" s="155" t="n"/>
      <c r="EW36" s="155" t="n"/>
      <c r="EX36" s="155" t="n"/>
      <c r="EY36" s="155" t="n"/>
      <c r="EZ36" s="155" t="n"/>
      <c r="FA36" s="155" t="n"/>
      <c r="FB36" s="155" t="n"/>
      <c r="FC36" s="155" t="n"/>
      <c r="FD36" s="155" t="n"/>
      <c r="FE36" s="155" t="n"/>
      <c r="FF36" s="155" t="n"/>
      <c r="FG36" s="155" t="n"/>
      <c r="FH36" s="155" t="n"/>
      <c r="FI36" s="155" t="n"/>
      <c r="FJ36" s="155" t="n"/>
      <c r="FK36" s="155" t="n"/>
      <c r="FL36" s="155" t="n"/>
      <c r="FM36" s="155" t="n"/>
      <c r="FN36" s="155" t="n"/>
      <c r="FO36" s="155" t="n"/>
      <c r="FP36" s="155" t="n"/>
      <c r="FQ36" s="155" t="n"/>
      <c r="FR36" s="155" t="n"/>
      <c r="FS36" s="155" t="n"/>
      <c r="FT36" s="155" t="n"/>
      <c r="FU36" s="155" t="n"/>
      <c r="FV36" s="155" t="n"/>
      <c r="FW36" s="155" t="n"/>
      <c r="FX36" s="155" t="n"/>
      <c r="FY36" s="155" t="n"/>
      <c r="FZ36" s="155" t="n"/>
      <c r="GA36" s="155" t="n"/>
      <c r="GB36" s="155" t="n"/>
      <c r="GC36" s="155" t="n"/>
      <c r="GD36" s="155" t="n"/>
      <c r="GE36" s="155" t="n"/>
      <c r="GF36" s="155" t="n"/>
      <c r="GG36" s="155" t="n"/>
      <c r="GH36" s="155" t="n"/>
      <c r="GI36" s="155" t="n"/>
      <c r="GJ36" s="155" t="n"/>
      <c r="GK36" s="155" t="n"/>
      <c r="GL36" s="155" t="n"/>
      <c r="GM36" s="155" t="n"/>
      <c r="GN36" s="155" t="n"/>
      <c r="GO36" s="155" t="n"/>
      <c r="GP36" s="155" t="n"/>
      <c r="GQ36" s="155" t="n"/>
      <c r="GR36" s="155" t="n"/>
      <c r="GS36" s="155" t="n"/>
      <c r="GT36" s="155" t="n"/>
      <c r="GU36" s="155" t="n"/>
      <c r="GV36" s="155" t="n"/>
      <c r="GW36" s="155" t="n"/>
      <c r="GX36" s="155" t="n"/>
      <c r="GY36" s="155" t="n"/>
      <c r="GZ36" s="155" t="n"/>
      <c r="HA36" s="155" t="n"/>
      <c r="HB36" s="155" t="n"/>
      <c r="HC36" s="155" t="n"/>
      <c r="HD36" s="155" t="n"/>
      <c r="HE36" s="155" t="n"/>
      <c r="HF36" s="155" t="n"/>
      <c r="HG36" s="155" t="n"/>
      <c r="HH36" s="155" t="n"/>
      <c r="HI36" s="155" t="n"/>
      <c r="HJ36" s="155" t="n"/>
      <c r="HK36" s="155" t="n"/>
      <c r="HL36" s="155" t="n"/>
      <c r="HM36" s="155" t="n"/>
      <c r="HN36" s="155" t="n"/>
      <c r="HO36" s="155" t="n"/>
      <c r="HP36" s="155" t="n"/>
      <c r="HQ36" s="155" t="n"/>
      <c r="HR36" s="155" t="n"/>
      <c r="HS36" s="155" t="n"/>
      <c r="HT36" s="155" t="n"/>
      <c r="HU36" s="155" t="n"/>
      <c r="HV36" s="155" t="n"/>
      <c r="HW36" s="155" t="n"/>
      <c r="HX36" s="155" t="n"/>
      <c r="HY36" s="155" t="n"/>
      <c r="HZ36" s="155" t="n"/>
      <c r="IA36" s="155" t="n"/>
      <c r="IB36" s="155" t="n"/>
      <c r="IC36" s="155" t="n"/>
      <c r="ID36" s="155" t="n"/>
      <c r="IE36" s="155" t="n"/>
      <c r="IF36" s="155" t="n"/>
      <c r="IG36" s="155" t="n"/>
      <c r="IH36" s="155" t="n"/>
      <c r="II36" s="155" t="n"/>
      <c r="IJ36" s="155" t="n"/>
      <c r="IK36" s="155" t="n"/>
      <c r="IL36" s="155" t="n"/>
      <c r="IM36" s="155" t="n"/>
      <c r="IN36" s="155" t="n"/>
      <c r="IO36" s="155" t="n"/>
      <c r="IP36" s="155" t="n"/>
      <c r="IQ36" s="155" t="n"/>
      <c r="IR36" s="155" t="n"/>
      <c r="IS36" s="155" t="n"/>
      <c r="IT36" s="155" t="n"/>
      <c r="IU36" s="155" t="n"/>
      <c r="IV36" s="155" t="n"/>
      <c r="IW36" s="155" t="n"/>
      <c r="IX36" s="155" t="n"/>
      <c r="IY36" s="155" t="n"/>
      <c r="IZ36" s="155" t="n"/>
      <c r="JA36" s="155" t="n"/>
      <c r="JB36" s="155" t="n"/>
      <c r="JC36" s="155" t="n"/>
      <c r="JD36" s="155" t="n"/>
      <c r="JE36" s="155" t="n"/>
      <c r="JF36" s="155" t="n"/>
      <c r="JG36" s="155" t="n"/>
      <c r="JH36" s="155" t="n"/>
      <c r="JI36" s="155" t="n"/>
      <c r="JJ36" s="155" t="n"/>
      <c r="JK36" s="155" t="n"/>
      <c r="JL36" s="155" t="n"/>
      <c r="JM36" s="155" t="n"/>
      <c r="JN36" s="155" t="n"/>
      <c r="JO36" s="155" t="n"/>
      <c r="JP36" s="155" t="n"/>
      <c r="JQ36" s="155" t="n"/>
      <c r="JR36" s="155" t="n"/>
      <c r="JS36" s="155" t="n"/>
      <c r="JT36" s="155" t="n"/>
      <c r="JU36" s="155" t="n"/>
      <c r="JV36" s="155" t="n"/>
      <c r="JW36" s="155" t="n"/>
      <c r="JX36" s="155" t="n"/>
      <c r="JY36" s="155" t="n"/>
      <c r="JZ36" s="155" t="n"/>
      <c r="KA36" s="155" t="n"/>
      <c r="KB36" s="155" t="n"/>
      <c r="KC36" s="155" t="n"/>
      <c r="KD36" s="155" t="n"/>
      <c r="KE36" s="155" t="n"/>
      <c r="KF36" s="155" t="n"/>
      <c r="KG36" s="155" t="n"/>
      <c r="KH36" s="155" t="n"/>
      <c r="KI36" s="155" t="n"/>
      <c r="KJ36" s="155" t="n"/>
      <c r="KK36" s="155" t="n"/>
      <c r="KL36" s="155" t="n"/>
      <c r="KM36" s="155" t="n"/>
      <c r="KN36" s="155" t="n"/>
      <c r="KO36" s="155" t="n"/>
      <c r="KP36" s="155" t="n"/>
      <c r="KQ36" s="155" t="n"/>
      <c r="KR36" s="155" t="n"/>
      <c r="KS36" s="155" t="n"/>
      <c r="KT36" s="155" t="n"/>
      <c r="KU36" s="155" t="n"/>
      <c r="KV36" s="155" t="n"/>
      <c r="KW36" s="155" t="n"/>
      <c r="KX36" s="155" t="n"/>
      <c r="KY36" s="155" t="n"/>
      <c r="KZ36" s="155" t="n"/>
      <c r="LA36" s="155" t="n"/>
      <c r="LB36" s="155" t="n"/>
      <c r="LC36" s="155" t="n"/>
      <c r="LD36" s="155" t="n"/>
      <c r="LE36" s="155" t="n"/>
      <c r="LF36" s="155" t="n"/>
      <c r="LG36" s="155" t="n"/>
      <c r="LH36" s="155" t="n"/>
      <c r="LI36" s="155" t="n"/>
      <c r="LJ36" s="155" t="n"/>
      <c r="LK36" s="155" t="n"/>
      <c r="LL36" s="155" t="n"/>
      <c r="LM36" s="155" t="n"/>
      <c r="LN36" s="155" t="n"/>
      <c r="LO36" s="155" t="n"/>
      <c r="LP36" s="155" t="n"/>
      <c r="LQ36" s="155" t="n"/>
      <c r="LR36" s="155" t="n"/>
      <c r="LS36" s="155" t="n"/>
      <c r="LT36" s="155" t="n"/>
      <c r="LU36" s="155" t="n"/>
      <c r="LV36" s="155" t="n"/>
      <c r="LW36" s="155" t="n"/>
      <c r="LX36" s="155" t="n"/>
      <c r="LY36" s="155" t="n"/>
      <c r="LZ36" s="155" t="n"/>
      <c r="MA36" s="155" t="n"/>
      <c r="MB36" s="155" t="n"/>
      <c r="MC36" s="155" t="n"/>
      <c r="MD36" s="155" t="n"/>
      <c r="ME36" s="155" t="n"/>
      <c r="MF36" s="155" t="n"/>
      <c r="MG36" s="155" t="n"/>
      <c r="MH36" s="155" t="n"/>
      <c r="MI36" s="155" t="n"/>
      <c r="MJ36" s="155" t="n"/>
      <c r="MK36" s="155" t="n"/>
      <c r="ML36" s="155" t="n"/>
      <c r="MM36" s="155" t="n"/>
      <c r="MN36" s="155" t="n"/>
      <c r="MO36" s="155" t="n"/>
      <c r="MP36" s="155" t="n"/>
      <c r="MQ36" s="155" t="n"/>
      <c r="MR36" s="155" t="n"/>
      <c r="MS36" s="155" t="n"/>
      <c r="MT36" s="155" t="n"/>
      <c r="MU36" s="155" t="n"/>
      <c r="MV36" s="155" t="n"/>
      <c r="MW36" s="155" t="n"/>
      <c r="MX36" s="155" t="n"/>
      <c r="MY36" s="155" t="n"/>
      <c r="MZ36" s="155" t="n"/>
      <c r="NA36" s="155" t="n"/>
      <c r="NB36" s="155" t="n"/>
      <c r="NC36" s="155" t="n"/>
      <c r="ND36" s="155" t="n"/>
      <c r="NE36" s="155" t="n"/>
      <c r="NF36" s="155" t="n"/>
      <c r="NG36" s="155" t="n"/>
      <c r="NH36" s="155" t="n"/>
      <c r="NI36" s="155" t="n"/>
      <c r="NJ36" s="155" t="n"/>
      <c r="NK36" s="155" t="n"/>
      <c r="NL36" s="155" t="n"/>
    </row>
    <row r="37">
      <c r="B37" s="316" t="inlineStr">
        <is>
          <t>Net Sale Proceeds (at disposition)</t>
        </is>
      </c>
      <c r="D37" s="402">
        <f>SUM(E37:NL37)</f>
        <v/>
      </c>
      <c r="E37" s="402">
        <f>IF(E$3=DispoMonth,NetSale,0)</f>
        <v/>
      </c>
      <c r="F37" s="402">
        <f>IF(F$3=DispoMonth,NetSale,0)</f>
        <v/>
      </c>
      <c r="G37" s="402">
        <f>IF(G$3=DispoMonth,NetSale,0)</f>
        <v/>
      </c>
      <c r="H37" s="402">
        <f>IF(H$3=DispoMonth,NetSale,0)</f>
        <v/>
      </c>
      <c r="I37" s="402">
        <f>IF(I$3=DispoMonth,NetSale,0)</f>
        <v/>
      </c>
      <c r="J37" s="402">
        <f>IF(J$3=DispoMonth,NetSale,0)</f>
        <v/>
      </c>
      <c r="K37" s="402">
        <f>IF(K$3=DispoMonth,NetSale,0)</f>
        <v/>
      </c>
      <c r="L37" s="402">
        <f>IF(L$3=DispoMonth,NetSale,0)</f>
        <v/>
      </c>
      <c r="M37" s="402">
        <f>IF(M$3=DispoMonth,NetSale,0)</f>
        <v/>
      </c>
      <c r="N37" s="402">
        <f>IF(N$3=DispoMonth,NetSale,0)</f>
        <v/>
      </c>
      <c r="O37" s="402">
        <f>IF(O$3=DispoMonth,NetSale,0)</f>
        <v/>
      </c>
      <c r="P37" s="402">
        <f>IF(P$3=DispoMonth,NetSale,0)</f>
        <v/>
      </c>
      <c r="Q37" s="402">
        <f>IF(Q$3=DispoMonth,NetSale,0)</f>
        <v/>
      </c>
      <c r="R37" s="402">
        <f>IF(R$3=DispoMonth,NetSale,0)</f>
        <v/>
      </c>
      <c r="S37" s="402">
        <f>IF(S$3=DispoMonth,NetSale,0)</f>
        <v/>
      </c>
      <c r="T37" s="402">
        <f>IF(T$3=DispoMonth,NetSale,0)</f>
        <v/>
      </c>
      <c r="U37" s="402">
        <f>IF(U$3=DispoMonth,NetSale,0)</f>
        <v/>
      </c>
      <c r="V37" s="402">
        <f>IF(V$3=DispoMonth,NetSale,0)</f>
        <v/>
      </c>
      <c r="W37" s="402">
        <f>IF(W$3=DispoMonth,NetSale,0)</f>
        <v/>
      </c>
      <c r="X37" s="402">
        <f>IF(X$3=DispoMonth,NetSale,0)</f>
        <v/>
      </c>
      <c r="Y37" s="402">
        <f>IF(Y$3=DispoMonth,NetSale,0)</f>
        <v/>
      </c>
      <c r="Z37" s="402">
        <f>IF(Z$3=DispoMonth,NetSale,0)</f>
        <v/>
      </c>
      <c r="AA37" s="402">
        <f>IF(AA$3=DispoMonth,NetSale,0)</f>
        <v/>
      </c>
      <c r="AB37" s="402">
        <f>IF(AB$3=DispoMonth,NetSale,0)</f>
        <v/>
      </c>
      <c r="AC37" s="402">
        <f>IF(AC$3=DispoMonth,NetSale,0)</f>
        <v/>
      </c>
      <c r="AD37" s="402">
        <f>IF(AD$3=DispoMonth,NetSale,0)</f>
        <v/>
      </c>
      <c r="AE37" s="402">
        <f>IF(AE$3=DispoMonth,NetSale,0)</f>
        <v/>
      </c>
      <c r="AF37" s="402">
        <f>IF(AF$3=DispoMonth,NetSale,0)</f>
        <v/>
      </c>
      <c r="AG37" s="402">
        <f>IF(AG$3=DispoMonth,NetSale,0)</f>
        <v/>
      </c>
      <c r="AH37" s="402">
        <f>IF(AH$3=DispoMonth,NetSale,0)</f>
        <v/>
      </c>
      <c r="AI37" s="402">
        <f>IF(AI$3=DispoMonth,NetSale,0)</f>
        <v/>
      </c>
      <c r="AJ37" s="402">
        <f>IF(AJ$3=DispoMonth,NetSale,0)</f>
        <v/>
      </c>
      <c r="AK37" s="402">
        <f>IF(AK$3=DispoMonth,NetSale,0)</f>
        <v/>
      </c>
      <c r="AL37" s="402">
        <f>IF(AL$3=DispoMonth,NetSale,0)</f>
        <v/>
      </c>
      <c r="AM37" s="402">
        <f>IF(AM$3=DispoMonth,NetSale,0)</f>
        <v/>
      </c>
      <c r="AN37" s="402">
        <f>IF(AN$3=DispoMonth,NetSale,0)</f>
        <v/>
      </c>
      <c r="AO37" s="402">
        <f>IF(AO$3=DispoMonth,NetSale,0)</f>
        <v/>
      </c>
      <c r="AP37" s="402">
        <f>IF(AP$3=DispoMonth,NetSale,0)</f>
        <v/>
      </c>
      <c r="AQ37" s="402">
        <f>IF(AQ$3=DispoMonth,NetSale,0)</f>
        <v/>
      </c>
      <c r="AR37" s="402">
        <f>IF(AR$3=DispoMonth,NetSale,0)</f>
        <v/>
      </c>
      <c r="AS37" s="402">
        <f>IF(AS$3=DispoMonth,NetSale,0)</f>
        <v/>
      </c>
      <c r="AT37" s="402">
        <f>IF(AT$3=DispoMonth,NetSale,0)</f>
        <v/>
      </c>
      <c r="AU37" s="402">
        <f>IF(AU$3=DispoMonth,NetSale,0)</f>
        <v/>
      </c>
      <c r="AV37" s="402">
        <f>IF(AV$3=DispoMonth,NetSale,0)</f>
        <v/>
      </c>
      <c r="AW37" s="402">
        <f>IF(AW$3=DispoMonth,NetSale,0)</f>
        <v/>
      </c>
      <c r="AX37" s="402">
        <f>IF(AX$3=DispoMonth,NetSale,0)</f>
        <v/>
      </c>
      <c r="AY37" s="402">
        <f>IF(AY$3=DispoMonth,NetSale,0)</f>
        <v/>
      </c>
      <c r="AZ37" s="402">
        <f>IF(AZ$3=DispoMonth,NetSale,0)</f>
        <v/>
      </c>
      <c r="BA37" s="402">
        <f>IF(BA$3=DispoMonth,NetSale,0)</f>
        <v/>
      </c>
      <c r="BB37" s="402">
        <f>IF(BB$3=DispoMonth,NetSale,0)</f>
        <v/>
      </c>
      <c r="BC37" s="402">
        <f>IF(BC$3=DispoMonth,NetSale,0)</f>
        <v/>
      </c>
      <c r="BD37" s="402">
        <f>IF(BD$3=DispoMonth,NetSale,0)</f>
        <v/>
      </c>
      <c r="BE37" s="402">
        <f>IF(BE$3=DispoMonth,NetSale,0)</f>
        <v/>
      </c>
      <c r="BF37" s="402">
        <f>IF(BF$3=DispoMonth,NetSale,0)</f>
        <v/>
      </c>
      <c r="BG37" s="402">
        <f>IF(BG$3=DispoMonth,NetSale,0)</f>
        <v/>
      </c>
      <c r="BH37" s="402">
        <f>IF(BH$3=DispoMonth,NetSale,0)</f>
        <v/>
      </c>
      <c r="BI37" s="402">
        <f>IF(BI$3=DispoMonth,NetSale,0)</f>
        <v/>
      </c>
      <c r="BJ37" s="402">
        <f>IF(BJ$3=DispoMonth,NetSale,0)</f>
        <v/>
      </c>
      <c r="BK37" s="402">
        <f>IF(BK$3=DispoMonth,NetSale,0)</f>
        <v/>
      </c>
      <c r="BL37" s="402">
        <f>IF(BL$3=DispoMonth,NetSale,0)</f>
        <v/>
      </c>
      <c r="BM37" s="402">
        <f>IF(BM$3=DispoMonth,NetSale,0)</f>
        <v/>
      </c>
      <c r="BN37" s="402">
        <f>IF(BN$3=DispoMonth,NetSale,0)</f>
        <v/>
      </c>
      <c r="BO37" s="402">
        <f>IF(BO$3=DispoMonth,NetSale,0)</f>
        <v/>
      </c>
      <c r="BP37" s="402">
        <f>IF(BP$3=DispoMonth,NetSale,0)</f>
        <v/>
      </c>
      <c r="BQ37" s="402">
        <f>IF(BQ$3=DispoMonth,NetSale,0)</f>
        <v/>
      </c>
      <c r="BR37" s="402">
        <f>IF(BR$3=DispoMonth,NetSale,0)</f>
        <v/>
      </c>
      <c r="BS37" s="402">
        <f>IF(BS$3=DispoMonth,NetSale,0)</f>
        <v/>
      </c>
      <c r="BT37" s="402">
        <f>IF(BT$3=DispoMonth,NetSale,0)</f>
        <v/>
      </c>
      <c r="BU37" s="402">
        <f>IF(BU$3=DispoMonth,NetSale,0)</f>
        <v/>
      </c>
      <c r="BV37" s="402">
        <f>IF(BV$3=DispoMonth,NetSale,0)</f>
        <v/>
      </c>
      <c r="BW37" s="402">
        <f>IF(BW$3=DispoMonth,NetSale,0)</f>
        <v/>
      </c>
      <c r="BX37" s="402">
        <f>IF(BX$3=DispoMonth,NetSale,0)</f>
        <v/>
      </c>
      <c r="BY37" s="402">
        <f>IF(BY$3=DispoMonth,NetSale,0)</f>
        <v/>
      </c>
      <c r="BZ37" s="402">
        <f>IF(BZ$3=DispoMonth,NetSale,0)</f>
        <v/>
      </c>
      <c r="CA37" s="402">
        <f>IF(CA$3=DispoMonth,NetSale,0)</f>
        <v/>
      </c>
      <c r="CB37" s="402">
        <f>IF(CB$3=DispoMonth,NetSale,0)</f>
        <v/>
      </c>
      <c r="CC37" s="402">
        <f>IF(CC$3=DispoMonth,NetSale,0)</f>
        <v/>
      </c>
      <c r="CD37" s="402">
        <f>IF(CD$3=DispoMonth,NetSale,0)</f>
        <v/>
      </c>
      <c r="CE37" s="402">
        <f>IF(CE$3=DispoMonth,NetSale,0)</f>
        <v/>
      </c>
      <c r="CF37" s="402">
        <f>IF(CF$3=DispoMonth,NetSale,0)</f>
        <v/>
      </c>
      <c r="CG37" s="402">
        <f>IF(CG$3=DispoMonth,NetSale,0)</f>
        <v/>
      </c>
      <c r="CH37" s="402">
        <f>IF(CH$3=DispoMonth,NetSale,0)</f>
        <v/>
      </c>
      <c r="CI37" s="402">
        <f>IF(CI$3=DispoMonth,NetSale,0)</f>
        <v/>
      </c>
      <c r="CJ37" s="402">
        <f>IF(CJ$3=DispoMonth,NetSale,0)</f>
        <v/>
      </c>
      <c r="CK37" s="402">
        <f>IF(CK$3=DispoMonth,NetSale,0)</f>
        <v/>
      </c>
      <c r="CL37" s="402">
        <f>IF(CL$3=DispoMonth,NetSale,0)</f>
        <v/>
      </c>
      <c r="CM37" s="402">
        <f>IF(CM$3=DispoMonth,NetSale,0)</f>
        <v/>
      </c>
      <c r="CN37" s="402">
        <f>IF(CN$3=DispoMonth,NetSale,0)</f>
        <v/>
      </c>
      <c r="CO37" s="402">
        <f>IF(CO$3=DispoMonth,NetSale,0)</f>
        <v/>
      </c>
      <c r="CP37" s="402">
        <f>IF(CP$3=DispoMonth,NetSale,0)</f>
        <v/>
      </c>
      <c r="CQ37" s="402">
        <f>IF(CQ$3=DispoMonth,NetSale,0)</f>
        <v/>
      </c>
      <c r="CR37" s="402">
        <f>IF(CR$3=DispoMonth,NetSale,0)</f>
        <v/>
      </c>
      <c r="CS37" s="402">
        <f>IF(CS$3=DispoMonth,NetSale,0)</f>
        <v/>
      </c>
      <c r="CT37" s="402">
        <f>IF(CT$3=DispoMonth,NetSale,0)</f>
        <v/>
      </c>
      <c r="CU37" s="402">
        <f>IF(CU$3=DispoMonth,NetSale,0)</f>
        <v/>
      </c>
      <c r="CV37" s="402">
        <f>IF(CV$3=DispoMonth,NetSale,0)</f>
        <v/>
      </c>
      <c r="CW37" s="402">
        <f>IF(CW$3=DispoMonth,NetSale,0)</f>
        <v/>
      </c>
      <c r="CX37" s="402">
        <f>IF(CX$3=DispoMonth,NetSale,0)</f>
        <v/>
      </c>
      <c r="CY37" s="402">
        <f>IF(CY$3=DispoMonth,NetSale,0)</f>
        <v/>
      </c>
      <c r="CZ37" s="402">
        <f>IF(CZ$3=DispoMonth,NetSale,0)</f>
        <v/>
      </c>
      <c r="DA37" s="402">
        <f>IF(DA$3=DispoMonth,NetSale,0)</f>
        <v/>
      </c>
      <c r="DB37" s="402">
        <f>IF(DB$3=DispoMonth,NetSale,0)</f>
        <v/>
      </c>
      <c r="DC37" s="402">
        <f>IF(DC$3=DispoMonth,NetSale,0)</f>
        <v/>
      </c>
      <c r="DD37" s="402">
        <f>IF(DD$3=DispoMonth,NetSale,0)</f>
        <v/>
      </c>
      <c r="DE37" s="402">
        <f>IF(DE$3=DispoMonth,NetSale,0)</f>
        <v/>
      </c>
      <c r="DF37" s="402">
        <f>IF(DF$3=DispoMonth,NetSale,0)</f>
        <v/>
      </c>
      <c r="DG37" s="402">
        <f>IF(DG$3=DispoMonth,NetSale,0)</f>
        <v/>
      </c>
      <c r="DH37" s="402">
        <f>IF(DH$3=DispoMonth,NetSale,0)</f>
        <v/>
      </c>
      <c r="DI37" s="402">
        <f>IF(DI$3=DispoMonth,NetSale,0)</f>
        <v/>
      </c>
      <c r="DJ37" s="402">
        <f>IF(DJ$3=DispoMonth,NetSale,0)</f>
        <v/>
      </c>
      <c r="DK37" s="402">
        <f>IF(DK$3=DispoMonth,NetSale,0)</f>
        <v/>
      </c>
      <c r="DL37" s="402">
        <f>IF(DL$3=DispoMonth,NetSale,0)</f>
        <v/>
      </c>
      <c r="DM37" s="402">
        <f>IF(DM$3=DispoMonth,NetSale,0)</f>
        <v/>
      </c>
      <c r="DN37" s="402">
        <f>IF(DN$3=DispoMonth,NetSale,0)</f>
        <v/>
      </c>
      <c r="DO37" s="402">
        <f>IF(DO$3=DispoMonth,NetSale,0)</f>
        <v/>
      </c>
      <c r="DP37" s="402">
        <f>IF(DP$3=DispoMonth,NetSale,0)</f>
        <v/>
      </c>
      <c r="DQ37" s="402">
        <f>IF(DQ$3=DispoMonth,NetSale,0)</f>
        <v/>
      </c>
      <c r="DR37" s="402">
        <f>IF(DR$3=DispoMonth,NetSale,0)</f>
        <v/>
      </c>
      <c r="DS37" s="402">
        <f>IF(DS$3=DispoMonth,NetSale,0)</f>
        <v/>
      </c>
      <c r="DT37" s="402">
        <f>IF(DT$3=DispoMonth,NetSale,0)</f>
        <v/>
      </c>
      <c r="DU37" s="402">
        <f>IF(DU$3=DispoMonth,NetSale,0)</f>
        <v/>
      </c>
      <c r="DV37" s="402">
        <f>IF(DV$3=DispoMonth,NetSale,0)</f>
        <v/>
      </c>
      <c r="DW37" s="402">
        <f>IF(DW$3=DispoMonth,NetSale,0)</f>
        <v/>
      </c>
      <c r="DX37" s="402">
        <f>IF(DX$3=DispoMonth,NetSale,0)</f>
        <v/>
      </c>
      <c r="DY37" s="402">
        <f>IF(DY$3=DispoMonth,NetSale,0)</f>
        <v/>
      </c>
      <c r="DZ37" s="402">
        <f>IF(DZ$3=DispoMonth,NetSale,0)</f>
        <v/>
      </c>
      <c r="EA37" s="402">
        <f>IF(EA$3=DispoMonth,NetSale,0)</f>
        <v/>
      </c>
      <c r="EB37" s="402">
        <f>IF(EB$3=DispoMonth,NetSale,0)</f>
        <v/>
      </c>
      <c r="EC37" s="402">
        <f>IF(EC$3=DispoMonth,NetSale,0)</f>
        <v/>
      </c>
      <c r="ED37" s="402">
        <f>IF(ED$3=DispoMonth,NetSale,0)</f>
        <v/>
      </c>
      <c r="EE37" s="402">
        <f>IF(EE$3=DispoMonth,NetSale,0)</f>
        <v/>
      </c>
      <c r="EF37" s="402">
        <f>IF(EF$3=DispoMonth,NetSale,0)</f>
        <v/>
      </c>
      <c r="EG37" s="402">
        <f>IF(EG$3=DispoMonth,NetSale,0)</f>
        <v/>
      </c>
      <c r="EH37" s="402">
        <f>IF(EH$3=DispoMonth,NetSale,0)</f>
        <v/>
      </c>
      <c r="EI37" s="402">
        <f>IF(EI$3=DispoMonth,NetSale,0)</f>
        <v/>
      </c>
      <c r="EJ37" s="402">
        <f>IF(EJ$3=DispoMonth,NetSale,0)</f>
        <v/>
      </c>
      <c r="EK37" s="402">
        <f>IF(EK$3=DispoMonth,NetSale,0)</f>
        <v/>
      </c>
      <c r="EL37" s="402">
        <f>IF(EL$3=DispoMonth,NetSale,0)</f>
        <v/>
      </c>
      <c r="EM37" s="402">
        <f>IF(EM$3=DispoMonth,NetSale,0)</f>
        <v/>
      </c>
      <c r="EN37" s="402">
        <f>IF(EN$3=DispoMonth,NetSale,0)</f>
        <v/>
      </c>
      <c r="EO37" s="402">
        <f>IF(EO$3=DispoMonth,NetSale,0)</f>
        <v/>
      </c>
      <c r="EP37" s="402">
        <f>IF(EP$3=DispoMonth,NetSale,0)</f>
        <v/>
      </c>
      <c r="EQ37" s="402">
        <f>IF(EQ$3=DispoMonth,NetSale,0)</f>
        <v/>
      </c>
      <c r="ER37" s="402">
        <f>IF(ER$3=DispoMonth,NetSale,0)</f>
        <v/>
      </c>
      <c r="ES37" s="402">
        <f>IF(ES$3=DispoMonth,NetSale,0)</f>
        <v/>
      </c>
      <c r="ET37" s="402">
        <f>IF(ET$3=DispoMonth,NetSale,0)</f>
        <v/>
      </c>
      <c r="EU37" s="402">
        <f>IF(EU$3=DispoMonth,NetSale,0)</f>
        <v/>
      </c>
      <c r="EV37" s="402">
        <f>IF(EV$3=DispoMonth,NetSale,0)</f>
        <v/>
      </c>
      <c r="EW37" s="402">
        <f>IF(EW$3=DispoMonth,NetSale,0)</f>
        <v/>
      </c>
      <c r="EX37" s="402">
        <f>IF(EX$3=DispoMonth,NetSale,0)</f>
        <v/>
      </c>
      <c r="EY37" s="402">
        <f>IF(EY$3=DispoMonth,NetSale,0)</f>
        <v/>
      </c>
      <c r="EZ37" s="402">
        <f>IF(EZ$3=DispoMonth,NetSale,0)</f>
        <v/>
      </c>
      <c r="FA37" s="402">
        <f>IF(FA$3=DispoMonth,NetSale,0)</f>
        <v/>
      </c>
      <c r="FB37" s="402">
        <f>IF(FB$3=DispoMonth,NetSale,0)</f>
        <v/>
      </c>
      <c r="FC37" s="402">
        <f>IF(FC$3=DispoMonth,NetSale,0)</f>
        <v/>
      </c>
      <c r="FD37" s="402">
        <f>IF(FD$3=DispoMonth,NetSale,0)</f>
        <v/>
      </c>
      <c r="FE37" s="402">
        <f>IF(FE$3=DispoMonth,NetSale,0)</f>
        <v/>
      </c>
      <c r="FF37" s="402">
        <f>IF(FF$3=DispoMonth,NetSale,0)</f>
        <v/>
      </c>
      <c r="FG37" s="402">
        <f>IF(FG$3=DispoMonth,NetSale,0)</f>
        <v/>
      </c>
      <c r="FH37" s="402">
        <f>IF(FH$3=DispoMonth,NetSale,0)</f>
        <v/>
      </c>
      <c r="FI37" s="402">
        <f>IF(FI$3=DispoMonth,NetSale,0)</f>
        <v/>
      </c>
      <c r="FJ37" s="402">
        <f>IF(FJ$3=DispoMonth,NetSale,0)</f>
        <v/>
      </c>
      <c r="FK37" s="402">
        <f>IF(FK$3=DispoMonth,NetSale,0)</f>
        <v/>
      </c>
      <c r="FL37" s="402">
        <f>IF(FL$3=DispoMonth,NetSale,0)</f>
        <v/>
      </c>
      <c r="FM37" s="402">
        <f>IF(FM$3=DispoMonth,NetSale,0)</f>
        <v/>
      </c>
      <c r="FN37" s="402">
        <f>IF(FN$3=DispoMonth,NetSale,0)</f>
        <v/>
      </c>
      <c r="FO37" s="402">
        <f>IF(FO$3=DispoMonth,NetSale,0)</f>
        <v/>
      </c>
      <c r="FP37" s="402">
        <f>IF(FP$3=DispoMonth,NetSale,0)</f>
        <v/>
      </c>
      <c r="FQ37" s="402">
        <f>IF(FQ$3=DispoMonth,NetSale,0)</f>
        <v/>
      </c>
      <c r="FR37" s="402">
        <f>IF(FR$3=DispoMonth,NetSale,0)</f>
        <v/>
      </c>
      <c r="FS37" s="402">
        <f>IF(FS$3=DispoMonth,NetSale,0)</f>
        <v/>
      </c>
      <c r="FT37" s="402">
        <f>IF(FT$3=DispoMonth,NetSale,0)</f>
        <v/>
      </c>
      <c r="FU37" s="402">
        <f>IF(FU$3=DispoMonth,NetSale,0)</f>
        <v/>
      </c>
      <c r="FV37" s="402">
        <f>IF(FV$3=DispoMonth,NetSale,0)</f>
        <v/>
      </c>
      <c r="FW37" s="402">
        <f>IF(FW$3=DispoMonth,NetSale,0)</f>
        <v/>
      </c>
      <c r="FX37" s="402">
        <f>IF(FX$3=DispoMonth,NetSale,0)</f>
        <v/>
      </c>
      <c r="FY37" s="402">
        <f>IF(FY$3=DispoMonth,NetSale,0)</f>
        <v/>
      </c>
      <c r="FZ37" s="402">
        <f>IF(FZ$3=DispoMonth,NetSale,0)</f>
        <v/>
      </c>
      <c r="GA37" s="402">
        <f>IF(GA$3=DispoMonth,NetSale,0)</f>
        <v/>
      </c>
      <c r="GB37" s="402">
        <f>IF(GB$3=DispoMonth,NetSale,0)</f>
        <v/>
      </c>
      <c r="GC37" s="402">
        <f>IF(GC$3=DispoMonth,NetSale,0)</f>
        <v/>
      </c>
      <c r="GD37" s="402">
        <f>IF(GD$3=DispoMonth,NetSale,0)</f>
        <v/>
      </c>
      <c r="GE37" s="402">
        <f>IF(GE$3=DispoMonth,NetSale,0)</f>
        <v/>
      </c>
      <c r="GF37" s="402">
        <f>IF(GF$3=DispoMonth,NetSale,0)</f>
        <v/>
      </c>
      <c r="GG37" s="402">
        <f>IF(GG$3=DispoMonth,NetSale,0)</f>
        <v/>
      </c>
      <c r="GH37" s="402">
        <f>IF(GH$3=DispoMonth,NetSale,0)</f>
        <v/>
      </c>
      <c r="GI37" s="402">
        <f>IF(GI$3=DispoMonth,NetSale,0)</f>
        <v/>
      </c>
      <c r="GJ37" s="402">
        <f>IF(GJ$3=DispoMonth,NetSale,0)</f>
        <v/>
      </c>
      <c r="GK37" s="402">
        <f>IF(GK$3=DispoMonth,NetSale,0)</f>
        <v/>
      </c>
      <c r="GL37" s="402">
        <f>IF(GL$3=DispoMonth,NetSale,0)</f>
        <v/>
      </c>
      <c r="GM37" s="402">
        <f>IF(GM$3=DispoMonth,NetSale,0)</f>
        <v/>
      </c>
      <c r="GN37" s="402">
        <f>IF(GN$3=DispoMonth,NetSale,0)</f>
        <v/>
      </c>
      <c r="GO37" s="402">
        <f>IF(GO$3=DispoMonth,NetSale,0)</f>
        <v/>
      </c>
      <c r="GP37" s="402">
        <f>IF(GP$3=DispoMonth,NetSale,0)</f>
        <v/>
      </c>
      <c r="GQ37" s="402">
        <f>IF(GQ$3=DispoMonth,NetSale,0)</f>
        <v/>
      </c>
      <c r="GR37" s="402">
        <f>IF(GR$3=DispoMonth,NetSale,0)</f>
        <v/>
      </c>
      <c r="GS37" s="402">
        <f>IF(GS$3=DispoMonth,NetSale,0)</f>
        <v/>
      </c>
      <c r="GT37" s="402">
        <f>IF(GT$3=DispoMonth,NetSale,0)</f>
        <v/>
      </c>
      <c r="GU37" s="402">
        <f>IF(GU$3=DispoMonth,NetSale,0)</f>
        <v/>
      </c>
      <c r="GV37" s="402">
        <f>IF(GV$3=DispoMonth,NetSale,0)</f>
        <v/>
      </c>
      <c r="GW37" s="402">
        <f>IF(GW$3=DispoMonth,NetSale,0)</f>
        <v/>
      </c>
      <c r="GX37" s="402">
        <f>IF(GX$3=DispoMonth,NetSale,0)</f>
        <v/>
      </c>
      <c r="GY37" s="402">
        <f>IF(GY$3=DispoMonth,NetSale,0)</f>
        <v/>
      </c>
      <c r="GZ37" s="402">
        <f>IF(GZ$3=DispoMonth,NetSale,0)</f>
        <v/>
      </c>
      <c r="HA37" s="402">
        <f>IF(HA$3=DispoMonth,NetSale,0)</f>
        <v/>
      </c>
      <c r="HB37" s="402">
        <f>IF(HB$3=DispoMonth,NetSale,0)</f>
        <v/>
      </c>
      <c r="HC37" s="402">
        <f>IF(HC$3=DispoMonth,NetSale,0)</f>
        <v/>
      </c>
      <c r="HD37" s="402">
        <f>IF(HD$3=DispoMonth,NetSale,0)</f>
        <v/>
      </c>
      <c r="HE37" s="402">
        <f>IF(HE$3=DispoMonth,NetSale,0)</f>
        <v/>
      </c>
      <c r="HF37" s="402">
        <f>IF(HF$3=DispoMonth,NetSale,0)</f>
        <v/>
      </c>
      <c r="HG37" s="402">
        <f>IF(HG$3=DispoMonth,NetSale,0)</f>
        <v/>
      </c>
      <c r="HH37" s="402">
        <f>IF(HH$3=DispoMonth,NetSale,0)</f>
        <v/>
      </c>
      <c r="HI37" s="402">
        <f>IF(HI$3=DispoMonth,NetSale,0)</f>
        <v/>
      </c>
      <c r="HJ37" s="402">
        <f>IF(HJ$3=DispoMonth,NetSale,0)</f>
        <v/>
      </c>
      <c r="HK37" s="402">
        <f>IF(HK$3=DispoMonth,NetSale,0)</f>
        <v/>
      </c>
      <c r="HL37" s="402">
        <f>IF(HL$3=DispoMonth,NetSale,0)</f>
        <v/>
      </c>
      <c r="HM37" s="402">
        <f>IF(HM$3=DispoMonth,NetSale,0)</f>
        <v/>
      </c>
      <c r="HN37" s="402">
        <f>IF(HN$3=DispoMonth,NetSale,0)</f>
        <v/>
      </c>
      <c r="HO37" s="402">
        <f>IF(HO$3=DispoMonth,NetSale,0)</f>
        <v/>
      </c>
      <c r="HP37" s="402">
        <f>IF(HP$3=DispoMonth,NetSale,0)</f>
        <v/>
      </c>
      <c r="HQ37" s="402">
        <f>IF(HQ$3=DispoMonth,NetSale,0)</f>
        <v/>
      </c>
      <c r="HR37" s="402">
        <f>IF(HR$3=DispoMonth,NetSale,0)</f>
        <v/>
      </c>
      <c r="HS37" s="402">
        <f>IF(HS$3=DispoMonth,NetSale,0)</f>
        <v/>
      </c>
      <c r="HT37" s="402">
        <f>IF(HT$3=DispoMonth,NetSale,0)</f>
        <v/>
      </c>
      <c r="HU37" s="402">
        <f>IF(HU$3=DispoMonth,NetSale,0)</f>
        <v/>
      </c>
      <c r="HV37" s="402">
        <f>IF(HV$3=DispoMonth,NetSale,0)</f>
        <v/>
      </c>
      <c r="HW37" s="402">
        <f>IF(HW$3=DispoMonth,NetSale,0)</f>
        <v/>
      </c>
      <c r="HX37" s="402">
        <f>IF(HX$3=DispoMonth,NetSale,0)</f>
        <v/>
      </c>
      <c r="HY37" s="402">
        <f>IF(HY$3=DispoMonth,NetSale,0)</f>
        <v/>
      </c>
      <c r="HZ37" s="402">
        <f>IF(HZ$3=DispoMonth,NetSale,0)</f>
        <v/>
      </c>
      <c r="IA37" s="402">
        <f>IF(IA$3=DispoMonth,NetSale,0)</f>
        <v/>
      </c>
      <c r="IB37" s="402">
        <f>IF(IB$3=DispoMonth,NetSale,0)</f>
        <v/>
      </c>
      <c r="IC37" s="402">
        <f>IF(IC$3=DispoMonth,NetSale,0)</f>
        <v/>
      </c>
      <c r="ID37" s="402">
        <f>IF(ID$3=DispoMonth,NetSale,0)</f>
        <v/>
      </c>
      <c r="IE37" s="402">
        <f>IF(IE$3=DispoMonth,NetSale,0)</f>
        <v/>
      </c>
      <c r="IF37" s="402">
        <f>IF(IF$3=DispoMonth,NetSale,0)</f>
        <v/>
      </c>
      <c r="IG37" s="402">
        <f>IF(IG$3=DispoMonth,NetSale,0)</f>
        <v/>
      </c>
      <c r="IH37" s="402">
        <f>IF(IH$3=DispoMonth,NetSale,0)</f>
        <v/>
      </c>
      <c r="II37" s="402">
        <f>IF(II$3=DispoMonth,NetSale,0)</f>
        <v/>
      </c>
      <c r="IJ37" s="402">
        <f>IF(IJ$3=DispoMonth,NetSale,0)</f>
        <v/>
      </c>
      <c r="IK37" s="402">
        <f>IF(IK$3=DispoMonth,NetSale,0)</f>
        <v/>
      </c>
      <c r="IL37" s="402">
        <f>IF(IL$3=DispoMonth,NetSale,0)</f>
        <v/>
      </c>
      <c r="IM37" s="402">
        <f>IF(IM$3=DispoMonth,NetSale,0)</f>
        <v/>
      </c>
      <c r="IN37" s="402">
        <f>IF(IN$3=DispoMonth,NetSale,0)</f>
        <v/>
      </c>
      <c r="IO37" s="402">
        <f>IF(IO$3=DispoMonth,NetSale,0)</f>
        <v/>
      </c>
      <c r="IP37" s="402">
        <f>IF(IP$3=DispoMonth,NetSale,0)</f>
        <v/>
      </c>
      <c r="IQ37" s="402">
        <f>IF(IQ$3=DispoMonth,NetSale,0)</f>
        <v/>
      </c>
      <c r="IR37" s="402">
        <f>IF(IR$3=DispoMonth,NetSale,0)</f>
        <v/>
      </c>
      <c r="IS37" s="402">
        <f>IF(IS$3=DispoMonth,NetSale,0)</f>
        <v/>
      </c>
      <c r="IT37" s="402">
        <f>IF(IT$3=DispoMonth,NetSale,0)</f>
        <v/>
      </c>
      <c r="IU37" s="402">
        <f>IF(IU$3=DispoMonth,NetSale,0)</f>
        <v/>
      </c>
      <c r="IV37" s="402">
        <f>IF(IV$3=DispoMonth,NetSale,0)</f>
        <v/>
      </c>
      <c r="IW37" s="402">
        <f>IF(IW$3=DispoMonth,NetSale,0)</f>
        <v/>
      </c>
      <c r="IX37" s="402">
        <f>IF(IX$3=DispoMonth,NetSale,0)</f>
        <v/>
      </c>
      <c r="IY37" s="402">
        <f>IF(IY$3=DispoMonth,NetSale,0)</f>
        <v/>
      </c>
      <c r="IZ37" s="402">
        <f>IF(IZ$3=DispoMonth,NetSale,0)</f>
        <v/>
      </c>
      <c r="JA37" s="402">
        <f>IF(JA$3=DispoMonth,NetSale,0)</f>
        <v/>
      </c>
      <c r="JB37" s="402">
        <f>IF(JB$3=DispoMonth,NetSale,0)</f>
        <v/>
      </c>
      <c r="JC37" s="402">
        <f>IF(JC$3=DispoMonth,NetSale,0)</f>
        <v/>
      </c>
      <c r="JD37" s="402">
        <f>IF(JD$3=DispoMonth,NetSale,0)</f>
        <v/>
      </c>
      <c r="JE37" s="402">
        <f>IF(JE$3=DispoMonth,NetSale,0)</f>
        <v/>
      </c>
      <c r="JF37" s="402">
        <f>IF(JF$3=DispoMonth,NetSale,0)</f>
        <v/>
      </c>
      <c r="JG37" s="402">
        <f>IF(JG$3=DispoMonth,NetSale,0)</f>
        <v/>
      </c>
      <c r="JH37" s="402">
        <f>IF(JH$3=DispoMonth,NetSale,0)</f>
        <v/>
      </c>
      <c r="JI37" s="402">
        <f>IF(JI$3=DispoMonth,NetSale,0)</f>
        <v/>
      </c>
      <c r="JJ37" s="402">
        <f>IF(JJ$3=DispoMonth,NetSale,0)</f>
        <v/>
      </c>
      <c r="JK37" s="402">
        <f>IF(JK$3=DispoMonth,NetSale,0)</f>
        <v/>
      </c>
      <c r="JL37" s="402">
        <f>IF(JL$3=DispoMonth,NetSale,0)</f>
        <v/>
      </c>
      <c r="JM37" s="402">
        <f>IF(JM$3=DispoMonth,NetSale,0)</f>
        <v/>
      </c>
      <c r="JN37" s="402">
        <f>IF(JN$3=DispoMonth,NetSale,0)</f>
        <v/>
      </c>
      <c r="JO37" s="402">
        <f>IF(JO$3=DispoMonth,NetSale,0)</f>
        <v/>
      </c>
      <c r="JP37" s="402">
        <f>IF(JP$3=DispoMonth,NetSale,0)</f>
        <v/>
      </c>
      <c r="JQ37" s="402">
        <f>IF(JQ$3=DispoMonth,NetSale,0)</f>
        <v/>
      </c>
      <c r="JR37" s="402">
        <f>IF(JR$3=DispoMonth,NetSale,0)</f>
        <v/>
      </c>
      <c r="JS37" s="402">
        <f>IF(JS$3=DispoMonth,NetSale,0)</f>
        <v/>
      </c>
      <c r="JT37" s="402">
        <f>IF(JT$3=DispoMonth,NetSale,0)</f>
        <v/>
      </c>
      <c r="JU37" s="402">
        <f>IF(JU$3=DispoMonth,NetSale,0)</f>
        <v/>
      </c>
      <c r="JV37" s="402">
        <f>IF(JV$3=DispoMonth,NetSale,0)</f>
        <v/>
      </c>
      <c r="JW37" s="402">
        <f>IF(JW$3=DispoMonth,NetSale,0)</f>
        <v/>
      </c>
      <c r="JX37" s="402">
        <f>IF(JX$3=DispoMonth,NetSale,0)</f>
        <v/>
      </c>
      <c r="JY37" s="402">
        <f>IF(JY$3=DispoMonth,NetSale,0)</f>
        <v/>
      </c>
      <c r="JZ37" s="402">
        <f>IF(JZ$3=DispoMonth,NetSale,0)</f>
        <v/>
      </c>
      <c r="KA37" s="402">
        <f>IF(KA$3=DispoMonth,NetSale,0)</f>
        <v/>
      </c>
      <c r="KB37" s="402">
        <f>IF(KB$3=DispoMonth,NetSale,0)</f>
        <v/>
      </c>
      <c r="KC37" s="402">
        <f>IF(KC$3=DispoMonth,NetSale,0)</f>
        <v/>
      </c>
      <c r="KD37" s="402">
        <f>IF(KD$3=DispoMonth,NetSale,0)</f>
        <v/>
      </c>
      <c r="KE37" s="402">
        <f>IF(KE$3=DispoMonth,NetSale,0)</f>
        <v/>
      </c>
      <c r="KF37" s="402">
        <f>IF(KF$3=DispoMonth,NetSale,0)</f>
        <v/>
      </c>
      <c r="KG37" s="402">
        <f>IF(KG$3=DispoMonth,NetSale,0)</f>
        <v/>
      </c>
      <c r="KH37" s="402">
        <f>IF(KH$3=DispoMonth,NetSale,0)</f>
        <v/>
      </c>
      <c r="KI37" s="402">
        <f>IF(KI$3=DispoMonth,NetSale,0)</f>
        <v/>
      </c>
      <c r="KJ37" s="402">
        <f>IF(KJ$3=DispoMonth,NetSale,0)</f>
        <v/>
      </c>
      <c r="KK37" s="402">
        <f>IF(KK$3=DispoMonth,NetSale,0)</f>
        <v/>
      </c>
      <c r="KL37" s="402">
        <f>IF(KL$3=DispoMonth,NetSale,0)</f>
        <v/>
      </c>
      <c r="KM37" s="402">
        <f>IF(KM$3=DispoMonth,NetSale,0)</f>
        <v/>
      </c>
      <c r="KN37" s="402">
        <f>IF(KN$3=DispoMonth,NetSale,0)</f>
        <v/>
      </c>
      <c r="KO37" s="402">
        <f>IF(KO$3=DispoMonth,NetSale,0)</f>
        <v/>
      </c>
      <c r="KP37" s="402">
        <f>IF(KP$3=DispoMonth,NetSale,0)</f>
        <v/>
      </c>
      <c r="KQ37" s="402">
        <f>IF(KQ$3=DispoMonth,NetSale,0)</f>
        <v/>
      </c>
      <c r="KR37" s="402">
        <f>IF(KR$3=DispoMonth,NetSale,0)</f>
        <v/>
      </c>
      <c r="KS37" s="402">
        <f>IF(KS$3=DispoMonth,NetSale,0)</f>
        <v/>
      </c>
      <c r="KT37" s="402">
        <f>IF(KT$3=DispoMonth,NetSale,0)</f>
        <v/>
      </c>
      <c r="KU37" s="402">
        <f>IF(KU$3=DispoMonth,NetSale,0)</f>
        <v/>
      </c>
      <c r="KV37" s="402">
        <f>IF(KV$3=DispoMonth,NetSale,0)</f>
        <v/>
      </c>
      <c r="KW37" s="402">
        <f>IF(KW$3=DispoMonth,NetSale,0)</f>
        <v/>
      </c>
      <c r="KX37" s="402">
        <f>IF(KX$3=DispoMonth,NetSale,0)</f>
        <v/>
      </c>
      <c r="KY37" s="402">
        <f>IF(KY$3=DispoMonth,NetSale,0)</f>
        <v/>
      </c>
      <c r="KZ37" s="402">
        <f>IF(KZ$3=DispoMonth,NetSale,0)</f>
        <v/>
      </c>
      <c r="LA37" s="402">
        <f>IF(LA$3=DispoMonth,NetSale,0)</f>
        <v/>
      </c>
      <c r="LB37" s="402">
        <f>IF(LB$3=DispoMonth,NetSale,0)</f>
        <v/>
      </c>
      <c r="LC37" s="402">
        <f>IF(LC$3=DispoMonth,NetSale,0)</f>
        <v/>
      </c>
      <c r="LD37" s="402">
        <f>IF(LD$3=DispoMonth,NetSale,0)</f>
        <v/>
      </c>
      <c r="LE37" s="402">
        <f>IF(LE$3=DispoMonth,NetSale,0)</f>
        <v/>
      </c>
      <c r="LF37" s="402">
        <f>IF(LF$3=DispoMonth,NetSale,0)</f>
        <v/>
      </c>
      <c r="LG37" s="402">
        <f>IF(LG$3=DispoMonth,NetSale,0)</f>
        <v/>
      </c>
      <c r="LH37" s="402">
        <f>IF(LH$3=DispoMonth,NetSale,0)</f>
        <v/>
      </c>
      <c r="LI37" s="402">
        <f>IF(LI$3=DispoMonth,NetSale,0)</f>
        <v/>
      </c>
      <c r="LJ37" s="402">
        <f>IF(LJ$3=DispoMonth,NetSale,0)</f>
        <v/>
      </c>
      <c r="LK37" s="402">
        <f>IF(LK$3=DispoMonth,NetSale,0)</f>
        <v/>
      </c>
      <c r="LL37" s="402">
        <f>IF(LL$3=DispoMonth,NetSale,0)</f>
        <v/>
      </c>
      <c r="LM37" s="402">
        <f>IF(LM$3=DispoMonth,NetSale,0)</f>
        <v/>
      </c>
      <c r="LN37" s="402">
        <f>IF(LN$3=DispoMonth,NetSale,0)</f>
        <v/>
      </c>
      <c r="LO37" s="402">
        <f>IF(LO$3=DispoMonth,NetSale,0)</f>
        <v/>
      </c>
      <c r="LP37" s="402">
        <f>IF(LP$3=DispoMonth,NetSale,0)</f>
        <v/>
      </c>
      <c r="LQ37" s="402">
        <f>IF(LQ$3=DispoMonth,NetSale,0)</f>
        <v/>
      </c>
      <c r="LR37" s="402">
        <f>IF(LR$3=DispoMonth,NetSale,0)</f>
        <v/>
      </c>
      <c r="LS37" s="402">
        <f>IF(LS$3=DispoMonth,NetSale,0)</f>
        <v/>
      </c>
      <c r="LT37" s="402">
        <f>IF(LT$3=DispoMonth,NetSale,0)</f>
        <v/>
      </c>
      <c r="LU37" s="402">
        <f>IF(LU$3=DispoMonth,NetSale,0)</f>
        <v/>
      </c>
      <c r="LV37" s="402">
        <f>IF(LV$3=DispoMonth,NetSale,0)</f>
        <v/>
      </c>
      <c r="LW37" s="402">
        <f>IF(LW$3=DispoMonth,NetSale,0)</f>
        <v/>
      </c>
      <c r="LX37" s="402">
        <f>IF(LX$3=DispoMonth,NetSale,0)</f>
        <v/>
      </c>
      <c r="LY37" s="402">
        <f>IF(LY$3=DispoMonth,NetSale,0)</f>
        <v/>
      </c>
      <c r="LZ37" s="402">
        <f>IF(LZ$3=DispoMonth,NetSale,0)</f>
        <v/>
      </c>
      <c r="MA37" s="402">
        <f>IF(MA$3=DispoMonth,NetSale,0)</f>
        <v/>
      </c>
      <c r="MB37" s="402">
        <f>IF(MB$3=DispoMonth,NetSale,0)</f>
        <v/>
      </c>
      <c r="MC37" s="402">
        <f>IF(MC$3=DispoMonth,NetSale,0)</f>
        <v/>
      </c>
      <c r="MD37" s="402">
        <f>IF(MD$3=DispoMonth,NetSale,0)</f>
        <v/>
      </c>
      <c r="ME37" s="402">
        <f>IF(ME$3=DispoMonth,NetSale,0)</f>
        <v/>
      </c>
      <c r="MF37" s="402">
        <f>IF(MF$3=DispoMonth,NetSale,0)</f>
        <v/>
      </c>
      <c r="MG37" s="402">
        <f>IF(MG$3=DispoMonth,NetSale,0)</f>
        <v/>
      </c>
      <c r="MH37" s="402">
        <f>IF(MH$3=DispoMonth,NetSale,0)</f>
        <v/>
      </c>
      <c r="MI37" s="402">
        <f>IF(MI$3=DispoMonth,NetSale,0)</f>
        <v/>
      </c>
      <c r="MJ37" s="402">
        <f>IF(MJ$3=DispoMonth,NetSale,0)</f>
        <v/>
      </c>
      <c r="MK37" s="402">
        <f>IF(MK$3=DispoMonth,NetSale,0)</f>
        <v/>
      </c>
      <c r="ML37" s="402">
        <f>IF(ML$3=DispoMonth,NetSale,0)</f>
        <v/>
      </c>
      <c r="MM37" s="402">
        <f>IF(MM$3=DispoMonth,NetSale,0)</f>
        <v/>
      </c>
      <c r="MN37" s="402">
        <f>IF(MN$3=DispoMonth,NetSale,0)</f>
        <v/>
      </c>
      <c r="MO37" s="402">
        <f>IF(MO$3=DispoMonth,NetSale,0)</f>
        <v/>
      </c>
      <c r="MP37" s="402">
        <f>IF(MP$3=DispoMonth,NetSale,0)</f>
        <v/>
      </c>
      <c r="MQ37" s="402">
        <f>IF(MQ$3=DispoMonth,NetSale,0)</f>
        <v/>
      </c>
      <c r="MR37" s="402">
        <f>IF(MR$3=DispoMonth,NetSale,0)</f>
        <v/>
      </c>
      <c r="MS37" s="402">
        <f>IF(MS$3=DispoMonth,NetSale,0)</f>
        <v/>
      </c>
      <c r="MT37" s="402">
        <f>IF(MT$3=DispoMonth,NetSale,0)</f>
        <v/>
      </c>
      <c r="MU37" s="402">
        <f>IF(MU$3=DispoMonth,NetSale,0)</f>
        <v/>
      </c>
      <c r="MV37" s="402">
        <f>IF(MV$3=DispoMonth,NetSale,0)</f>
        <v/>
      </c>
      <c r="MW37" s="402">
        <f>IF(MW$3=DispoMonth,NetSale,0)</f>
        <v/>
      </c>
      <c r="MX37" s="402">
        <f>IF(MX$3=DispoMonth,NetSale,0)</f>
        <v/>
      </c>
      <c r="MY37" s="402">
        <f>IF(MY$3=DispoMonth,NetSale,0)</f>
        <v/>
      </c>
      <c r="MZ37" s="402">
        <f>IF(MZ$3=DispoMonth,NetSale,0)</f>
        <v/>
      </c>
      <c r="NA37" s="402">
        <f>IF(NA$3=DispoMonth,NetSale,0)</f>
        <v/>
      </c>
      <c r="NB37" s="402">
        <f>IF(NB$3=DispoMonth,NetSale,0)</f>
        <v/>
      </c>
      <c r="NC37" s="402">
        <f>IF(NC$3=DispoMonth,NetSale,0)</f>
        <v/>
      </c>
      <c r="ND37" s="402">
        <f>IF(ND$3=DispoMonth,NetSale,0)</f>
        <v/>
      </c>
      <c r="NE37" s="402">
        <f>IF(NE$3=DispoMonth,NetSale,0)</f>
        <v/>
      </c>
      <c r="NF37" s="402">
        <f>IF(NF$3=DispoMonth,NetSale,0)</f>
        <v/>
      </c>
      <c r="NG37" s="402">
        <f>IF(NG$3=DispoMonth,NetSale,0)</f>
        <v/>
      </c>
      <c r="NH37" s="402">
        <f>IF(NH$3=DispoMonth,NetSale,0)</f>
        <v/>
      </c>
      <c r="NI37" s="402">
        <f>IF(NI$3=DispoMonth,NetSale,0)</f>
        <v/>
      </c>
      <c r="NJ37" s="402">
        <f>IF(NJ$3=DispoMonth,NetSale,0)</f>
        <v/>
      </c>
      <c r="NK37" s="402">
        <f>IF(NK$3=DispoMonth,NetSale,0)</f>
        <v/>
      </c>
      <c r="NL37" s="402">
        <f>IF(NL$3=DispoMonth,NetSale,0)</f>
        <v/>
      </c>
    </row>
    <row r="38">
      <c r="B38" s="330" t="inlineStr">
        <is>
          <t>Unlevered Cash Flow</t>
        </is>
      </c>
      <c r="D38" s="403">
        <f>SUM(E38:NL38)</f>
        <v/>
      </c>
      <c r="E38" s="407">
        <f>CashFlow!E$7</f>
        <v/>
      </c>
      <c r="F38" s="407">
        <f>CashFlow!F$7</f>
        <v/>
      </c>
      <c r="G38" s="407">
        <f>CashFlow!G$7</f>
        <v/>
      </c>
      <c r="H38" s="407">
        <f>CashFlow!H$7</f>
        <v/>
      </c>
      <c r="I38" s="407">
        <f>CashFlow!I$7</f>
        <v/>
      </c>
      <c r="J38" s="407">
        <f>CashFlow!J$7</f>
        <v/>
      </c>
      <c r="K38" s="407">
        <f>CashFlow!K$7</f>
        <v/>
      </c>
      <c r="L38" s="407">
        <f>CashFlow!L$7</f>
        <v/>
      </c>
      <c r="M38" s="407">
        <f>CashFlow!M$7</f>
        <v/>
      </c>
      <c r="N38" s="407">
        <f>CashFlow!N$7</f>
        <v/>
      </c>
      <c r="O38" s="407">
        <f>CashFlow!O$7</f>
        <v/>
      </c>
      <c r="P38" s="407">
        <f>CashFlow!P$7</f>
        <v/>
      </c>
      <c r="Q38" s="407">
        <f>CashFlow!Q$7</f>
        <v/>
      </c>
      <c r="R38" s="407">
        <f>CashFlow!R$7</f>
        <v/>
      </c>
      <c r="S38" s="407">
        <f>CashFlow!S$7</f>
        <v/>
      </c>
      <c r="T38" s="407">
        <f>CashFlow!T$7</f>
        <v/>
      </c>
      <c r="U38" s="407">
        <f>CashFlow!U$7</f>
        <v/>
      </c>
      <c r="V38" s="407">
        <f>CashFlow!V$7</f>
        <v/>
      </c>
      <c r="W38" s="407">
        <f>CashFlow!W$7</f>
        <v/>
      </c>
      <c r="X38" s="407">
        <f>CashFlow!X$7</f>
        <v/>
      </c>
      <c r="Y38" s="407">
        <f>CashFlow!Y$7</f>
        <v/>
      </c>
      <c r="Z38" s="407">
        <f>CashFlow!Z$7</f>
        <v/>
      </c>
      <c r="AA38" s="407">
        <f>CashFlow!AA$7</f>
        <v/>
      </c>
      <c r="AB38" s="407">
        <f>CashFlow!AB$7</f>
        <v/>
      </c>
      <c r="AC38" s="407">
        <f>CashFlow!AC$7</f>
        <v/>
      </c>
      <c r="AD38" s="407">
        <f>CashFlow!AD$7</f>
        <v/>
      </c>
      <c r="AE38" s="407">
        <f>CashFlow!AE$7</f>
        <v/>
      </c>
      <c r="AF38" s="407">
        <f>CashFlow!AF$7</f>
        <v/>
      </c>
      <c r="AG38" s="407">
        <f>CashFlow!AG$7</f>
        <v/>
      </c>
      <c r="AH38" s="407">
        <f>CashFlow!AH$7</f>
        <v/>
      </c>
      <c r="AI38" s="407">
        <f>CashFlow!AI$7</f>
        <v/>
      </c>
      <c r="AJ38" s="407">
        <f>CashFlow!AJ$7</f>
        <v/>
      </c>
      <c r="AK38" s="407">
        <f>CashFlow!AK$7</f>
        <v/>
      </c>
      <c r="AL38" s="407">
        <f>CashFlow!AL$7</f>
        <v/>
      </c>
      <c r="AM38" s="407">
        <f>CashFlow!AM$7</f>
        <v/>
      </c>
      <c r="AN38" s="407">
        <f>CashFlow!AN$7</f>
        <v/>
      </c>
      <c r="AO38" s="407">
        <f>CashFlow!AO$7</f>
        <v/>
      </c>
      <c r="AP38" s="407">
        <f>CashFlow!AP$7</f>
        <v/>
      </c>
      <c r="AQ38" s="407">
        <f>CashFlow!AQ$7</f>
        <v/>
      </c>
      <c r="AR38" s="407">
        <f>CashFlow!AR$7</f>
        <v/>
      </c>
      <c r="AS38" s="407">
        <f>CashFlow!AS$7</f>
        <v/>
      </c>
      <c r="AT38" s="407">
        <f>CashFlow!AT$7</f>
        <v/>
      </c>
      <c r="AU38" s="407">
        <f>CashFlow!AU$7</f>
        <v/>
      </c>
      <c r="AV38" s="407">
        <f>CashFlow!AV$7</f>
        <v/>
      </c>
      <c r="AW38" s="407">
        <f>CashFlow!AW$7</f>
        <v/>
      </c>
      <c r="AX38" s="407">
        <f>CashFlow!AX$7</f>
        <v/>
      </c>
      <c r="AY38" s="407">
        <f>CashFlow!AY$7</f>
        <v/>
      </c>
      <c r="AZ38" s="407">
        <f>CashFlow!AZ$7</f>
        <v/>
      </c>
      <c r="BA38" s="407">
        <f>CashFlow!BA$7</f>
        <v/>
      </c>
      <c r="BB38" s="407">
        <f>CashFlow!BB$7</f>
        <v/>
      </c>
      <c r="BC38" s="407">
        <f>CashFlow!BC$7</f>
        <v/>
      </c>
      <c r="BD38" s="407">
        <f>CashFlow!BD$7</f>
        <v/>
      </c>
      <c r="BE38" s="407">
        <f>CashFlow!BE$7</f>
        <v/>
      </c>
      <c r="BF38" s="407">
        <f>CashFlow!BF$7</f>
        <v/>
      </c>
      <c r="BG38" s="407">
        <f>CashFlow!BG$7</f>
        <v/>
      </c>
      <c r="BH38" s="407">
        <f>CashFlow!BH$7</f>
        <v/>
      </c>
      <c r="BI38" s="407">
        <f>CashFlow!BI$7</f>
        <v/>
      </c>
      <c r="BJ38" s="407">
        <f>CashFlow!BJ$7</f>
        <v/>
      </c>
      <c r="BK38" s="407">
        <f>CashFlow!BK$7</f>
        <v/>
      </c>
      <c r="BL38" s="407">
        <f>CashFlow!BL$7</f>
        <v/>
      </c>
      <c r="BM38" s="407">
        <f>CashFlow!BM$7</f>
        <v/>
      </c>
      <c r="BN38" s="407">
        <f>CashFlow!BN$7</f>
        <v/>
      </c>
      <c r="BO38" s="407">
        <f>CashFlow!BO$7</f>
        <v/>
      </c>
      <c r="BP38" s="407">
        <f>CashFlow!BP$7</f>
        <v/>
      </c>
      <c r="BQ38" s="407">
        <f>CashFlow!BQ$7</f>
        <v/>
      </c>
      <c r="BR38" s="407">
        <f>CashFlow!BR$7</f>
        <v/>
      </c>
      <c r="BS38" s="407">
        <f>CashFlow!BS$7</f>
        <v/>
      </c>
      <c r="BT38" s="407">
        <f>CashFlow!BT$7</f>
        <v/>
      </c>
      <c r="BU38" s="407">
        <f>CashFlow!BU$7</f>
        <v/>
      </c>
      <c r="BV38" s="407">
        <f>CashFlow!BV$7</f>
        <v/>
      </c>
      <c r="BW38" s="407">
        <f>CashFlow!BW$7</f>
        <v/>
      </c>
      <c r="BX38" s="407">
        <f>CashFlow!BX$7</f>
        <v/>
      </c>
      <c r="BY38" s="407">
        <f>CashFlow!BY$7</f>
        <v/>
      </c>
      <c r="BZ38" s="407">
        <f>CashFlow!BZ$7</f>
        <v/>
      </c>
      <c r="CA38" s="407">
        <f>CashFlow!CA$7</f>
        <v/>
      </c>
      <c r="CB38" s="407">
        <f>CashFlow!CB$7</f>
        <v/>
      </c>
      <c r="CC38" s="407">
        <f>CashFlow!CC$7</f>
        <v/>
      </c>
      <c r="CD38" s="407">
        <f>CashFlow!CD$7</f>
        <v/>
      </c>
      <c r="CE38" s="407">
        <f>CashFlow!CE$7</f>
        <v/>
      </c>
      <c r="CF38" s="407">
        <f>CashFlow!CF$7</f>
        <v/>
      </c>
      <c r="CG38" s="407">
        <f>CashFlow!CG$7</f>
        <v/>
      </c>
      <c r="CH38" s="407">
        <f>CashFlow!CH$7</f>
        <v/>
      </c>
      <c r="CI38" s="407">
        <f>CashFlow!CI$7</f>
        <v/>
      </c>
      <c r="CJ38" s="407">
        <f>CashFlow!CJ$7</f>
        <v/>
      </c>
      <c r="CK38" s="407">
        <f>CashFlow!CK$7</f>
        <v/>
      </c>
      <c r="CL38" s="407">
        <f>CashFlow!CL$7</f>
        <v/>
      </c>
      <c r="CM38" s="407">
        <f>CashFlow!CM$7</f>
        <v/>
      </c>
      <c r="CN38" s="407">
        <f>CashFlow!CN$7</f>
        <v/>
      </c>
      <c r="CO38" s="407">
        <f>CashFlow!CO$7</f>
        <v/>
      </c>
      <c r="CP38" s="407">
        <f>CashFlow!CP$7</f>
        <v/>
      </c>
      <c r="CQ38" s="407">
        <f>CashFlow!CQ$7</f>
        <v/>
      </c>
      <c r="CR38" s="407">
        <f>CashFlow!CR$7</f>
        <v/>
      </c>
      <c r="CS38" s="407">
        <f>CashFlow!CS$7</f>
        <v/>
      </c>
      <c r="CT38" s="407">
        <f>CashFlow!CT$7</f>
        <v/>
      </c>
      <c r="CU38" s="407">
        <f>CashFlow!CU$7</f>
        <v/>
      </c>
      <c r="CV38" s="407">
        <f>CashFlow!CV$7</f>
        <v/>
      </c>
      <c r="CW38" s="407">
        <f>CashFlow!CW$7</f>
        <v/>
      </c>
      <c r="CX38" s="407">
        <f>CashFlow!CX$7</f>
        <v/>
      </c>
      <c r="CY38" s="407">
        <f>CashFlow!CY$7</f>
        <v/>
      </c>
      <c r="CZ38" s="407">
        <f>CashFlow!CZ$7</f>
        <v/>
      </c>
      <c r="DA38" s="407">
        <f>CashFlow!DA$7</f>
        <v/>
      </c>
      <c r="DB38" s="407">
        <f>CashFlow!DB$7</f>
        <v/>
      </c>
      <c r="DC38" s="407">
        <f>CashFlow!DC$7</f>
        <v/>
      </c>
      <c r="DD38" s="407">
        <f>CashFlow!DD$7</f>
        <v/>
      </c>
      <c r="DE38" s="407">
        <f>CashFlow!DE$7</f>
        <v/>
      </c>
      <c r="DF38" s="407">
        <f>CashFlow!DF$7</f>
        <v/>
      </c>
      <c r="DG38" s="407">
        <f>CashFlow!DG$7</f>
        <v/>
      </c>
      <c r="DH38" s="407">
        <f>CashFlow!DH$7</f>
        <v/>
      </c>
      <c r="DI38" s="407">
        <f>CashFlow!DI$7</f>
        <v/>
      </c>
      <c r="DJ38" s="407">
        <f>CashFlow!DJ$7</f>
        <v/>
      </c>
      <c r="DK38" s="407">
        <f>CashFlow!DK$7</f>
        <v/>
      </c>
      <c r="DL38" s="407">
        <f>CashFlow!DL$7</f>
        <v/>
      </c>
      <c r="DM38" s="407">
        <f>CashFlow!DM$7</f>
        <v/>
      </c>
      <c r="DN38" s="407">
        <f>CashFlow!DN$7</f>
        <v/>
      </c>
      <c r="DO38" s="407">
        <f>CashFlow!DO$7</f>
        <v/>
      </c>
      <c r="DP38" s="407">
        <f>CashFlow!DP$7</f>
        <v/>
      </c>
      <c r="DQ38" s="407">
        <f>CashFlow!DQ$7</f>
        <v/>
      </c>
      <c r="DR38" s="407">
        <f>CashFlow!DR$7</f>
        <v/>
      </c>
      <c r="DS38" s="407">
        <f>CashFlow!DS$7</f>
        <v/>
      </c>
      <c r="DT38" s="407">
        <f>CashFlow!DT$7</f>
        <v/>
      </c>
      <c r="DU38" s="407">
        <f>CashFlow!DU$7</f>
        <v/>
      </c>
      <c r="DV38" s="407">
        <f>CashFlow!DV$7</f>
        <v/>
      </c>
      <c r="DW38" s="407">
        <f>CashFlow!DW$7</f>
        <v/>
      </c>
      <c r="DX38" s="407">
        <f>CashFlow!DX$7</f>
        <v/>
      </c>
      <c r="DY38" s="407">
        <f>CashFlow!DY$7</f>
        <v/>
      </c>
      <c r="DZ38" s="407">
        <f>CashFlow!DZ$7</f>
        <v/>
      </c>
      <c r="EA38" s="407">
        <f>CashFlow!EA$7</f>
        <v/>
      </c>
      <c r="EB38" s="407">
        <f>CashFlow!EB$7</f>
        <v/>
      </c>
      <c r="EC38" s="407">
        <f>CashFlow!EC$7</f>
        <v/>
      </c>
      <c r="ED38" s="407">
        <f>CashFlow!ED$7</f>
        <v/>
      </c>
      <c r="EE38" s="407">
        <f>CashFlow!EE$7</f>
        <v/>
      </c>
      <c r="EF38" s="407">
        <f>CashFlow!EF$7</f>
        <v/>
      </c>
      <c r="EG38" s="407">
        <f>CashFlow!EG$7</f>
        <v/>
      </c>
      <c r="EH38" s="407">
        <f>CashFlow!EH$7</f>
        <v/>
      </c>
      <c r="EI38" s="407">
        <f>CashFlow!EI$7</f>
        <v/>
      </c>
      <c r="EJ38" s="407">
        <f>CashFlow!EJ$7</f>
        <v/>
      </c>
      <c r="EK38" s="407">
        <f>CashFlow!EK$7</f>
        <v/>
      </c>
      <c r="EL38" s="407">
        <f>CashFlow!EL$7</f>
        <v/>
      </c>
      <c r="EM38" s="407">
        <f>CashFlow!EM$7</f>
        <v/>
      </c>
      <c r="EN38" s="407">
        <f>CashFlow!EN$7</f>
        <v/>
      </c>
      <c r="EO38" s="407">
        <f>CashFlow!EO$7</f>
        <v/>
      </c>
      <c r="EP38" s="407">
        <f>CashFlow!EP$7</f>
        <v/>
      </c>
      <c r="EQ38" s="407">
        <f>CashFlow!EQ$7</f>
        <v/>
      </c>
      <c r="ER38" s="407">
        <f>CashFlow!ER$7</f>
        <v/>
      </c>
      <c r="ES38" s="407">
        <f>CashFlow!ES$7</f>
        <v/>
      </c>
      <c r="ET38" s="407">
        <f>CashFlow!ET$7</f>
        <v/>
      </c>
      <c r="EU38" s="407">
        <f>CashFlow!EU$7</f>
        <v/>
      </c>
      <c r="EV38" s="407">
        <f>CashFlow!EV$7</f>
        <v/>
      </c>
      <c r="EW38" s="407">
        <f>CashFlow!EW$7</f>
        <v/>
      </c>
      <c r="EX38" s="407">
        <f>CashFlow!EX$7</f>
        <v/>
      </c>
      <c r="EY38" s="407">
        <f>CashFlow!EY$7</f>
        <v/>
      </c>
      <c r="EZ38" s="407">
        <f>CashFlow!EZ$7</f>
        <v/>
      </c>
      <c r="FA38" s="407">
        <f>CashFlow!FA$7</f>
        <v/>
      </c>
      <c r="FB38" s="407">
        <f>CashFlow!FB$7</f>
        <v/>
      </c>
      <c r="FC38" s="407">
        <f>CashFlow!FC$7</f>
        <v/>
      </c>
      <c r="FD38" s="407">
        <f>CashFlow!FD$7</f>
        <v/>
      </c>
      <c r="FE38" s="407">
        <f>CashFlow!FE$7</f>
        <v/>
      </c>
      <c r="FF38" s="407">
        <f>CashFlow!FF$7</f>
        <v/>
      </c>
      <c r="FG38" s="407">
        <f>CashFlow!FG$7</f>
        <v/>
      </c>
      <c r="FH38" s="407">
        <f>CashFlow!FH$7</f>
        <v/>
      </c>
      <c r="FI38" s="407">
        <f>CashFlow!FI$7</f>
        <v/>
      </c>
      <c r="FJ38" s="407">
        <f>CashFlow!FJ$7</f>
        <v/>
      </c>
      <c r="FK38" s="407">
        <f>CashFlow!FK$7</f>
        <v/>
      </c>
      <c r="FL38" s="407">
        <f>CashFlow!FL$7</f>
        <v/>
      </c>
      <c r="FM38" s="407">
        <f>CashFlow!FM$7</f>
        <v/>
      </c>
      <c r="FN38" s="407">
        <f>CashFlow!FN$7</f>
        <v/>
      </c>
      <c r="FO38" s="407">
        <f>CashFlow!FO$7</f>
        <v/>
      </c>
      <c r="FP38" s="407">
        <f>CashFlow!FP$7</f>
        <v/>
      </c>
      <c r="FQ38" s="407">
        <f>CashFlow!FQ$7</f>
        <v/>
      </c>
      <c r="FR38" s="407">
        <f>CashFlow!FR$7</f>
        <v/>
      </c>
      <c r="FS38" s="407">
        <f>CashFlow!FS$7</f>
        <v/>
      </c>
      <c r="FT38" s="407">
        <f>CashFlow!FT$7</f>
        <v/>
      </c>
      <c r="FU38" s="407">
        <f>CashFlow!FU$7</f>
        <v/>
      </c>
      <c r="FV38" s="407">
        <f>CashFlow!FV$7</f>
        <v/>
      </c>
      <c r="FW38" s="407">
        <f>CashFlow!FW$7</f>
        <v/>
      </c>
      <c r="FX38" s="407">
        <f>CashFlow!FX$7</f>
        <v/>
      </c>
      <c r="FY38" s="407">
        <f>CashFlow!FY$7</f>
        <v/>
      </c>
      <c r="FZ38" s="407">
        <f>CashFlow!FZ$7</f>
        <v/>
      </c>
      <c r="GA38" s="407">
        <f>CashFlow!GA$7</f>
        <v/>
      </c>
      <c r="GB38" s="407">
        <f>CashFlow!GB$7</f>
        <v/>
      </c>
      <c r="GC38" s="407">
        <f>CashFlow!GC$7</f>
        <v/>
      </c>
      <c r="GD38" s="407">
        <f>CashFlow!GD$7</f>
        <v/>
      </c>
      <c r="GE38" s="407">
        <f>CashFlow!GE$7</f>
        <v/>
      </c>
      <c r="GF38" s="407">
        <f>CashFlow!GF$7</f>
        <v/>
      </c>
      <c r="GG38" s="407">
        <f>CashFlow!GG$7</f>
        <v/>
      </c>
      <c r="GH38" s="407">
        <f>CashFlow!GH$7</f>
        <v/>
      </c>
      <c r="GI38" s="407">
        <f>CashFlow!GI$7</f>
        <v/>
      </c>
      <c r="GJ38" s="407">
        <f>CashFlow!GJ$7</f>
        <v/>
      </c>
      <c r="GK38" s="407">
        <f>CashFlow!GK$7</f>
        <v/>
      </c>
      <c r="GL38" s="407">
        <f>CashFlow!GL$7</f>
        <v/>
      </c>
      <c r="GM38" s="407">
        <f>CashFlow!GM$7</f>
        <v/>
      </c>
      <c r="GN38" s="407">
        <f>CashFlow!GN$7</f>
        <v/>
      </c>
      <c r="GO38" s="407">
        <f>CashFlow!GO$7</f>
        <v/>
      </c>
      <c r="GP38" s="407">
        <f>CashFlow!GP$7</f>
        <v/>
      </c>
      <c r="GQ38" s="407">
        <f>CashFlow!GQ$7</f>
        <v/>
      </c>
      <c r="GR38" s="407">
        <f>CashFlow!GR$7</f>
        <v/>
      </c>
      <c r="GS38" s="407">
        <f>CashFlow!GS$7</f>
        <v/>
      </c>
      <c r="GT38" s="407">
        <f>CashFlow!GT$7</f>
        <v/>
      </c>
      <c r="GU38" s="407">
        <f>CashFlow!GU$7</f>
        <v/>
      </c>
      <c r="GV38" s="407">
        <f>CashFlow!GV$7</f>
        <v/>
      </c>
      <c r="GW38" s="407">
        <f>CashFlow!GW$7</f>
        <v/>
      </c>
      <c r="GX38" s="407">
        <f>CashFlow!GX$7</f>
        <v/>
      </c>
      <c r="GY38" s="407">
        <f>CashFlow!GY$7</f>
        <v/>
      </c>
      <c r="GZ38" s="407">
        <f>CashFlow!GZ$7</f>
        <v/>
      </c>
      <c r="HA38" s="407">
        <f>CashFlow!HA$7</f>
        <v/>
      </c>
      <c r="HB38" s="407">
        <f>CashFlow!HB$7</f>
        <v/>
      </c>
      <c r="HC38" s="407">
        <f>CashFlow!HC$7</f>
        <v/>
      </c>
      <c r="HD38" s="407">
        <f>CashFlow!HD$7</f>
        <v/>
      </c>
      <c r="HE38" s="407">
        <f>CashFlow!HE$7</f>
        <v/>
      </c>
      <c r="HF38" s="407">
        <f>CashFlow!HF$7</f>
        <v/>
      </c>
      <c r="HG38" s="407">
        <f>CashFlow!HG$7</f>
        <v/>
      </c>
      <c r="HH38" s="407">
        <f>CashFlow!HH$7</f>
        <v/>
      </c>
      <c r="HI38" s="407">
        <f>CashFlow!HI$7</f>
        <v/>
      </c>
      <c r="HJ38" s="407">
        <f>CashFlow!HJ$7</f>
        <v/>
      </c>
      <c r="HK38" s="407">
        <f>CashFlow!HK$7</f>
        <v/>
      </c>
      <c r="HL38" s="407">
        <f>CashFlow!HL$7</f>
        <v/>
      </c>
      <c r="HM38" s="407">
        <f>CashFlow!HM$7</f>
        <v/>
      </c>
      <c r="HN38" s="407">
        <f>CashFlow!HN$7</f>
        <v/>
      </c>
      <c r="HO38" s="407">
        <f>CashFlow!HO$7</f>
        <v/>
      </c>
      <c r="HP38" s="407">
        <f>CashFlow!HP$7</f>
        <v/>
      </c>
      <c r="HQ38" s="407">
        <f>CashFlow!HQ$7</f>
        <v/>
      </c>
      <c r="HR38" s="407">
        <f>CashFlow!HR$7</f>
        <v/>
      </c>
      <c r="HS38" s="407">
        <f>CashFlow!HS$7</f>
        <v/>
      </c>
      <c r="HT38" s="407">
        <f>CashFlow!HT$7</f>
        <v/>
      </c>
      <c r="HU38" s="407">
        <f>CashFlow!HU$7</f>
        <v/>
      </c>
      <c r="HV38" s="407">
        <f>CashFlow!HV$7</f>
        <v/>
      </c>
      <c r="HW38" s="407">
        <f>CashFlow!HW$7</f>
        <v/>
      </c>
      <c r="HX38" s="407">
        <f>CashFlow!HX$7</f>
        <v/>
      </c>
      <c r="HY38" s="407">
        <f>CashFlow!HY$7</f>
        <v/>
      </c>
      <c r="HZ38" s="407">
        <f>CashFlow!HZ$7</f>
        <v/>
      </c>
      <c r="IA38" s="407">
        <f>CashFlow!IA$7</f>
        <v/>
      </c>
      <c r="IB38" s="407">
        <f>CashFlow!IB$7</f>
        <v/>
      </c>
      <c r="IC38" s="407">
        <f>CashFlow!IC$7</f>
        <v/>
      </c>
      <c r="ID38" s="407">
        <f>CashFlow!ID$7</f>
        <v/>
      </c>
      <c r="IE38" s="407">
        <f>CashFlow!IE$7</f>
        <v/>
      </c>
      <c r="IF38" s="407">
        <f>CashFlow!IF$7</f>
        <v/>
      </c>
      <c r="IG38" s="407">
        <f>CashFlow!IG$7</f>
        <v/>
      </c>
      <c r="IH38" s="407">
        <f>CashFlow!IH$7</f>
        <v/>
      </c>
      <c r="II38" s="407">
        <f>CashFlow!II$7</f>
        <v/>
      </c>
      <c r="IJ38" s="407">
        <f>CashFlow!IJ$7</f>
        <v/>
      </c>
      <c r="IK38" s="407">
        <f>CashFlow!IK$7</f>
        <v/>
      </c>
      <c r="IL38" s="407">
        <f>CashFlow!IL$7</f>
        <v/>
      </c>
      <c r="IM38" s="407">
        <f>CashFlow!IM$7</f>
        <v/>
      </c>
      <c r="IN38" s="407">
        <f>CashFlow!IN$7</f>
        <v/>
      </c>
      <c r="IO38" s="407">
        <f>CashFlow!IO$7</f>
        <v/>
      </c>
      <c r="IP38" s="407">
        <f>CashFlow!IP$7</f>
        <v/>
      </c>
      <c r="IQ38" s="407">
        <f>CashFlow!IQ$7</f>
        <v/>
      </c>
      <c r="IR38" s="407">
        <f>CashFlow!IR$7</f>
        <v/>
      </c>
      <c r="IS38" s="407">
        <f>CashFlow!IS$7</f>
        <v/>
      </c>
      <c r="IT38" s="407">
        <f>CashFlow!IT$7</f>
        <v/>
      </c>
      <c r="IU38" s="407">
        <f>CashFlow!IU$7</f>
        <v/>
      </c>
      <c r="IV38" s="407">
        <f>CashFlow!IV$7</f>
        <v/>
      </c>
      <c r="IW38" s="407">
        <f>CashFlow!IW$7</f>
        <v/>
      </c>
      <c r="IX38" s="407">
        <f>CashFlow!IX$7</f>
        <v/>
      </c>
      <c r="IY38" s="407">
        <f>CashFlow!IY$7</f>
        <v/>
      </c>
      <c r="IZ38" s="407">
        <f>CashFlow!IZ$7</f>
        <v/>
      </c>
      <c r="JA38" s="407">
        <f>CashFlow!JA$7</f>
        <v/>
      </c>
      <c r="JB38" s="407">
        <f>CashFlow!JB$7</f>
        <v/>
      </c>
      <c r="JC38" s="407">
        <f>CashFlow!JC$7</f>
        <v/>
      </c>
      <c r="JD38" s="407">
        <f>CashFlow!JD$7</f>
        <v/>
      </c>
      <c r="JE38" s="407">
        <f>CashFlow!JE$7</f>
        <v/>
      </c>
      <c r="JF38" s="407">
        <f>CashFlow!JF$7</f>
        <v/>
      </c>
      <c r="JG38" s="407">
        <f>CashFlow!JG$7</f>
        <v/>
      </c>
      <c r="JH38" s="407">
        <f>CashFlow!JH$7</f>
        <v/>
      </c>
      <c r="JI38" s="407">
        <f>CashFlow!JI$7</f>
        <v/>
      </c>
      <c r="JJ38" s="407">
        <f>CashFlow!JJ$7</f>
        <v/>
      </c>
      <c r="JK38" s="407">
        <f>CashFlow!JK$7</f>
        <v/>
      </c>
      <c r="JL38" s="407">
        <f>CashFlow!JL$7</f>
        <v/>
      </c>
      <c r="JM38" s="407">
        <f>CashFlow!JM$7</f>
        <v/>
      </c>
      <c r="JN38" s="407">
        <f>CashFlow!JN$7</f>
        <v/>
      </c>
      <c r="JO38" s="407">
        <f>CashFlow!JO$7</f>
        <v/>
      </c>
      <c r="JP38" s="407">
        <f>CashFlow!JP$7</f>
        <v/>
      </c>
      <c r="JQ38" s="407">
        <f>CashFlow!JQ$7</f>
        <v/>
      </c>
      <c r="JR38" s="407">
        <f>CashFlow!JR$7</f>
        <v/>
      </c>
      <c r="JS38" s="407">
        <f>CashFlow!JS$7</f>
        <v/>
      </c>
      <c r="JT38" s="407">
        <f>CashFlow!JT$7</f>
        <v/>
      </c>
      <c r="JU38" s="407">
        <f>CashFlow!JU$7</f>
        <v/>
      </c>
      <c r="JV38" s="407">
        <f>CashFlow!JV$7</f>
        <v/>
      </c>
      <c r="JW38" s="407">
        <f>CashFlow!JW$7</f>
        <v/>
      </c>
      <c r="JX38" s="407">
        <f>CashFlow!JX$7</f>
        <v/>
      </c>
      <c r="JY38" s="407">
        <f>CashFlow!JY$7</f>
        <v/>
      </c>
      <c r="JZ38" s="407">
        <f>CashFlow!JZ$7</f>
        <v/>
      </c>
      <c r="KA38" s="407">
        <f>CashFlow!KA$7</f>
        <v/>
      </c>
      <c r="KB38" s="407">
        <f>CashFlow!KB$7</f>
        <v/>
      </c>
      <c r="KC38" s="407">
        <f>CashFlow!KC$7</f>
        <v/>
      </c>
      <c r="KD38" s="407">
        <f>CashFlow!KD$7</f>
        <v/>
      </c>
      <c r="KE38" s="407">
        <f>CashFlow!KE$7</f>
        <v/>
      </c>
      <c r="KF38" s="407">
        <f>CashFlow!KF$7</f>
        <v/>
      </c>
      <c r="KG38" s="407">
        <f>CashFlow!KG$7</f>
        <v/>
      </c>
      <c r="KH38" s="407">
        <f>CashFlow!KH$7</f>
        <v/>
      </c>
      <c r="KI38" s="407">
        <f>CashFlow!KI$7</f>
        <v/>
      </c>
      <c r="KJ38" s="407">
        <f>CashFlow!KJ$7</f>
        <v/>
      </c>
      <c r="KK38" s="407">
        <f>CashFlow!KK$7</f>
        <v/>
      </c>
      <c r="KL38" s="407">
        <f>CashFlow!KL$7</f>
        <v/>
      </c>
      <c r="KM38" s="407">
        <f>CashFlow!KM$7</f>
        <v/>
      </c>
      <c r="KN38" s="407">
        <f>CashFlow!KN$7</f>
        <v/>
      </c>
      <c r="KO38" s="407">
        <f>CashFlow!KO$7</f>
        <v/>
      </c>
      <c r="KP38" s="407">
        <f>CashFlow!KP$7</f>
        <v/>
      </c>
      <c r="KQ38" s="407">
        <f>CashFlow!KQ$7</f>
        <v/>
      </c>
      <c r="KR38" s="407">
        <f>CashFlow!KR$7</f>
        <v/>
      </c>
      <c r="KS38" s="407">
        <f>CashFlow!KS$7</f>
        <v/>
      </c>
      <c r="KT38" s="407">
        <f>CashFlow!KT$7</f>
        <v/>
      </c>
      <c r="KU38" s="407">
        <f>CashFlow!KU$7</f>
        <v/>
      </c>
      <c r="KV38" s="407">
        <f>CashFlow!KV$7</f>
        <v/>
      </c>
      <c r="KW38" s="407">
        <f>CashFlow!KW$7</f>
        <v/>
      </c>
      <c r="KX38" s="407">
        <f>CashFlow!KX$7</f>
        <v/>
      </c>
      <c r="KY38" s="407">
        <f>CashFlow!KY$7</f>
        <v/>
      </c>
      <c r="KZ38" s="407">
        <f>CashFlow!KZ$7</f>
        <v/>
      </c>
      <c r="LA38" s="407">
        <f>CashFlow!LA$7</f>
        <v/>
      </c>
      <c r="LB38" s="407">
        <f>CashFlow!LB$7</f>
        <v/>
      </c>
      <c r="LC38" s="407">
        <f>CashFlow!LC$7</f>
        <v/>
      </c>
      <c r="LD38" s="407">
        <f>CashFlow!LD$7</f>
        <v/>
      </c>
      <c r="LE38" s="407">
        <f>CashFlow!LE$7</f>
        <v/>
      </c>
      <c r="LF38" s="407">
        <f>CashFlow!LF$7</f>
        <v/>
      </c>
      <c r="LG38" s="407">
        <f>CashFlow!LG$7</f>
        <v/>
      </c>
      <c r="LH38" s="407">
        <f>CashFlow!LH$7</f>
        <v/>
      </c>
      <c r="LI38" s="407">
        <f>CashFlow!LI$7</f>
        <v/>
      </c>
      <c r="LJ38" s="407">
        <f>CashFlow!LJ$7</f>
        <v/>
      </c>
      <c r="LK38" s="407">
        <f>CashFlow!LK$7</f>
        <v/>
      </c>
      <c r="LL38" s="407">
        <f>CashFlow!LL$7</f>
        <v/>
      </c>
      <c r="LM38" s="407">
        <f>CashFlow!LM$7</f>
        <v/>
      </c>
      <c r="LN38" s="407">
        <f>CashFlow!LN$7</f>
        <v/>
      </c>
      <c r="LO38" s="407">
        <f>CashFlow!LO$7</f>
        <v/>
      </c>
      <c r="LP38" s="407">
        <f>CashFlow!LP$7</f>
        <v/>
      </c>
      <c r="LQ38" s="407">
        <f>CashFlow!LQ$7</f>
        <v/>
      </c>
      <c r="LR38" s="407">
        <f>CashFlow!LR$7</f>
        <v/>
      </c>
      <c r="LS38" s="407">
        <f>CashFlow!LS$7</f>
        <v/>
      </c>
      <c r="LT38" s="407">
        <f>CashFlow!LT$7</f>
        <v/>
      </c>
      <c r="LU38" s="407">
        <f>CashFlow!LU$7</f>
        <v/>
      </c>
      <c r="LV38" s="407">
        <f>CashFlow!LV$7</f>
        <v/>
      </c>
      <c r="LW38" s="407">
        <f>CashFlow!LW$7</f>
        <v/>
      </c>
      <c r="LX38" s="407">
        <f>CashFlow!LX$7</f>
        <v/>
      </c>
      <c r="LY38" s="407">
        <f>CashFlow!LY$7</f>
        <v/>
      </c>
      <c r="LZ38" s="407">
        <f>CashFlow!LZ$7</f>
        <v/>
      </c>
      <c r="MA38" s="407">
        <f>CashFlow!MA$7</f>
        <v/>
      </c>
      <c r="MB38" s="407">
        <f>CashFlow!MB$7</f>
        <v/>
      </c>
      <c r="MC38" s="407">
        <f>CashFlow!MC$7</f>
        <v/>
      </c>
      <c r="MD38" s="407">
        <f>CashFlow!MD$7</f>
        <v/>
      </c>
      <c r="ME38" s="407">
        <f>CashFlow!ME$7</f>
        <v/>
      </c>
      <c r="MF38" s="407">
        <f>CashFlow!MF$7</f>
        <v/>
      </c>
      <c r="MG38" s="407">
        <f>CashFlow!MG$7</f>
        <v/>
      </c>
      <c r="MH38" s="407">
        <f>CashFlow!MH$7</f>
        <v/>
      </c>
      <c r="MI38" s="407">
        <f>CashFlow!MI$7</f>
        <v/>
      </c>
      <c r="MJ38" s="407">
        <f>CashFlow!MJ$7</f>
        <v/>
      </c>
      <c r="MK38" s="407">
        <f>CashFlow!MK$7</f>
        <v/>
      </c>
      <c r="ML38" s="407">
        <f>CashFlow!ML$7</f>
        <v/>
      </c>
      <c r="MM38" s="407">
        <f>CashFlow!MM$7</f>
        <v/>
      </c>
      <c r="MN38" s="407">
        <f>CashFlow!MN$7</f>
        <v/>
      </c>
      <c r="MO38" s="407">
        <f>CashFlow!MO$7</f>
        <v/>
      </c>
      <c r="MP38" s="407">
        <f>CashFlow!MP$7</f>
        <v/>
      </c>
      <c r="MQ38" s="407">
        <f>CashFlow!MQ$7</f>
        <v/>
      </c>
      <c r="MR38" s="407">
        <f>CashFlow!MR$7</f>
        <v/>
      </c>
      <c r="MS38" s="407">
        <f>CashFlow!MS$7</f>
        <v/>
      </c>
      <c r="MT38" s="407">
        <f>CashFlow!MT$7</f>
        <v/>
      </c>
      <c r="MU38" s="407">
        <f>CashFlow!MU$7</f>
        <v/>
      </c>
      <c r="MV38" s="407">
        <f>CashFlow!MV$7</f>
        <v/>
      </c>
      <c r="MW38" s="407">
        <f>CashFlow!MW$7</f>
        <v/>
      </c>
      <c r="MX38" s="407">
        <f>CashFlow!MX$7</f>
        <v/>
      </c>
      <c r="MY38" s="407">
        <f>CashFlow!MY$7</f>
        <v/>
      </c>
      <c r="MZ38" s="407">
        <f>CashFlow!MZ$7</f>
        <v/>
      </c>
      <c r="NA38" s="407">
        <f>CashFlow!NA$7</f>
        <v/>
      </c>
      <c r="NB38" s="407">
        <f>CashFlow!NB$7</f>
        <v/>
      </c>
      <c r="NC38" s="407">
        <f>CashFlow!NC$7</f>
        <v/>
      </c>
      <c r="ND38" s="407">
        <f>CashFlow!ND$7</f>
        <v/>
      </c>
      <c r="NE38" s="407">
        <f>CashFlow!NE$7</f>
        <v/>
      </c>
      <c r="NF38" s="407">
        <f>CashFlow!NF$7</f>
        <v/>
      </c>
      <c r="NG38" s="407">
        <f>CashFlow!NG$7</f>
        <v/>
      </c>
      <c r="NH38" s="407">
        <f>CashFlow!NH$7</f>
        <v/>
      </c>
      <c r="NI38" s="407">
        <f>CashFlow!NI$7</f>
        <v/>
      </c>
      <c r="NJ38" s="407">
        <f>CashFlow!NJ$7</f>
        <v/>
      </c>
      <c r="NK38" s="407">
        <f>CashFlow!NK$7</f>
        <v/>
      </c>
      <c r="NL38" s="407">
        <f>CashFlow!NL$7</f>
        <v/>
      </c>
    </row>
    <row r="39">
      <c r="B39" s="330" t="inlineStr">
        <is>
          <t>Levered Cash Flow to Equity</t>
        </is>
      </c>
      <c r="D39" s="403">
        <f>SUM(E39:NL39)</f>
        <v/>
      </c>
      <c r="E39" s="407">
        <f>CashFlow!E$6</f>
        <v/>
      </c>
      <c r="F39" s="407">
        <f>CashFlow!F$6</f>
        <v/>
      </c>
      <c r="G39" s="407">
        <f>CashFlow!G$6</f>
        <v/>
      </c>
      <c r="H39" s="407">
        <f>CashFlow!H$6</f>
        <v/>
      </c>
      <c r="I39" s="407">
        <f>CashFlow!I$6</f>
        <v/>
      </c>
      <c r="J39" s="407">
        <f>CashFlow!J$6</f>
        <v/>
      </c>
      <c r="K39" s="407">
        <f>CashFlow!K$6</f>
        <v/>
      </c>
      <c r="L39" s="407">
        <f>CashFlow!L$6</f>
        <v/>
      </c>
      <c r="M39" s="407">
        <f>CashFlow!M$6</f>
        <v/>
      </c>
      <c r="N39" s="407">
        <f>CashFlow!N$6</f>
        <v/>
      </c>
      <c r="O39" s="407">
        <f>CashFlow!O$6</f>
        <v/>
      </c>
      <c r="P39" s="407">
        <f>CashFlow!P$6</f>
        <v/>
      </c>
      <c r="Q39" s="407">
        <f>CashFlow!Q$6</f>
        <v/>
      </c>
      <c r="R39" s="407">
        <f>CashFlow!R$6</f>
        <v/>
      </c>
      <c r="S39" s="407">
        <f>CashFlow!S$6</f>
        <v/>
      </c>
      <c r="T39" s="407">
        <f>CashFlow!T$6</f>
        <v/>
      </c>
      <c r="U39" s="407">
        <f>CashFlow!U$6</f>
        <v/>
      </c>
      <c r="V39" s="407">
        <f>CashFlow!V$6</f>
        <v/>
      </c>
      <c r="W39" s="407">
        <f>CashFlow!W$6</f>
        <v/>
      </c>
      <c r="X39" s="407">
        <f>CashFlow!X$6</f>
        <v/>
      </c>
      <c r="Y39" s="407">
        <f>CashFlow!Y$6</f>
        <v/>
      </c>
      <c r="Z39" s="407">
        <f>CashFlow!Z$6</f>
        <v/>
      </c>
      <c r="AA39" s="407">
        <f>CashFlow!AA$6</f>
        <v/>
      </c>
      <c r="AB39" s="407">
        <f>CashFlow!AB$6</f>
        <v/>
      </c>
      <c r="AC39" s="407">
        <f>CashFlow!AC$6</f>
        <v/>
      </c>
      <c r="AD39" s="407">
        <f>CashFlow!AD$6</f>
        <v/>
      </c>
      <c r="AE39" s="407">
        <f>CashFlow!AE$6</f>
        <v/>
      </c>
      <c r="AF39" s="407">
        <f>CashFlow!AF$6</f>
        <v/>
      </c>
      <c r="AG39" s="407">
        <f>CashFlow!AG$6</f>
        <v/>
      </c>
      <c r="AH39" s="407">
        <f>CashFlow!AH$6</f>
        <v/>
      </c>
      <c r="AI39" s="407">
        <f>CashFlow!AI$6</f>
        <v/>
      </c>
      <c r="AJ39" s="407">
        <f>CashFlow!AJ$6</f>
        <v/>
      </c>
      <c r="AK39" s="407">
        <f>CashFlow!AK$6</f>
        <v/>
      </c>
      <c r="AL39" s="407">
        <f>CashFlow!AL$6</f>
        <v/>
      </c>
      <c r="AM39" s="407">
        <f>CashFlow!AM$6</f>
        <v/>
      </c>
      <c r="AN39" s="407">
        <f>CashFlow!AN$6</f>
        <v/>
      </c>
      <c r="AO39" s="407">
        <f>CashFlow!AO$6</f>
        <v/>
      </c>
      <c r="AP39" s="407">
        <f>CashFlow!AP$6</f>
        <v/>
      </c>
      <c r="AQ39" s="407">
        <f>CashFlow!AQ$6</f>
        <v/>
      </c>
      <c r="AR39" s="407">
        <f>CashFlow!AR$6</f>
        <v/>
      </c>
      <c r="AS39" s="407">
        <f>CashFlow!AS$6</f>
        <v/>
      </c>
      <c r="AT39" s="407">
        <f>CashFlow!AT$6</f>
        <v/>
      </c>
      <c r="AU39" s="407">
        <f>CashFlow!AU$6</f>
        <v/>
      </c>
      <c r="AV39" s="407">
        <f>CashFlow!AV$6</f>
        <v/>
      </c>
      <c r="AW39" s="407">
        <f>CashFlow!AW$6</f>
        <v/>
      </c>
      <c r="AX39" s="407">
        <f>CashFlow!AX$6</f>
        <v/>
      </c>
      <c r="AY39" s="407">
        <f>CashFlow!AY$6</f>
        <v/>
      </c>
      <c r="AZ39" s="407">
        <f>CashFlow!AZ$6</f>
        <v/>
      </c>
      <c r="BA39" s="407">
        <f>CashFlow!BA$6</f>
        <v/>
      </c>
      <c r="BB39" s="407">
        <f>CashFlow!BB$6</f>
        <v/>
      </c>
      <c r="BC39" s="407">
        <f>CashFlow!BC$6</f>
        <v/>
      </c>
      <c r="BD39" s="407">
        <f>CashFlow!BD$6</f>
        <v/>
      </c>
      <c r="BE39" s="407">
        <f>CashFlow!BE$6</f>
        <v/>
      </c>
      <c r="BF39" s="407">
        <f>CashFlow!BF$6</f>
        <v/>
      </c>
      <c r="BG39" s="407">
        <f>CashFlow!BG$6</f>
        <v/>
      </c>
      <c r="BH39" s="407">
        <f>CashFlow!BH$6</f>
        <v/>
      </c>
      <c r="BI39" s="407">
        <f>CashFlow!BI$6</f>
        <v/>
      </c>
      <c r="BJ39" s="407">
        <f>CashFlow!BJ$6</f>
        <v/>
      </c>
      <c r="BK39" s="407">
        <f>CashFlow!BK$6</f>
        <v/>
      </c>
      <c r="BL39" s="407">
        <f>CashFlow!BL$6</f>
        <v/>
      </c>
      <c r="BM39" s="407">
        <f>CashFlow!BM$6</f>
        <v/>
      </c>
      <c r="BN39" s="407">
        <f>CashFlow!BN$6</f>
        <v/>
      </c>
      <c r="BO39" s="407">
        <f>CashFlow!BO$6</f>
        <v/>
      </c>
      <c r="BP39" s="407">
        <f>CashFlow!BP$6</f>
        <v/>
      </c>
      <c r="BQ39" s="407">
        <f>CashFlow!BQ$6</f>
        <v/>
      </c>
      <c r="BR39" s="407">
        <f>CashFlow!BR$6</f>
        <v/>
      </c>
      <c r="BS39" s="407">
        <f>CashFlow!BS$6</f>
        <v/>
      </c>
      <c r="BT39" s="407">
        <f>CashFlow!BT$6</f>
        <v/>
      </c>
      <c r="BU39" s="407">
        <f>CashFlow!BU$6</f>
        <v/>
      </c>
      <c r="BV39" s="407">
        <f>CashFlow!BV$6</f>
        <v/>
      </c>
      <c r="BW39" s="407">
        <f>CashFlow!BW$6</f>
        <v/>
      </c>
      <c r="BX39" s="407">
        <f>CashFlow!BX$6</f>
        <v/>
      </c>
      <c r="BY39" s="407">
        <f>CashFlow!BY$6</f>
        <v/>
      </c>
      <c r="BZ39" s="407">
        <f>CashFlow!BZ$6</f>
        <v/>
      </c>
      <c r="CA39" s="407">
        <f>CashFlow!CA$6</f>
        <v/>
      </c>
      <c r="CB39" s="407">
        <f>CashFlow!CB$6</f>
        <v/>
      </c>
      <c r="CC39" s="407">
        <f>CashFlow!CC$6</f>
        <v/>
      </c>
      <c r="CD39" s="407">
        <f>CashFlow!CD$6</f>
        <v/>
      </c>
      <c r="CE39" s="407">
        <f>CashFlow!CE$6</f>
        <v/>
      </c>
      <c r="CF39" s="407">
        <f>CashFlow!CF$6</f>
        <v/>
      </c>
      <c r="CG39" s="407">
        <f>CashFlow!CG$6</f>
        <v/>
      </c>
      <c r="CH39" s="407">
        <f>CashFlow!CH$6</f>
        <v/>
      </c>
      <c r="CI39" s="407">
        <f>CashFlow!CI$6</f>
        <v/>
      </c>
      <c r="CJ39" s="407">
        <f>CashFlow!CJ$6</f>
        <v/>
      </c>
      <c r="CK39" s="407">
        <f>CashFlow!CK$6</f>
        <v/>
      </c>
      <c r="CL39" s="407">
        <f>CashFlow!CL$6</f>
        <v/>
      </c>
      <c r="CM39" s="407">
        <f>CashFlow!CM$6</f>
        <v/>
      </c>
      <c r="CN39" s="407">
        <f>CashFlow!CN$6</f>
        <v/>
      </c>
      <c r="CO39" s="407">
        <f>CashFlow!CO$6</f>
        <v/>
      </c>
      <c r="CP39" s="407">
        <f>CashFlow!CP$6</f>
        <v/>
      </c>
      <c r="CQ39" s="407">
        <f>CashFlow!CQ$6</f>
        <v/>
      </c>
      <c r="CR39" s="407">
        <f>CashFlow!CR$6</f>
        <v/>
      </c>
      <c r="CS39" s="407">
        <f>CashFlow!CS$6</f>
        <v/>
      </c>
      <c r="CT39" s="407">
        <f>CashFlow!CT$6</f>
        <v/>
      </c>
      <c r="CU39" s="407">
        <f>CashFlow!CU$6</f>
        <v/>
      </c>
      <c r="CV39" s="407">
        <f>CashFlow!CV$6</f>
        <v/>
      </c>
      <c r="CW39" s="407">
        <f>CashFlow!CW$6</f>
        <v/>
      </c>
      <c r="CX39" s="407">
        <f>CashFlow!CX$6</f>
        <v/>
      </c>
      <c r="CY39" s="407">
        <f>CashFlow!CY$6</f>
        <v/>
      </c>
      <c r="CZ39" s="407">
        <f>CashFlow!CZ$6</f>
        <v/>
      </c>
      <c r="DA39" s="407">
        <f>CashFlow!DA$6</f>
        <v/>
      </c>
      <c r="DB39" s="407">
        <f>CashFlow!DB$6</f>
        <v/>
      </c>
      <c r="DC39" s="407">
        <f>CashFlow!DC$6</f>
        <v/>
      </c>
      <c r="DD39" s="407">
        <f>CashFlow!DD$6</f>
        <v/>
      </c>
      <c r="DE39" s="407">
        <f>CashFlow!DE$6</f>
        <v/>
      </c>
      <c r="DF39" s="407">
        <f>CashFlow!DF$6</f>
        <v/>
      </c>
      <c r="DG39" s="407">
        <f>CashFlow!DG$6</f>
        <v/>
      </c>
      <c r="DH39" s="407">
        <f>CashFlow!DH$6</f>
        <v/>
      </c>
      <c r="DI39" s="407">
        <f>CashFlow!DI$6</f>
        <v/>
      </c>
      <c r="DJ39" s="407">
        <f>CashFlow!DJ$6</f>
        <v/>
      </c>
      <c r="DK39" s="407">
        <f>CashFlow!DK$6</f>
        <v/>
      </c>
      <c r="DL39" s="407">
        <f>CashFlow!DL$6</f>
        <v/>
      </c>
      <c r="DM39" s="407">
        <f>CashFlow!DM$6</f>
        <v/>
      </c>
      <c r="DN39" s="407">
        <f>CashFlow!DN$6</f>
        <v/>
      </c>
      <c r="DO39" s="407">
        <f>CashFlow!DO$6</f>
        <v/>
      </c>
      <c r="DP39" s="407">
        <f>CashFlow!DP$6</f>
        <v/>
      </c>
      <c r="DQ39" s="407">
        <f>CashFlow!DQ$6</f>
        <v/>
      </c>
      <c r="DR39" s="407">
        <f>CashFlow!DR$6</f>
        <v/>
      </c>
      <c r="DS39" s="407">
        <f>CashFlow!DS$6</f>
        <v/>
      </c>
      <c r="DT39" s="407">
        <f>CashFlow!DT$6</f>
        <v/>
      </c>
      <c r="DU39" s="407">
        <f>CashFlow!DU$6</f>
        <v/>
      </c>
      <c r="DV39" s="407">
        <f>CashFlow!DV$6</f>
        <v/>
      </c>
      <c r="DW39" s="407">
        <f>CashFlow!DW$6</f>
        <v/>
      </c>
      <c r="DX39" s="407">
        <f>CashFlow!DX$6</f>
        <v/>
      </c>
      <c r="DY39" s="407">
        <f>CashFlow!DY$6</f>
        <v/>
      </c>
      <c r="DZ39" s="407">
        <f>CashFlow!DZ$6</f>
        <v/>
      </c>
      <c r="EA39" s="407">
        <f>CashFlow!EA$6</f>
        <v/>
      </c>
      <c r="EB39" s="407">
        <f>CashFlow!EB$6</f>
        <v/>
      </c>
      <c r="EC39" s="407">
        <f>CashFlow!EC$6</f>
        <v/>
      </c>
      <c r="ED39" s="407">
        <f>CashFlow!ED$6</f>
        <v/>
      </c>
      <c r="EE39" s="407">
        <f>CashFlow!EE$6</f>
        <v/>
      </c>
      <c r="EF39" s="407">
        <f>CashFlow!EF$6</f>
        <v/>
      </c>
      <c r="EG39" s="407">
        <f>CashFlow!EG$6</f>
        <v/>
      </c>
      <c r="EH39" s="407">
        <f>CashFlow!EH$6</f>
        <v/>
      </c>
      <c r="EI39" s="407">
        <f>CashFlow!EI$6</f>
        <v/>
      </c>
      <c r="EJ39" s="407">
        <f>CashFlow!EJ$6</f>
        <v/>
      </c>
      <c r="EK39" s="407">
        <f>CashFlow!EK$6</f>
        <v/>
      </c>
      <c r="EL39" s="407">
        <f>CashFlow!EL$6</f>
        <v/>
      </c>
      <c r="EM39" s="407">
        <f>CashFlow!EM$6</f>
        <v/>
      </c>
      <c r="EN39" s="407">
        <f>CashFlow!EN$6</f>
        <v/>
      </c>
      <c r="EO39" s="407">
        <f>CashFlow!EO$6</f>
        <v/>
      </c>
      <c r="EP39" s="407">
        <f>CashFlow!EP$6</f>
        <v/>
      </c>
      <c r="EQ39" s="407">
        <f>CashFlow!EQ$6</f>
        <v/>
      </c>
      <c r="ER39" s="407">
        <f>CashFlow!ER$6</f>
        <v/>
      </c>
      <c r="ES39" s="407">
        <f>CashFlow!ES$6</f>
        <v/>
      </c>
      <c r="ET39" s="407">
        <f>CashFlow!ET$6</f>
        <v/>
      </c>
      <c r="EU39" s="407">
        <f>CashFlow!EU$6</f>
        <v/>
      </c>
      <c r="EV39" s="407">
        <f>CashFlow!EV$6</f>
        <v/>
      </c>
      <c r="EW39" s="407">
        <f>CashFlow!EW$6</f>
        <v/>
      </c>
      <c r="EX39" s="407">
        <f>CashFlow!EX$6</f>
        <v/>
      </c>
      <c r="EY39" s="407">
        <f>CashFlow!EY$6</f>
        <v/>
      </c>
      <c r="EZ39" s="407">
        <f>CashFlow!EZ$6</f>
        <v/>
      </c>
      <c r="FA39" s="407">
        <f>CashFlow!FA$6</f>
        <v/>
      </c>
      <c r="FB39" s="407">
        <f>CashFlow!FB$6</f>
        <v/>
      </c>
      <c r="FC39" s="407">
        <f>CashFlow!FC$6</f>
        <v/>
      </c>
      <c r="FD39" s="407">
        <f>CashFlow!FD$6</f>
        <v/>
      </c>
      <c r="FE39" s="407">
        <f>CashFlow!FE$6</f>
        <v/>
      </c>
      <c r="FF39" s="407">
        <f>CashFlow!FF$6</f>
        <v/>
      </c>
      <c r="FG39" s="407">
        <f>CashFlow!FG$6</f>
        <v/>
      </c>
      <c r="FH39" s="407">
        <f>CashFlow!FH$6</f>
        <v/>
      </c>
      <c r="FI39" s="407">
        <f>CashFlow!FI$6</f>
        <v/>
      </c>
      <c r="FJ39" s="407">
        <f>CashFlow!FJ$6</f>
        <v/>
      </c>
      <c r="FK39" s="407">
        <f>CashFlow!FK$6</f>
        <v/>
      </c>
      <c r="FL39" s="407">
        <f>CashFlow!FL$6</f>
        <v/>
      </c>
      <c r="FM39" s="407">
        <f>CashFlow!FM$6</f>
        <v/>
      </c>
      <c r="FN39" s="407">
        <f>CashFlow!FN$6</f>
        <v/>
      </c>
      <c r="FO39" s="407">
        <f>CashFlow!FO$6</f>
        <v/>
      </c>
      <c r="FP39" s="407">
        <f>CashFlow!FP$6</f>
        <v/>
      </c>
      <c r="FQ39" s="407">
        <f>CashFlow!FQ$6</f>
        <v/>
      </c>
      <c r="FR39" s="407">
        <f>CashFlow!FR$6</f>
        <v/>
      </c>
      <c r="FS39" s="407">
        <f>CashFlow!FS$6</f>
        <v/>
      </c>
      <c r="FT39" s="407">
        <f>CashFlow!FT$6</f>
        <v/>
      </c>
      <c r="FU39" s="407">
        <f>CashFlow!FU$6</f>
        <v/>
      </c>
      <c r="FV39" s="407">
        <f>CashFlow!FV$6</f>
        <v/>
      </c>
      <c r="FW39" s="407">
        <f>CashFlow!FW$6</f>
        <v/>
      </c>
      <c r="FX39" s="407">
        <f>CashFlow!FX$6</f>
        <v/>
      </c>
      <c r="FY39" s="407">
        <f>CashFlow!FY$6</f>
        <v/>
      </c>
      <c r="FZ39" s="407">
        <f>CashFlow!FZ$6</f>
        <v/>
      </c>
      <c r="GA39" s="407">
        <f>CashFlow!GA$6</f>
        <v/>
      </c>
      <c r="GB39" s="407">
        <f>CashFlow!GB$6</f>
        <v/>
      </c>
      <c r="GC39" s="407">
        <f>CashFlow!GC$6</f>
        <v/>
      </c>
      <c r="GD39" s="407">
        <f>CashFlow!GD$6</f>
        <v/>
      </c>
      <c r="GE39" s="407">
        <f>CashFlow!GE$6</f>
        <v/>
      </c>
      <c r="GF39" s="407">
        <f>CashFlow!GF$6</f>
        <v/>
      </c>
      <c r="GG39" s="407">
        <f>CashFlow!GG$6</f>
        <v/>
      </c>
      <c r="GH39" s="407">
        <f>CashFlow!GH$6</f>
        <v/>
      </c>
      <c r="GI39" s="407">
        <f>CashFlow!GI$6</f>
        <v/>
      </c>
      <c r="GJ39" s="407">
        <f>CashFlow!GJ$6</f>
        <v/>
      </c>
      <c r="GK39" s="407">
        <f>CashFlow!GK$6</f>
        <v/>
      </c>
      <c r="GL39" s="407">
        <f>CashFlow!GL$6</f>
        <v/>
      </c>
      <c r="GM39" s="407">
        <f>CashFlow!GM$6</f>
        <v/>
      </c>
      <c r="GN39" s="407">
        <f>CashFlow!GN$6</f>
        <v/>
      </c>
      <c r="GO39" s="407">
        <f>CashFlow!GO$6</f>
        <v/>
      </c>
      <c r="GP39" s="407">
        <f>CashFlow!GP$6</f>
        <v/>
      </c>
      <c r="GQ39" s="407">
        <f>CashFlow!GQ$6</f>
        <v/>
      </c>
      <c r="GR39" s="407">
        <f>CashFlow!GR$6</f>
        <v/>
      </c>
      <c r="GS39" s="407">
        <f>CashFlow!GS$6</f>
        <v/>
      </c>
      <c r="GT39" s="407">
        <f>CashFlow!GT$6</f>
        <v/>
      </c>
      <c r="GU39" s="407">
        <f>CashFlow!GU$6</f>
        <v/>
      </c>
      <c r="GV39" s="407">
        <f>CashFlow!GV$6</f>
        <v/>
      </c>
      <c r="GW39" s="407">
        <f>CashFlow!GW$6</f>
        <v/>
      </c>
      <c r="GX39" s="407">
        <f>CashFlow!GX$6</f>
        <v/>
      </c>
      <c r="GY39" s="407">
        <f>CashFlow!GY$6</f>
        <v/>
      </c>
      <c r="GZ39" s="407">
        <f>CashFlow!GZ$6</f>
        <v/>
      </c>
      <c r="HA39" s="407">
        <f>CashFlow!HA$6</f>
        <v/>
      </c>
      <c r="HB39" s="407">
        <f>CashFlow!HB$6</f>
        <v/>
      </c>
      <c r="HC39" s="407">
        <f>CashFlow!HC$6</f>
        <v/>
      </c>
      <c r="HD39" s="407">
        <f>CashFlow!HD$6</f>
        <v/>
      </c>
      <c r="HE39" s="407">
        <f>CashFlow!HE$6</f>
        <v/>
      </c>
      <c r="HF39" s="407">
        <f>CashFlow!HF$6</f>
        <v/>
      </c>
      <c r="HG39" s="407">
        <f>CashFlow!HG$6</f>
        <v/>
      </c>
      <c r="HH39" s="407">
        <f>CashFlow!HH$6</f>
        <v/>
      </c>
      <c r="HI39" s="407">
        <f>CashFlow!HI$6</f>
        <v/>
      </c>
      <c r="HJ39" s="407">
        <f>CashFlow!HJ$6</f>
        <v/>
      </c>
      <c r="HK39" s="407">
        <f>CashFlow!HK$6</f>
        <v/>
      </c>
      <c r="HL39" s="407">
        <f>CashFlow!HL$6</f>
        <v/>
      </c>
      <c r="HM39" s="407">
        <f>CashFlow!HM$6</f>
        <v/>
      </c>
      <c r="HN39" s="407">
        <f>CashFlow!HN$6</f>
        <v/>
      </c>
      <c r="HO39" s="407">
        <f>CashFlow!HO$6</f>
        <v/>
      </c>
      <c r="HP39" s="407">
        <f>CashFlow!HP$6</f>
        <v/>
      </c>
      <c r="HQ39" s="407">
        <f>CashFlow!HQ$6</f>
        <v/>
      </c>
      <c r="HR39" s="407">
        <f>CashFlow!HR$6</f>
        <v/>
      </c>
      <c r="HS39" s="407">
        <f>CashFlow!HS$6</f>
        <v/>
      </c>
      <c r="HT39" s="407">
        <f>CashFlow!HT$6</f>
        <v/>
      </c>
      <c r="HU39" s="407">
        <f>CashFlow!HU$6</f>
        <v/>
      </c>
      <c r="HV39" s="407">
        <f>CashFlow!HV$6</f>
        <v/>
      </c>
      <c r="HW39" s="407">
        <f>CashFlow!HW$6</f>
        <v/>
      </c>
      <c r="HX39" s="407">
        <f>CashFlow!HX$6</f>
        <v/>
      </c>
      <c r="HY39" s="407">
        <f>CashFlow!HY$6</f>
        <v/>
      </c>
      <c r="HZ39" s="407">
        <f>CashFlow!HZ$6</f>
        <v/>
      </c>
      <c r="IA39" s="407">
        <f>CashFlow!IA$6</f>
        <v/>
      </c>
      <c r="IB39" s="407">
        <f>CashFlow!IB$6</f>
        <v/>
      </c>
      <c r="IC39" s="407">
        <f>CashFlow!IC$6</f>
        <v/>
      </c>
      <c r="ID39" s="407">
        <f>CashFlow!ID$6</f>
        <v/>
      </c>
      <c r="IE39" s="407">
        <f>CashFlow!IE$6</f>
        <v/>
      </c>
      <c r="IF39" s="407">
        <f>CashFlow!IF$6</f>
        <v/>
      </c>
      <c r="IG39" s="407">
        <f>CashFlow!IG$6</f>
        <v/>
      </c>
      <c r="IH39" s="407">
        <f>CashFlow!IH$6</f>
        <v/>
      </c>
      <c r="II39" s="407">
        <f>CashFlow!II$6</f>
        <v/>
      </c>
      <c r="IJ39" s="407">
        <f>CashFlow!IJ$6</f>
        <v/>
      </c>
      <c r="IK39" s="407">
        <f>CashFlow!IK$6</f>
        <v/>
      </c>
      <c r="IL39" s="407">
        <f>CashFlow!IL$6</f>
        <v/>
      </c>
      <c r="IM39" s="407">
        <f>CashFlow!IM$6</f>
        <v/>
      </c>
      <c r="IN39" s="407">
        <f>CashFlow!IN$6</f>
        <v/>
      </c>
      <c r="IO39" s="407">
        <f>CashFlow!IO$6</f>
        <v/>
      </c>
      <c r="IP39" s="407">
        <f>CashFlow!IP$6</f>
        <v/>
      </c>
      <c r="IQ39" s="407">
        <f>CashFlow!IQ$6</f>
        <v/>
      </c>
      <c r="IR39" s="407">
        <f>CashFlow!IR$6</f>
        <v/>
      </c>
      <c r="IS39" s="407">
        <f>CashFlow!IS$6</f>
        <v/>
      </c>
      <c r="IT39" s="407">
        <f>CashFlow!IT$6</f>
        <v/>
      </c>
      <c r="IU39" s="407">
        <f>CashFlow!IU$6</f>
        <v/>
      </c>
      <c r="IV39" s="407">
        <f>CashFlow!IV$6</f>
        <v/>
      </c>
      <c r="IW39" s="407">
        <f>CashFlow!IW$6</f>
        <v/>
      </c>
      <c r="IX39" s="407">
        <f>CashFlow!IX$6</f>
        <v/>
      </c>
      <c r="IY39" s="407">
        <f>CashFlow!IY$6</f>
        <v/>
      </c>
      <c r="IZ39" s="407">
        <f>CashFlow!IZ$6</f>
        <v/>
      </c>
      <c r="JA39" s="407">
        <f>CashFlow!JA$6</f>
        <v/>
      </c>
      <c r="JB39" s="407">
        <f>CashFlow!JB$6</f>
        <v/>
      </c>
      <c r="JC39" s="407">
        <f>CashFlow!JC$6</f>
        <v/>
      </c>
      <c r="JD39" s="407">
        <f>CashFlow!JD$6</f>
        <v/>
      </c>
      <c r="JE39" s="407">
        <f>CashFlow!JE$6</f>
        <v/>
      </c>
      <c r="JF39" s="407">
        <f>CashFlow!JF$6</f>
        <v/>
      </c>
      <c r="JG39" s="407">
        <f>CashFlow!JG$6</f>
        <v/>
      </c>
      <c r="JH39" s="407">
        <f>CashFlow!JH$6</f>
        <v/>
      </c>
      <c r="JI39" s="407">
        <f>CashFlow!JI$6</f>
        <v/>
      </c>
      <c r="JJ39" s="407">
        <f>CashFlow!JJ$6</f>
        <v/>
      </c>
      <c r="JK39" s="407">
        <f>CashFlow!JK$6</f>
        <v/>
      </c>
      <c r="JL39" s="407">
        <f>CashFlow!JL$6</f>
        <v/>
      </c>
      <c r="JM39" s="407">
        <f>CashFlow!JM$6</f>
        <v/>
      </c>
      <c r="JN39" s="407">
        <f>CashFlow!JN$6</f>
        <v/>
      </c>
      <c r="JO39" s="407">
        <f>CashFlow!JO$6</f>
        <v/>
      </c>
      <c r="JP39" s="407">
        <f>CashFlow!JP$6</f>
        <v/>
      </c>
      <c r="JQ39" s="407">
        <f>CashFlow!JQ$6</f>
        <v/>
      </c>
      <c r="JR39" s="407">
        <f>CashFlow!JR$6</f>
        <v/>
      </c>
      <c r="JS39" s="407">
        <f>CashFlow!JS$6</f>
        <v/>
      </c>
      <c r="JT39" s="407">
        <f>CashFlow!JT$6</f>
        <v/>
      </c>
      <c r="JU39" s="407">
        <f>CashFlow!JU$6</f>
        <v/>
      </c>
      <c r="JV39" s="407">
        <f>CashFlow!JV$6</f>
        <v/>
      </c>
      <c r="JW39" s="407">
        <f>CashFlow!JW$6</f>
        <v/>
      </c>
      <c r="JX39" s="407">
        <f>CashFlow!JX$6</f>
        <v/>
      </c>
      <c r="JY39" s="407">
        <f>CashFlow!JY$6</f>
        <v/>
      </c>
      <c r="JZ39" s="407">
        <f>CashFlow!JZ$6</f>
        <v/>
      </c>
      <c r="KA39" s="407">
        <f>CashFlow!KA$6</f>
        <v/>
      </c>
      <c r="KB39" s="407">
        <f>CashFlow!KB$6</f>
        <v/>
      </c>
      <c r="KC39" s="407">
        <f>CashFlow!KC$6</f>
        <v/>
      </c>
      <c r="KD39" s="407">
        <f>CashFlow!KD$6</f>
        <v/>
      </c>
      <c r="KE39" s="407">
        <f>CashFlow!KE$6</f>
        <v/>
      </c>
      <c r="KF39" s="407">
        <f>CashFlow!KF$6</f>
        <v/>
      </c>
      <c r="KG39" s="407">
        <f>CashFlow!KG$6</f>
        <v/>
      </c>
      <c r="KH39" s="407">
        <f>CashFlow!KH$6</f>
        <v/>
      </c>
      <c r="KI39" s="407">
        <f>CashFlow!KI$6</f>
        <v/>
      </c>
      <c r="KJ39" s="407">
        <f>CashFlow!KJ$6</f>
        <v/>
      </c>
      <c r="KK39" s="407">
        <f>CashFlow!KK$6</f>
        <v/>
      </c>
      <c r="KL39" s="407">
        <f>CashFlow!KL$6</f>
        <v/>
      </c>
      <c r="KM39" s="407">
        <f>CashFlow!KM$6</f>
        <v/>
      </c>
      <c r="KN39" s="407">
        <f>CashFlow!KN$6</f>
        <v/>
      </c>
      <c r="KO39" s="407">
        <f>CashFlow!KO$6</f>
        <v/>
      </c>
      <c r="KP39" s="407">
        <f>CashFlow!KP$6</f>
        <v/>
      </c>
      <c r="KQ39" s="407">
        <f>CashFlow!KQ$6</f>
        <v/>
      </c>
      <c r="KR39" s="407">
        <f>CashFlow!KR$6</f>
        <v/>
      </c>
      <c r="KS39" s="407">
        <f>CashFlow!KS$6</f>
        <v/>
      </c>
      <c r="KT39" s="407">
        <f>CashFlow!KT$6</f>
        <v/>
      </c>
      <c r="KU39" s="407">
        <f>CashFlow!KU$6</f>
        <v/>
      </c>
      <c r="KV39" s="407">
        <f>CashFlow!KV$6</f>
        <v/>
      </c>
      <c r="KW39" s="407">
        <f>CashFlow!KW$6</f>
        <v/>
      </c>
      <c r="KX39" s="407">
        <f>CashFlow!KX$6</f>
        <v/>
      </c>
      <c r="KY39" s="407">
        <f>CashFlow!KY$6</f>
        <v/>
      </c>
      <c r="KZ39" s="407">
        <f>CashFlow!KZ$6</f>
        <v/>
      </c>
      <c r="LA39" s="407">
        <f>CashFlow!LA$6</f>
        <v/>
      </c>
      <c r="LB39" s="407">
        <f>CashFlow!LB$6</f>
        <v/>
      </c>
      <c r="LC39" s="407">
        <f>CashFlow!LC$6</f>
        <v/>
      </c>
      <c r="LD39" s="407">
        <f>CashFlow!LD$6</f>
        <v/>
      </c>
      <c r="LE39" s="407">
        <f>CashFlow!LE$6</f>
        <v/>
      </c>
      <c r="LF39" s="407">
        <f>CashFlow!LF$6</f>
        <v/>
      </c>
      <c r="LG39" s="407">
        <f>CashFlow!LG$6</f>
        <v/>
      </c>
      <c r="LH39" s="407">
        <f>CashFlow!LH$6</f>
        <v/>
      </c>
      <c r="LI39" s="407">
        <f>CashFlow!LI$6</f>
        <v/>
      </c>
      <c r="LJ39" s="407">
        <f>CashFlow!LJ$6</f>
        <v/>
      </c>
      <c r="LK39" s="407">
        <f>CashFlow!LK$6</f>
        <v/>
      </c>
      <c r="LL39" s="407">
        <f>CashFlow!LL$6</f>
        <v/>
      </c>
      <c r="LM39" s="407">
        <f>CashFlow!LM$6</f>
        <v/>
      </c>
      <c r="LN39" s="407">
        <f>CashFlow!LN$6</f>
        <v/>
      </c>
      <c r="LO39" s="407">
        <f>CashFlow!LO$6</f>
        <v/>
      </c>
      <c r="LP39" s="407">
        <f>CashFlow!LP$6</f>
        <v/>
      </c>
      <c r="LQ39" s="407">
        <f>CashFlow!LQ$6</f>
        <v/>
      </c>
      <c r="LR39" s="407">
        <f>CashFlow!LR$6</f>
        <v/>
      </c>
      <c r="LS39" s="407">
        <f>CashFlow!LS$6</f>
        <v/>
      </c>
      <c r="LT39" s="407">
        <f>CashFlow!LT$6</f>
        <v/>
      </c>
      <c r="LU39" s="407">
        <f>CashFlow!LU$6</f>
        <v/>
      </c>
      <c r="LV39" s="407">
        <f>CashFlow!LV$6</f>
        <v/>
      </c>
      <c r="LW39" s="407">
        <f>CashFlow!LW$6</f>
        <v/>
      </c>
      <c r="LX39" s="407">
        <f>CashFlow!LX$6</f>
        <v/>
      </c>
      <c r="LY39" s="407">
        <f>CashFlow!LY$6</f>
        <v/>
      </c>
      <c r="LZ39" s="407">
        <f>CashFlow!LZ$6</f>
        <v/>
      </c>
      <c r="MA39" s="407">
        <f>CashFlow!MA$6</f>
        <v/>
      </c>
      <c r="MB39" s="407">
        <f>CashFlow!MB$6</f>
        <v/>
      </c>
      <c r="MC39" s="407">
        <f>CashFlow!MC$6</f>
        <v/>
      </c>
      <c r="MD39" s="407">
        <f>CashFlow!MD$6</f>
        <v/>
      </c>
      <c r="ME39" s="407">
        <f>CashFlow!ME$6</f>
        <v/>
      </c>
      <c r="MF39" s="407">
        <f>CashFlow!MF$6</f>
        <v/>
      </c>
      <c r="MG39" s="407">
        <f>CashFlow!MG$6</f>
        <v/>
      </c>
      <c r="MH39" s="407">
        <f>CashFlow!MH$6</f>
        <v/>
      </c>
      <c r="MI39" s="407">
        <f>CashFlow!MI$6</f>
        <v/>
      </c>
      <c r="MJ39" s="407">
        <f>CashFlow!MJ$6</f>
        <v/>
      </c>
      <c r="MK39" s="407">
        <f>CashFlow!MK$6</f>
        <v/>
      </c>
      <c r="ML39" s="407">
        <f>CashFlow!ML$6</f>
        <v/>
      </c>
      <c r="MM39" s="407">
        <f>CashFlow!MM$6</f>
        <v/>
      </c>
      <c r="MN39" s="407">
        <f>CashFlow!MN$6</f>
        <v/>
      </c>
      <c r="MO39" s="407">
        <f>CashFlow!MO$6</f>
        <v/>
      </c>
      <c r="MP39" s="407">
        <f>CashFlow!MP$6</f>
        <v/>
      </c>
      <c r="MQ39" s="407">
        <f>CashFlow!MQ$6</f>
        <v/>
      </c>
      <c r="MR39" s="407">
        <f>CashFlow!MR$6</f>
        <v/>
      </c>
      <c r="MS39" s="407">
        <f>CashFlow!MS$6</f>
        <v/>
      </c>
      <c r="MT39" s="407">
        <f>CashFlow!MT$6</f>
        <v/>
      </c>
      <c r="MU39" s="407">
        <f>CashFlow!MU$6</f>
        <v/>
      </c>
      <c r="MV39" s="407">
        <f>CashFlow!MV$6</f>
        <v/>
      </c>
      <c r="MW39" s="407">
        <f>CashFlow!MW$6</f>
        <v/>
      </c>
      <c r="MX39" s="407">
        <f>CashFlow!MX$6</f>
        <v/>
      </c>
      <c r="MY39" s="407">
        <f>CashFlow!MY$6</f>
        <v/>
      </c>
      <c r="MZ39" s="407">
        <f>CashFlow!MZ$6</f>
        <v/>
      </c>
      <c r="NA39" s="407">
        <f>CashFlow!NA$6</f>
        <v/>
      </c>
      <c r="NB39" s="407">
        <f>CashFlow!NB$6</f>
        <v/>
      </c>
      <c r="NC39" s="407">
        <f>CashFlow!NC$6</f>
        <v/>
      </c>
      <c r="ND39" s="407">
        <f>CashFlow!ND$6</f>
        <v/>
      </c>
      <c r="NE39" s="407">
        <f>CashFlow!NE$6</f>
        <v/>
      </c>
      <c r="NF39" s="407">
        <f>CashFlow!NF$6</f>
        <v/>
      </c>
      <c r="NG39" s="407">
        <f>CashFlow!NG$6</f>
        <v/>
      </c>
      <c r="NH39" s="407">
        <f>CashFlow!NH$6</f>
        <v/>
      </c>
      <c r="NI39" s="407">
        <f>CashFlow!NI$6</f>
        <v/>
      </c>
      <c r="NJ39" s="407">
        <f>CashFlow!NJ$6</f>
        <v/>
      </c>
      <c r="NK39" s="407">
        <f>CashFlow!NK$6</f>
        <v/>
      </c>
      <c r="NL39" s="407">
        <f>CashFlow!NL$6</f>
        <v/>
      </c>
    </row>
    <row r="40">
      <c r="B40" s="316" t="inlineStr">
        <is>
          <t>Cumulative Levered Cash Flow</t>
        </is>
      </c>
      <c r="D40" s="407">
        <f>INDEX(E40:NL40,HoldPeriodMonths)</f>
        <v/>
      </c>
      <c r="E40" s="402">
        <f>0+E39</f>
        <v/>
      </c>
      <c r="F40" s="402">
        <f>E40+F39</f>
        <v/>
      </c>
      <c r="G40" s="402">
        <f>F40+G39</f>
        <v/>
      </c>
      <c r="H40" s="402">
        <f>G40+H39</f>
        <v/>
      </c>
      <c r="I40" s="402">
        <f>H40+I39</f>
        <v/>
      </c>
      <c r="J40" s="402">
        <f>I40+J39</f>
        <v/>
      </c>
      <c r="K40" s="402">
        <f>J40+K39</f>
        <v/>
      </c>
      <c r="L40" s="402">
        <f>K40+L39</f>
        <v/>
      </c>
      <c r="M40" s="402">
        <f>L40+M39</f>
        <v/>
      </c>
      <c r="N40" s="402">
        <f>M40+N39</f>
        <v/>
      </c>
      <c r="O40" s="402">
        <f>N40+O39</f>
        <v/>
      </c>
      <c r="P40" s="402">
        <f>O40+P39</f>
        <v/>
      </c>
      <c r="Q40" s="402">
        <f>P40+Q39</f>
        <v/>
      </c>
      <c r="R40" s="402">
        <f>Q40+R39</f>
        <v/>
      </c>
      <c r="S40" s="402">
        <f>R40+S39</f>
        <v/>
      </c>
      <c r="T40" s="402">
        <f>S40+T39</f>
        <v/>
      </c>
      <c r="U40" s="402">
        <f>T40+U39</f>
        <v/>
      </c>
      <c r="V40" s="402">
        <f>U40+V39</f>
        <v/>
      </c>
      <c r="W40" s="402">
        <f>V40+W39</f>
        <v/>
      </c>
      <c r="X40" s="402">
        <f>W40+X39</f>
        <v/>
      </c>
      <c r="Y40" s="402">
        <f>X40+Y39</f>
        <v/>
      </c>
      <c r="Z40" s="402">
        <f>Y40+Z39</f>
        <v/>
      </c>
      <c r="AA40" s="402">
        <f>Z40+AA39</f>
        <v/>
      </c>
      <c r="AB40" s="402">
        <f>AA40+AB39</f>
        <v/>
      </c>
      <c r="AC40" s="402">
        <f>AB40+AC39</f>
        <v/>
      </c>
      <c r="AD40" s="402">
        <f>AC40+AD39</f>
        <v/>
      </c>
      <c r="AE40" s="402">
        <f>AD40+AE39</f>
        <v/>
      </c>
      <c r="AF40" s="402">
        <f>AE40+AF39</f>
        <v/>
      </c>
      <c r="AG40" s="402">
        <f>AF40+AG39</f>
        <v/>
      </c>
      <c r="AH40" s="402">
        <f>AG40+AH39</f>
        <v/>
      </c>
      <c r="AI40" s="402">
        <f>AH40+AI39</f>
        <v/>
      </c>
      <c r="AJ40" s="402">
        <f>AI40+AJ39</f>
        <v/>
      </c>
      <c r="AK40" s="402">
        <f>AJ40+AK39</f>
        <v/>
      </c>
      <c r="AL40" s="402">
        <f>AK40+AL39</f>
        <v/>
      </c>
      <c r="AM40" s="402">
        <f>AL40+AM39</f>
        <v/>
      </c>
      <c r="AN40" s="402">
        <f>AM40+AN39</f>
        <v/>
      </c>
      <c r="AO40" s="402">
        <f>AN40+AO39</f>
        <v/>
      </c>
      <c r="AP40" s="402">
        <f>AO40+AP39</f>
        <v/>
      </c>
      <c r="AQ40" s="402">
        <f>AP40+AQ39</f>
        <v/>
      </c>
      <c r="AR40" s="402">
        <f>AQ40+AR39</f>
        <v/>
      </c>
      <c r="AS40" s="402">
        <f>AR40+AS39</f>
        <v/>
      </c>
      <c r="AT40" s="402">
        <f>AS40+AT39</f>
        <v/>
      </c>
      <c r="AU40" s="402">
        <f>AT40+AU39</f>
        <v/>
      </c>
      <c r="AV40" s="402">
        <f>AU40+AV39</f>
        <v/>
      </c>
      <c r="AW40" s="402">
        <f>AV40+AW39</f>
        <v/>
      </c>
      <c r="AX40" s="402">
        <f>AW40+AX39</f>
        <v/>
      </c>
      <c r="AY40" s="402">
        <f>AX40+AY39</f>
        <v/>
      </c>
      <c r="AZ40" s="402">
        <f>AY40+AZ39</f>
        <v/>
      </c>
      <c r="BA40" s="402">
        <f>AZ40+BA39</f>
        <v/>
      </c>
      <c r="BB40" s="402">
        <f>BA40+BB39</f>
        <v/>
      </c>
      <c r="BC40" s="402">
        <f>BB40+BC39</f>
        <v/>
      </c>
      <c r="BD40" s="402">
        <f>BC40+BD39</f>
        <v/>
      </c>
      <c r="BE40" s="402">
        <f>BD40+BE39</f>
        <v/>
      </c>
      <c r="BF40" s="402">
        <f>BE40+BF39</f>
        <v/>
      </c>
      <c r="BG40" s="402">
        <f>BF40+BG39</f>
        <v/>
      </c>
      <c r="BH40" s="402">
        <f>BG40+BH39</f>
        <v/>
      </c>
      <c r="BI40" s="402">
        <f>BH40+BI39</f>
        <v/>
      </c>
      <c r="BJ40" s="402">
        <f>BI40+BJ39</f>
        <v/>
      </c>
      <c r="BK40" s="402">
        <f>BJ40+BK39</f>
        <v/>
      </c>
      <c r="BL40" s="402">
        <f>BK40+BL39</f>
        <v/>
      </c>
      <c r="BM40" s="402">
        <f>BL40+BM39</f>
        <v/>
      </c>
      <c r="BN40" s="402">
        <f>BM40+BN39</f>
        <v/>
      </c>
      <c r="BO40" s="402">
        <f>BN40+BO39</f>
        <v/>
      </c>
      <c r="BP40" s="402">
        <f>BO40+BP39</f>
        <v/>
      </c>
      <c r="BQ40" s="402">
        <f>BP40+BQ39</f>
        <v/>
      </c>
      <c r="BR40" s="402">
        <f>BQ40+BR39</f>
        <v/>
      </c>
      <c r="BS40" s="402">
        <f>BR40+BS39</f>
        <v/>
      </c>
      <c r="BT40" s="402">
        <f>BS40+BT39</f>
        <v/>
      </c>
      <c r="BU40" s="402">
        <f>BT40+BU39</f>
        <v/>
      </c>
      <c r="BV40" s="402">
        <f>BU40+BV39</f>
        <v/>
      </c>
      <c r="BW40" s="402">
        <f>BV40+BW39</f>
        <v/>
      </c>
      <c r="BX40" s="402">
        <f>BW40+BX39</f>
        <v/>
      </c>
      <c r="BY40" s="402">
        <f>BX40+BY39</f>
        <v/>
      </c>
      <c r="BZ40" s="402">
        <f>BY40+BZ39</f>
        <v/>
      </c>
      <c r="CA40" s="402">
        <f>BZ40+CA39</f>
        <v/>
      </c>
      <c r="CB40" s="402">
        <f>CA40+CB39</f>
        <v/>
      </c>
      <c r="CC40" s="402">
        <f>CB40+CC39</f>
        <v/>
      </c>
      <c r="CD40" s="402">
        <f>CC40+CD39</f>
        <v/>
      </c>
      <c r="CE40" s="402">
        <f>CD40+CE39</f>
        <v/>
      </c>
      <c r="CF40" s="402">
        <f>CE40+CF39</f>
        <v/>
      </c>
      <c r="CG40" s="402">
        <f>CF40+CG39</f>
        <v/>
      </c>
      <c r="CH40" s="402">
        <f>CG40+CH39</f>
        <v/>
      </c>
      <c r="CI40" s="402">
        <f>CH40+CI39</f>
        <v/>
      </c>
      <c r="CJ40" s="402">
        <f>CI40+CJ39</f>
        <v/>
      </c>
      <c r="CK40" s="402">
        <f>CJ40+CK39</f>
        <v/>
      </c>
      <c r="CL40" s="402">
        <f>CK40+CL39</f>
        <v/>
      </c>
      <c r="CM40" s="402">
        <f>CL40+CM39</f>
        <v/>
      </c>
      <c r="CN40" s="402">
        <f>CM40+CN39</f>
        <v/>
      </c>
      <c r="CO40" s="402">
        <f>CN40+CO39</f>
        <v/>
      </c>
      <c r="CP40" s="402">
        <f>CO40+CP39</f>
        <v/>
      </c>
      <c r="CQ40" s="402">
        <f>CP40+CQ39</f>
        <v/>
      </c>
      <c r="CR40" s="402">
        <f>CQ40+CR39</f>
        <v/>
      </c>
      <c r="CS40" s="402">
        <f>CR40+CS39</f>
        <v/>
      </c>
      <c r="CT40" s="402">
        <f>CS40+CT39</f>
        <v/>
      </c>
      <c r="CU40" s="402">
        <f>CT40+CU39</f>
        <v/>
      </c>
      <c r="CV40" s="402">
        <f>CU40+CV39</f>
        <v/>
      </c>
      <c r="CW40" s="402">
        <f>CV40+CW39</f>
        <v/>
      </c>
      <c r="CX40" s="402">
        <f>CW40+CX39</f>
        <v/>
      </c>
      <c r="CY40" s="402">
        <f>CX40+CY39</f>
        <v/>
      </c>
      <c r="CZ40" s="402">
        <f>CY40+CZ39</f>
        <v/>
      </c>
      <c r="DA40" s="402">
        <f>CZ40+DA39</f>
        <v/>
      </c>
      <c r="DB40" s="402">
        <f>DA40+DB39</f>
        <v/>
      </c>
      <c r="DC40" s="402">
        <f>DB40+DC39</f>
        <v/>
      </c>
      <c r="DD40" s="402">
        <f>DC40+DD39</f>
        <v/>
      </c>
      <c r="DE40" s="402">
        <f>DD40+DE39</f>
        <v/>
      </c>
      <c r="DF40" s="402">
        <f>DE40+DF39</f>
        <v/>
      </c>
      <c r="DG40" s="402">
        <f>DF40+DG39</f>
        <v/>
      </c>
      <c r="DH40" s="402">
        <f>DG40+DH39</f>
        <v/>
      </c>
      <c r="DI40" s="402">
        <f>DH40+DI39</f>
        <v/>
      </c>
      <c r="DJ40" s="402">
        <f>DI40+DJ39</f>
        <v/>
      </c>
      <c r="DK40" s="402">
        <f>DJ40+DK39</f>
        <v/>
      </c>
      <c r="DL40" s="402">
        <f>DK40+DL39</f>
        <v/>
      </c>
      <c r="DM40" s="402">
        <f>DL40+DM39</f>
        <v/>
      </c>
      <c r="DN40" s="402">
        <f>DM40+DN39</f>
        <v/>
      </c>
      <c r="DO40" s="402">
        <f>DN40+DO39</f>
        <v/>
      </c>
      <c r="DP40" s="402">
        <f>DO40+DP39</f>
        <v/>
      </c>
      <c r="DQ40" s="402">
        <f>DP40+DQ39</f>
        <v/>
      </c>
      <c r="DR40" s="402">
        <f>DQ40+DR39</f>
        <v/>
      </c>
      <c r="DS40" s="402">
        <f>DR40+DS39</f>
        <v/>
      </c>
      <c r="DT40" s="402">
        <f>DS40+DT39</f>
        <v/>
      </c>
      <c r="DU40" s="402">
        <f>DT40+DU39</f>
        <v/>
      </c>
      <c r="DV40" s="402">
        <f>DU40+DV39</f>
        <v/>
      </c>
      <c r="DW40" s="402">
        <f>DV40+DW39</f>
        <v/>
      </c>
      <c r="DX40" s="402">
        <f>DW40+DX39</f>
        <v/>
      </c>
      <c r="DY40" s="402">
        <f>DX40+DY39</f>
        <v/>
      </c>
      <c r="DZ40" s="402">
        <f>DY40+DZ39</f>
        <v/>
      </c>
      <c r="EA40" s="402">
        <f>DZ40+EA39</f>
        <v/>
      </c>
      <c r="EB40" s="402">
        <f>EA40+EB39</f>
        <v/>
      </c>
      <c r="EC40" s="402">
        <f>EB40+EC39</f>
        <v/>
      </c>
      <c r="ED40" s="402">
        <f>EC40+ED39</f>
        <v/>
      </c>
      <c r="EE40" s="402">
        <f>ED40+EE39</f>
        <v/>
      </c>
      <c r="EF40" s="402">
        <f>EE40+EF39</f>
        <v/>
      </c>
      <c r="EG40" s="402">
        <f>EF40+EG39</f>
        <v/>
      </c>
      <c r="EH40" s="402">
        <f>EG40+EH39</f>
        <v/>
      </c>
      <c r="EI40" s="402">
        <f>EH40+EI39</f>
        <v/>
      </c>
      <c r="EJ40" s="402">
        <f>EI40+EJ39</f>
        <v/>
      </c>
      <c r="EK40" s="402">
        <f>EJ40+EK39</f>
        <v/>
      </c>
      <c r="EL40" s="402">
        <f>EK40+EL39</f>
        <v/>
      </c>
      <c r="EM40" s="402">
        <f>EL40+EM39</f>
        <v/>
      </c>
      <c r="EN40" s="402">
        <f>EM40+EN39</f>
        <v/>
      </c>
      <c r="EO40" s="402">
        <f>EN40+EO39</f>
        <v/>
      </c>
      <c r="EP40" s="402">
        <f>EO40+EP39</f>
        <v/>
      </c>
      <c r="EQ40" s="402">
        <f>EP40+EQ39</f>
        <v/>
      </c>
      <c r="ER40" s="402">
        <f>EQ40+ER39</f>
        <v/>
      </c>
      <c r="ES40" s="402">
        <f>ER40+ES39</f>
        <v/>
      </c>
      <c r="ET40" s="402">
        <f>ES40+ET39</f>
        <v/>
      </c>
      <c r="EU40" s="402">
        <f>ET40+EU39</f>
        <v/>
      </c>
      <c r="EV40" s="402">
        <f>EU40+EV39</f>
        <v/>
      </c>
      <c r="EW40" s="402">
        <f>EV40+EW39</f>
        <v/>
      </c>
      <c r="EX40" s="402">
        <f>EW40+EX39</f>
        <v/>
      </c>
      <c r="EY40" s="402">
        <f>EX40+EY39</f>
        <v/>
      </c>
      <c r="EZ40" s="402">
        <f>EY40+EZ39</f>
        <v/>
      </c>
      <c r="FA40" s="402">
        <f>EZ40+FA39</f>
        <v/>
      </c>
      <c r="FB40" s="402">
        <f>FA40+FB39</f>
        <v/>
      </c>
      <c r="FC40" s="402">
        <f>FB40+FC39</f>
        <v/>
      </c>
      <c r="FD40" s="402">
        <f>FC40+FD39</f>
        <v/>
      </c>
      <c r="FE40" s="402">
        <f>FD40+FE39</f>
        <v/>
      </c>
      <c r="FF40" s="402">
        <f>FE40+FF39</f>
        <v/>
      </c>
      <c r="FG40" s="402">
        <f>FF40+FG39</f>
        <v/>
      </c>
      <c r="FH40" s="402">
        <f>FG40+FH39</f>
        <v/>
      </c>
      <c r="FI40" s="402">
        <f>FH40+FI39</f>
        <v/>
      </c>
      <c r="FJ40" s="402">
        <f>FI40+FJ39</f>
        <v/>
      </c>
      <c r="FK40" s="402">
        <f>FJ40+FK39</f>
        <v/>
      </c>
      <c r="FL40" s="402">
        <f>FK40+FL39</f>
        <v/>
      </c>
      <c r="FM40" s="402">
        <f>FL40+FM39</f>
        <v/>
      </c>
      <c r="FN40" s="402">
        <f>FM40+FN39</f>
        <v/>
      </c>
      <c r="FO40" s="402">
        <f>FN40+FO39</f>
        <v/>
      </c>
      <c r="FP40" s="402">
        <f>FO40+FP39</f>
        <v/>
      </c>
      <c r="FQ40" s="402">
        <f>FP40+FQ39</f>
        <v/>
      </c>
      <c r="FR40" s="402">
        <f>FQ40+FR39</f>
        <v/>
      </c>
      <c r="FS40" s="402">
        <f>FR40+FS39</f>
        <v/>
      </c>
      <c r="FT40" s="402">
        <f>FS40+FT39</f>
        <v/>
      </c>
      <c r="FU40" s="402">
        <f>FT40+FU39</f>
        <v/>
      </c>
      <c r="FV40" s="402">
        <f>FU40+FV39</f>
        <v/>
      </c>
      <c r="FW40" s="402">
        <f>FV40+FW39</f>
        <v/>
      </c>
      <c r="FX40" s="402">
        <f>FW40+FX39</f>
        <v/>
      </c>
      <c r="FY40" s="402">
        <f>FX40+FY39</f>
        <v/>
      </c>
      <c r="FZ40" s="402">
        <f>FY40+FZ39</f>
        <v/>
      </c>
      <c r="GA40" s="402">
        <f>FZ40+GA39</f>
        <v/>
      </c>
      <c r="GB40" s="402">
        <f>GA40+GB39</f>
        <v/>
      </c>
      <c r="GC40" s="402">
        <f>GB40+GC39</f>
        <v/>
      </c>
      <c r="GD40" s="402">
        <f>GC40+GD39</f>
        <v/>
      </c>
      <c r="GE40" s="402">
        <f>GD40+GE39</f>
        <v/>
      </c>
      <c r="GF40" s="402">
        <f>GE40+GF39</f>
        <v/>
      </c>
      <c r="GG40" s="402">
        <f>GF40+GG39</f>
        <v/>
      </c>
      <c r="GH40" s="402">
        <f>GG40+GH39</f>
        <v/>
      </c>
      <c r="GI40" s="402">
        <f>GH40+GI39</f>
        <v/>
      </c>
      <c r="GJ40" s="402">
        <f>GI40+GJ39</f>
        <v/>
      </c>
      <c r="GK40" s="402">
        <f>GJ40+GK39</f>
        <v/>
      </c>
      <c r="GL40" s="402">
        <f>GK40+GL39</f>
        <v/>
      </c>
      <c r="GM40" s="402">
        <f>GL40+GM39</f>
        <v/>
      </c>
      <c r="GN40" s="402">
        <f>GM40+GN39</f>
        <v/>
      </c>
      <c r="GO40" s="402">
        <f>GN40+GO39</f>
        <v/>
      </c>
      <c r="GP40" s="402">
        <f>GO40+GP39</f>
        <v/>
      </c>
      <c r="GQ40" s="402">
        <f>GP40+GQ39</f>
        <v/>
      </c>
      <c r="GR40" s="402">
        <f>GQ40+GR39</f>
        <v/>
      </c>
      <c r="GS40" s="402">
        <f>GR40+GS39</f>
        <v/>
      </c>
      <c r="GT40" s="402">
        <f>GS40+GT39</f>
        <v/>
      </c>
      <c r="GU40" s="402">
        <f>GT40+GU39</f>
        <v/>
      </c>
      <c r="GV40" s="402">
        <f>GU40+GV39</f>
        <v/>
      </c>
      <c r="GW40" s="402">
        <f>GV40+GW39</f>
        <v/>
      </c>
      <c r="GX40" s="402">
        <f>GW40+GX39</f>
        <v/>
      </c>
      <c r="GY40" s="402">
        <f>GX40+GY39</f>
        <v/>
      </c>
      <c r="GZ40" s="402">
        <f>GY40+GZ39</f>
        <v/>
      </c>
      <c r="HA40" s="402">
        <f>GZ40+HA39</f>
        <v/>
      </c>
      <c r="HB40" s="402">
        <f>HA40+HB39</f>
        <v/>
      </c>
      <c r="HC40" s="402">
        <f>HB40+HC39</f>
        <v/>
      </c>
      <c r="HD40" s="402">
        <f>HC40+HD39</f>
        <v/>
      </c>
      <c r="HE40" s="402">
        <f>HD40+HE39</f>
        <v/>
      </c>
      <c r="HF40" s="402">
        <f>HE40+HF39</f>
        <v/>
      </c>
      <c r="HG40" s="402">
        <f>HF40+HG39</f>
        <v/>
      </c>
      <c r="HH40" s="402">
        <f>HG40+HH39</f>
        <v/>
      </c>
      <c r="HI40" s="402">
        <f>HH40+HI39</f>
        <v/>
      </c>
      <c r="HJ40" s="402">
        <f>HI40+HJ39</f>
        <v/>
      </c>
      <c r="HK40" s="402">
        <f>HJ40+HK39</f>
        <v/>
      </c>
      <c r="HL40" s="402">
        <f>HK40+HL39</f>
        <v/>
      </c>
      <c r="HM40" s="402">
        <f>HL40+HM39</f>
        <v/>
      </c>
      <c r="HN40" s="402">
        <f>HM40+HN39</f>
        <v/>
      </c>
      <c r="HO40" s="402">
        <f>HN40+HO39</f>
        <v/>
      </c>
      <c r="HP40" s="402">
        <f>HO40+HP39</f>
        <v/>
      </c>
      <c r="HQ40" s="402">
        <f>HP40+HQ39</f>
        <v/>
      </c>
      <c r="HR40" s="402">
        <f>HQ40+HR39</f>
        <v/>
      </c>
      <c r="HS40" s="402">
        <f>HR40+HS39</f>
        <v/>
      </c>
      <c r="HT40" s="402">
        <f>HS40+HT39</f>
        <v/>
      </c>
      <c r="HU40" s="402">
        <f>HT40+HU39</f>
        <v/>
      </c>
      <c r="HV40" s="402">
        <f>HU40+HV39</f>
        <v/>
      </c>
      <c r="HW40" s="402">
        <f>HV40+HW39</f>
        <v/>
      </c>
      <c r="HX40" s="402">
        <f>HW40+HX39</f>
        <v/>
      </c>
      <c r="HY40" s="402">
        <f>HX40+HY39</f>
        <v/>
      </c>
      <c r="HZ40" s="402">
        <f>HY40+HZ39</f>
        <v/>
      </c>
      <c r="IA40" s="402">
        <f>HZ40+IA39</f>
        <v/>
      </c>
      <c r="IB40" s="402">
        <f>IA40+IB39</f>
        <v/>
      </c>
      <c r="IC40" s="402">
        <f>IB40+IC39</f>
        <v/>
      </c>
      <c r="ID40" s="402">
        <f>IC40+ID39</f>
        <v/>
      </c>
      <c r="IE40" s="402">
        <f>ID40+IE39</f>
        <v/>
      </c>
      <c r="IF40" s="402">
        <f>IE40+IF39</f>
        <v/>
      </c>
      <c r="IG40" s="402">
        <f>IF40+IG39</f>
        <v/>
      </c>
      <c r="IH40" s="402">
        <f>IG40+IH39</f>
        <v/>
      </c>
      <c r="II40" s="402">
        <f>IH40+II39</f>
        <v/>
      </c>
      <c r="IJ40" s="402">
        <f>II40+IJ39</f>
        <v/>
      </c>
      <c r="IK40" s="402">
        <f>IJ40+IK39</f>
        <v/>
      </c>
      <c r="IL40" s="402">
        <f>IK40+IL39</f>
        <v/>
      </c>
      <c r="IM40" s="402">
        <f>IL40+IM39</f>
        <v/>
      </c>
      <c r="IN40" s="402">
        <f>IM40+IN39</f>
        <v/>
      </c>
      <c r="IO40" s="402">
        <f>IN40+IO39</f>
        <v/>
      </c>
      <c r="IP40" s="402">
        <f>IO40+IP39</f>
        <v/>
      </c>
      <c r="IQ40" s="402">
        <f>IP40+IQ39</f>
        <v/>
      </c>
      <c r="IR40" s="402">
        <f>IQ40+IR39</f>
        <v/>
      </c>
      <c r="IS40" s="402">
        <f>IR40+IS39</f>
        <v/>
      </c>
      <c r="IT40" s="402">
        <f>IS40+IT39</f>
        <v/>
      </c>
      <c r="IU40" s="402">
        <f>IT40+IU39</f>
        <v/>
      </c>
      <c r="IV40" s="402">
        <f>IU40+IV39</f>
        <v/>
      </c>
      <c r="IW40" s="402">
        <f>IV40+IW39</f>
        <v/>
      </c>
      <c r="IX40" s="402">
        <f>IW40+IX39</f>
        <v/>
      </c>
      <c r="IY40" s="402">
        <f>IX40+IY39</f>
        <v/>
      </c>
      <c r="IZ40" s="402">
        <f>IY40+IZ39</f>
        <v/>
      </c>
      <c r="JA40" s="402">
        <f>IZ40+JA39</f>
        <v/>
      </c>
      <c r="JB40" s="402">
        <f>JA40+JB39</f>
        <v/>
      </c>
      <c r="JC40" s="402">
        <f>JB40+JC39</f>
        <v/>
      </c>
      <c r="JD40" s="402">
        <f>JC40+JD39</f>
        <v/>
      </c>
      <c r="JE40" s="402">
        <f>JD40+JE39</f>
        <v/>
      </c>
      <c r="JF40" s="402">
        <f>JE40+JF39</f>
        <v/>
      </c>
      <c r="JG40" s="402">
        <f>JF40+JG39</f>
        <v/>
      </c>
      <c r="JH40" s="402">
        <f>JG40+JH39</f>
        <v/>
      </c>
      <c r="JI40" s="402">
        <f>JH40+JI39</f>
        <v/>
      </c>
      <c r="JJ40" s="402">
        <f>JI40+JJ39</f>
        <v/>
      </c>
      <c r="JK40" s="402">
        <f>JJ40+JK39</f>
        <v/>
      </c>
      <c r="JL40" s="402">
        <f>JK40+JL39</f>
        <v/>
      </c>
      <c r="JM40" s="402">
        <f>JL40+JM39</f>
        <v/>
      </c>
      <c r="JN40" s="402">
        <f>JM40+JN39</f>
        <v/>
      </c>
      <c r="JO40" s="402">
        <f>JN40+JO39</f>
        <v/>
      </c>
      <c r="JP40" s="402">
        <f>JO40+JP39</f>
        <v/>
      </c>
      <c r="JQ40" s="402">
        <f>JP40+JQ39</f>
        <v/>
      </c>
      <c r="JR40" s="402">
        <f>JQ40+JR39</f>
        <v/>
      </c>
      <c r="JS40" s="402">
        <f>JR40+JS39</f>
        <v/>
      </c>
      <c r="JT40" s="402">
        <f>JS40+JT39</f>
        <v/>
      </c>
      <c r="JU40" s="402">
        <f>JT40+JU39</f>
        <v/>
      </c>
      <c r="JV40" s="402">
        <f>JU40+JV39</f>
        <v/>
      </c>
      <c r="JW40" s="402">
        <f>JV40+JW39</f>
        <v/>
      </c>
      <c r="JX40" s="402">
        <f>JW40+JX39</f>
        <v/>
      </c>
      <c r="JY40" s="402">
        <f>JX40+JY39</f>
        <v/>
      </c>
      <c r="JZ40" s="402">
        <f>JY40+JZ39</f>
        <v/>
      </c>
      <c r="KA40" s="402">
        <f>JZ40+KA39</f>
        <v/>
      </c>
      <c r="KB40" s="402">
        <f>KA40+KB39</f>
        <v/>
      </c>
      <c r="KC40" s="402">
        <f>KB40+KC39</f>
        <v/>
      </c>
      <c r="KD40" s="402">
        <f>KC40+KD39</f>
        <v/>
      </c>
      <c r="KE40" s="402">
        <f>KD40+KE39</f>
        <v/>
      </c>
      <c r="KF40" s="402">
        <f>KE40+KF39</f>
        <v/>
      </c>
      <c r="KG40" s="402">
        <f>KF40+KG39</f>
        <v/>
      </c>
      <c r="KH40" s="402">
        <f>KG40+KH39</f>
        <v/>
      </c>
      <c r="KI40" s="402">
        <f>KH40+KI39</f>
        <v/>
      </c>
      <c r="KJ40" s="402">
        <f>KI40+KJ39</f>
        <v/>
      </c>
      <c r="KK40" s="402">
        <f>KJ40+KK39</f>
        <v/>
      </c>
      <c r="KL40" s="402">
        <f>KK40+KL39</f>
        <v/>
      </c>
      <c r="KM40" s="402">
        <f>KL40+KM39</f>
        <v/>
      </c>
      <c r="KN40" s="402">
        <f>KM40+KN39</f>
        <v/>
      </c>
      <c r="KO40" s="402">
        <f>KN40+KO39</f>
        <v/>
      </c>
      <c r="KP40" s="402">
        <f>KO40+KP39</f>
        <v/>
      </c>
      <c r="KQ40" s="402">
        <f>KP40+KQ39</f>
        <v/>
      </c>
      <c r="KR40" s="402">
        <f>KQ40+KR39</f>
        <v/>
      </c>
      <c r="KS40" s="402">
        <f>KR40+KS39</f>
        <v/>
      </c>
      <c r="KT40" s="402">
        <f>KS40+KT39</f>
        <v/>
      </c>
      <c r="KU40" s="402">
        <f>KT40+KU39</f>
        <v/>
      </c>
      <c r="KV40" s="402">
        <f>KU40+KV39</f>
        <v/>
      </c>
      <c r="KW40" s="402">
        <f>KV40+KW39</f>
        <v/>
      </c>
      <c r="KX40" s="402">
        <f>KW40+KX39</f>
        <v/>
      </c>
      <c r="KY40" s="402">
        <f>KX40+KY39</f>
        <v/>
      </c>
      <c r="KZ40" s="402">
        <f>KY40+KZ39</f>
        <v/>
      </c>
      <c r="LA40" s="402">
        <f>KZ40+LA39</f>
        <v/>
      </c>
      <c r="LB40" s="402">
        <f>LA40+LB39</f>
        <v/>
      </c>
      <c r="LC40" s="402">
        <f>LB40+LC39</f>
        <v/>
      </c>
      <c r="LD40" s="402">
        <f>LC40+LD39</f>
        <v/>
      </c>
      <c r="LE40" s="402">
        <f>LD40+LE39</f>
        <v/>
      </c>
      <c r="LF40" s="402">
        <f>LE40+LF39</f>
        <v/>
      </c>
      <c r="LG40" s="402">
        <f>LF40+LG39</f>
        <v/>
      </c>
      <c r="LH40" s="402">
        <f>LG40+LH39</f>
        <v/>
      </c>
      <c r="LI40" s="402">
        <f>LH40+LI39</f>
        <v/>
      </c>
      <c r="LJ40" s="402">
        <f>LI40+LJ39</f>
        <v/>
      </c>
      <c r="LK40" s="402">
        <f>LJ40+LK39</f>
        <v/>
      </c>
      <c r="LL40" s="402">
        <f>LK40+LL39</f>
        <v/>
      </c>
      <c r="LM40" s="402">
        <f>LL40+LM39</f>
        <v/>
      </c>
      <c r="LN40" s="402">
        <f>LM40+LN39</f>
        <v/>
      </c>
      <c r="LO40" s="402">
        <f>LN40+LO39</f>
        <v/>
      </c>
      <c r="LP40" s="402">
        <f>LO40+LP39</f>
        <v/>
      </c>
      <c r="LQ40" s="402">
        <f>LP40+LQ39</f>
        <v/>
      </c>
      <c r="LR40" s="402">
        <f>LQ40+LR39</f>
        <v/>
      </c>
      <c r="LS40" s="402">
        <f>LR40+LS39</f>
        <v/>
      </c>
      <c r="LT40" s="402">
        <f>LS40+LT39</f>
        <v/>
      </c>
      <c r="LU40" s="402">
        <f>LT40+LU39</f>
        <v/>
      </c>
      <c r="LV40" s="402">
        <f>LU40+LV39</f>
        <v/>
      </c>
      <c r="LW40" s="402">
        <f>LV40+LW39</f>
        <v/>
      </c>
      <c r="LX40" s="402">
        <f>LW40+LX39</f>
        <v/>
      </c>
      <c r="LY40" s="402">
        <f>LX40+LY39</f>
        <v/>
      </c>
      <c r="LZ40" s="402">
        <f>LY40+LZ39</f>
        <v/>
      </c>
      <c r="MA40" s="402">
        <f>LZ40+MA39</f>
        <v/>
      </c>
      <c r="MB40" s="402">
        <f>MA40+MB39</f>
        <v/>
      </c>
      <c r="MC40" s="402">
        <f>MB40+MC39</f>
        <v/>
      </c>
      <c r="MD40" s="402">
        <f>MC40+MD39</f>
        <v/>
      </c>
      <c r="ME40" s="402">
        <f>MD40+ME39</f>
        <v/>
      </c>
      <c r="MF40" s="402">
        <f>ME40+MF39</f>
        <v/>
      </c>
      <c r="MG40" s="402">
        <f>MF40+MG39</f>
        <v/>
      </c>
      <c r="MH40" s="402">
        <f>MG40+MH39</f>
        <v/>
      </c>
      <c r="MI40" s="402">
        <f>MH40+MI39</f>
        <v/>
      </c>
      <c r="MJ40" s="402">
        <f>MI40+MJ39</f>
        <v/>
      </c>
      <c r="MK40" s="402">
        <f>MJ40+MK39</f>
        <v/>
      </c>
      <c r="ML40" s="402">
        <f>MK40+ML39</f>
        <v/>
      </c>
      <c r="MM40" s="402">
        <f>ML40+MM39</f>
        <v/>
      </c>
      <c r="MN40" s="402">
        <f>MM40+MN39</f>
        <v/>
      </c>
      <c r="MO40" s="402">
        <f>MN40+MO39</f>
        <v/>
      </c>
      <c r="MP40" s="402">
        <f>MO40+MP39</f>
        <v/>
      </c>
      <c r="MQ40" s="402">
        <f>MP40+MQ39</f>
        <v/>
      </c>
      <c r="MR40" s="402">
        <f>MQ40+MR39</f>
        <v/>
      </c>
      <c r="MS40" s="402">
        <f>MR40+MS39</f>
        <v/>
      </c>
      <c r="MT40" s="402">
        <f>MS40+MT39</f>
        <v/>
      </c>
      <c r="MU40" s="402">
        <f>MT40+MU39</f>
        <v/>
      </c>
      <c r="MV40" s="402">
        <f>MU40+MV39</f>
        <v/>
      </c>
      <c r="MW40" s="402">
        <f>MV40+MW39</f>
        <v/>
      </c>
      <c r="MX40" s="402">
        <f>MW40+MX39</f>
        <v/>
      </c>
      <c r="MY40" s="402">
        <f>MX40+MY39</f>
        <v/>
      </c>
      <c r="MZ40" s="402">
        <f>MY40+MZ39</f>
        <v/>
      </c>
      <c r="NA40" s="402">
        <f>MZ40+NA39</f>
        <v/>
      </c>
      <c r="NB40" s="402">
        <f>NA40+NB39</f>
        <v/>
      </c>
      <c r="NC40" s="402">
        <f>NB40+NC39</f>
        <v/>
      </c>
      <c r="ND40" s="402">
        <f>NC40+ND39</f>
        <v/>
      </c>
      <c r="NE40" s="402">
        <f>ND40+NE39</f>
        <v/>
      </c>
      <c r="NF40" s="402">
        <f>NE40+NF39</f>
        <v/>
      </c>
      <c r="NG40" s="402">
        <f>NF40+NG39</f>
        <v/>
      </c>
      <c r="NH40" s="402">
        <f>NG40+NH39</f>
        <v/>
      </c>
      <c r="NI40" s="402">
        <f>NH40+NI39</f>
        <v/>
      </c>
      <c r="NJ40" s="402">
        <f>NI40+NJ39</f>
        <v/>
      </c>
      <c r="NK40" s="402">
        <f>NJ40+NK39</f>
        <v/>
      </c>
      <c r="NL40" s="402">
        <f>NK40+NL39</f>
        <v/>
      </c>
    </row>
    <row r="41">
      <c r="B41" s="316" t="inlineStr">
        <is>
          <t>Cumulative Equity Invested</t>
        </is>
      </c>
      <c r="D41" s="407">
        <f>INDEX(E41:NL41,HoldPeriodMonths)</f>
        <v/>
      </c>
      <c r="E41" s="402">
        <f>0+MIN(0,E39)</f>
        <v/>
      </c>
      <c r="F41" s="402">
        <f>E41+MIN(0,F39)</f>
        <v/>
      </c>
      <c r="G41" s="402">
        <f>F41+MIN(0,G39)</f>
        <v/>
      </c>
      <c r="H41" s="402">
        <f>G41+MIN(0,H39)</f>
        <v/>
      </c>
      <c r="I41" s="402">
        <f>H41+MIN(0,I39)</f>
        <v/>
      </c>
      <c r="J41" s="402">
        <f>I41+MIN(0,J39)</f>
        <v/>
      </c>
      <c r="K41" s="402">
        <f>J41+MIN(0,K39)</f>
        <v/>
      </c>
      <c r="L41" s="402">
        <f>K41+MIN(0,L39)</f>
        <v/>
      </c>
      <c r="M41" s="402">
        <f>L41+MIN(0,M39)</f>
        <v/>
      </c>
      <c r="N41" s="402">
        <f>M41+MIN(0,N39)</f>
        <v/>
      </c>
      <c r="O41" s="402">
        <f>N41+MIN(0,O39)</f>
        <v/>
      </c>
      <c r="P41" s="402">
        <f>O41+MIN(0,P39)</f>
        <v/>
      </c>
      <c r="Q41" s="402">
        <f>P41+MIN(0,Q39)</f>
        <v/>
      </c>
      <c r="R41" s="402">
        <f>Q41+MIN(0,R39)</f>
        <v/>
      </c>
      <c r="S41" s="402">
        <f>R41+MIN(0,S39)</f>
        <v/>
      </c>
      <c r="T41" s="402">
        <f>S41+MIN(0,T39)</f>
        <v/>
      </c>
      <c r="U41" s="402">
        <f>T41+MIN(0,U39)</f>
        <v/>
      </c>
      <c r="V41" s="402">
        <f>U41+MIN(0,V39)</f>
        <v/>
      </c>
      <c r="W41" s="402">
        <f>V41+MIN(0,W39)</f>
        <v/>
      </c>
      <c r="X41" s="402">
        <f>W41+MIN(0,X39)</f>
        <v/>
      </c>
      <c r="Y41" s="402">
        <f>X41+MIN(0,Y39)</f>
        <v/>
      </c>
      <c r="Z41" s="402">
        <f>Y41+MIN(0,Z39)</f>
        <v/>
      </c>
      <c r="AA41" s="402">
        <f>Z41+MIN(0,AA39)</f>
        <v/>
      </c>
      <c r="AB41" s="402">
        <f>AA41+MIN(0,AB39)</f>
        <v/>
      </c>
      <c r="AC41" s="402">
        <f>AB41+MIN(0,AC39)</f>
        <v/>
      </c>
      <c r="AD41" s="402">
        <f>AC41+MIN(0,AD39)</f>
        <v/>
      </c>
      <c r="AE41" s="402">
        <f>AD41+MIN(0,AE39)</f>
        <v/>
      </c>
      <c r="AF41" s="402">
        <f>AE41+MIN(0,AF39)</f>
        <v/>
      </c>
      <c r="AG41" s="402">
        <f>AF41+MIN(0,AG39)</f>
        <v/>
      </c>
      <c r="AH41" s="402">
        <f>AG41+MIN(0,AH39)</f>
        <v/>
      </c>
      <c r="AI41" s="402">
        <f>AH41+MIN(0,AI39)</f>
        <v/>
      </c>
      <c r="AJ41" s="402">
        <f>AI41+MIN(0,AJ39)</f>
        <v/>
      </c>
      <c r="AK41" s="402">
        <f>AJ41+MIN(0,AK39)</f>
        <v/>
      </c>
      <c r="AL41" s="402">
        <f>AK41+MIN(0,AL39)</f>
        <v/>
      </c>
      <c r="AM41" s="402">
        <f>AL41+MIN(0,AM39)</f>
        <v/>
      </c>
      <c r="AN41" s="402">
        <f>AM41+MIN(0,AN39)</f>
        <v/>
      </c>
      <c r="AO41" s="402">
        <f>AN41+MIN(0,AO39)</f>
        <v/>
      </c>
      <c r="AP41" s="402">
        <f>AO41+MIN(0,AP39)</f>
        <v/>
      </c>
      <c r="AQ41" s="402">
        <f>AP41+MIN(0,AQ39)</f>
        <v/>
      </c>
      <c r="AR41" s="402">
        <f>AQ41+MIN(0,AR39)</f>
        <v/>
      </c>
      <c r="AS41" s="402">
        <f>AR41+MIN(0,AS39)</f>
        <v/>
      </c>
      <c r="AT41" s="402">
        <f>AS41+MIN(0,AT39)</f>
        <v/>
      </c>
      <c r="AU41" s="402">
        <f>AT41+MIN(0,AU39)</f>
        <v/>
      </c>
      <c r="AV41" s="402">
        <f>AU41+MIN(0,AV39)</f>
        <v/>
      </c>
      <c r="AW41" s="402">
        <f>AV41+MIN(0,AW39)</f>
        <v/>
      </c>
      <c r="AX41" s="402">
        <f>AW41+MIN(0,AX39)</f>
        <v/>
      </c>
      <c r="AY41" s="402">
        <f>AX41+MIN(0,AY39)</f>
        <v/>
      </c>
      <c r="AZ41" s="402">
        <f>AY41+MIN(0,AZ39)</f>
        <v/>
      </c>
      <c r="BA41" s="402">
        <f>AZ41+MIN(0,BA39)</f>
        <v/>
      </c>
      <c r="BB41" s="402">
        <f>BA41+MIN(0,BB39)</f>
        <v/>
      </c>
      <c r="BC41" s="402">
        <f>BB41+MIN(0,BC39)</f>
        <v/>
      </c>
      <c r="BD41" s="402">
        <f>BC41+MIN(0,BD39)</f>
        <v/>
      </c>
      <c r="BE41" s="402">
        <f>BD41+MIN(0,BE39)</f>
        <v/>
      </c>
      <c r="BF41" s="402">
        <f>BE41+MIN(0,BF39)</f>
        <v/>
      </c>
      <c r="BG41" s="402">
        <f>BF41+MIN(0,BG39)</f>
        <v/>
      </c>
      <c r="BH41" s="402">
        <f>BG41+MIN(0,BH39)</f>
        <v/>
      </c>
      <c r="BI41" s="402">
        <f>BH41+MIN(0,BI39)</f>
        <v/>
      </c>
      <c r="BJ41" s="402">
        <f>BI41+MIN(0,BJ39)</f>
        <v/>
      </c>
      <c r="BK41" s="402">
        <f>BJ41+MIN(0,BK39)</f>
        <v/>
      </c>
      <c r="BL41" s="402">
        <f>BK41+MIN(0,BL39)</f>
        <v/>
      </c>
      <c r="BM41" s="402">
        <f>BL41+MIN(0,BM39)</f>
        <v/>
      </c>
      <c r="BN41" s="402">
        <f>BM41+MIN(0,BN39)</f>
        <v/>
      </c>
      <c r="BO41" s="402">
        <f>BN41+MIN(0,BO39)</f>
        <v/>
      </c>
      <c r="BP41" s="402">
        <f>BO41+MIN(0,BP39)</f>
        <v/>
      </c>
      <c r="BQ41" s="402">
        <f>BP41+MIN(0,BQ39)</f>
        <v/>
      </c>
      <c r="BR41" s="402">
        <f>BQ41+MIN(0,BR39)</f>
        <v/>
      </c>
      <c r="BS41" s="402">
        <f>BR41+MIN(0,BS39)</f>
        <v/>
      </c>
      <c r="BT41" s="402">
        <f>BS41+MIN(0,BT39)</f>
        <v/>
      </c>
      <c r="BU41" s="402">
        <f>BT41+MIN(0,BU39)</f>
        <v/>
      </c>
      <c r="BV41" s="402">
        <f>BU41+MIN(0,BV39)</f>
        <v/>
      </c>
      <c r="BW41" s="402">
        <f>BV41+MIN(0,BW39)</f>
        <v/>
      </c>
      <c r="BX41" s="402">
        <f>BW41+MIN(0,BX39)</f>
        <v/>
      </c>
      <c r="BY41" s="402">
        <f>BX41+MIN(0,BY39)</f>
        <v/>
      </c>
      <c r="BZ41" s="402">
        <f>BY41+MIN(0,BZ39)</f>
        <v/>
      </c>
      <c r="CA41" s="402">
        <f>BZ41+MIN(0,CA39)</f>
        <v/>
      </c>
      <c r="CB41" s="402">
        <f>CA41+MIN(0,CB39)</f>
        <v/>
      </c>
      <c r="CC41" s="402">
        <f>CB41+MIN(0,CC39)</f>
        <v/>
      </c>
      <c r="CD41" s="402">
        <f>CC41+MIN(0,CD39)</f>
        <v/>
      </c>
      <c r="CE41" s="402">
        <f>CD41+MIN(0,CE39)</f>
        <v/>
      </c>
      <c r="CF41" s="402">
        <f>CE41+MIN(0,CF39)</f>
        <v/>
      </c>
      <c r="CG41" s="402">
        <f>CF41+MIN(0,CG39)</f>
        <v/>
      </c>
      <c r="CH41" s="402">
        <f>CG41+MIN(0,CH39)</f>
        <v/>
      </c>
      <c r="CI41" s="402">
        <f>CH41+MIN(0,CI39)</f>
        <v/>
      </c>
      <c r="CJ41" s="402">
        <f>CI41+MIN(0,CJ39)</f>
        <v/>
      </c>
      <c r="CK41" s="402">
        <f>CJ41+MIN(0,CK39)</f>
        <v/>
      </c>
      <c r="CL41" s="402">
        <f>CK41+MIN(0,CL39)</f>
        <v/>
      </c>
      <c r="CM41" s="402">
        <f>CL41+MIN(0,CM39)</f>
        <v/>
      </c>
      <c r="CN41" s="402">
        <f>CM41+MIN(0,CN39)</f>
        <v/>
      </c>
      <c r="CO41" s="402">
        <f>CN41+MIN(0,CO39)</f>
        <v/>
      </c>
      <c r="CP41" s="402">
        <f>CO41+MIN(0,CP39)</f>
        <v/>
      </c>
      <c r="CQ41" s="402">
        <f>CP41+MIN(0,CQ39)</f>
        <v/>
      </c>
      <c r="CR41" s="402">
        <f>CQ41+MIN(0,CR39)</f>
        <v/>
      </c>
      <c r="CS41" s="402">
        <f>CR41+MIN(0,CS39)</f>
        <v/>
      </c>
      <c r="CT41" s="402">
        <f>CS41+MIN(0,CT39)</f>
        <v/>
      </c>
      <c r="CU41" s="402">
        <f>CT41+MIN(0,CU39)</f>
        <v/>
      </c>
      <c r="CV41" s="402">
        <f>CU41+MIN(0,CV39)</f>
        <v/>
      </c>
      <c r="CW41" s="402">
        <f>CV41+MIN(0,CW39)</f>
        <v/>
      </c>
      <c r="CX41" s="402">
        <f>CW41+MIN(0,CX39)</f>
        <v/>
      </c>
      <c r="CY41" s="402">
        <f>CX41+MIN(0,CY39)</f>
        <v/>
      </c>
      <c r="CZ41" s="402">
        <f>CY41+MIN(0,CZ39)</f>
        <v/>
      </c>
      <c r="DA41" s="402">
        <f>CZ41+MIN(0,DA39)</f>
        <v/>
      </c>
      <c r="DB41" s="402">
        <f>DA41+MIN(0,DB39)</f>
        <v/>
      </c>
      <c r="DC41" s="402">
        <f>DB41+MIN(0,DC39)</f>
        <v/>
      </c>
      <c r="DD41" s="402">
        <f>DC41+MIN(0,DD39)</f>
        <v/>
      </c>
      <c r="DE41" s="402">
        <f>DD41+MIN(0,DE39)</f>
        <v/>
      </c>
      <c r="DF41" s="402">
        <f>DE41+MIN(0,DF39)</f>
        <v/>
      </c>
      <c r="DG41" s="402">
        <f>DF41+MIN(0,DG39)</f>
        <v/>
      </c>
      <c r="DH41" s="402">
        <f>DG41+MIN(0,DH39)</f>
        <v/>
      </c>
      <c r="DI41" s="402">
        <f>DH41+MIN(0,DI39)</f>
        <v/>
      </c>
      <c r="DJ41" s="402">
        <f>DI41+MIN(0,DJ39)</f>
        <v/>
      </c>
      <c r="DK41" s="402">
        <f>DJ41+MIN(0,DK39)</f>
        <v/>
      </c>
      <c r="DL41" s="402">
        <f>DK41+MIN(0,DL39)</f>
        <v/>
      </c>
      <c r="DM41" s="402">
        <f>DL41+MIN(0,DM39)</f>
        <v/>
      </c>
      <c r="DN41" s="402">
        <f>DM41+MIN(0,DN39)</f>
        <v/>
      </c>
      <c r="DO41" s="402">
        <f>DN41+MIN(0,DO39)</f>
        <v/>
      </c>
      <c r="DP41" s="402">
        <f>DO41+MIN(0,DP39)</f>
        <v/>
      </c>
      <c r="DQ41" s="402">
        <f>DP41+MIN(0,DQ39)</f>
        <v/>
      </c>
      <c r="DR41" s="402">
        <f>DQ41+MIN(0,DR39)</f>
        <v/>
      </c>
      <c r="DS41" s="402">
        <f>DR41+MIN(0,DS39)</f>
        <v/>
      </c>
      <c r="DT41" s="402">
        <f>DS41+MIN(0,DT39)</f>
        <v/>
      </c>
      <c r="DU41" s="402">
        <f>DT41+MIN(0,DU39)</f>
        <v/>
      </c>
      <c r="DV41" s="402">
        <f>DU41+MIN(0,DV39)</f>
        <v/>
      </c>
      <c r="DW41" s="402">
        <f>DV41+MIN(0,DW39)</f>
        <v/>
      </c>
      <c r="DX41" s="402">
        <f>DW41+MIN(0,DX39)</f>
        <v/>
      </c>
      <c r="DY41" s="402">
        <f>DX41+MIN(0,DY39)</f>
        <v/>
      </c>
      <c r="DZ41" s="402">
        <f>DY41+MIN(0,DZ39)</f>
        <v/>
      </c>
      <c r="EA41" s="402">
        <f>DZ41+MIN(0,EA39)</f>
        <v/>
      </c>
      <c r="EB41" s="402">
        <f>EA41+MIN(0,EB39)</f>
        <v/>
      </c>
      <c r="EC41" s="402">
        <f>EB41+MIN(0,EC39)</f>
        <v/>
      </c>
      <c r="ED41" s="402">
        <f>EC41+MIN(0,ED39)</f>
        <v/>
      </c>
      <c r="EE41" s="402">
        <f>ED41+MIN(0,EE39)</f>
        <v/>
      </c>
      <c r="EF41" s="402">
        <f>EE41+MIN(0,EF39)</f>
        <v/>
      </c>
      <c r="EG41" s="402">
        <f>EF41+MIN(0,EG39)</f>
        <v/>
      </c>
      <c r="EH41" s="402">
        <f>EG41+MIN(0,EH39)</f>
        <v/>
      </c>
      <c r="EI41" s="402">
        <f>EH41+MIN(0,EI39)</f>
        <v/>
      </c>
      <c r="EJ41" s="402">
        <f>EI41+MIN(0,EJ39)</f>
        <v/>
      </c>
      <c r="EK41" s="402">
        <f>EJ41+MIN(0,EK39)</f>
        <v/>
      </c>
      <c r="EL41" s="402">
        <f>EK41+MIN(0,EL39)</f>
        <v/>
      </c>
      <c r="EM41" s="402">
        <f>EL41+MIN(0,EM39)</f>
        <v/>
      </c>
      <c r="EN41" s="402">
        <f>EM41+MIN(0,EN39)</f>
        <v/>
      </c>
      <c r="EO41" s="402">
        <f>EN41+MIN(0,EO39)</f>
        <v/>
      </c>
      <c r="EP41" s="402">
        <f>EO41+MIN(0,EP39)</f>
        <v/>
      </c>
      <c r="EQ41" s="402">
        <f>EP41+MIN(0,EQ39)</f>
        <v/>
      </c>
      <c r="ER41" s="402">
        <f>EQ41+MIN(0,ER39)</f>
        <v/>
      </c>
      <c r="ES41" s="402">
        <f>ER41+MIN(0,ES39)</f>
        <v/>
      </c>
      <c r="ET41" s="402">
        <f>ES41+MIN(0,ET39)</f>
        <v/>
      </c>
      <c r="EU41" s="402">
        <f>ET41+MIN(0,EU39)</f>
        <v/>
      </c>
      <c r="EV41" s="402">
        <f>EU41+MIN(0,EV39)</f>
        <v/>
      </c>
      <c r="EW41" s="402">
        <f>EV41+MIN(0,EW39)</f>
        <v/>
      </c>
      <c r="EX41" s="402">
        <f>EW41+MIN(0,EX39)</f>
        <v/>
      </c>
      <c r="EY41" s="402">
        <f>EX41+MIN(0,EY39)</f>
        <v/>
      </c>
      <c r="EZ41" s="402">
        <f>EY41+MIN(0,EZ39)</f>
        <v/>
      </c>
      <c r="FA41" s="402">
        <f>EZ41+MIN(0,FA39)</f>
        <v/>
      </c>
      <c r="FB41" s="402">
        <f>FA41+MIN(0,FB39)</f>
        <v/>
      </c>
      <c r="FC41" s="402">
        <f>FB41+MIN(0,FC39)</f>
        <v/>
      </c>
      <c r="FD41" s="402">
        <f>FC41+MIN(0,FD39)</f>
        <v/>
      </c>
      <c r="FE41" s="402">
        <f>FD41+MIN(0,FE39)</f>
        <v/>
      </c>
      <c r="FF41" s="402">
        <f>FE41+MIN(0,FF39)</f>
        <v/>
      </c>
      <c r="FG41" s="402">
        <f>FF41+MIN(0,FG39)</f>
        <v/>
      </c>
      <c r="FH41" s="402">
        <f>FG41+MIN(0,FH39)</f>
        <v/>
      </c>
      <c r="FI41" s="402">
        <f>FH41+MIN(0,FI39)</f>
        <v/>
      </c>
      <c r="FJ41" s="402">
        <f>FI41+MIN(0,FJ39)</f>
        <v/>
      </c>
      <c r="FK41" s="402">
        <f>FJ41+MIN(0,FK39)</f>
        <v/>
      </c>
      <c r="FL41" s="402">
        <f>FK41+MIN(0,FL39)</f>
        <v/>
      </c>
      <c r="FM41" s="402">
        <f>FL41+MIN(0,FM39)</f>
        <v/>
      </c>
      <c r="FN41" s="402">
        <f>FM41+MIN(0,FN39)</f>
        <v/>
      </c>
      <c r="FO41" s="402">
        <f>FN41+MIN(0,FO39)</f>
        <v/>
      </c>
      <c r="FP41" s="402">
        <f>FO41+MIN(0,FP39)</f>
        <v/>
      </c>
      <c r="FQ41" s="402">
        <f>FP41+MIN(0,FQ39)</f>
        <v/>
      </c>
      <c r="FR41" s="402">
        <f>FQ41+MIN(0,FR39)</f>
        <v/>
      </c>
      <c r="FS41" s="402">
        <f>FR41+MIN(0,FS39)</f>
        <v/>
      </c>
      <c r="FT41" s="402">
        <f>FS41+MIN(0,FT39)</f>
        <v/>
      </c>
      <c r="FU41" s="402">
        <f>FT41+MIN(0,FU39)</f>
        <v/>
      </c>
      <c r="FV41" s="402">
        <f>FU41+MIN(0,FV39)</f>
        <v/>
      </c>
      <c r="FW41" s="402">
        <f>FV41+MIN(0,FW39)</f>
        <v/>
      </c>
      <c r="FX41" s="402">
        <f>FW41+MIN(0,FX39)</f>
        <v/>
      </c>
      <c r="FY41" s="402">
        <f>FX41+MIN(0,FY39)</f>
        <v/>
      </c>
      <c r="FZ41" s="402">
        <f>FY41+MIN(0,FZ39)</f>
        <v/>
      </c>
      <c r="GA41" s="402">
        <f>FZ41+MIN(0,GA39)</f>
        <v/>
      </c>
      <c r="GB41" s="402">
        <f>GA41+MIN(0,GB39)</f>
        <v/>
      </c>
      <c r="GC41" s="402">
        <f>GB41+MIN(0,GC39)</f>
        <v/>
      </c>
      <c r="GD41" s="402">
        <f>GC41+MIN(0,GD39)</f>
        <v/>
      </c>
      <c r="GE41" s="402">
        <f>GD41+MIN(0,GE39)</f>
        <v/>
      </c>
      <c r="GF41" s="402">
        <f>GE41+MIN(0,GF39)</f>
        <v/>
      </c>
      <c r="GG41" s="402">
        <f>GF41+MIN(0,GG39)</f>
        <v/>
      </c>
      <c r="GH41" s="402">
        <f>GG41+MIN(0,GH39)</f>
        <v/>
      </c>
      <c r="GI41" s="402">
        <f>GH41+MIN(0,GI39)</f>
        <v/>
      </c>
      <c r="GJ41" s="402">
        <f>GI41+MIN(0,GJ39)</f>
        <v/>
      </c>
      <c r="GK41" s="402">
        <f>GJ41+MIN(0,GK39)</f>
        <v/>
      </c>
      <c r="GL41" s="402">
        <f>GK41+MIN(0,GL39)</f>
        <v/>
      </c>
      <c r="GM41" s="402">
        <f>GL41+MIN(0,GM39)</f>
        <v/>
      </c>
      <c r="GN41" s="402">
        <f>GM41+MIN(0,GN39)</f>
        <v/>
      </c>
      <c r="GO41" s="402">
        <f>GN41+MIN(0,GO39)</f>
        <v/>
      </c>
      <c r="GP41" s="402">
        <f>GO41+MIN(0,GP39)</f>
        <v/>
      </c>
      <c r="GQ41" s="402">
        <f>GP41+MIN(0,GQ39)</f>
        <v/>
      </c>
      <c r="GR41" s="402">
        <f>GQ41+MIN(0,GR39)</f>
        <v/>
      </c>
      <c r="GS41" s="402">
        <f>GR41+MIN(0,GS39)</f>
        <v/>
      </c>
      <c r="GT41" s="402">
        <f>GS41+MIN(0,GT39)</f>
        <v/>
      </c>
      <c r="GU41" s="402">
        <f>GT41+MIN(0,GU39)</f>
        <v/>
      </c>
      <c r="GV41" s="402">
        <f>GU41+MIN(0,GV39)</f>
        <v/>
      </c>
      <c r="GW41" s="402">
        <f>GV41+MIN(0,GW39)</f>
        <v/>
      </c>
      <c r="GX41" s="402">
        <f>GW41+MIN(0,GX39)</f>
        <v/>
      </c>
      <c r="GY41" s="402">
        <f>GX41+MIN(0,GY39)</f>
        <v/>
      </c>
      <c r="GZ41" s="402">
        <f>GY41+MIN(0,GZ39)</f>
        <v/>
      </c>
      <c r="HA41" s="402">
        <f>GZ41+MIN(0,HA39)</f>
        <v/>
      </c>
      <c r="HB41" s="402">
        <f>HA41+MIN(0,HB39)</f>
        <v/>
      </c>
      <c r="HC41" s="402">
        <f>HB41+MIN(0,HC39)</f>
        <v/>
      </c>
      <c r="HD41" s="402">
        <f>HC41+MIN(0,HD39)</f>
        <v/>
      </c>
      <c r="HE41" s="402">
        <f>HD41+MIN(0,HE39)</f>
        <v/>
      </c>
      <c r="HF41" s="402">
        <f>HE41+MIN(0,HF39)</f>
        <v/>
      </c>
      <c r="HG41" s="402">
        <f>HF41+MIN(0,HG39)</f>
        <v/>
      </c>
      <c r="HH41" s="402">
        <f>HG41+MIN(0,HH39)</f>
        <v/>
      </c>
      <c r="HI41" s="402">
        <f>HH41+MIN(0,HI39)</f>
        <v/>
      </c>
      <c r="HJ41" s="402">
        <f>HI41+MIN(0,HJ39)</f>
        <v/>
      </c>
      <c r="HK41" s="402">
        <f>HJ41+MIN(0,HK39)</f>
        <v/>
      </c>
      <c r="HL41" s="402">
        <f>HK41+MIN(0,HL39)</f>
        <v/>
      </c>
      <c r="HM41" s="402">
        <f>HL41+MIN(0,HM39)</f>
        <v/>
      </c>
      <c r="HN41" s="402">
        <f>HM41+MIN(0,HN39)</f>
        <v/>
      </c>
      <c r="HO41" s="402">
        <f>HN41+MIN(0,HO39)</f>
        <v/>
      </c>
      <c r="HP41" s="402">
        <f>HO41+MIN(0,HP39)</f>
        <v/>
      </c>
      <c r="HQ41" s="402">
        <f>HP41+MIN(0,HQ39)</f>
        <v/>
      </c>
      <c r="HR41" s="402">
        <f>HQ41+MIN(0,HR39)</f>
        <v/>
      </c>
      <c r="HS41" s="402">
        <f>HR41+MIN(0,HS39)</f>
        <v/>
      </c>
      <c r="HT41" s="402">
        <f>HS41+MIN(0,HT39)</f>
        <v/>
      </c>
      <c r="HU41" s="402">
        <f>HT41+MIN(0,HU39)</f>
        <v/>
      </c>
      <c r="HV41" s="402">
        <f>HU41+MIN(0,HV39)</f>
        <v/>
      </c>
      <c r="HW41" s="402">
        <f>HV41+MIN(0,HW39)</f>
        <v/>
      </c>
      <c r="HX41" s="402">
        <f>HW41+MIN(0,HX39)</f>
        <v/>
      </c>
      <c r="HY41" s="402">
        <f>HX41+MIN(0,HY39)</f>
        <v/>
      </c>
      <c r="HZ41" s="402">
        <f>HY41+MIN(0,HZ39)</f>
        <v/>
      </c>
      <c r="IA41" s="402">
        <f>HZ41+MIN(0,IA39)</f>
        <v/>
      </c>
      <c r="IB41" s="402">
        <f>IA41+MIN(0,IB39)</f>
        <v/>
      </c>
      <c r="IC41" s="402">
        <f>IB41+MIN(0,IC39)</f>
        <v/>
      </c>
      <c r="ID41" s="402">
        <f>IC41+MIN(0,ID39)</f>
        <v/>
      </c>
      <c r="IE41" s="402">
        <f>ID41+MIN(0,IE39)</f>
        <v/>
      </c>
      <c r="IF41" s="402">
        <f>IE41+MIN(0,IF39)</f>
        <v/>
      </c>
      <c r="IG41" s="402">
        <f>IF41+MIN(0,IG39)</f>
        <v/>
      </c>
      <c r="IH41" s="402">
        <f>IG41+MIN(0,IH39)</f>
        <v/>
      </c>
      <c r="II41" s="402">
        <f>IH41+MIN(0,II39)</f>
        <v/>
      </c>
      <c r="IJ41" s="402">
        <f>II41+MIN(0,IJ39)</f>
        <v/>
      </c>
      <c r="IK41" s="402">
        <f>IJ41+MIN(0,IK39)</f>
        <v/>
      </c>
      <c r="IL41" s="402">
        <f>IK41+MIN(0,IL39)</f>
        <v/>
      </c>
      <c r="IM41" s="402">
        <f>IL41+MIN(0,IM39)</f>
        <v/>
      </c>
      <c r="IN41" s="402">
        <f>IM41+MIN(0,IN39)</f>
        <v/>
      </c>
      <c r="IO41" s="402">
        <f>IN41+MIN(0,IO39)</f>
        <v/>
      </c>
      <c r="IP41" s="402">
        <f>IO41+MIN(0,IP39)</f>
        <v/>
      </c>
      <c r="IQ41" s="402">
        <f>IP41+MIN(0,IQ39)</f>
        <v/>
      </c>
      <c r="IR41" s="402">
        <f>IQ41+MIN(0,IR39)</f>
        <v/>
      </c>
      <c r="IS41" s="402">
        <f>IR41+MIN(0,IS39)</f>
        <v/>
      </c>
      <c r="IT41" s="402">
        <f>IS41+MIN(0,IT39)</f>
        <v/>
      </c>
      <c r="IU41" s="402">
        <f>IT41+MIN(0,IU39)</f>
        <v/>
      </c>
      <c r="IV41" s="402">
        <f>IU41+MIN(0,IV39)</f>
        <v/>
      </c>
      <c r="IW41" s="402">
        <f>IV41+MIN(0,IW39)</f>
        <v/>
      </c>
      <c r="IX41" s="402">
        <f>IW41+MIN(0,IX39)</f>
        <v/>
      </c>
      <c r="IY41" s="402">
        <f>IX41+MIN(0,IY39)</f>
        <v/>
      </c>
      <c r="IZ41" s="402">
        <f>IY41+MIN(0,IZ39)</f>
        <v/>
      </c>
      <c r="JA41" s="402">
        <f>IZ41+MIN(0,JA39)</f>
        <v/>
      </c>
      <c r="JB41" s="402">
        <f>JA41+MIN(0,JB39)</f>
        <v/>
      </c>
      <c r="JC41" s="402">
        <f>JB41+MIN(0,JC39)</f>
        <v/>
      </c>
      <c r="JD41" s="402">
        <f>JC41+MIN(0,JD39)</f>
        <v/>
      </c>
      <c r="JE41" s="402">
        <f>JD41+MIN(0,JE39)</f>
        <v/>
      </c>
      <c r="JF41" s="402">
        <f>JE41+MIN(0,JF39)</f>
        <v/>
      </c>
      <c r="JG41" s="402">
        <f>JF41+MIN(0,JG39)</f>
        <v/>
      </c>
      <c r="JH41" s="402">
        <f>JG41+MIN(0,JH39)</f>
        <v/>
      </c>
      <c r="JI41" s="402">
        <f>JH41+MIN(0,JI39)</f>
        <v/>
      </c>
      <c r="JJ41" s="402">
        <f>JI41+MIN(0,JJ39)</f>
        <v/>
      </c>
      <c r="JK41" s="402">
        <f>JJ41+MIN(0,JK39)</f>
        <v/>
      </c>
      <c r="JL41" s="402">
        <f>JK41+MIN(0,JL39)</f>
        <v/>
      </c>
      <c r="JM41" s="402">
        <f>JL41+MIN(0,JM39)</f>
        <v/>
      </c>
      <c r="JN41" s="402">
        <f>JM41+MIN(0,JN39)</f>
        <v/>
      </c>
      <c r="JO41" s="402">
        <f>JN41+MIN(0,JO39)</f>
        <v/>
      </c>
      <c r="JP41" s="402">
        <f>JO41+MIN(0,JP39)</f>
        <v/>
      </c>
      <c r="JQ41" s="402">
        <f>JP41+MIN(0,JQ39)</f>
        <v/>
      </c>
      <c r="JR41" s="402">
        <f>JQ41+MIN(0,JR39)</f>
        <v/>
      </c>
      <c r="JS41" s="402">
        <f>JR41+MIN(0,JS39)</f>
        <v/>
      </c>
      <c r="JT41" s="402">
        <f>JS41+MIN(0,JT39)</f>
        <v/>
      </c>
      <c r="JU41" s="402">
        <f>JT41+MIN(0,JU39)</f>
        <v/>
      </c>
      <c r="JV41" s="402">
        <f>JU41+MIN(0,JV39)</f>
        <v/>
      </c>
      <c r="JW41" s="402">
        <f>JV41+MIN(0,JW39)</f>
        <v/>
      </c>
      <c r="JX41" s="402">
        <f>JW41+MIN(0,JX39)</f>
        <v/>
      </c>
      <c r="JY41" s="402">
        <f>JX41+MIN(0,JY39)</f>
        <v/>
      </c>
      <c r="JZ41" s="402">
        <f>JY41+MIN(0,JZ39)</f>
        <v/>
      </c>
      <c r="KA41" s="402">
        <f>JZ41+MIN(0,KA39)</f>
        <v/>
      </c>
      <c r="KB41" s="402">
        <f>KA41+MIN(0,KB39)</f>
        <v/>
      </c>
      <c r="KC41" s="402">
        <f>KB41+MIN(0,KC39)</f>
        <v/>
      </c>
      <c r="KD41" s="402">
        <f>KC41+MIN(0,KD39)</f>
        <v/>
      </c>
      <c r="KE41" s="402">
        <f>KD41+MIN(0,KE39)</f>
        <v/>
      </c>
      <c r="KF41" s="402">
        <f>KE41+MIN(0,KF39)</f>
        <v/>
      </c>
      <c r="KG41" s="402">
        <f>KF41+MIN(0,KG39)</f>
        <v/>
      </c>
      <c r="KH41" s="402">
        <f>KG41+MIN(0,KH39)</f>
        <v/>
      </c>
      <c r="KI41" s="402">
        <f>KH41+MIN(0,KI39)</f>
        <v/>
      </c>
      <c r="KJ41" s="402">
        <f>KI41+MIN(0,KJ39)</f>
        <v/>
      </c>
      <c r="KK41" s="402">
        <f>KJ41+MIN(0,KK39)</f>
        <v/>
      </c>
      <c r="KL41" s="402">
        <f>KK41+MIN(0,KL39)</f>
        <v/>
      </c>
      <c r="KM41" s="402">
        <f>KL41+MIN(0,KM39)</f>
        <v/>
      </c>
      <c r="KN41" s="402">
        <f>KM41+MIN(0,KN39)</f>
        <v/>
      </c>
      <c r="KO41" s="402">
        <f>KN41+MIN(0,KO39)</f>
        <v/>
      </c>
      <c r="KP41" s="402">
        <f>KO41+MIN(0,KP39)</f>
        <v/>
      </c>
      <c r="KQ41" s="402">
        <f>KP41+MIN(0,KQ39)</f>
        <v/>
      </c>
      <c r="KR41" s="402">
        <f>KQ41+MIN(0,KR39)</f>
        <v/>
      </c>
      <c r="KS41" s="402">
        <f>KR41+MIN(0,KS39)</f>
        <v/>
      </c>
      <c r="KT41" s="402">
        <f>KS41+MIN(0,KT39)</f>
        <v/>
      </c>
      <c r="KU41" s="402">
        <f>KT41+MIN(0,KU39)</f>
        <v/>
      </c>
      <c r="KV41" s="402">
        <f>KU41+MIN(0,KV39)</f>
        <v/>
      </c>
      <c r="KW41" s="402">
        <f>KV41+MIN(0,KW39)</f>
        <v/>
      </c>
      <c r="KX41" s="402">
        <f>KW41+MIN(0,KX39)</f>
        <v/>
      </c>
      <c r="KY41" s="402">
        <f>KX41+MIN(0,KY39)</f>
        <v/>
      </c>
      <c r="KZ41" s="402">
        <f>KY41+MIN(0,KZ39)</f>
        <v/>
      </c>
      <c r="LA41" s="402">
        <f>KZ41+MIN(0,LA39)</f>
        <v/>
      </c>
      <c r="LB41" s="402">
        <f>LA41+MIN(0,LB39)</f>
        <v/>
      </c>
      <c r="LC41" s="402">
        <f>LB41+MIN(0,LC39)</f>
        <v/>
      </c>
      <c r="LD41" s="402">
        <f>LC41+MIN(0,LD39)</f>
        <v/>
      </c>
      <c r="LE41" s="402">
        <f>LD41+MIN(0,LE39)</f>
        <v/>
      </c>
      <c r="LF41" s="402">
        <f>LE41+MIN(0,LF39)</f>
        <v/>
      </c>
      <c r="LG41" s="402">
        <f>LF41+MIN(0,LG39)</f>
        <v/>
      </c>
      <c r="LH41" s="402">
        <f>LG41+MIN(0,LH39)</f>
        <v/>
      </c>
      <c r="LI41" s="402">
        <f>LH41+MIN(0,LI39)</f>
        <v/>
      </c>
      <c r="LJ41" s="402">
        <f>LI41+MIN(0,LJ39)</f>
        <v/>
      </c>
      <c r="LK41" s="402">
        <f>LJ41+MIN(0,LK39)</f>
        <v/>
      </c>
      <c r="LL41" s="402">
        <f>LK41+MIN(0,LL39)</f>
        <v/>
      </c>
      <c r="LM41" s="402">
        <f>LL41+MIN(0,LM39)</f>
        <v/>
      </c>
      <c r="LN41" s="402">
        <f>LM41+MIN(0,LN39)</f>
        <v/>
      </c>
      <c r="LO41" s="402">
        <f>LN41+MIN(0,LO39)</f>
        <v/>
      </c>
      <c r="LP41" s="402">
        <f>LO41+MIN(0,LP39)</f>
        <v/>
      </c>
      <c r="LQ41" s="402">
        <f>LP41+MIN(0,LQ39)</f>
        <v/>
      </c>
      <c r="LR41" s="402">
        <f>LQ41+MIN(0,LR39)</f>
        <v/>
      </c>
      <c r="LS41" s="402">
        <f>LR41+MIN(0,LS39)</f>
        <v/>
      </c>
      <c r="LT41" s="402">
        <f>LS41+MIN(0,LT39)</f>
        <v/>
      </c>
      <c r="LU41" s="402">
        <f>LT41+MIN(0,LU39)</f>
        <v/>
      </c>
      <c r="LV41" s="402">
        <f>LU41+MIN(0,LV39)</f>
        <v/>
      </c>
      <c r="LW41" s="402">
        <f>LV41+MIN(0,LW39)</f>
        <v/>
      </c>
      <c r="LX41" s="402">
        <f>LW41+MIN(0,LX39)</f>
        <v/>
      </c>
      <c r="LY41" s="402">
        <f>LX41+MIN(0,LY39)</f>
        <v/>
      </c>
      <c r="LZ41" s="402">
        <f>LY41+MIN(0,LZ39)</f>
        <v/>
      </c>
      <c r="MA41" s="402">
        <f>LZ41+MIN(0,MA39)</f>
        <v/>
      </c>
      <c r="MB41" s="402">
        <f>MA41+MIN(0,MB39)</f>
        <v/>
      </c>
      <c r="MC41" s="402">
        <f>MB41+MIN(0,MC39)</f>
        <v/>
      </c>
      <c r="MD41" s="402">
        <f>MC41+MIN(0,MD39)</f>
        <v/>
      </c>
      <c r="ME41" s="402">
        <f>MD41+MIN(0,ME39)</f>
        <v/>
      </c>
      <c r="MF41" s="402">
        <f>ME41+MIN(0,MF39)</f>
        <v/>
      </c>
      <c r="MG41" s="402">
        <f>MF41+MIN(0,MG39)</f>
        <v/>
      </c>
      <c r="MH41" s="402">
        <f>MG41+MIN(0,MH39)</f>
        <v/>
      </c>
      <c r="MI41" s="402">
        <f>MH41+MIN(0,MI39)</f>
        <v/>
      </c>
      <c r="MJ41" s="402">
        <f>MI41+MIN(0,MJ39)</f>
        <v/>
      </c>
      <c r="MK41" s="402">
        <f>MJ41+MIN(0,MK39)</f>
        <v/>
      </c>
      <c r="ML41" s="402">
        <f>MK41+MIN(0,ML39)</f>
        <v/>
      </c>
      <c r="MM41" s="402">
        <f>ML41+MIN(0,MM39)</f>
        <v/>
      </c>
      <c r="MN41" s="402">
        <f>MM41+MIN(0,MN39)</f>
        <v/>
      </c>
      <c r="MO41" s="402">
        <f>MN41+MIN(0,MO39)</f>
        <v/>
      </c>
      <c r="MP41" s="402">
        <f>MO41+MIN(0,MP39)</f>
        <v/>
      </c>
      <c r="MQ41" s="402">
        <f>MP41+MIN(0,MQ39)</f>
        <v/>
      </c>
      <c r="MR41" s="402">
        <f>MQ41+MIN(0,MR39)</f>
        <v/>
      </c>
      <c r="MS41" s="402">
        <f>MR41+MIN(0,MS39)</f>
        <v/>
      </c>
      <c r="MT41" s="402">
        <f>MS41+MIN(0,MT39)</f>
        <v/>
      </c>
      <c r="MU41" s="402">
        <f>MT41+MIN(0,MU39)</f>
        <v/>
      </c>
      <c r="MV41" s="402">
        <f>MU41+MIN(0,MV39)</f>
        <v/>
      </c>
      <c r="MW41" s="402">
        <f>MV41+MIN(0,MW39)</f>
        <v/>
      </c>
      <c r="MX41" s="402">
        <f>MW41+MIN(0,MX39)</f>
        <v/>
      </c>
      <c r="MY41" s="402">
        <f>MX41+MIN(0,MY39)</f>
        <v/>
      </c>
      <c r="MZ41" s="402">
        <f>MY41+MIN(0,MZ39)</f>
        <v/>
      </c>
      <c r="NA41" s="402">
        <f>MZ41+MIN(0,NA39)</f>
        <v/>
      </c>
      <c r="NB41" s="402">
        <f>NA41+MIN(0,NB39)</f>
        <v/>
      </c>
      <c r="NC41" s="402">
        <f>NB41+MIN(0,NC39)</f>
        <v/>
      </c>
      <c r="ND41" s="402">
        <f>NC41+MIN(0,ND39)</f>
        <v/>
      </c>
      <c r="NE41" s="402">
        <f>ND41+MIN(0,NE39)</f>
        <v/>
      </c>
      <c r="NF41" s="402">
        <f>NE41+MIN(0,NF39)</f>
        <v/>
      </c>
      <c r="NG41" s="402">
        <f>NF41+MIN(0,NG39)</f>
        <v/>
      </c>
      <c r="NH41" s="402">
        <f>NG41+MIN(0,NH39)</f>
        <v/>
      </c>
      <c r="NI41" s="402">
        <f>NH41+MIN(0,NI39)</f>
        <v/>
      </c>
      <c r="NJ41" s="402">
        <f>NI41+MIN(0,NJ39)</f>
        <v/>
      </c>
      <c r="NK41" s="402">
        <f>NJ41+MIN(0,NK39)</f>
        <v/>
      </c>
      <c r="NL41" s="402">
        <f>NK41+MIN(0,NL39)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F7F7F"/>
    <outlinePr summaryBelow="1" summaryRight="1"/>
    <pageSetUpPr/>
  </sheetPr>
  <dimension ref="B1:D25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3.7109375" customWidth="1" style="97" min="1" max="1"/>
    <col width="40" customWidth="1" style="97" min="2" max="2"/>
    <col width="18" customWidth="1" style="97" min="3" max="3"/>
    <col width="30" customWidth="1" style="97" min="4" max="4"/>
  </cols>
  <sheetData>
    <row r="1" ht="21" customHeight="1" s="97">
      <c r="B1" s="1" t="inlineStr">
        <is>
          <t>Disposition Engine</t>
        </is>
      </c>
    </row>
    <row r="3">
      <c r="B3" s="34" t="inlineStr">
        <is>
          <t>Exit Valuation (forward 12-month NOI)</t>
        </is>
      </c>
      <c r="C3" s="60" t="n"/>
      <c r="D3" s="35" t="n"/>
    </row>
    <row r="4">
      <c r="B4" s="36" t="inlineStr">
        <is>
          <t>Forward NOI before Property Tax (12mo)</t>
        </is>
      </c>
      <c r="C4" s="255">
        <f>SUM(INDEX(Operating!E$35:'Operating'!NL$35,DispoMonth+1):INDEX(Operating!E$35:'Operating'!NL$35,DispoMonth+12))</f>
        <v/>
      </c>
      <c r="D4" s="53" t="n"/>
    </row>
    <row r="5">
      <c r="B5" s="36" t="inlineStr">
        <is>
          <t>Forward NOI after In-Place Tax (12mo)</t>
        </is>
      </c>
      <c r="C5" s="255">
        <f>SUM(INDEX(Operating!E$38:'Operating'!NL$38,DispoMonth+1):INDEX(Operating!E$38:'Operating'!NL$38,DispoMonth+12))</f>
        <v/>
      </c>
      <c r="D5" s="53" t="n"/>
    </row>
    <row r="6">
      <c r="B6" s="36" t="inlineStr">
        <is>
          <t>Forward EGI (12mo)</t>
        </is>
      </c>
      <c r="C6" s="255">
        <f>SUM(INDEX(Operating!E$23:'Operating'!NL$23,DispoMonth+1):INDEX(Operating!E$23:'Operating'!NL$23,DispoMonth+12))</f>
        <v/>
      </c>
      <c r="D6" s="53" t="n"/>
    </row>
    <row r="7">
      <c r="B7" s="36" t="inlineStr">
        <is>
          <t>Forward Retail Income (12mo)</t>
        </is>
      </c>
      <c r="C7" s="255">
        <f>SUM(INDEX(Operating!E$22:'Operating'!NL$22,DispoMonth+1):INDEX(Operating!E$22:'Operating'!NL$22,DispoMonth+12))</f>
        <v/>
      </c>
      <c r="D7" s="53" t="n"/>
    </row>
    <row r="8">
      <c r="B8" s="36" t="inlineStr">
        <is>
          <t>Retail Revenue Share</t>
        </is>
      </c>
      <c r="C8" s="140">
        <f>IF(FwdEGI=0,0,FwdRetail/FwdEGI)</f>
        <v/>
      </c>
      <c r="D8" s="53" t="n"/>
    </row>
    <row r="9">
      <c r="B9" s="36" t="inlineStr">
        <is>
          <t>Blended Exit Cap Rate</t>
        </is>
      </c>
      <c r="C9" s="140">
        <f>IF(FwdNOIbt=0,ExitCapResidential,IF((FwdNOIbt*(1-RetailShare)/ExitCapResidential+FwdNOIbt*RetailShare/ExitCapRetail)=0,ExitCapResidential,FwdNOIbt/(FwdNOIbt*(1-RetailShare)/ExitCapResidential+FwdNOIbt*RetailShare/ExitCapRetail)))</f>
        <v/>
      </c>
      <c r="D9" s="53" t="n"/>
    </row>
    <row r="10">
      <c r="B10" s="40" t="inlineStr">
        <is>
          <t>Exit Value (reassess-aware, closed form)</t>
        </is>
      </c>
      <c r="C10" s="256">
        <f>IF(ReassessOnSale&gt;=1,IF((BlendedExitCap+DispoEffTaxRate)=0,0,FwdNOIbt/(BlendedExitCap+DispoEffTaxRate)),IF(BlendedExitCap=0,0,FwdNOIafter/BlendedExitCap))</f>
        <v/>
      </c>
      <c r="D10" s="66" t="n"/>
    </row>
    <row r="12">
      <c r="B12" s="34" t="inlineStr">
        <is>
          <t>Sale Costs &amp; Net Proceeds</t>
        </is>
      </c>
      <c r="C12" s="60" t="n"/>
      <c r="D12" s="35" t="n"/>
    </row>
    <row r="13">
      <c r="B13" s="36" t="inlineStr">
        <is>
          <t>Gross Sale Price</t>
        </is>
      </c>
      <c r="C13" s="227">
        <f>ExitValue</f>
        <v/>
      </c>
      <c r="D13" s="53" t="n"/>
    </row>
    <row r="14">
      <c r="B14" s="36" t="inlineStr">
        <is>
          <t>Broker / Sale Costs</t>
        </is>
      </c>
      <c r="C14" s="227">
        <f>-BrokerCostPct*ExitValue</f>
        <v/>
      </c>
      <c r="D14" s="53" t="n"/>
    </row>
    <row r="15">
      <c r="B15" s="36" t="inlineStr">
        <is>
          <t>Transfer / Sales Tax</t>
        </is>
      </c>
      <c r="C15" s="227">
        <f>-SalesTaxPct*ExitValue</f>
        <v/>
      </c>
      <c r="D15" s="53" t="n"/>
    </row>
    <row r="16">
      <c r="B16" s="36" t="inlineStr">
        <is>
          <t>Sponsor Disposition Fee</t>
        </is>
      </c>
      <c r="C16" s="227">
        <f>-SponsorDispoFeePct*ExitValue</f>
        <v/>
      </c>
      <c r="D16" s="53" t="n"/>
    </row>
    <row r="17">
      <c r="B17" s="36" t="inlineStr">
        <is>
          <t>Property Tax Proration</t>
        </is>
      </c>
      <c r="C17" s="227">
        <f>-INDEX(Operating!E$36:'Operating'!NL$36,MAX(1,DispoMonth))*TaxProrationMonths</f>
        <v/>
      </c>
      <c r="D17" s="53" t="n"/>
    </row>
    <row r="18">
      <c r="B18" s="36" t="inlineStr">
        <is>
          <t>Active Loan Payoff</t>
        </is>
      </c>
      <c r="C18" s="227">
        <f>-IF(RefiFlag=1,PermPayoffBal,ConPayoffBal)</f>
        <v/>
      </c>
      <c r="D18" s="53" t="n"/>
    </row>
    <row r="19">
      <c r="B19" s="50" t="inlineStr">
        <is>
          <t>Net Sale Proceeds (levered)</t>
        </is>
      </c>
      <c r="C19" s="262">
        <f>GrossSale+BrokerCost+SalesTaxAmt+SponsorDispoFee+TaxProration+ActivePayoff</f>
        <v/>
      </c>
      <c r="D19" s="53" t="n"/>
    </row>
    <row r="20">
      <c r="B20" s="57" t="inlineStr">
        <is>
          <t>Net Sale Proceeds (unlevered)</t>
        </is>
      </c>
      <c r="C20" s="271">
        <f>GrossSale+BrokerCost+SalesTaxAmt+SponsorDispoFee+TaxProration</f>
        <v/>
      </c>
      <c r="D20" s="66" t="n"/>
    </row>
    <row r="22">
      <c r="B22" s="71" t="inlineStr">
        <is>
          <t>Disposition Reconciliation</t>
        </is>
      </c>
      <c r="C22" s="72" t="n"/>
      <c r="D22" s="80" t="n"/>
    </row>
    <row r="23">
      <c r="B23" s="36" t="inlineStr">
        <is>
          <t>Development Gain (Exit − TDC)</t>
        </is>
      </c>
      <c r="C23" s="218">
        <f>ExitValue-TDC_Total</f>
        <v/>
      </c>
      <c r="D23" s="53" t="n"/>
    </row>
    <row r="24">
      <c r="B24" s="36" t="inlineStr">
        <is>
          <t>Loan retired by proceeds (&gt;=0)</t>
        </is>
      </c>
      <c r="C24" s="218">
        <f>GrossSale+BrokerCost+SalesTaxAmt+SponsorDispoFee+TaxProration-IF(RefiFlag=1,PermPayoffBal,ConPayoffBal)</f>
        <v/>
      </c>
      <c r="D24" s="53" t="n"/>
    </row>
    <row r="25">
      <c r="B25" s="40" t="inlineStr">
        <is>
          <t>Reassess closed-form residual (=0)</t>
        </is>
      </c>
      <c r="C25" s="263">
        <f>IF(ReassessOnSale&gt;=1,FwdNOIbt-ExitValue*(BlendedExitCap+DispoEffTaxRate),0)</f>
        <v/>
      </c>
      <c r="D25" s="66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F7F7F"/>
    <outlinePr summaryBelow="1" summaryRight="1"/>
    <pageSetUpPr/>
  </sheetPr>
  <dimension ref="B1:NL15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E4" sqref="E4"/>
    </sheetView>
  </sheetViews>
  <sheetFormatPr baseColWidth="8" defaultRowHeight="15"/>
  <cols>
    <col width="3.7109375" customWidth="1" style="97" min="1" max="1"/>
    <col width="32" customWidth="1" style="97" min="2" max="2"/>
    <col width="12" customWidth="1" style="97" min="3" max="3"/>
    <col width="16" customWidth="1" style="97" min="4" max="4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Levered &amp; Unlevered Cash Flows (monthly)</t>
        </is>
      </c>
    </row>
    <row r="3">
      <c r="B3" s="112" t="inlineStr">
        <is>
          <t>Period →</t>
        </is>
      </c>
      <c r="C3" s="107" t="n"/>
      <c r="D3" s="113" t="inlineStr">
        <is>
          <t>Total</t>
        </is>
      </c>
      <c r="E3" s="126" t="n">
        <v>1</v>
      </c>
      <c r="F3" s="126" t="n">
        <v>2</v>
      </c>
      <c r="G3" s="126" t="n">
        <v>3</v>
      </c>
      <c r="H3" s="126" t="n">
        <v>4</v>
      </c>
      <c r="I3" s="126" t="n">
        <v>5</v>
      </c>
      <c r="J3" s="126" t="n">
        <v>6</v>
      </c>
      <c r="K3" s="126" t="n">
        <v>7</v>
      </c>
      <c r="L3" s="126" t="n">
        <v>8</v>
      </c>
      <c r="M3" s="126" t="n">
        <v>9</v>
      </c>
      <c r="N3" s="126" t="n">
        <v>10</v>
      </c>
      <c r="O3" s="126" t="n">
        <v>11</v>
      </c>
      <c r="P3" s="126" t="n">
        <v>12</v>
      </c>
      <c r="Q3" s="126" t="n">
        <v>13</v>
      </c>
      <c r="R3" s="126" t="n">
        <v>14</v>
      </c>
      <c r="S3" s="126" t="n">
        <v>15</v>
      </c>
      <c r="T3" s="126" t="n">
        <v>16</v>
      </c>
      <c r="U3" s="126" t="n">
        <v>17</v>
      </c>
      <c r="V3" s="126" t="n">
        <v>18</v>
      </c>
      <c r="W3" s="126" t="n">
        <v>19</v>
      </c>
      <c r="X3" s="126" t="n">
        <v>20</v>
      </c>
      <c r="Y3" s="126" t="n">
        <v>21</v>
      </c>
      <c r="Z3" s="126" t="n">
        <v>22</v>
      </c>
      <c r="AA3" s="126" t="n">
        <v>23</v>
      </c>
      <c r="AB3" s="126" t="n">
        <v>24</v>
      </c>
      <c r="AC3" s="126" t="n">
        <v>25</v>
      </c>
      <c r="AD3" s="126" t="n">
        <v>26</v>
      </c>
      <c r="AE3" s="126" t="n">
        <v>27</v>
      </c>
      <c r="AF3" s="126" t="n">
        <v>28</v>
      </c>
      <c r="AG3" s="126" t="n">
        <v>29</v>
      </c>
      <c r="AH3" s="126" t="n">
        <v>30</v>
      </c>
      <c r="AI3" s="126" t="n">
        <v>31</v>
      </c>
      <c r="AJ3" s="126" t="n">
        <v>32</v>
      </c>
      <c r="AK3" s="126" t="n">
        <v>33</v>
      </c>
      <c r="AL3" s="126" t="n">
        <v>34</v>
      </c>
      <c r="AM3" s="126" t="n">
        <v>35</v>
      </c>
      <c r="AN3" s="126" t="n">
        <v>36</v>
      </c>
      <c r="AO3" s="126" t="n">
        <v>37</v>
      </c>
      <c r="AP3" s="126" t="n">
        <v>38</v>
      </c>
      <c r="AQ3" s="126" t="n">
        <v>39</v>
      </c>
      <c r="AR3" s="126" t="n">
        <v>40</v>
      </c>
      <c r="AS3" s="126" t="n">
        <v>41</v>
      </c>
      <c r="AT3" s="126" t="n">
        <v>42</v>
      </c>
      <c r="AU3" s="126" t="n">
        <v>43</v>
      </c>
      <c r="AV3" s="126" t="n">
        <v>44</v>
      </c>
      <c r="AW3" s="126" t="n">
        <v>45</v>
      </c>
      <c r="AX3" s="126" t="n">
        <v>46</v>
      </c>
      <c r="AY3" s="126" t="n">
        <v>47</v>
      </c>
      <c r="AZ3" s="126" t="n">
        <v>48</v>
      </c>
      <c r="BA3" s="126" t="n">
        <v>49</v>
      </c>
      <c r="BB3" s="126" t="n">
        <v>50</v>
      </c>
      <c r="BC3" s="126" t="n">
        <v>51</v>
      </c>
      <c r="BD3" s="126" t="n">
        <v>52</v>
      </c>
      <c r="BE3" s="126" t="n">
        <v>53</v>
      </c>
      <c r="BF3" s="126" t="n">
        <v>54</v>
      </c>
      <c r="BG3" s="126" t="n">
        <v>55</v>
      </c>
      <c r="BH3" s="126" t="n">
        <v>56</v>
      </c>
      <c r="BI3" s="126" t="n">
        <v>57</v>
      </c>
      <c r="BJ3" s="126" t="n">
        <v>58</v>
      </c>
      <c r="BK3" s="126" t="n">
        <v>59</v>
      </c>
      <c r="BL3" s="126" t="n">
        <v>60</v>
      </c>
      <c r="BM3" s="126" t="n">
        <v>61</v>
      </c>
      <c r="BN3" s="126" t="n">
        <v>62</v>
      </c>
      <c r="BO3" s="126" t="n">
        <v>63</v>
      </c>
      <c r="BP3" s="126" t="n">
        <v>64</v>
      </c>
      <c r="BQ3" s="126" t="n">
        <v>65</v>
      </c>
      <c r="BR3" s="126" t="n">
        <v>66</v>
      </c>
      <c r="BS3" s="126" t="n">
        <v>67</v>
      </c>
      <c r="BT3" s="126" t="n">
        <v>68</v>
      </c>
      <c r="BU3" s="126" t="n">
        <v>69</v>
      </c>
      <c r="BV3" s="126" t="n">
        <v>70</v>
      </c>
      <c r="BW3" s="126" t="n">
        <v>71</v>
      </c>
      <c r="BX3" s="126" t="n">
        <v>72</v>
      </c>
      <c r="BY3" s="126" t="n">
        <v>73</v>
      </c>
      <c r="BZ3" s="126" t="n">
        <v>74</v>
      </c>
      <c r="CA3" s="126" t="n">
        <v>75</v>
      </c>
      <c r="CB3" s="126" t="n">
        <v>76</v>
      </c>
      <c r="CC3" s="126" t="n">
        <v>77</v>
      </c>
      <c r="CD3" s="126" t="n">
        <v>78</v>
      </c>
      <c r="CE3" s="126" t="n">
        <v>79</v>
      </c>
      <c r="CF3" s="126" t="n">
        <v>80</v>
      </c>
      <c r="CG3" s="126" t="n">
        <v>81</v>
      </c>
      <c r="CH3" s="126" t="n">
        <v>82</v>
      </c>
      <c r="CI3" s="126" t="n">
        <v>83</v>
      </c>
      <c r="CJ3" s="126" t="n">
        <v>84</v>
      </c>
      <c r="CK3" s="126" t="n">
        <v>85</v>
      </c>
      <c r="CL3" s="126" t="n">
        <v>86</v>
      </c>
      <c r="CM3" s="126" t="n">
        <v>87</v>
      </c>
      <c r="CN3" s="126" t="n">
        <v>88</v>
      </c>
      <c r="CO3" s="126" t="n">
        <v>89</v>
      </c>
      <c r="CP3" s="126" t="n">
        <v>90</v>
      </c>
      <c r="CQ3" s="126" t="n">
        <v>91</v>
      </c>
      <c r="CR3" s="126" t="n">
        <v>92</v>
      </c>
      <c r="CS3" s="126" t="n">
        <v>93</v>
      </c>
      <c r="CT3" s="126" t="n">
        <v>94</v>
      </c>
      <c r="CU3" s="126" t="n">
        <v>95</v>
      </c>
      <c r="CV3" s="126" t="n">
        <v>96</v>
      </c>
      <c r="CW3" s="126" t="n">
        <v>97</v>
      </c>
      <c r="CX3" s="126" t="n">
        <v>98</v>
      </c>
      <c r="CY3" s="126" t="n">
        <v>99</v>
      </c>
      <c r="CZ3" s="126" t="n">
        <v>100</v>
      </c>
      <c r="DA3" s="126" t="n">
        <v>101</v>
      </c>
      <c r="DB3" s="126" t="n">
        <v>102</v>
      </c>
      <c r="DC3" s="126" t="n">
        <v>103</v>
      </c>
      <c r="DD3" s="126" t="n">
        <v>104</v>
      </c>
      <c r="DE3" s="126" t="n">
        <v>105</v>
      </c>
      <c r="DF3" s="126" t="n">
        <v>106</v>
      </c>
      <c r="DG3" s="126" t="n">
        <v>107</v>
      </c>
      <c r="DH3" s="126" t="n">
        <v>108</v>
      </c>
      <c r="DI3" s="126" t="n">
        <v>109</v>
      </c>
      <c r="DJ3" s="126" t="n">
        <v>110</v>
      </c>
      <c r="DK3" s="126" t="n">
        <v>111</v>
      </c>
      <c r="DL3" s="126" t="n">
        <v>112</v>
      </c>
      <c r="DM3" s="126" t="n">
        <v>113</v>
      </c>
      <c r="DN3" s="126" t="n">
        <v>114</v>
      </c>
      <c r="DO3" s="126" t="n">
        <v>115</v>
      </c>
      <c r="DP3" s="126" t="n">
        <v>116</v>
      </c>
      <c r="DQ3" s="126" t="n">
        <v>117</v>
      </c>
      <c r="DR3" s="126" t="n">
        <v>118</v>
      </c>
      <c r="DS3" s="126" t="n">
        <v>119</v>
      </c>
      <c r="DT3" s="126" t="n">
        <v>120</v>
      </c>
      <c r="DU3" s="126" t="n">
        <v>121</v>
      </c>
      <c r="DV3" s="126" t="n">
        <v>122</v>
      </c>
      <c r="DW3" s="126" t="n">
        <v>123</v>
      </c>
      <c r="DX3" s="126" t="n">
        <v>124</v>
      </c>
      <c r="DY3" s="126" t="n">
        <v>125</v>
      </c>
      <c r="DZ3" s="126" t="n">
        <v>126</v>
      </c>
      <c r="EA3" s="126" t="n">
        <v>127</v>
      </c>
      <c r="EB3" s="126" t="n">
        <v>128</v>
      </c>
      <c r="EC3" s="126" t="n">
        <v>129</v>
      </c>
      <c r="ED3" s="126" t="n">
        <v>130</v>
      </c>
      <c r="EE3" s="126" t="n">
        <v>131</v>
      </c>
      <c r="EF3" s="126" t="n">
        <v>132</v>
      </c>
      <c r="EG3" s="126" t="n">
        <v>133</v>
      </c>
      <c r="EH3" s="126" t="n">
        <v>134</v>
      </c>
      <c r="EI3" s="126" t="n">
        <v>135</v>
      </c>
      <c r="EJ3" s="126" t="n">
        <v>136</v>
      </c>
      <c r="EK3" s="126" t="n">
        <v>137</v>
      </c>
      <c r="EL3" s="126" t="n">
        <v>138</v>
      </c>
      <c r="EM3" s="126" t="n">
        <v>139</v>
      </c>
      <c r="EN3" s="126" t="n">
        <v>140</v>
      </c>
      <c r="EO3" s="126" t="n">
        <v>141</v>
      </c>
      <c r="EP3" s="126" t="n">
        <v>142</v>
      </c>
      <c r="EQ3" s="126" t="n">
        <v>143</v>
      </c>
      <c r="ER3" s="126" t="n">
        <v>144</v>
      </c>
      <c r="ES3" s="126" t="n">
        <v>145</v>
      </c>
      <c r="ET3" s="126" t="n">
        <v>146</v>
      </c>
      <c r="EU3" s="126" t="n">
        <v>147</v>
      </c>
      <c r="EV3" s="126" t="n">
        <v>148</v>
      </c>
      <c r="EW3" s="126" t="n">
        <v>149</v>
      </c>
      <c r="EX3" s="126" t="n">
        <v>150</v>
      </c>
      <c r="EY3" s="126" t="n">
        <v>151</v>
      </c>
      <c r="EZ3" s="126" t="n">
        <v>152</v>
      </c>
      <c r="FA3" s="126" t="n">
        <v>153</v>
      </c>
      <c r="FB3" s="126" t="n">
        <v>154</v>
      </c>
      <c r="FC3" s="126" t="n">
        <v>155</v>
      </c>
      <c r="FD3" s="126" t="n">
        <v>156</v>
      </c>
      <c r="FE3" s="126" t="n">
        <v>157</v>
      </c>
      <c r="FF3" s="126" t="n">
        <v>158</v>
      </c>
      <c r="FG3" s="126" t="n">
        <v>159</v>
      </c>
      <c r="FH3" s="126" t="n">
        <v>160</v>
      </c>
      <c r="FI3" s="126" t="n">
        <v>161</v>
      </c>
      <c r="FJ3" s="126" t="n">
        <v>162</v>
      </c>
      <c r="FK3" s="126" t="n">
        <v>163</v>
      </c>
      <c r="FL3" s="126" t="n">
        <v>164</v>
      </c>
      <c r="FM3" s="126" t="n">
        <v>165</v>
      </c>
      <c r="FN3" s="126" t="n">
        <v>166</v>
      </c>
      <c r="FO3" s="126" t="n">
        <v>167</v>
      </c>
      <c r="FP3" s="126" t="n">
        <v>168</v>
      </c>
      <c r="FQ3" s="126" t="n">
        <v>169</v>
      </c>
      <c r="FR3" s="126" t="n">
        <v>170</v>
      </c>
      <c r="FS3" s="126" t="n">
        <v>171</v>
      </c>
      <c r="FT3" s="126" t="n">
        <v>172</v>
      </c>
      <c r="FU3" s="126" t="n">
        <v>173</v>
      </c>
      <c r="FV3" s="126" t="n">
        <v>174</v>
      </c>
      <c r="FW3" s="126" t="n">
        <v>175</v>
      </c>
      <c r="FX3" s="126" t="n">
        <v>176</v>
      </c>
      <c r="FY3" s="126" t="n">
        <v>177</v>
      </c>
      <c r="FZ3" s="126" t="n">
        <v>178</v>
      </c>
      <c r="GA3" s="126" t="n">
        <v>179</v>
      </c>
      <c r="GB3" s="126" t="n">
        <v>180</v>
      </c>
      <c r="GC3" s="126" t="n">
        <v>181</v>
      </c>
      <c r="GD3" s="126" t="n">
        <v>182</v>
      </c>
      <c r="GE3" s="126" t="n">
        <v>183</v>
      </c>
      <c r="GF3" s="126" t="n">
        <v>184</v>
      </c>
      <c r="GG3" s="126" t="n">
        <v>185</v>
      </c>
      <c r="GH3" s="126" t="n">
        <v>186</v>
      </c>
      <c r="GI3" s="126" t="n">
        <v>187</v>
      </c>
      <c r="GJ3" s="126" t="n">
        <v>188</v>
      </c>
      <c r="GK3" s="126" t="n">
        <v>189</v>
      </c>
      <c r="GL3" s="126" t="n">
        <v>190</v>
      </c>
      <c r="GM3" s="126" t="n">
        <v>191</v>
      </c>
      <c r="GN3" s="126" t="n">
        <v>192</v>
      </c>
      <c r="GO3" s="126" t="n">
        <v>193</v>
      </c>
      <c r="GP3" s="126" t="n">
        <v>194</v>
      </c>
      <c r="GQ3" s="126" t="n">
        <v>195</v>
      </c>
      <c r="GR3" s="126" t="n">
        <v>196</v>
      </c>
      <c r="GS3" s="126" t="n">
        <v>197</v>
      </c>
      <c r="GT3" s="126" t="n">
        <v>198</v>
      </c>
      <c r="GU3" s="126" t="n">
        <v>199</v>
      </c>
      <c r="GV3" s="126" t="n">
        <v>200</v>
      </c>
      <c r="GW3" s="126" t="n">
        <v>201</v>
      </c>
      <c r="GX3" s="126" t="n">
        <v>202</v>
      </c>
      <c r="GY3" s="126" t="n">
        <v>203</v>
      </c>
      <c r="GZ3" s="126" t="n">
        <v>204</v>
      </c>
      <c r="HA3" s="126" t="n">
        <v>205</v>
      </c>
      <c r="HB3" s="126" t="n">
        <v>206</v>
      </c>
      <c r="HC3" s="126" t="n">
        <v>207</v>
      </c>
      <c r="HD3" s="126" t="n">
        <v>208</v>
      </c>
      <c r="HE3" s="126" t="n">
        <v>209</v>
      </c>
      <c r="HF3" s="126" t="n">
        <v>210</v>
      </c>
      <c r="HG3" s="126" t="n">
        <v>211</v>
      </c>
      <c r="HH3" s="126" t="n">
        <v>212</v>
      </c>
      <c r="HI3" s="126" t="n">
        <v>213</v>
      </c>
      <c r="HJ3" s="126" t="n">
        <v>214</v>
      </c>
      <c r="HK3" s="126" t="n">
        <v>215</v>
      </c>
      <c r="HL3" s="126" t="n">
        <v>216</v>
      </c>
      <c r="HM3" s="126" t="n">
        <v>217</v>
      </c>
      <c r="HN3" s="126" t="n">
        <v>218</v>
      </c>
      <c r="HO3" s="126" t="n">
        <v>219</v>
      </c>
      <c r="HP3" s="126" t="n">
        <v>220</v>
      </c>
      <c r="HQ3" s="126" t="n">
        <v>221</v>
      </c>
      <c r="HR3" s="126" t="n">
        <v>222</v>
      </c>
      <c r="HS3" s="126" t="n">
        <v>223</v>
      </c>
      <c r="HT3" s="126" t="n">
        <v>224</v>
      </c>
      <c r="HU3" s="126" t="n">
        <v>225</v>
      </c>
      <c r="HV3" s="126" t="n">
        <v>226</v>
      </c>
      <c r="HW3" s="126" t="n">
        <v>227</v>
      </c>
      <c r="HX3" s="126" t="n">
        <v>228</v>
      </c>
      <c r="HY3" s="126" t="n">
        <v>229</v>
      </c>
      <c r="HZ3" s="126" t="n">
        <v>230</v>
      </c>
      <c r="IA3" s="126" t="n">
        <v>231</v>
      </c>
      <c r="IB3" s="126" t="n">
        <v>232</v>
      </c>
      <c r="IC3" s="126" t="n">
        <v>233</v>
      </c>
      <c r="ID3" s="126" t="n">
        <v>234</v>
      </c>
      <c r="IE3" s="126" t="n">
        <v>235</v>
      </c>
      <c r="IF3" s="126" t="n">
        <v>236</v>
      </c>
      <c r="IG3" s="126" t="n">
        <v>237</v>
      </c>
      <c r="IH3" s="126" t="n">
        <v>238</v>
      </c>
      <c r="II3" s="126" t="n">
        <v>239</v>
      </c>
      <c r="IJ3" s="126" t="n">
        <v>240</v>
      </c>
      <c r="IK3" s="126" t="n">
        <v>241</v>
      </c>
      <c r="IL3" s="126" t="n">
        <v>242</v>
      </c>
      <c r="IM3" s="126" t="n">
        <v>243</v>
      </c>
      <c r="IN3" s="126" t="n">
        <v>244</v>
      </c>
      <c r="IO3" s="126" t="n">
        <v>245</v>
      </c>
      <c r="IP3" s="126" t="n">
        <v>246</v>
      </c>
      <c r="IQ3" s="126" t="n">
        <v>247</v>
      </c>
      <c r="IR3" s="126" t="n">
        <v>248</v>
      </c>
      <c r="IS3" s="126" t="n">
        <v>249</v>
      </c>
      <c r="IT3" s="126" t="n">
        <v>250</v>
      </c>
      <c r="IU3" s="126" t="n">
        <v>251</v>
      </c>
      <c r="IV3" s="126" t="n">
        <v>252</v>
      </c>
      <c r="IW3" s="126" t="n">
        <v>253</v>
      </c>
      <c r="IX3" s="126" t="n">
        <v>254</v>
      </c>
      <c r="IY3" s="126" t="n">
        <v>255</v>
      </c>
      <c r="IZ3" s="126" t="n">
        <v>256</v>
      </c>
      <c r="JA3" s="126" t="n">
        <v>257</v>
      </c>
      <c r="JB3" s="126" t="n">
        <v>258</v>
      </c>
      <c r="JC3" s="126" t="n">
        <v>259</v>
      </c>
      <c r="JD3" s="126" t="n">
        <v>260</v>
      </c>
      <c r="JE3" s="126" t="n">
        <v>261</v>
      </c>
      <c r="JF3" s="126" t="n">
        <v>262</v>
      </c>
      <c r="JG3" s="126" t="n">
        <v>263</v>
      </c>
      <c r="JH3" s="126" t="n">
        <v>264</v>
      </c>
      <c r="JI3" s="126" t="n">
        <v>265</v>
      </c>
      <c r="JJ3" s="126" t="n">
        <v>266</v>
      </c>
      <c r="JK3" s="126" t="n">
        <v>267</v>
      </c>
      <c r="JL3" s="126" t="n">
        <v>268</v>
      </c>
      <c r="JM3" s="126" t="n">
        <v>269</v>
      </c>
      <c r="JN3" s="126" t="n">
        <v>270</v>
      </c>
      <c r="JO3" s="126" t="n">
        <v>271</v>
      </c>
      <c r="JP3" s="126" t="n">
        <v>272</v>
      </c>
      <c r="JQ3" s="126" t="n">
        <v>273</v>
      </c>
      <c r="JR3" s="126" t="n">
        <v>274</v>
      </c>
      <c r="JS3" s="126" t="n">
        <v>275</v>
      </c>
      <c r="JT3" s="126" t="n">
        <v>276</v>
      </c>
      <c r="JU3" s="126" t="n">
        <v>277</v>
      </c>
      <c r="JV3" s="126" t="n">
        <v>278</v>
      </c>
      <c r="JW3" s="126" t="n">
        <v>279</v>
      </c>
      <c r="JX3" s="126" t="n">
        <v>280</v>
      </c>
      <c r="JY3" s="126" t="n">
        <v>281</v>
      </c>
      <c r="JZ3" s="126" t="n">
        <v>282</v>
      </c>
      <c r="KA3" s="126" t="n">
        <v>283</v>
      </c>
      <c r="KB3" s="126" t="n">
        <v>284</v>
      </c>
      <c r="KC3" s="126" t="n">
        <v>285</v>
      </c>
      <c r="KD3" s="126" t="n">
        <v>286</v>
      </c>
      <c r="KE3" s="126" t="n">
        <v>287</v>
      </c>
      <c r="KF3" s="126" t="n">
        <v>288</v>
      </c>
      <c r="KG3" s="126" t="n">
        <v>289</v>
      </c>
      <c r="KH3" s="126" t="n">
        <v>290</v>
      </c>
      <c r="KI3" s="126" t="n">
        <v>291</v>
      </c>
      <c r="KJ3" s="126" t="n">
        <v>292</v>
      </c>
      <c r="KK3" s="126" t="n">
        <v>293</v>
      </c>
      <c r="KL3" s="126" t="n">
        <v>294</v>
      </c>
      <c r="KM3" s="126" t="n">
        <v>295</v>
      </c>
      <c r="KN3" s="126" t="n">
        <v>296</v>
      </c>
      <c r="KO3" s="126" t="n">
        <v>297</v>
      </c>
      <c r="KP3" s="126" t="n">
        <v>298</v>
      </c>
      <c r="KQ3" s="126" t="n">
        <v>299</v>
      </c>
      <c r="KR3" s="126" t="n">
        <v>300</v>
      </c>
      <c r="KS3" s="126" t="n">
        <v>301</v>
      </c>
      <c r="KT3" s="126" t="n">
        <v>302</v>
      </c>
      <c r="KU3" s="126" t="n">
        <v>303</v>
      </c>
      <c r="KV3" s="126" t="n">
        <v>304</v>
      </c>
      <c r="KW3" s="126" t="n">
        <v>305</v>
      </c>
      <c r="KX3" s="126" t="n">
        <v>306</v>
      </c>
      <c r="KY3" s="126" t="n">
        <v>307</v>
      </c>
      <c r="KZ3" s="126" t="n">
        <v>308</v>
      </c>
      <c r="LA3" s="126" t="n">
        <v>309</v>
      </c>
      <c r="LB3" s="126" t="n">
        <v>310</v>
      </c>
      <c r="LC3" s="126" t="n">
        <v>311</v>
      </c>
      <c r="LD3" s="126" t="n">
        <v>312</v>
      </c>
      <c r="LE3" s="126" t="n">
        <v>313</v>
      </c>
      <c r="LF3" s="126" t="n">
        <v>314</v>
      </c>
      <c r="LG3" s="126" t="n">
        <v>315</v>
      </c>
      <c r="LH3" s="126" t="n">
        <v>316</v>
      </c>
      <c r="LI3" s="126" t="n">
        <v>317</v>
      </c>
      <c r="LJ3" s="126" t="n">
        <v>318</v>
      </c>
      <c r="LK3" s="126" t="n">
        <v>319</v>
      </c>
      <c r="LL3" s="126" t="n">
        <v>320</v>
      </c>
      <c r="LM3" s="126" t="n">
        <v>321</v>
      </c>
      <c r="LN3" s="126" t="n">
        <v>322</v>
      </c>
      <c r="LO3" s="126" t="n">
        <v>323</v>
      </c>
      <c r="LP3" s="126" t="n">
        <v>324</v>
      </c>
      <c r="LQ3" s="126" t="n">
        <v>325</v>
      </c>
      <c r="LR3" s="126" t="n">
        <v>326</v>
      </c>
      <c r="LS3" s="126" t="n">
        <v>327</v>
      </c>
      <c r="LT3" s="126" t="n">
        <v>328</v>
      </c>
      <c r="LU3" s="126" t="n">
        <v>329</v>
      </c>
      <c r="LV3" s="126" t="n">
        <v>330</v>
      </c>
      <c r="LW3" s="126" t="n">
        <v>331</v>
      </c>
      <c r="LX3" s="126" t="n">
        <v>332</v>
      </c>
      <c r="LY3" s="126" t="n">
        <v>333</v>
      </c>
      <c r="LZ3" s="126" t="n">
        <v>334</v>
      </c>
      <c r="MA3" s="126" t="n">
        <v>335</v>
      </c>
      <c r="MB3" s="126" t="n">
        <v>336</v>
      </c>
      <c r="MC3" s="126" t="n">
        <v>337</v>
      </c>
      <c r="MD3" s="126" t="n">
        <v>338</v>
      </c>
      <c r="ME3" s="126" t="n">
        <v>339</v>
      </c>
      <c r="MF3" s="126" t="n">
        <v>340</v>
      </c>
      <c r="MG3" s="126" t="n">
        <v>341</v>
      </c>
      <c r="MH3" s="126" t="n">
        <v>342</v>
      </c>
      <c r="MI3" s="126" t="n">
        <v>343</v>
      </c>
      <c r="MJ3" s="126" t="n">
        <v>344</v>
      </c>
      <c r="MK3" s="126" t="n">
        <v>345</v>
      </c>
      <c r="ML3" s="126" t="n">
        <v>346</v>
      </c>
      <c r="MM3" s="126" t="n">
        <v>347</v>
      </c>
      <c r="MN3" s="126" t="n">
        <v>348</v>
      </c>
      <c r="MO3" s="126" t="n">
        <v>349</v>
      </c>
      <c r="MP3" s="126" t="n">
        <v>350</v>
      </c>
      <c r="MQ3" s="126" t="n">
        <v>351</v>
      </c>
      <c r="MR3" s="126" t="n">
        <v>352</v>
      </c>
      <c r="MS3" s="126" t="n">
        <v>353</v>
      </c>
      <c r="MT3" s="126" t="n">
        <v>354</v>
      </c>
      <c r="MU3" s="126" t="n">
        <v>355</v>
      </c>
      <c r="MV3" s="126" t="n">
        <v>356</v>
      </c>
      <c r="MW3" s="126" t="n">
        <v>357</v>
      </c>
      <c r="MX3" s="126" t="n">
        <v>358</v>
      </c>
      <c r="MY3" s="126" t="n">
        <v>359</v>
      </c>
      <c r="MZ3" s="126" t="n">
        <v>360</v>
      </c>
      <c r="NA3" s="126" t="n">
        <v>361</v>
      </c>
      <c r="NB3" s="126" t="n">
        <v>362</v>
      </c>
      <c r="NC3" s="126" t="n">
        <v>363</v>
      </c>
      <c r="ND3" s="126" t="n">
        <v>364</v>
      </c>
      <c r="NE3" s="126" t="n">
        <v>365</v>
      </c>
      <c r="NF3" s="126" t="n">
        <v>366</v>
      </c>
      <c r="NG3" s="126" t="n">
        <v>367</v>
      </c>
      <c r="NH3" s="126" t="n">
        <v>368</v>
      </c>
      <c r="NI3" s="126" t="n">
        <v>369</v>
      </c>
      <c r="NJ3" s="126" t="n">
        <v>370</v>
      </c>
      <c r="NK3" s="126" t="n">
        <v>371</v>
      </c>
      <c r="NL3" s="127" t="n">
        <v>372</v>
      </c>
    </row>
    <row r="4">
      <c r="B4" s="123" t="inlineStr">
        <is>
          <t>Month Start</t>
        </is>
      </c>
      <c r="E4" s="128">
        <f>EDATE(InceptionDate,0)</f>
        <v/>
      </c>
      <c r="F4" s="128">
        <f>EDATE(InceptionDate,1)</f>
        <v/>
      </c>
      <c r="G4" s="128">
        <f>EDATE(InceptionDate,2)</f>
        <v/>
      </c>
      <c r="H4" s="128">
        <f>EDATE(InceptionDate,3)</f>
        <v/>
      </c>
      <c r="I4" s="128">
        <f>EDATE(InceptionDate,4)</f>
        <v/>
      </c>
      <c r="J4" s="128">
        <f>EDATE(InceptionDate,5)</f>
        <v/>
      </c>
      <c r="K4" s="128">
        <f>EDATE(InceptionDate,6)</f>
        <v/>
      </c>
      <c r="L4" s="128">
        <f>EDATE(InceptionDate,7)</f>
        <v/>
      </c>
      <c r="M4" s="128">
        <f>EDATE(InceptionDate,8)</f>
        <v/>
      </c>
      <c r="N4" s="128">
        <f>EDATE(InceptionDate,9)</f>
        <v/>
      </c>
      <c r="O4" s="128">
        <f>EDATE(InceptionDate,10)</f>
        <v/>
      </c>
      <c r="P4" s="128">
        <f>EDATE(InceptionDate,11)</f>
        <v/>
      </c>
      <c r="Q4" s="128">
        <f>EDATE(InceptionDate,12)</f>
        <v/>
      </c>
      <c r="R4" s="128">
        <f>EDATE(InceptionDate,13)</f>
        <v/>
      </c>
      <c r="S4" s="128">
        <f>EDATE(InceptionDate,14)</f>
        <v/>
      </c>
      <c r="T4" s="128">
        <f>EDATE(InceptionDate,15)</f>
        <v/>
      </c>
      <c r="U4" s="128">
        <f>EDATE(InceptionDate,16)</f>
        <v/>
      </c>
      <c r="V4" s="128">
        <f>EDATE(InceptionDate,17)</f>
        <v/>
      </c>
      <c r="W4" s="128">
        <f>EDATE(InceptionDate,18)</f>
        <v/>
      </c>
      <c r="X4" s="128">
        <f>EDATE(InceptionDate,19)</f>
        <v/>
      </c>
      <c r="Y4" s="128">
        <f>EDATE(InceptionDate,20)</f>
        <v/>
      </c>
      <c r="Z4" s="128">
        <f>EDATE(InceptionDate,21)</f>
        <v/>
      </c>
      <c r="AA4" s="128">
        <f>EDATE(InceptionDate,22)</f>
        <v/>
      </c>
      <c r="AB4" s="128">
        <f>EDATE(InceptionDate,23)</f>
        <v/>
      </c>
      <c r="AC4" s="128">
        <f>EDATE(InceptionDate,24)</f>
        <v/>
      </c>
      <c r="AD4" s="128">
        <f>EDATE(InceptionDate,25)</f>
        <v/>
      </c>
      <c r="AE4" s="128">
        <f>EDATE(InceptionDate,26)</f>
        <v/>
      </c>
      <c r="AF4" s="128">
        <f>EDATE(InceptionDate,27)</f>
        <v/>
      </c>
      <c r="AG4" s="128">
        <f>EDATE(InceptionDate,28)</f>
        <v/>
      </c>
      <c r="AH4" s="128">
        <f>EDATE(InceptionDate,29)</f>
        <v/>
      </c>
      <c r="AI4" s="128">
        <f>EDATE(InceptionDate,30)</f>
        <v/>
      </c>
      <c r="AJ4" s="128">
        <f>EDATE(InceptionDate,31)</f>
        <v/>
      </c>
      <c r="AK4" s="128">
        <f>EDATE(InceptionDate,32)</f>
        <v/>
      </c>
      <c r="AL4" s="128">
        <f>EDATE(InceptionDate,33)</f>
        <v/>
      </c>
      <c r="AM4" s="128">
        <f>EDATE(InceptionDate,34)</f>
        <v/>
      </c>
      <c r="AN4" s="128">
        <f>EDATE(InceptionDate,35)</f>
        <v/>
      </c>
      <c r="AO4" s="128">
        <f>EDATE(InceptionDate,36)</f>
        <v/>
      </c>
      <c r="AP4" s="128">
        <f>EDATE(InceptionDate,37)</f>
        <v/>
      </c>
      <c r="AQ4" s="128">
        <f>EDATE(InceptionDate,38)</f>
        <v/>
      </c>
      <c r="AR4" s="128">
        <f>EDATE(InceptionDate,39)</f>
        <v/>
      </c>
      <c r="AS4" s="128">
        <f>EDATE(InceptionDate,40)</f>
        <v/>
      </c>
      <c r="AT4" s="128">
        <f>EDATE(InceptionDate,41)</f>
        <v/>
      </c>
      <c r="AU4" s="128">
        <f>EDATE(InceptionDate,42)</f>
        <v/>
      </c>
      <c r="AV4" s="128">
        <f>EDATE(InceptionDate,43)</f>
        <v/>
      </c>
      <c r="AW4" s="128">
        <f>EDATE(InceptionDate,44)</f>
        <v/>
      </c>
      <c r="AX4" s="128">
        <f>EDATE(InceptionDate,45)</f>
        <v/>
      </c>
      <c r="AY4" s="128">
        <f>EDATE(InceptionDate,46)</f>
        <v/>
      </c>
      <c r="AZ4" s="128">
        <f>EDATE(InceptionDate,47)</f>
        <v/>
      </c>
      <c r="BA4" s="128">
        <f>EDATE(InceptionDate,48)</f>
        <v/>
      </c>
      <c r="BB4" s="128">
        <f>EDATE(InceptionDate,49)</f>
        <v/>
      </c>
      <c r="BC4" s="128">
        <f>EDATE(InceptionDate,50)</f>
        <v/>
      </c>
      <c r="BD4" s="128">
        <f>EDATE(InceptionDate,51)</f>
        <v/>
      </c>
      <c r="BE4" s="128">
        <f>EDATE(InceptionDate,52)</f>
        <v/>
      </c>
      <c r="BF4" s="128">
        <f>EDATE(InceptionDate,53)</f>
        <v/>
      </c>
      <c r="BG4" s="128">
        <f>EDATE(InceptionDate,54)</f>
        <v/>
      </c>
      <c r="BH4" s="128">
        <f>EDATE(InceptionDate,55)</f>
        <v/>
      </c>
      <c r="BI4" s="128">
        <f>EDATE(InceptionDate,56)</f>
        <v/>
      </c>
      <c r="BJ4" s="128">
        <f>EDATE(InceptionDate,57)</f>
        <v/>
      </c>
      <c r="BK4" s="128">
        <f>EDATE(InceptionDate,58)</f>
        <v/>
      </c>
      <c r="BL4" s="128">
        <f>EDATE(InceptionDate,59)</f>
        <v/>
      </c>
      <c r="BM4" s="128">
        <f>EDATE(InceptionDate,60)</f>
        <v/>
      </c>
      <c r="BN4" s="128">
        <f>EDATE(InceptionDate,61)</f>
        <v/>
      </c>
      <c r="BO4" s="128">
        <f>EDATE(InceptionDate,62)</f>
        <v/>
      </c>
      <c r="BP4" s="128">
        <f>EDATE(InceptionDate,63)</f>
        <v/>
      </c>
      <c r="BQ4" s="128">
        <f>EDATE(InceptionDate,64)</f>
        <v/>
      </c>
      <c r="BR4" s="128">
        <f>EDATE(InceptionDate,65)</f>
        <v/>
      </c>
      <c r="BS4" s="128">
        <f>EDATE(InceptionDate,66)</f>
        <v/>
      </c>
      <c r="BT4" s="128">
        <f>EDATE(InceptionDate,67)</f>
        <v/>
      </c>
      <c r="BU4" s="128">
        <f>EDATE(InceptionDate,68)</f>
        <v/>
      </c>
      <c r="BV4" s="128">
        <f>EDATE(InceptionDate,69)</f>
        <v/>
      </c>
      <c r="BW4" s="128">
        <f>EDATE(InceptionDate,70)</f>
        <v/>
      </c>
      <c r="BX4" s="128">
        <f>EDATE(InceptionDate,71)</f>
        <v/>
      </c>
      <c r="BY4" s="128">
        <f>EDATE(InceptionDate,72)</f>
        <v/>
      </c>
      <c r="BZ4" s="128">
        <f>EDATE(InceptionDate,73)</f>
        <v/>
      </c>
      <c r="CA4" s="128">
        <f>EDATE(InceptionDate,74)</f>
        <v/>
      </c>
      <c r="CB4" s="128">
        <f>EDATE(InceptionDate,75)</f>
        <v/>
      </c>
      <c r="CC4" s="128">
        <f>EDATE(InceptionDate,76)</f>
        <v/>
      </c>
      <c r="CD4" s="128">
        <f>EDATE(InceptionDate,77)</f>
        <v/>
      </c>
      <c r="CE4" s="128">
        <f>EDATE(InceptionDate,78)</f>
        <v/>
      </c>
      <c r="CF4" s="128">
        <f>EDATE(InceptionDate,79)</f>
        <v/>
      </c>
      <c r="CG4" s="128">
        <f>EDATE(InceptionDate,80)</f>
        <v/>
      </c>
      <c r="CH4" s="128">
        <f>EDATE(InceptionDate,81)</f>
        <v/>
      </c>
      <c r="CI4" s="128">
        <f>EDATE(InceptionDate,82)</f>
        <v/>
      </c>
      <c r="CJ4" s="128">
        <f>EDATE(InceptionDate,83)</f>
        <v/>
      </c>
      <c r="CK4" s="128">
        <f>EDATE(InceptionDate,84)</f>
        <v/>
      </c>
      <c r="CL4" s="128">
        <f>EDATE(InceptionDate,85)</f>
        <v/>
      </c>
      <c r="CM4" s="128">
        <f>EDATE(InceptionDate,86)</f>
        <v/>
      </c>
      <c r="CN4" s="128">
        <f>EDATE(InceptionDate,87)</f>
        <v/>
      </c>
      <c r="CO4" s="128">
        <f>EDATE(InceptionDate,88)</f>
        <v/>
      </c>
      <c r="CP4" s="128">
        <f>EDATE(InceptionDate,89)</f>
        <v/>
      </c>
      <c r="CQ4" s="128">
        <f>EDATE(InceptionDate,90)</f>
        <v/>
      </c>
      <c r="CR4" s="128">
        <f>EDATE(InceptionDate,91)</f>
        <v/>
      </c>
      <c r="CS4" s="128">
        <f>EDATE(InceptionDate,92)</f>
        <v/>
      </c>
      <c r="CT4" s="128">
        <f>EDATE(InceptionDate,93)</f>
        <v/>
      </c>
      <c r="CU4" s="128">
        <f>EDATE(InceptionDate,94)</f>
        <v/>
      </c>
      <c r="CV4" s="128">
        <f>EDATE(InceptionDate,95)</f>
        <v/>
      </c>
      <c r="CW4" s="128">
        <f>EDATE(InceptionDate,96)</f>
        <v/>
      </c>
      <c r="CX4" s="128">
        <f>EDATE(InceptionDate,97)</f>
        <v/>
      </c>
      <c r="CY4" s="128">
        <f>EDATE(InceptionDate,98)</f>
        <v/>
      </c>
      <c r="CZ4" s="128">
        <f>EDATE(InceptionDate,99)</f>
        <v/>
      </c>
      <c r="DA4" s="128">
        <f>EDATE(InceptionDate,100)</f>
        <v/>
      </c>
      <c r="DB4" s="128">
        <f>EDATE(InceptionDate,101)</f>
        <v/>
      </c>
      <c r="DC4" s="128">
        <f>EDATE(InceptionDate,102)</f>
        <v/>
      </c>
      <c r="DD4" s="128">
        <f>EDATE(InceptionDate,103)</f>
        <v/>
      </c>
      <c r="DE4" s="128">
        <f>EDATE(InceptionDate,104)</f>
        <v/>
      </c>
      <c r="DF4" s="128">
        <f>EDATE(InceptionDate,105)</f>
        <v/>
      </c>
      <c r="DG4" s="128">
        <f>EDATE(InceptionDate,106)</f>
        <v/>
      </c>
      <c r="DH4" s="128">
        <f>EDATE(InceptionDate,107)</f>
        <v/>
      </c>
      <c r="DI4" s="128">
        <f>EDATE(InceptionDate,108)</f>
        <v/>
      </c>
      <c r="DJ4" s="128">
        <f>EDATE(InceptionDate,109)</f>
        <v/>
      </c>
      <c r="DK4" s="128">
        <f>EDATE(InceptionDate,110)</f>
        <v/>
      </c>
      <c r="DL4" s="128">
        <f>EDATE(InceptionDate,111)</f>
        <v/>
      </c>
      <c r="DM4" s="128">
        <f>EDATE(InceptionDate,112)</f>
        <v/>
      </c>
      <c r="DN4" s="128">
        <f>EDATE(InceptionDate,113)</f>
        <v/>
      </c>
      <c r="DO4" s="128">
        <f>EDATE(InceptionDate,114)</f>
        <v/>
      </c>
      <c r="DP4" s="128">
        <f>EDATE(InceptionDate,115)</f>
        <v/>
      </c>
      <c r="DQ4" s="128">
        <f>EDATE(InceptionDate,116)</f>
        <v/>
      </c>
      <c r="DR4" s="128">
        <f>EDATE(InceptionDate,117)</f>
        <v/>
      </c>
      <c r="DS4" s="128">
        <f>EDATE(InceptionDate,118)</f>
        <v/>
      </c>
      <c r="DT4" s="128">
        <f>EDATE(InceptionDate,119)</f>
        <v/>
      </c>
      <c r="DU4" s="128">
        <f>EDATE(InceptionDate,120)</f>
        <v/>
      </c>
      <c r="DV4" s="128">
        <f>EDATE(InceptionDate,121)</f>
        <v/>
      </c>
      <c r="DW4" s="128">
        <f>EDATE(InceptionDate,122)</f>
        <v/>
      </c>
      <c r="DX4" s="128">
        <f>EDATE(InceptionDate,123)</f>
        <v/>
      </c>
      <c r="DY4" s="128">
        <f>EDATE(InceptionDate,124)</f>
        <v/>
      </c>
      <c r="DZ4" s="128">
        <f>EDATE(InceptionDate,125)</f>
        <v/>
      </c>
      <c r="EA4" s="128">
        <f>EDATE(InceptionDate,126)</f>
        <v/>
      </c>
      <c r="EB4" s="128">
        <f>EDATE(InceptionDate,127)</f>
        <v/>
      </c>
      <c r="EC4" s="128">
        <f>EDATE(InceptionDate,128)</f>
        <v/>
      </c>
      <c r="ED4" s="128">
        <f>EDATE(InceptionDate,129)</f>
        <v/>
      </c>
      <c r="EE4" s="128">
        <f>EDATE(InceptionDate,130)</f>
        <v/>
      </c>
      <c r="EF4" s="128">
        <f>EDATE(InceptionDate,131)</f>
        <v/>
      </c>
      <c r="EG4" s="128">
        <f>EDATE(InceptionDate,132)</f>
        <v/>
      </c>
      <c r="EH4" s="128">
        <f>EDATE(InceptionDate,133)</f>
        <v/>
      </c>
      <c r="EI4" s="128">
        <f>EDATE(InceptionDate,134)</f>
        <v/>
      </c>
      <c r="EJ4" s="128">
        <f>EDATE(InceptionDate,135)</f>
        <v/>
      </c>
      <c r="EK4" s="128">
        <f>EDATE(InceptionDate,136)</f>
        <v/>
      </c>
      <c r="EL4" s="128">
        <f>EDATE(InceptionDate,137)</f>
        <v/>
      </c>
      <c r="EM4" s="128">
        <f>EDATE(InceptionDate,138)</f>
        <v/>
      </c>
      <c r="EN4" s="128">
        <f>EDATE(InceptionDate,139)</f>
        <v/>
      </c>
      <c r="EO4" s="128">
        <f>EDATE(InceptionDate,140)</f>
        <v/>
      </c>
      <c r="EP4" s="128">
        <f>EDATE(InceptionDate,141)</f>
        <v/>
      </c>
      <c r="EQ4" s="128">
        <f>EDATE(InceptionDate,142)</f>
        <v/>
      </c>
      <c r="ER4" s="128">
        <f>EDATE(InceptionDate,143)</f>
        <v/>
      </c>
      <c r="ES4" s="128">
        <f>EDATE(InceptionDate,144)</f>
        <v/>
      </c>
      <c r="ET4" s="128">
        <f>EDATE(InceptionDate,145)</f>
        <v/>
      </c>
      <c r="EU4" s="128">
        <f>EDATE(InceptionDate,146)</f>
        <v/>
      </c>
      <c r="EV4" s="128">
        <f>EDATE(InceptionDate,147)</f>
        <v/>
      </c>
      <c r="EW4" s="128">
        <f>EDATE(InceptionDate,148)</f>
        <v/>
      </c>
      <c r="EX4" s="128">
        <f>EDATE(InceptionDate,149)</f>
        <v/>
      </c>
      <c r="EY4" s="128">
        <f>EDATE(InceptionDate,150)</f>
        <v/>
      </c>
      <c r="EZ4" s="128">
        <f>EDATE(InceptionDate,151)</f>
        <v/>
      </c>
      <c r="FA4" s="128">
        <f>EDATE(InceptionDate,152)</f>
        <v/>
      </c>
      <c r="FB4" s="128">
        <f>EDATE(InceptionDate,153)</f>
        <v/>
      </c>
      <c r="FC4" s="128">
        <f>EDATE(InceptionDate,154)</f>
        <v/>
      </c>
      <c r="FD4" s="128">
        <f>EDATE(InceptionDate,155)</f>
        <v/>
      </c>
      <c r="FE4" s="128">
        <f>EDATE(InceptionDate,156)</f>
        <v/>
      </c>
      <c r="FF4" s="128">
        <f>EDATE(InceptionDate,157)</f>
        <v/>
      </c>
      <c r="FG4" s="128">
        <f>EDATE(InceptionDate,158)</f>
        <v/>
      </c>
      <c r="FH4" s="128">
        <f>EDATE(InceptionDate,159)</f>
        <v/>
      </c>
      <c r="FI4" s="128">
        <f>EDATE(InceptionDate,160)</f>
        <v/>
      </c>
      <c r="FJ4" s="128">
        <f>EDATE(InceptionDate,161)</f>
        <v/>
      </c>
      <c r="FK4" s="128">
        <f>EDATE(InceptionDate,162)</f>
        <v/>
      </c>
      <c r="FL4" s="128">
        <f>EDATE(InceptionDate,163)</f>
        <v/>
      </c>
      <c r="FM4" s="128">
        <f>EDATE(InceptionDate,164)</f>
        <v/>
      </c>
      <c r="FN4" s="128">
        <f>EDATE(InceptionDate,165)</f>
        <v/>
      </c>
      <c r="FO4" s="128">
        <f>EDATE(InceptionDate,166)</f>
        <v/>
      </c>
      <c r="FP4" s="128">
        <f>EDATE(InceptionDate,167)</f>
        <v/>
      </c>
      <c r="FQ4" s="128">
        <f>EDATE(InceptionDate,168)</f>
        <v/>
      </c>
      <c r="FR4" s="128">
        <f>EDATE(InceptionDate,169)</f>
        <v/>
      </c>
      <c r="FS4" s="128">
        <f>EDATE(InceptionDate,170)</f>
        <v/>
      </c>
      <c r="FT4" s="128">
        <f>EDATE(InceptionDate,171)</f>
        <v/>
      </c>
      <c r="FU4" s="128">
        <f>EDATE(InceptionDate,172)</f>
        <v/>
      </c>
      <c r="FV4" s="128">
        <f>EDATE(InceptionDate,173)</f>
        <v/>
      </c>
      <c r="FW4" s="128">
        <f>EDATE(InceptionDate,174)</f>
        <v/>
      </c>
      <c r="FX4" s="128">
        <f>EDATE(InceptionDate,175)</f>
        <v/>
      </c>
      <c r="FY4" s="128">
        <f>EDATE(InceptionDate,176)</f>
        <v/>
      </c>
      <c r="FZ4" s="128">
        <f>EDATE(InceptionDate,177)</f>
        <v/>
      </c>
      <c r="GA4" s="128">
        <f>EDATE(InceptionDate,178)</f>
        <v/>
      </c>
      <c r="GB4" s="128">
        <f>EDATE(InceptionDate,179)</f>
        <v/>
      </c>
      <c r="GC4" s="128">
        <f>EDATE(InceptionDate,180)</f>
        <v/>
      </c>
      <c r="GD4" s="128">
        <f>EDATE(InceptionDate,181)</f>
        <v/>
      </c>
      <c r="GE4" s="128">
        <f>EDATE(InceptionDate,182)</f>
        <v/>
      </c>
      <c r="GF4" s="128">
        <f>EDATE(InceptionDate,183)</f>
        <v/>
      </c>
      <c r="GG4" s="128">
        <f>EDATE(InceptionDate,184)</f>
        <v/>
      </c>
      <c r="GH4" s="128">
        <f>EDATE(InceptionDate,185)</f>
        <v/>
      </c>
      <c r="GI4" s="128">
        <f>EDATE(InceptionDate,186)</f>
        <v/>
      </c>
      <c r="GJ4" s="128">
        <f>EDATE(InceptionDate,187)</f>
        <v/>
      </c>
      <c r="GK4" s="128">
        <f>EDATE(InceptionDate,188)</f>
        <v/>
      </c>
      <c r="GL4" s="128">
        <f>EDATE(InceptionDate,189)</f>
        <v/>
      </c>
      <c r="GM4" s="128">
        <f>EDATE(InceptionDate,190)</f>
        <v/>
      </c>
      <c r="GN4" s="128">
        <f>EDATE(InceptionDate,191)</f>
        <v/>
      </c>
      <c r="GO4" s="128">
        <f>EDATE(InceptionDate,192)</f>
        <v/>
      </c>
      <c r="GP4" s="128">
        <f>EDATE(InceptionDate,193)</f>
        <v/>
      </c>
      <c r="GQ4" s="128">
        <f>EDATE(InceptionDate,194)</f>
        <v/>
      </c>
      <c r="GR4" s="128">
        <f>EDATE(InceptionDate,195)</f>
        <v/>
      </c>
      <c r="GS4" s="128">
        <f>EDATE(InceptionDate,196)</f>
        <v/>
      </c>
      <c r="GT4" s="128">
        <f>EDATE(InceptionDate,197)</f>
        <v/>
      </c>
      <c r="GU4" s="128">
        <f>EDATE(InceptionDate,198)</f>
        <v/>
      </c>
      <c r="GV4" s="128">
        <f>EDATE(InceptionDate,199)</f>
        <v/>
      </c>
      <c r="GW4" s="128">
        <f>EDATE(InceptionDate,200)</f>
        <v/>
      </c>
      <c r="GX4" s="128">
        <f>EDATE(InceptionDate,201)</f>
        <v/>
      </c>
      <c r="GY4" s="128">
        <f>EDATE(InceptionDate,202)</f>
        <v/>
      </c>
      <c r="GZ4" s="128">
        <f>EDATE(InceptionDate,203)</f>
        <v/>
      </c>
      <c r="HA4" s="128">
        <f>EDATE(InceptionDate,204)</f>
        <v/>
      </c>
      <c r="HB4" s="128">
        <f>EDATE(InceptionDate,205)</f>
        <v/>
      </c>
      <c r="HC4" s="128">
        <f>EDATE(InceptionDate,206)</f>
        <v/>
      </c>
      <c r="HD4" s="128">
        <f>EDATE(InceptionDate,207)</f>
        <v/>
      </c>
      <c r="HE4" s="128">
        <f>EDATE(InceptionDate,208)</f>
        <v/>
      </c>
      <c r="HF4" s="128">
        <f>EDATE(InceptionDate,209)</f>
        <v/>
      </c>
      <c r="HG4" s="128">
        <f>EDATE(InceptionDate,210)</f>
        <v/>
      </c>
      <c r="HH4" s="128">
        <f>EDATE(InceptionDate,211)</f>
        <v/>
      </c>
      <c r="HI4" s="128">
        <f>EDATE(InceptionDate,212)</f>
        <v/>
      </c>
      <c r="HJ4" s="128">
        <f>EDATE(InceptionDate,213)</f>
        <v/>
      </c>
      <c r="HK4" s="128">
        <f>EDATE(InceptionDate,214)</f>
        <v/>
      </c>
      <c r="HL4" s="128">
        <f>EDATE(InceptionDate,215)</f>
        <v/>
      </c>
      <c r="HM4" s="128">
        <f>EDATE(InceptionDate,216)</f>
        <v/>
      </c>
      <c r="HN4" s="128">
        <f>EDATE(InceptionDate,217)</f>
        <v/>
      </c>
      <c r="HO4" s="128">
        <f>EDATE(InceptionDate,218)</f>
        <v/>
      </c>
      <c r="HP4" s="128">
        <f>EDATE(InceptionDate,219)</f>
        <v/>
      </c>
      <c r="HQ4" s="128">
        <f>EDATE(InceptionDate,220)</f>
        <v/>
      </c>
      <c r="HR4" s="128">
        <f>EDATE(InceptionDate,221)</f>
        <v/>
      </c>
      <c r="HS4" s="128">
        <f>EDATE(InceptionDate,222)</f>
        <v/>
      </c>
      <c r="HT4" s="128">
        <f>EDATE(InceptionDate,223)</f>
        <v/>
      </c>
      <c r="HU4" s="128">
        <f>EDATE(InceptionDate,224)</f>
        <v/>
      </c>
      <c r="HV4" s="128">
        <f>EDATE(InceptionDate,225)</f>
        <v/>
      </c>
      <c r="HW4" s="128">
        <f>EDATE(InceptionDate,226)</f>
        <v/>
      </c>
      <c r="HX4" s="128">
        <f>EDATE(InceptionDate,227)</f>
        <v/>
      </c>
      <c r="HY4" s="128">
        <f>EDATE(InceptionDate,228)</f>
        <v/>
      </c>
      <c r="HZ4" s="128">
        <f>EDATE(InceptionDate,229)</f>
        <v/>
      </c>
      <c r="IA4" s="128">
        <f>EDATE(InceptionDate,230)</f>
        <v/>
      </c>
      <c r="IB4" s="128">
        <f>EDATE(InceptionDate,231)</f>
        <v/>
      </c>
      <c r="IC4" s="128">
        <f>EDATE(InceptionDate,232)</f>
        <v/>
      </c>
      <c r="ID4" s="128">
        <f>EDATE(InceptionDate,233)</f>
        <v/>
      </c>
      <c r="IE4" s="128">
        <f>EDATE(InceptionDate,234)</f>
        <v/>
      </c>
      <c r="IF4" s="128">
        <f>EDATE(InceptionDate,235)</f>
        <v/>
      </c>
      <c r="IG4" s="128">
        <f>EDATE(InceptionDate,236)</f>
        <v/>
      </c>
      <c r="IH4" s="128">
        <f>EDATE(InceptionDate,237)</f>
        <v/>
      </c>
      <c r="II4" s="128">
        <f>EDATE(InceptionDate,238)</f>
        <v/>
      </c>
      <c r="IJ4" s="128">
        <f>EDATE(InceptionDate,239)</f>
        <v/>
      </c>
      <c r="IK4" s="128">
        <f>EDATE(InceptionDate,240)</f>
        <v/>
      </c>
      <c r="IL4" s="128">
        <f>EDATE(InceptionDate,241)</f>
        <v/>
      </c>
      <c r="IM4" s="128">
        <f>EDATE(InceptionDate,242)</f>
        <v/>
      </c>
      <c r="IN4" s="128">
        <f>EDATE(InceptionDate,243)</f>
        <v/>
      </c>
      <c r="IO4" s="128">
        <f>EDATE(InceptionDate,244)</f>
        <v/>
      </c>
      <c r="IP4" s="128">
        <f>EDATE(InceptionDate,245)</f>
        <v/>
      </c>
      <c r="IQ4" s="128">
        <f>EDATE(InceptionDate,246)</f>
        <v/>
      </c>
      <c r="IR4" s="128">
        <f>EDATE(InceptionDate,247)</f>
        <v/>
      </c>
      <c r="IS4" s="128">
        <f>EDATE(InceptionDate,248)</f>
        <v/>
      </c>
      <c r="IT4" s="128">
        <f>EDATE(InceptionDate,249)</f>
        <v/>
      </c>
      <c r="IU4" s="128">
        <f>EDATE(InceptionDate,250)</f>
        <v/>
      </c>
      <c r="IV4" s="128">
        <f>EDATE(InceptionDate,251)</f>
        <v/>
      </c>
      <c r="IW4" s="128">
        <f>EDATE(InceptionDate,252)</f>
        <v/>
      </c>
      <c r="IX4" s="128">
        <f>EDATE(InceptionDate,253)</f>
        <v/>
      </c>
      <c r="IY4" s="128">
        <f>EDATE(InceptionDate,254)</f>
        <v/>
      </c>
      <c r="IZ4" s="128">
        <f>EDATE(InceptionDate,255)</f>
        <v/>
      </c>
      <c r="JA4" s="128">
        <f>EDATE(InceptionDate,256)</f>
        <v/>
      </c>
      <c r="JB4" s="128">
        <f>EDATE(InceptionDate,257)</f>
        <v/>
      </c>
      <c r="JC4" s="128">
        <f>EDATE(InceptionDate,258)</f>
        <v/>
      </c>
      <c r="JD4" s="128">
        <f>EDATE(InceptionDate,259)</f>
        <v/>
      </c>
      <c r="JE4" s="128">
        <f>EDATE(InceptionDate,260)</f>
        <v/>
      </c>
      <c r="JF4" s="128">
        <f>EDATE(InceptionDate,261)</f>
        <v/>
      </c>
      <c r="JG4" s="128">
        <f>EDATE(InceptionDate,262)</f>
        <v/>
      </c>
      <c r="JH4" s="128">
        <f>EDATE(InceptionDate,263)</f>
        <v/>
      </c>
      <c r="JI4" s="128">
        <f>EDATE(InceptionDate,264)</f>
        <v/>
      </c>
      <c r="JJ4" s="128">
        <f>EDATE(InceptionDate,265)</f>
        <v/>
      </c>
      <c r="JK4" s="128">
        <f>EDATE(InceptionDate,266)</f>
        <v/>
      </c>
      <c r="JL4" s="128">
        <f>EDATE(InceptionDate,267)</f>
        <v/>
      </c>
      <c r="JM4" s="128">
        <f>EDATE(InceptionDate,268)</f>
        <v/>
      </c>
      <c r="JN4" s="128">
        <f>EDATE(InceptionDate,269)</f>
        <v/>
      </c>
      <c r="JO4" s="128">
        <f>EDATE(InceptionDate,270)</f>
        <v/>
      </c>
      <c r="JP4" s="128">
        <f>EDATE(InceptionDate,271)</f>
        <v/>
      </c>
      <c r="JQ4" s="128">
        <f>EDATE(InceptionDate,272)</f>
        <v/>
      </c>
      <c r="JR4" s="128">
        <f>EDATE(InceptionDate,273)</f>
        <v/>
      </c>
      <c r="JS4" s="128">
        <f>EDATE(InceptionDate,274)</f>
        <v/>
      </c>
      <c r="JT4" s="128">
        <f>EDATE(InceptionDate,275)</f>
        <v/>
      </c>
      <c r="JU4" s="128">
        <f>EDATE(InceptionDate,276)</f>
        <v/>
      </c>
      <c r="JV4" s="128">
        <f>EDATE(InceptionDate,277)</f>
        <v/>
      </c>
      <c r="JW4" s="128">
        <f>EDATE(InceptionDate,278)</f>
        <v/>
      </c>
      <c r="JX4" s="128">
        <f>EDATE(InceptionDate,279)</f>
        <v/>
      </c>
      <c r="JY4" s="128">
        <f>EDATE(InceptionDate,280)</f>
        <v/>
      </c>
      <c r="JZ4" s="128">
        <f>EDATE(InceptionDate,281)</f>
        <v/>
      </c>
      <c r="KA4" s="128">
        <f>EDATE(InceptionDate,282)</f>
        <v/>
      </c>
      <c r="KB4" s="128">
        <f>EDATE(InceptionDate,283)</f>
        <v/>
      </c>
      <c r="KC4" s="128">
        <f>EDATE(InceptionDate,284)</f>
        <v/>
      </c>
      <c r="KD4" s="128">
        <f>EDATE(InceptionDate,285)</f>
        <v/>
      </c>
      <c r="KE4" s="128">
        <f>EDATE(InceptionDate,286)</f>
        <v/>
      </c>
      <c r="KF4" s="128">
        <f>EDATE(InceptionDate,287)</f>
        <v/>
      </c>
      <c r="KG4" s="128">
        <f>EDATE(InceptionDate,288)</f>
        <v/>
      </c>
      <c r="KH4" s="128">
        <f>EDATE(InceptionDate,289)</f>
        <v/>
      </c>
      <c r="KI4" s="128">
        <f>EDATE(InceptionDate,290)</f>
        <v/>
      </c>
      <c r="KJ4" s="128">
        <f>EDATE(InceptionDate,291)</f>
        <v/>
      </c>
      <c r="KK4" s="128">
        <f>EDATE(InceptionDate,292)</f>
        <v/>
      </c>
      <c r="KL4" s="128">
        <f>EDATE(InceptionDate,293)</f>
        <v/>
      </c>
      <c r="KM4" s="128">
        <f>EDATE(InceptionDate,294)</f>
        <v/>
      </c>
      <c r="KN4" s="128">
        <f>EDATE(InceptionDate,295)</f>
        <v/>
      </c>
      <c r="KO4" s="128">
        <f>EDATE(InceptionDate,296)</f>
        <v/>
      </c>
      <c r="KP4" s="128">
        <f>EDATE(InceptionDate,297)</f>
        <v/>
      </c>
      <c r="KQ4" s="128">
        <f>EDATE(InceptionDate,298)</f>
        <v/>
      </c>
      <c r="KR4" s="128">
        <f>EDATE(InceptionDate,299)</f>
        <v/>
      </c>
      <c r="KS4" s="128">
        <f>EDATE(InceptionDate,300)</f>
        <v/>
      </c>
      <c r="KT4" s="128">
        <f>EDATE(InceptionDate,301)</f>
        <v/>
      </c>
      <c r="KU4" s="128">
        <f>EDATE(InceptionDate,302)</f>
        <v/>
      </c>
      <c r="KV4" s="128">
        <f>EDATE(InceptionDate,303)</f>
        <v/>
      </c>
      <c r="KW4" s="128">
        <f>EDATE(InceptionDate,304)</f>
        <v/>
      </c>
      <c r="KX4" s="128">
        <f>EDATE(InceptionDate,305)</f>
        <v/>
      </c>
      <c r="KY4" s="128">
        <f>EDATE(InceptionDate,306)</f>
        <v/>
      </c>
      <c r="KZ4" s="128">
        <f>EDATE(InceptionDate,307)</f>
        <v/>
      </c>
      <c r="LA4" s="128">
        <f>EDATE(InceptionDate,308)</f>
        <v/>
      </c>
      <c r="LB4" s="128">
        <f>EDATE(InceptionDate,309)</f>
        <v/>
      </c>
      <c r="LC4" s="128">
        <f>EDATE(InceptionDate,310)</f>
        <v/>
      </c>
      <c r="LD4" s="128">
        <f>EDATE(InceptionDate,311)</f>
        <v/>
      </c>
      <c r="LE4" s="128">
        <f>EDATE(InceptionDate,312)</f>
        <v/>
      </c>
      <c r="LF4" s="128">
        <f>EDATE(InceptionDate,313)</f>
        <v/>
      </c>
      <c r="LG4" s="128">
        <f>EDATE(InceptionDate,314)</f>
        <v/>
      </c>
      <c r="LH4" s="128">
        <f>EDATE(InceptionDate,315)</f>
        <v/>
      </c>
      <c r="LI4" s="128">
        <f>EDATE(InceptionDate,316)</f>
        <v/>
      </c>
      <c r="LJ4" s="128">
        <f>EDATE(InceptionDate,317)</f>
        <v/>
      </c>
      <c r="LK4" s="128">
        <f>EDATE(InceptionDate,318)</f>
        <v/>
      </c>
      <c r="LL4" s="128">
        <f>EDATE(InceptionDate,319)</f>
        <v/>
      </c>
      <c r="LM4" s="128">
        <f>EDATE(InceptionDate,320)</f>
        <v/>
      </c>
      <c r="LN4" s="128">
        <f>EDATE(InceptionDate,321)</f>
        <v/>
      </c>
      <c r="LO4" s="128">
        <f>EDATE(InceptionDate,322)</f>
        <v/>
      </c>
      <c r="LP4" s="128">
        <f>EDATE(InceptionDate,323)</f>
        <v/>
      </c>
      <c r="LQ4" s="128">
        <f>EDATE(InceptionDate,324)</f>
        <v/>
      </c>
      <c r="LR4" s="128">
        <f>EDATE(InceptionDate,325)</f>
        <v/>
      </c>
      <c r="LS4" s="128">
        <f>EDATE(InceptionDate,326)</f>
        <v/>
      </c>
      <c r="LT4" s="128">
        <f>EDATE(InceptionDate,327)</f>
        <v/>
      </c>
      <c r="LU4" s="128">
        <f>EDATE(InceptionDate,328)</f>
        <v/>
      </c>
      <c r="LV4" s="128">
        <f>EDATE(InceptionDate,329)</f>
        <v/>
      </c>
      <c r="LW4" s="128">
        <f>EDATE(InceptionDate,330)</f>
        <v/>
      </c>
      <c r="LX4" s="128">
        <f>EDATE(InceptionDate,331)</f>
        <v/>
      </c>
      <c r="LY4" s="128">
        <f>EDATE(InceptionDate,332)</f>
        <v/>
      </c>
      <c r="LZ4" s="128">
        <f>EDATE(InceptionDate,333)</f>
        <v/>
      </c>
      <c r="MA4" s="128">
        <f>EDATE(InceptionDate,334)</f>
        <v/>
      </c>
      <c r="MB4" s="128">
        <f>EDATE(InceptionDate,335)</f>
        <v/>
      </c>
      <c r="MC4" s="128">
        <f>EDATE(InceptionDate,336)</f>
        <v/>
      </c>
      <c r="MD4" s="128">
        <f>EDATE(InceptionDate,337)</f>
        <v/>
      </c>
      <c r="ME4" s="128">
        <f>EDATE(InceptionDate,338)</f>
        <v/>
      </c>
      <c r="MF4" s="128">
        <f>EDATE(InceptionDate,339)</f>
        <v/>
      </c>
      <c r="MG4" s="128">
        <f>EDATE(InceptionDate,340)</f>
        <v/>
      </c>
      <c r="MH4" s="128">
        <f>EDATE(InceptionDate,341)</f>
        <v/>
      </c>
      <c r="MI4" s="128">
        <f>EDATE(InceptionDate,342)</f>
        <v/>
      </c>
      <c r="MJ4" s="128">
        <f>EDATE(InceptionDate,343)</f>
        <v/>
      </c>
      <c r="MK4" s="128">
        <f>EDATE(InceptionDate,344)</f>
        <v/>
      </c>
      <c r="ML4" s="128">
        <f>EDATE(InceptionDate,345)</f>
        <v/>
      </c>
      <c r="MM4" s="128">
        <f>EDATE(InceptionDate,346)</f>
        <v/>
      </c>
      <c r="MN4" s="128">
        <f>EDATE(InceptionDate,347)</f>
        <v/>
      </c>
      <c r="MO4" s="128">
        <f>EDATE(InceptionDate,348)</f>
        <v/>
      </c>
      <c r="MP4" s="128">
        <f>EDATE(InceptionDate,349)</f>
        <v/>
      </c>
      <c r="MQ4" s="128">
        <f>EDATE(InceptionDate,350)</f>
        <v/>
      </c>
      <c r="MR4" s="128">
        <f>EDATE(InceptionDate,351)</f>
        <v/>
      </c>
      <c r="MS4" s="128">
        <f>EDATE(InceptionDate,352)</f>
        <v/>
      </c>
      <c r="MT4" s="128">
        <f>EDATE(InceptionDate,353)</f>
        <v/>
      </c>
      <c r="MU4" s="128">
        <f>EDATE(InceptionDate,354)</f>
        <v/>
      </c>
      <c r="MV4" s="128">
        <f>EDATE(InceptionDate,355)</f>
        <v/>
      </c>
      <c r="MW4" s="128">
        <f>EDATE(InceptionDate,356)</f>
        <v/>
      </c>
      <c r="MX4" s="128">
        <f>EDATE(InceptionDate,357)</f>
        <v/>
      </c>
      <c r="MY4" s="128">
        <f>EDATE(InceptionDate,358)</f>
        <v/>
      </c>
      <c r="MZ4" s="128">
        <f>EDATE(InceptionDate,359)</f>
        <v/>
      </c>
      <c r="NA4" s="128">
        <f>EDATE(InceptionDate,360)</f>
        <v/>
      </c>
      <c r="NB4" s="128">
        <f>EDATE(InceptionDate,361)</f>
        <v/>
      </c>
      <c r="NC4" s="128">
        <f>EDATE(InceptionDate,362)</f>
        <v/>
      </c>
      <c r="ND4" s="128">
        <f>EDATE(InceptionDate,363)</f>
        <v/>
      </c>
      <c r="NE4" s="128">
        <f>EDATE(InceptionDate,364)</f>
        <v/>
      </c>
      <c r="NF4" s="128">
        <f>EDATE(InceptionDate,365)</f>
        <v/>
      </c>
      <c r="NG4" s="128">
        <f>EDATE(InceptionDate,366)</f>
        <v/>
      </c>
      <c r="NH4" s="128">
        <f>EDATE(InceptionDate,367)</f>
        <v/>
      </c>
      <c r="NI4" s="128">
        <f>EDATE(InceptionDate,368)</f>
        <v/>
      </c>
      <c r="NJ4" s="128">
        <f>EDATE(InceptionDate,369)</f>
        <v/>
      </c>
      <c r="NK4" s="128">
        <f>EDATE(InceptionDate,370)</f>
        <v/>
      </c>
      <c r="NL4" s="129">
        <f>EDATE(InceptionDate,371)</f>
        <v/>
      </c>
    </row>
    <row r="5">
      <c r="B5" s="36" t="inlineStr">
        <is>
          <t>Unlevered Project Uses</t>
        </is>
      </c>
      <c r="D5" s="266">
        <f>SUM(E5:NL5)</f>
        <v/>
      </c>
      <c r="E5" s="218">
        <f>DevSpend!E$100+DevSpend!E$101+DevSpend!E$104+IF(1=MS_Initial_Closing_Start,OpReserve,0)</f>
        <v/>
      </c>
      <c r="F5" s="218">
        <f>DevSpend!F$100+DevSpend!F$101+DevSpend!F$104+IF(2=MS_Initial_Closing_Start,OpReserve,0)</f>
        <v/>
      </c>
      <c r="G5" s="218">
        <f>DevSpend!G$100+DevSpend!G$101+DevSpend!G$104+IF(3=MS_Initial_Closing_Start,OpReserve,0)</f>
        <v/>
      </c>
      <c r="H5" s="218">
        <f>DevSpend!H$100+DevSpend!H$101+DevSpend!H$104+IF(4=MS_Initial_Closing_Start,OpReserve,0)</f>
        <v/>
      </c>
      <c r="I5" s="218">
        <f>DevSpend!I$100+DevSpend!I$101+DevSpend!I$104+IF(5=MS_Initial_Closing_Start,OpReserve,0)</f>
        <v/>
      </c>
      <c r="J5" s="218">
        <f>DevSpend!J$100+DevSpend!J$101+DevSpend!J$104+IF(6=MS_Initial_Closing_Start,OpReserve,0)</f>
        <v/>
      </c>
      <c r="K5" s="218">
        <f>DevSpend!K$100+DevSpend!K$101+DevSpend!K$104+IF(7=MS_Initial_Closing_Start,OpReserve,0)</f>
        <v/>
      </c>
      <c r="L5" s="218">
        <f>DevSpend!L$100+DevSpend!L$101+DevSpend!L$104+IF(8=MS_Initial_Closing_Start,OpReserve,0)</f>
        <v/>
      </c>
      <c r="M5" s="218">
        <f>DevSpend!M$100+DevSpend!M$101+DevSpend!M$104+IF(9=MS_Initial_Closing_Start,OpReserve,0)</f>
        <v/>
      </c>
      <c r="N5" s="218">
        <f>DevSpend!N$100+DevSpend!N$101+DevSpend!N$104+IF(10=MS_Initial_Closing_Start,OpReserve,0)</f>
        <v/>
      </c>
      <c r="O5" s="218">
        <f>DevSpend!O$100+DevSpend!O$101+DevSpend!O$104+IF(11=MS_Initial_Closing_Start,OpReserve,0)</f>
        <v/>
      </c>
      <c r="P5" s="218">
        <f>DevSpend!P$100+DevSpend!P$101+DevSpend!P$104+IF(12=MS_Initial_Closing_Start,OpReserve,0)</f>
        <v/>
      </c>
      <c r="Q5" s="218">
        <f>DevSpend!Q$100+DevSpend!Q$101+DevSpend!Q$104+IF(13=MS_Initial_Closing_Start,OpReserve,0)</f>
        <v/>
      </c>
      <c r="R5" s="218">
        <f>DevSpend!R$100+DevSpend!R$101+DevSpend!R$104+IF(14=MS_Initial_Closing_Start,OpReserve,0)</f>
        <v/>
      </c>
      <c r="S5" s="218">
        <f>DevSpend!S$100+DevSpend!S$101+DevSpend!S$104+IF(15=MS_Initial_Closing_Start,OpReserve,0)</f>
        <v/>
      </c>
      <c r="T5" s="218">
        <f>DevSpend!T$100+DevSpend!T$101+DevSpend!T$104+IF(16=MS_Initial_Closing_Start,OpReserve,0)</f>
        <v/>
      </c>
      <c r="U5" s="218">
        <f>DevSpend!U$100+DevSpend!U$101+DevSpend!U$104+IF(17=MS_Initial_Closing_Start,OpReserve,0)</f>
        <v/>
      </c>
      <c r="V5" s="218">
        <f>DevSpend!V$100+DevSpend!V$101+DevSpend!V$104+IF(18=MS_Initial_Closing_Start,OpReserve,0)</f>
        <v/>
      </c>
      <c r="W5" s="218">
        <f>DevSpend!W$100+DevSpend!W$101+DevSpend!W$104+IF(19=MS_Initial_Closing_Start,OpReserve,0)</f>
        <v/>
      </c>
      <c r="X5" s="218">
        <f>DevSpend!X$100+DevSpend!X$101+DevSpend!X$104+IF(20=MS_Initial_Closing_Start,OpReserve,0)</f>
        <v/>
      </c>
      <c r="Y5" s="218">
        <f>DevSpend!Y$100+DevSpend!Y$101+DevSpend!Y$104+IF(21=MS_Initial_Closing_Start,OpReserve,0)</f>
        <v/>
      </c>
      <c r="Z5" s="218">
        <f>DevSpend!Z$100+DevSpend!Z$101+DevSpend!Z$104+IF(22=MS_Initial_Closing_Start,OpReserve,0)</f>
        <v/>
      </c>
      <c r="AA5" s="218">
        <f>DevSpend!AA$100+DevSpend!AA$101+DevSpend!AA$104+IF(23=MS_Initial_Closing_Start,OpReserve,0)</f>
        <v/>
      </c>
      <c r="AB5" s="218">
        <f>DevSpend!AB$100+DevSpend!AB$101+DevSpend!AB$104+IF(24=MS_Initial_Closing_Start,OpReserve,0)</f>
        <v/>
      </c>
      <c r="AC5" s="218">
        <f>DevSpend!AC$100+DevSpend!AC$101+DevSpend!AC$104+IF(25=MS_Initial_Closing_Start,OpReserve,0)</f>
        <v/>
      </c>
      <c r="AD5" s="218">
        <f>DevSpend!AD$100+DevSpend!AD$101+DevSpend!AD$104+IF(26=MS_Initial_Closing_Start,OpReserve,0)</f>
        <v/>
      </c>
      <c r="AE5" s="218">
        <f>DevSpend!AE$100+DevSpend!AE$101+DevSpend!AE$104+IF(27=MS_Initial_Closing_Start,OpReserve,0)</f>
        <v/>
      </c>
      <c r="AF5" s="218">
        <f>DevSpend!AF$100+DevSpend!AF$101+DevSpend!AF$104+IF(28=MS_Initial_Closing_Start,OpReserve,0)</f>
        <v/>
      </c>
      <c r="AG5" s="218">
        <f>DevSpend!AG$100+DevSpend!AG$101+DevSpend!AG$104+IF(29=MS_Initial_Closing_Start,OpReserve,0)</f>
        <v/>
      </c>
      <c r="AH5" s="218">
        <f>DevSpend!AH$100+DevSpend!AH$101+DevSpend!AH$104+IF(30=MS_Initial_Closing_Start,OpReserve,0)</f>
        <v/>
      </c>
      <c r="AI5" s="218">
        <f>DevSpend!AI$100+DevSpend!AI$101+DevSpend!AI$104+IF(31=MS_Initial_Closing_Start,OpReserve,0)</f>
        <v/>
      </c>
      <c r="AJ5" s="218">
        <f>DevSpend!AJ$100+DevSpend!AJ$101+DevSpend!AJ$104+IF(32=MS_Initial_Closing_Start,OpReserve,0)</f>
        <v/>
      </c>
      <c r="AK5" s="218">
        <f>DevSpend!AK$100+DevSpend!AK$101+DevSpend!AK$104+IF(33=MS_Initial_Closing_Start,OpReserve,0)</f>
        <v/>
      </c>
      <c r="AL5" s="218">
        <f>DevSpend!AL$100+DevSpend!AL$101+DevSpend!AL$104+IF(34=MS_Initial_Closing_Start,OpReserve,0)</f>
        <v/>
      </c>
      <c r="AM5" s="218">
        <f>DevSpend!AM$100+DevSpend!AM$101+DevSpend!AM$104+IF(35=MS_Initial_Closing_Start,OpReserve,0)</f>
        <v/>
      </c>
      <c r="AN5" s="218">
        <f>DevSpend!AN$100+DevSpend!AN$101+DevSpend!AN$104+IF(36=MS_Initial_Closing_Start,OpReserve,0)</f>
        <v/>
      </c>
      <c r="AO5" s="218">
        <f>DevSpend!AO$100+DevSpend!AO$101+DevSpend!AO$104+IF(37=MS_Initial_Closing_Start,OpReserve,0)</f>
        <v/>
      </c>
      <c r="AP5" s="218">
        <f>DevSpend!AP$100+DevSpend!AP$101+DevSpend!AP$104+IF(38=MS_Initial_Closing_Start,OpReserve,0)</f>
        <v/>
      </c>
      <c r="AQ5" s="218">
        <f>DevSpend!AQ$100+DevSpend!AQ$101+DevSpend!AQ$104+IF(39=MS_Initial_Closing_Start,OpReserve,0)</f>
        <v/>
      </c>
      <c r="AR5" s="218">
        <f>DevSpend!AR$100+DevSpend!AR$101+DevSpend!AR$104+IF(40=MS_Initial_Closing_Start,OpReserve,0)</f>
        <v/>
      </c>
      <c r="AS5" s="218">
        <f>DevSpend!AS$100+DevSpend!AS$101+DevSpend!AS$104+IF(41=MS_Initial_Closing_Start,OpReserve,0)</f>
        <v/>
      </c>
      <c r="AT5" s="218">
        <f>DevSpend!AT$100+DevSpend!AT$101+DevSpend!AT$104+IF(42=MS_Initial_Closing_Start,OpReserve,0)</f>
        <v/>
      </c>
      <c r="AU5" s="218">
        <f>DevSpend!AU$100+DevSpend!AU$101+DevSpend!AU$104+IF(43=MS_Initial_Closing_Start,OpReserve,0)</f>
        <v/>
      </c>
      <c r="AV5" s="218">
        <f>DevSpend!AV$100+DevSpend!AV$101+DevSpend!AV$104+IF(44=MS_Initial_Closing_Start,OpReserve,0)</f>
        <v/>
      </c>
      <c r="AW5" s="218">
        <f>DevSpend!AW$100+DevSpend!AW$101+DevSpend!AW$104+IF(45=MS_Initial_Closing_Start,OpReserve,0)</f>
        <v/>
      </c>
      <c r="AX5" s="218">
        <f>DevSpend!AX$100+DevSpend!AX$101+DevSpend!AX$104+IF(46=MS_Initial_Closing_Start,OpReserve,0)</f>
        <v/>
      </c>
      <c r="AY5" s="218">
        <f>DevSpend!AY$100+DevSpend!AY$101+DevSpend!AY$104+IF(47=MS_Initial_Closing_Start,OpReserve,0)</f>
        <v/>
      </c>
      <c r="AZ5" s="218">
        <f>DevSpend!AZ$100+DevSpend!AZ$101+DevSpend!AZ$104+IF(48=MS_Initial_Closing_Start,OpReserve,0)</f>
        <v/>
      </c>
      <c r="BA5" s="218">
        <f>DevSpend!BA$100+DevSpend!BA$101+DevSpend!BA$104+IF(49=MS_Initial_Closing_Start,OpReserve,0)</f>
        <v/>
      </c>
      <c r="BB5" s="218">
        <f>DevSpend!BB$100+DevSpend!BB$101+DevSpend!BB$104+IF(50=MS_Initial_Closing_Start,OpReserve,0)</f>
        <v/>
      </c>
      <c r="BC5" s="218">
        <f>DevSpend!BC$100+DevSpend!BC$101+DevSpend!BC$104+IF(51=MS_Initial_Closing_Start,OpReserve,0)</f>
        <v/>
      </c>
      <c r="BD5" s="218">
        <f>DevSpend!BD$100+DevSpend!BD$101+DevSpend!BD$104+IF(52=MS_Initial_Closing_Start,OpReserve,0)</f>
        <v/>
      </c>
      <c r="BE5" s="218">
        <f>DevSpend!BE$100+DevSpend!BE$101+DevSpend!BE$104+IF(53=MS_Initial_Closing_Start,OpReserve,0)</f>
        <v/>
      </c>
      <c r="BF5" s="218">
        <f>DevSpend!BF$100+DevSpend!BF$101+DevSpend!BF$104+IF(54=MS_Initial_Closing_Start,OpReserve,0)</f>
        <v/>
      </c>
      <c r="BG5" s="218">
        <f>DevSpend!BG$100+DevSpend!BG$101+DevSpend!BG$104+IF(55=MS_Initial_Closing_Start,OpReserve,0)</f>
        <v/>
      </c>
      <c r="BH5" s="218">
        <f>DevSpend!BH$100+DevSpend!BH$101+DevSpend!BH$104+IF(56=MS_Initial_Closing_Start,OpReserve,0)</f>
        <v/>
      </c>
      <c r="BI5" s="218">
        <f>DevSpend!BI$100+DevSpend!BI$101+DevSpend!BI$104+IF(57=MS_Initial_Closing_Start,OpReserve,0)</f>
        <v/>
      </c>
      <c r="BJ5" s="218">
        <f>DevSpend!BJ$100+DevSpend!BJ$101+DevSpend!BJ$104+IF(58=MS_Initial_Closing_Start,OpReserve,0)</f>
        <v/>
      </c>
      <c r="BK5" s="218">
        <f>DevSpend!BK$100+DevSpend!BK$101+DevSpend!BK$104+IF(59=MS_Initial_Closing_Start,OpReserve,0)</f>
        <v/>
      </c>
      <c r="BL5" s="218">
        <f>DevSpend!BL$100+DevSpend!BL$101+DevSpend!BL$104+IF(60=MS_Initial_Closing_Start,OpReserve,0)</f>
        <v/>
      </c>
      <c r="BM5" s="218">
        <f>DevSpend!BM$100+DevSpend!BM$101+DevSpend!BM$104+IF(61=MS_Initial_Closing_Start,OpReserve,0)</f>
        <v/>
      </c>
      <c r="BN5" s="218">
        <f>DevSpend!BN$100+DevSpend!BN$101+DevSpend!BN$104+IF(62=MS_Initial_Closing_Start,OpReserve,0)</f>
        <v/>
      </c>
      <c r="BO5" s="218">
        <f>DevSpend!BO$100+DevSpend!BO$101+DevSpend!BO$104+IF(63=MS_Initial_Closing_Start,OpReserve,0)</f>
        <v/>
      </c>
      <c r="BP5" s="218">
        <f>DevSpend!BP$100+DevSpend!BP$101+DevSpend!BP$104+IF(64=MS_Initial_Closing_Start,OpReserve,0)</f>
        <v/>
      </c>
      <c r="BQ5" s="218">
        <f>DevSpend!BQ$100+DevSpend!BQ$101+DevSpend!BQ$104+IF(65=MS_Initial_Closing_Start,OpReserve,0)</f>
        <v/>
      </c>
      <c r="BR5" s="218">
        <f>DevSpend!BR$100+DevSpend!BR$101+DevSpend!BR$104+IF(66=MS_Initial_Closing_Start,OpReserve,0)</f>
        <v/>
      </c>
      <c r="BS5" s="218">
        <f>DevSpend!BS$100+DevSpend!BS$101+DevSpend!BS$104+IF(67=MS_Initial_Closing_Start,OpReserve,0)</f>
        <v/>
      </c>
      <c r="BT5" s="218">
        <f>DevSpend!BT$100+DevSpend!BT$101+DevSpend!BT$104+IF(68=MS_Initial_Closing_Start,OpReserve,0)</f>
        <v/>
      </c>
      <c r="BU5" s="218">
        <f>DevSpend!BU$100+DevSpend!BU$101+DevSpend!BU$104+IF(69=MS_Initial_Closing_Start,OpReserve,0)</f>
        <v/>
      </c>
      <c r="BV5" s="218">
        <f>DevSpend!BV$100+DevSpend!BV$101+DevSpend!BV$104+IF(70=MS_Initial_Closing_Start,OpReserve,0)</f>
        <v/>
      </c>
      <c r="BW5" s="218">
        <f>DevSpend!BW$100+DevSpend!BW$101+DevSpend!BW$104+IF(71=MS_Initial_Closing_Start,OpReserve,0)</f>
        <v/>
      </c>
      <c r="BX5" s="218">
        <f>DevSpend!BX$100+DevSpend!BX$101+DevSpend!BX$104+IF(72=MS_Initial_Closing_Start,OpReserve,0)</f>
        <v/>
      </c>
      <c r="BY5" s="218">
        <f>DevSpend!BY$100+DevSpend!BY$101+DevSpend!BY$104+IF(73=MS_Initial_Closing_Start,OpReserve,0)</f>
        <v/>
      </c>
      <c r="BZ5" s="218">
        <f>DevSpend!BZ$100+DevSpend!BZ$101+DevSpend!BZ$104+IF(74=MS_Initial_Closing_Start,OpReserve,0)</f>
        <v/>
      </c>
      <c r="CA5" s="218">
        <f>DevSpend!CA$100+DevSpend!CA$101+DevSpend!CA$104+IF(75=MS_Initial_Closing_Start,OpReserve,0)</f>
        <v/>
      </c>
      <c r="CB5" s="218">
        <f>DevSpend!CB$100+DevSpend!CB$101+DevSpend!CB$104+IF(76=MS_Initial_Closing_Start,OpReserve,0)</f>
        <v/>
      </c>
      <c r="CC5" s="218">
        <f>DevSpend!CC$100+DevSpend!CC$101+DevSpend!CC$104+IF(77=MS_Initial_Closing_Start,OpReserve,0)</f>
        <v/>
      </c>
      <c r="CD5" s="218">
        <f>DevSpend!CD$100+DevSpend!CD$101+DevSpend!CD$104+IF(78=MS_Initial_Closing_Start,OpReserve,0)</f>
        <v/>
      </c>
      <c r="CE5" s="218">
        <f>DevSpend!CE$100+DevSpend!CE$101+DevSpend!CE$104+IF(79=MS_Initial_Closing_Start,OpReserve,0)</f>
        <v/>
      </c>
      <c r="CF5" s="218">
        <f>DevSpend!CF$100+DevSpend!CF$101+DevSpend!CF$104+IF(80=MS_Initial_Closing_Start,OpReserve,0)</f>
        <v/>
      </c>
      <c r="CG5" s="218">
        <f>DevSpend!CG$100+DevSpend!CG$101+DevSpend!CG$104+IF(81=MS_Initial_Closing_Start,OpReserve,0)</f>
        <v/>
      </c>
      <c r="CH5" s="218">
        <f>DevSpend!CH$100+DevSpend!CH$101+DevSpend!CH$104+IF(82=MS_Initial_Closing_Start,OpReserve,0)</f>
        <v/>
      </c>
      <c r="CI5" s="218">
        <f>DevSpend!CI$100+DevSpend!CI$101+DevSpend!CI$104+IF(83=MS_Initial_Closing_Start,OpReserve,0)</f>
        <v/>
      </c>
      <c r="CJ5" s="218">
        <f>DevSpend!CJ$100+DevSpend!CJ$101+DevSpend!CJ$104+IF(84=MS_Initial_Closing_Start,OpReserve,0)</f>
        <v/>
      </c>
      <c r="CK5" s="218">
        <f>DevSpend!CK$100+DevSpend!CK$101+DevSpend!CK$104+IF(85=MS_Initial_Closing_Start,OpReserve,0)</f>
        <v/>
      </c>
      <c r="CL5" s="218">
        <f>DevSpend!CL$100+DevSpend!CL$101+DevSpend!CL$104+IF(86=MS_Initial_Closing_Start,OpReserve,0)</f>
        <v/>
      </c>
      <c r="CM5" s="218">
        <f>DevSpend!CM$100+DevSpend!CM$101+DevSpend!CM$104+IF(87=MS_Initial_Closing_Start,OpReserve,0)</f>
        <v/>
      </c>
      <c r="CN5" s="218">
        <f>DevSpend!CN$100+DevSpend!CN$101+DevSpend!CN$104+IF(88=MS_Initial_Closing_Start,OpReserve,0)</f>
        <v/>
      </c>
      <c r="CO5" s="218">
        <f>DevSpend!CO$100+DevSpend!CO$101+DevSpend!CO$104+IF(89=MS_Initial_Closing_Start,OpReserve,0)</f>
        <v/>
      </c>
      <c r="CP5" s="218">
        <f>DevSpend!CP$100+DevSpend!CP$101+DevSpend!CP$104+IF(90=MS_Initial_Closing_Start,OpReserve,0)</f>
        <v/>
      </c>
      <c r="CQ5" s="218">
        <f>DevSpend!CQ$100+DevSpend!CQ$101+DevSpend!CQ$104+IF(91=MS_Initial_Closing_Start,OpReserve,0)</f>
        <v/>
      </c>
      <c r="CR5" s="218">
        <f>DevSpend!CR$100+DevSpend!CR$101+DevSpend!CR$104+IF(92=MS_Initial_Closing_Start,OpReserve,0)</f>
        <v/>
      </c>
      <c r="CS5" s="218">
        <f>DevSpend!CS$100+DevSpend!CS$101+DevSpend!CS$104+IF(93=MS_Initial_Closing_Start,OpReserve,0)</f>
        <v/>
      </c>
      <c r="CT5" s="218">
        <f>DevSpend!CT$100+DevSpend!CT$101+DevSpend!CT$104+IF(94=MS_Initial_Closing_Start,OpReserve,0)</f>
        <v/>
      </c>
      <c r="CU5" s="218">
        <f>DevSpend!CU$100+DevSpend!CU$101+DevSpend!CU$104+IF(95=MS_Initial_Closing_Start,OpReserve,0)</f>
        <v/>
      </c>
      <c r="CV5" s="218">
        <f>DevSpend!CV$100+DevSpend!CV$101+DevSpend!CV$104+IF(96=MS_Initial_Closing_Start,OpReserve,0)</f>
        <v/>
      </c>
      <c r="CW5" s="218">
        <f>DevSpend!CW$100+DevSpend!CW$101+DevSpend!CW$104+IF(97=MS_Initial_Closing_Start,OpReserve,0)</f>
        <v/>
      </c>
      <c r="CX5" s="218">
        <f>DevSpend!CX$100+DevSpend!CX$101+DevSpend!CX$104+IF(98=MS_Initial_Closing_Start,OpReserve,0)</f>
        <v/>
      </c>
      <c r="CY5" s="218">
        <f>DevSpend!CY$100+DevSpend!CY$101+DevSpend!CY$104+IF(99=MS_Initial_Closing_Start,OpReserve,0)</f>
        <v/>
      </c>
      <c r="CZ5" s="218">
        <f>DevSpend!CZ$100+DevSpend!CZ$101+DevSpend!CZ$104+IF(100=MS_Initial_Closing_Start,OpReserve,0)</f>
        <v/>
      </c>
      <c r="DA5" s="218">
        <f>DevSpend!DA$100+DevSpend!DA$101+DevSpend!DA$104+IF(101=MS_Initial_Closing_Start,OpReserve,0)</f>
        <v/>
      </c>
      <c r="DB5" s="218">
        <f>DevSpend!DB$100+DevSpend!DB$101+DevSpend!DB$104+IF(102=MS_Initial_Closing_Start,OpReserve,0)</f>
        <v/>
      </c>
      <c r="DC5" s="218">
        <f>DevSpend!DC$100+DevSpend!DC$101+DevSpend!DC$104+IF(103=MS_Initial_Closing_Start,OpReserve,0)</f>
        <v/>
      </c>
      <c r="DD5" s="218">
        <f>DevSpend!DD$100+DevSpend!DD$101+DevSpend!DD$104+IF(104=MS_Initial_Closing_Start,OpReserve,0)</f>
        <v/>
      </c>
      <c r="DE5" s="218">
        <f>DevSpend!DE$100+DevSpend!DE$101+DevSpend!DE$104+IF(105=MS_Initial_Closing_Start,OpReserve,0)</f>
        <v/>
      </c>
      <c r="DF5" s="218">
        <f>DevSpend!DF$100+DevSpend!DF$101+DevSpend!DF$104+IF(106=MS_Initial_Closing_Start,OpReserve,0)</f>
        <v/>
      </c>
      <c r="DG5" s="218">
        <f>DevSpend!DG$100+DevSpend!DG$101+DevSpend!DG$104+IF(107=MS_Initial_Closing_Start,OpReserve,0)</f>
        <v/>
      </c>
      <c r="DH5" s="218">
        <f>DevSpend!DH$100+DevSpend!DH$101+DevSpend!DH$104+IF(108=MS_Initial_Closing_Start,OpReserve,0)</f>
        <v/>
      </c>
      <c r="DI5" s="218">
        <f>DevSpend!DI$100+DevSpend!DI$101+DevSpend!DI$104+IF(109=MS_Initial_Closing_Start,OpReserve,0)</f>
        <v/>
      </c>
      <c r="DJ5" s="218">
        <f>DevSpend!DJ$100+DevSpend!DJ$101+DevSpend!DJ$104+IF(110=MS_Initial_Closing_Start,OpReserve,0)</f>
        <v/>
      </c>
      <c r="DK5" s="218">
        <f>DevSpend!DK$100+DevSpend!DK$101+DevSpend!DK$104+IF(111=MS_Initial_Closing_Start,OpReserve,0)</f>
        <v/>
      </c>
      <c r="DL5" s="218">
        <f>DevSpend!DL$100+DevSpend!DL$101+DevSpend!DL$104+IF(112=MS_Initial_Closing_Start,OpReserve,0)</f>
        <v/>
      </c>
      <c r="DM5" s="218">
        <f>DevSpend!DM$100+DevSpend!DM$101+DevSpend!DM$104+IF(113=MS_Initial_Closing_Start,OpReserve,0)</f>
        <v/>
      </c>
      <c r="DN5" s="218">
        <f>DevSpend!DN$100+DevSpend!DN$101+DevSpend!DN$104+IF(114=MS_Initial_Closing_Start,OpReserve,0)</f>
        <v/>
      </c>
      <c r="DO5" s="218">
        <f>DevSpend!DO$100+DevSpend!DO$101+DevSpend!DO$104+IF(115=MS_Initial_Closing_Start,OpReserve,0)</f>
        <v/>
      </c>
      <c r="DP5" s="218">
        <f>DevSpend!DP$100+DevSpend!DP$101+DevSpend!DP$104+IF(116=MS_Initial_Closing_Start,OpReserve,0)</f>
        <v/>
      </c>
      <c r="DQ5" s="218">
        <f>DevSpend!DQ$100+DevSpend!DQ$101+DevSpend!DQ$104+IF(117=MS_Initial_Closing_Start,OpReserve,0)</f>
        <v/>
      </c>
      <c r="DR5" s="218">
        <f>DevSpend!DR$100+DevSpend!DR$101+DevSpend!DR$104+IF(118=MS_Initial_Closing_Start,OpReserve,0)</f>
        <v/>
      </c>
      <c r="DS5" s="218">
        <f>DevSpend!DS$100+DevSpend!DS$101+DevSpend!DS$104+IF(119=MS_Initial_Closing_Start,OpReserve,0)</f>
        <v/>
      </c>
      <c r="DT5" s="218">
        <f>DevSpend!DT$100+DevSpend!DT$101+DevSpend!DT$104+IF(120=MS_Initial_Closing_Start,OpReserve,0)</f>
        <v/>
      </c>
      <c r="DU5" s="218">
        <f>DevSpend!DU$100+DevSpend!DU$101+DevSpend!DU$104+IF(121=MS_Initial_Closing_Start,OpReserve,0)</f>
        <v/>
      </c>
      <c r="DV5" s="218">
        <f>DevSpend!DV$100+DevSpend!DV$101+DevSpend!DV$104+IF(122=MS_Initial_Closing_Start,OpReserve,0)</f>
        <v/>
      </c>
      <c r="DW5" s="218">
        <f>DevSpend!DW$100+DevSpend!DW$101+DevSpend!DW$104+IF(123=MS_Initial_Closing_Start,OpReserve,0)</f>
        <v/>
      </c>
      <c r="DX5" s="218">
        <f>DevSpend!DX$100+DevSpend!DX$101+DevSpend!DX$104+IF(124=MS_Initial_Closing_Start,OpReserve,0)</f>
        <v/>
      </c>
      <c r="DY5" s="218">
        <f>DevSpend!DY$100+DevSpend!DY$101+DevSpend!DY$104+IF(125=MS_Initial_Closing_Start,OpReserve,0)</f>
        <v/>
      </c>
      <c r="DZ5" s="218">
        <f>DevSpend!DZ$100+DevSpend!DZ$101+DevSpend!DZ$104+IF(126=MS_Initial_Closing_Start,OpReserve,0)</f>
        <v/>
      </c>
      <c r="EA5" s="218">
        <f>DevSpend!EA$100+DevSpend!EA$101+DevSpend!EA$104+IF(127=MS_Initial_Closing_Start,OpReserve,0)</f>
        <v/>
      </c>
      <c r="EB5" s="218">
        <f>DevSpend!EB$100+DevSpend!EB$101+DevSpend!EB$104+IF(128=MS_Initial_Closing_Start,OpReserve,0)</f>
        <v/>
      </c>
      <c r="EC5" s="218">
        <f>DevSpend!EC$100+DevSpend!EC$101+DevSpend!EC$104+IF(129=MS_Initial_Closing_Start,OpReserve,0)</f>
        <v/>
      </c>
      <c r="ED5" s="218">
        <f>DevSpend!ED$100+DevSpend!ED$101+DevSpend!ED$104+IF(130=MS_Initial_Closing_Start,OpReserve,0)</f>
        <v/>
      </c>
      <c r="EE5" s="218">
        <f>DevSpend!EE$100+DevSpend!EE$101+DevSpend!EE$104+IF(131=MS_Initial_Closing_Start,OpReserve,0)</f>
        <v/>
      </c>
      <c r="EF5" s="218">
        <f>DevSpend!EF$100+DevSpend!EF$101+DevSpend!EF$104+IF(132=MS_Initial_Closing_Start,OpReserve,0)</f>
        <v/>
      </c>
      <c r="EG5" s="218">
        <f>DevSpend!EG$100+DevSpend!EG$101+DevSpend!EG$104+IF(133=MS_Initial_Closing_Start,OpReserve,0)</f>
        <v/>
      </c>
      <c r="EH5" s="218">
        <f>DevSpend!EH$100+DevSpend!EH$101+DevSpend!EH$104+IF(134=MS_Initial_Closing_Start,OpReserve,0)</f>
        <v/>
      </c>
      <c r="EI5" s="218">
        <f>DevSpend!EI$100+DevSpend!EI$101+DevSpend!EI$104+IF(135=MS_Initial_Closing_Start,OpReserve,0)</f>
        <v/>
      </c>
      <c r="EJ5" s="218">
        <f>DevSpend!EJ$100+DevSpend!EJ$101+DevSpend!EJ$104+IF(136=MS_Initial_Closing_Start,OpReserve,0)</f>
        <v/>
      </c>
      <c r="EK5" s="218">
        <f>DevSpend!EK$100+DevSpend!EK$101+DevSpend!EK$104+IF(137=MS_Initial_Closing_Start,OpReserve,0)</f>
        <v/>
      </c>
      <c r="EL5" s="218">
        <f>DevSpend!EL$100+DevSpend!EL$101+DevSpend!EL$104+IF(138=MS_Initial_Closing_Start,OpReserve,0)</f>
        <v/>
      </c>
      <c r="EM5" s="218">
        <f>DevSpend!EM$100+DevSpend!EM$101+DevSpend!EM$104+IF(139=MS_Initial_Closing_Start,OpReserve,0)</f>
        <v/>
      </c>
      <c r="EN5" s="218">
        <f>DevSpend!EN$100+DevSpend!EN$101+DevSpend!EN$104+IF(140=MS_Initial_Closing_Start,OpReserve,0)</f>
        <v/>
      </c>
      <c r="EO5" s="218">
        <f>DevSpend!EO$100+DevSpend!EO$101+DevSpend!EO$104+IF(141=MS_Initial_Closing_Start,OpReserve,0)</f>
        <v/>
      </c>
      <c r="EP5" s="218">
        <f>DevSpend!EP$100+DevSpend!EP$101+DevSpend!EP$104+IF(142=MS_Initial_Closing_Start,OpReserve,0)</f>
        <v/>
      </c>
      <c r="EQ5" s="218">
        <f>DevSpend!EQ$100+DevSpend!EQ$101+DevSpend!EQ$104+IF(143=MS_Initial_Closing_Start,OpReserve,0)</f>
        <v/>
      </c>
      <c r="ER5" s="218">
        <f>DevSpend!ER$100+DevSpend!ER$101+DevSpend!ER$104+IF(144=MS_Initial_Closing_Start,OpReserve,0)</f>
        <v/>
      </c>
      <c r="ES5" s="218">
        <f>DevSpend!ES$100+DevSpend!ES$101+DevSpend!ES$104+IF(145=MS_Initial_Closing_Start,OpReserve,0)</f>
        <v/>
      </c>
      <c r="ET5" s="218">
        <f>DevSpend!ET$100+DevSpend!ET$101+DevSpend!ET$104+IF(146=MS_Initial_Closing_Start,OpReserve,0)</f>
        <v/>
      </c>
      <c r="EU5" s="218">
        <f>DevSpend!EU$100+DevSpend!EU$101+DevSpend!EU$104+IF(147=MS_Initial_Closing_Start,OpReserve,0)</f>
        <v/>
      </c>
      <c r="EV5" s="218">
        <f>DevSpend!EV$100+DevSpend!EV$101+DevSpend!EV$104+IF(148=MS_Initial_Closing_Start,OpReserve,0)</f>
        <v/>
      </c>
      <c r="EW5" s="218">
        <f>DevSpend!EW$100+DevSpend!EW$101+DevSpend!EW$104+IF(149=MS_Initial_Closing_Start,OpReserve,0)</f>
        <v/>
      </c>
      <c r="EX5" s="218">
        <f>DevSpend!EX$100+DevSpend!EX$101+DevSpend!EX$104+IF(150=MS_Initial_Closing_Start,OpReserve,0)</f>
        <v/>
      </c>
      <c r="EY5" s="218">
        <f>DevSpend!EY$100+DevSpend!EY$101+DevSpend!EY$104+IF(151=MS_Initial_Closing_Start,OpReserve,0)</f>
        <v/>
      </c>
      <c r="EZ5" s="218">
        <f>DevSpend!EZ$100+DevSpend!EZ$101+DevSpend!EZ$104+IF(152=MS_Initial_Closing_Start,OpReserve,0)</f>
        <v/>
      </c>
      <c r="FA5" s="218">
        <f>DevSpend!FA$100+DevSpend!FA$101+DevSpend!FA$104+IF(153=MS_Initial_Closing_Start,OpReserve,0)</f>
        <v/>
      </c>
      <c r="FB5" s="218">
        <f>DevSpend!FB$100+DevSpend!FB$101+DevSpend!FB$104+IF(154=MS_Initial_Closing_Start,OpReserve,0)</f>
        <v/>
      </c>
      <c r="FC5" s="218">
        <f>DevSpend!FC$100+DevSpend!FC$101+DevSpend!FC$104+IF(155=MS_Initial_Closing_Start,OpReserve,0)</f>
        <v/>
      </c>
      <c r="FD5" s="218">
        <f>DevSpend!FD$100+DevSpend!FD$101+DevSpend!FD$104+IF(156=MS_Initial_Closing_Start,OpReserve,0)</f>
        <v/>
      </c>
      <c r="FE5" s="218">
        <f>DevSpend!FE$100+DevSpend!FE$101+DevSpend!FE$104+IF(157=MS_Initial_Closing_Start,OpReserve,0)</f>
        <v/>
      </c>
      <c r="FF5" s="218">
        <f>DevSpend!FF$100+DevSpend!FF$101+DevSpend!FF$104+IF(158=MS_Initial_Closing_Start,OpReserve,0)</f>
        <v/>
      </c>
      <c r="FG5" s="218">
        <f>DevSpend!FG$100+DevSpend!FG$101+DevSpend!FG$104+IF(159=MS_Initial_Closing_Start,OpReserve,0)</f>
        <v/>
      </c>
      <c r="FH5" s="218">
        <f>DevSpend!FH$100+DevSpend!FH$101+DevSpend!FH$104+IF(160=MS_Initial_Closing_Start,OpReserve,0)</f>
        <v/>
      </c>
      <c r="FI5" s="218">
        <f>DevSpend!FI$100+DevSpend!FI$101+DevSpend!FI$104+IF(161=MS_Initial_Closing_Start,OpReserve,0)</f>
        <v/>
      </c>
      <c r="FJ5" s="218">
        <f>DevSpend!FJ$100+DevSpend!FJ$101+DevSpend!FJ$104+IF(162=MS_Initial_Closing_Start,OpReserve,0)</f>
        <v/>
      </c>
      <c r="FK5" s="218">
        <f>DevSpend!FK$100+DevSpend!FK$101+DevSpend!FK$104+IF(163=MS_Initial_Closing_Start,OpReserve,0)</f>
        <v/>
      </c>
      <c r="FL5" s="218">
        <f>DevSpend!FL$100+DevSpend!FL$101+DevSpend!FL$104+IF(164=MS_Initial_Closing_Start,OpReserve,0)</f>
        <v/>
      </c>
      <c r="FM5" s="218">
        <f>DevSpend!FM$100+DevSpend!FM$101+DevSpend!FM$104+IF(165=MS_Initial_Closing_Start,OpReserve,0)</f>
        <v/>
      </c>
      <c r="FN5" s="218">
        <f>DevSpend!FN$100+DevSpend!FN$101+DevSpend!FN$104+IF(166=MS_Initial_Closing_Start,OpReserve,0)</f>
        <v/>
      </c>
      <c r="FO5" s="218">
        <f>DevSpend!FO$100+DevSpend!FO$101+DevSpend!FO$104+IF(167=MS_Initial_Closing_Start,OpReserve,0)</f>
        <v/>
      </c>
      <c r="FP5" s="218">
        <f>DevSpend!FP$100+DevSpend!FP$101+DevSpend!FP$104+IF(168=MS_Initial_Closing_Start,OpReserve,0)</f>
        <v/>
      </c>
      <c r="FQ5" s="218">
        <f>DevSpend!FQ$100+DevSpend!FQ$101+DevSpend!FQ$104+IF(169=MS_Initial_Closing_Start,OpReserve,0)</f>
        <v/>
      </c>
      <c r="FR5" s="218">
        <f>DevSpend!FR$100+DevSpend!FR$101+DevSpend!FR$104+IF(170=MS_Initial_Closing_Start,OpReserve,0)</f>
        <v/>
      </c>
      <c r="FS5" s="218">
        <f>DevSpend!FS$100+DevSpend!FS$101+DevSpend!FS$104+IF(171=MS_Initial_Closing_Start,OpReserve,0)</f>
        <v/>
      </c>
      <c r="FT5" s="218">
        <f>DevSpend!FT$100+DevSpend!FT$101+DevSpend!FT$104+IF(172=MS_Initial_Closing_Start,OpReserve,0)</f>
        <v/>
      </c>
      <c r="FU5" s="218">
        <f>DevSpend!FU$100+DevSpend!FU$101+DevSpend!FU$104+IF(173=MS_Initial_Closing_Start,OpReserve,0)</f>
        <v/>
      </c>
      <c r="FV5" s="218">
        <f>DevSpend!FV$100+DevSpend!FV$101+DevSpend!FV$104+IF(174=MS_Initial_Closing_Start,OpReserve,0)</f>
        <v/>
      </c>
      <c r="FW5" s="218">
        <f>DevSpend!FW$100+DevSpend!FW$101+DevSpend!FW$104+IF(175=MS_Initial_Closing_Start,OpReserve,0)</f>
        <v/>
      </c>
      <c r="FX5" s="218">
        <f>DevSpend!FX$100+DevSpend!FX$101+DevSpend!FX$104+IF(176=MS_Initial_Closing_Start,OpReserve,0)</f>
        <v/>
      </c>
      <c r="FY5" s="218">
        <f>DevSpend!FY$100+DevSpend!FY$101+DevSpend!FY$104+IF(177=MS_Initial_Closing_Start,OpReserve,0)</f>
        <v/>
      </c>
      <c r="FZ5" s="218">
        <f>DevSpend!FZ$100+DevSpend!FZ$101+DevSpend!FZ$104+IF(178=MS_Initial_Closing_Start,OpReserve,0)</f>
        <v/>
      </c>
      <c r="GA5" s="218">
        <f>DevSpend!GA$100+DevSpend!GA$101+DevSpend!GA$104+IF(179=MS_Initial_Closing_Start,OpReserve,0)</f>
        <v/>
      </c>
      <c r="GB5" s="218">
        <f>DevSpend!GB$100+DevSpend!GB$101+DevSpend!GB$104+IF(180=MS_Initial_Closing_Start,OpReserve,0)</f>
        <v/>
      </c>
      <c r="GC5" s="218">
        <f>DevSpend!GC$100+DevSpend!GC$101+DevSpend!GC$104+IF(181=MS_Initial_Closing_Start,OpReserve,0)</f>
        <v/>
      </c>
      <c r="GD5" s="218">
        <f>DevSpend!GD$100+DevSpend!GD$101+DevSpend!GD$104+IF(182=MS_Initial_Closing_Start,OpReserve,0)</f>
        <v/>
      </c>
      <c r="GE5" s="218">
        <f>DevSpend!GE$100+DevSpend!GE$101+DevSpend!GE$104+IF(183=MS_Initial_Closing_Start,OpReserve,0)</f>
        <v/>
      </c>
      <c r="GF5" s="218">
        <f>DevSpend!GF$100+DevSpend!GF$101+DevSpend!GF$104+IF(184=MS_Initial_Closing_Start,OpReserve,0)</f>
        <v/>
      </c>
      <c r="GG5" s="218">
        <f>DevSpend!GG$100+DevSpend!GG$101+DevSpend!GG$104+IF(185=MS_Initial_Closing_Start,OpReserve,0)</f>
        <v/>
      </c>
      <c r="GH5" s="218">
        <f>DevSpend!GH$100+DevSpend!GH$101+DevSpend!GH$104+IF(186=MS_Initial_Closing_Start,OpReserve,0)</f>
        <v/>
      </c>
      <c r="GI5" s="218">
        <f>DevSpend!GI$100+DevSpend!GI$101+DevSpend!GI$104+IF(187=MS_Initial_Closing_Start,OpReserve,0)</f>
        <v/>
      </c>
      <c r="GJ5" s="218">
        <f>DevSpend!GJ$100+DevSpend!GJ$101+DevSpend!GJ$104+IF(188=MS_Initial_Closing_Start,OpReserve,0)</f>
        <v/>
      </c>
      <c r="GK5" s="218">
        <f>DevSpend!GK$100+DevSpend!GK$101+DevSpend!GK$104+IF(189=MS_Initial_Closing_Start,OpReserve,0)</f>
        <v/>
      </c>
      <c r="GL5" s="218">
        <f>DevSpend!GL$100+DevSpend!GL$101+DevSpend!GL$104+IF(190=MS_Initial_Closing_Start,OpReserve,0)</f>
        <v/>
      </c>
      <c r="GM5" s="218">
        <f>DevSpend!GM$100+DevSpend!GM$101+DevSpend!GM$104+IF(191=MS_Initial_Closing_Start,OpReserve,0)</f>
        <v/>
      </c>
      <c r="GN5" s="218">
        <f>DevSpend!GN$100+DevSpend!GN$101+DevSpend!GN$104+IF(192=MS_Initial_Closing_Start,OpReserve,0)</f>
        <v/>
      </c>
      <c r="GO5" s="218">
        <f>DevSpend!GO$100+DevSpend!GO$101+DevSpend!GO$104+IF(193=MS_Initial_Closing_Start,OpReserve,0)</f>
        <v/>
      </c>
      <c r="GP5" s="218">
        <f>DevSpend!GP$100+DevSpend!GP$101+DevSpend!GP$104+IF(194=MS_Initial_Closing_Start,OpReserve,0)</f>
        <v/>
      </c>
      <c r="GQ5" s="218">
        <f>DevSpend!GQ$100+DevSpend!GQ$101+DevSpend!GQ$104+IF(195=MS_Initial_Closing_Start,OpReserve,0)</f>
        <v/>
      </c>
      <c r="GR5" s="218">
        <f>DevSpend!GR$100+DevSpend!GR$101+DevSpend!GR$104+IF(196=MS_Initial_Closing_Start,OpReserve,0)</f>
        <v/>
      </c>
      <c r="GS5" s="218">
        <f>DevSpend!GS$100+DevSpend!GS$101+DevSpend!GS$104+IF(197=MS_Initial_Closing_Start,OpReserve,0)</f>
        <v/>
      </c>
      <c r="GT5" s="218">
        <f>DevSpend!GT$100+DevSpend!GT$101+DevSpend!GT$104+IF(198=MS_Initial_Closing_Start,OpReserve,0)</f>
        <v/>
      </c>
      <c r="GU5" s="218">
        <f>DevSpend!GU$100+DevSpend!GU$101+DevSpend!GU$104+IF(199=MS_Initial_Closing_Start,OpReserve,0)</f>
        <v/>
      </c>
      <c r="GV5" s="218">
        <f>DevSpend!GV$100+DevSpend!GV$101+DevSpend!GV$104+IF(200=MS_Initial_Closing_Start,OpReserve,0)</f>
        <v/>
      </c>
      <c r="GW5" s="218">
        <f>DevSpend!GW$100+DevSpend!GW$101+DevSpend!GW$104+IF(201=MS_Initial_Closing_Start,OpReserve,0)</f>
        <v/>
      </c>
      <c r="GX5" s="218">
        <f>DevSpend!GX$100+DevSpend!GX$101+DevSpend!GX$104+IF(202=MS_Initial_Closing_Start,OpReserve,0)</f>
        <v/>
      </c>
      <c r="GY5" s="218">
        <f>DevSpend!GY$100+DevSpend!GY$101+DevSpend!GY$104+IF(203=MS_Initial_Closing_Start,OpReserve,0)</f>
        <v/>
      </c>
      <c r="GZ5" s="218">
        <f>DevSpend!GZ$100+DevSpend!GZ$101+DevSpend!GZ$104+IF(204=MS_Initial_Closing_Start,OpReserve,0)</f>
        <v/>
      </c>
      <c r="HA5" s="218">
        <f>DevSpend!HA$100+DevSpend!HA$101+DevSpend!HA$104+IF(205=MS_Initial_Closing_Start,OpReserve,0)</f>
        <v/>
      </c>
      <c r="HB5" s="218">
        <f>DevSpend!HB$100+DevSpend!HB$101+DevSpend!HB$104+IF(206=MS_Initial_Closing_Start,OpReserve,0)</f>
        <v/>
      </c>
      <c r="HC5" s="218">
        <f>DevSpend!HC$100+DevSpend!HC$101+DevSpend!HC$104+IF(207=MS_Initial_Closing_Start,OpReserve,0)</f>
        <v/>
      </c>
      <c r="HD5" s="218">
        <f>DevSpend!HD$100+DevSpend!HD$101+DevSpend!HD$104+IF(208=MS_Initial_Closing_Start,OpReserve,0)</f>
        <v/>
      </c>
      <c r="HE5" s="218">
        <f>DevSpend!HE$100+DevSpend!HE$101+DevSpend!HE$104+IF(209=MS_Initial_Closing_Start,OpReserve,0)</f>
        <v/>
      </c>
      <c r="HF5" s="218">
        <f>DevSpend!HF$100+DevSpend!HF$101+DevSpend!HF$104+IF(210=MS_Initial_Closing_Start,OpReserve,0)</f>
        <v/>
      </c>
      <c r="HG5" s="218">
        <f>DevSpend!HG$100+DevSpend!HG$101+DevSpend!HG$104+IF(211=MS_Initial_Closing_Start,OpReserve,0)</f>
        <v/>
      </c>
      <c r="HH5" s="218">
        <f>DevSpend!HH$100+DevSpend!HH$101+DevSpend!HH$104+IF(212=MS_Initial_Closing_Start,OpReserve,0)</f>
        <v/>
      </c>
      <c r="HI5" s="218">
        <f>DevSpend!HI$100+DevSpend!HI$101+DevSpend!HI$104+IF(213=MS_Initial_Closing_Start,OpReserve,0)</f>
        <v/>
      </c>
      <c r="HJ5" s="218">
        <f>DevSpend!HJ$100+DevSpend!HJ$101+DevSpend!HJ$104+IF(214=MS_Initial_Closing_Start,OpReserve,0)</f>
        <v/>
      </c>
      <c r="HK5" s="218">
        <f>DevSpend!HK$100+DevSpend!HK$101+DevSpend!HK$104+IF(215=MS_Initial_Closing_Start,OpReserve,0)</f>
        <v/>
      </c>
      <c r="HL5" s="218">
        <f>DevSpend!HL$100+DevSpend!HL$101+DevSpend!HL$104+IF(216=MS_Initial_Closing_Start,OpReserve,0)</f>
        <v/>
      </c>
      <c r="HM5" s="218">
        <f>DevSpend!HM$100+DevSpend!HM$101+DevSpend!HM$104+IF(217=MS_Initial_Closing_Start,OpReserve,0)</f>
        <v/>
      </c>
      <c r="HN5" s="218">
        <f>DevSpend!HN$100+DevSpend!HN$101+DevSpend!HN$104+IF(218=MS_Initial_Closing_Start,OpReserve,0)</f>
        <v/>
      </c>
      <c r="HO5" s="218">
        <f>DevSpend!HO$100+DevSpend!HO$101+DevSpend!HO$104+IF(219=MS_Initial_Closing_Start,OpReserve,0)</f>
        <v/>
      </c>
      <c r="HP5" s="218">
        <f>DevSpend!HP$100+DevSpend!HP$101+DevSpend!HP$104+IF(220=MS_Initial_Closing_Start,OpReserve,0)</f>
        <v/>
      </c>
      <c r="HQ5" s="218">
        <f>DevSpend!HQ$100+DevSpend!HQ$101+DevSpend!HQ$104+IF(221=MS_Initial_Closing_Start,OpReserve,0)</f>
        <v/>
      </c>
      <c r="HR5" s="218">
        <f>DevSpend!HR$100+DevSpend!HR$101+DevSpend!HR$104+IF(222=MS_Initial_Closing_Start,OpReserve,0)</f>
        <v/>
      </c>
      <c r="HS5" s="218">
        <f>DevSpend!HS$100+DevSpend!HS$101+DevSpend!HS$104+IF(223=MS_Initial_Closing_Start,OpReserve,0)</f>
        <v/>
      </c>
      <c r="HT5" s="218">
        <f>DevSpend!HT$100+DevSpend!HT$101+DevSpend!HT$104+IF(224=MS_Initial_Closing_Start,OpReserve,0)</f>
        <v/>
      </c>
      <c r="HU5" s="218">
        <f>DevSpend!HU$100+DevSpend!HU$101+DevSpend!HU$104+IF(225=MS_Initial_Closing_Start,OpReserve,0)</f>
        <v/>
      </c>
      <c r="HV5" s="218">
        <f>DevSpend!HV$100+DevSpend!HV$101+DevSpend!HV$104+IF(226=MS_Initial_Closing_Start,OpReserve,0)</f>
        <v/>
      </c>
      <c r="HW5" s="218">
        <f>DevSpend!HW$100+DevSpend!HW$101+DevSpend!HW$104+IF(227=MS_Initial_Closing_Start,OpReserve,0)</f>
        <v/>
      </c>
      <c r="HX5" s="218">
        <f>DevSpend!HX$100+DevSpend!HX$101+DevSpend!HX$104+IF(228=MS_Initial_Closing_Start,OpReserve,0)</f>
        <v/>
      </c>
      <c r="HY5" s="218">
        <f>DevSpend!HY$100+DevSpend!HY$101+DevSpend!HY$104+IF(229=MS_Initial_Closing_Start,OpReserve,0)</f>
        <v/>
      </c>
      <c r="HZ5" s="218">
        <f>DevSpend!HZ$100+DevSpend!HZ$101+DevSpend!HZ$104+IF(230=MS_Initial_Closing_Start,OpReserve,0)</f>
        <v/>
      </c>
      <c r="IA5" s="218">
        <f>DevSpend!IA$100+DevSpend!IA$101+DevSpend!IA$104+IF(231=MS_Initial_Closing_Start,OpReserve,0)</f>
        <v/>
      </c>
      <c r="IB5" s="218">
        <f>DevSpend!IB$100+DevSpend!IB$101+DevSpend!IB$104+IF(232=MS_Initial_Closing_Start,OpReserve,0)</f>
        <v/>
      </c>
      <c r="IC5" s="218">
        <f>DevSpend!IC$100+DevSpend!IC$101+DevSpend!IC$104+IF(233=MS_Initial_Closing_Start,OpReserve,0)</f>
        <v/>
      </c>
      <c r="ID5" s="218">
        <f>DevSpend!ID$100+DevSpend!ID$101+DevSpend!ID$104+IF(234=MS_Initial_Closing_Start,OpReserve,0)</f>
        <v/>
      </c>
      <c r="IE5" s="218">
        <f>DevSpend!IE$100+DevSpend!IE$101+DevSpend!IE$104+IF(235=MS_Initial_Closing_Start,OpReserve,0)</f>
        <v/>
      </c>
      <c r="IF5" s="218">
        <f>DevSpend!IF$100+DevSpend!IF$101+DevSpend!IF$104+IF(236=MS_Initial_Closing_Start,OpReserve,0)</f>
        <v/>
      </c>
      <c r="IG5" s="218">
        <f>DevSpend!IG$100+DevSpend!IG$101+DevSpend!IG$104+IF(237=MS_Initial_Closing_Start,OpReserve,0)</f>
        <v/>
      </c>
      <c r="IH5" s="218">
        <f>DevSpend!IH$100+DevSpend!IH$101+DevSpend!IH$104+IF(238=MS_Initial_Closing_Start,OpReserve,0)</f>
        <v/>
      </c>
      <c r="II5" s="218">
        <f>DevSpend!II$100+DevSpend!II$101+DevSpend!II$104+IF(239=MS_Initial_Closing_Start,OpReserve,0)</f>
        <v/>
      </c>
      <c r="IJ5" s="218">
        <f>DevSpend!IJ$100+DevSpend!IJ$101+DevSpend!IJ$104+IF(240=MS_Initial_Closing_Start,OpReserve,0)</f>
        <v/>
      </c>
      <c r="IK5" s="218">
        <f>DevSpend!IK$100+DevSpend!IK$101+DevSpend!IK$104+IF(241=MS_Initial_Closing_Start,OpReserve,0)</f>
        <v/>
      </c>
      <c r="IL5" s="218">
        <f>DevSpend!IL$100+DevSpend!IL$101+DevSpend!IL$104+IF(242=MS_Initial_Closing_Start,OpReserve,0)</f>
        <v/>
      </c>
      <c r="IM5" s="218">
        <f>DevSpend!IM$100+DevSpend!IM$101+DevSpend!IM$104+IF(243=MS_Initial_Closing_Start,OpReserve,0)</f>
        <v/>
      </c>
      <c r="IN5" s="218">
        <f>DevSpend!IN$100+DevSpend!IN$101+DevSpend!IN$104+IF(244=MS_Initial_Closing_Start,OpReserve,0)</f>
        <v/>
      </c>
      <c r="IO5" s="218">
        <f>DevSpend!IO$100+DevSpend!IO$101+DevSpend!IO$104+IF(245=MS_Initial_Closing_Start,OpReserve,0)</f>
        <v/>
      </c>
      <c r="IP5" s="218">
        <f>DevSpend!IP$100+DevSpend!IP$101+DevSpend!IP$104+IF(246=MS_Initial_Closing_Start,OpReserve,0)</f>
        <v/>
      </c>
      <c r="IQ5" s="218">
        <f>DevSpend!IQ$100+DevSpend!IQ$101+DevSpend!IQ$104+IF(247=MS_Initial_Closing_Start,OpReserve,0)</f>
        <v/>
      </c>
      <c r="IR5" s="218">
        <f>DevSpend!IR$100+DevSpend!IR$101+DevSpend!IR$104+IF(248=MS_Initial_Closing_Start,OpReserve,0)</f>
        <v/>
      </c>
      <c r="IS5" s="218">
        <f>DevSpend!IS$100+DevSpend!IS$101+DevSpend!IS$104+IF(249=MS_Initial_Closing_Start,OpReserve,0)</f>
        <v/>
      </c>
      <c r="IT5" s="218">
        <f>DevSpend!IT$100+DevSpend!IT$101+DevSpend!IT$104+IF(250=MS_Initial_Closing_Start,OpReserve,0)</f>
        <v/>
      </c>
      <c r="IU5" s="218">
        <f>DevSpend!IU$100+DevSpend!IU$101+DevSpend!IU$104+IF(251=MS_Initial_Closing_Start,OpReserve,0)</f>
        <v/>
      </c>
      <c r="IV5" s="218">
        <f>DevSpend!IV$100+DevSpend!IV$101+DevSpend!IV$104+IF(252=MS_Initial_Closing_Start,OpReserve,0)</f>
        <v/>
      </c>
      <c r="IW5" s="218">
        <f>DevSpend!IW$100+DevSpend!IW$101+DevSpend!IW$104+IF(253=MS_Initial_Closing_Start,OpReserve,0)</f>
        <v/>
      </c>
      <c r="IX5" s="218">
        <f>DevSpend!IX$100+DevSpend!IX$101+DevSpend!IX$104+IF(254=MS_Initial_Closing_Start,OpReserve,0)</f>
        <v/>
      </c>
      <c r="IY5" s="218">
        <f>DevSpend!IY$100+DevSpend!IY$101+DevSpend!IY$104+IF(255=MS_Initial_Closing_Start,OpReserve,0)</f>
        <v/>
      </c>
      <c r="IZ5" s="218">
        <f>DevSpend!IZ$100+DevSpend!IZ$101+DevSpend!IZ$104+IF(256=MS_Initial_Closing_Start,OpReserve,0)</f>
        <v/>
      </c>
      <c r="JA5" s="218">
        <f>DevSpend!JA$100+DevSpend!JA$101+DevSpend!JA$104+IF(257=MS_Initial_Closing_Start,OpReserve,0)</f>
        <v/>
      </c>
      <c r="JB5" s="218">
        <f>DevSpend!JB$100+DevSpend!JB$101+DevSpend!JB$104+IF(258=MS_Initial_Closing_Start,OpReserve,0)</f>
        <v/>
      </c>
      <c r="JC5" s="218">
        <f>DevSpend!JC$100+DevSpend!JC$101+DevSpend!JC$104+IF(259=MS_Initial_Closing_Start,OpReserve,0)</f>
        <v/>
      </c>
      <c r="JD5" s="218">
        <f>DevSpend!JD$100+DevSpend!JD$101+DevSpend!JD$104+IF(260=MS_Initial_Closing_Start,OpReserve,0)</f>
        <v/>
      </c>
      <c r="JE5" s="218">
        <f>DevSpend!JE$100+DevSpend!JE$101+DevSpend!JE$104+IF(261=MS_Initial_Closing_Start,OpReserve,0)</f>
        <v/>
      </c>
      <c r="JF5" s="218">
        <f>DevSpend!JF$100+DevSpend!JF$101+DevSpend!JF$104+IF(262=MS_Initial_Closing_Start,OpReserve,0)</f>
        <v/>
      </c>
      <c r="JG5" s="218">
        <f>DevSpend!JG$100+DevSpend!JG$101+DevSpend!JG$104+IF(263=MS_Initial_Closing_Start,OpReserve,0)</f>
        <v/>
      </c>
      <c r="JH5" s="218">
        <f>DevSpend!JH$100+DevSpend!JH$101+DevSpend!JH$104+IF(264=MS_Initial_Closing_Start,OpReserve,0)</f>
        <v/>
      </c>
      <c r="JI5" s="218">
        <f>DevSpend!JI$100+DevSpend!JI$101+DevSpend!JI$104+IF(265=MS_Initial_Closing_Start,OpReserve,0)</f>
        <v/>
      </c>
      <c r="JJ5" s="218">
        <f>DevSpend!JJ$100+DevSpend!JJ$101+DevSpend!JJ$104+IF(266=MS_Initial_Closing_Start,OpReserve,0)</f>
        <v/>
      </c>
      <c r="JK5" s="218">
        <f>DevSpend!JK$100+DevSpend!JK$101+DevSpend!JK$104+IF(267=MS_Initial_Closing_Start,OpReserve,0)</f>
        <v/>
      </c>
      <c r="JL5" s="218">
        <f>DevSpend!JL$100+DevSpend!JL$101+DevSpend!JL$104+IF(268=MS_Initial_Closing_Start,OpReserve,0)</f>
        <v/>
      </c>
      <c r="JM5" s="218">
        <f>DevSpend!JM$100+DevSpend!JM$101+DevSpend!JM$104+IF(269=MS_Initial_Closing_Start,OpReserve,0)</f>
        <v/>
      </c>
      <c r="JN5" s="218">
        <f>DevSpend!JN$100+DevSpend!JN$101+DevSpend!JN$104+IF(270=MS_Initial_Closing_Start,OpReserve,0)</f>
        <v/>
      </c>
      <c r="JO5" s="218">
        <f>DevSpend!JO$100+DevSpend!JO$101+DevSpend!JO$104+IF(271=MS_Initial_Closing_Start,OpReserve,0)</f>
        <v/>
      </c>
      <c r="JP5" s="218">
        <f>DevSpend!JP$100+DevSpend!JP$101+DevSpend!JP$104+IF(272=MS_Initial_Closing_Start,OpReserve,0)</f>
        <v/>
      </c>
      <c r="JQ5" s="218">
        <f>DevSpend!JQ$100+DevSpend!JQ$101+DevSpend!JQ$104+IF(273=MS_Initial_Closing_Start,OpReserve,0)</f>
        <v/>
      </c>
      <c r="JR5" s="218">
        <f>DevSpend!JR$100+DevSpend!JR$101+DevSpend!JR$104+IF(274=MS_Initial_Closing_Start,OpReserve,0)</f>
        <v/>
      </c>
      <c r="JS5" s="218">
        <f>DevSpend!JS$100+DevSpend!JS$101+DevSpend!JS$104+IF(275=MS_Initial_Closing_Start,OpReserve,0)</f>
        <v/>
      </c>
      <c r="JT5" s="218">
        <f>DevSpend!JT$100+DevSpend!JT$101+DevSpend!JT$104+IF(276=MS_Initial_Closing_Start,OpReserve,0)</f>
        <v/>
      </c>
      <c r="JU5" s="218">
        <f>DevSpend!JU$100+DevSpend!JU$101+DevSpend!JU$104+IF(277=MS_Initial_Closing_Start,OpReserve,0)</f>
        <v/>
      </c>
      <c r="JV5" s="218">
        <f>DevSpend!JV$100+DevSpend!JV$101+DevSpend!JV$104+IF(278=MS_Initial_Closing_Start,OpReserve,0)</f>
        <v/>
      </c>
      <c r="JW5" s="218">
        <f>DevSpend!JW$100+DevSpend!JW$101+DevSpend!JW$104+IF(279=MS_Initial_Closing_Start,OpReserve,0)</f>
        <v/>
      </c>
      <c r="JX5" s="218">
        <f>DevSpend!JX$100+DevSpend!JX$101+DevSpend!JX$104+IF(280=MS_Initial_Closing_Start,OpReserve,0)</f>
        <v/>
      </c>
      <c r="JY5" s="218">
        <f>DevSpend!JY$100+DevSpend!JY$101+DevSpend!JY$104+IF(281=MS_Initial_Closing_Start,OpReserve,0)</f>
        <v/>
      </c>
      <c r="JZ5" s="218">
        <f>DevSpend!JZ$100+DevSpend!JZ$101+DevSpend!JZ$104+IF(282=MS_Initial_Closing_Start,OpReserve,0)</f>
        <v/>
      </c>
      <c r="KA5" s="218">
        <f>DevSpend!KA$100+DevSpend!KA$101+DevSpend!KA$104+IF(283=MS_Initial_Closing_Start,OpReserve,0)</f>
        <v/>
      </c>
      <c r="KB5" s="218">
        <f>DevSpend!KB$100+DevSpend!KB$101+DevSpend!KB$104+IF(284=MS_Initial_Closing_Start,OpReserve,0)</f>
        <v/>
      </c>
      <c r="KC5" s="218">
        <f>DevSpend!KC$100+DevSpend!KC$101+DevSpend!KC$104+IF(285=MS_Initial_Closing_Start,OpReserve,0)</f>
        <v/>
      </c>
      <c r="KD5" s="218">
        <f>DevSpend!KD$100+DevSpend!KD$101+DevSpend!KD$104+IF(286=MS_Initial_Closing_Start,OpReserve,0)</f>
        <v/>
      </c>
      <c r="KE5" s="218">
        <f>DevSpend!KE$100+DevSpend!KE$101+DevSpend!KE$104+IF(287=MS_Initial_Closing_Start,OpReserve,0)</f>
        <v/>
      </c>
      <c r="KF5" s="218">
        <f>DevSpend!KF$100+DevSpend!KF$101+DevSpend!KF$104+IF(288=MS_Initial_Closing_Start,OpReserve,0)</f>
        <v/>
      </c>
      <c r="KG5" s="218">
        <f>DevSpend!KG$100+DevSpend!KG$101+DevSpend!KG$104+IF(289=MS_Initial_Closing_Start,OpReserve,0)</f>
        <v/>
      </c>
      <c r="KH5" s="218">
        <f>DevSpend!KH$100+DevSpend!KH$101+DevSpend!KH$104+IF(290=MS_Initial_Closing_Start,OpReserve,0)</f>
        <v/>
      </c>
      <c r="KI5" s="218">
        <f>DevSpend!KI$100+DevSpend!KI$101+DevSpend!KI$104+IF(291=MS_Initial_Closing_Start,OpReserve,0)</f>
        <v/>
      </c>
      <c r="KJ5" s="218">
        <f>DevSpend!KJ$100+DevSpend!KJ$101+DevSpend!KJ$104+IF(292=MS_Initial_Closing_Start,OpReserve,0)</f>
        <v/>
      </c>
      <c r="KK5" s="218">
        <f>DevSpend!KK$100+DevSpend!KK$101+DevSpend!KK$104+IF(293=MS_Initial_Closing_Start,OpReserve,0)</f>
        <v/>
      </c>
      <c r="KL5" s="218">
        <f>DevSpend!KL$100+DevSpend!KL$101+DevSpend!KL$104+IF(294=MS_Initial_Closing_Start,OpReserve,0)</f>
        <v/>
      </c>
      <c r="KM5" s="218">
        <f>DevSpend!KM$100+DevSpend!KM$101+DevSpend!KM$104+IF(295=MS_Initial_Closing_Start,OpReserve,0)</f>
        <v/>
      </c>
      <c r="KN5" s="218">
        <f>DevSpend!KN$100+DevSpend!KN$101+DevSpend!KN$104+IF(296=MS_Initial_Closing_Start,OpReserve,0)</f>
        <v/>
      </c>
      <c r="KO5" s="218">
        <f>DevSpend!KO$100+DevSpend!KO$101+DevSpend!KO$104+IF(297=MS_Initial_Closing_Start,OpReserve,0)</f>
        <v/>
      </c>
      <c r="KP5" s="218">
        <f>DevSpend!KP$100+DevSpend!KP$101+DevSpend!KP$104+IF(298=MS_Initial_Closing_Start,OpReserve,0)</f>
        <v/>
      </c>
      <c r="KQ5" s="218">
        <f>DevSpend!KQ$100+DevSpend!KQ$101+DevSpend!KQ$104+IF(299=MS_Initial_Closing_Start,OpReserve,0)</f>
        <v/>
      </c>
      <c r="KR5" s="218">
        <f>DevSpend!KR$100+DevSpend!KR$101+DevSpend!KR$104+IF(300=MS_Initial_Closing_Start,OpReserve,0)</f>
        <v/>
      </c>
      <c r="KS5" s="218">
        <f>DevSpend!KS$100+DevSpend!KS$101+DevSpend!KS$104+IF(301=MS_Initial_Closing_Start,OpReserve,0)</f>
        <v/>
      </c>
      <c r="KT5" s="218">
        <f>DevSpend!KT$100+DevSpend!KT$101+DevSpend!KT$104+IF(302=MS_Initial_Closing_Start,OpReserve,0)</f>
        <v/>
      </c>
      <c r="KU5" s="218">
        <f>DevSpend!KU$100+DevSpend!KU$101+DevSpend!KU$104+IF(303=MS_Initial_Closing_Start,OpReserve,0)</f>
        <v/>
      </c>
      <c r="KV5" s="218">
        <f>DevSpend!KV$100+DevSpend!KV$101+DevSpend!KV$104+IF(304=MS_Initial_Closing_Start,OpReserve,0)</f>
        <v/>
      </c>
      <c r="KW5" s="218">
        <f>DevSpend!KW$100+DevSpend!KW$101+DevSpend!KW$104+IF(305=MS_Initial_Closing_Start,OpReserve,0)</f>
        <v/>
      </c>
      <c r="KX5" s="218">
        <f>DevSpend!KX$100+DevSpend!KX$101+DevSpend!KX$104+IF(306=MS_Initial_Closing_Start,OpReserve,0)</f>
        <v/>
      </c>
      <c r="KY5" s="218">
        <f>DevSpend!KY$100+DevSpend!KY$101+DevSpend!KY$104+IF(307=MS_Initial_Closing_Start,OpReserve,0)</f>
        <v/>
      </c>
      <c r="KZ5" s="218">
        <f>DevSpend!KZ$100+DevSpend!KZ$101+DevSpend!KZ$104+IF(308=MS_Initial_Closing_Start,OpReserve,0)</f>
        <v/>
      </c>
      <c r="LA5" s="218">
        <f>DevSpend!LA$100+DevSpend!LA$101+DevSpend!LA$104+IF(309=MS_Initial_Closing_Start,OpReserve,0)</f>
        <v/>
      </c>
      <c r="LB5" s="218">
        <f>DevSpend!LB$100+DevSpend!LB$101+DevSpend!LB$104+IF(310=MS_Initial_Closing_Start,OpReserve,0)</f>
        <v/>
      </c>
      <c r="LC5" s="218">
        <f>DevSpend!LC$100+DevSpend!LC$101+DevSpend!LC$104+IF(311=MS_Initial_Closing_Start,OpReserve,0)</f>
        <v/>
      </c>
      <c r="LD5" s="218">
        <f>DevSpend!LD$100+DevSpend!LD$101+DevSpend!LD$104+IF(312=MS_Initial_Closing_Start,OpReserve,0)</f>
        <v/>
      </c>
      <c r="LE5" s="218">
        <f>DevSpend!LE$100+DevSpend!LE$101+DevSpend!LE$104+IF(313=MS_Initial_Closing_Start,OpReserve,0)</f>
        <v/>
      </c>
      <c r="LF5" s="218">
        <f>DevSpend!LF$100+DevSpend!LF$101+DevSpend!LF$104+IF(314=MS_Initial_Closing_Start,OpReserve,0)</f>
        <v/>
      </c>
      <c r="LG5" s="218">
        <f>DevSpend!LG$100+DevSpend!LG$101+DevSpend!LG$104+IF(315=MS_Initial_Closing_Start,OpReserve,0)</f>
        <v/>
      </c>
      <c r="LH5" s="218">
        <f>DevSpend!LH$100+DevSpend!LH$101+DevSpend!LH$104+IF(316=MS_Initial_Closing_Start,OpReserve,0)</f>
        <v/>
      </c>
      <c r="LI5" s="218">
        <f>DevSpend!LI$100+DevSpend!LI$101+DevSpend!LI$104+IF(317=MS_Initial_Closing_Start,OpReserve,0)</f>
        <v/>
      </c>
      <c r="LJ5" s="218">
        <f>DevSpend!LJ$100+DevSpend!LJ$101+DevSpend!LJ$104+IF(318=MS_Initial_Closing_Start,OpReserve,0)</f>
        <v/>
      </c>
      <c r="LK5" s="218">
        <f>DevSpend!LK$100+DevSpend!LK$101+DevSpend!LK$104+IF(319=MS_Initial_Closing_Start,OpReserve,0)</f>
        <v/>
      </c>
      <c r="LL5" s="218">
        <f>DevSpend!LL$100+DevSpend!LL$101+DevSpend!LL$104+IF(320=MS_Initial_Closing_Start,OpReserve,0)</f>
        <v/>
      </c>
      <c r="LM5" s="218">
        <f>DevSpend!LM$100+DevSpend!LM$101+DevSpend!LM$104+IF(321=MS_Initial_Closing_Start,OpReserve,0)</f>
        <v/>
      </c>
      <c r="LN5" s="218">
        <f>DevSpend!LN$100+DevSpend!LN$101+DevSpend!LN$104+IF(322=MS_Initial_Closing_Start,OpReserve,0)</f>
        <v/>
      </c>
      <c r="LO5" s="218">
        <f>DevSpend!LO$100+DevSpend!LO$101+DevSpend!LO$104+IF(323=MS_Initial_Closing_Start,OpReserve,0)</f>
        <v/>
      </c>
      <c r="LP5" s="218">
        <f>DevSpend!LP$100+DevSpend!LP$101+DevSpend!LP$104+IF(324=MS_Initial_Closing_Start,OpReserve,0)</f>
        <v/>
      </c>
      <c r="LQ5" s="218">
        <f>DevSpend!LQ$100+DevSpend!LQ$101+DevSpend!LQ$104+IF(325=MS_Initial_Closing_Start,OpReserve,0)</f>
        <v/>
      </c>
      <c r="LR5" s="218">
        <f>DevSpend!LR$100+DevSpend!LR$101+DevSpend!LR$104+IF(326=MS_Initial_Closing_Start,OpReserve,0)</f>
        <v/>
      </c>
      <c r="LS5" s="218">
        <f>DevSpend!LS$100+DevSpend!LS$101+DevSpend!LS$104+IF(327=MS_Initial_Closing_Start,OpReserve,0)</f>
        <v/>
      </c>
      <c r="LT5" s="218">
        <f>DevSpend!LT$100+DevSpend!LT$101+DevSpend!LT$104+IF(328=MS_Initial_Closing_Start,OpReserve,0)</f>
        <v/>
      </c>
      <c r="LU5" s="218">
        <f>DevSpend!LU$100+DevSpend!LU$101+DevSpend!LU$104+IF(329=MS_Initial_Closing_Start,OpReserve,0)</f>
        <v/>
      </c>
      <c r="LV5" s="218">
        <f>DevSpend!LV$100+DevSpend!LV$101+DevSpend!LV$104+IF(330=MS_Initial_Closing_Start,OpReserve,0)</f>
        <v/>
      </c>
      <c r="LW5" s="218">
        <f>DevSpend!LW$100+DevSpend!LW$101+DevSpend!LW$104+IF(331=MS_Initial_Closing_Start,OpReserve,0)</f>
        <v/>
      </c>
      <c r="LX5" s="218">
        <f>DevSpend!LX$100+DevSpend!LX$101+DevSpend!LX$104+IF(332=MS_Initial_Closing_Start,OpReserve,0)</f>
        <v/>
      </c>
      <c r="LY5" s="218">
        <f>DevSpend!LY$100+DevSpend!LY$101+DevSpend!LY$104+IF(333=MS_Initial_Closing_Start,OpReserve,0)</f>
        <v/>
      </c>
      <c r="LZ5" s="218">
        <f>DevSpend!LZ$100+DevSpend!LZ$101+DevSpend!LZ$104+IF(334=MS_Initial_Closing_Start,OpReserve,0)</f>
        <v/>
      </c>
      <c r="MA5" s="218">
        <f>DevSpend!MA$100+DevSpend!MA$101+DevSpend!MA$104+IF(335=MS_Initial_Closing_Start,OpReserve,0)</f>
        <v/>
      </c>
      <c r="MB5" s="218">
        <f>DevSpend!MB$100+DevSpend!MB$101+DevSpend!MB$104+IF(336=MS_Initial_Closing_Start,OpReserve,0)</f>
        <v/>
      </c>
      <c r="MC5" s="218">
        <f>DevSpend!MC$100+DevSpend!MC$101+DevSpend!MC$104+IF(337=MS_Initial_Closing_Start,OpReserve,0)</f>
        <v/>
      </c>
      <c r="MD5" s="218">
        <f>DevSpend!MD$100+DevSpend!MD$101+DevSpend!MD$104+IF(338=MS_Initial_Closing_Start,OpReserve,0)</f>
        <v/>
      </c>
      <c r="ME5" s="218">
        <f>DevSpend!ME$100+DevSpend!ME$101+DevSpend!ME$104+IF(339=MS_Initial_Closing_Start,OpReserve,0)</f>
        <v/>
      </c>
      <c r="MF5" s="218">
        <f>DevSpend!MF$100+DevSpend!MF$101+DevSpend!MF$104+IF(340=MS_Initial_Closing_Start,OpReserve,0)</f>
        <v/>
      </c>
      <c r="MG5" s="218">
        <f>DevSpend!MG$100+DevSpend!MG$101+DevSpend!MG$104+IF(341=MS_Initial_Closing_Start,OpReserve,0)</f>
        <v/>
      </c>
      <c r="MH5" s="218">
        <f>DevSpend!MH$100+DevSpend!MH$101+DevSpend!MH$104+IF(342=MS_Initial_Closing_Start,OpReserve,0)</f>
        <v/>
      </c>
      <c r="MI5" s="218">
        <f>DevSpend!MI$100+DevSpend!MI$101+DevSpend!MI$104+IF(343=MS_Initial_Closing_Start,OpReserve,0)</f>
        <v/>
      </c>
      <c r="MJ5" s="218">
        <f>DevSpend!MJ$100+DevSpend!MJ$101+DevSpend!MJ$104+IF(344=MS_Initial_Closing_Start,OpReserve,0)</f>
        <v/>
      </c>
      <c r="MK5" s="218">
        <f>DevSpend!MK$100+DevSpend!MK$101+DevSpend!MK$104+IF(345=MS_Initial_Closing_Start,OpReserve,0)</f>
        <v/>
      </c>
      <c r="ML5" s="218">
        <f>DevSpend!ML$100+DevSpend!ML$101+DevSpend!ML$104+IF(346=MS_Initial_Closing_Start,OpReserve,0)</f>
        <v/>
      </c>
      <c r="MM5" s="218">
        <f>DevSpend!MM$100+DevSpend!MM$101+DevSpend!MM$104+IF(347=MS_Initial_Closing_Start,OpReserve,0)</f>
        <v/>
      </c>
      <c r="MN5" s="218">
        <f>DevSpend!MN$100+DevSpend!MN$101+DevSpend!MN$104+IF(348=MS_Initial_Closing_Start,OpReserve,0)</f>
        <v/>
      </c>
      <c r="MO5" s="218">
        <f>DevSpend!MO$100+DevSpend!MO$101+DevSpend!MO$104+IF(349=MS_Initial_Closing_Start,OpReserve,0)</f>
        <v/>
      </c>
      <c r="MP5" s="218">
        <f>DevSpend!MP$100+DevSpend!MP$101+DevSpend!MP$104+IF(350=MS_Initial_Closing_Start,OpReserve,0)</f>
        <v/>
      </c>
      <c r="MQ5" s="218">
        <f>DevSpend!MQ$100+DevSpend!MQ$101+DevSpend!MQ$104+IF(351=MS_Initial_Closing_Start,OpReserve,0)</f>
        <v/>
      </c>
      <c r="MR5" s="218">
        <f>DevSpend!MR$100+DevSpend!MR$101+DevSpend!MR$104+IF(352=MS_Initial_Closing_Start,OpReserve,0)</f>
        <v/>
      </c>
      <c r="MS5" s="218">
        <f>DevSpend!MS$100+DevSpend!MS$101+DevSpend!MS$104+IF(353=MS_Initial_Closing_Start,OpReserve,0)</f>
        <v/>
      </c>
      <c r="MT5" s="218">
        <f>DevSpend!MT$100+DevSpend!MT$101+DevSpend!MT$104+IF(354=MS_Initial_Closing_Start,OpReserve,0)</f>
        <v/>
      </c>
      <c r="MU5" s="218">
        <f>DevSpend!MU$100+DevSpend!MU$101+DevSpend!MU$104+IF(355=MS_Initial_Closing_Start,OpReserve,0)</f>
        <v/>
      </c>
      <c r="MV5" s="218">
        <f>DevSpend!MV$100+DevSpend!MV$101+DevSpend!MV$104+IF(356=MS_Initial_Closing_Start,OpReserve,0)</f>
        <v/>
      </c>
      <c r="MW5" s="218">
        <f>DevSpend!MW$100+DevSpend!MW$101+DevSpend!MW$104+IF(357=MS_Initial_Closing_Start,OpReserve,0)</f>
        <v/>
      </c>
      <c r="MX5" s="218">
        <f>DevSpend!MX$100+DevSpend!MX$101+DevSpend!MX$104+IF(358=MS_Initial_Closing_Start,OpReserve,0)</f>
        <v/>
      </c>
      <c r="MY5" s="218">
        <f>DevSpend!MY$100+DevSpend!MY$101+DevSpend!MY$104+IF(359=MS_Initial_Closing_Start,OpReserve,0)</f>
        <v/>
      </c>
      <c r="MZ5" s="218">
        <f>DevSpend!MZ$100+DevSpend!MZ$101+DevSpend!MZ$104+IF(360=MS_Initial_Closing_Start,OpReserve,0)</f>
        <v/>
      </c>
      <c r="NA5" s="218">
        <f>DevSpend!NA$100+DevSpend!NA$101+DevSpend!NA$104+IF(361=MS_Initial_Closing_Start,OpReserve,0)</f>
        <v/>
      </c>
      <c r="NB5" s="218">
        <f>DevSpend!NB$100+DevSpend!NB$101+DevSpend!NB$104+IF(362=MS_Initial_Closing_Start,OpReserve,0)</f>
        <v/>
      </c>
      <c r="NC5" s="218">
        <f>DevSpend!NC$100+DevSpend!NC$101+DevSpend!NC$104+IF(363=MS_Initial_Closing_Start,OpReserve,0)</f>
        <v/>
      </c>
      <c r="ND5" s="218">
        <f>DevSpend!ND$100+DevSpend!ND$101+DevSpend!ND$104+IF(364=MS_Initial_Closing_Start,OpReserve,0)</f>
        <v/>
      </c>
      <c r="NE5" s="218">
        <f>DevSpend!NE$100+DevSpend!NE$101+DevSpend!NE$104+IF(365=MS_Initial_Closing_Start,OpReserve,0)</f>
        <v/>
      </c>
      <c r="NF5" s="218">
        <f>DevSpend!NF$100+DevSpend!NF$101+DevSpend!NF$104+IF(366=MS_Initial_Closing_Start,OpReserve,0)</f>
        <v/>
      </c>
      <c r="NG5" s="218">
        <f>DevSpend!NG$100+DevSpend!NG$101+DevSpend!NG$104+IF(367=MS_Initial_Closing_Start,OpReserve,0)</f>
        <v/>
      </c>
      <c r="NH5" s="218">
        <f>DevSpend!NH$100+DevSpend!NH$101+DevSpend!NH$104+IF(368=MS_Initial_Closing_Start,OpReserve,0)</f>
        <v/>
      </c>
      <c r="NI5" s="218">
        <f>DevSpend!NI$100+DevSpend!NI$101+DevSpend!NI$104+IF(369=MS_Initial_Closing_Start,OpReserve,0)</f>
        <v/>
      </c>
      <c r="NJ5" s="218">
        <f>DevSpend!NJ$100+DevSpend!NJ$101+DevSpend!NJ$104+IF(370=MS_Initial_Closing_Start,OpReserve,0)</f>
        <v/>
      </c>
      <c r="NK5" s="218">
        <f>DevSpend!NK$100+DevSpend!NK$101+DevSpend!NK$104+IF(371=MS_Initial_Closing_Start,OpReserve,0)</f>
        <v/>
      </c>
      <c r="NL5" s="225">
        <f>DevSpend!NL$100+DevSpend!NL$101+DevSpend!NL$104+IF(372=MS_Initial_Closing_Start,OpReserve,0)</f>
        <v/>
      </c>
    </row>
    <row r="6">
      <c r="B6" s="50" t="inlineStr">
        <is>
          <t>Levered Cash Flow (to equity)</t>
        </is>
      </c>
      <c r="D6" s="266">
        <f>SUM(E6:NL6)</f>
        <v/>
      </c>
      <c r="E6" s="267">
        <f>-ConLoan!E$27+IF(Timeline!E$41=1,Operating!E$42-PermLoan!E$29,0)+IF(1=StabMonth,OpReserve,0)+IF(1=RefiMonth,RefiCashOut,0)+IF(1=DispoMonth,NetSale,0)</f>
        <v/>
      </c>
      <c r="F6" s="267">
        <f>-ConLoan!F$27+IF(Timeline!F$41=1,Operating!F$42-PermLoan!F$29,0)+IF(2=StabMonth,OpReserve,0)+IF(2=RefiMonth,RefiCashOut,0)+IF(2=DispoMonth,NetSale,0)</f>
        <v/>
      </c>
      <c r="G6" s="267">
        <f>-ConLoan!G$27+IF(Timeline!G$41=1,Operating!G$42-PermLoan!G$29,0)+IF(3=StabMonth,OpReserve,0)+IF(3=RefiMonth,RefiCashOut,0)+IF(3=DispoMonth,NetSale,0)</f>
        <v/>
      </c>
      <c r="H6" s="267">
        <f>-ConLoan!H$27+IF(Timeline!H$41=1,Operating!H$42-PermLoan!H$29,0)+IF(4=StabMonth,OpReserve,0)+IF(4=RefiMonth,RefiCashOut,0)+IF(4=DispoMonth,NetSale,0)</f>
        <v/>
      </c>
      <c r="I6" s="267">
        <f>-ConLoan!I$27+IF(Timeline!I$41=1,Operating!I$42-PermLoan!I$29,0)+IF(5=StabMonth,OpReserve,0)+IF(5=RefiMonth,RefiCashOut,0)+IF(5=DispoMonth,NetSale,0)</f>
        <v/>
      </c>
      <c r="J6" s="267">
        <f>-ConLoan!J$27+IF(Timeline!J$41=1,Operating!J$42-PermLoan!J$29,0)+IF(6=StabMonth,OpReserve,0)+IF(6=RefiMonth,RefiCashOut,0)+IF(6=DispoMonth,NetSale,0)</f>
        <v/>
      </c>
      <c r="K6" s="267">
        <f>-ConLoan!K$27+IF(Timeline!K$41=1,Operating!K$42-PermLoan!K$29,0)+IF(7=StabMonth,OpReserve,0)+IF(7=RefiMonth,RefiCashOut,0)+IF(7=DispoMonth,NetSale,0)</f>
        <v/>
      </c>
      <c r="L6" s="267">
        <f>-ConLoan!L$27+IF(Timeline!L$41=1,Operating!L$42-PermLoan!L$29,0)+IF(8=StabMonth,OpReserve,0)+IF(8=RefiMonth,RefiCashOut,0)+IF(8=DispoMonth,NetSale,0)</f>
        <v/>
      </c>
      <c r="M6" s="267">
        <f>-ConLoan!M$27+IF(Timeline!M$41=1,Operating!M$42-PermLoan!M$29,0)+IF(9=StabMonth,OpReserve,0)+IF(9=RefiMonth,RefiCashOut,0)+IF(9=DispoMonth,NetSale,0)</f>
        <v/>
      </c>
      <c r="N6" s="267">
        <f>-ConLoan!N$27+IF(Timeline!N$41=1,Operating!N$42-PermLoan!N$29,0)+IF(10=StabMonth,OpReserve,0)+IF(10=RefiMonth,RefiCashOut,0)+IF(10=DispoMonth,NetSale,0)</f>
        <v/>
      </c>
      <c r="O6" s="267">
        <f>-ConLoan!O$27+IF(Timeline!O$41=1,Operating!O$42-PermLoan!O$29,0)+IF(11=StabMonth,OpReserve,0)+IF(11=RefiMonth,RefiCashOut,0)+IF(11=DispoMonth,NetSale,0)</f>
        <v/>
      </c>
      <c r="P6" s="267">
        <f>-ConLoan!P$27+IF(Timeline!P$41=1,Operating!P$42-PermLoan!P$29,0)+IF(12=StabMonth,OpReserve,0)+IF(12=RefiMonth,RefiCashOut,0)+IF(12=DispoMonth,NetSale,0)</f>
        <v/>
      </c>
      <c r="Q6" s="267">
        <f>-ConLoan!Q$27+IF(Timeline!Q$41=1,Operating!Q$42-PermLoan!Q$29,0)+IF(13=StabMonth,OpReserve,0)+IF(13=RefiMonth,RefiCashOut,0)+IF(13=DispoMonth,NetSale,0)</f>
        <v/>
      </c>
      <c r="R6" s="267">
        <f>-ConLoan!R$27+IF(Timeline!R$41=1,Operating!R$42-PermLoan!R$29,0)+IF(14=StabMonth,OpReserve,0)+IF(14=RefiMonth,RefiCashOut,0)+IF(14=DispoMonth,NetSale,0)</f>
        <v/>
      </c>
      <c r="S6" s="267">
        <f>-ConLoan!S$27+IF(Timeline!S$41=1,Operating!S$42-PermLoan!S$29,0)+IF(15=StabMonth,OpReserve,0)+IF(15=RefiMonth,RefiCashOut,0)+IF(15=DispoMonth,NetSale,0)</f>
        <v/>
      </c>
      <c r="T6" s="267">
        <f>-ConLoan!T$27+IF(Timeline!T$41=1,Operating!T$42-PermLoan!T$29,0)+IF(16=StabMonth,OpReserve,0)+IF(16=RefiMonth,RefiCashOut,0)+IF(16=DispoMonth,NetSale,0)</f>
        <v/>
      </c>
      <c r="U6" s="267">
        <f>-ConLoan!U$27+IF(Timeline!U$41=1,Operating!U$42-PermLoan!U$29,0)+IF(17=StabMonth,OpReserve,0)+IF(17=RefiMonth,RefiCashOut,0)+IF(17=DispoMonth,NetSale,0)</f>
        <v/>
      </c>
      <c r="V6" s="267">
        <f>-ConLoan!V$27+IF(Timeline!V$41=1,Operating!V$42-PermLoan!V$29,0)+IF(18=StabMonth,OpReserve,0)+IF(18=RefiMonth,RefiCashOut,0)+IF(18=DispoMonth,NetSale,0)</f>
        <v/>
      </c>
      <c r="W6" s="267">
        <f>-ConLoan!W$27+IF(Timeline!W$41=1,Operating!W$42-PermLoan!W$29,0)+IF(19=StabMonth,OpReserve,0)+IF(19=RefiMonth,RefiCashOut,0)+IF(19=DispoMonth,NetSale,0)</f>
        <v/>
      </c>
      <c r="X6" s="267">
        <f>-ConLoan!X$27+IF(Timeline!X$41=1,Operating!X$42-PermLoan!X$29,0)+IF(20=StabMonth,OpReserve,0)+IF(20=RefiMonth,RefiCashOut,0)+IF(20=DispoMonth,NetSale,0)</f>
        <v/>
      </c>
      <c r="Y6" s="267">
        <f>-ConLoan!Y$27+IF(Timeline!Y$41=1,Operating!Y$42-PermLoan!Y$29,0)+IF(21=StabMonth,OpReserve,0)+IF(21=RefiMonth,RefiCashOut,0)+IF(21=DispoMonth,NetSale,0)</f>
        <v/>
      </c>
      <c r="Z6" s="267">
        <f>-ConLoan!Z$27+IF(Timeline!Z$41=1,Operating!Z$42-PermLoan!Z$29,0)+IF(22=StabMonth,OpReserve,0)+IF(22=RefiMonth,RefiCashOut,0)+IF(22=DispoMonth,NetSale,0)</f>
        <v/>
      </c>
      <c r="AA6" s="267">
        <f>-ConLoan!AA$27+IF(Timeline!AA$41=1,Operating!AA$42-PermLoan!AA$29,0)+IF(23=StabMonth,OpReserve,0)+IF(23=RefiMonth,RefiCashOut,0)+IF(23=DispoMonth,NetSale,0)</f>
        <v/>
      </c>
      <c r="AB6" s="267">
        <f>-ConLoan!AB$27+IF(Timeline!AB$41=1,Operating!AB$42-PermLoan!AB$29,0)+IF(24=StabMonth,OpReserve,0)+IF(24=RefiMonth,RefiCashOut,0)+IF(24=DispoMonth,NetSale,0)</f>
        <v/>
      </c>
      <c r="AC6" s="267">
        <f>-ConLoan!AC$27+IF(Timeline!AC$41=1,Operating!AC$42-PermLoan!AC$29,0)+IF(25=StabMonth,OpReserve,0)+IF(25=RefiMonth,RefiCashOut,0)+IF(25=DispoMonth,NetSale,0)</f>
        <v/>
      </c>
      <c r="AD6" s="267">
        <f>-ConLoan!AD$27+IF(Timeline!AD$41=1,Operating!AD$42-PermLoan!AD$29,0)+IF(26=StabMonth,OpReserve,0)+IF(26=RefiMonth,RefiCashOut,0)+IF(26=DispoMonth,NetSale,0)</f>
        <v/>
      </c>
      <c r="AE6" s="267">
        <f>-ConLoan!AE$27+IF(Timeline!AE$41=1,Operating!AE$42-PermLoan!AE$29,0)+IF(27=StabMonth,OpReserve,0)+IF(27=RefiMonth,RefiCashOut,0)+IF(27=DispoMonth,NetSale,0)</f>
        <v/>
      </c>
      <c r="AF6" s="267">
        <f>-ConLoan!AF$27+IF(Timeline!AF$41=1,Operating!AF$42-PermLoan!AF$29,0)+IF(28=StabMonth,OpReserve,0)+IF(28=RefiMonth,RefiCashOut,0)+IF(28=DispoMonth,NetSale,0)</f>
        <v/>
      </c>
      <c r="AG6" s="267">
        <f>-ConLoan!AG$27+IF(Timeline!AG$41=1,Operating!AG$42-PermLoan!AG$29,0)+IF(29=StabMonth,OpReserve,0)+IF(29=RefiMonth,RefiCashOut,0)+IF(29=DispoMonth,NetSale,0)</f>
        <v/>
      </c>
      <c r="AH6" s="267">
        <f>-ConLoan!AH$27+IF(Timeline!AH$41=1,Operating!AH$42-PermLoan!AH$29,0)+IF(30=StabMonth,OpReserve,0)+IF(30=RefiMonth,RefiCashOut,0)+IF(30=DispoMonth,NetSale,0)</f>
        <v/>
      </c>
      <c r="AI6" s="267">
        <f>-ConLoan!AI$27+IF(Timeline!AI$41=1,Operating!AI$42-PermLoan!AI$29,0)+IF(31=StabMonth,OpReserve,0)+IF(31=RefiMonth,RefiCashOut,0)+IF(31=DispoMonth,NetSale,0)</f>
        <v/>
      </c>
      <c r="AJ6" s="267">
        <f>-ConLoan!AJ$27+IF(Timeline!AJ$41=1,Operating!AJ$42-PermLoan!AJ$29,0)+IF(32=StabMonth,OpReserve,0)+IF(32=RefiMonth,RefiCashOut,0)+IF(32=DispoMonth,NetSale,0)</f>
        <v/>
      </c>
      <c r="AK6" s="267">
        <f>-ConLoan!AK$27+IF(Timeline!AK$41=1,Operating!AK$42-PermLoan!AK$29,0)+IF(33=StabMonth,OpReserve,0)+IF(33=RefiMonth,RefiCashOut,0)+IF(33=DispoMonth,NetSale,0)</f>
        <v/>
      </c>
      <c r="AL6" s="267">
        <f>-ConLoan!AL$27+IF(Timeline!AL$41=1,Operating!AL$42-PermLoan!AL$29,0)+IF(34=StabMonth,OpReserve,0)+IF(34=RefiMonth,RefiCashOut,0)+IF(34=DispoMonth,NetSale,0)</f>
        <v/>
      </c>
      <c r="AM6" s="267">
        <f>-ConLoan!AM$27+IF(Timeline!AM$41=1,Operating!AM$42-PermLoan!AM$29,0)+IF(35=StabMonth,OpReserve,0)+IF(35=RefiMonth,RefiCashOut,0)+IF(35=DispoMonth,NetSale,0)</f>
        <v/>
      </c>
      <c r="AN6" s="267">
        <f>-ConLoan!AN$27+IF(Timeline!AN$41=1,Operating!AN$42-PermLoan!AN$29,0)+IF(36=StabMonth,OpReserve,0)+IF(36=RefiMonth,RefiCashOut,0)+IF(36=DispoMonth,NetSale,0)</f>
        <v/>
      </c>
      <c r="AO6" s="267">
        <f>-ConLoan!AO$27+IF(Timeline!AO$41=1,Operating!AO$42-PermLoan!AO$29,0)+IF(37=StabMonth,OpReserve,0)+IF(37=RefiMonth,RefiCashOut,0)+IF(37=DispoMonth,NetSale,0)</f>
        <v/>
      </c>
      <c r="AP6" s="267">
        <f>-ConLoan!AP$27+IF(Timeline!AP$41=1,Operating!AP$42-PermLoan!AP$29,0)+IF(38=StabMonth,OpReserve,0)+IF(38=RefiMonth,RefiCashOut,0)+IF(38=DispoMonth,NetSale,0)</f>
        <v/>
      </c>
      <c r="AQ6" s="267">
        <f>-ConLoan!AQ$27+IF(Timeline!AQ$41=1,Operating!AQ$42-PermLoan!AQ$29,0)+IF(39=StabMonth,OpReserve,0)+IF(39=RefiMonth,RefiCashOut,0)+IF(39=DispoMonth,NetSale,0)</f>
        <v/>
      </c>
      <c r="AR6" s="267">
        <f>-ConLoan!AR$27+IF(Timeline!AR$41=1,Operating!AR$42-PermLoan!AR$29,0)+IF(40=StabMonth,OpReserve,0)+IF(40=RefiMonth,RefiCashOut,0)+IF(40=DispoMonth,NetSale,0)</f>
        <v/>
      </c>
      <c r="AS6" s="267">
        <f>-ConLoan!AS$27+IF(Timeline!AS$41=1,Operating!AS$42-PermLoan!AS$29,0)+IF(41=StabMonth,OpReserve,0)+IF(41=RefiMonth,RefiCashOut,0)+IF(41=DispoMonth,NetSale,0)</f>
        <v/>
      </c>
      <c r="AT6" s="267">
        <f>-ConLoan!AT$27+IF(Timeline!AT$41=1,Operating!AT$42-PermLoan!AT$29,0)+IF(42=StabMonth,OpReserve,0)+IF(42=RefiMonth,RefiCashOut,0)+IF(42=DispoMonth,NetSale,0)</f>
        <v/>
      </c>
      <c r="AU6" s="267">
        <f>-ConLoan!AU$27+IF(Timeline!AU$41=1,Operating!AU$42-PermLoan!AU$29,0)+IF(43=StabMonth,OpReserve,0)+IF(43=RefiMonth,RefiCashOut,0)+IF(43=DispoMonth,NetSale,0)</f>
        <v/>
      </c>
      <c r="AV6" s="267">
        <f>-ConLoan!AV$27+IF(Timeline!AV$41=1,Operating!AV$42-PermLoan!AV$29,0)+IF(44=StabMonth,OpReserve,0)+IF(44=RefiMonth,RefiCashOut,0)+IF(44=DispoMonth,NetSale,0)</f>
        <v/>
      </c>
      <c r="AW6" s="267">
        <f>-ConLoan!AW$27+IF(Timeline!AW$41=1,Operating!AW$42-PermLoan!AW$29,0)+IF(45=StabMonth,OpReserve,0)+IF(45=RefiMonth,RefiCashOut,0)+IF(45=DispoMonth,NetSale,0)</f>
        <v/>
      </c>
      <c r="AX6" s="267">
        <f>-ConLoan!AX$27+IF(Timeline!AX$41=1,Operating!AX$42-PermLoan!AX$29,0)+IF(46=StabMonth,OpReserve,0)+IF(46=RefiMonth,RefiCashOut,0)+IF(46=DispoMonth,NetSale,0)</f>
        <v/>
      </c>
      <c r="AY6" s="267">
        <f>-ConLoan!AY$27+IF(Timeline!AY$41=1,Operating!AY$42-PermLoan!AY$29,0)+IF(47=StabMonth,OpReserve,0)+IF(47=RefiMonth,RefiCashOut,0)+IF(47=DispoMonth,NetSale,0)</f>
        <v/>
      </c>
      <c r="AZ6" s="267">
        <f>-ConLoan!AZ$27+IF(Timeline!AZ$41=1,Operating!AZ$42-PermLoan!AZ$29,0)+IF(48=StabMonth,OpReserve,0)+IF(48=RefiMonth,RefiCashOut,0)+IF(48=DispoMonth,NetSale,0)</f>
        <v/>
      </c>
      <c r="BA6" s="267">
        <f>-ConLoan!BA$27+IF(Timeline!BA$41=1,Operating!BA$42-PermLoan!BA$29,0)+IF(49=StabMonth,OpReserve,0)+IF(49=RefiMonth,RefiCashOut,0)+IF(49=DispoMonth,NetSale,0)</f>
        <v/>
      </c>
      <c r="BB6" s="267">
        <f>-ConLoan!BB$27+IF(Timeline!BB$41=1,Operating!BB$42-PermLoan!BB$29,0)+IF(50=StabMonth,OpReserve,0)+IF(50=RefiMonth,RefiCashOut,0)+IF(50=DispoMonth,NetSale,0)</f>
        <v/>
      </c>
      <c r="BC6" s="267">
        <f>-ConLoan!BC$27+IF(Timeline!BC$41=1,Operating!BC$42-PermLoan!BC$29,0)+IF(51=StabMonth,OpReserve,0)+IF(51=RefiMonth,RefiCashOut,0)+IF(51=DispoMonth,NetSale,0)</f>
        <v/>
      </c>
      <c r="BD6" s="267">
        <f>-ConLoan!BD$27+IF(Timeline!BD$41=1,Operating!BD$42-PermLoan!BD$29,0)+IF(52=StabMonth,OpReserve,0)+IF(52=RefiMonth,RefiCashOut,0)+IF(52=DispoMonth,NetSale,0)</f>
        <v/>
      </c>
      <c r="BE6" s="267">
        <f>-ConLoan!BE$27+IF(Timeline!BE$41=1,Operating!BE$42-PermLoan!BE$29,0)+IF(53=StabMonth,OpReserve,0)+IF(53=RefiMonth,RefiCashOut,0)+IF(53=DispoMonth,NetSale,0)</f>
        <v/>
      </c>
      <c r="BF6" s="267">
        <f>-ConLoan!BF$27+IF(Timeline!BF$41=1,Operating!BF$42-PermLoan!BF$29,0)+IF(54=StabMonth,OpReserve,0)+IF(54=RefiMonth,RefiCashOut,0)+IF(54=DispoMonth,NetSale,0)</f>
        <v/>
      </c>
      <c r="BG6" s="267">
        <f>-ConLoan!BG$27+IF(Timeline!BG$41=1,Operating!BG$42-PermLoan!BG$29,0)+IF(55=StabMonth,OpReserve,0)+IF(55=RefiMonth,RefiCashOut,0)+IF(55=DispoMonth,NetSale,0)</f>
        <v/>
      </c>
      <c r="BH6" s="267">
        <f>-ConLoan!BH$27+IF(Timeline!BH$41=1,Operating!BH$42-PermLoan!BH$29,0)+IF(56=StabMonth,OpReserve,0)+IF(56=RefiMonth,RefiCashOut,0)+IF(56=DispoMonth,NetSale,0)</f>
        <v/>
      </c>
      <c r="BI6" s="267">
        <f>-ConLoan!BI$27+IF(Timeline!BI$41=1,Operating!BI$42-PermLoan!BI$29,0)+IF(57=StabMonth,OpReserve,0)+IF(57=RefiMonth,RefiCashOut,0)+IF(57=DispoMonth,NetSale,0)</f>
        <v/>
      </c>
      <c r="BJ6" s="267">
        <f>-ConLoan!BJ$27+IF(Timeline!BJ$41=1,Operating!BJ$42-PermLoan!BJ$29,0)+IF(58=StabMonth,OpReserve,0)+IF(58=RefiMonth,RefiCashOut,0)+IF(58=DispoMonth,NetSale,0)</f>
        <v/>
      </c>
      <c r="BK6" s="267">
        <f>-ConLoan!BK$27+IF(Timeline!BK$41=1,Operating!BK$42-PermLoan!BK$29,0)+IF(59=StabMonth,OpReserve,0)+IF(59=RefiMonth,RefiCashOut,0)+IF(59=DispoMonth,NetSale,0)</f>
        <v/>
      </c>
      <c r="BL6" s="267">
        <f>-ConLoan!BL$27+IF(Timeline!BL$41=1,Operating!BL$42-PermLoan!BL$29,0)+IF(60=StabMonth,OpReserve,0)+IF(60=RefiMonth,RefiCashOut,0)+IF(60=DispoMonth,NetSale,0)</f>
        <v/>
      </c>
      <c r="BM6" s="267">
        <f>-ConLoan!BM$27+IF(Timeline!BM$41=1,Operating!BM$42-PermLoan!BM$29,0)+IF(61=StabMonth,OpReserve,0)+IF(61=RefiMonth,RefiCashOut,0)+IF(61=DispoMonth,NetSale,0)</f>
        <v/>
      </c>
      <c r="BN6" s="267">
        <f>-ConLoan!BN$27+IF(Timeline!BN$41=1,Operating!BN$42-PermLoan!BN$29,0)+IF(62=StabMonth,OpReserve,0)+IF(62=RefiMonth,RefiCashOut,0)+IF(62=DispoMonth,NetSale,0)</f>
        <v/>
      </c>
      <c r="BO6" s="267">
        <f>-ConLoan!BO$27+IF(Timeline!BO$41=1,Operating!BO$42-PermLoan!BO$29,0)+IF(63=StabMonth,OpReserve,0)+IF(63=RefiMonth,RefiCashOut,0)+IF(63=DispoMonth,NetSale,0)</f>
        <v/>
      </c>
      <c r="BP6" s="267">
        <f>-ConLoan!BP$27+IF(Timeline!BP$41=1,Operating!BP$42-PermLoan!BP$29,0)+IF(64=StabMonth,OpReserve,0)+IF(64=RefiMonth,RefiCashOut,0)+IF(64=DispoMonth,NetSale,0)</f>
        <v/>
      </c>
      <c r="BQ6" s="267">
        <f>-ConLoan!BQ$27+IF(Timeline!BQ$41=1,Operating!BQ$42-PermLoan!BQ$29,0)+IF(65=StabMonth,OpReserve,0)+IF(65=RefiMonth,RefiCashOut,0)+IF(65=DispoMonth,NetSale,0)</f>
        <v/>
      </c>
      <c r="BR6" s="267">
        <f>-ConLoan!BR$27+IF(Timeline!BR$41=1,Operating!BR$42-PermLoan!BR$29,0)+IF(66=StabMonth,OpReserve,0)+IF(66=RefiMonth,RefiCashOut,0)+IF(66=DispoMonth,NetSale,0)</f>
        <v/>
      </c>
      <c r="BS6" s="267">
        <f>-ConLoan!BS$27+IF(Timeline!BS$41=1,Operating!BS$42-PermLoan!BS$29,0)+IF(67=StabMonth,OpReserve,0)+IF(67=RefiMonth,RefiCashOut,0)+IF(67=DispoMonth,NetSale,0)</f>
        <v/>
      </c>
      <c r="BT6" s="267">
        <f>-ConLoan!BT$27+IF(Timeline!BT$41=1,Operating!BT$42-PermLoan!BT$29,0)+IF(68=StabMonth,OpReserve,0)+IF(68=RefiMonth,RefiCashOut,0)+IF(68=DispoMonth,NetSale,0)</f>
        <v/>
      </c>
      <c r="BU6" s="267">
        <f>-ConLoan!BU$27+IF(Timeline!BU$41=1,Operating!BU$42-PermLoan!BU$29,0)+IF(69=StabMonth,OpReserve,0)+IF(69=RefiMonth,RefiCashOut,0)+IF(69=DispoMonth,NetSale,0)</f>
        <v/>
      </c>
      <c r="BV6" s="267">
        <f>-ConLoan!BV$27+IF(Timeline!BV$41=1,Operating!BV$42-PermLoan!BV$29,0)+IF(70=StabMonth,OpReserve,0)+IF(70=RefiMonth,RefiCashOut,0)+IF(70=DispoMonth,NetSale,0)</f>
        <v/>
      </c>
      <c r="BW6" s="267">
        <f>-ConLoan!BW$27+IF(Timeline!BW$41=1,Operating!BW$42-PermLoan!BW$29,0)+IF(71=StabMonth,OpReserve,0)+IF(71=RefiMonth,RefiCashOut,0)+IF(71=DispoMonth,NetSale,0)</f>
        <v/>
      </c>
      <c r="BX6" s="267">
        <f>-ConLoan!BX$27+IF(Timeline!BX$41=1,Operating!BX$42-PermLoan!BX$29,0)+IF(72=StabMonth,OpReserve,0)+IF(72=RefiMonth,RefiCashOut,0)+IF(72=DispoMonth,NetSale,0)</f>
        <v/>
      </c>
      <c r="BY6" s="267">
        <f>-ConLoan!BY$27+IF(Timeline!BY$41=1,Operating!BY$42-PermLoan!BY$29,0)+IF(73=StabMonth,OpReserve,0)+IF(73=RefiMonth,RefiCashOut,0)+IF(73=DispoMonth,NetSale,0)</f>
        <v/>
      </c>
      <c r="BZ6" s="267">
        <f>-ConLoan!BZ$27+IF(Timeline!BZ$41=1,Operating!BZ$42-PermLoan!BZ$29,0)+IF(74=StabMonth,OpReserve,0)+IF(74=RefiMonth,RefiCashOut,0)+IF(74=DispoMonth,NetSale,0)</f>
        <v/>
      </c>
      <c r="CA6" s="267">
        <f>-ConLoan!CA$27+IF(Timeline!CA$41=1,Operating!CA$42-PermLoan!CA$29,0)+IF(75=StabMonth,OpReserve,0)+IF(75=RefiMonth,RefiCashOut,0)+IF(75=DispoMonth,NetSale,0)</f>
        <v/>
      </c>
      <c r="CB6" s="267">
        <f>-ConLoan!CB$27+IF(Timeline!CB$41=1,Operating!CB$42-PermLoan!CB$29,0)+IF(76=StabMonth,OpReserve,0)+IF(76=RefiMonth,RefiCashOut,0)+IF(76=DispoMonth,NetSale,0)</f>
        <v/>
      </c>
      <c r="CC6" s="267">
        <f>-ConLoan!CC$27+IF(Timeline!CC$41=1,Operating!CC$42-PermLoan!CC$29,0)+IF(77=StabMonth,OpReserve,0)+IF(77=RefiMonth,RefiCashOut,0)+IF(77=DispoMonth,NetSale,0)</f>
        <v/>
      </c>
      <c r="CD6" s="267">
        <f>-ConLoan!CD$27+IF(Timeline!CD$41=1,Operating!CD$42-PermLoan!CD$29,0)+IF(78=StabMonth,OpReserve,0)+IF(78=RefiMonth,RefiCashOut,0)+IF(78=DispoMonth,NetSale,0)</f>
        <v/>
      </c>
      <c r="CE6" s="267">
        <f>-ConLoan!CE$27+IF(Timeline!CE$41=1,Operating!CE$42-PermLoan!CE$29,0)+IF(79=StabMonth,OpReserve,0)+IF(79=RefiMonth,RefiCashOut,0)+IF(79=DispoMonth,NetSale,0)</f>
        <v/>
      </c>
      <c r="CF6" s="267">
        <f>-ConLoan!CF$27+IF(Timeline!CF$41=1,Operating!CF$42-PermLoan!CF$29,0)+IF(80=StabMonth,OpReserve,0)+IF(80=RefiMonth,RefiCashOut,0)+IF(80=DispoMonth,NetSale,0)</f>
        <v/>
      </c>
      <c r="CG6" s="267">
        <f>-ConLoan!CG$27+IF(Timeline!CG$41=1,Operating!CG$42-PermLoan!CG$29,0)+IF(81=StabMonth,OpReserve,0)+IF(81=RefiMonth,RefiCashOut,0)+IF(81=DispoMonth,NetSale,0)</f>
        <v/>
      </c>
      <c r="CH6" s="267">
        <f>-ConLoan!CH$27+IF(Timeline!CH$41=1,Operating!CH$42-PermLoan!CH$29,0)+IF(82=StabMonth,OpReserve,0)+IF(82=RefiMonth,RefiCashOut,0)+IF(82=DispoMonth,NetSale,0)</f>
        <v/>
      </c>
      <c r="CI6" s="267">
        <f>-ConLoan!CI$27+IF(Timeline!CI$41=1,Operating!CI$42-PermLoan!CI$29,0)+IF(83=StabMonth,OpReserve,0)+IF(83=RefiMonth,RefiCashOut,0)+IF(83=DispoMonth,NetSale,0)</f>
        <v/>
      </c>
      <c r="CJ6" s="267">
        <f>-ConLoan!CJ$27+IF(Timeline!CJ$41=1,Operating!CJ$42-PermLoan!CJ$29,0)+IF(84=StabMonth,OpReserve,0)+IF(84=RefiMonth,RefiCashOut,0)+IF(84=DispoMonth,NetSale,0)</f>
        <v/>
      </c>
      <c r="CK6" s="267">
        <f>-ConLoan!CK$27+IF(Timeline!CK$41=1,Operating!CK$42-PermLoan!CK$29,0)+IF(85=StabMonth,OpReserve,0)+IF(85=RefiMonth,RefiCashOut,0)+IF(85=DispoMonth,NetSale,0)</f>
        <v/>
      </c>
      <c r="CL6" s="267">
        <f>-ConLoan!CL$27+IF(Timeline!CL$41=1,Operating!CL$42-PermLoan!CL$29,0)+IF(86=StabMonth,OpReserve,0)+IF(86=RefiMonth,RefiCashOut,0)+IF(86=DispoMonth,NetSale,0)</f>
        <v/>
      </c>
      <c r="CM6" s="267">
        <f>-ConLoan!CM$27+IF(Timeline!CM$41=1,Operating!CM$42-PermLoan!CM$29,0)+IF(87=StabMonth,OpReserve,0)+IF(87=RefiMonth,RefiCashOut,0)+IF(87=DispoMonth,NetSale,0)</f>
        <v/>
      </c>
      <c r="CN6" s="267">
        <f>-ConLoan!CN$27+IF(Timeline!CN$41=1,Operating!CN$42-PermLoan!CN$29,0)+IF(88=StabMonth,OpReserve,0)+IF(88=RefiMonth,RefiCashOut,0)+IF(88=DispoMonth,NetSale,0)</f>
        <v/>
      </c>
      <c r="CO6" s="267">
        <f>-ConLoan!CO$27+IF(Timeline!CO$41=1,Operating!CO$42-PermLoan!CO$29,0)+IF(89=StabMonth,OpReserve,0)+IF(89=RefiMonth,RefiCashOut,0)+IF(89=DispoMonth,NetSale,0)</f>
        <v/>
      </c>
      <c r="CP6" s="267">
        <f>-ConLoan!CP$27+IF(Timeline!CP$41=1,Operating!CP$42-PermLoan!CP$29,0)+IF(90=StabMonth,OpReserve,0)+IF(90=RefiMonth,RefiCashOut,0)+IF(90=DispoMonth,NetSale,0)</f>
        <v/>
      </c>
      <c r="CQ6" s="267">
        <f>-ConLoan!CQ$27+IF(Timeline!CQ$41=1,Operating!CQ$42-PermLoan!CQ$29,0)+IF(91=StabMonth,OpReserve,0)+IF(91=RefiMonth,RefiCashOut,0)+IF(91=DispoMonth,NetSale,0)</f>
        <v/>
      </c>
      <c r="CR6" s="267">
        <f>-ConLoan!CR$27+IF(Timeline!CR$41=1,Operating!CR$42-PermLoan!CR$29,0)+IF(92=StabMonth,OpReserve,0)+IF(92=RefiMonth,RefiCashOut,0)+IF(92=DispoMonth,NetSale,0)</f>
        <v/>
      </c>
      <c r="CS6" s="267">
        <f>-ConLoan!CS$27+IF(Timeline!CS$41=1,Operating!CS$42-PermLoan!CS$29,0)+IF(93=StabMonth,OpReserve,0)+IF(93=RefiMonth,RefiCashOut,0)+IF(93=DispoMonth,NetSale,0)</f>
        <v/>
      </c>
      <c r="CT6" s="267">
        <f>-ConLoan!CT$27+IF(Timeline!CT$41=1,Operating!CT$42-PermLoan!CT$29,0)+IF(94=StabMonth,OpReserve,0)+IF(94=RefiMonth,RefiCashOut,0)+IF(94=DispoMonth,NetSale,0)</f>
        <v/>
      </c>
      <c r="CU6" s="267">
        <f>-ConLoan!CU$27+IF(Timeline!CU$41=1,Operating!CU$42-PermLoan!CU$29,0)+IF(95=StabMonth,OpReserve,0)+IF(95=RefiMonth,RefiCashOut,0)+IF(95=DispoMonth,NetSale,0)</f>
        <v/>
      </c>
      <c r="CV6" s="267">
        <f>-ConLoan!CV$27+IF(Timeline!CV$41=1,Operating!CV$42-PermLoan!CV$29,0)+IF(96=StabMonth,OpReserve,0)+IF(96=RefiMonth,RefiCashOut,0)+IF(96=DispoMonth,NetSale,0)</f>
        <v/>
      </c>
      <c r="CW6" s="267">
        <f>-ConLoan!CW$27+IF(Timeline!CW$41=1,Operating!CW$42-PermLoan!CW$29,0)+IF(97=StabMonth,OpReserve,0)+IF(97=RefiMonth,RefiCashOut,0)+IF(97=DispoMonth,NetSale,0)</f>
        <v/>
      </c>
      <c r="CX6" s="267">
        <f>-ConLoan!CX$27+IF(Timeline!CX$41=1,Operating!CX$42-PermLoan!CX$29,0)+IF(98=StabMonth,OpReserve,0)+IF(98=RefiMonth,RefiCashOut,0)+IF(98=DispoMonth,NetSale,0)</f>
        <v/>
      </c>
      <c r="CY6" s="267">
        <f>-ConLoan!CY$27+IF(Timeline!CY$41=1,Operating!CY$42-PermLoan!CY$29,0)+IF(99=StabMonth,OpReserve,0)+IF(99=RefiMonth,RefiCashOut,0)+IF(99=DispoMonth,NetSale,0)</f>
        <v/>
      </c>
      <c r="CZ6" s="267">
        <f>-ConLoan!CZ$27+IF(Timeline!CZ$41=1,Operating!CZ$42-PermLoan!CZ$29,0)+IF(100=StabMonth,OpReserve,0)+IF(100=RefiMonth,RefiCashOut,0)+IF(100=DispoMonth,NetSale,0)</f>
        <v/>
      </c>
      <c r="DA6" s="267">
        <f>-ConLoan!DA$27+IF(Timeline!DA$41=1,Operating!DA$42-PermLoan!DA$29,0)+IF(101=StabMonth,OpReserve,0)+IF(101=RefiMonth,RefiCashOut,0)+IF(101=DispoMonth,NetSale,0)</f>
        <v/>
      </c>
      <c r="DB6" s="267">
        <f>-ConLoan!DB$27+IF(Timeline!DB$41=1,Operating!DB$42-PermLoan!DB$29,0)+IF(102=StabMonth,OpReserve,0)+IF(102=RefiMonth,RefiCashOut,0)+IF(102=DispoMonth,NetSale,0)</f>
        <v/>
      </c>
      <c r="DC6" s="267">
        <f>-ConLoan!DC$27+IF(Timeline!DC$41=1,Operating!DC$42-PermLoan!DC$29,0)+IF(103=StabMonth,OpReserve,0)+IF(103=RefiMonth,RefiCashOut,0)+IF(103=DispoMonth,NetSale,0)</f>
        <v/>
      </c>
      <c r="DD6" s="267">
        <f>-ConLoan!DD$27+IF(Timeline!DD$41=1,Operating!DD$42-PermLoan!DD$29,0)+IF(104=StabMonth,OpReserve,0)+IF(104=RefiMonth,RefiCashOut,0)+IF(104=DispoMonth,NetSale,0)</f>
        <v/>
      </c>
      <c r="DE6" s="267">
        <f>-ConLoan!DE$27+IF(Timeline!DE$41=1,Operating!DE$42-PermLoan!DE$29,0)+IF(105=StabMonth,OpReserve,0)+IF(105=RefiMonth,RefiCashOut,0)+IF(105=DispoMonth,NetSale,0)</f>
        <v/>
      </c>
      <c r="DF6" s="267">
        <f>-ConLoan!DF$27+IF(Timeline!DF$41=1,Operating!DF$42-PermLoan!DF$29,0)+IF(106=StabMonth,OpReserve,0)+IF(106=RefiMonth,RefiCashOut,0)+IF(106=DispoMonth,NetSale,0)</f>
        <v/>
      </c>
      <c r="DG6" s="267">
        <f>-ConLoan!DG$27+IF(Timeline!DG$41=1,Operating!DG$42-PermLoan!DG$29,0)+IF(107=StabMonth,OpReserve,0)+IF(107=RefiMonth,RefiCashOut,0)+IF(107=DispoMonth,NetSale,0)</f>
        <v/>
      </c>
      <c r="DH6" s="267">
        <f>-ConLoan!DH$27+IF(Timeline!DH$41=1,Operating!DH$42-PermLoan!DH$29,0)+IF(108=StabMonth,OpReserve,0)+IF(108=RefiMonth,RefiCashOut,0)+IF(108=DispoMonth,NetSale,0)</f>
        <v/>
      </c>
      <c r="DI6" s="267">
        <f>-ConLoan!DI$27+IF(Timeline!DI$41=1,Operating!DI$42-PermLoan!DI$29,0)+IF(109=StabMonth,OpReserve,0)+IF(109=RefiMonth,RefiCashOut,0)+IF(109=DispoMonth,NetSale,0)</f>
        <v/>
      </c>
      <c r="DJ6" s="267">
        <f>-ConLoan!DJ$27+IF(Timeline!DJ$41=1,Operating!DJ$42-PermLoan!DJ$29,0)+IF(110=StabMonth,OpReserve,0)+IF(110=RefiMonth,RefiCashOut,0)+IF(110=DispoMonth,NetSale,0)</f>
        <v/>
      </c>
      <c r="DK6" s="267">
        <f>-ConLoan!DK$27+IF(Timeline!DK$41=1,Operating!DK$42-PermLoan!DK$29,0)+IF(111=StabMonth,OpReserve,0)+IF(111=RefiMonth,RefiCashOut,0)+IF(111=DispoMonth,NetSale,0)</f>
        <v/>
      </c>
      <c r="DL6" s="267">
        <f>-ConLoan!DL$27+IF(Timeline!DL$41=1,Operating!DL$42-PermLoan!DL$29,0)+IF(112=StabMonth,OpReserve,0)+IF(112=RefiMonth,RefiCashOut,0)+IF(112=DispoMonth,NetSale,0)</f>
        <v/>
      </c>
      <c r="DM6" s="267">
        <f>-ConLoan!DM$27+IF(Timeline!DM$41=1,Operating!DM$42-PermLoan!DM$29,0)+IF(113=StabMonth,OpReserve,0)+IF(113=RefiMonth,RefiCashOut,0)+IF(113=DispoMonth,NetSale,0)</f>
        <v/>
      </c>
      <c r="DN6" s="267">
        <f>-ConLoan!DN$27+IF(Timeline!DN$41=1,Operating!DN$42-PermLoan!DN$29,0)+IF(114=StabMonth,OpReserve,0)+IF(114=RefiMonth,RefiCashOut,0)+IF(114=DispoMonth,NetSale,0)</f>
        <v/>
      </c>
      <c r="DO6" s="267">
        <f>-ConLoan!DO$27+IF(Timeline!DO$41=1,Operating!DO$42-PermLoan!DO$29,0)+IF(115=StabMonth,OpReserve,0)+IF(115=RefiMonth,RefiCashOut,0)+IF(115=DispoMonth,NetSale,0)</f>
        <v/>
      </c>
      <c r="DP6" s="267">
        <f>-ConLoan!DP$27+IF(Timeline!DP$41=1,Operating!DP$42-PermLoan!DP$29,0)+IF(116=StabMonth,OpReserve,0)+IF(116=RefiMonth,RefiCashOut,0)+IF(116=DispoMonth,NetSale,0)</f>
        <v/>
      </c>
      <c r="DQ6" s="267">
        <f>-ConLoan!DQ$27+IF(Timeline!DQ$41=1,Operating!DQ$42-PermLoan!DQ$29,0)+IF(117=StabMonth,OpReserve,0)+IF(117=RefiMonth,RefiCashOut,0)+IF(117=DispoMonth,NetSale,0)</f>
        <v/>
      </c>
      <c r="DR6" s="267">
        <f>-ConLoan!DR$27+IF(Timeline!DR$41=1,Operating!DR$42-PermLoan!DR$29,0)+IF(118=StabMonth,OpReserve,0)+IF(118=RefiMonth,RefiCashOut,0)+IF(118=DispoMonth,NetSale,0)</f>
        <v/>
      </c>
      <c r="DS6" s="267">
        <f>-ConLoan!DS$27+IF(Timeline!DS$41=1,Operating!DS$42-PermLoan!DS$29,0)+IF(119=StabMonth,OpReserve,0)+IF(119=RefiMonth,RefiCashOut,0)+IF(119=DispoMonth,NetSale,0)</f>
        <v/>
      </c>
      <c r="DT6" s="267">
        <f>-ConLoan!DT$27+IF(Timeline!DT$41=1,Operating!DT$42-PermLoan!DT$29,0)+IF(120=StabMonth,OpReserve,0)+IF(120=RefiMonth,RefiCashOut,0)+IF(120=DispoMonth,NetSale,0)</f>
        <v/>
      </c>
      <c r="DU6" s="267">
        <f>-ConLoan!DU$27+IF(Timeline!DU$41=1,Operating!DU$42-PermLoan!DU$29,0)+IF(121=StabMonth,OpReserve,0)+IF(121=RefiMonth,RefiCashOut,0)+IF(121=DispoMonth,NetSale,0)</f>
        <v/>
      </c>
      <c r="DV6" s="267">
        <f>-ConLoan!DV$27+IF(Timeline!DV$41=1,Operating!DV$42-PermLoan!DV$29,0)+IF(122=StabMonth,OpReserve,0)+IF(122=RefiMonth,RefiCashOut,0)+IF(122=DispoMonth,NetSale,0)</f>
        <v/>
      </c>
      <c r="DW6" s="267">
        <f>-ConLoan!DW$27+IF(Timeline!DW$41=1,Operating!DW$42-PermLoan!DW$29,0)+IF(123=StabMonth,OpReserve,0)+IF(123=RefiMonth,RefiCashOut,0)+IF(123=DispoMonth,NetSale,0)</f>
        <v/>
      </c>
      <c r="DX6" s="267">
        <f>-ConLoan!DX$27+IF(Timeline!DX$41=1,Operating!DX$42-PermLoan!DX$29,0)+IF(124=StabMonth,OpReserve,0)+IF(124=RefiMonth,RefiCashOut,0)+IF(124=DispoMonth,NetSale,0)</f>
        <v/>
      </c>
      <c r="DY6" s="267">
        <f>-ConLoan!DY$27+IF(Timeline!DY$41=1,Operating!DY$42-PermLoan!DY$29,0)+IF(125=StabMonth,OpReserve,0)+IF(125=RefiMonth,RefiCashOut,0)+IF(125=DispoMonth,NetSale,0)</f>
        <v/>
      </c>
      <c r="DZ6" s="267">
        <f>-ConLoan!DZ$27+IF(Timeline!DZ$41=1,Operating!DZ$42-PermLoan!DZ$29,0)+IF(126=StabMonth,OpReserve,0)+IF(126=RefiMonth,RefiCashOut,0)+IF(126=DispoMonth,NetSale,0)</f>
        <v/>
      </c>
      <c r="EA6" s="267">
        <f>-ConLoan!EA$27+IF(Timeline!EA$41=1,Operating!EA$42-PermLoan!EA$29,0)+IF(127=StabMonth,OpReserve,0)+IF(127=RefiMonth,RefiCashOut,0)+IF(127=DispoMonth,NetSale,0)</f>
        <v/>
      </c>
      <c r="EB6" s="267">
        <f>-ConLoan!EB$27+IF(Timeline!EB$41=1,Operating!EB$42-PermLoan!EB$29,0)+IF(128=StabMonth,OpReserve,0)+IF(128=RefiMonth,RefiCashOut,0)+IF(128=DispoMonth,NetSale,0)</f>
        <v/>
      </c>
      <c r="EC6" s="267">
        <f>-ConLoan!EC$27+IF(Timeline!EC$41=1,Operating!EC$42-PermLoan!EC$29,0)+IF(129=StabMonth,OpReserve,0)+IF(129=RefiMonth,RefiCashOut,0)+IF(129=DispoMonth,NetSale,0)</f>
        <v/>
      </c>
      <c r="ED6" s="267">
        <f>-ConLoan!ED$27+IF(Timeline!ED$41=1,Operating!ED$42-PermLoan!ED$29,0)+IF(130=StabMonth,OpReserve,0)+IF(130=RefiMonth,RefiCashOut,0)+IF(130=DispoMonth,NetSale,0)</f>
        <v/>
      </c>
      <c r="EE6" s="267">
        <f>-ConLoan!EE$27+IF(Timeline!EE$41=1,Operating!EE$42-PermLoan!EE$29,0)+IF(131=StabMonth,OpReserve,0)+IF(131=RefiMonth,RefiCashOut,0)+IF(131=DispoMonth,NetSale,0)</f>
        <v/>
      </c>
      <c r="EF6" s="267">
        <f>-ConLoan!EF$27+IF(Timeline!EF$41=1,Operating!EF$42-PermLoan!EF$29,0)+IF(132=StabMonth,OpReserve,0)+IF(132=RefiMonth,RefiCashOut,0)+IF(132=DispoMonth,NetSale,0)</f>
        <v/>
      </c>
      <c r="EG6" s="267">
        <f>-ConLoan!EG$27+IF(Timeline!EG$41=1,Operating!EG$42-PermLoan!EG$29,0)+IF(133=StabMonth,OpReserve,0)+IF(133=RefiMonth,RefiCashOut,0)+IF(133=DispoMonth,NetSale,0)</f>
        <v/>
      </c>
      <c r="EH6" s="267">
        <f>-ConLoan!EH$27+IF(Timeline!EH$41=1,Operating!EH$42-PermLoan!EH$29,0)+IF(134=StabMonth,OpReserve,0)+IF(134=RefiMonth,RefiCashOut,0)+IF(134=DispoMonth,NetSale,0)</f>
        <v/>
      </c>
      <c r="EI6" s="267">
        <f>-ConLoan!EI$27+IF(Timeline!EI$41=1,Operating!EI$42-PermLoan!EI$29,0)+IF(135=StabMonth,OpReserve,0)+IF(135=RefiMonth,RefiCashOut,0)+IF(135=DispoMonth,NetSale,0)</f>
        <v/>
      </c>
      <c r="EJ6" s="267">
        <f>-ConLoan!EJ$27+IF(Timeline!EJ$41=1,Operating!EJ$42-PermLoan!EJ$29,0)+IF(136=StabMonth,OpReserve,0)+IF(136=RefiMonth,RefiCashOut,0)+IF(136=DispoMonth,NetSale,0)</f>
        <v/>
      </c>
      <c r="EK6" s="267">
        <f>-ConLoan!EK$27+IF(Timeline!EK$41=1,Operating!EK$42-PermLoan!EK$29,0)+IF(137=StabMonth,OpReserve,0)+IF(137=RefiMonth,RefiCashOut,0)+IF(137=DispoMonth,NetSale,0)</f>
        <v/>
      </c>
      <c r="EL6" s="267">
        <f>-ConLoan!EL$27+IF(Timeline!EL$41=1,Operating!EL$42-PermLoan!EL$29,0)+IF(138=StabMonth,OpReserve,0)+IF(138=RefiMonth,RefiCashOut,0)+IF(138=DispoMonth,NetSale,0)</f>
        <v/>
      </c>
      <c r="EM6" s="267">
        <f>-ConLoan!EM$27+IF(Timeline!EM$41=1,Operating!EM$42-PermLoan!EM$29,0)+IF(139=StabMonth,OpReserve,0)+IF(139=RefiMonth,RefiCashOut,0)+IF(139=DispoMonth,NetSale,0)</f>
        <v/>
      </c>
      <c r="EN6" s="267">
        <f>-ConLoan!EN$27+IF(Timeline!EN$41=1,Operating!EN$42-PermLoan!EN$29,0)+IF(140=StabMonth,OpReserve,0)+IF(140=RefiMonth,RefiCashOut,0)+IF(140=DispoMonth,NetSale,0)</f>
        <v/>
      </c>
      <c r="EO6" s="267">
        <f>-ConLoan!EO$27+IF(Timeline!EO$41=1,Operating!EO$42-PermLoan!EO$29,0)+IF(141=StabMonth,OpReserve,0)+IF(141=RefiMonth,RefiCashOut,0)+IF(141=DispoMonth,NetSale,0)</f>
        <v/>
      </c>
      <c r="EP6" s="267">
        <f>-ConLoan!EP$27+IF(Timeline!EP$41=1,Operating!EP$42-PermLoan!EP$29,0)+IF(142=StabMonth,OpReserve,0)+IF(142=RefiMonth,RefiCashOut,0)+IF(142=DispoMonth,NetSale,0)</f>
        <v/>
      </c>
      <c r="EQ6" s="267">
        <f>-ConLoan!EQ$27+IF(Timeline!EQ$41=1,Operating!EQ$42-PermLoan!EQ$29,0)+IF(143=StabMonth,OpReserve,0)+IF(143=RefiMonth,RefiCashOut,0)+IF(143=DispoMonth,NetSale,0)</f>
        <v/>
      </c>
      <c r="ER6" s="267">
        <f>-ConLoan!ER$27+IF(Timeline!ER$41=1,Operating!ER$42-PermLoan!ER$29,0)+IF(144=StabMonth,OpReserve,0)+IF(144=RefiMonth,RefiCashOut,0)+IF(144=DispoMonth,NetSale,0)</f>
        <v/>
      </c>
      <c r="ES6" s="267">
        <f>-ConLoan!ES$27+IF(Timeline!ES$41=1,Operating!ES$42-PermLoan!ES$29,0)+IF(145=StabMonth,OpReserve,0)+IF(145=RefiMonth,RefiCashOut,0)+IF(145=DispoMonth,NetSale,0)</f>
        <v/>
      </c>
      <c r="ET6" s="267">
        <f>-ConLoan!ET$27+IF(Timeline!ET$41=1,Operating!ET$42-PermLoan!ET$29,0)+IF(146=StabMonth,OpReserve,0)+IF(146=RefiMonth,RefiCashOut,0)+IF(146=DispoMonth,NetSale,0)</f>
        <v/>
      </c>
      <c r="EU6" s="267">
        <f>-ConLoan!EU$27+IF(Timeline!EU$41=1,Operating!EU$42-PermLoan!EU$29,0)+IF(147=StabMonth,OpReserve,0)+IF(147=RefiMonth,RefiCashOut,0)+IF(147=DispoMonth,NetSale,0)</f>
        <v/>
      </c>
      <c r="EV6" s="267">
        <f>-ConLoan!EV$27+IF(Timeline!EV$41=1,Operating!EV$42-PermLoan!EV$29,0)+IF(148=StabMonth,OpReserve,0)+IF(148=RefiMonth,RefiCashOut,0)+IF(148=DispoMonth,NetSale,0)</f>
        <v/>
      </c>
      <c r="EW6" s="267">
        <f>-ConLoan!EW$27+IF(Timeline!EW$41=1,Operating!EW$42-PermLoan!EW$29,0)+IF(149=StabMonth,OpReserve,0)+IF(149=RefiMonth,RefiCashOut,0)+IF(149=DispoMonth,NetSale,0)</f>
        <v/>
      </c>
      <c r="EX6" s="267">
        <f>-ConLoan!EX$27+IF(Timeline!EX$41=1,Operating!EX$42-PermLoan!EX$29,0)+IF(150=StabMonth,OpReserve,0)+IF(150=RefiMonth,RefiCashOut,0)+IF(150=DispoMonth,NetSale,0)</f>
        <v/>
      </c>
      <c r="EY6" s="267">
        <f>-ConLoan!EY$27+IF(Timeline!EY$41=1,Operating!EY$42-PermLoan!EY$29,0)+IF(151=StabMonth,OpReserve,0)+IF(151=RefiMonth,RefiCashOut,0)+IF(151=DispoMonth,NetSale,0)</f>
        <v/>
      </c>
      <c r="EZ6" s="267">
        <f>-ConLoan!EZ$27+IF(Timeline!EZ$41=1,Operating!EZ$42-PermLoan!EZ$29,0)+IF(152=StabMonth,OpReserve,0)+IF(152=RefiMonth,RefiCashOut,0)+IF(152=DispoMonth,NetSale,0)</f>
        <v/>
      </c>
      <c r="FA6" s="267">
        <f>-ConLoan!FA$27+IF(Timeline!FA$41=1,Operating!FA$42-PermLoan!FA$29,0)+IF(153=StabMonth,OpReserve,0)+IF(153=RefiMonth,RefiCashOut,0)+IF(153=DispoMonth,NetSale,0)</f>
        <v/>
      </c>
      <c r="FB6" s="267">
        <f>-ConLoan!FB$27+IF(Timeline!FB$41=1,Operating!FB$42-PermLoan!FB$29,0)+IF(154=StabMonth,OpReserve,0)+IF(154=RefiMonth,RefiCashOut,0)+IF(154=DispoMonth,NetSale,0)</f>
        <v/>
      </c>
      <c r="FC6" s="267">
        <f>-ConLoan!FC$27+IF(Timeline!FC$41=1,Operating!FC$42-PermLoan!FC$29,0)+IF(155=StabMonth,OpReserve,0)+IF(155=RefiMonth,RefiCashOut,0)+IF(155=DispoMonth,NetSale,0)</f>
        <v/>
      </c>
      <c r="FD6" s="267">
        <f>-ConLoan!FD$27+IF(Timeline!FD$41=1,Operating!FD$42-PermLoan!FD$29,0)+IF(156=StabMonth,OpReserve,0)+IF(156=RefiMonth,RefiCashOut,0)+IF(156=DispoMonth,NetSale,0)</f>
        <v/>
      </c>
      <c r="FE6" s="267">
        <f>-ConLoan!FE$27+IF(Timeline!FE$41=1,Operating!FE$42-PermLoan!FE$29,0)+IF(157=StabMonth,OpReserve,0)+IF(157=RefiMonth,RefiCashOut,0)+IF(157=DispoMonth,NetSale,0)</f>
        <v/>
      </c>
      <c r="FF6" s="267">
        <f>-ConLoan!FF$27+IF(Timeline!FF$41=1,Operating!FF$42-PermLoan!FF$29,0)+IF(158=StabMonth,OpReserve,0)+IF(158=RefiMonth,RefiCashOut,0)+IF(158=DispoMonth,NetSale,0)</f>
        <v/>
      </c>
      <c r="FG6" s="267">
        <f>-ConLoan!FG$27+IF(Timeline!FG$41=1,Operating!FG$42-PermLoan!FG$29,0)+IF(159=StabMonth,OpReserve,0)+IF(159=RefiMonth,RefiCashOut,0)+IF(159=DispoMonth,NetSale,0)</f>
        <v/>
      </c>
      <c r="FH6" s="267">
        <f>-ConLoan!FH$27+IF(Timeline!FH$41=1,Operating!FH$42-PermLoan!FH$29,0)+IF(160=StabMonth,OpReserve,0)+IF(160=RefiMonth,RefiCashOut,0)+IF(160=DispoMonth,NetSale,0)</f>
        <v/>
      </c>
      <c r="FI6" s="267">
        <f>-ConLoan!FI$27+IF(Timeline!FI$41=1,Operating!FI$42-PermLoan!FI$29,0)+IF(161=StabMonth,OpReserve,0)+IF(161=RefiMonth,RefiCashOut,0)+IF(161=DispoMonth,NetSale,0)</f>
        <v/>
      </c>
      <c r="FJ6" s="267">
        <f>-ConLoan!FJ$27+IF(Timeline!FJ$41=1,Operating!FJ$42-PermLoan!FJ$29,0)+IF(162=StabMonth,OpReserve,0)+IF(162=RefiMonth,RefiCashOut,0)+IF(162=DispoMonth,NetSale,0)</f>
        <v/>
      </c>
      <c r="FK6" s="267">
        <f>-ConLoan!FK$27+IF(Timeline!FK$41=1,Operating!FK$42-PermLoan!FK$29,0)+IF(163=StabMonth,OpReserve,0)+IF(163=RefiMonth,RefiCashOut,0)+IF(163=DispoMonth,NetSale,0)</f>
        <v/>
      </c>
      <c r="FL6" s="267">
        <f>-ConLoan!FL$27+IF(Timeline!FL$41=1,Operating!FL$42-PermLoan!FL$29,0)+IF(164=StabMonth,OpReserve,0)+IF(164=RefiMonth,RefiCashOut,0)+IF(164=DispoMonth,NetSale,0)</f>
        <v/>
      </c>
      <c r="FM6" s="267">
        <f>-ConLoan!FM$27+IF(Timeline!FM$41=1,Operating!FM$42-PermLoan!FM$29,0)+IF(165=StabMonth,OpReserve,0)+IF(165=RefiMonth,RefiCashOut,0)+IF(165=DispoMonth,NetSale,0)</f>
        <v/>
      </c>
      <c r="FN6" s="267">
        <f>-ConLoan!FN$27+IF(Timeline!FN$41=1,Operating!FN$42-PermLoan!FN$29,0)+IF(166=StabMonth,OpReserve,0)+IF(166=RefiMonth,RefiCashOut,0)+IF(166=DispoMonth,NetSale,0)</f>
        <v/>
      </c>
      <c r="FO6" s="267">
        <f>-ConLoan!FO$27+IF(Timeline!FO$41=1,Operating!FO$42-PermLoan!FO$29,0)+IF(167=StabMonth,OpReserve,0)+IF(167=RefiMonth,RefiCashOut,0)+IF(167=DispoMonth,NetSale,0)</f>
        <v/>
      </c>
      <c r="FP6" s="267">
        <f>-ConLoan!FP$27+IF(Timeline!FP$41=1,Operating!FP$42-PermLoan!FP$29,0)+IF(168=StabMonth,OpReserve,0)+IF(168=RefiMonth,RefiCashOut,0)+IF(168=DispoMonth,NetSale,0)</f>
        <v/>
      </c>
      <c r="FQ6" s="267">
        <f>-ConLoan!FQ$27+IF(Timeline!FQ$41=1,Operating!FQ$42-PermLoan!FQ$29,0)+IF(169=StabMonth,OpReserve,0)+IF(169=RefiMonth,RefiCashOut,0)+IF(169=DispoMonth,NetSale,0)</f>
        <v/>
      </c>
      <c r="FR6" s="267">
        <f>-ConLoan!FR$27+IF(Timeline!FR$41=1,Operating!FR$42-PermLoan!FR$29,0)+IF(170=StabMonth,OpReserve,0)+IF(170=RefiMonth,RefiCashOut,0)+IF(170=DispoMonth,NetSale,0)</f>
        <v/>
      </c>
      <c r="FS6" s="267">
        <f>-ConLoan!FS$27+IF(Timeline!FS$41=1,Operating!FS$42-PermLoan!FS$29,0)+IF(171=StabMonth,OpReserve,0)+IF(171=RefiMonth,RefiCashOut,0)+IF(171=DispoMonth,NetSale,0)</f>
        <v/>
      </c>
      <c r="FT6" s="267">
        <f>-ConLoan!FT$27+IF(Timeline!FT$41=1,Operating!FT$42-PermLoan!FT$29,0)+IF(172=StabMonth,OpReserve,0)+IF(172=RefiMonth,RefiCashOut,0)+IF(172=DispoMonth,NetSale,0)</f>
        <v/>
      </c>
      <c r="FU6" s="267">
        <f>-ConLoan!FU$27+IF(Timeline!FU$41=1,Operating!FU$42-PermLoan!FU$29,0)+IF(173=StabMonth,OpReserve,0)+IF(173=RefiMonth,RefiCashOut,0)+IF(173=DispoMonth,NetSale,0)</f>
        <v/>
      </c>
      <c r="FV6" s="267">
        <f>-ConLoan!FV$27+IF(Timeline!FV$41=1,Operating!FV$42-PermLoan!FV$29,0)+IF(174=StabMonth,OpReserve,0)+IF(174=RefiMonth,RefiCashOut,0)+IF(174=DispoMonth,NetSale,0)</f>
        <v/>
      </c>
      <c r="FW6" s="267">
        <f>-ConLoan!FW$27+IF(Timeline!FW$41=1,Operating!FW$42-PermLoan!FW$29,0)+IF(175=StabMonth,OpReserve,0)+IF(175=RefiMonth,RefiCashOut,0)+IF(175=DispoMonth,NetSale,0)</f>
        <v/>
      </c>
      <c r="FX6" s="267">
        <f>-ConLoan!FX$27+IF(Timeline!FX$41=1,Operating!FX$42-PermLoan!FX$29,0)+IF(176=StabMonth,OpReserve,0)+IF(176=RefiMonth,RefiCashOut,0)+IF(176=DispoMonth,NetSale,0)</f>
        <v/>
      </c>
      <c r="FY6" s="267">
        <f>-ConLoan!FY$27+IF(Timeline!FY$41=1,Operating!FY$42-PermLoan!FY$29,0)+IF(177=StabMonth,OpReserve,0)+IF(177=RefiMonth,RefiCashOut,0)+IF(177=DispoMonth,NetSale,0)</f>
        <v/>
      </c>
      <c r="FZ6" s="267">
        <f>-ConLoan!FZ$27+IF(Timeline!FZ$41=1,Operating!FZ$42-PermLoan!FZ$29,0)+IF(178=StabMonth,OpReserve,0)+IF(178=RefiMonth,RefiCashOut,0)+IF(178=DispoMonth,NetSale,0)</f>
        <v/>
      </c>
      <c r="GA6" s="267">
        <f>-ConLoan!GA$27+IF(Timeline!GA$41=1,Operating!GA$42-PermLoan!GA$29,0)+IF(179=StabMonth,OpReserve,0)+IF(179=RefiMonth,RefiCashOut,0)+IF(179=DispoMonth,NetSale,0)</f>
        <v/>
      </c>
      <c r="GB6" s="267">
        <f>-ConLoan!GB$27+IF(Timeline!GB$41=1,Operating!GB$42-PermLoan!GB$29,0)+IF(180=StabMonth,OpReserve,0)+IF(180=RefiMonth,RefiCashOut,0)+IF(180=DispoMonth,NetSale,0)</f>
        <v/>
      </c>
      <c r="GC6" s="267">
        <f>-ConLoan!GC$27+IF(Timeline!GC$41=1,Operating!GC$42-PermLoan!GC$29,0)+IF(181=StabMonth,OpReserve,0)+IF(181=RefiMonth,RefiCashOut,0)+IF(181=DispoMonth,NetSale,0)</f>
        <v/>
      </c>
      <c r="GD6" s="267">
        <f>-ConLoan!GD$27+IF(Timeline!GD$41=1,Operating!GD$42-PermLoan!GD$29,0)+IF(182=StabMonth,OpReserve,0)+IF(182=RefiMonth,RefiCashOut,0)+IF(182=DispoMonth,NetSale,0)</f>
        <v/>
      </c>
      <c r="GE6" s="267">
        <f>-ConLoan!GE$27+IF(Timeline!GE$41=1,Operating!GE$42-PermLoan!GE$29,0)+IF(183=StabMonth,OpReserve,0)+IF(183=RefiMonth,RefiCashOut,0)+IF(183=DispoMonth,NetSale,0)</f>
        <v/>
      </c>
      <c r="GF6" s="267">
        <f>-ConLoan!GF$27+IF(Timeline!GF$41=1,Operating!GF$42-PermLoan!GF$29,0)+IF(184=StabMonth,OpReserve,0)+IF(184=RefiMonth,RefiCashOut,0)+IF(184=DispoMonth,NetSale,0)</f>
        <v/>
      </c>
      <c r="GG6" s="267">
        <f>-ConLoan!GG$27+IF(Timeline!GG$41=1,Operating!GG$42-PermLoan!GG$29,0)+IF(185=StabMonth,OpReserve,0)+IF(185=RefiMonth,RefiCashOut,0)+IF(185=DispoMonth,NetSale,0)</f>
        <v/>
      </c>
      <c r="GH6" s="267">
        <f>-ConLoan!GH$27+IF(Timeline!GH$41=1,Operating!GH$42-PermLoan!GH$29,0)+IF(186=StabMonth,OpReserve,0)+IF(186=RefiMonth,RefiCashOut,0)+IF(186=DispoMonth,NetSale,0)</f>
        <v/>
      </c>
      <c r="GI6" s="267">
        <f>-ConLoan!GI$27+IF(Timeline!GI$41=1,Operating!GI$42-PermLoan!GI$29,0)+IF(187=StabMonth,OpReserve,0)+IF(187=RefiMonth,RefiCashOut,0)+IF(187=DispoMonth,NetSale,0)</f>
        <v/>
      </c>
      <c r="GJ6" s="267">
        <f>-ConLoan!GJ$27+IF(Timeline!GJ$41=1,Operating!GJ$42-PermLoan!GJ$29,0)+IF(188=StabMonth,OpReserve,0)+IF(188=RefiMonth,RefiCashOut,0)+IF(188=DispoMonth,NetSale,0)</f>
        <v/>
      </c>
      <c r="GK6" s="267">
        <f>-ConLoan!GK$27+IF(Timeline!GK$41=1,Operating!GK$42-PermLoan!GK$29,0)+IF(189=StabMonth,OpReserve,0)+IF(189=RefiMonth,RefiCashOut,0)+IF(189=DispoMonth,NetSale,0)</f>
        <v/>
      </c>
      <c r="GL6" s="267">
        <f>-ConLoan!GL$27+IF(Timeline!GL$41=1,Operating!GL$42-PermLoan!GL$29,0)+IF(190=StabMonth,OpReserve,0)+IF(190=RefiMonth,RefiCashOut,0)+IF(190=DispoMonth,NetSale,0)</f>
        <v/>
      </c>
      <c r="GM6" s="267">
        <f>-ConLoan!GM$27+IF(Timeline!GM$41=1,Operating!GM$42-PermLoan!GM$29,0)+IF(191=StabMonth,OpReserve,0)+IF(191=RefiMonth,RefiCashOut,0)+IF(191=DispoMonth,NetSale,0)</f>
        <v/>
      </c>
      <c r="GN6" s="267">
        <f>-ConLoan!GN$27+IF(Timeline!GN$41=1,Operating!GN$42-PermLoan!GN$29,0)+IF(192=StabMonth,OpReserve,0)+IF(192=RefiMonth,RefiCashOut,0)+IF(192=DispoMonth,NetSale,0)</f>
        <v/>
      </c>
      <c r="GO6" s="267">
        <f>-ConLoan!GO$27+IF(Timeline!GO$41=1,Operating!GO$42-PermLoan!GO$29,0)+IF(193=StabMonth,OpReserve,0)+IF(193=RefiMonth,RefiCashOut,0)+IF(193=DispoMonth,NetSale,0)</f>
        <v/>
      </c>
      <c r="GP6" s="267">
        <f>-ConLoan!GP$27+IF(Timeline!GP$41=1,Operating!GP$42-PermLoan!GP$29,0)+IF(194=StabMonth,OpReserve,0)+IF(194=RefiMonth,RefiCashOut,0)+IF(194=DispoMonth,NetSale,0)</f>
        <v/>
      </c>
      <c r="GQ6" s="267">
        <f>-ConLoan!GQ$27+IF(Timeline!GQ$41=1,Operating!GQ$42-PermLoan!GQ$29,0)+IF(195=StabMonth,OpReserve,0)+IF(195=RefiMonth,RefiCashOut,0)+IF(195=DispoMonth,NetSale,0)</f>
        <v/>
      </c>
      <c r="GR6" s="267">
        <f>-ConLoan!GR$27+IF(Timeline!GR$41=1,Operating!GR$42-PermLoan!GR$29,0)+IF(196=StabMonth,OpReserve,0)+IF(196=RefiMonth,RefiCashOut,0)+IF(196=DispoMonth,NetSale,0)</f>
        <v/>
      </c>
      <c r="GS6" s="267">
        <f>-ConLoan!GS$27+IF(Timeline!GS$41=1,Operating!GS$42-PermLoan!GS$29,0)+IF(197=StabMonth,OpReserve,0)+IF(197=RefiMonth,RefiCashOut,0)+IF(197=DispoMonth,NetSale,0)</f>
        <v/>
      </c>
      <c r="GT6" s="267">
        <f>-ConLoan!GT$27+IF(Timeline!GT$41=1,Operating!GT$42-PermLoan!GT$29,0)+IF(198=StabMonth,OpReserve,0)+IF(198=RefiMonth,RefiCashOut,0)+IF(198=DispoMonth,NetSale,0)</f>
        <v/>
      </c>
      <c r="GU6" s="267">
        <f>-ConLoan!GU$27+IF(Timeline!GU$41=1,Operating!GU$42-PermLoan!GU$29,0)+IF(199=StabMonth,OpReserve,0)+IF(199=RefiMonth,RefiCashOut,0)+IF(199=DispoMonth,NetSale,0)</f>
        <v/>
      </c>
      <c r="GV6" s="267">
        <f>-ConLoan!GV$27+IF(Timeline!GV$41=1,Operating!GV$42-PermLoan!GV$29,0)+IF(200=StabMonth,OpReserve,0)+IF(200=RefiMonth,RefiCashOut,0)+IF(200=DispoMonth,NetSale,0)</f>
        <v/>
      </c>
      <c r="GW6" s="267">
        <f>-ConLoan!GW$27+IF(Timeline!GW$41=1,Operating!GW$42-PermLoan!GW$29,0)+IF(201=StabMonth,OpReserve,0)+IF(201=RefiMonth,RefiCashOut,0)+IF(201=DispoMonth,NetSale,0)</f>
        <v/>
      </c>
      <c r="GX6" s="267">
        <f>-ConLoan!GX$27+IF(Timeline!GX$41=1,Operating!GX$42-PermLoan!GX$29,0)+IF(202=StabMonth,OpReserve,0)+IF(202=RefiMonth,RefiCashOut,0)+IF(202=DispoMonth,NetSale,0)</f>
        <v/>
      </c>
      <c r="GY6" s="267">
        <f>-ConLoan!GY$27+IF(Timeline!GY$41=1,Operating!GY$42-PermLoan!GY$29,0)+IF(203=StabMonth,OpReserve,0)+IF(203=RefiMonth,RefiCashOut,0)+IF(203=DispoMonth,NetSale,0)</f>
        <v/>
      </c>
      <c r="GZ6" s="267">
        <f>-ConLoan!GZ$27+IF(Timeline!GZ$41=1,Operating!GZ$42-PermLoan!GZ$29,0)+IF(204=StabMonth,OpReserve,0)+IF(204=RefiMonth,RefiCashOut,0)+IF(204=DispoMonth,NetSale,0)</f>
        <v/>
      </c>
      <c r="HA6" s="267">
        <f>-ConLoan!HA$27+IF(Timeline!HA$41=1,Operating!HA$42-PermLoan!HA$29,0)+IF(205=StabMonth,OpReserve,0)+IF(205=RefiMonth,RefiCashOut,0)+IF(205=DispoMonth,NetSale,0)</f>
        <v/>
      </c>
      <c r="HB6" s="267">
        <f>-ConLoan!HB$27+IF(Timeline!HB$41=1,Operating!HB$42-PermLoan!HB$29,0)+IF(206=StabMonth,OpReserve,0)+IF(206=RefiMonth,RefiCashOut,0)+IF(206=DispoMonth,NetSale,0)</f>
        <v/>
      </c>
      <c r="HC6" s="267">
        <f>-ConLoan!HC$27+IF(Timeline!HC$41=1,Operating!HC$42-PermLoan!HC$29,0)+IF(207=StabMonth,OpReserve,0)+IF(207=RefiMonth,RefiCashOut,0)+IF(207=DispoMonth,NetSale,0)</f>
        <v/>
      </c>
      <c r="HD6" s="267">
        <f>-ConLoan!HD$27+IF(Timeline!HD$41=1,Operating!HD$42-PermLoan!HD$29,0)+IF(208=StabMonth,OpReserve,0)+IF(208=RefiMonth,RefiCashOut,0)+IF(208=DispoMonth,NetSale,0)</f>
        <v/>
      </c>
      <c r="HE6" s="267">
        <f>-ConLoan!HE$27+IF(Timeline!HE$41=1,Operating!HE$42-PermLoan!HE$29,0)+IF(209=StabMonth,OpReserve,0)+IF(209=RefiMonth,RefiCashOut,0)+IF(209=DispoMonth,NetSale,0)</f>
        <v/>
      </c>
      <c r="HF6" s="267">
        <f>-ConLoan!HF$27+IF(Timeline!HF$41=1,Operating!HF$42-PermLoan!HF$29,0)+IF(210=StabMonth,OpReserve,0)+IF(210=RefiMonth,RefiCashOut,0)+IF(210=DispoMonth,NetSale,0)</f>
        <v/>
      </c>
      <c r="HG6" s="267">
        <f>-ConLoan!HG$27+IF(Timeline!HG$41=1,Operating!HG$42-PermLoan!HG$29,0)+IF(211=StabMonth,OpReserve,0)+IF(211=RefiMonth,RefiCashOut,0)+IF(211=DispoMonth,NetSale,0)</f>
        <v/>
      </c>
      <c r="HH6" s="267">
        <f>-ConLoan!HH$27+IF(Timeline!HH$41=1,Operating!HH$42-PermLoan!HH$29,0)+IF(212=StabMonth,OpReserve,0)+IF(212=RefiMonth,RefiCashOut,0)+IF(212=DispoMonth,NetSale,0)</f>
        <v/>
      </c>
      <c r="HI6" s="267">
        <f>-ConLoan!HI$27+IF(Timeline!HI$41=1,Operating!HI$42-PermLoan!HI$29,0)+IF(213=StabMonth,OpReserve,0)+IF(213=RefiMonth,RefiCashOut,0)+IF(213=DispoMonth,NetSale,0)</f>
        <v/>
      </c>
      <c r="HJ6" s="267">
        <f>-ConLoan!HJ$27+IF(Timeline!HJ$41=1,Operating!HJ$42-PermLoan!HJ$29,0)+IF(214=StabMonth,OpReserve,0)+IF(214=RefiMonth,RefiCashOut,0)+IF(214=DispoMonth,NetSale,0)</f>
        <v/>
      </c>
      <c r="HK6" s="267">
        <f>-ConLoan!HK$27+IF(Timeline!HK$41=1,Operating!HK$42-PermLoan!HK$29,0)+IF(215=StabMonth,OpReserve,0)+IF(215=RefiMonth,RefiCashOut,0)+IF(215=DispoMonth,NetSale,0)</f>
        <v/>
      </c>
      <c r="HL6" s="267">
        <f>-ConLoan!HL$27+IF(Timeline!HL$41=1,Operating!HL$42-PermLoan!HL$29,0)+IF(216=StabMonth,OpReserve,0)+IF(216=RefiMonth,RefiCashOut,0)+IF(216=DispoMonth,NetSale,0)</f>
        <v/>
      </c>
      <c r="HM6" s="267">
        <f>-ConLoan!HM$27+IF(Timeline!HM$41=1,Operating!HM$42-PermLoan!HM$29,0)+IF(217=StabMonth,OpReserve,0)+IF(217=RefiMonth,RefiCashOut,0)+IF(217=DispoMonth,NetSale,0)</f>
        <v/>
      </c>
      <c r="HN6" s="267">
        <f>-ConLoan!HN$27+IF(Timeline!HN$41=1,Operating!HN$42-PermLoan!HN$29,0)+IF(218=StabMonth,OpReserve,0)+IF(218=RefiMonth,RefiCashOut,0)+IF(218=DispoMonth,NetSale,0)</f>
        <v/>
      </c>
      <c r="HO6" s="267">
        <f>-ConLoan!HO$27+IF(Timeline!HO$41=1,Operating!HO$42-PermLoan!HO$29,0)+IF(219=StabMonth,OpReserve,0)+IF(219=RefiMonth,RefiCashOut,0)+IF(219=DispoMonth,NetSale,0)</f>
        <v/>
      </c>
      <c r="HP6" s="267">
        <f>-ConLoan!HP$27+IF(Timeline!HP$41=1,Operating!HP$42-PermLoan!HP$29,0)+IF(220=StabMonth,OpReserve,0)+IF(220=RefiMonth,RefiCashOut,0)+IF(220=DispoMonth,NetSale,0)</f>
        <v/>
      </c>
      <c r="HQ6" s="267">
        <f>-ConLoan!HQ$27+IF(Timeline!HQ$41=1,Operating!HQ$42-PermLoan!HQ$29,0)+IF(221=StabMonth,OpReserve,0)+IF(221=RefiMonth,RefiCashOut,0)+IF(221=DispoMonth,NetSale,0)</f>
        <v/>
      </c>
      <c r="HR6" s="267">
        <f>-ConLoan!HR$27+IF(Timeline!HR$41=1,Operating!HR$42-PermLoan!HR$29,0)+IF(222=StabMonth,OpReserve,0)+IF(222=RefiMonth,RefiCashOut,0)+IF(222=DispoMonth,NetSale,0)</f>
        <v/>
      </c>
      <c r="HS6" s="267">
        <f>-ConLoan!HS$27+IF(Timeline!HS$41=1,Operating!HS$42-PermLoan!HS$29,0)+IF(223=StabMonth,OpReserve,0)+IF(223=RefiMonth,RefiCashOut,0)+IF(223=DispoMonth,NetSale,0)</f>
        <v/>
      </c>
      <c r="HT6" s="267">
        <f>-ConLoan!HT$27+IF(Timeline!HT$41=1,Operating!HT$42-PermLoan!HT$29,0)+IF(224=StabMonth,OpReserve,0)+IF(224=RefiMonth,RefiCashOut,0)+IF(224=DispoMonth,NetSale,0)</f>
        <v/>
      </c>
      <c r="HU6" s="267">
        <f>-ConLoan!HU$27+IF(Timeline!HU$41=1,Operating!HU$42-PermLoan!HU$29,0)+IF(225=StabMonth,OpReserve,0)+IF(225=RefiMonth,RefiCashOut,0)+IF(225=DispoMonth,NetSale,0)</f>
        <v/>
      </c>
      <c r="HV6" s="267">
        <f>-ConLoan!HV$27+IF(Timeline!HV$41=1,Operating!HV$42-PermLoan!HV$29,0)+IF(226=StabMonth,OpReserve,0)+IF(226=RefiMonth,RefiCashOut,0)+IF(226=DispoMonth,NetSale,0)</f>
        <v/>
      </c>
      <c r="HW6" s="267">
        <f>-ConLoan!HW$27+IF(Timeline!HW$41=1,Operating!HW$42-PermLoan!HW$29,0)+IF(227=StabMonth,OpReserve,0)+IF(227=RefiMonth,RefiCashOut,0)+IF(227=DispoMonth,NetSale,0)</f>
        <v/>
      </c>
      <c r="HX6" s="267">
        <f>-ConLoan!HX$27+IF(Timeline!HX$41=1,Operating!HX$42-PermLoan!HX$29,0)+IF(228=StabMonth,OpReserve,0)+IF(228=RefiMonth,RefiCashOut,0)+IF(228=DispoMonth,NetSale,0)</f>
        <v/>
      </c>
      <c r="HY6" s="267">
        <f>-ConLoan!HY$27+IF(Timeline!HY$41=1,Operating!HY$42-PermLoan!HY$29,0)+IF(229=StabMonth,OpReserve,0)+IF(229=RefiMonth,RefiCashOut,0)+IF(229=DispoMonth,NetSale,0)</f>
        <v/>
      </c>
      <c r="HZ6" s="267">
        <f>-ConLoan!HZ$27+IF(Timeline!HZ$41=1,Operating!HZ$42-PermLoan!HZ$29,0)+IF(230=StabMonth,OpReserve,0)+IF(230=RefiMonth,RefiCashOut,0)+IF(230=DispoMonth,NetSale,0)</f>
        <v/>
      </c>
      <c r="IA6" s="267">
        <f>-ConLoan!IA$27+IF(Timeline!IA$41=1,Operating!IA$42-PermLoan!IA$29,0)+IF(231=StabMonth,OpReserve,0)+IF(231=RefiMonth,RefiCashOut,0)+IF(231=DispoMonth,NetSale,0)</f>
        <v/>
      </c>
      <c r="IB6" s="267">
        <f>-ConLoan!IB$27+IF(Timeline!IB$41=1,Operating!IB$42-PermLoan!IB$29,0)+IF(232=StabMonth,OpReserve,0)+IF(232=RefiMonth,RefiCashOut,0)+IF(232=DispoMonth,NetSale,0)</f>
        <v/>
      </c>
      <c r="IC6" s="267">
        <f>-ConLoan!IC$27+IF(Timeline!IC$41=1,Operating!IC$42-PermLoan!IC$29,0)+IF(233=StabMonth,OpReserve,0)+IF(233=RefiMonth,RefiCashOut,0)+IF(233=DispoMonth,NetSale,0)</f>
        <v/>
      </c>
      <c r="ID6" s="267">
        <f>-ConLoan!ID$27+IF(Timeline!ID$41=1,Operating!ID$42-PermLoan!ID$29,0)+IF(234=StabMonth,OpReserve,0)+IF(234=RefiMonth,RefiCashOut,0)+IF(234=DispoMonth,NetSale,0)</f>
        <v/>
      </c>
      <c r="IE6" s="267">
        <f>-ConLoan!IE$27+IF(Timeline!IE$41=1,Operating!IE$42-PermLoan!IE$29,0)+IF(235=StabMonth,OpReserve,0)+IF(235=RefiMonth,RefiCashOut,0)+IF(235=DispoMonth,NetSale,0)</f>
        <v/>
      </c>
      <c r="IF6" s="267">
        <f>-ConLoan!IF$27+IF(Timeline!IF$41=1,Operating!IF$42-PermLoan!IF$29,0)+IF(236=StabMonth,OpReserve,0)+IF(236=RefiMonth,RefiCashOut,0)+IF(236=DispoMonth,NetSale,0)</f>
        <v/>
      </c>
      <c r="IG6" s="267">
        <f>-ConLoan!IG$27+IF(Timeline!IG$41=1,Operating!IG$42-PermLoan!IG$29,0)+IF(237=StabMonth,OpReserve,0)+IF(237=RefiMonth,RefiCashOut,0)+IF(237=DispoMonth,NetSale,0)</f>
        <v/>
      </c>
      <c r="IH6" s="267">
        <f>-ConLoan!IH$27+IF(Timeline!IH$41=1,Operating!IH$42-PermLoan!IH$29,0)+IF(238=StabMonth,OpReserve,0)+IF(238=RefiMonth,RefiCashOut,0)+IF(238=DispoMonth,NetSale,0)</f>
        <v/>
      </c>
      <c r="II6" s="267">
        <f>-ConLoan!II$27+IF(Timeline!II$41=1,Operating!II$42-PermLoan!II$29,0)+IF(239=StabMonth,OpReserve,0)+IF(239=RefiMonth,RefiCashOut,0)+IF(239=DispoMonth,NetSale,0)</f>
        <v/>
      </c>
      <c r="IJ6" s="267">
        <f>-ConLoan!IJ$27+IF(Timeline!IJ$41=1,Operating!IJ$42-PermLoan!IJ$29,0)+IF(240=StabMonth,OpReserve,0)+IF(240=RefiMonth,RefiCashOut,0)+IF(240=DispoMonth,NetSale,0)</f>
        <v/>
      </c>
      <c r="IK6" s="267">
        <f>-ConLoan!IK$27+IF(Timeline!IK$41=1,Operating!IK$42-PermLoan!IK$29,0)+IF(241=StabMonth,OpReserve,0)+IF(241=RefiMonth,RefiCashOut,0)+IF(241=DispoMonth,NetSale,0)</f>
        <v/>
      </c>
      <c r="IL6" s="267">
        <f>-ConLoan!IL$27+IF(Timeline!IL$41=1,Operating!IL$42-PermLoan!IL$29,0)+IF(242=StabMonth,OpReserve,0)+IF(242=RefiMonth,RefiCashOut,0)+IF(242=DispoMonth,NetSale,0)</f>
        <v/>
      </c>
      <c r="IM6" s="267">
        <f>-ConLoan!IM$27+IF(Timeline!IM$41=1,Operating!IM$42-PermLoan!IM$29,0)+IF(243=StabMonth,OpReserve,0)+IF(243=RefiMonth,RefiCashOut,0)+IF(243=DispoMonth,NetSale,0)</f>
        <v/>
      </c>
      <c r="IN6" s="267">
        <f>-ConLoan!IN$27+IF(Timeline!IN$41=1,Operating!IN$42-PermLoan!IN$29,0)+IF(244=StabMonth,OpReserve,0)+IF(244=RefiMonth,RefiCashOut,0)+IF(244=DispoMonth,NetSale,0)</f>
        <v/>
      </c>
      <c r="IO6" s="267">
        <f>-ConLoan!IO$27+IF(Timeline!IO$41=1,Operating!IO$42-PermLoan!IO$29,0)+IF(245=StabMonth,OpReserve,0)+IF(245=RefiMonth,RefiCashOut,0)+IF(245=DispoMonth,NetSale,0)</f>
        <v/>
      </c>
      <c r="IP6" s="267">
        <f>-ConLoan!IP$27+IF(Timeline!IP$41=1,Operating!IP$42-PermLoan!IP$29,0)+IF(246=StabMonth,OpReserve,0)+IF(246=RefiMonth,RefiCashOut,0)+IF(246=DispoMonth,NetSale,0)</f>
        <v/>
      </c>
      <c r="IQ6" s="267">
        <f>-ConLoan!IQ$27+IF(Timeline!IQ$41=1,Operating!IQ$42-PermLoan!IQ$29,0)+IF(247=StabMonth,OpReserve,0)+IF(247=RefiMonth,RefiCashOut,0)+IF(247=DispoMonth,NetSale,0)</f>
        <v/>
      </c>
      <c r="IR6" s="267">
        <f>-ConLoan!IR$27+IF(Timeline!IR$41=1,Operating!IR$42-PermLoan!IR$29,0)+IF(248=StabMonth,OpReserve,0)+IF(248=RefiMonth,RefiCashOut,0)+IF(248=DispoMonth,NetSale,0)</f>
        <v/>
      </c>
      <c r="IS6" s="267">
        <f>-ConLoan!IS$27+IF(Timeline!IS$41=1,Operating!IS$42-PermLoan!IS$29,0)+IF(249=StabMonth,OpReserve,0)+IF(249=RefiMonth,RefiCashOut,0)+IF(249=DispoMonth,NetSale,0)</f>
        <v/>
      </c>
      <c r="IT6" s="267">
        <f>-ConLoan!IT$27+IF(Timeline!IT$41=1,Operating!IT$42-PermLoan!IT$29,0)+IF(250=StabMonth,OpReserve,0)+IF(250=RefiMonth,RefiCashOut,0)+IF(250=DispoMonth,NetSale,0)</f>
        <v/>
      </c>
      <c r="IU6" s="267">
        <f>-ConLoan!IU$27+IF(Timeline!IU$41=1,Operating!IU$42-PermLoan!IU$29,0)+IF(251=StabMonth,OpReserve,0)+IF(251=RefiMonth,RefiCashOut,0)+IF(251=DispoMonth,NetSale,0)</f>
        <v/>
      </c>
      <c r="IV6" s="267">
        <f>-ConLoan!IV$27+IF(Timeline!IV$41=1,Operating!IV$42-PermLoan!IV$29,0)+IF(252=StabMonth,OpReserve,0)+IF(252=RefiMonth,RefiCashOut,0)+IF(252=DispoMonth,NetSale,0)</f>
        <v/>
      </c>
      <c r="IW6" s="267">
        <f>-ConLoan!IW$27+IF(Timeline!IW$41=1,Operating!IW$42-PermLoan!IW$29,0)+IF(253=StabMonth,OpReserve,0)+IF(253=RefiMonth,RefiCashOut,0)+IF(253=DispoMonth,NetSale,0)</f>
        <v/>
      </c>
      <c r="IX6" s="267">
        <f>-ConLoan!IX$27+IF(Timeline!IX$41=1,Operating!IX$42-PermLoan!IX$29,0)+IF(254=StabMonth,OpReserve,0)+IF(254=RefiMonth,RefiCashOut,0)+IF(254=DispoMonth,NetSale,0)</f>
        <v/>
      </c>
      <c r="IY6" s="267">
        <f>-ConLoan!IY$27+IF(Timeline!IY$41=1,Operating!IY$42-PermLoan!IY$29,0)+IF(255=StabMonth,OpReserve,0)+IF(255=RefiMonth,RefiCashOut,0)+IF(255=DispoMonth,NetSale,0)</f>
        <v/>
      </c>
      <c r="IZ6" s="267">
        <f>-ConLoan!IZ$27+IF(Timeline!IZ$41=1,Operating!IZ$42-PermLoan!IZ$29,0)+IF(256=StabMonth,OpReserve,0)+IF(256=RefiMonth,RefiCashOut,0)+IF(256=DispoMonth,NetSale,0)</f>
        <v/>
      </c>
      <c r="JA6" s="267">
        <f>-ConLoan!JA$27+IF(Timeline!JA$41=1,Operating!JA$42-PermLoan!JA$29,0)+IF(257=StabMonth,OpReserve,0)+IF(257=RefiMonth,RefiCashOut,0)+IF(257=DispoMonth,NetSale,0)</f>
        <v/>
      </c>
      <c r="JB6" s="267">
        <f>-ConLoan!JB$27+IF(Timeline!JB$41=1,Operating!JB$42-PermLoan!JB$29,0)+IF(258=StabMonth,OpReserve,0)+IF(258=RefiMonth,RefiCashOut,0)+IF(258=DispoMonth,NetSale,0)</f>
        <v/>
      </c>
      <c r="JC6" s="267">
        <f>-ConLoan!JC$27+IF(Timeline!JC$41=1,Operating!JC$42-PermLoan!JC$29,0)+IF(259=StabMonth,OpReserve,0)+IF(259=RefiMonth,RefiCashOut,0)+IF(259=DispoMonth,NetSale,0)</f>
        <v/>
      </c>
      <c r="JD6" s="267">
        <f>-ConLoan!JD$27+IF(Timeline!JD$41=1,Operating!JD$42-PermLoan!JD$29,0)+IF(260=StabMonth,OpReserve,0)+IF(260=RefiMonth,RefiCashOut,0)+IF(260=DispoMonth,NetSale,0)</f>
        <v/>
      </c>
      <c r="JE6" s="267">
        <f>-ConLoan!JE$27+IF(Timeline!JE$41=1,Operating!JE$42-PermLoan!JE$29,0)+IF(261=StabMonth,OpReserve,0)+IF(261=RefiMonth,RefiCashOut,0)+IF(261=DispoMonth,NetSale,0)</f>
        <v/>
      </c>
      <c r="JF6" s="267">
        <f>-ConLoan!JF$27+IF(Timeline!JF$41=1,Operating!JF$42-PermLoan!JF$29,0)+IF(262=StabMonth,OpReserve,0)+IF(262=RefiMonth,RefiCashOut,0)+IF(262=DispoMonth,NetSale,0)</f>
        <v/>
      </c>
      <c r="JG6" s="267">
        <f>-ConLoan!JG$27+IF(Timeline!JG$41=1,Operating!JG$42-PermLoan!JG$29,0)+IF(263=StabMonth,OpReserve,0)+IF(263=RefiMonth,RefiCashOut,0)+IF(263=DispoMonth,NetSale,0)</f>
        <v/>
      </c>
      <c r="JH6" s="267">
        <f>-ConLoan!JH$27+IF(Timeline!JH$41=1,Operating!JH$42-PermLoan!JH$29,0)+IF(264=StabMonth,OpReserve,0)+IF(264=RefiMonth,RefiCashOut,0)+IF(264=DispoMonth,NetSale,0)</f>
        <v/>
      </c>
      <c r="JI6" s="267">
        <f>-ConLoan!JI$27+IF(Timeline!JI$41=1,Operating!JI$42-PermLoan!JI$29,0)+IF(265=StabMonth,OpReserve,0)+IF(265=RefiMonth,RefiCashOut,0)+IF(265=DispoMonth,NetSale,0)</f>
        <v/>
      </c>
      <c r="JJ6" s="267">
        <f>-ConLoan!JJ$27+IF(Timeline!JJ$41=1,Operating!JJ$42-PermLoan!JJ$29,0)+IF(266=StabMonth,OpReserve,0)+IF(266=RefiMonth,RefiCashOut,0)+IF(266=DispoMonth,NetSale,0)</f>
        <v/>
      </c>
      <c r="JK6" s="267">
        <f>-ConLoan!JK$27+IF(Timeline!JK$41=1,Operating!JK$42-PermLoan!JK$29,0)+IF(267=StabMonth,OpReserve,0)+IF(267=RefiMonth,RefiCashOut,0)+IF(267=DispoMonth,NetSale,0)</f>
        <v/>
      </c>
      <c r="JL6" s="267">
        <f>-ConLoan!JL$27+IF(Timeline!JL$41=1,Operating!JL$42-PermLoan!JL$29,0)+IF(268=StabMonth,OpReserve,0)+IF(268=RefiMonth,RefiCashOut,0)+IF(268=DispoMonth,NetSale,0)</f>
        <v/>
      </c>
      <c r="JM6" s="267">
        <f>-ConLoan!JM$27+IF(Timeline!JM$41=1,Operating!JM$42-PermLoan!JM$29,0)+IF(269=StabMonth,OpReserve,0)+IF(269=RefiMonth,RefiCashOut,0)+IF(269=DispoMonth,NetSale,0)</f>
        <v/>
      </c>
      <c r="JN6" s="267">
        <f>-ConLoan!JN$27+IF(Timeline!JN$41=1,Operating!JN$42-PermLoan!JN$29,0)+IF(270=StabMonth,OpReserve,0)+IF(270=RefiMonth,RefiCashOut,0)+IF(270=DispoMonth,NetSale,0)</f>
        <v/>
      </c>
      <c r="JO6" s="267">
        <f>-ConLoan!JO$27+IF(Timeline!JO$41=1,Operating!JO$42-PermLoan!JO$29,0)+IF(271=StabMonth,OpReserve,0)+IF(271=RefiMonth,RefiCashOut,0)+IF(271=DispoMonth,NetSale,0)</f>
        <v/>
      </c>
      <c r="JP6" s="267">
        <f>-ConLoan!JP$27+IF(Timeline!JP$41=1,Operating!JP$42-PermLoan!JP$29,0)+IF(272=StabMonth,OpReserve,0)+IF(272=RefiMonth,RefiCashOut,0)+IF(272=DispoMonth,NetSale,0)</f>
        <v/>
      </c>
      <c r="JQ6" s="267">
        <f>-ConLoan!JQ$27+IF(Timeline!JQ$41=1,Operating!JQ$42-PermLoan!JQ$29,0)+IF(273=StabMonth,OpReserve,0)+IF(273=RefiMonth,RefiCashOut,0)+IF(273=DispoMonth,NetSale,0)</f>
        <v/>
      </c>
      <c r="JR6" s="267">
        <f>-ConLoan!JR$27+IF(Timeline!JR$41=1,Operating!JR$42-PermLoan!JR$29,0)+IF(274=StabMonth,OpReserve,0)+IF(274=RefiMonth,RefiCashOut,0)+IF(274=DispoMonth,NetSale,0)</f>
        <v/>
      </c>
      <c r="JS6" s="267">
        <f>-ConLoan!JS$27+IF(Timeline!JS$41=1,Operating!JS$42-PermLoan!JS$29,0)+IF(275=StabMonth,OpReserve,0)+IF(275=RefiMonth,RefiCashOut,0)+IF(275=DispoMonth,NetSale,0)</f>
        <v/>
      </c>
      <c r="JT6" s="267">
        <f>-ConLoan!JT$27+IF(Timeline!JT$41=1,Operating!JT$42-PermLoan!JT$29,0)+IF(276=StabMonth,OpReserve,0)+IF(276=RefiMonth,RefiCashOut,0)+IF(276=DispoMonth,NetSale,0)</f>
        <v/>
      </c>
      <c r="JU6" s="267">
        <f>-ConLoan!JU$27+IF(Timeline!JU$41=1,Operating!JU$42-PermLoan!JU$29,0)+IF(277=StabMonth,OpReserve,0)+IF(277=RefiMonth,RefiCashOut,0)+IF(277=DispoMonth,NetSale,0)</f>
        <v/>
      </c>
      <c r="JV6" s="267">
        <f>-ConLoan!JV$27+IF(Timeline!JV$41=1,Operating!JV$42-PermLoan!JV$29,0)+IF(278=StabMonth,OpReserve,0)+IF(278=RefiMonth,RefiCashOut,0)+IF(278=DispoMonth,NetSale,0)</f>
        <v/>
      </c>
      <c r="JW6" s="267">
        <f>-ConLoan!JW$27+IF(Timeline!JW$41=1,Operating!JW$42-PermLoan!JW$29,0)+IF(279=StabMonth,OpReserve,0)+IF(279=RefiMonth,RefiCashOut,0)+IF(279=DispoMonth,NetSale,0)</f>
        <v/>
      </c>
      <c r="JX6" s="267">
        <f>-ConLoan!JX$27+IF(Timeline!JX$41=1,Operating!JX$42-PermLoan!JX$29,0)+IF(280=StabMonth,OpReserve,0)+IF(280=RefiMonth,RefiCashOut,0)+IF(280=DispoMonth,NetSale,0)</f>
        <v/>
      </c>
      <c r="JY6" s="267">
        <f>-ConLoan!JY$27+IF(Timeline!JY$41=1,Operating!JY$42-PermLoan!JY$29,0)+IF(281=StabMonth,OpReserve,0)+IF(281=RefiMonth,RefiCashOut,0)+IF(281=DispoMonth,NetSale,0)</f>
        <v/>
      </c>
      <c r="JZ6" s="267">
        <f>-ConLoan!JZ$27+IF(Timeline!JZ$41=1,Operating!JZ$42-PermLoan!JZ$29,0)+IF(282=StabMonth,OpReserve,0)+IF(282=RefiMonth,RefiCashOut,0)+IF(282=DispoMonth,NetSale,0)</f>
        <v/>
      </c>
      <c r="KA6" s="267">
        <f>-ConLoan!KA$27+IF(Timeline!KA$41=1,Operating!KA$42-PermLoan!KA$29,0)+IF(283=StabMonth,OpReserve,0)+IF(283=RefiMonth,RefiCashOut,0)+IF(283=DispoMonth,NetSale,0)</f>
        <v/>
      </c>
      <c r="KB6" s="267">
        <f>-ConLoan!KB$27+IF(Timeline!KB$41=1,Operating!KB$42-PermLoan!KB$29,0)+IF(284=StabMonth,OpReserve,0)+IF(284=RefiMonth,RefiCashOut,0)+IF(284=DispoMonth,NetSale,0)</f>
        <v/>
      </c>
      <c r="KC6" s="267">
        <f>-ConLoan!KC$27+IF(Timeline!KC$41=1,Operating!KC$42-PermLoan!KC$29,0)+IF(285=StabMonth,OpReserve,0)+IF(285=RefiMonth,RefiCashOut,0)+IF(285=DispoMonth,NetSale,0)</f>
        <v/>
      </c>
      <c r="KD6" s="267">
        <f>-ConLoan!KD$27+IF(Timeline!KD$41=1,Operating!KD$42-PermLoan!KD$29,0)+IF(286=StabMonth,OpReserve,0)+IF(286=RefiMonth,RefiCashOut,0)+IF(286=DispoMonth,NetSale,0)</f>
        <v/>
      </c>
      <c r="KE6" s="267">
        <f>-ConLoan!KE$27+IF(Timeline!KE$41=1,Operating!KE$42-PermLoan!KE$29,0)+IF(287=StabMonth,OpReserve,0)+IF(287=RefiMonth,RefiCashOut,0)+IF(287=DispoMonth,NetSale,0)</f>
        <v/>
      </c>
      <c r="KF6" s="267">
        <f>-ConLoan!KF$27+IF(Timeline!KF$41=1,Operating!KF$42-PermLoan!KF$29,0)+IF(288=StabMonth,OpReserve,0)+IF(288=RefiMonth,RefiCashOut,0)+IF(288=DispoMonth,NetSale,0)</f>
        <v/>
      </c>
      <c r="KG6" s="267">
        <f>-ConLoan!KG$27+IF(Timeline!KG$41=1,Operating!KG$42-PermLoan!KG$29,0)+IF(289=StabMonth,OpReserve,0)+IF(289=RefiMonth,RefiCashOut,0)+IF(289=DispoMonth,NetSale,0)</f>
        <v/>
      </c>
      <c r="KH6" s="267">
        <f>-ConLoan!KH$27+IF(Timeline!KH$41=1,Operating!KH$42-PermLoan!KH$29,0)+IF(290=StabMonth,OpReserve,0)+IF(290=RefiMonth,RefiCashOut,0)+IF(290=DispoMonth,NetSale,0)</f>
        <v/>
      </c>
      <c r="KI6" s="267">
        <f>-ConLoan!KI$27+IF(Timeline!KI$41=1,Operating!KI$42-PermLoan!KI$29,0)+IF(291=StabMonth,OpReserve,0)+IF(291=RefiMonth,RefiCashOut,0)+IF(291=DispoMonth,NetSale,0)</f>
        <v/>
      </c>
      <c r="KJ6" s="267">
        <f>-ConLoan!KJ$27+IF(Timeline!KJ$41=1,Operating!KJ$42-PermLoan!KJ$29,0)+IF(292=StabMonth,OpReserve,0)+IF(292=RefiMonth,RefiCashOut,0)+IF(292=DispoMonth,NetSale,0)</f>
        <v/>
      </c>
      <c r="KK6" s="267">
        <f>-ConLoan!KK$27+IF(Timeline!KK$41=1,Operating!KK$42-PermLoan!KK$29,0)+IF(293=StabMonth,OpReserve,0)+IF(293=RefiMonth,RefiCashOut,0)+IF(293=DispoMonth,NetSale,0)</f>
        <v/>
      </c>
      <c r="KL6" s="267">
        <f>-ConLoan!KL$27+IF(Timeline!KL$41=1,Operating!KL$42-PermLoan!KL$29,0)+IF(294=StabMonth,OpReserve,0)+IF(294=RefiMonth,RefiCashOut,0)+IF(294=DispoMonth,NetSale,0)</f>
        <v/>
      </c>
      <c r="KM6" s="267">
        <f>-ConLoan!KM$27+IF(Timeline!KM$41=1,Operating!KM$42-PermLoan!KM$29,0)+IF(295=StabMonth,OpReserve,0)+IF(295=RefiMonth,RefiCashOut,0)+IF(295=DispoMonth,NetSale,0)</f>
        <v/>
      </c>
      <c r="KN6" s="267">
        <f>-ConLoan!KN$27+IF(Timeline!KN$41=1,Operating!KN$42-PermLoan!KN$29,0)+IF(296=StabMonth,OpReserve,0)+IF(296=RefiMonth,RefiCashOut,0)+IF(296=DispoMonth,NetSale,0)</f>
        <v/>
      </c>
      <c r="KO6" s="267">
        <f>-ConLoan!KO$27+IF(Timeline!KO$41=1,Operating!KO$42-PermLoan!KO$29,0)+IF(297=StabMonth,OpReserve,0)+IF(297=RefiMonth,RefiCashOut,0)+IF(297=DispoMonth,NetSale,0)</f>
        <v/>
      </c>
      <c r="KP6" s="267">
        <f>-ConLoan!KP$27+IF(Timeline!KP$41=1,Operating!KP$42-PermLoan!KP$29,0)+IF(298=StabMonth,OpReserve,0)+IF(298=RefiMonth,RefiCashOut,0)+IF(298=DispoMonth,NetSale,0)</f>
        <v/>
      </c>
      <c r="KQ6" s="267">
        <f>-ConLoan!KQ$27+IF(Timeline!KQ$41=1,Operating!KQ$42-PermLoan!KQ$29,0)+IF(299=StabMonth,OpReserve,0)+IF(299=RefiMonth,RefiCashOut,0)+IF(299=DispoMonth,NetSale,0)</f>
        <v/>
      </c>
      <c r="KR6" s="267">
        <f>-ConLoan!KR$27+IF(Timeline!KR$41=1,Operating!KR$42-PermLoan!KR$29,0)+IF(300=StabMonth,OpReserve,0)+IF(300=RefiMonth,RefiCashOut,0)+IF(300=DispoMonth,NetSale,0)</f>
        <v/>
      </c>
      <c r="KS6" s="267">
        <f>-ConLoan!KS$27+IF(Timeline!KS$41=1,Operating!KS$42-PermLoan!KS$29,0)+IF(301=StabMonth,OpReserve,0)+IF(301=RefiMonth,RefiCashOut,0)+IF(301=DispoMonth,NetSale,0)</f>
        <v/>
      </c>
      <c r="KT6" s="267">
        <f>-ConLoan!KT$27+IF(Timeline!KT$41=1,Operating!KT$42-PermLoan!KT$29,0)+IF(302=StabMonth,OpReserve,0)+IF(302=RefiMonth,RefiCashOut,0)+IF(302=DispoMonth,NetSale,0)</f>
        <v/>
      </c>
      <c r="KU6" s="267">
        <f>-ConLoan!KU$27+IF(Timeline!KU$41=1,Operating!KU$42-PermLoan!KU$29,0)+IF(303=StabMonth,OpReserve,0)+IF(303=RefiMonth,RefiCashOut,0)+IF(303=DispoMonth,NetSale,0)</f>
        <v/>
      </c>
      <c r="KV6" s="267">
        <f>-ConLoan!KV$27+IF(Timeline!KV$41=1,Operating!KV$42-PermLoan!KV$29,0)+IF(304=StabMonth,OpReserve,0)+IF(304=RefiMonth,RefiCashOut,0)+IF(304=DispoMonth,NetSale,0)</f>
        <v/>
      </c>
      <c r="KW6" s="267">
        <f>-ConLoan!KW$27+IF(Timeline!KW$41=1,Operating!KW$42-PermLoan!KW$29,0)+IF(305=StabMonth,OpReserve,0)+IF(305=RefiMonth,RefiCashOut,0)+IF(305=DispoMonth,NetSale,0)</f>
        <v/>
      </c>
      <c r="KX6" s="267">
        <f>-ConLoan!KX$27+IF(Timeline!KX$41=1,Operating!KX$42-PermLoan!KX$29,0)+IF(306=StabMonth,OpReserve,0)+IF(306=RefiMonth,RefiCashOut,0)+IF(306=DispoMonth,NetSale,0)</f>
        <v/>
      </c>
      <c r="KY6" s="267">
        <f>-ConLoan!KY$27+IF(Timeline!KY$41=1,Operating!KY$42-PermLoan!KY$29,0)+IF(307=StabMonth,OpReserve,0)+IF(307=RefiMonth,RefiCashOut,0)+IF(307=DispoMonth,NetSale,0)</f>
        <v/>
      </c>
      <c r="KZ6" s="267">
        <f>-ConLoan!KZ$27+IF(Timeline!KZ$41=1,Operating!KZ$42-PermLoan!KZ$29,0)+IF(308=StabMonth,OpReserve,0)+IF(308=RefiMonth,RefiCashOut,0)+IF(308=DispoMonth,NetSale,0)</f>
        <v/>
      </c>
      <c r="LA6" s="267">
        <f>-ConLoan!LA$27+IF(Timeline!LA$41=1,Operating!LA$42-PermLoan!LA$29,0)+IF(309=StabMonth,OpReserve,0)+IF(309=RefiMonth,RefiCashOut,0)+IF(309=DispoMonth,NetSale,0)</f>
        <v/>
      </c>
      <c r="LB6" s="267">
        <f>-ConLoan!LB$27+IF(Timeline!LB$41=1,Operating!LB$42-PermLoan!LB$29,0)+IF(310=StabMonth,OpReserve,0)+IF(310=RefiMonth,RefiCashOut,0)+IF(310=DispoMonth,NetSale,0)</f>
        <v/>
      </c>
      <c r="LC6" s="267">
        <f>-ConLoan!LC$27+IF(Timeline!LC$41=1,Operating!LC$42-PermLoan!LC$29,0)+IF(311=StabMonth,OpReserve,0)+IF(311=RefiMonth,RefiCashOut,0)+IF(311=DispoMonth,NetSale,0)</f>
        <v/>
      </c>
      <c r="LD6" s="267">
        <f>-ConLoan!LD$27+IF(Timeline!LD$41=1,Operating!LD$42-PermLoan!LD$29,0)+IF(312=StabMonth,OpReserve,0)+IF(312=RefiMonth,RefiCashOut,0)+IF(312=DispoMonth,NetSale,0)</f>
        <v/>
      </c>
      <c r="LE6" s="267">
        <f>-ConLoan!LE$27+IF(Timeline!LE$41=1,Operating!LE$42-PermLoan!LE$29,0)+IF(313=StabMonth,OpReserve,0)+IF(313=RefiMonth,RefiCashOut,0)+IF(313=DispoMonth,NetSale,0)</f>
        <v/>
      </c>
      <c r="LF6" s="267">
        <f>-ConLoan!LF$27+IF(Timeline!LF$41=1,Operating!LF$42-PermLoan!LF$29,0)+IF(314=StabMonth,OpReserve,0)+IF(314=RefiMonth,RefiCashOut,0)+IF(314=DispoMonth,NetSale,0)</f>
        <v/>
      </c>
      <c r="LG6" s="267">
        <f>-ConLoan!LG$27+IF(Timeline!LG$41=1,Operating!LG$42-PermLoan!LG$29,0)+IF(315=StabMonth,OpReserve,0)+IF(315=RefiMonth,RefiCashOut,0)+IF(315=DispoMonth,NetSale,0)</f>
        <v/>
      </c>
      <c r="LH6" s="267">
        <f>-ConLoan!LH$27+IF(Timeline!LH$41=1,Operating!LH$42-PermLoan!LH$29,0)+IF(316=StabMonth,OpReserve,0)+IF(316=RefiMonth,RefiCashOut,0)+IF(316=DispoMonth,NetSale,0)</f>
        <v/>
      </c>
      <c r="LI6" s="267">
        <f>-ConLoan!LI$27+IF(Timeline!LI$41=1,Operating!LI$42-PermLoan!LI$29,0)+IF(317=StabMonth,OpReserve,0)+IF(317=RefiMonth,RefiCashOut,0)+IF(317=DispoMonth,NetSale,0)</f>
        <v/>
      </c>
      <c r="LJ6" s="267">
        <f>-ConLoan!LJ$27+IF(Timeline!LJ$41=1,Operating!LJ$42-PermLoan!LJ$29,0)+IF(318=StabMonth,OpReserve,0)+IF(318=RefiMonth,RefiCashOut,0)+IF(318=DispoMonth,NetSale,0)</f>
        <v/>
      </c>
      <c r="LK6" s="267">
        <f>-ConLoan!LK$27+IF(Timeline!LK$41=1,Operating!LK$42-PermLoan!LK$29,0)+IF(319=StabMonth,OpReserve,0)+IF(319=RefiMonth,RefiCashOut,0)+IF(319=DispoMonth,NetSale,0)</f>
        <v/>
      </c>
      <c r="LL6" s="267">
        <f>-ConLoan!LL$27+IF(Timeline!LL$41=1,Operating!LL$42-PermLoan!LL$29,0)+IF(320=StabMonth,OpReserve,0)+IF(320=RefiMonth,RefiCashOut,0)+IF(320=DispoMonth,NetSale,0)</f>
        <v/>
      </c>
      <c r="LM6" s="267">
        <f>-ConLoan!LM$27+IF(Timeline!LM$41=1,Operating!LM$42-PermLoan!LM$29,0)+IF(321=StabMonth,OpReserve,0)+IF(321=RefiMonth,RefiCashOut,0)+IF(321=DispoMonth,NetSale,0)</f>
        <v/>
      </c>
      <c r="LN6" s="267">
        <f>-ConLoan!LN$27+IF(Timeline!LN$41=1,Operating!LN$42-PermLoan!LN$29,0)+IF(322=StabMonth,OpReserve,0)+IF(322=RefiMonth,RefiCashOut,0)+IF(322=DispoMonth,NetSale,0)</f>
        <v/>
      </c>
      <c r="LO6" s="267">
        <f>-ConLoan!LO$27+IF(Timeline!LO$41=1,Operating!LO$42-PermLoan!LO$29,0)+IF(323=StabMonth,OpReserve,0)+IF(323=RefiMonth,RefiCashOut,0)+IF(323=DispoMonth,NetSale,0)</f>
        <v/>
      </c>
      <c r="LP6" s="267">
        <f>-ConLoan!LP$27+IF(Timeline!LP$41=1,Operating!LP$42-PermLoan!LP$29,0)+IF(324=StabMonth,OpReserve,0)+IF(324=RefiMonth,RefiCashOut,0)+IF(324=DispoMonth,NetSale,0)</f>
        <v/>
      </c>
      <c r="LQ6" s="267">
        <f>-ConLoan!LQ$27+IF(Timeline!LQ$41=1,Operating!LQ$42-PermLoan!LQ$29,0)+IF(325=StabMonth,OpReserve,0)+IF(325=RefiMonth,RefiCashOut,0)+IF(325=DispoMonth,NetSale,0)</f>
        <v/>
      </c>
      <c r="LR6" s="267">
        <f>-ConLoan!LR$27+IF(Timeline!LR$41=1,Operating!LR$42-PermLoan!LR$29,0)+IF(326=StabMonth,OpReserve,0)+IF(326=RefiMonth,RefiCashOut,0)+IF(326=DispoMonth,NetSale,0)</f>
        <v/>
      </c>
      <c r="LS6" s="267">
        <f>-ConLoan!LS$27+IF(Timeline!LS$41=1,Operating!LS$42-PermLoan!LS$29,0)+IF(327=StabMonth,OpReserve,0)+IF(327=RefiMonth,RefiCashOut,0)+IF(327=DispoMonth,NetSale,0)</f>
        <v/>
      </c>
      <c r="LT6" s="267">
        <f>-ConLoan!LT$27+IF(Timeline!LT$41=1,Operating!LT$42-PermLoan!LT$29,0)+IF(328=StabMonth,OpReserve,0)+IF(328=RefiMonth,RefiCashOut,0)+IF(328=DispoMonth,NetSale,0)</f>
        <v/>
      </c>
      <c r="LU6" s="267">
        <f>-ConLoan!LU$27+IF(Timeline!LU$41=1,Operating!LU$42-PermLoan!LU$29,0)+IF(329=StabMonth,OpReserve,0)+IF(329=RefiMonth,RefiCashOut,0)+IF(329=DispoMonth,NetSale,0)</f>
        <v/>
      </c>
      <c r="LV6" s="267">
        <f>-ConLoan!LV$27+IF(Timeline!LV$41=1,Operating!LV$42-PermLoan!LV$29,0)+IF(330=StabMonth,OpReserve,0)+IF(330=RefiMonth,RefiCashOut,0)+IF(330=DispoMonth,NetSale,0)</f>
        <v/>
      </c>
      <c r="LW6" s="267">
        <f>-ConLoan!LW$27+IF(Timeline!LW$41=1,Operating!LW$42-PermLoan!LW$29,0)+IF(331=StabMonth,OpReserve,0)+IF(331=RefiMonth,RefiCashOut,0)+IF(331=DispoMonth,NetSale,0)</f>
        <v/>
      </c>
      <c r="LX6" s="267">
        <f>-ConLoan!LX$27+IF(Timeline!LX$41=1,Operating!LX$42-PermLoan!LX$29,0)+IF(332=StabMonth,OpReserve,0)+IF(332=RefiMonth,RefiCashOut,0)+IF(332=DispoMonth,NetSale,0)</f>
        <v/>
      </c>
      <c r="LY6" s="267">
        <f>-ConLoan!LY$27+IF(Timeline!LY$41=1,Operating!LY$42-PermLoan!LY$29,0)+IF(333=StabMonth,OpReserve,0)+IF(333=RefiMonth,RefiCashOut,0)+IF(333=DispoMonth,NetSale,0)</f>
        <v/>
      </c>
      <c r="LZ6" s="267">
        <f>-ConLoan!LZ$27+IF(Timeline!LZ$41=1,Operating!LZ$42-PermLoan!LZ$29,0)+IF(334=StabMonth,OpReserve,0)+IF(334=RefiMonth,RefiCashOut,0)+IF(334=DispoMonth,NetSale,0)</f>
        <v/>
      </c>
      <c r="MA6" s="267">
        <f>-ConLoan!MA$27+IF(Timeline!MA$41=1,Operating!MA$42-PermLoan!MA$29,0)+IF(335=StabMonth,OpReserve,0)+IF(335=RefiMonth,RefiCashOut,0)+IF(335=DispoMonth,NetSale,0)</f>
        <v/>
      </c>
      <c r="MB6" s="267">
        <f>-ConLoan!MB$27+IF(Timeline!MB$41=1,Operating!MB$42-PermLoan!MB$29,0)+IF(336=StabMonth,OpReserve,0)+IF(336=RefiMonth,RefiCashOut,0)+IF(336=DispoMonth,NetSale,0)</f>
        <v/>
      </c>
      <c r="MC6" s="267">
        <f>-ConLoan!MC$27+IF(Timeline!MC$41=1,Operating!MC$42-PermLoan!MC$29,0)+IF(337=StabMonth,OpReserve,0)+IF(337=RefiMonth,RefiCashOut,0)+IF(337=DispoMonth,NetSale,0)</f>
        <v/>
      </c>
      <c r="MD6" s="267">
        <f>-ConLoan!MD$27+IF(Timeline!MD$41=1,Operating!MD$42-PermLoan!MD$29,0)+IF(338=StabMonth,OpReserve,0)+IF(338=RefiMonth,RefiCashOut,0)+IF(338=DispoMonth,NetSale,0)</f>
        <v/>
      </c>
      <c r="ME6" s="267">
        <f>-ConLoan!ME$27+IF(Timeline!ME$41=1,Operating!ME$42-PermLoan!ME$29,0)+IF(339=StabMonth,OpReserve,0)+IF(339=RefiMonth,RefiCashOut,0)+IF(339=DispoMonth,NetSale,0)</f>
        <v/>
      </c>
      <c r="MF6" s="267">
        <f>-ConLoan!MF$27+IF(Timeline!MF$41=1,Operating!MF$42-PermLoan!MF$29,0)+IF(340=StabMonth,OpReserve,0)+IF(340=RefiMonth,RefiCashOut,0)+IF(340=DispoMonth,NetSale,0)</f>
        <v/>
      </c>
      <c r="MG6" s="267">
        <f>-ConLoan!MG$27+IF(Timeline!MG$41=1,Operating!MG$42-PermLoan!MG$29,0)+IF(341=StabMonth,OpReserve,0)+IF(341=RefiMonth,RefiCashOut,0)+IF(341=DispoMonth,NetSale,0)</f>
        <v/>
      </c>
      <c r="MH6" s="267">
        <f>-ConLoan!MH$27+IF(Timeline!MH$41=1,Operating!MH$42-PermLoan!MH$29,0)+IF(342=StabMonth,OpReserve,0)+IF(342=RefiMonth,RefiCashOut,0)+IF(342=DispoMonth,NetSale,0)</f>
        <v/>
      </c>
      <c r="MI6" s="267">
        <f>-ConLoan!MI$27+IF(Timeline!MI$41=1,Operating!MI$42-PermLoan!MI$29,0)+IF(343=StabMonth,OpReserve,0)+IF(343=RefiMonth,RefiCashOut,0)+IF(343=DispoMonth,NetSale,0)</f>
        <v/>
      </c>
      <c r="MJ6" s="267">
        <f>-ConLoan!MJ$27+IF(Timeline!MJ$41=1,Operating!MJ$42-PermLoan!MJ$29,0)+IF(344=StabMonth,OpReserve,0)+IF(344=RefiMonth,RefiCashOut,0)+IF(344=DispoMonth,NetSale,0)</f>
        <v/>
      </c>
      <c r="MK6" s="267">
        <f>-ConLoan!MK$27+IF(Timeline!MK$41=1,Operating!MK$42-PermLoan!MK$29,0)+IF(345=StabMonth,OpReserve,0)+IF(345=RefiMonth,RefiCashOut,0)+IF(345=DispoMonth,NetSale,0)</f>
        <v/>
      </c>
      <c r="ML6" s="267">
        <f>-ConLoan!ML$27+IF(Timeline!ML$41=1,Operating!ML$42-PermLoan!ML$29,0)+IF(346=StabMonth,OpReserve,0)+IF(346=RefiMonth,RefiCashOut,0)+IF(346=DispoMonth,NetSale,0)</f>
        <v/>
      </c>
      <c r="MM6" s="267">
        <f>-ConLoan!MM$27+IF(Timeline!MM$41=1,Operating!MM$42-PermLoan!MM$29,0)+IF(347=StabMonth,OpReserve,0)+IF(347=RefiMonth,RefiCashOut,0)+IF(347=DispoMonth,NetSale,0)</f>
        <v/>
      </c>
      <c r="MN6" s="267">
        <f>-ConLoan!MN$27+IF(Timeline!MN$41=1,Operating!MN$42-PermLoan!MN$29,0)+IF(348=StabMonth,OpReserve,0)+IF(348=RefiMonth,RefiCashOut,0)+IF(348=DispoMonth,NetSale,0)</f>
        <v/>
      </c>
      <c r="MO6" s="267">
        <f>-ConLoan!MO$27+IF(Timeline!MO$41=1,Operating!MO$42-PermLoan!MO$29,0)+IF(349=StabMonth,OpReserve,0)+IF(349=RefiMonth,RefiCashOut,0)+IF(349=DispoMonth,NetSale,0)</f>
        <v/>
      </c>
      <c r="MP6" s="267">
        <f>-ConLoan!MP$27+IF(Timeline!MP$41=1,Operating!MP$42-PermLoan!MP$29,0)+IF(350=StabMonth,OpReserve,0)+IF(350=RefiMonth,RefiCashOut,0)+IF(350=DispoMonth,NetSale,0)</f>
        <v/>
      </c>
      <c r="MQ6" s="267">
        <f>-ConLoan!MQ$27+IF(Timeline!MQ$41=1,Operating!MQ$42-PermLoan!MQ$29,0)+IF(351=StabMonth,OpReserve,0)+IF(351=RefiMonth,RefiCashOut,0)+IF(351=DispoMonth,NetSale,0)</f>
        <v/>
      </c>
      <c r="MR6" s="267">
        <f>-ConLoan!MR$27+IF(Timeline!MR$41=1,Operating!MR$42-PermLoan!MR$29,0)+IF(352=StabMonth,OpReserve,0)+IF(352=RefiMonth,RefiCashOut,0)+IF(352=DispoMonth,NetSale,0)</f>
        <v/>
      </c>
      <c r="MS6" s="267">
        <f>-ConLoan!MS$27+IF(Timeline!MS$41=1,Operating!MS$42-PermLoan!MS$29,0)+IF(353=StabMonth,OpReserve,0)+IF(353=RefiMonth,RefiCashOut,0)+IF(353=DispoMonth,NetSale,0)</f>
        <v/>
      </c>
      <c r="MT6" s="267">
        <f>-ConLoan!MT$27+IF(Timeline!MT$41=1,Operating!MT$42-PermLoan!MT$29,0)+IF(354=StabMonth,OpReserve,0)+IF(354=RefiMonth,RefiCashOut,0)+IF(354=DispoMonth,NetSale,0)</f>
        <v/>
      </c>
      <c r="MU6" s="267">
        <f>-ConLoan!MU$27+IF(Timeline!MU$41=1,Operating!MU$42-PermLoan!MU$29,0)+IF(355=StabMonth,OpReserve,0)+IF(355=RefiMonth,RefiCashOut,0)+IF(355=DispoMonth,NetSale,0)</f>
        <v/>
      </c>
      <c r="MV6" s="267">
        <f>-ConLoan!MV$27+IF(Timeline!MV$41=1,Operating!MV$42-PermLoan!MV$29,0)+IF(356=StabMonth,OpReserve,0)+IF(356=RefiMonth,RefiCashOut,0)+IF(356=DispoMonth,NetSale,0)</f>
        <v/>
      </c>
      <c r="MW6" s="267">
        <f>-ConLoan!MW$27+IF(Timeline!MW$41=1,Operating!MW$42-PermLoan!MW$29,0)+IF(357=StabMonth,OpReserve,0)+IF(357=RefiMonth,RefiCashOut,0)+IF(357=DispoMonth,NetSale,0)</f>
        <v/>
      </c>
      <c r="MX6" s="267">
        <f>-ConLoan!MX$27+IF(Timeline!MX$41=1,Operating!MX$42-PermLoan!MX$29,0)+IF(358=StabMonth,OpReserve,0)+IF(358=RefiMonth,RefiCashOut,0)+IF(358=DispoMonth,NetSale,0)</f>
        <v/>
      </c>
      <c r="MY6" s="267">
        <f>-ConLoan!MY$27+IF(Timeline!MY$41=1,Operating!MY$42-PermLoan!MY$29,0)+IF(359=StabMonth,OpReserve,0)+IF(359=RefiMonth,RefiCashOut,0)+IF(359=DispoMonth,NetSale,0)</f>
        <v/>
      </c>
      <c r="MZ6" s="267">
        <f>-ConLoan!MZ$27+IF(Timeline!MZ$41=1,Operating!MZ$42-PermLoan!MZ$29,0)+IF(360=StabMonth,OpReserve,0)+IF(360=RefiMonth,RefiCashOut,0)+IF(360=DispoMonth,NetSale,0)</f>
        <v/>
      </c>
      <c r="NA6" s="267">
        <f>-ConLoan!NA$27+IF(Timeline!NA$41=1,Operating!NA$42-PermLoan!NA$29,0)+IF(361=StabMonth,OpReserve,0)+IF(361=RefiMonth,RefiCashOut,0)+IF(361=DispoMonth,NetSale,0)</f>
        <v/>
      </c>
      <c r="NB6" s="267">
        <f>-ConLoan!NB$27+IF(Timeline!NB$41=1,Operating!NB$42-PermLoan!NB$29,0)+IF(362=StabMonth,OpReserve,0)+IF(362=RefiMonth,RefiCashOut,0)+IF(362=DispoMonth,NetSale,0)</f>
        <v/>
      </c>
      <c r="NC6" s="267">
        <f>-ConLoan!NC$27+IF(Timeline!NC$41=1,Operating!NC$42-PermLoan!NC$29,0)+IF(363=StabMonth,OpReserve,0)+IF(363=RefiMonth,RefiCashOut,0)+IF(363=DispoMonth,NetSale,0)</f>
        <v/>
      </c>
      <c r="ND6" s="267">
        <f>-ConLoan!ND$27+IF(Timeline!ND$41=1,Operating!ND$42-PermLoan!ND$29,0)+IF(364=StabMonth,OpReserve,0)+IF(364=RefiMonth,RefiCashOut,0)+IF(364=DispoMonth,NetSale,0)</f>
        <v/>
      </c>
      <c r="NE6" s="267">
        <f>-ConLoan!NE$27+IF(Timeline!NE$41=1,Operating!NE$42-PermLoan!NE$29,0)+IF(365=StabMonth,OpReserve,0)+IF(365=RefiMonth,RefiCashOut,0)+IF(365=DispoMonth,NetSale,0)</f>
        <v/>
      </c>
      <c r="NF6" s="267">
        <f>-ConLoan!NF$27+IF(Timeline!NF$41=1,Operating!NF$42-PermLoan!NF$29,0)+IF(366=StabMonth,OpReserve,0)+IF(366=RefiMonth,RefiCashOut,0)+IF(366=DispoMonth,NetSale,0)</f>
        <v/>
      </c>
      <c r="NG6" s="267">
        <f>-ConLoan!NG$27+IF(Timeline!NG$41=1,Operating!NG$42-PermLoan!NG$29,0)+IF(367=StabMonth,OpReserve,0)+IF(367=RefiMonth,RefiCashOut,0)+IF(367=DispoMonth,NetSale,0)</f>
        <v/>
      </c>
      <c r="NH6" s="267">
        <f>-ConLoan!NH$27+IF(Timeline!NH$41=1,Operating!NH$42-PermLoan!NH$29,0)+IF(368=StabMonth,OpReserve,0)+IF(368=RefiMonth,RefiCashOut,0)+IF(368=DispoMonth,NetSale,0)</f>
        <v/>
      </c>
      <c r="NI6" s="267">
        <f>-ConLoan!NI$27+IF(Timeline!NI$41=1,Operating!NI$42-PermLoan!NI$29,0)+IF(369=StabMonth,OpReserve,0)+IF(369=RefiMonth,RefiCashOut,0)+IF(369=DispoMonth,NetSale,0)</f>
        <v/>
      </c>
      <c r="NJ6" s="267">
        <f>-ConLoan!NJ$27+IF(Timeline!NJ$41=1,Operating!NJ$42-PermLoan!NJ$29,0)+IF(370=StabMonth,OpReserve,0)+IF(370=RefiMonth,RefiCashOut,0)+IF(370=DispoMonth,NetSale,0)</f>
        <v/>
      </c>
      <c r="NK6" s="267">
        <f>-ConLoan!NK$27+IF(Timeline!NK$41=1,Operating!NK$42-PermLoan!NK$29,0)+IF(371=StabMonth,OpReserve,0)+IF(371=RefiMonth,RefiCashOut,0)+IF(371=DispoMonth,NetSale,0)</f>
        <v/>
      </c>
      <c r="NL6" s="253">
        <f>-ConLoan!NL$27+IF(Timeline!NL$41=1,Operating!NL$42-PermLoan!NL$29,0)+IF(372=StabMonth,OpReserve,0)+IF(372=RefiMonth,RefiCashOut,0)+IF(372=DispoMonth,NetSale,0)</f>
        <v/>
      </c>
    </row>
    <row r="7">
      <c r="B7" s="57" t="inlineStr">
        <is>
          <t>Unlevered Cash Flow (property)</t>
        </is>
      </c>
      <c r="C7" s="79" t="n"/>
      <c r="D7" s="268">
        <f>SUM(E7:NL7)</f>
        <v/>
      </c>
      <c r="E7" s="272">
        <f>-E$5+Operating!E$44+IF(1=StabMonth,OpReserve,0)+IF(1=DispoMonth,NetSaleUnlev,0)</f>
        <v/>
      </c>
      <c r="F7" s="272">
        <f>-F$5+Operating!F$44+IF(2=StabMonth,OpReserve,0)+IF(2=DispoMonth,NetSaleUnlev,0)</f>
        <v/>
      </c>
      <c r="G7" s="272">
        <f>-G$5+Operating!G$44+IF(3=StabMonth,OpReserve,0)+IF(3=DispoMonth,NetSaleUnlev,0)</f>
        <v/>
      </c>
      <c r="H7" s="272">
        <f>-H$5+Operating!H$44+IF(4=StabMonth,OpReserve,0)+IF(4=DispoMonth,NetSaleUnlev,0)</f>
        <v/>
      </c>
      <c r="I7" s="272">
        <f>-I$5+Operating!I$44+IF(5=StabMonth,OpReserve,0)+IF(5=DispoMonth,NetSaleUnlev,0)</f>
        <v/>
      </c>
      <c r="J7" s="272">
        <f>-J$5+Operating!J$44+IF(6=StabMonth,OpReserve,0)+IF(6=DispoMonth,NetSaleUnlev,0)</f>
        <v/>
      </c>
      <c r="K7" s="272">
        <f>-K$5+Operating!K$44+IF(7=StabMonth,OpReserve,0)+IF(7=DispoMonth,NetSaleUnlev,0)</f>
        <v/>
      </c>
      <c r="L7" s="272">
        <f>-L$5+Operating!L$44+IF(8=StabMonth,OpReserve,0)+IF(8=DispoMonth,NetSaleUnlev,0)</f>
        <v/>
      </c>
      <c r="M7" s="272">
        <f>-M$5+Operating!M$44+IF(9=StabMonth,OpReserve,0)+IF(9=DispoMonth,NetSaleUnlev,0)</f>
        <v/>
      </c>
      <c r="N7" s="272">
        <f>-N$5+Operating!N$44+IF(10=StabMonth,OpReserve,0)+IF(10=DispoMonth,NetSaleUnlev,0)</f>
        <v/>
      </c>
      <c r="O7" s="272">
        <f>-O$5+Operating!O$44+IF(11=StabMonth,OpReserve,0)+IF(11=DispoMonth,NetSaleUnlev,0)</f>
        <v/>
      </c>
      <c r="P7" s="272">
        <f>-P$5+Operating!P$44+IF(12=StabMonth,OpReserve,0)+IF(12=DispoMonth,NetSaleUnlev,0)</f>
        <v/>
      </c>
      <c r="Q7" s="272">
        <f>-Q$5+Operating!Q$44+IF(13=StabMonth,OpReserve,0)+IF(13=DispoMonth,NetSaleUnlev,0)</f>
        <v/>
      </c>
      <c r="R7" s="272">
        <f>-R$5+Operating!R$44+IF(14=StabMonth,OpReserve,0)+IF(14=DispoMonth,NetSaleUnlev,0)</f>
        <v/>
      </c>
      <c r="S7" s="272">
        <f>-S$5+Operating!S$44+IF(15=StabMonth,OpReserve,0)+IF(15=DispoMonth,NetSaleUnlev,0)</f>
        <v/>
      </c>
      <c r="T7" s="272">
        <f>-T$5+Operating!T$44+IF(16=StabMonth,OpReserve,0)+IF(16=DispoMonth,NetSaleUnlev,0)</f>
        <v/>
      </c>
      <c r="U7" s="272">
        <f>-U$5+Operating!U$44+IF(17=StabMonth,OpReserve,0)+IF(17=DispoMonth,NetSaleUnlev,0)</f>
        <v/>
      </c>
      <c r="V7" s="272">
        <f>-V$5+Operating!V$44+IF(18=StabMonth,OpReserve,0)+IF(18=DispoMonth,NetSaleUnlev,0)</f>
        <v/>
      </c>
      <c r="W7" s="272">
        <f>-W$5+Operating!W$44+IF(19=StabMonth,OpReserve,0)+IF(19=DispoMonth,NetSaleUnlev,0)</f>
        <v/>
      </c>
      <c r="X7" s="272">
        <f>-X$5+Operating!X$44+IF(20=StabMonth,OpReserve,0)+IF(20=DispoMonth,NetSaleUnlev,0)</f>
        <v/>
      </c>
      <c r="Y7" s="272">
        <f>-Y$5+Operating!Y$44+IF(21=StabMonth,OpReserve,0)+IF(21=DispoMonth,NetSaleUnlev,0)</f>
        <v/>
      </c>
      <c r="Z7" s="272">
        <f>-Z$5+Operating!Z$44+IF(22=StabMonth,OpReserve,0)+IF(22=DispoMonth,NetSaleUnlev,0)</f>
        <v/>
      </c>
      <c r="AA7" s="272">
        <f>-AA$5+Operating!AA$44+IF(23=StabMonth,OpReserve,0)+IF(23=DispoMonth,NetSaleUnlev,0)</f>
        <v/>
      </c>
      <c r="AB7" s="272">
        <f>-AB$5+Operating!AB$44+IF(24=StabMonth,OpReserve,0)+IF(24=DispoMonth,NetSaleUnlev,0)</f>
        <v/>
      </c>
      <c r="AC7" s="272">
        <f>-AC$5+Operating!AC$44+IF(25=StabMonth,OpReserve,0)+IF(25=DispoMonth,NetSaleUnlev,0)</f>
        <v/>
      </c>
      <c r="AD7" s="272">
        <f>-AD$5+Operating!AD$44+IF(26=StabMonth,OpReserve,0)+IF(26=DispoMonth,NetSaleUnlev,0)</f>
        <v/>
      </c>
      <c r="AE7" s="272">
        <f>-AE$5+Operating!AE$44+IF(27=StabMonth,OpReserve,0)+IF(27=DispoMonth,NetSaleUnlev,0)</f>
        <v/>
      </c>
      <c r="AF7" s="272">
        <f>-AF$5+Operating!AF$44+IF(28=StabMonth,OpReserve,0)+IF(28=DispoMonth,NetSaleUnlev,0)</f>
        <v/>
      </c>
      <c r="AG7" s="272">
        <f>-AG$5+Operating!AG$44+IF(29=StabMonth,OpReserve,0)+IF(29=DispoMonth,NetSaleUnlev,0)</f>
        <v/>
      </c>
      <c r="AH7" s="272">
        <f>-AH$5+Operating!AH$44+IF(30=StabMonth,OpReserve,0)+IF(30=DispoMonth,NetSaleUnlev,0)</f>
        <v/>
      </c>
      <c r="AI7" s="272">
        <f>-AI$5+Operating!AI$44+IF(31=StabMonth,OpReserve,0)+IF(31=DispoMonth,NetSaleUnlev,0)</f>
        <v/>
      </c>
      <c r="AJ7" s="272">
        <f>-AJ$5+Operating!AJ$44+IF(32=StabMonth,OpReserve,0)+IF(32=DispoMonth,NetSaleUnlev,0)</f>
        <v/>
      </c>
      <c r="AK7" s="272">
        <f>-AK$5+Operating!AK$44+IF(33=StabMonth,OpReserve,0)+IF(33=DispoMonth,NetSaleUnlev,0)</f>
        <v/>
      </c>
      <c r="AL7" s="272">
        <f>-AL$5+Operating!AL$44+IF(34=StabMonth,OpReserve,0)+IF(34=DispoMonth,NetSaleUnlev,0)</f>
        <v/>
      </c>
      <c r="AM7" s="272">
        <f>-AM$5+Operating!AM$44+IF(35=StabMonth,OpReserve,0)+IF(35=DispoMonth,NetSaleUnlev,0)</f>
        <v/>
      </c>
      <c r="AN7" s="272">
        <f>-AN$5+Operating!AN$44+IF(36=StabMonth,OpReserve,0)+IF(36=DispoMonth,NetSaleUnlev,0)</f>
        <v/>
      </c>
      <c r="AO7" s="272">
        <f>-AO$5+Operating!AO$44+IF(37=StabMonth,OpReserve,0)+IF(37=DispoMonth,NetSaleUnlev,0)</f>
        <v/>
      </c>
      <c r="AP7" s="272">
        <f>-AP$5+Operating!AP$44+IF(38=StabMonth,OpReserve,0)+IF(38=DispoMonth,NetSaleUnlev,0)</f>
        <v/>
      </c>
      <c r="AQ7" s="272">
        <f>-AQ$5+Operating!AQ$44+IF(39=StabMonth,OpReserve,0)+IF(39=DispoMonth,NetSaleUnlev,0)</f>
        <v/>
      </c>
      <c r="AR7" s="272">
        <f>-AR$5+Operating!AR$44+IF(40=StabMonth,OpReserve,0)+IF(40=DispoMonth,NetSaleUnlev,0)</f>
        <v/>
      </c>
      <c r="AS7" s="272">
        <f>-AS$5+Operating!AS$44+IF(41=StabMonth,OpReserve,0)+IF(41=DispoMonth,NetSaleUnlev,0)</f>
        <v/>
      </c>
      <c r="AT7" s="272">
        <f>-AT$5+Operating!AT$44+IF(42=StabMonth,OpReserve,0)+IF(42=DispoMonth,NetSaleUnlev,0)</f>
        <v/>
      </c>
      <c r="AU7" s="272">
        <f>-AU$5+Operating!AU$44+IF(43=StabMonth,OpReserve,0)+IF(43=DispoMonth,NetSaleUnlev,0)</f>
        <v/>
      </c>
      <c r="AV7" s="272">
        <f>-AV$5+Operating!AV$44+IF(44=StabMonth,OpReserve,0)+IF(44=DispoMonth,NetSaleUnlev,0)</f>
        <v/>
      </c>
      <c r="AW7" s="272">
        <f>-AW$5+Operating!AW$44+IF(45=StabMonth,OpReserve,0)+IF(45=DispoMonth,NetSaleUnlev,0)</f>
        <v/>
      </c>
      <c r="AX7" s="272">
        <f>-AX$5+Operating!AX$44+IF(46=StabMonth,OpReserve,0)+IF(46=DispoMonth,NetSaleUnlev,0)</f>
        <v/>
      </c>
      <c r="AY7" s="272">
        <f>-AY$5+Operating!AY$44+IF(47=StabMonth,OpReserve,0)+IF(47=DispoMonth,NetSaleUnlev,0)</f>
        <v/>
      </c>
      <c r="AZ7" s="272">
        <f>-AZ$5+Operating!AZ$44+IF(48=StabMonth,OpReserve,0)+IF(48=DispoMonth,NetSaleUnlev,0)</f>
        <v/>
      </c>
      <c r="BA7" s="272">
        <f>-BA$5+Operating!BA$44+IF(49=StabMonth,OpReserve,0)+IF(49=DispoMonth,NetSaleUnlev,0)</f>
        <v/>
      </c>
      <c r="BB7" s="272">
        <f>-BB$5+Operating!BB$44+IF(50=StabMonth,OpReserve,0)+IF(50=DispoMonth,NetSaleUnlev,0)</f>
        <v/>
      </c>
      <c r="BC7" s="272">
        <f>-BC$5+Operating!BC$44+IF(51=StabMonth,OpReserve,0)+IF(51=DispoMonth,NetSaleUnlev,0)</f>
        <v/>
      </c>
      <c r="BD7" s="272">
        <f>-BD$5+Operating!BD$44+IF(52=StabMonth,OpReserve,0)+IF(52=DispoMonth,NetSaleUnlev,0)</f>
        <v/>
      </c>
      <c r="BE7" s="272">
        <f>-BE$5+Operating!BE$44+IF(53=StabMonth,OpReserve,0)+IF(53=DispoMonth,NetSaleUnlev,0)</f>
        <v/>
      </c>
      <c r="BF7" s="272">
        <f>-BF$5+Operating!BF$44+IF(54=StabMonth,OpReserve,0)+IF(54=DispoMonth,NetSaleUnlev,0)</f>
        <v/>
      </c>
      <c r="BG7" s="272">
        <f>-BG$5+Operating!BG$44+IF(55=StabMonth,OpReserve,0)+IF(55=DispoMonth,NetSaleUnlev,0)</f>
        <v/>
      </c>
      <c r="BH7" s="272">
        <f>-BH$5+Operating!BH$44+IF(56=StabMonth,OpReserve,0)+IF(56=DispoMonth,NetSaleUnlev,0)</f>
        <v/>
      </c>
      <c r="BI7" s="272">
        <f>-BI$5+Operating!BI$44+IF(57=StabMonth,OpReserve,0)+IF(57=DispoMonth,NetSaleUnlev,0)</f>
        <v/>
      </c>
      <c r="BJ7" s="272">
        <f>-BJ$5+Operating!BJ$44+IF(58=StabMonth,OpReserve,0)+IF(58=DispoMonth,NetSaleUnlev,0)</f>
        <v/>
      </c>
      <c r="BK7" s="272">
        <f>-BK$5+Operating!BK$44+IF(59=StabMonth,OpReserve,0)+IF(59=DispoMonth,NetSaleUnlev,0)</f>
        <v/>
      </c>
      <c r="BL7" s="272">
        <f>-BL$5+Operating!BL$44+IF(60=StabMonth,OpReserve,0)+IF(60=DispoMonth,NetSaleUnlev,0)</f>
        <v/>
      </c>
      <c r="BM7" s="272">
        <f>-BM$5+Operating!BM$44+IF(61=StabMonth,OpReserve,0)+IF(61=DispoMonth,NetSaleUnlev,0)</f>
        <v/>
      </c>
      <c r="BN7" s="272">
        <f>-BN$5+Operating!BN$44+IF(62=StabMonth,OpReserve,0)+IF(62=DispoMonth,NetSaleUnlev,0)</f>
        <v/>
      </c>
      <c r="BO7" s="272">
        <f>-BO$5+Operating!BO$44+IF(63=StabMonth,OpReserve,0)+IF(63=DispoMonth,NetSaleUnlev,0)</f>
        <v/>
      </c>
      <c r="BP7" s="272">
        <f>-BP$5+Operating!BP$44+IF(64=StabMonth,OpReserve,0)+IF(64=DispoMonth,NetSaleUnlev,0)</f>
        <v/>
      </c>
      <c r="BQ7" s="272">
        <f>-BQ$5+Operating!BQ$44+IF(65=StabMonth,OpReserve,0)+IF(65=DispoMonth,NetSaleUnlev,0)</f>
        <v/>
      </c>
      <c r="BR7" s="272">
        <f>-BR$5+Operating!BR$44+IF(66=StabMonth,OpReserve,0)+IF(66=DispoMonth,NetSaleUnlev,0)</f>
        <v/>
      </c>
      <c r="BS7" s="272">
        <f>-BS$5+Operating!BS$44+IF(67=StabMonth,OpReserve,0)+IF(67=DispoMonth,NetSaleUnlev,0)</f>
        <v/>
      </c>
      <c r="BT7" s="272">
        <f>-BT$5+Operating!BT$44+IF(68=StabMonth,OpReserve,0)+IF(68=DispoMonth,NetSaleUnlev,0)</f>
        <v/>
      </c>
      <c r="BU7" s="272">
        <f>-BU$5+Operating!BU$44+IF(69=StabMonth,OpReserve,0)+IF(69=DispoMonth,NetSaleUnlev,0)</f>
        <v/>
      </c>
      <c r="BV7" s="272">
        <f>-BV$5+Operating!BV$44+IF(70=StabMonth,OpReserve,0)+IF(70=DispoMonth,NetSaleUnlev,0)</f>
        <v/>
      </c>
      <c r="BW7" s="272">
        <f>-BW$5+Operating!BW$44+IF(71=StabMonth,OpReserve,0)+IF(71=DispoMonth,NetSaleUnlev,0)</f>
        <v/>
      </c>
      <c r="BX7" s="272">
        <f>-BX$5+Operating!BX$44+IF(72=StabMonth,OpReserve,0)+IF(72=DispoMonth,NetSaleUnlev,0)</f>
        <v/>
      </c>
      <c r="BY7" s="272">
        <f>-BY$5+Operating!BY$44+IF(73=StabMonth,OpReserve,0)+IF(73=DispoMonth,NetSaleUnlev,0)</f>
        <v/>
      </c>
      <c r="BZ7" s="272">
        <f>-BZ$5+Operating!BZ$44+IF(74=StabMonth,OpReserve,0)+IF(74=DispoMonth,NetSaleUnlev,0)</f>
        <v/>
      </c>
      <c r="CA7" s="272">
        <f>-CA$5+Operating!CA$44+IF(75=StabMonth,OpReserve,0)+IF(75=DispoMonth,NetSaleUnlev,0)</f>
        <v/>
      </c>
      <c r="CB7" s="272">
        <f>-CB$5+Operating!CB$44+IF(76=StabMonth,OpReserve,0)+IF(76=DispoMonth,NetSaleUnlev,0)</f>
        <v/>
      </c>
      <c r="CC7" s="272">
        <f>-CC$5+Operating!CC$44+IF(77=StabMonth,OpReserve,0)+IF(77=DispoMonth,NetSaleUnlev,0)</f>
        <v/>
      </c>
      <c r="CD7" s="272">
        <f>-CD$5+Operating!CD$44+IF(78=StabMonth,OpReserve,0)+IF(78=DispoMonth,NetSaleUnlev,0)</f>
        <v/>
      </c>
      <c r="CE7" s="272">
        <f>-CE$5+Operating!CE$44+IF(79=StabMonth,OpReserve,0)+IF(79=DispoMonth,NetSaleUnlev,0)</f>
        <v/>
      </c>
      <c r="CF7" s="272">
        <f>-CF$5+Operating!CF$44+IF(80=StabMonth,OpReserve,0)+IF(80=DispoMonth,NetSaleUnlev,0)</f>
        <v/>
      </c>
      <c r="CG7" s="272">
        <f>-CG$5+Operating!CG$44+IF(81=StabMonth,OpReserve,0)+IF(81=DispoMonth,NetSaleUnlev,0)</f>
        <v/>
      </c>
      <c r="CH7" s="272">
        <f>-CH$5+Operating!CH$44+IF(82=StabMonth,OpReserve,0)+IF(82=DispoMonth,NetSaleUnlev,0)</f>
        <v/>
      </c>
      <c r="CI7" s="272">
        <f>-CI$5+Operating!CI$44+IF(83=StabMonth,OpReserve,0)+IF(83=DispoMonth,NetSaleUnlev,0)</f>
        <v/>
      </c>
      <c r="CJ7" s="272">
        <f>-CJ$5+Operating!CJ$44+IF(84=StabMonth,OpReserve,0)+IF(84=DispoMonth,NetSaleUnlev,0)</f>
        <v/>
      </c>
      <c r="CK7" s="272">
        <f>-CK$5+Operating!CK$44+IF(85=StabMonth,OpReserve,0)+IF(85=DispoMonth,NetSaleUnlev,0)</f>
        <v/>
      </c>
      <c r="CL7" s="272">
        <f>-CL$5+Operating!CL$44+IF(86=StabMonth,OpReserve,0)+IF(86=DispoMonth,NetSaleUnlev,0)</f>
        <v/>
      </c>
      <c r="CM7" s="272">
        <f>-CM$5+Operating!CM$44+IF(87=StabMonth,OpReserve,0)+IF(87=DispoMonth,NetSaleUnlev,0)</f>
        <v/>
      </c>
      <c r="CN7" s="272">
        <f>-CN$5+Operating!CN$44+IF(88=StabMonth,OpReserve,0)+IF(88=DispoMonth,NetSaleUnlev,0)</f>
        <v/>
      </c>
      <c r="CO7" s="272">
        <f>-CO$5+Operating!CO$44+IF(89=StabMonth,OpReserve,0)+IF(89=DispoMonth,NetSaleUnlev,0)</f>
        <v/>
      </c>
      <c r="CP7" s="272">
        <f>-CP$5+Operating!CP$44+IF(90=StabMonth,OpReserve,0)+IF(90=DispoMonth,NetSaleUnlev,0)</f>
        <v/>
      </c>
      <c r="CQ7" s="272">
        <f>-CQ$5+Operating!CQ$44+IF(91=StabMonth,OpReserve,0)+IF(91=DispoMonth,NetSaleUnlev,0)</f>
        <v/>
      </c>
      <c r="CR7" s="272">
        <f>-CR$5+Operating!CR$44+IF(92=StabMonth,OpReserve,0)+IF(92=DispoMonth,NetSaleUnlev,0)</f>
        <v/>
      </c>
      <c r="CS7" s="272">
        <f>-CS$5+Operating!CS$44+IF(93=StabMonth,OpReserve,0)+IF(93=DispoMonth,NetSaleUnlev,0)</f>
        <v/>
      </c>
      <c r="CT7" s="272">
        <f>-CT$5+Operating!CT$44+IF(94=StabMonth,OpReserve,0)+IF(94=DispoMonth,NetSaleUnlev,0)</f>
        <v/>
      </c>
      <c r="CU7" s="272">
        <f>-CU$5+Operating!CU$44+IF(95=StabMonth,OpReserve,0)+IF(95=DispoMonth,NetSaleUnlev,0)</f>
        <v/>
      </c>
      <c r="CV7" s="272">
        <f>-CV$5+Operating!CV$44+IF(96=StabMonth,OpReserve,0)+IF(96=DispoMonth,NetSaleUnlev,0)</f>
        <v/>
      </c>
      <c r="CW7" s="272">
        <f>-CW$5+Operating!CW$44+IF(97=StabMonth,OpReserve,0)+IF(97=DispoMonth,NetSaleUnlev,0)</f>
        <v/>
      </c>
      <c r="CX7" s="272">
        <f>-CX$5+Operating!CX$44+IF(98=StabMonth,OpReserve,0)+IF(98=DispoMonth,NetSaleUnlev,0)</f>
        <v/>
      </c>
      <c r="CY7" s="272">
        <f>-CY$5+Operating!CY$44+IF(99=StabMonth,OpReserve,0)+IF(99=DispoMonth,NetSaleUnlev,0)</f>
        <v/>
      </c>
      <c r="CZ7" s="272">
        <f>-CZ$5+Operating!CZ$44+IF(100=StabMonth,OpReserve,0)+IF(100=DispoMonth,NetSaleUnlev,0)</f>
        <v/>
      </c>
      <c r="DA7" s="272">
        <f>-DA$5+Operating!DA$44+IF(101=StabMonth,OpReserve,0)+IF(101=DispoMonth,NetSaleUnlev,0)</f>
        <v/>
      </c>
      <c r="DB7" s="272">
        <f>-DB$5+Operating!DB$44+IF(102=StabMonth,OpReserve,0)+IF(102=DispoMonth,NetSaleUnlev,0)</f>
        <v/>
      </c>
      <c r="DC7" s="272">
        <f>-DC$5+Operating!DC$44+IF(103=StabMonth,OpReserve,0)+IF(103=DispoMonth,NetSaleUnlev,0)</f>
        <v/>
      </c>
      <c r="DD7" s="272">
        <f>-DD$5+Operating!DD$44+IF(104=StabMonth,OpReserve,0)+IF(104=DispoMonth,NetSaleUnlev,0)</f>
        <v/>
      </c>
      <c r="DE7" s="272">
        <f>-DE$5+Operating!DE$44+IF(105=StabMonth,OpReserve,0)+IF(105=DispoMonth,NetSaleUnlev,0)</f>
        <v/>
      </c>
      <c r="DF7" s="272">
        <f>-DF$5+Operating!DF$44+IF(106=StabMonth,OpReserve,0)+IF(106=DispoMonth,NetSaleUnlev,0)</f>
        <v/>
      </c>
      <c r="DG7" s="272">
        <f>-DG$5+Operating!DG$44+IF(107=StabMonth,OpReserve,0)+IF(107=DispoMonth,NetSaleUnlev,0)</f>
        <v/>
      </c>
      <c r="DH7" s="272">
        <f>-DH$5+Operating!DH$44+IF(108=StabMonth,OpReserve,0)+IF(108=DispoMonth,NetSaleUnlev,0)</f>
        <v/>
      </c>
      <c r="DI7" s="272">
        <f>-DI$5+Operating!DI$44+IF(109=StabMonth,OpReserve,0)+IF(109=DispoMonth,NetSaleUnlev,0)</f>
        <v/>
      </c>
      <c r="DJ7" s="272">
        <f>-DJ$5+Operating!DJ$44+IF(110=StabMonth,OpReserve,0)+IF(110=DispoMonth,NetSaleUnlev,0)</f>
        <v/>
      </c>
      <c r="DK7" s="272">
        <f>-DK$5+Operating!DK$44+IF(111=StabMonth,OpReserve,0)+IF(111=DispoMonth,NetSaleUnlev,0)</f>
        <v/>
      </c>
      <c r="DL7" s="272">
        <f>-DL$5+Operating!DL$44+IF(112=StabMonth,OpReserve,0)+IF(112=DispoMonth,NetSaleUnlev,0)</f>
        <v/>
      </c>
      <c r="DM7" s="272">
        <f>-DM$5+Operating!DM$44+IF(113=StabMonth,OpReserve,0)+IF(113=DispoMonth,NetSaleUnlev,0)</f>
        <v/>
      </c>
      <c r="DN7" s="272">
        <f>-DN$5+Operating!DN$44+IF(114=StabMonth,OpReserve,0)+IF(114=DispoMonth,NetSaleUnlev,0)</f>
        <v/>
      </c>
      <c r="DO7" s="272">
        <f>-DO$5+Operating!DO$44+IF(115=StabMonth,OpReserve,0)+IF(115=DispoMonth,NetSaleUnlev,0)</f>
        <v/>
      </c>
      <c r="DP7" s="272">
        <f>-DP$5+Operating!DP$44+IF(116=StabMonth,OpReserve,0)+IF(116=DispoMonth,NetSaleUnlev,0)</f>
        <v/>
      </c>
      <c r="DQ7" s="272">
        <f>-DQ$5+Operating!DQ$44+IF(117=StabMonth,OpReserve,0)+IF(117=DispoMonth,NetSaleUnlev,0)</f>
        <v/>
      </c>
      <c r="DR7" s="272">
        <f>-DR$5+Operating!DR$44+IF(118=StabMonth,OpReserve,0)+IF(118=DispoMonth,NetSaleUnlev,0)</f>
        <v/>
      </c>
      <c r="DS7" s="272">
        <f>-DS$5+Operating!DS$44+IF(119=StabMonth,OpReserve,0)+IF(119=DispoMonth,NetSaleUnlev,0)</f>
        <v/>
      </c>
      <c r="DT7" s="272">
        <f>-DT$5+Operating!DT$44+IF(120=StabMonth,OpReserve,0)+IF(120=DispoMonth,NetSaleUnlev,0)</f>
        <v/>
      </c>
      <c r="DU7" s="272">
        <f>-DU$5+Operating!DU$44+IF(121=StabMonth,OpReserve,0)+IF(121=DispoMonth,NetSaleUnlev,0)</f>
        <v/>
      </c>
      <c r="DV7" s="272">
        <f>-DV$5+Operating!DV$44+IF(122=StabMonth,OpReserve,0)+IF(122=DispoMonth,NetSaleUnlev,0)</f>
        <v/>
      </c>
      <c r="DW7" s="272">
        <f>-DW$5+Operating!DW$44+IF(123=StabMonth,OpReserve,0)+IF(123=DispoMonth,NetSaleUnlev,0)</f>
        <v/>
      </c>
      <c r="DX7" s="272">
        <f>-DX$5+Operating!DX$44+IF(124=StabMonth,OpReserve,0)+IF(124=DispoMonth,NetSaleUnlev,0)</f>
        <v/>
      </c>
      <c r="DY7" s="272">
        <f>-DY$5+Operating!DY$44+IF(125=StabMonth,OpReserve,0)+IF(125=DispoMonth,NetSaleUnlev,0)</f>
        <v/>
      </c>
      <c r="DZ7" s="272">
        <f>-DZ$5+Operating!DZ$44+IF(126=StabMonth,OpReserve,0)+IF(126=DispoMonth,NetSaleUnlev,0)</f>
        <v/>
      </c>
      <c r="EA7" s="272">
        <f>-EA$5+Operating!EA$44+IF(127=StabMonth,OpReserve,0)+IF(127=DispoMonth,NetSaleUnlev,0)</f>
        <v/>
      </c>
      <c r="EB7" s="272">
        <f>-EB$5+Operating!EB$44+IF(128=StabMonth,OpReserve,0)+IF(128=DispoMonth,NetSaleUnlev,0)</f>
        <v/>
      </c>
      <c r="EC7" s="272">
        <f>-EC$5+Operating!EC$44+IF(129=StabMonth,OpReserve,0)+IF(129=DispoMonth,NetSaleUnlev,0)</f>
        <v/>
      </c>
      <c r="ED7" s="272">
        <f>-ED$5+Operating!ED$44+IF(130=StabMonth,OpReserve,0)+IF(130=DispoMonth,NetSaleUnlev,0)</f>
        <v/>
      </c>
      <c r="EE7" s="272">
        <f>-EE$5+Operating!EE$44+IF(131=StabMonth,OpReserve,0)+IF(131=DispoMonth,NetSaleUnlev,0)</f>
        <v/>
      </c>
      <c r="EF7" s="272">
        <f>-EF$5+Operating!EF$44+IF(132=StabMonth,OpReserve,0)+IF(132=DispoMonth,NetSaleUnlev,0)</f>
        <v/>
      </c>
      <c r="EG7" s="272">
        <f>-EG$5+Operating!EG$44+IF(133=StabMonth,OpReserve,0)+IF(133=DispoMonth,NetSaleUnlev,0)</f>
        <v/>
      </c>
      <c r="EH7" s="272">
        <f>-EH$5+Operating!EH$44+IF(134=StabMonth,OpReserve,0)+IF(134=DispoMonth,NetSaleUnlev,0)</f>
        <v/>
      </c>
      <c r="EI7" s="272">
        <f>-EI$5+Operating!EI$44+IF(135=StabMonth,OpReserve,0)+IF(135=DispoMonth,NetSaleUnlev,0)</f>
        <v/>
      </c>
      <c r="EJ7" s="272">
        <f>-EJ$5+Operating!EJ$44+IF(136=StabMonth,OpReserve,0)+IF(136=DispoMonth,NetSaleUnlev,0)</f>
        <v/>
      </c>
      <c r="EK7" s="272">
        <f>-EK$5+Operating!EK$44+IF(137=StabMonth,OpReserve,0)+IF(137=DispoMonth,NetSaleUnlev,0)</f>
        <v/>
      </c>
      <c r="EL7" s="272">
        <f>-EL$5+Operating!EL$44+IF(138=StabMonth,OpReserve,0)+IF(138=DispoMonth,NetSaleUnlev,0)</f>
        <v/>
      </c>
      <c r="EM7" s="272">
        <f>-EM$5+Operating!EM$44+IF(139=StabMonth,OpReserve,0)+IF(139=DispoMonth,NetSaleUnlev,0)</f>
        <v/>
      </c>
      <c r="EN7" s="272">
        <f>-EN$5+Operating!EN$44+IF(140=StabMonth,OpReserve,0)+IF(140=DispoMonth,NetSaleUnlev,0)</f>
        <v/>
      </c>
      <c r="EO7" s="272">
        <f>-EO$5+Operating!EO$44+IF(141=StabMonth,OpReserve,0)+IF(141=DispoMonth,NetSaleUnlev,0)</f>
        <v/>
      </c>
      <c r="EP7" s="272">
        <f>-EP$5+Operating!EP$44+IF(142=StabMonth,OpReserve,0)+IF(142=DispoMonth,NetSaleUnlev,0)</f>
        <v/>
      </c>
      <c r="EQ7" s="272">
        <f>-EQ$5+Operating!EQ$44+IF(143=StabMonth,OpReserve,0)+IF(143=DispoMonth,NetSaleUnlev,0)</f>
        <v/>
      </c>
      <c r="ER7" s="272">
        <f>-ER$5+Operating!ER$44+IF(144=StabMonth,OpReserve,0)+IF(144=DispoMonth,NetSaleUnlev,0)</f>
        <v/>
      </c>
      <c r="ES7" s="272">
        <f>-ES$5+Operating!ES$44+IF(145=StabMonth,OpReserve,0)+IF(145=DispoMonth,NetSaleUnlev,0)</f>
        <v/>
      </c>
      <c r="ET7" s="272">
        <f>-ET$5+Operating!ET$44+IF(146=StabMonth,OpReserve,0)+IF(146=DispoMonth,NetSaleUnlev,0)</f>
        <v/>
      </c>
      <c r="EU7" s="272">
        <f>-EU$5+Operating!EU$44+IF(147=StabMonth,OpReserve,0)+IF(147=DispoMonth,NetSaleUnlev,0)</f>
        <v/>
      </c>
      <c r="EV7" s="272">
        <f>-EV$5+Operating!EV$44+IF(148=StabMonth,OpReserve,0)+IF(148=DispoMonth,NetSaleUnlev,0)</f>
        <v/>
      </c>
      <c r="EW7" s="272">
        <f>-EW$5+Operating!EW$44+IF(149=StabMonth,OpReserve,0)+IF(149=DispoMonth,NetSaleUnlev,0)</f>
        <v/>
      </c>
      <c r="EX7" s="272">
        <f>-EX$5+Operating!EX$44+IF(150=StabMonth,OpReserve,0)+IF(150=DispoMonth,NetSaleUnlev,0)</f>
        <v/>
      </c>
      <c r="EY7" s="272">
        <f>-EY$5+Operating!EY$44+IF(151=StabMonth,OpReserve,0)+IF(151=DispoMonth,NetSaleUnlev,0)</f>
        <v/>
      </c>
      <c r="EZ7" s="272">
        <f>-EZ$5+Operating!EZ$44+IF(152=StabMonth,OpReserve,0)+IF(152=DispoMonth,NetSaleUnlev,0)</f>
        <v/>
      </c>
      <c r="FA7" s="272">
        <f>-FA$5+Operating!FA$44+IF(153=StabMonth,OpReserve,0)+IF(153=DispoMonth,NetSaleUnlev,0)</f>
        <v/>
      </c>
      <c r="FB7" s="272">
        <f>-FB$5+Operating!FB$44+IF(154=StabMonth,OpReserve,0)+IF(154=DispoMonth,NetSaleUnlev,0)</f>
        <v/>
      </c>
      <c r="FC7" s="272">
        <f>-FC$5+Operating!FC$44+IF(155=StabMonth,OpReserve,0)+IF(155=DispoMonth,NetSaleUnlev,0)</f>
        <v/>
      </c>
      <c r="FD7" s="272">
        <f>-FD$5+Operating!FD$44+IF(156=StabMonth,OpReserve,0)+IF(156=DispoMonth,NetSaleUnlev,0)</f>
        <v/>
      </c>
      <c r="FE7" s="272">
        <f>-FE$5+Operating!FE$44+IF(157=StabMonth,OpReserve,0)+IF(157=DispoMonth,NetSaleUnlev,0)</f>
        <v/>
      </c>
      <c r="FF7" s="272">
        <f>-FF$5+Operating!FF$44+IF(158=StabMonth,OpReserve,0)+IF(158=DispoMonth,NetSaleUnlev,0)</f>
        <v/>
      </c>
      <c r="FG7" s="272">
        <f>-FG$5+Operating!FG$44+IF(159=StabMonth,OpReserve,0)+IF(159=DispoMonth,NetSaleUnlev,0)</f>
        <v/>
      </c>
      <c r="FH7" s="272">
        <f>-FH$5+Operating!FH$44+IF(160=StabMonth,OpReserve,0)+IF(160=DispoMonth,NetSaleUnlev,0)</f>
        <v/>
      </c>
      <c r="FI7" s="272">
        <f>-FI$5+Operating!FI$44+IF(161=StabMonth,OpReserve,0)+IF(161=DispoMonth,NetSaleUnlev,0)</f>
        <v/>
      </c>
      <c r="FJ7" s="272">
        <f>-FJ$5+Operating!FJ$44+IF(162=StabMonth,OpReserve,0)+IF(162=DispoMonth,NetSaleUnlev,0)</f>
        <v/>
      </c>
      <c r="FK7" s="272">
        <f>-FK$5+Operating!FK$44+IF(163=StabMonth,OpReserve,0)+IF(163=DispoMonth,NetSaleUnlev,0)</f>
        <v/>
      </c>
      <c r="FL7" s="272">
        <f>-FL$5+Operating!FL$44+IF(164=StabMonth,OpReserve,0)+IF(164=DispoMonth,NetSaleUnlev,0)</f>
        <v/>
      </c>
      <c r="FM7" s="272">
        <f>-FM$5+Operating!FM$44+IF(165=StabMonth,OpReserve,0)+IF(165=DispoMonth,NetSaleUnlev,0)</f>
        <v/>
      </c>
      <c r="FN7" s="272">
        <f>-FN$5+Operating!FN$44+IF(166=StabMonth,OpReserve,0)+IF(166=DispoMonth,NetSaleUnlev,0)</f>
        <v/>
      </c>
      <c r="FO7" s="272">
        <f>-FO$5+Operating!FO$44+IF(167=StabMonth,OpReserve,0)+IF(167=DispoMonth,NetSaleUnlev,0)</f>
        <v/>
      </c>
      <c r="FP7" s="272">
        <f>-FP$5+Operating!FP$44+IF(168=StabMonth,OpReserve,0)+IF(168=DispoMonth,NetSaleUnlev,0)</f>
        <v/>
      </c>
      <c r="FQ7" s="272">
        <f>-FQ$5+Operating!FQ$44+IF(169=StabMonth,OpReserve,0)+IF(169=DispoMonth,NetSaleUnlev,0)</f>
        <v/>
      </c>
      <c r="FR7" s="272">
        <f>-FR$5+Operating!FR$44+IF(170=StabMonth,OpReserve,0)+IF(170=DispoMonth,NetSaleUnlev,0)</f>
        <v/>
      </c>
      <c r="FS7" s="272">
        <f>-FS$5+Operating!FS$44+IF(171=StabMonth,OpReserve,0)+IF(171=DispoMonth,NetSaleUnlev,0)</f>
        <v/>
      </c>
      <c r="FT7" s="272">
        <f>-FT$5+Operating!FT$44+IF(172=StabMonth,OpReserve,0)+IF(172=DispoMonth,NetSaleUnlev,0)</f>
        <v/>
      </c>
      <c r="FU7" s="272">
        <f>-FU$5+Operating!FU$44+IF(173=StabMonth,OpReserve,0)+IF(173=DispoMonth,NetSaleUnlev,0)</f>
        <v/>
      </c>
      <c r="FV7" s="272">
        <f>-FV$5+Operating!FV$44+IF(174=StabMonth,OpReserve,0)+IF(174=DispoMonth,NetSaleUnlev,0)</f>
        <v/>
      </c>
      <c r="FW7" s="272">
        <f>-FW$5+Operating!FW$44+IF(175=StabMonth,OpReserve,0)+IF(175=DispoMonth,NetSaleUnlev,0)</f>
        <v/>
      </c>
      <c r="FX7" s="272">
        <f>-FX$5+Operating!FX$44+IF(176=StabMonth,OpReserve,0)+IF(176=DispoMonth,NetSaleUnlev,0)</f>
        <v/>
      </c>
      <c r="FY7" s="272">
        <f>-FY$5+Operating!FY$44+IF(177=StabMonth,OpReserve,0)+IF(177=DispoMonth,NetSaleUnlev,0)</f>
        <v/>
      </c>
      <c r="FZ7" s="272">
        <f>-FZ$5+Operating!FZ$44+IF(178=StabMonth,OpReserve,0)+IF(178=DispoMonth,NetSaleUnlev,0)</f>
        <v/>
      </c>
      <c r="GA7" s="272">
        <f>-GA$5+Operating!GA$44+IF(179=StabMonth,OpReserve,0)+IF(179=DispoMonth,NetSaleUnlev,0)</f>
        <v/>
      </c>
      <c r="GB7" s="272">
        <f>-GB$5+Operating!GB$44+IF(180=StabMonth,OpReserve,0)+IF(180=DispoMonth,NetSaleUnlev,0)</f>
        <v/>
      </c>
      <c r="GC7" s="272">
        <f>-GC$5+Operating!GC$44+IF(181=StabMonth,OpReserve,0)+IF(181=DispoMonth,NetSaleUnlev,0)</f>
        <v/>
      </c>
      <c r="GD7" s="272">
        <f>-GD$5+Operating!GD$44+IF(182=StabMonth,OpReserve,0)+IF(182=DispoMonth,NetSaleUnlev,0)</f>
        <v/>
      </c>
      <c r="GE7" s="272">
        <f>-GE$5+Operating!GE$44+IF(183=StabMonth,OpReserve,0)+IF(183=DispoMonth,NetSaleUnlev,0)</f>
        <v/>
      </c>
      <c r="GF7" s="272">
        <f>-GF$5+Operating!GF$44+IF(184=StabMonth,OpReserve,0)+IF(184=DispoMonth,NetSaleUnlev,0)</f>
        <v/>
      </c>
      <c r="GG7" s="272">
        <f>-GG$5+Operating!GG$44+IF(185=StabMonth,OpReserve,0)+IF(185=DispoMonth,NetSaleUnlev,0)</f>
        <v/>
      </c>
      <c r="GH7" s="272">
        <f>-GH$5+Operating!GH$44+IF(186=StabMonth,OpReserve,0)+IF(186=DispoMonth,NetSaleUnlev,0)</f>
        <v/>
      </c>
      <c r="GI7" s="272">
        <f>-GI$5+Operating!GI$44+IF(187=StabMonth,OpReserve,0)+IF(187=DispoMonth,NetSaleUnlev,0)</f>
        <v/>
      </c>
      <c r="GJ7" s="272">
        <f>-GJ$5+Operating!GJ$44+IF(188=StabMonth,OpReserve,0)+IF(188=DispoMonth,NetSaleUnlev,0)</f>
        <v/>
      </c>
      <c r="GK7" s="272">
        <f>-GK$5+Operating!GK$44+IF(189=StabMonth,OpReserve,0)+IF(189=DispoMonth,NetSaleUnlev,0)</f>
        <v/>
      </c>
      <c r="GL7" s="272">
        <f>-GL$5+Operating!GL$44+IF(190=StabMonth,OpReserve,0)+IF(190=DispoMonth,NetSaleUnlev,0)</f>
        <v/>
      </c>
      <c r="GM7" s="272">
        <f>-GM$5+Operating!GM$44+IF(191=StabMonth,OpReserve,0)+IF(191=DispoMonth,NetSaleUnlev,0)</f>
        <v/>
      </c>
      <c r="GN7" s="272">
        <f>-GN$5+Operating!GN$44+IF(192=StabMonth,OpReserve,0)+IF(192=DispoMonth,NetSaleUnlev,0)</f>
        <v/>
      </c>
      <c r="GO7" s="272">
        <f>-GO$5+Operating!GO$44+IF(193=StabMonth,OpReserve,0)+IF(193=DispoMonth,NetSaleUnlev,0)</f>
        <v/>
      </c>
      <c r="GP7" s="272">
        <f>-GP$5+Operating!GP$44+IF(194=StabMonth,OpReserve,0)+IF(194=DispoMonth,NetSaleUnlev,0)</f>
        <v/>
      </c>
      <c r="GQ7" s="272">
        <f>-GQ$5+Operating!GQ$44+IF(195=StabMonth,OpReserve,0)+IF(195=DispoMonth,NetSaleUnlev,0)</f>
        <v/>
      </c>
      <c r="GR7" s="272">
        <f>-GR$5+Operating!GR$44+IF(196=StabMonth,OpReserve,0)+IF(196=DispoMonth,NetSaleUnlev,0)</f>
        <v/>
      </c>
      <c r="GS7" s="272">
        <f>-GS$5+Operating!GS$44+IF(197=StabMonth,OpReserve,0)+IF(197=DispoMonth,NetSaleUnlev,0)</f>
        <v/>
      </c>
      <c r="GT7" s="272">
        <f>-GT$5+Operating!GT$44+IF(198=StabMonth,OpReserve,0)+IF(198=DispoMonth,NetSaleUnlev,0)</f>
        <v/>
      </c>
      <c r="GU7" s="272">
        <f>-GU$5+Operating!GU$44+IF(199=StabMonth,OpReserve,0)+IF(199=DispoMonth,NetSaleUnlev,0)</f>
        <v/>
      </c>
      <c r="GV7" s="272">
        <f>-GV$5+Operating!GV$44+IF(200=StabMonth,OpReserve,0)+IF(200=DispoMonth,NetSaleUnlev,0)</f>
        <v/>
      </c>
      <c r="GW7" s="272">
        <f>-GW$5+Operating!GW$44+IF(201=StabMonth,OpReserve,0)+IF(201=DispoMonth,NetSaleUnlev,0)</f>
        <v/>
      </c>
      <c r="GX7" s="272">
        <f>-GX$5+Operating!GX$44+IF(202=StabMonth,OpReserve,0)+IF(202=DispoMonth,NetSaleUnlev,0)</f>
        <v/>
      </c>
      <c r="GY7" s="272">
        <f>-GY$5+Operating!GY$44+IF(203=StabMonth,OpReserve,0)+IF(203=DispoMonth,NetSaleUnlev,0)</f>
        <v/>
      </c>
      <c r="GZ7" s="272">
        <f>-GZ$5+Operating!GZ$44+IF(204=StabMonth,OpReserve,0)+IF(204=DispoMonth,NetSaleUnlev,0)</f>
        <v/>
      </c>
      <c r="HA7" s="272">
        <f>-HA$5+Operating!HA$44+IF(205=StabMonth,OpReserve,0)+IF(205=DispoMonth,NetSaleUnlev,0)</f>
        <v/>
      </c>
      <c r="HB7" s="272">
        <f>-HB$5+Operating!HB$44+IF(206=StabMonth,OpReserve,0)+IF(206=DispoMonth,NetSaleUnlev,0)</f>
        <v/>
      </c>
      <c r="HC7" s="272">
        <f>-HC$5+Operating!HC$44+IF(207=StabMonth,OpReserve,0)+IF(207=DispoMonth,NetSaleUnlev,0)</f>
        <v/>
      </c>
      <c r="HD7" s="272">
        <f>-HD$5+Operating!HD$44+IF(208=StabMonth,OpReserve,0)+IF(208=DispoMonth,NetSaleUnlev,0)</f>
        <v/>
      </c>
      <c r="HE7" s="272">
        <f>-HE$5+Operating!HE$44+IF(209=StabMonth,OpReserve,0)+IF(209=DispoMonth,NetSaleUnlev,0)</f>
        <v/>
      </c>
      <c r="HF7" s="272">
        <f>-HF$5+Operating!HF$44+IF(210=StabMonth,OpReserve,0)+IF(210=DispoMonth,NetSaleUnlev,0)</f>
        <v/>
      </c>
      <c r="HG7" s="272">
        <f>-HG$5+Operating!HG$44+IF(211=StabMonth,OpReserve,0)+IF(211=DispoMonth,NetSaleUnlev,0)</f>
        <v/>
      </c>
      <c r="HH7" s="272">
        <f>-HH$5+Operating!HH$44+IF(212=StabMonth,OpReserve,0)+IF(212=DispoMonth,NetSaleUnlev,0)</f>
        <v/>
      </c>
      <c r="HI7" s="272">
        <f>-HI$5+Operating!HI$44+IF(213=StabMonth,OpReserve,0)+IF(213=DispoMonth,NetSaleUnlev,0)</f>
        <v/>
      </c>
      <c r="HJ7" s="272">
        <f>-HJ$5+Operating!HJ$44+IF(214=StabMonth,OpReserve,0)+IF(214=DispoMonth,NetSaleUnlev,0)</f>
        <v/>
      </c>
      <c r="HK7" s="272">
        <f>-HK$5+Operating!HK$44+IF(215=StabMonth,OpReserve,0)+IF(215=DispoMonth,NetSaleUnlev,0)</f>
        <v/>
      </c>
      <c r="HL7" s="272">
        <f>-HL$5+Operating!HL$44+IF(216=StabMonth,OpReserve,0)+IF(216=DispoMonth,NetSaleUnlev,0)</f>
        <v/>
      </c>
      <c r="HM7" s="272">
        <f>-HM$5+Operating!HM$44+IF(217=StabMonth,OpReserve,0)+IF(217=DispoMonth,NetSaleUnlev,0)</f>
        <v/>
      </c>
      <c r="HN7" s="272">
        <f>-HN$5+Operating!HN$44+IF(218=StabMonth,OpReserve,0)+IF(218=DispoMonth,NetSaleUnlev,0)</f>
        <v/>
      </c>
      <c r="HO7" s="272">
        <f>-HO$5+Operating!HO$44+IF(219=StabMonth,OpReserve,0)+IF(219=DispoMonth,NetSaleUnlev,0)</f>
        <v/>
      </c>
      <c r="HP7" s="272">
        <f>-HP$5+Operating!HP$44+IF(220=StabMonth,OpReserve,0)+IF(220=DispoMonth,NetSaleUnlev,0)</f>
        <v/>
      </c>
      <c r="HQ7" s="272">
        <f>-HQ$5+Operating!HQ$44+IF(221=StabMonth,OpReserve,0)+IF(221=DispoMonth,NetSaleUnlev,0)</f>
        <v/>
      </c>
      <c r="HR7" s="272">
        <f>-HR$5+Operating!HR$44+IF(222=StabMonth,OpReserve,0)+IF(222=DispoMonth,NetSaleUnlev,0)</f>
        <v/>
      </c>
      <c r="HS7" s="272">
        <f>-HS$5+Operating!HS$44+IF(223=StabMonth,OpReserve,0)+IF(223=DispoMonth,NetSaleUnlev,0)</f>
        <v/>
      </c>
      <c r="HT7" s="272">
        <f>-HT$5+Operating!HT$44+IF(224=StabMonth,OpReserve,0)+IF(224=DispoMonth,NetSaleUnlev,0)</f>
        <v/>
      </c>
      <c r="HU7" s="272">
        <f>-HU$5+Operating!HU$44+IF(225=StabMonth,OpReserve,0)+IF(225=DispoMonth,NetSaleUnlev,0)</f>
        <v/>
      </c>
      <c r="HV7" s="272">
        <f>-HV$5+Operating!HV$44+IF(226=StabMonth,OpReserve,0)+IF(226=DispoMonth,NetSaleUnlev,0)</f>
        <v/>
      </c>
      <c r="HW7" s="272">
        <f>-HW$5+Operating!HW$44+IF(227=StabMonth,OpReserve,0)+IF(227=DispoMonth,NetSaleUnlev,0)</f>
        <v/>
      </c>
      <c r="HX7" s="272">
        <f>-HX$5+Operating!HX$44+IF(228=StabMonth,OpReserve,0)+IF(228=DispoMonth,NetSaleUnlev,0)</f>
        <v/>
      </c>
      <c r="HY7" s="272">
        <f>-HY$5+Operating!HY$44+IF(229=StabMonth,OpReserve,0)+IF(229=DispoMonth,NetSaleUnlev,0)</f>
        <v/>
      </c>
      <c r="HZ7" s="272">
        <f>-HZ$5+Operating!HZ$44+IF(230=StabMonth,OpReserve,0)+IF(230=DispoMonth,NetSaleUnlev,0)</f>
        <v/>
      </c>
      <c r="IA7" s="272">
        <f>-IA$5+Operating!IA$44+IF(231=StabMonth,OpReserve,0)+IF(231=DispoMonth,NetSaleUnlev,0)</f>
        <v/>
      </c>
      <c r="IB7" s="272">
        <f>-IB$5+Operating!IB$44+IF(232=StabMonth,OpReserve,0)+IF(232=DispoMonth,NetSaleUnlev,0)</f>
        <v/>
      </c>
      <c r="IC7" s="272">
        <f>-IC$5+Operating!IC$44+IF(233=StabMonth,OpReserve,0)+IF(233=DispoMonth,NetSaleUnlev,0)</f>
        <v/>
      </c>
      <c r="ID7" s="272">
        <f>-ID$5+Operating!ID$44+IF(234=StabMonth,OpReserve,0)+IF(234=DispoMonth,NetSaleUnlev,0)</f>
        <v/>
      </c>
      <c r="IE7" s="272">
        <f>-IE$5+Operating!IE$44+IF(235=StabMonth,OpReserve,0)+IF(235=DispoMonth,NetSaleUnlev,0)</f>
        <v/>
      </c>
      <c r="IF7" s="272">
        <f>-IF$5+Operating!IF$44+IF(236=StabMonth,OpReserve,0)+IF(236=DispoMonth,NetSaleUnlev,0)</f>
        <v/>
      </c>
      <c r="IG7" s="272">
        <f>-IG$5+Operating!IG$44+IF(237=StabMonth,OpReserve,0)+IF(237=DispoMonth,NetSaleUnlev,0)</f>
        <v/>
      </c>
      <c r="IH7" s="272">
        <f>-IH$5+Operating!IH$44+IF(238=StabMonth,OpReserve,0)+IF(238=DispoMonth,NetSaleUnlev,0)</f>
        <v/>
      </c>
      <c r="II7" s="272">
        <f>-II$5+Operating!II$44+IF(239=StabMonth,OpReserve,0)+IF(239=DispoMonth,NetSaleUnlev,0)</f>
        <v/>
      </c>
      <c r="IJ7" s="272">
        <f>-IJ$5+Operating!IJ$44+IF(240=StabMonth,OpReserve,0)+IF(240=DispoMonth,NetSaleUnlev,0)</f>
        <v/>
      </c>
      <c r="IK7" s="272">
        <f>-IK$5+Operating!IK$44+IF(241=StabMonth,OpReserve,0)+IF(241=DispoMonth,NetSaleUnlev,0)</f>
        <v/>
      </c>
      <c r="IL7" s="272">
        <f>-IL$5+Operating!IL$44+IF(242=StabMonth,OpReserve,0)+IF(242=DispoMonth,NetSaleUnlev,0)</f>
        <v/>
      </c>
      <c r="IM7" s="272">
        <f>-IM$5+Operating!IM$44+IF(243=StabMonth,OpReserve,0)+IF(243=DispoMonth,NetSaleUnlev,0)</f>
        <v/>
      </c>
      <c r="IN7" s="272">
        <f>-IN$5+Operating!IN$44+IF(244=StabMonth,OpReserve,0)+IF(244=DispoMonth,NetSaleUnlev,0)</f>
        <v/>
      </c>
      <c r="IO7" s="272">
        <f>-IO$5+Operating!IO$44+IF(245=StabMonth,OpReserve,0)+IF(245=DispoMonth,NetSaleUnlev,0)</f>
        <v/>
      </c>
      <c r="IP7" s="272">
        <f>-IP$5+Operating!IP$44+IF(246=StabMonth,OpReserve,0)+IF(246=DispoMonth,NetSaleUnlev,0)</f>
        <v/>
      </c>
      <c r="IQ7" s="272">
        <f>-IQ$5+Operating!IQ$44+IF(247=StabMonth,OpReserve,0)+IF(247=DispoMonth,NetSaleUnlev,0)</f>
        <v/>
      </c>
      <c r="IR7" s="272">
        <f>-IR$5+Operating!IR$44+IF(248=StabMonth,OpReserve,0)+IF(248=DispoMonth,NetSaleUnlev,0)</f>
        <v/>
      </c>
      <c r="IS7" s="272">
        <f>-IS$5+Operating!IS$44+IF(249=StabMonth,OpReserve,0)+IF(249=DispoMonth,NetSaleUnlev,0)</f>
        <v/>
      </c>
      <c r="IT7" s="272">
        <f>-IT$5+Operating!IT$44+IF(250=StabMonth,OpReserve,0)+IF(250=DispoMonth,NetSaleUnlev,0)</f>
        <v/>
      </c>
      <c r="IU7" s="272">
        <f>-IU$5+Operating!IU$44+IF(251=StabMonth,OpReserve,0)+IF(251=DispoMonth,NetSaleUnlev,0)</f>
        <v/>
      </c>
      <c r="IV7" s="272">
        <f>-IV$5+Operating!IV$44+IF(252=StabMonth,OpReserve,0)+IF(252=DispoMonth,NetSaleUnlev,0)</f>
        <v/>
      </c>
      <c r="IW7" s="272">
        <f>-IW$5+Operating!IW$44+IF(253=StabMonth,OpReserve,0)+IF(253=DispoMonth,NetSaleUnlev,0)</f>
        <v/>
      </c>
      <c r="IX7" s="272">
        <f>-IX$5+Operating!IX$44+IF(254=StabMonth,OpReserve,0)+IF(254=DispoMonth,NetSaleUnlev,0)</f>
        <v/>
      </c>
      <c r="IY7" s="272">
        <f>-IY$5+Operating!IY$44+IF(255=StabMonth,OpReserve,0)+IF(255=DispoMonth,NetSaleUnlev,0)</f>
        <v/>
      </c>
      <c r="IZ7" s="272">
        <f>-IZ$5+Operating!IZ$44+IF(256=StabMonth,OpReserve,0)+IF(256=DispoMonth,NetSaleUnlev,0)</f>
        <v/>
      </c>
      <c r="JA7" s="272">
        <f>-JA$5+Operating!JA$44+IF(257=StabMonth,OpReserve,0)+IF(257=DispoMonth,NetSaleUnlev,0)</f>
        <v/>
      </c>
      <c r="JB7" s="272">
        <f>-JB$5+Operating!JB$44+IF(258=StabMonth,OpReserve,0)+IF(258=DispoMonth,NetSaleUnlev,0)</f>
        <v/>
      </c>
      <c r="JC7" s="272">
        <f>-JC$5+Operating!JC$44+IF(259=StabMonth,OpReserve,0)+IF(259=DispoMonth,NetSaleUnlev,0)</f>
        <v/>
      </c>
      <c r="JD7" s="272">
        <f>-JD$5+Operating!JD$44+IF(260=StabMonth,OpReserve,0)+IF(260=DispoMonth,NetSaleUnlev,0)</f>
        <v/>
      </c>
      <c r="JE7" s="272">
        <f>-JE$5+Operating!JE$44+IF(261=StabMonth,OpReserve,0)+IF(261=DispoMonth,NetSaleUnlev,0)</f>
        <v/>
      </c>
      <c r="JF7" s="272">
        <f>-JF$5+Operating!JF$44+IF(262=StabMonth,OpReserve,0)+IF(262=DispoMonth,NetSaleUnlev,0)</f>
        <v/>
      </c>
      <c r="JG7" s="272">
        <f>-JG$5+Operating!JG$44+IF(263=StabMonth,OpReserve,0)+IF(263=DispoMonth,NetSaleUnlev,0)</f>
        <v/>
      </c>
      <c r="JH7" s="272">
        <f>-JH$5+Operating!JH$44+IF(264=StabMonth,OpReserve,0)+IF(264=DispoMonth,NetSaleUnlev,0)</f>
        <v/>
      </c>
      <c r="JI7" s="272">
        <f>-JI$5+Operating!JI$44+IF(265=StabMonth,OpReserve,0)+IF(265=DispoMonth,NetSaleUnlev,0)</f>
        <v/>
      </c>
      <c r="JJ7" s="272">
        <f>-JJ$5+Operating!JJ$44+IF(266=StabMonth,OpReserve,0)+IF(266=DispoMonth,NetSaleUnlev,0)</f>
        <v/>
      </c>
      <c r="JK7" s="272">
        <f>-JK$5+Operating!JK$44+IF(267=StabMonth,OpReserve,0)+IF(267=DispoMonth,NetSaleUnlev,0)</f>
        <v/>
      </c>
      <c r="JL7" s="272">
        <f>-JL$5+Operating!JL$44+IF(268=StabMonth,OpReserve,0)+IF(268=DispoMonth,NetSaleUnlev,0)</f>
        <v/>
      </c>
      <c r="JM7" s="272">
        <f>-JM$5+Operating!JM$44+IF(269=StabMonth,OpReserve,0)+IF(269=DispoMonth,NetSaleUnlev,0)</f>
        <v/>
      </c>
      <c r="JN7" s="272">
        <f>-JN$5+Operating!JN$44+IF(270=StabMonth,OpReserve,0)+IF(270=DispoMonth,NetSaleUnlev,0)</f>
        <v/>
      </c>
      <c r="JO7" s="272">
        <f>-JO$5+Operating!JO$44+IF(271=StabMonth,OpReserve,0)+IF(271=DispoMonth,NetSaleUnlev,0)</f>
        <v/>
      </c>
      <c r="JP7" s="272">
        <f>-JP$5+Operating!JP$44+IF(272=StabMonth,OpReserve,0)+IF(272=DispoMonth,NetSaleUnlev,0)</f>
        <v/>
      </c>
      <c r="JQ7" s="272">
        <f>-JQ$5+Operating!JQ$44+IF(273=StabMonth,OpReserve,0)+IF(273=DispoMonth,NetSaleUnlev,0)</f>
        <v/>
      </c>
      <c r="JR7" s="272">
        <f>-JR$5+Operating!JR$44+IF(274=StabMonth,OpReserve,0)+IF(274=DispoMonth,NetSaleUnlev,0)</f>
        <v/>
      </c>
      <c r="JS7" s="272">
        <f>-JS$5+Operating!JS$44+IF(275=StabMonth,OpReserve,0)+IF(275=DispoMonth,NetSaleUnlev,0)</f>
        <v/>
      </c>
      <c r="JT7" s="272">
        <f>-JT$5+Operating!JT$44+IF(276=StabMonth,OpReserve,0)+IF(276=DispoMonth,NetSaleUnlev,0)</f>
        <v/>
      </c>
      <c r="JU7" s="272">
        <f>-JU$5+Operating!JU$44+IF(277=StabMonth,OpReserve,0)+IF(277=DispoMonth,NetSaleUnlev,0)</f>
        <v/>
      </c>
      <c r="JV7" s="272">
        <f>-JV$5+Operating!JV$44+IF(278=StabMonth,OpReserve,0)+IF(278=DispoMonth,NetSaleUnlev,0)</f>
        <v/>
      </c>
      <c r="JW7" s="272">
        <f>-JW$5+Operating!JW$44+IF(279=StabMonth,OpReserve,0)+IF(279=DispoMonth,NetSaleUnlev,0)</f>
        <v/>
      </c>
      <c r="JX7" s="272">
        <f>-JX$5+Operating!JX$44+IF(280=StabMonth,OpReserve,0)+IF(280=DispoMonth,NetSaleUnlev,0)</f>
        <v/>
      </c>
      <c r="JY7" s="272">
        <f>-JY$5+Operating!JY$44+IF(281=StabMonth,OpReserve,0)+IF(281=DispoMonth,NetSaleUnlev,0)</f>
        <v/>
      </c>
      <c r="JZ7" s="272">
        <f>-JZ$5+Operating!JZ$44+IF(282=StabMonth,OpReserve,0)+IF(282=DispoMonth,NetSaleUnlev,0)</f>
        <v/>
      </c>
      <c r="KA7" s="272">
        <f>-KA$5+Operating!KA$44+IF(283=StabMonth,OpReserve,0)+IF(283=DispoMonth,NetSaleUnlev,0)</f>
        <v/>
      </c>
      <c r="KB7" s="272">
        <f>-KB$5+Operating!KB$44+IF(284=StabMonth,OpReserve,0)+IF(284=DispoMonth,NetSaleUnlev,0)</f>
        <v/>
      </c>
      <c r="KC7" s="272">
        <f>-KC$5+Operating!KC$44+IF(285=StabMonth,OpReserve,0)+IF(285=DispoMonth,NetSaleUnlev,0)</f>
        <v/>
      </c>
      <c r="KD7" s="272">
        <f>-KD$5+Operating!KD$44+IF(286=StabMonth,OpReserve,0)+IF(286=DispoMonth,NetSaleUnlev,0)</f>
        <v/>
      </c>
      <c r="KE7" s="272">
        <f>-KE$5+Operating!KE$44+IF(287=StabMonth,OpReserve,0)+IF(287=DispoMonth,NetSaleUnlev,0)</f>
        <v/>
      </c>
      <c r="KF7" s="272">
        <f>-KF$5+Operating!KF$44+IF(288=StabMonth,OpReserve,0)+IF(288=DispoMonth,NetSaleUnlev,0)</f>
        <v/>
      </c>
      <c r="KG7" s="272">
        <f>-KG$5+Operating!KG$44+IF(289=StabMonth,OpReserve,0)+IF(289=DispoMonth,NetSaleUnlev,0)</f>
        <v/>
      </c>
      <c r="KH7" s="272">
        <f>-KH$5+Operating!KH$44+IF(290=StabMonth,OpReserve,0)+IF(290=DispoMonth,NetSaleUnlev,0)</f>
        <v/>
      </c>
      <c r="KI7" s="272">
        <f>-KI$5+Operating!KI$44+IF(291=StabMonth,OpReserve,0)+IF(291=DispoMonth,NetSaleUnlev,0)</f>
        <v/>
      </c>
      <c r="KJ7" s="272">
        <f>-KJ$5+Operating!KJ$44+IF(292=StabMonth,OpReserve,0)+IF(292=DispoMonth,NetSaleUnlev,0)</f>
        <v/>
      </c>
      <c r="KK7" s="272">
        <f>-KK$5+Operating!KK$44+IF(293=StabMonth,OpReserve,0)+IF(293=DispoMonth,NetSaleUnlev,0)</f>
        <v/>
      </c>
      <c r="KL7" s="272">
        <f>-KL$5+Operating!KL$44+IF(294=StabMonth,OpReserve,0)+IF(294=DispoMonth,NetSaleUnlev,0)</f>
        <v/>
      </c>
      <c r="KM7" s="272">
        <f>-KM$5+Operating!KM$44+IF(295=StabMonth,OpReserve,0)+IF(295=DispoMonth,NetSaleUnlev,0)</f>
        <v/>
      </c>
      <c r="KN7" s="272">
        <f>-KN$5+Operating!KN$44+IF(296=StabMonth,OpReserve,0)+IF(296=DispoMonth,NetSaleUnlev,0)</f>
        <v/>
      </c>
      <c r="KO7" s="272">
        <f>-KO$5+Operating!KO$44+IF(297=StabMonth,OpReserve,0)+IF(297=DispoMonth,NetSaleUnlev,0)</f>
        <v/>
      </c>
      <c r="KP7" s="272">
        <f>-KP$5+Operating!KP$44+IF(298=StabMonth,OpReserve,0)+IF(298=DispoMonth,NetSaleUnlev,0)</f>
        <v/>
      </c>
      <c r="KQ7" s="272">
        <f>-KQ$5+Operating!KQ$44+IF(299=StabMonth,OpReserve,0)+IF(299=DispoMonth,NetSaleUnlev,0)</f>
        <v/>
      </c>
      <c r="KR7" s="272">
        <f>-KR$5+Operating!KR$44+IF(300=StabMonth,OpReserve,0)+IF(300=DispoMonth,NetSaleUnlev,0)</f>
        <v/>
      </c>
      <c r="KS7" s="272">
        <f>-KS$5+Operating!KS$44+IF(301=StabMonth,OpReserve,0)+IF(301=DispoMonth,NetSaleUnlev,0)</f>
        <v/>
      </c>
      <c r="KT7" s="272">
        <f>-KT$5+Operating!KT$44+IF(302=StabMonth,OpReserve,0)+IF(302=DispoMonth,NetSaleUnlev,0)</f>
        <v/>
      </c>
      <c r="KU7" s="272">
        <f>-KU$5+Operating!KU$44+IF(303=StabMonth,OpReserve,0)+IF(303=DispoMonth,NetSaleUnlev,0)</f>
        <v/>
      </c>
      <c r="KV7" s="272">
        <f>-KV$5+Operating!KV$44+IF(304=StabMonth,OpReserve,0)+IF(304=DispoMonth,NetSaleUnlev,0)</f>
        <v/>
      </c>
      <c r="KW7" s="272">
        <f>-KW$5+Operating!KW$44+IF(305=StabMonth,OpReserve,0)+IF(305=DispoMonth,NetSaleUnlev,0)</f>
        <v/>
      </c>
      <c r="KX7" s="272">
        <f>-KX$5+Operating!KX$44+IF(306=StabMonth,OpReserve,0)+IF(306=DispoMonth,NetSaleUnlev,0)</f>
        <v/>
      </c>
      <c r="KY7" s="272">
        <f>-KY$5+Operating!KY$44+IF(307=StabMonth,OpReserve,0)+IF(307=DispoMonth,NetSaleUnlev,0)</f>
        <v/>
      </c>
      <c r="KZ7" s="272">
        <f>-KZ$5+Operating!KZ$44+IF(308=StabMonth,OpReserve,0)+IF(308=DispoMonth,NetSaleUnlev,0)</f>
        <v/>
      </c>
      <c r="LA7" s="272">
        <f>-LA$5+Operating!LA$44+IF(309=StabMonth,OpReserve,0)+IF(309=DispoMonth,NetSaleUnlev,0)</f>
        <v/>
      </c>
      <c r="LB7" s="272">
        <f>-LB$5+Operating!LB$44+IF(310=StabMonth,OpReserve,0)+IF(310=DispoMonth,NetSaleUnlev,0)</f>
        <v/>
      </c>
      <c r="LC7" s="272">
        <f>-LC$5+Operating!LC$44+IF(311=StabMonth,OpReserve,0)+IF(311=DispoMonth,NetSaleUnlev,0)</f>
        <v/>
      </c>
      <c r="LD7" s="272">
        <f>-LD$5+Operating!LD$44+IF(312=StabMonth,OpReserve,0)+IF(312=DispoMonth,NetSaleUnlev,0)</f>
        <v/>
      </c>
      <c r="LE7" s="272">
        <f>-LE$5+Operating!LE$44+IF(313=StabMonth,OpReserve,0)+IF(313=DispoMonth,NetSaleUnlev,0)</f>
        <v/>
      </c>
      <c r="LF7" s="272">
        <f>-LF$5+Operating!LF$44+IF(314=StabMonth,OpReserve,0)+IF(314=DispoMonth,NetSaleUnlev,0)</f>
        <v/>
      </c>
      <c r="LG7" s="272">
        <f>-LG$5+Operating!LG$44+IF(315=StabMonth,OpReserve,0)+IF(315=DispoMonth,NetSaleUnlev,0)</f>
        <v/>
      </c>
      <c r="LH7" s="272">
        <f>-LH$5+Operating!LH$44+IF(316=StabMonth,OpReserve,0)+IF(316=DispoMonth,NetSaleUnlev,0)</f>
        <v/>
      </c>
      <c r="LI7" s="272">
        <f>-LI$5+Operating!LI$44+IF(317=StabMonth,OpReserve,0)+IF(317=DispoMonth,NetSaleUnlev,0)</f>
        <v/>
      </c>
      <c r="LJ7" s="272">
        <f>-LJ$5+Operating!LJ$44+IF(318=StabMonth,OpReserve,0)+IF(318=DispoMonth,NetSaleUnlev,0)</f>
        <v/>
      </c>
      <c r="LK7" s="272">
        <f>-LK$5+Operating!LK$44+IF(319=StabMonth,OpReserve,0)+IF(319=DispoMonth,NetSaleUnlev,0)</f>
        <v/>
      </c>
      <c r="LL7" s="272">
        <f>-LL$5+Operating!LL$44+IF(320=StabMonth,OpReserve,0)+IF(320=DispoMonth,NetSaleUnlev,0)</f>
        <v/>
      </c>
      <c r="LM7" s="272">
        <f>-LM$5+Operating!LM$44+IF(321=StabMonth,OpReserve,0)+IF(321=DispoMonth,NetSaleUnlev,0)</f>
        <v/>
      </c>
      <c r="LN7" s="272">
        <f>-LN$5+Operating!LN$44+IF(322=StabMonth,OpReserve,0)+IF(322=DispoMonth,NetSaleUnlev,0)</f>
        <v/>
      </c>
      <c r="LO7" s="272">
        <f>-LO$5+Operating!LO$44+IF(323=StabMonth,OpReserve,0)+IF(323=DispoMonth,NetSaleUnlev,0)</f>
        <v/>
      </c>
      <c r="LP7" s="272">
        <f>-LP$5+Operating!LP$44+IF(324=StabMonth,OpReserve,0)+IF(324=DispoMonth,NetSaleUnlev,0)</f>
        <v/>
      </c>
      <c r="LQ7" s="272">
        <f>-LQ$5+Operating!LQ$44+IF(325=StabMonth,OpReserve,0)+IF(325=DispoMonth,NetSaleUnlev,0)</f>
        <v/>
      </c>
      <c r="LR7" s="272">
        <f>-LR$5+Operating!LR$44+IF(326=StabMonth,OpReserve,0)+IF(326=DispoMonth,NetSaleUnlev,0)</f>
        <v/>
      </c>
      <c r="LS7" s="272">
        <f>-LS$5+Operating!LS$44+IF(327=StabMonth,OpReserve,0)+IF(327=DispoMonth,NetSaleUnlev,0)</f>
        <v/>
      </c>
      <c r="LT7" s="272">
        <f>-LT$5+Operating!LT$44+IF(328=StabMonth,OpReserve,0)+IF(328=DispoMonth,NetSaleUnlev,0)</f>
        <v/>
      </c>
      <c r="LU7" s="272">
        <f>-LU$5+Operating!LU$44+IF(329=StabMonth,OpReserve,0)+IF(329=DispoMonth,NetSaleUnlev,0)</f>
        <v/>
      </c>
      <c r="LV7" s="272">
        <f>-LV$5+Operating!LV$44+IF(330=StabMonth,OpReserve,0)+IF(330=DispoMonth,NetSaleUnlev,0)</f>
        <v/>
      </c>
      <c r="LW7" s="272">
        <f>-LW$5+Operating!LW$44+IF(331=StabMonth,OpReserve,0)+IF(331=DispoMonth,NetSaleUnlev,0)</f>
        <v/>
      </c>
      <c r="LX7" s="272">
        <f>-LX$5+Operating!LX$44+IF(332=StabMonth,OpReserve,0)+IF(332=DispoMonth,NetSaleUnlev,0)</f>
        <v/>
      </c>
      <c r="LY7" s="272">
        <f>-LY$5+Operating!LY$44+IF(333=StabMonth,OpReserve,0)+IF(333=DispoMonth,NetSaleUnlev,0)</f>
        <v/>
      </c>
      <c r="LZ7" s="272">
        <f>-LZ$5+Operating!LZ$44+IF(334=StabMonth,OpReserve,0)+IF(334=DispoMonth,NetSaleUnlev,0)</f>
        <v/>
      </c>
      <c r="MA7" s="272">
        <f>-MA$5+Operating!MA$44+IF(335=StabMonth,OpReserve,0)+IF(335=DispoMonth,NetSaleUnlev,0)</f>
        <v/>
      </c>
      <c r="MB7" s="272">
        <f>-MB$5+Operating!MB$44+IF(336=StabMonth,OpReserve,0)+IF(336=DispoMonth,NetSaleUnlev,0)</f>
        <v/>
      </c>
      <c r="MC7" s="272">
        <f>-MC$5+Operating!MC$44+IF(337=StabMonth,OpReserve,0)+IF(337=DispoMonth,NetSaleUnlev,0)</f>
        <v/>
      </c>
      <c r="MD7" s="272">
        <f>-MD$5+Operating!MD$44+IF(338=StabMonth,OpReserve,0)+IF(338=DispoMonth,NetSaleUnlev,0)</f>
        <v/>
      </c>
      <c r="ME7" s="272">
        <f>-ME$5+Operating!ME$44+IF(339=StabMonth,OpReserve,0)+IF(339=DispoMonth,NetSaleUnlev,0)</f>
        <v/>
      </c>
      <c r="MF7" s="272">
        <f>-MF$5+Operating!MF$44+IF(340=StabMonth,OpReserve,0)+IF(340=DispoMonth,NetSaleUnlev,0)</f>
        <v/>
      </c>
      <c r="MG7" s="272">
        <f>-MG$5+Operating!MG$44+IF(341=StabMonth,OpReserve,0)+IF(341=DispoMonth,NetSaleUnlev,0)</f>
        <v/>
      </c>
      <c r="MH7" s="272">
        <f>-MH$5+Operating!MH$44+IF(342=StabMonth,OpReserve,0)+IF(342=DispoMonth,NetSaleUnlev,0)</f>
        <v/>
      </c>
      <c r="MI7" s="272">
        <f>-MI$5+Operating!MI$44+IF(343=StabMonth,OpReserve,0)+IF(343=DispoMonth,NetSaleUnlev,0)</f>
        <v/>
      </c>
      <c r="MJ7" s="272">
        <f>-MJ$5+Operating!MJ$44+IF(344=StabMonth,OpReserve,0)+IF(344=DispoMonth,NetSaleUnlev,0)</f>
        <v/>
      </c>
      <c r="MK7" s="272">
        <f>-MK$5+Operating!MK$44+IF(345=StabMonth,OpReserve,0)+IF(345=DispoMonth,NetSaleUnlev,0)</f>
        <v/>
      </c>
      <c r="ML7" s="272">
        <f>-ML$5+Operating!ML$44+IF(346=StabMonth,OpReserve,0)+IF(346=DispoMonth,NetSaleUnlev,0)</f>
        <v/>
      </c>
      <c r="MM7" s="272">
        <f>-MM$5+Operating!MM$44+IF(347=StabMonth,OpReserve,0)+IF(347=DispoMonth,NetSaleUnlev,0)</f>
        <v/>
      </c>
      <c r="MN7" s="272">
        <f>-MN$5+Operating!MN$44+IF(348=StabMonth,OpReserve,0)+IF(348=DispoMonth,NetSaleUnlev,0)</f>
        <v/>
      </c>
      <c r="MO7" s="272">
        <f>-MO$5+Operating!MO$44+IF(349=StabMonth,OpReserve,0)+IF(349=DispoMonth,NetSaleUnlev,0)</f>
        <v/>
      </c>
      <c r="MP7" s="272">
        <f>-MP$5+Operating!MP$44+IF(350=StabMonth,OpReserve,0)+IF(350=DispoMonth,NetSaleUnlev,0)</f>
        <v/>
      </c>
      <c r="MQ7" s="272">
        <f>-MQ$5+Operating!MQ$44+IF(351=StabMonth,OpReserve,0)+IF(351=DispoMonth,NetSaleUnlev,0)</f>
        <v/>
      </c>
      <c r="MR7" s="272">
        <f>-MR$5+Operating!MR$44+IF(352=StabMonth,OpReserve,0)+IF(352=DispoMonth,NetSaleUnlev,0)</f>
        <v/>
      </c>
      <c r="MS7" s="272">
        <f>-MS$5+Operating!MS$44+IF(353=StabMonth,OpReserve,0)+IF(353=DispoMonth,NetSaleUnlev,0)</f>
        <v/>
      </c>
      <c r="MT7" s="272">
        <f>-MT$5+Operating!MT$44+IF(354=StabMonth,OpReserve,0)+IF(354=DispoMonth,NetSaleUnlev,0)</f>
        <v/>
      </c>
      <c r="MU7" s="272">
        <f>-MU$5+Operating!MU$44+IF(355=StabMonth,OpReserve,0)+IF(355=DispoMonth,NetSaleUnlev,0)</f>
        <v/>
      </c>
      <c r="MV7" s="272">
        <f>-MV$5+Operating!MV$44+IF(356=StabMonth,OpReserve,0)+IF(356=DispoMonth,NetSaleUnlev,0)</f>
        <v/>
      </c>
      <c r="MW7" s="272">
        <f>-MW$5+Operating!MW$44+IF(357=StabMonth,OpReserve,0)+IF(357=DispoMonth,NetSaleUnlev,0)</f>
        <v/>
      </c>
      <c r="MX7" s="272">
        <f>-MX$5+Operating!MX$44+IF(358=StabMonth,OpReserve,0)+IF(358=DispoMonth,NetSaleUnlev,0)</f>
        <v/>
      </c>
      <c r="MY7" s="272">
        <f>-MY$5+Operating!MY$44+IF(359=StabMonth,OpReserve,0)+IF(359=DispoMonth,NetSaleUnlev,0)</f>
        <v/>
      </c>
      <c r="MZ7" s="272">
        <f>-MZ$5+Operating!MZ$44+IF(360=StabMonth,OpReserve,0)+IF(360=DispoMonth,NetSaleUnlev,0)</f>
        <v/>
      </c>
      <c r="NA7" s="272">
        <f>-NA$5+Operating!NA$44+IF(361=StabMonth,OpReserve,0)+IF(361=DispoMonth,NetSaleUnlev,0)</f>
        <v/>
      </c>
      <c r="NB7" s="272">
        <f>-NB$5+Operating!NB$44+IF(362=StabMonth,OpReserve,0)+IF(362=DispoMonth,NetSaleUnlev,0)</f>
        <v/>
      </c>
      <c r="NC7" s="272">
        <f>-NC$5+Operating!NC$44+IF(363=StabMonth,OpReserve,0)+IF(363=DispoMonth,NetSaleUnlev,0)</f>
        <v/>
      </c>
      <c r="ND7" s="272">
        <f>-ND$5+Operating!ND$44+IF(364=StabMonth,OpReserve,0)+IF(364=DispoMonth,NetSaleUnlev,0)</f>
        <v/>
      </c>
      <c r="NE7" s="272">
        <f>-NE$5+Operating!NE$44+IF(365=StabMonth,OpReserve,0)+IF(365=DispoMonth,NetSaleUnlev,0)</f>
        <v/>
      </c>
      <c r="NF7" s="272">
        <f>-NF$5+Operating!NF$44+IF(366=StabMonth,OpReserve,0)+IF(366=DispoMonth,NetSaleUnlev,0)</f>
        <v/>
      </c>
      <c r="NG7" s="272">
        <f>-NG$5+Operating!NG$44+IF(367=StabMonth,OpReserve,0)+IF(367=DispoMonth,NetSaleUnlev,0)</f>
        <v/>
      </c>
      <c r="NH7" s="272">
        <f>-NH$5+Operating!NH$44+IF(368=StabMonth,OpReserve,0)+IF(368=DispoMonth,NetSaleUnlev,0)</f>
        <v/>
      </c>
      <c r="NI7" s="272">
        <f>-NI$5+Operating!NI$44+IF(369=StabMonth,OpReserve,0)+IF(369=DispoMonth,NetSaleUnlev,0)</f>
        <v/>
      </c>
      <c r="NJ7" s="272">
        <f>-NJ$5+Operating!NJ$44+IF(370=StabMonth,OpReserve,0)+IF(370=DispoMonth,NetSaleUnlev,0)</f>
        <v/>
      </c>
      <c r="NK7" s="272">
        <f>-NK$5+Operating!NK$44+IF(371=StabMonth,OpReserve,0)+IF(371=DispoMonth,NetSaleUnlev,0)</f>
        <v/>
      </c>
      <c r="NL7" s="261">
        <f>-NL$5+Operating!NL$44+IF(372=StabMonth,OpReserve,0)+IF(372=DispoMonth,NetSaleUnlev,0)</f>
        <v/>
      </c>
    </row>
    <row r="9">
      <c r="B9" s="71" t="inlineStr">
        <is>
          <t>Cash Flow Reconciliation</t>
        </is>
      </c>
      <c r="C9" s="72" t="n"/>
      <c r="D9" s="80" t="n"/>
    </row>
    <row r="10">
      <c r="B10" s="36" t="inlineStr">
        <is>
          <t>Levered Equity Invested (Σ outflows)</t>
        </is>
      </c>
      <c r="C10" s="262">
        <f>-SUMIF(E6:NL6,"&lt;0")</f>
        <v/>
      </c>
      <c r="D10" s="53" t="n"/>
    </row>
    <row r="11">
      <c r="B11" s="36" t="inlineStr">
        <is>
          <t>Levered Distributions (Σ inflows)</t>
        </is>
      </c>
      <c r="C11" s="262">
        <f>SUMIF(E6:NL6,"&gt;0")</f>
        <v/>
      </c>
      <c r="D11" s="53" t="n"/>
    </row>
    <row r="12">
      <c r="B12" s="36" t="inlineStr">
        <is>
          <t>Levered Net Profit</t>
        </is>
      </c>
      <c r="C12" s="262">
        <f>SUM(E6:NL6)</f>
        <v/>
      </c>
      <c r="D12" s="53" t="n"/>
    </row>
    <row r="13">
      <c r="B13" s="36" t="inlineStr">
        <is>
          <t>Unlevered Invested (Σ outflows)</t>
        </is>
      </c>
      <c r="C13" s="262">
        <f>-SUMIF(E7:NL7,"&lt;0")</f>
        <v/>
      </c>
      <c r="D13" s="53" t="n"/>
    </row>
    <row r="14">
      <c r="B14" s="36" t="inlineStr">
        <is>
          <t>Unlevered Distributions (Σ inflows)</t>
        </is>
      </c>
      <c r="C14" s="262">
        <f>SUMIF(E7:NL7,"&gt;0")</f>
        <v/>
      </c>
      <c r="D14" s="53" t="n"/>
    </row>
    <row r="15">
      <c r="B15" s="40" t="inlineStr">
        <is>
          <t>Unlevered Net Profit</t>
        </is>
      </c>
      <c r="C15" s="271">
        <f>SUM(E7:NL7)</f>
        <v/>
      </c>
      <c r="D15" s="66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375623"/>
    <outlinePr summaryBelow="1" summaryRight="1"/>
    <pageSetUpPr/>
  </sheetPr>
  <dimension ref="B2:Q26"/>
  <sheetViews>
    <sheetView showGridLines="0"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style="97" min="1" max="1"/>
    <col width="34" customWidth="1" style="97" min="2" max="2"/>
    <col width="13" customWidth="1" style="97" min="3" max="3"/>
    <col width="13" customWidth="1" style="97" min="4" max="4"/>
    <col width="13" customWidth="1" style="97" min="5" max="5"/>
    <col width="13" customWidth="1" style="97" min="6" max="6"/>
    <col width="13" customWidth="1" style="97" min="7" max="7"/>
    <col width="13" customWidth="1" style="97" min="8" max="8"/>
    <col width="13" customWidth="1" style="97" min="9" max="9"/>
    <col width="13" customWidth="1" style="97" min="10" max="10"/>
    <col width="13" customWidth="1" style="97" min="11" max="11"/>
    <col width="13" customWidth="1" style="97" min="12" max="12"/>
    <col width="13" customWidth="1" style="97" min="13" max="13"/>
    <col width="13" customWidth="1" style="97" min="14" max="14"/>
    <col width="13" customWidth="1" style="97" min="15" max="15"/>
    <col width="13" customWidth="1" style="97" min="16" max="16"/>
  </cols>
  <sheetData>
    <row r="2">
      <c r="B2" s="405" t="inlineStr">
        <is>
          <t>Equity Waterfall — Summary</t>
        </is>
      </c>
    </row>
    <row r="3">
      <c r="B3" s="188">
        <f>"LP / GP promote  •  "&amp;PropertyName</f>
        <v/>
      </c>
    </row>
    <row r="5">
      <c r="B5" s="384" t="inlineStr">
        <is>
          <t>Contribution / Distribution Summary</t>
        </is>
      </c>
      <c r="C5" s="155" t="n"/>
      <c r="D5" s="155" t="n"/>
      <c r="E5" s="155" t="n"/>
    </row>
    <row r="6">
      <c r="C6" s="449" t="inlineStr">
        <is>
          <t>Project</t>
        </is>
      </c>
      <c r="D6" s="449" t="inlineStr">
        <is>
          <t>LP</t>
        </is>
      </c>
      <c r="E6" s="449" t="inlineStr">
        <is>
          <t>GP</t>
        </is>
      </c>
    </row>
    <row r="7">
      <c r="B7" s="316" t="inlineStr">
        <is>
          <t>Contributions</t>
        </is>
      </c>
      <c r="C7" s="450">
        <f>-(SUM(Waterfall!E41:NL41)+SUM(Waterfall!E40:NL40))</f>
        <v/>
      </c>
      <c r="D7" s="450">
        <f>-SUM(Waterfall!E41:NL41)</f>
        <v/>
      </c>
      <c r="E7" s="450">
        <f>-SUM(Waterfall!E40:NL40)</f>
        <v/>
      </c>
    </row>
    <row r="8">
      <c r="B8" s="316" t="inlineStr">
        <is>
          <t>Distributions</t>
        </is>
      </c>
      <c r="C8" s="450">
        <f>SUM(Waterfall!E39:NL39)+SUM(Waterfall!E38:NL38)</f>
        <v/>
      </c>
      <c r="D8" s="450">
        <f>SUM(Waterfall!E39:NL39)</f>
        <v/>
      </c>
      <c r="E8" s="450">
        <f>SUM(Waterfall!E38:NL38)</f>
        <v/>
      </c>
    </row>
    <row r="9">
      <c r="B9" s="330" t="inlineStr">
        <is>
          <t>Net Proceeds</t>
        </is>
      </c>
      <c r="C9" s="331">
        <f>C8+C7</f>
        <v/>
      </c>
      <c r="D9" s="331">
        <f>D8+D7</f>
        <v/>
      </c>
      <c r="E9" s="331">
        <f>E8+E7</f>
        <v/>
      </c>
    </row>
    <row r="10">
      <c r="B10" s="316" t="inlineStr">
        <is>
          <t>IRR</t>
        </is>
      </c>
      <c r="C10" s="315">
        <f>LevIRR</f>
        <v/>
      </c>
      <c r="D10" s="315">
        <f>LP_IRR</f>
        <v/>
      </c>
      <c r="E10" s="315">
        <f>GP_IRR</f>
        <v/>
      </c>
    </row>
    <row r="11">
      <c r="B11" s="316" t="inlineStr">
        <is>
          <t>MOIC</t>
        </is>
      </c>
      <c r="C11" s="451">
        <f>IF(C7=0,0,-C8/C7)</f>
        <v/>
      </c>
      <c r="D11" s="451">
        <f>Waterfall!D16</f>
        <v/>
      </c>
      <c r="E11" s="451">
        <f>Waterfall!D17</f>
        <v/>
      </c>
    </row>
    <row r="14">
      <c r="B14" s="384" t="inlineStr">
        <is>
          <t>Distributions by Tier</t>
        </is>
      </c>
      <c r="C14" s="155" t="n"/>
      <c r="D14" s="155" t="n"/>
      <c r="E14" s="155" t="n"/>
      <c r="F14" s="155" t="n"/>
      <c r="G14" s="155" t="n"/>
    </row>
    <row r="15">
      <c r="C15" s="449" t="inlineStr">
        <is>
          <t>LP</t>
        </is>
      </c>
      <c r="D15" s="449" t="inlineStr">
        <is>
          <t>LP %</t>
        </is>
      </c>
      <c r="E15" s="449" t="inlineStr">
        <is>
          <t>GP</t>
        </is>
      </c>
      <c r="F15" s="449" t="inlineStr">
        <is>
          <t>GP %</t>
        </is>
      </c>
      <c r="G15" s="449" t="inlineStr">
        <is>
          <t>Total at Tier</t>
        </is>
      </c>
    </row>
    <row r="16">
      <c r="B16" s="316" t="inlineStr">
        <is>
          <t>Tier 1 — RoC + Pref</t>
        </is>
      </c>
      <c r="C16" s="450">
        <f>SUM(Waterfall!E32:NL32)*(1-GPCoInvest)</f>
        <v/>
      </c>
      <c r="D16" s="315">
        <f>IF(G16=0,0,C16/G16)</f>
        <v/>
      </c>
      <c r="E16" s="450">
        <f>SUM(Waterfall!E32:NL32)*GPCoInvest</f>
        <v/>
      </c>
      <c r="F16" s="315">
        <f>IF(G16=0,0,E16/G16)</f>
        <v/>
      </c>
      <c r="G16" s="450">
        <f>SUM(Waterfall!E32:NL32)</f>
        <v/>
      </c>
    </row>
    <row r="17">
      <c r="B17" s="316" t="inlineStr">
        <is>
          <t>Tier 2 — Pref to Hurdle 2</t>
        </is>
      </c>
      <c r="C17" s="450">
        <f>SUM(Waterfall!E33:NL33)*(1-Promote2)</f>
        <v/>
      </c>
      <c r="D17" s="315">
        <f>IF(G17=0,0,C17/G17)</f>
        <v/>
      </c>
      <c r="E17" s="450">
        <f>SUM(Waterfall!E33:NL33)*Promote2</f>
        <v/>
      </c>
      <c r="F17" s="315">
        <f>IF(G17=0,0,E17/G17)</f>
        <v/>
      </c>
      <c r="G17" s="450">
        <f>SUM(Waterfall!E33:NL33)</f>
        <v/>
      </c>
    </row>
    <row r="18">
      <c r="B18" s="316" t="inlineStr">
        <is>
          <t>Tier 3 — Hurdle 2 to 3</t>
        </is>
      </c>
      <c r="C18" s="450">
        <f>SUM(Waterfall!E34:NL34)*(1-Promote3)</f>
        <v/>
      </c>
      <c r="D18" s="315">
        <f>IF(G18=0,0,C18/G18)</f>
        <v/>
      </c>
      <c r="E18" s="450">
        <f>SUM(Waterfall!E34:NL34)*Promote3</f>
        <v/>
      </c>
      <c r="F18" s="315">
        <f>IF(G18=0,0,E18/G18)</f>
        <v/>
      </c>
      <c r="G18" s="450">
        <f>SUM(Waterfall!E34:NL34)</f>
        <v/>
      </c>
    </row>
    <row r="19">
      <c r="B19" s="316" t="inlineStr">
        <is>
          <t>Tier 4 — Residual</t>
        </is>
      </c>
      <c r="C19" s="450">
        <f>SUM(Waterfall!E35:NL35)*(1-Promote4)</f>
        <v/>
      </c>
      <c r="D19" s="315">
        <f>IF(G19=0,0,C19/G19)</f>
        <v/>
      </c>
      <c r="E19" s="450">
        <f>SUM(Waterfall!E35:NL35)*Promote4</f>
        <v/>
      </c>
      <c r="F19" s="315">
        <f>IF(G19=0,0,E19/G19)</f>
        <v/>
      </c>
      <c r="G19" s="450">
        <f>SUM(Waterfall!E35:NL35)</f>
        <v/>
      </c>
    </row>
    <row r="20">
      <c r="B20" s="330" t="inlineStr">
        <is>
          <t>Total</t>
        </is>
      </c>
      <c r="C20" s="331">
        <f>SUM(C16:C19)</f>
        <v/>
      </c>
      <c r="D20" s="452">
        <f>IF(G20=0,0,C20/G20)</f>
        <v/>
      </c>
      <c r="E20" s="331">
        <f>SUM(E16:E19)</f>
        <v/>
      </c>
      <c r="F20" s="452">
        <f>IF(G20=0,0,E20/G20)</f>
        <v/>
      </c>
      <c r="G20" s="331">
        <f>SUM(G16:G19)</f>
        <v/>
      </c>
    </row>
    <row r="22">
      <c r="B22" s="384" t="inlineStr">
        <is>
          <t>Annual Net Proceeds</t>
        </is>
      </c>
      <c r="C22" s="453" t="n">
        <v>1</v>
      </c>
      <c r="D22" s="453" t="n">
        <v>2</v>
      </c>
      <c r="E22" s="453" t="n">
        <v>3</v>
      </c>
      <c r="F22" s="453" t="n">
        <v>4</v>
      </c>
      <c r="G22" s="453" t="n">
        <v>5</v>
      </c>
      <c r="H22" s="453" t="n">
        <v>6</v>
      </c>
      <c r="I22" s="453" t="n">
        <v>7</v>
      </c>
      <c r="J22" s="453" t="n">
        <v>8</v>
      </c>
      <c r="K22" s="453" t="n">
        <v>9</v>
      </c>
      <c r="L22" s="453" t="n">
        <v>10</v>
      </c>
      <c r="M22" s="453" t="n">
        <v>11</v>
      </c>
      <c r="N22" s="453" t="n">
        <v>12</v>
      </c>
      <c r="O22" s="453" t="n">
        <v>13</v>
      </c>
      <c r="P22" s="453" t="n">
        <v>14</v>
      </c>
      <c r="Q22" s="453" t="n">
        <v>15</v>
      </c>
    </row>
    <row r="23">
      <c r="B23" s="316" t="inlineStr">
        <is>
          <t>Year →</t>
        </is>
      </c>
    </row>
    <row r="24">
      <c r="B24" s="316" t="inlineStr">
        <is>
          <t>LP Net Proceeds</t>
        </is>
      </c>
      <c r="C24" s="329">
        <f>SUM(INDEX(Waterfall!$E$43:$NL$43,((1-1)*12+1)):INDEX(Waterfall!$E$43:$NL$43,((1-1)*12+1)+11))</f>
        <v/>
      </c>
      <c r="D24" s="329">
        <f>SUM(INDEX(Waterfall!$E$43:$NL$43,((2-1)*12+1)):INDEX(Waterfall!$E$43:$NL$43,((2-1)*12+1)+11))</f>
        <v/>
      </c>
      <c r="E24" s="329">
        <f>SUM(INDEX(Waterfall!$E$43:$NL$43,((3-1)*12+1)):INDEX(Waterfall!$E$43:$NL$43,((3-1)*12+1)+11))</f>
        <v/>
      </c>
      <c r="F24" s="329">
        <f>SUM(INDEX(Waterfall!$E$43:$NL$43,((4-1)*12+1)):INDEX(Waterfall!$E$43:$NL$43,((4-1)*12+1)+11))</f>
        <v/>
      </c>
      <c r="G24" s="329">
        <f>SUM(INDEX(Waterfall!$E$43:$NL$43,((5-1)*12+1)):INDEX(Waterfall!$E$43:$NL$43,((5-1)*12+1)+11))</f>
        <v/>
      </c>
      <c r="H24" s="329">
        <f>SUM(INDEX(Waterfall!$E$43:$NL$43,((6-1)*12+1)):INDEX(Waterfall!$E$43:$NL$43,((6-1)*12+1)+11))</f>
        <v/>
      </c>
      <c r="I24" s="329">
        <f>SUM(INDEX(Waterfall!$E$43:$NL$43,((7-1)*12+1)):INDEX(Waterfall!$E$43:$NL$43,((7-1)*12+1)+11))</f>
        <v/>
      </c>
      <c r="J24" s="329">
        <f>SUM(INDEX(Waterfall!$E$43:$NL$43,((8-1)*12+1)):INDEX(Waterfall!$E$43:$NL$43,((8-1)*12+1)+11))</f>
        <v/>
      </c>
      <c r="K24" s="329">
        <f>SUM(INDEX(Waterfall!$E$43:$NL$43,((9-1)*12+1)):INDEX(Waterfall!$E$43:$NL$43,((9-1)*12+1)+11))</f>
        <v/>
      </c>
      <c r="L24" s="329">
        <f>SUM(INDEX(Waterfall!$E$43:$NL$43,((10-1)*12+1)):INDEX(Waterfall!$E$43:$NL$43,((10-1)*12+1)+11))</f>
        <v/>
      </c>
      <c r="M24" s="329">
        <f>SUM(INDEX(Waterfall!$E$43:$NL$43,((11-1)*12+1)):INDEX(Waterfall!$E$43:$NL$43,((11-1)*12+1)+11))</f>
        <v/>
      </c>
      <c r="N24" s="329">
        <f>SUM(INDEX(Waterfall!$E$43:$NL$43,((12-1)*12+1)):INDEX(Waterfall!$E$43:$NL$43,((12-1)*12+1)+11))</f>
        <v/>
      </c>
      <c r="O24" s="329">
        <f>SUM(INDEX(Waterfall!$E$43:$NL$43,((13-1)*12+1)):INDEX(Waterfall!$E$43:$NL$43,((13-1)*12+1)+11))</f>
        <v/>
      </c>
      <c r="P24" s="329">
        <f>SUM(INDEX(Waterfall!$E$43:$NL$43,((14-1)*12+1)):INDEX(Waterfall!$E$43:$NL$43,((14-1)*12+1)+11))</f>
        <v/>
      </c>
      <c r="Q24" s="329">
        <f>SUM(INDEX(Waterfall!$E$43:$NL$43,((15-1)*12+1)):INDEX(Waterfall!$E$43:$NL$43,((15-1)*12+1)+11))</f>
        <v/>
      </c>
    </row>
    <row r="25">
      <c r="B25" s="316" t="inlineStr">
        <is>
          <t>GP Net Proceeds</t>
        </is>
      </c>
      <c r="C25" s="329">
        <f>SUM(INDEX(Waterfall!$E$42:$NL$42,((1-1)*12+1)):INDEX(Waterfall!$E$42:$NL$42,((1-1)*12+1)+11))</f>
        <v/>
      </c>
      <c r="D25" s="329">
        <f>SUM(INDEX(Waterfall!$E$42:$NL$42,((2-1)*12+1)):INDEX(Waterfall!$E$42:$NL$42,((2-1)*12+1)+11))</f>
        <v/>
      </c>
      <c r="E25" s="329">
        <f>SUM(INDEX(Waterfall!$E$42:$NL$42,((3-1)*12+1)):INDEX(Waterfall!$E$42:$NL$42,((3-1)*12+1)+11))</f>
        <v/>
      </c>
      <c r="F25" s="329">
        <f>SUM(INDEX(Waterfall!$E$42:$NL$42,((4-1)*12+1)):INDEX(Waterfall!$E$42:$NL$42,((4-1)*12+1)+11))</f>
        <v/>
      </c>
      <c r="G25" s="329">
        <f>SUM(INDEX(Waterfall!$E$42:$NL$42,((5-1)*12+1)):INDEX(Waterfall!$E$42:$NL$42,((5-1)*12+1)+11))</f>
        <v/>
      </c>
      <c r="H25" s="329">
        <f>SUM(INDEX(Waterfall!$E$42:$NL$42,((6-1)*12+1)):INDEX(Waterfall!$E$42:$NL$42,((6-1)*12+1)+11))</f>
        <v/>
      </c>
      <c r="I25" s="329">
        <f>SUM(INDEX(Waterfall!$E$42:$NL$42,((7-1)*12+1)):INDEX(Waterfall!$E$42:$NL$42,((7-1)*12+1)+11))</f>
        <v/>
      </c>
      <c r="J25" s="329">
        <f>SUM(INDEX(Waterfall!$E$42:$NL$42,((8-1)*12+1)):INDEX(Waterfall!$E$42:$NL$42,((8-1)*12+1)+11))</f>
        <v/>
      </c>
      <c r="K25" s="329">
        <f>SUM(INDEX(Waterfall!$E$42:$NL$42,((9-1)*12+1)):INDEX(Waterfall!$E$42:$NL$42,((9-1)*12+1)+11))</f>
        <v/>
      </c>
      <c r="L25" s="329">
        <f>SUM(INDEX(Waterfall!$E$42:$NL$42,((10-1)*12+1)):INDEX(Waterfall!$E$42:$NL$42,((10-1)*12+1)+11))</f>
        <v/>
      </c>
      <c r="M25" s="329">
        <f>SUM(INDEX(Waterfall!$E$42:$NL$42,((11-1)*12+1)):INDEX(Waterfall!$E$42:$NL$42,((11-1)*12+1)+11))</f>
        <v/>
      </c>
      <c r="N25" s="329">
        <f>SUM(INDEX(Waterfall!$E$42:$NL$42,((12-1)*12+1)):INDEX(Waterfall!$E$42:$NL$42,((12-1)*12+1)+11))</f>
        <v/>
      </c>
      <c r="O25" s="329">
        <f>SUM(INDEX(Waterfall!$E$42:$NL$42,((13-1)*12+1)):INDEX(Waterfall!$E$42:$NL$42,((13-1)*12+1)+11))</f>
        <v/>
      </c>
      <c r="P25" s="329">
        <f>SUM(INDEX(Waterfall!$E$42:$NL$42,((14-1)*12+1)):INDEX(Waterfall!$E$42:$NL$42,((14-1)*12+1)+11))</f>
        <v/>
      </c>
      <c r="Q25" s="329">
        <f>SUM(INDEX(Waterfall!$E$42:$NL$42,((15-1)*12+1)):INDEX(Waterfall!$E$42:$NL$42,((15-1)*12+1)+11))</f>
        <v/>
      </c>
    </row>
    <row r="26">
      <c r="B26" s="328" t="inlineStr">
        <is>
          <t>GP Net Proceeds incl. Fees</t>
        </is>
      </c>
      <c r="C26" s="334">
        <f>SUM(INDEX(Waterfall!$E$48:$NL$48,((1-1)*12+1)):INDEX(Waterfall!$E$48:$NL$48,((1-1)*12+1)+11))</f>
        <v/>
      </c>
      <c r="D26" s="334">
        <f>SUM(INDEX(Waterfall!$E$48:$NL$48,((2-1)*12+1)):INDEX(Waterfall!$E$48:$NL$48,((2-1)*12+1)+11))</f>
        <v/>
      </c>
      <c r="E26" s="334">
        <f>SUM(INDEX(Waterfall!$E$48:$NL$48,((3-1)*12+1)):INDEX(Waterfall!$E$48:$NL$48,((3-1)*12+1)+11))</f>
        <v/>
      </c>
      <c r="F26" s="334">
        <f>SUM(INDEX(Waterfall!$E$48:$NL$48,((4-1)*12+1)):INDEX(Waterfall!$E$48:$NL$48,((4-1)*12+1)+11))</f>
        <v/>
      </c>
      <c r="G26" s="334">
        <f>SUM(INDEX(Waterfall!$E$48:$NL$48,((5-1)*12+1)):INDEX(Waterfall!$E$48:$NL$48,((5-1)*12+1)+11))</f>
        <v/>
      </c>
      <c r="H26" s="334">
        <f>SUM(INDEX(Waterfall!$E$48:$NL$48,((6-1)*12+1)):INDEX(Waterfall!$E$48:$NL$48,((6-1)*12+1)+11))</f>
        <v/>
      </c>
      <c r="I26" s="334">
        <f>SUM(INDEX(Waterfall!$E$48:$NL$48,((7-1)*12+1)):INDEX(Waterfall!$E$48:$NL$48,((7-1)*12+1)+11))</f>
        <v/>
      </c>
      <c r="J26" s="334">
        <f>SUM(INDEX(Waterfall!$E$48:$NL$48,((8-1)*12+1)):INDEX(Waterfall!$E$48:$NL$48,((8-1)*12+1)+11))</f>
        <v/>
      </c>
      <c r="K26" s="334">
        <f>SUM(INDEX(Waterfall!$E$48:$NL$48,((9-1)*12+1)):INDEX(Waterfall!$E$48:$NL$48,((9-1)*12+1)+11))</f>
        <v/>
      </c>
      <c r="L26" s="334">
        <f>SUM(INDEX(Waterfall!$E$48:$NL$48,((10-1)*12+1)):INDEX(Waterfall!$E$48:$NL$48,((10-1)*12+1)+11))</f>
        <v/>
      </c>
      <c r="M26" s="334">
        <f>SUM(INDEX(Waterfall!$E$48:$NL$48,((11-1)*12+1)):INDEX(Waterfall!$E$48:$NL$48,((11-1)*12+1)+11))</f>
        <v/>
      </c>
      <c r="N26" s="334">
        <f>SUM(INDEX(Waterfall!$E$48:$NL$48,((12-1)*12+1)):INDEX(Waterfall!$E$48:$NL$48,((12-1)*12+1)+11))</f>
        <v/>
      </c>
      <c r="O26" s="334">
        <f>SUM(INDEX(Waterfall!$E$48:$NL$48,((13-1)*12+1)):INDEX(Waterfall!$E$48:$NL$48,((13-1)*12+1)+11))</f>
        <v/>
      </c>
      <c r="P26" s="334">
        <f>SUM(INDEX(Waterfall!$E$48:$NL$48,((14-1)*12+1)):INDEX(Waterfall!$E$48:$NL$48,((14-1)*12+1)+11))</f>
        <v/>
      </c>
      <c r="Q26" s="334">
        <f>SUM(INDEX(Waterfall!$E$48:$NL$48,((15-1)*12+1)):INDEX(Waterfall!$E$48:$NL$48,((15-1)*12+1)+11))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375623"/>
    <outlinePr summaryBelow="1" summaryRight="1"/>
    <pageSetUpPr/>
  </sheetPr>
  <dimension ref="B1:NL51"/>
  <sheetViews>
    <sheetView showGridLines="0" workbookViewId="0">
      <pane xSplit="4" ySplit="21" topLeftCell="E2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style="97" min="1" max="1"/>
    <col width="38" customWidth="1" style="97" min="2" max="2"/>
    <col width="14" customWidth="1" style="97" min="3" max="3"/>
    <col width="15" customWidth="1" style="97" min="4" max="4"/>
    <col width="12" customWidth="1" style="97" min="5" max="5"/>
    <col outlineLevel="1" width="30" customWidth="1" style="97" min="6" max="16"/>
    <col width="12" customWidth="1" style="97" min="7" max="7"/>
    <col width="12" customWidth="1" style="97" min="8" max="8"/>
    <col width="12" customWidth="1" style="97" min="9" max="9"/>
    <col width="12" customWidth="1" style="97" min="17" max="17"/>
    <col outlineLevel="1" width="12" customWidth="1" style="97" min="18" max="28"/>
    <col width="12" customWidth="1" style="97" min="29" max="29"/>
    <col outlineLevel="1" width="12" customWidth="1" style="97" min="30" max="40"/>
    <col width="12" customWidth="1" style="97" min="41" max="41"/>
    <col outlineLevel="1" width="12" customWidth="1" style="97" min="42" max="52"/>
    <col width="12" customWidth="1" style="97" min="53" max="53"/>
    <col outlineLevel="1" width="12" customWidth="1" style="97" min="54" max="64"/>
    <col width="12" customWidth="1" style="97" min="65" max="65"/>
    <col outlineLevel="1" width="12" customWidth="1" style="97" min="66" max="76"/>
    <col width="12" customWidth="1" style="97" min="77" max="77"/>
    <col outlineLevel="1" width="12" customWidth="1" style="97" min="78" max="88"/>
    <col width="12" customWidth="1" style="97" min="89" max="89"/>
    <col outlineLevel="1" width="12" customWidth="1" style="97" min="90" max="100"/>
    <col width="12" customWidth="1" style="97" min="101" max="101"/>
    <col outlineLevel="1" width="12" customWidth="1" style="97" min="102" max="112"/>
    <col width="12" customWidth="1" style="97" min="113" max="113"/>
    <col outlineLevel="1" width="12" customWidth="1" style="97" min="114" max="124"/>
    <col width="12" customWidth="1" style="97" min="125" max="125"/>
    <col outlineLevel="1" width="12" customWidth="1" style="97" min="126" max="136"/>
    <col width="12" customWidth="1" style="97" min="137" max="137"/>
    <col outlineLevel="1" width="12" customWidth="1" style="97" min="138" max="148"/>
    <col width="12" customWidth="1" style="97" min="149" max="149"/>
    <col outlineLevel="1" width="12" customWidth="1" style="97" min="150" max="160"/>
    <col width="12" customWidth="1" style="97" min="161" max="161"/>
    <col outlineLevel="1" width="12" customWidth="1" style="97" min="162" max="172"/>
    <col width="12" customWidth="1" style="97" min="173" max="173"/>
    <col outlineLevel="1" width="12" customWidth="1" style="97" min="174" max="184"/>
    <col width="12" customWidth="1" style="97" min="185" max="185"/>
    <col outlineLevel="1" width="12" customWidth="1" style="97" min="186" max="196"/>
    <col width="12" customWidth="1" style="97" min="197" max="197"/>
    <col outlineLevel="1" width="12" customWidth="1" style="97" min="198" max="208"/>
    <col width="12" customWidth="1" style="97" min="209" max="209"/>
    <col outlineLevel="1" width="12" customWidth="1" style="97" min="210" max="220"/>
    <col width="12" customWidth="1" style="97" min="221" max="221"/>
    <col outlineLevel="1" width="12" customWidth="1" style="97" min="222" max="232"/>
    <col width="12" customWidth="1" style="97" min="233" max="233"/>
    <col outlineLevel="1" width="12" customWidth="1" style="97" min="234" max="244"/>
    <col width="12" customWidth="1" style="97" min="245" max="245"/>
    <col outlineLevel="1" width="12" customWidth="1" style="97" min="246" max="256"/>
    <col width="12" customWidth="1" style="97" min="257" max="257"/>
    <col outlineLevel="1" width="12" customWidth="1" style="97" min="258" max="268"/>
    <col width="12" customWidth="1" style="97" min="269" max="269"/>
    <col outlineLevel="1" width="12" customWidth="1" style="97" min="270" max="280"/>
    <col width="12" customWidth="1" style="97" min="281" max="281"/>
    <col outlineLevel="1" width="12" customWidth="1" style="97" min="282" max="292"/>
    <col width="12" customWidth="1" style="97" min="293" max="293"/>
    <col outlineLevel="1" width="12" customWidth="1" style="97" min="294" max="304"/>
    <col width="12" customWidth="1" style="97" min="305" max="305"/>
    <col outlineLevel="1" width="12" customWidth="1" style="97" min="306" max="316"/>
    <col width="12" customWidth="1" style="97" min="317" max="317"/>
    <col outlineLevel="1" width="12" customWidth="1" style="97" min="318" max="328"/>
    <col width="12" customWidth="1" style="97" min="329" max="329"/>
    <col outlineLevel="1" width="12" customWidth="1" style="97" min="330" max="340"/>
    <col width="12" customWidth="1" style="97" min="341" max="341"/>
    <col outlineLevel="1" width="12" customWidth="1" style="97" min="342" max="352"/>
    <col width="12" customWidth="1" style="97" min="353" max="353"/>
    <col outlineLevel="1" width="12" customWidth="1" style="97" min="354" max="364"/>
    <col width="12" customWidth="1" style="97" min="365" max="365"/>
    <col outlineLevel="1" width="12" customWidth="1" style="97" min="366" max="376"/>
  </cols>
  <sheetData>
    <row r="1">
      <c r="B1" s="405" t="inlineStr">
        <is>
          <t>Equity Waterfall — LP / GP Promote</t>
        </is>
      </c>
    </row>
    <row r="2">
      <c r="B2" s="188">
        <f>"IRR-hurdle waterfall  •  "&amp;PropertyName</f>
        <v/>
      </c>
    </row>
    <row r="4">
      <c r="B4" s="384" t="inlineStr">
        <is>
          <t>Contributions</t>
        </is>
      </c>
      <c r="C4" s="449" t="inlineStr">
        <is>
          <t>Amount</t>
        </is>
      </c>
      <c r="D4" s="449" t="inlineStr">
        <is>
          <t>%</t>
        </is>
      </c>
      <c r="F4" s="384" t="inlineStr">
        <is>
          <t>Distributions</t>
        </is>
      </c>
      <c r="G4" s="449" t="inlineStr">
        <is>
          <t>IRR Hurdle</t>
        </is>
      </c>
      <c r="H4" s="449" t="inlineStr">
        <is>
          <t>% to GP</t>
        </is>
      </c>
      <c r="I4" s="449" t="inlineStr">
        <is>
          <t>% to LP</t>
        </is>
      </c>
    </row>
    <row r="5">
      <c r="B5" s="316" t="inlineStr">
        <is>
          <t>LP</t>
        </is>
      </c>
      <c r="C5" s="450">
        <f>EquityTotal*(1-GPCoInvest)</f>
        <v/>
      </c>
      <c r="D5" s="315">
        <f>1-GPCoInvest</f>
        <v/>
      </c>
      <c r="F5" s="316" t="inlineStr">
        <is>
          <t>Tier 1 — Return of Capital + Pref</t>
        </is>
      </c>
      <c r="G5" s="386" t="n">
        <v>0.08</v>
      </c>
      <c r="H5" s="315">
        <f>GPCoInvest</f>
        <v/>
      </c>
      <c r="I5" s="315">
        <f>1-H5</f>
        <v/>
      </c>
    </row>
    <row r="6">
      <c r="B6" s="316" t="inlineStr">
        <is>
          <t>GP</t>
        </is>
      </c>
      <c r="C6" s="450">
        <f>EquityTotal*GPCoInvest</f>
        <v/>
      </c>
      <c r="D6" s="392" t="n">
        <v>0.1</v>
      </c>
      <c r="F6" s="316" t="inlineStr">
        <is>
          <t>Tier 2 — Pref to Hurdle 2</t>
        </is>
      </c>
      <c r="G6" s="386" t="n">
        <v>0.12</v>
      </c>
      <c r="H6" s="392" t="n">
        <v>0.2</v>
      </c>
      <c r="I6" s="315">
        <f>1-H6</f>
        <v/>
      </c>
    </row>
    <row r="7">
      <c r="B7" s="330" t="inlineStr">
        <is>
          <t>Total Contributions</t>
        </is>
      </c>
      <c r="C7" s="331">
        <f>EquityTotal</f>
        <v/>
      </c>
      <c r="D7" s="452" t="n">
        <v>1</v>
      </c>
      <c r="F7" s="316" t="inlineStr">
        <is>
          <t>Tier 3 — Hurdle 2 to Hurdle 3</t>
        </is>
      </c>
      <c r="G7" s="386" t="n">
        <v>0.15</v>
      </c>
      <c r="H7" s="392" t="n">
        <v>0.3</v>
      </c>
      <c r="I7" s="315">
        <f>1-H7</f>
        <v/>
      </c>
    </row>
    <row r="8">
      <c r="B8" s="310" t="inlineStr">
        <is>
          <t>Check: LP + GP − Total</t>
        </is>
      </c>
      <c r="C8" s="454">
        <f>C5+C6-EquityTotal</f>
        <v/>
      </c>
      <c r="D8" s="411">
        <f>IF(ABS(C8)&lt;1,"TRUE","FALSE")</f>
        <v/>
      </c>
      <c r="F8" s="316" t="inlineStr">
        <is>
          <t>Tier 4 — Residual (&gt; Hurdle 3)</t>
        </is>
      </c>
      <c r="G8" s="411">
        <f>"&gt; "&amp;TEXT(Hurdle3IRR,"0.0%")</f>
        <v/>
      </c>
      <c r="H8" s="392" t="n">
        <v>0.4</v>
      </c>
      <c r="I8" s="315">
        <f>1-H8</f>
        <v/>
      </c>
    </row>
    <row r="9">
      <c r="B9" s="316" t="n"/>
      <c r="C9" s="455" t="n"/>
    </row>
    <row r="10">
      <c r="B10" s="316" t="n"/>
      <c r="C10" s="455" t="n"/>
    </row>
    <row r="11">
      <c r="B11" s="316" t="n"/>
      <c r="C11" s="455" t="n"/>
    </row>
    <row r="14">
      <c r="B14" s="384" t="inlineStr">
        <is>
          <t>Returns by Partner</t>
        </is>
      </c>
      <c r="C14" s="155" t="n"/>
      <c r="D14" s="155" t="n"/>
    </row>
    <row r="15">
      <c r="C15" s="196" t="inlineStr">
        <is>
          <t>IRR</t>
        </is>
      </c>
      <c r="D15" s="196" t="inlineStr">
        <is>
          <t>MOIC</t>
        </is>
      </c>
    </row>
    <row r="16">
      <c r="B16" s="316" t="inlineStr">
        <is>
          <t>LP</t>
        </is>
      </c>
      <c r="C16" s="408">
        <f>IFERROR((1+IRR(E43:NL43,0.01))^12-1,"n/a")</f>
        <v/>
      </c>
      <c r="D16" s="409">
        <f>IF(SUMIF(E41:NL41,"&gt;0")=0,0,SUM(E39:NL39)/SUM(E41:NL41))</f>
        <v/>
      </c>
    </row>
    <row r="17">
      <c r="B17" s="316" t="inlineStr">
        <is>
          <t>GP (promote)</t>
        </is>
      </c>
      <c r="C17" s="408">
        <f>IFERROR((1+IRR(E42:NL42,0.01))^12-1,"n/a")</f>
        <v/>
      </c>
      <c r="D17" s="409">
        <f>IF(SUM(E40:NL40)=0,0,SUM(E38:NL38)/SUM(E40:NL40))</f>
        <v/>
      </c>
    </row>
    <row r="18">
      <c r="B18" s="316" t="inlineStr">
        <is>
          <t>GP incl. fees</t>
        </is>
      </c>
      <c r="C18" s="408">
        <f>IFERROR((1+IRR(E48:NL48,0.01))^12-1,"n/a")</f>
        <v/>
      </c>
      <c r="D18" s="409">
        <f>IF(SUM(E40:NL40)=0,0,(SUM(E38:NL38)+SUM(E45:NL45)+SUM(E46:NL46)+SUM(E47:NL47))/SUM(E40:NL40))</f>
        <v/>
      </c>
    </row>
    <row r="20">
      <c r="B20" s="319" t="inlineStr">
        <is>
          <t>Period →</t>
        </is>
      </c>
      <c r="D20" s="196" t="inlineStr">
        <is>
          <t>Total</t>
        </is>
      </c>
      <c r="E20" s="332" t="n">
        <v>1</v>
      </c>
      <c r="F20" s="332" t="n">
        <v>2</v>
      </c>
      <c r="G20" s="332" t="n">
        <v>3</v>
      </c>
      <c r="H20" s="332" t="n">
        <v>4</v>
      </c>
      <c r="I20" s="332" t="n">
        <v>5</v>
      </c>
      <c r="J20" s="332" t="n">
        <v>6</v>
      </c>
      <c r="K20" s="332" t="n">
        <v>7</v>
      </c>
      <c r="L20" s="332" t="n">
        <v>8</v>
      </c>
      <c r="M20" s="332" t="n">
        <v>9</v>
      </c>
      <c r="N20" s="332" t="n">
        <v>10</v>
      </c>
      <c r="O20" s="332" t="n">
        <v>11</v>
      </c>
      <c r="P20" s="332" t="n">
        <v>12</v>
      </c>
      <c r="Q20" s="332" t="n">
        <v>13</v>
      </c>
      <c r="R20" s="332" t="n">
        <v>14</v>
      </c>
      <c r="S20" s="332" t="n">
        <v>15</v>
      </c>
      <c r="T20" s="332" t="n">
        <v>16</v>
      </c>
      <c r="U20" s="332" t="n">
        <v>17</v>
      </c>
      <c r="V20" s="332" t="n">
        <v>18</v>
      </c>
      <c r="W20" s="332" t="n">
        <v>19</v>
      </c>
      <c r="X20" s="332" t="n">
        <v>20</v>
      </c>
      <c r="Y20" s="332" t="n">
        <v>21</v>
      </c>
      <c r="Z20" s="332" t="n">
        <v>22</v>
      </c>
      <c r="AA20" s="332" t="n">
        <v>23</v>
      </c>
      <c r="AB20" s="332" t="n">
        <v>24</v>
      </c>
      <c r="AC20" s="332" t="n">
        <v>25</v>
      </c>
      <c r="AD20" s="332" t="n">
        <v>26</v>
      </c>
      <c r="AE20" s="332" t="n">
        <v>27</v>
      </c>
      <c r="AF20" s="332" t="n">
        <v>28</v>
      </c>
      <c r="AG20" s="332" t="n">
        <v>29</v>
      </c>
      <c r="AH20" s="332" t="n">
        <v>30</v>
      </c>
      <c r="AI20" s="332" t="n">
        <v>31</v>
      </c>
      <c r="AJ20" s="332" t="n">
        <v>32</v>
      </c>
      <c r="AK20" s="332" t="n">
        <v>33</v>
      </c>
      <c r="AL20" s="332" t="n">
        <v>34</v>
      </c>
      <c r="AM20" s="332" t="n">
        <v>35</v>
      </c>
      <c r="AN20" s="332" t="n">
        <v>36</v>
      </c>
      <c r="AO20" s="332" t="n">
        <v>37</v>
      </c>
      <c r="AP20" s="332" t="n">
        <v>38</v>
      </c>
      <c r="AQ20" s="332" t="n">
        <v>39</v>
      </c>
      <c r="AR20" s="332" t="n">
        <v>40</v>
      </c>
      <c r="AS20" s="332" t="n">
        <v>41</v>
      </c>
      <c r="AT20" s="332" t="n">
        <v>42</v>
      </c>
      <c r="AU20" s="332" t="n">
        <v>43</v>
      </c>
      <c r="AV20" s="332" t="n">
        <v>44</v>
      </c>
      <c r="AW20" s="332" t="n">
        <v>45</v>
      </c>
      <c r="AX20" s="332" t="n">
        <v>46</v>
      </c>
      <c r="AY20" s="332" t="n">
        <v>47</v>
      </c>
      <c r="AZ20" s="332" t="n">
        <v>48</v>
      </c>
      <c r="BA20" s="332" t="n">
        <v>49</v>
      </c>
      <c r="BB20" s="332" t="n">
        <v>50</v>
      </c>
      <c r="BC20" s="332" t="n">
        <v>51</v>
      </c>
      <c r="BD20" s="332" t="n">
        <v>52</v>
      </c>
      <c r="BE20" s="332" t="n">
        <v>53</v>
      </c>
      <c r="BF20" s="332" t="n">
        <v>54</v>
      </c>
      <c r="BG20" s="332" t="n">
        <v>55</v>
      </c>
      <c r="BH20" s="332" t="n">
        <v>56</v>
      </c>
      <c r="BI20" s="332" t="n">
        <v>57</v>
      </c>
      <c r="BJ20" s="332" t="n">
        <v>58</v>
      </c>
      <c r="BK20" s="332" t="n">
        <v>59</v>
      </c>
      <c r="BL20" s="332" t="n">
        <v>60</v>
      </c>
      <c r="BM20" s="332" t="n">
        <v>61</v>
      </c>
      <c r="BN20" s="332" t="n">
        <v>62</v>
      </c>
      <c r="BO20" s="332" t="n">
        <v>63</v>
      </c>
      <c r="BP20" s="332" t="n">
        <v>64</v>
      </c>
      <c r="BQ20" s="332" t="n">
        <v>65</v>
      </c>
      <c r="BR20" s="332" t="n">
        <v>66</v>
      </c>
      <c r="BS20" s="332" t="n">
        <v>67</v>
      </c>
      <c r="BT20" s="332" t="n">
        <v>68</v>
      </c>
      <c r="BU20" s="332" t="n">
        <v>69</v>
      </c>
      <c r="BV20" s="332" t="n">
        <v>70</v>
      </c>
      <c r="BW20" s="332" t="n">
        <v>71</v>
      </c>
      <c r="BX20" s="332" t="n">
        <v>72</v>
      </c>
      <c r="BY20" s="332" t="n">
        <v>73</v>
      </c>
      <c r="BZ20" s="332" t="n">
        <v>74</v>
      </c>
      <c r="CA20" s="332" t="n">
        <v>75</v>
      </c>
      <c r="CB20" s="332" t="n">
        <v>76</v>
      </c>
      <c r="CC20" s="332" t="n">
        <v>77</v>
      </c>
      <c r="CD20" s="332" t="n">
        <v>78</v>
      </c>
      <c r="CE20" s="332" t="n">
        <v>79</v>
      </c>
      <c r="CF20" s="332" t="n">
        <v>80</v>
      </c>
      <c r="CG20" s="332" t="n">
        <v>81</v>
      </c>
      <c r="CH20" s="332" t="n">
        <v>82</v>
      </c>
      <c r="CI20" s="332" t="n">
        <v>83</v>
      </c>
      <c r="CJ20" s="332" t="n">
        <v>84</v>
      </c>
      <c r="CK20" s="332" t="n">
        <v>85</v>
      </c>
      <c r="CL20" s="332" t="n">
        <v>86</v>
      </c>
      <c r="CM20" s="332" t="n">
        <v>87</v>
      </c>
      <c r="CN20" s="332" t="n">
        <v>88</v>
      </c>
      <c r="CO20" s="332" t="n">
        <v>89</v>
      </c>
      <c r="CP20" s="332" t="n">
        <v>90</v>
      </c>
      <c r="CQ20" s="332" t="n">
        <v>91</v>
      </c>
      <c r="CR20" s="332" t="n">
        <v>92</v>
      </c>
      <c r="CS20" s="332" t="n">
        <v>93</v>
      </c>
      <c r="CT20" s="332" t="n">
        <v>94</v>
      </c>
      <c r="CU20" s="332" t="n">
        <v>95</v>
      </c>
      <c r="CV20" s="332" t="n">
        <v>96</v>
      </c>
      <c r="CW20" s="332" t="n">
        <v>97</v>
      </c>
      <c r="CX20" s="332" t="n">
        <v>98</v>
      </c>
      <c r="CY20" s="332" t="n">
        <v>99</v>
      </c>
      <c r="CZ20" s="332" t="n">
        <v>100</v>
      </c>
      <c r="DA20" s="332" t="n">
        <v>101</v>
      </c>
      <c r="DB20" s="332" t="n">
        <v>102</v>
      </c>
      <c r="DC20" s="332" t="n">
        <v>103</v>
      </c>
      <c r="DD20" s="332" t="n">
        <v>104</v>
      </c>
      <c r="DE20" s="332" t="n">
        <v>105</v>
      </c>
      <c r="DF20" s="332" t="n">
        <v>106</v>
      </c>
      <c r="DG20" s="332" t="n">
        <v>107</v>
      </c>
      <c r="DH20" s="332" t="n">
        <v>108</v>
      </c>
      <c r="DI20" s="332" t="n">
        <v>109</v>
      </c>
      <c r="DJ20" s="332" t="n">
        <v>110</v>
      </c>
      <c r="DK20" s="332" t="n">
        <v>111</v>
      </c>
      <c r="DL20" s="332" t="n">
        <v>112</v>
      </c>
      <c r="DM20" s="332" t="n">
        <v>113</v>
      </c>
      <c r="DN20" s="332" t="n">
        <v>114</v>
      </c>
      <c r="DO20" s="332" t="n">
        <v>115</v>
      </c>
      <c r="DP20" s="332" t="n">
        <v>116</v>
      </c>
      <c r="DQ20" s="332" t="n">
        <v>117</v>
      </c>
      <c r="DR20" s="332" t="n">
        <v>118</v>
      </c>
      <c r="DS20" s="332" t="n">
        <v>119</v>
      </c>
      <c r="DT20" s="332" t="n">
        <v>120</v>
      </c>
      <c r="DU20" s="332" t="n">
        <v>121</v>
      </c>
      <c r="DV20" s="332" t="n">
        <v>122</v>
      </c>
      <c r="DW20" s="332" t="n">
        <v>123</v>
      </c>
      <c r="DX20" s="332" t="n">
        <v>124</v>
      </c>
      <c r="DY20" s="332" t="n">
        <v>125</v>
      </c>
      <c r="DZ20" s="332" t="n">
        <v>126</v>
      </c>
      <c r="EA20" s="332" t="n">
        <v>127</v>
      </c>
      <c r="EB20" s="332" t="n">
        <v>128</v>
      </c>
      <c r="EC20" s="332" t="n">
        <v>129</v>
      </c>
      <c r="ED20" s="332" t="n">
        <v>130</v>
      </c>
      <c r="EE20" s="332" t="n">
        <v>131</v>
      </c>
      <c r="EF20" s="332" t="n">
        <v>132</v>
      </c>
      <c r="EG20" s="332" t="n">
        <v>133</v>
      </c>
      <c r="EH20" s="332" t="n">
        <v>134</v>
      </c>
      <c r="EI20" s="332" t="n">
        <v>135</v>
      </c>
      <c r="EJ20" s="332" t="n">
        <v>136</v>
      </c>
      <c r="EK20" s="332" t="n">
        <v>137</v>
      </c>
      <c r="EL20" s="332" t="n">
        <v>138</v>
      </c>
      <c r="EM20" s="332" t="n">
        <v>139</v>
      </c>
      <c r="EN20" s="332" t="n">
        <v>140</v>
      </c>
      <c r="EO20" s="332" t="n">
        <v>141</v>
      </c>
      <c r="EP20" s="332" t="n">
        <v>142</v>
      </c>
      <c r="EQ20" s="332" t="n">
        <v>143</v>
      </c>
      <c r="ER20" s="332" t="n">
        <v>144</v>
      </c>
      <c r="ES20" s="332" t="n">
        <v>145</v>
      </c>
      <c r="ET20" s="332" t="n">
        <v>146</v>
      </c>
      <c r="EU20" s="332" t="n">
        <v>147</v>
      </c>
      <c r="EV20" s="332" t="n">
        <v>148</v>
      </c>
      <c r="EW20" s="332" t="n">
        <v>149</v>
      </c>
      <c r="EX20" s="332" t="n">
        <v>150</v>
      </c>
      <c r="EY20" s="332" t="n">
        <v>151</v>
      </c>
      <c r="EZ20" s="332" t="n">
        <v>152</v>
      </c>
      <c r="FA20" s="332" t="n">
        <v>153</v>
      </c>
      <c r="FB20" s="332" t="n">
        <v>154</v>
      </c>
      <c r="FC20" s="332" t="n">
        <v>155</v>
      </c>
      <c r="FD20" s="332" t="n">
        <v>156</v>
      </c>
      <c r="FE20" s="332" t="n">
        <v>157</v>
      </c>
      <c r="FF20" s="332" t="n">
        <v>158</v>
      </c>
      <c r="FG20" s="332" t="n">
        <v>159</v>
      </c>
      <c r="FH20" s="332" t="n">
        <v>160</v>
      </c>
      <c r="FI20" s="332" t="n">
        <v>161</v>
      </c>
      <c r="FJ20" s="332" t="n">
        <v>162</v>
      </c>
      <c r="FK20" s="332" t="n">
        <v>163</v>
      </c>
      <c r="FL20" s="332" t="n">
        <v>164</v>
      </c>
      <c r="FM20" s="332" t="n">
        <v>165</v>
      </c>
      <c r="FN20" s="332" t="n">
        <v>166</v>
      </c>
      <c r="FO20" s="332" t="n">
        <v>167</v>
      </c>
      <c r="FP20" s="332" t="n">
        <v>168</v>
      </c>
      <c r="FQ20" s="332" t="n">
        <v>169</v>
      </c>
      <c r="FR20" s="332" t="n">
        <v>170</v>
      </c>
      <c r="FS20" s="332" t="n">
        <v>171</v>
      </c>
      <c r="FT20" s="332" t="n">
        <v>172</v>
      </c>
      <c r="FU20" s="332" t="n">
        <v>173</v>
      </c>
      <c r="FV20" s="332" t="n">
        <v>174</v>
      </c>
      <c r="FW20" s="332" t="n">
        <v>175</v>
      </c>
      <c r="FX20" s="332" t="n">
        <v>176</v>
      </c>
      <c r="FY20" s="332" t="n">
        <v>177</v>
      </c>
      <c r="FZ20" s="332" t="n">
        <v>178</v>
      </c>
      <c r="GA20" s="332" t="n">
        <v>179</v>
      </c>
      <c r="GB20" s="332" t="n">
        <v>180</v>
      </c>
      <c r="GC20" s="332" t="n">
        <v>181</v>
      </c>
      <c r="GD20" s="332" t="n">
        <v>182</v>
      </c>
      <c r="GE20" s="332" t="n">
        <v>183</v>
      </c>
      <c r="GF20" s="332" t="n">
        <v>184</v>
      </c>
      <c r="GG20" s="332" t="n">
        <v>185</v>
      </c>
      <c r="GH20" s="332" t="n">
        <v>186</v>
      </c>
      <c r="GI20" s="332" t="n">
        <v>187</v>
      </c>
      <c r="GJ20" s="332" t="n">
        <v>188</v>
      </c>
      <c r="GK20" s="332" t="n">
        <v>189</v>
      </c>
      <c r="GL20" s="332" t="n">
        <v>190</v>
      </c>
      <c r="GM20" s="332" t="n">
        <v>191</v>
      </c>
      <c r="GN20" s="332" t="n">
        <v>192</v>
      </c>
      <c r="GO20" s="332" t="n">
        <v>193</v>
      </c>
      <c r="GP20" s="332" t="n">
        <v>194</v>
      </c>
      <c r="GQ20" s="332" t="n">
        <v>195</v>
      </c>
      <c r="GR20" s="332" t="n">
        <v>196</v>
      </c>
      <c r="GS20" s="332" t="n">
        <v>197</v>
      </c>
      <c r="GT20" s="332" t="n">
        <v>198</v>
      </c>
      <c r="GU20" s="332" t="n">
        <v>199</v>
      </c>
      <c r="GV20" s="332" t="n">
        <v>200</v>
      </c>
      <c r="GW20" s="332" t="n">
        <v>201</v>
      </c>
      <c r="GX20" s="332" t="n">
        <v>202</v>
      </c>
      <c r="GY20" s="332" t="n">
        <v>203</v>
      </c>
      <c r="GZ20" s="332" t="n">
        <v>204</v>
      </c>
      <c r="HA20" s="332" t="n">
        <v>205</v>
      </c>
      <c r="HB20" s="332" t="n">
        <v>206</v>
      </c>
      <c r="HC20" s="332" t="n">
        <v>207</v>
      </c>
      <c r="HD20" s="332" t="n">
        <v>208</v>
      </c>
      <c r="HE20" s="332" t="n">
        <v>209</v>
      </c>
      <c r="HF20" s="332" t="n">
        <v>210</v>
      </c>
      <c r="HG20" s="332" t="n">
        <v>211</v>
      </c>
      <c r="HH20" s="332" t="n">
        <v>212</v>
      </c>
      <c r="HI20" s="332" t="n">
        <v>213</v>
      </c>
      <c r="HJ20" s="332" t="n">
        <v>214</v>
      </c>
      <c r="HK20" s="332" t="n">
        <v>215</v>
      </c>
      <c r="HL20" s="332" t="n">
        <v>216</v>
      </c>
      <c r="HM20" s="332" t="n">
        <v>217</v>
      </c>
      <c r="HN20" s="332" t="n">
        <v>218</v>
      </c>
      <c r="HO20" s="332" t="n">
        <v>219</v>
      </c>
      <c r="HP20" s="332" t="n">
        <v>220</v>
      </c>
      <c r="HQ20" s="332" t="n">
        <v>221</v>
      </c>
      <c r="HR20" s="332" t="n">
        <v>222</v>
      </c>
      <c r="HS20" s="332" t="n">
        <v>223</v>
      </c>
      <c r="HT20" s="332" t="n">
        <v>224</v>
      </c>
      <c r="HU20" s="332" t="n">
        <v>225</v>
      </c>
      <c r="HV20" s="332" t="n">
        <v>226</v>
      </c>
      <c r="HW20" s="332" t="n">
        <v>227</v>
      </c>
      <c r="HX20" s="332" t="n">
        <v>228</v>
      </c>
      <c r="HY20" s="332" t="n">
        <v>229</v>
      </c>
      <c r="HZ20" s="332" t="n">
        <v>230</v>
      </c>
      <c r="IA20" s="332" t="n">
        <v>231</v>
      </c>
      <c r="IB20" s="332" t="n">
        <v>232</v>
      </c>
      <c r="IC20" s="332" t="n">
        <v>233</v>
      </c>
      <c r="ID20" s="332" t="n">
        <v>234</v>
      </c>
      <c r="IE20" s="332" t="n">
        <v>235</v>
      </c>
      <c r="IF20" s="332" t="n">
        <v>236</v>
      </c>
      <c r="IG20" s="332" t="n">
        <v>237</v>
      </c>
      <c r="IH20" s="332" t="n">
        <v>238</v>
      </c>
      <c r="II20" s="332" t="n">
        <v>239</v>
      </c>
      <c r="IJ20" s="332" t="n">
        <v>240</v>
      </c>
      <c r="IK20" s="332" t="n">
        <v>241</v>
      </c>
      <c r="IL20" s="332" t="n">
        <v>242</v>
      </c>
      <c r="IM20" s="332" t="n">
        <v>243</v>
      </c>
      <c r="IN20" s="332" t="n">
        <v>244</v>
      </c>
      <c r="IO20" s="332" t="n">
        <v>245</v>
      </c>
      <c r="IP20" s="332" t="n">
        <v>246</v>
      </c>
      <c r="IQ20" s="332" t="n">
        <v>247</v>
      </c>
      <c r="IR20" s="332" t="n">
        <v>248</v>
      </c>
      <c r="IS20" s="332" t="n">
        <v>249</v>
      </c>
      <c r="IT20" s="332" t="n">
        <v>250</v>
      </c>
      <c r="IU20" s="332" t="n">
        <v>251</v>
      </c>
      <c r="IV20" s="332" t="n">
        <v>252</v>
      </c>
      <c r="IW20" s="332" t="n">
        <v>253</v>
      </c>
      <c r="IX20" s="332" t="n">
        <v>254</v>
      </c>
      <c r="IY20" s="332" t="n">
        <v>255</v>
      </c>
      <c r="IZ20" s="332" t="n">
        <v>256</v>
      </c>
      <c r="JA20" s="332" t="n">
        <v>257</v>
      </c>
      <c r="JB20" s="332" t="n">
        <v>258</v>
      </c>
      <c r="JC20" s="332" t="n">
        <v>259</v>
      </c>
      <c r="JD20" s="332" t="n">
        <v>260</v>
      </c>
      <c r="JE20" s="332" t="n">
        <v>261</v>
      </c>
      <c r="JF20" s="332" t="n">
        <v>262</v>
      </c>
      <c r="JG20" s="332" t="n">
        <v>263</v>
      </c>
      <c r="JH20" s="332" t="n">
        <v>264</v>
      </c>
      <c r="JI20" s="332" t="n">
        <v>265</v>
      </c>
      <c r="JJ20" s="332" t="n">
        <v>266</v>
      </c>
      <c r="JK20" s="332" t="n">
        <v>267</v>
      </c>
      <c r="JL20" s="332" t="n">
        <v>268</v>
      </c>
      <c r="JM20" s="332" t="n">
        <v>269</v>
      </c>
      <c r="JN20" s="332" t="n">
        <v>270</v>
      </c>
      <c r="JO20" s="332" t="n">
        <v>271</v>
      </c>
      <c r="JP20" s="332" t="n">
        <v>272</v>
      </c>
      <c r="JQ20" s="332" t="n">
        <v>273</v>
      </c>
      <c r="JR20" s="332" t="n">
        <v>274</v>
      </c>
      <c r="JS20" s="332" t="n">
        <v>275</v>
      </c>
      <c r="JT20" s="332" t="n">
        <v>276</v>
      </c>
      <c r="JU20" s="332" t="n">
        <v>277</v>
      </c>
      <c r="JV20" s="332" t="n">
        <v>278</v>
      </c>
      <c r="JW20" s="332" t="n">
        <v>279</v>
      </c>
      <c r="JX20" s="332" t="n">
        <v>280</v>
      </c>
      <c r="JY20" s="332" t="n">
        <v>281</v>
      </c>
      <c r="JZ20" s="332" t="n">
        <v>282</v>
      </c>
      <c r="KA20" s="332" t="n">
        <v>283</v>
      </c>
      <c r="KB20" s="332" t="n">
        <v>284</v>
      </c>
      <c r="KC20" s="332" t="n">
        <v>285</v>
      </c>
      <c r="KD20" s="332" t="n">
        <v>286</v>
      </c>
      <c r="KE20" s="332" t="n">
        <v>287</v>
      </c>
      <c r="KF20" s="332" t="n">
        <v>288</v>
      </c>
      <c r="KG20" s="332" t="n">
        <v>289</v>
      </c>
      <c r="KH20" s="332" t="n">
        <v>290</v>
      </c>
      <c r="KI20" s="332" t="n">
        <v>291</v>
      </c>
      <c r="KJ20" s="332" t="n">
        <v>292</v>
      </c>
      <c r="KK20" s="332" t="n">
        <v>293</v>
      </c>
      <c r="KL20" s="332" t="n">
        <v>294</v>
      </c>
      <c r="KM20" s="332" t="n">
        <v>295</v>
      </c>
      <c r="KN20" s="332" t="n">
        <v>296</v>
      </c>
      <c r="KO20" s="332" t="n">
        <v>297</v>
      </c>
      <c r="KP20" s="332" t="n">
        <v>298</v>
      </c>
      <c r="KQ20" s="332" t="n">
        <v>299</v>
      </c>
      <c r="KR20" s="332" t="n">
        <v>300</v>
      </c>
      <c r="KS20" s="332" t="n">
        <v>301</v>
      </c>
      <c r="KT20" s="332" t="n">
        <v>302</v>
      </c>
      <c r="KU20" s="332" t="n">
        <v>303</v>
      </c>
      <c r="KV20" s="332" t="n">
        <v>304</v>
      </c>
      <c r="KW20" s="332" t="n">
        <v>305</v>
      </c>
      <c r="KX20" s="332" t="n">
        <v>306</v>
      </c>
      <c r="KY20" s="332" t="n">
        <v>307</v>
      </c>
      <c r="KZ20" s="332" t="n">
        <v>308</v>
      </c>
      <c r="LA20" s="332" t="n">
        <v>309</v>
      </c>
      <c r="LB20" s="332" t="n">
        <v>310</v>
      </c>
      <c r="LC20" s="332" t="n">
        <v>311</v>
      </c>
      <c r="LD20" s="332" t="n">
        <v>312</v>
      </c>
      <c r="LE20" s="332" t="n">
        <v>313</v>
      </c>
      <c r="LF20" s="332" t="n">
        <v>314</v>
      </c>
      <c r="LG20" s="332" t="n">
        <v>315</v>
      </c>
      <c r="LH20" s="332" t="n">
        <v>316</v>
      </c>
      <c r="LI20" s="332" t="n">
        <v>317</v>
      </c>
      <c r="LJ20" s="332" t="n">
        <v>318</v>
      </c>
      <c r="LK20" s="332" t="n">
        <v>319</v>
      </c>
      <c r="LL20" s="332" t="n">
        <v>320</v>
      </c>
      <c r="LM20" s="332" t="n">
        <v>321</v>
      </c>
      <c r="LN20" s="332" t="n">
        <v>322</v>
      </c>
      <c r="LO20" s="332" t="n">
        <v>323</v>
      </c>
      <c r="LP20" s="332" t="n">
        <v>324</v>
      </c>
      <c r="LQ20" s="332" t="n">
        <v>325</v>
      </c>
      <c r="LR20" s="332" t="n">
        <v>326</v>
      </c>
      <c r="LS20" s="332" t="n">
        <v>327</v>
      </c>
      <c r="LT20" s="332" t="n">
        <v>328</v>
      </c>
      <c r="LU20" s="332" t="n">
        <v>329</v>
      </c>
      <c r="LV20" s="332" t="n">
        <v>330</v>
      </c>
      <c r="LW20" s="332" t="n">
        <v>331</v>
      </c>
      <c r="LX20" s="332" t="n">
        <v>332</v>
      </c>
      <c r="LY20" s="332" t="n">
        <v>333</v>
      </c>
      <c r="LZ20" s="332" t="n">
        <v>334</v>
      </c>
      <c r="MA20" s="332" t="n">
        <v>335</v>
      </c>
      <c r="MB20" s="332" t="n">
        <v>336</v>
      </c>
      <c r="MC20" s="332" t="n">
        <v>337</v>
      </c>
      <c r="MD20" s="332" t="n">
        <v>338</v>
      </c>
      <c r="ME20" s="332" t="n">
        <v>339</v>
      </c>
      <c r="MF20" s="332" t="n">
        <v>340</v>
      </c>
      <c r="MG20" s="332" t="n">
        <v>341</v>
      </c>
      <c r="MH20" s="332" t="n">
        <v>342</v>
      </c>
      <c r="MI20" s="332" t="n">
        <v>343</v>
      </c>
      <c r="MJ20" s="332" t="n">
        <v>344</v>
      </c>
      <c r="MK20" s="332" t="n">
        <v>345</v>
      </c>
      <c r="ML20" s="332" t="n">
        <v>346</v>
      </c>
      <c r="MM20" s="332" t="n">
        <v>347</v>
      </c>
      <c r="MN20" s="332" t="n">
        <v>348</v>
      </c>
      <c r="MO20" s="332" t="n">
        <v>349</v>
      </c>
      <c r="MP20" s="332" t="n">
        <v>350</v>
      </c>
      <c r="MQ20" s="332" t="n">
        <v>351</v>
      </c>
      <c r="MR20" s="332" t="n">
        <v>352</v>
      </c>
      <c r="MS20" s="332" t="n">
        <v>353</v>
      </c>
      <c r="MT20" s="332" t="n">
        <v>354</v>
      </c>
      <c r="MU20" s="332" t="n">
        <v>355</v>
      </c>
      <c r="MV20" s="332" t="n">
        <v>356</v>
      </c>
      <c r="MW20" s="332" t="n">
        <v>357</v>
      </c>
      <c r="MX20" s="332" t="n">
        <v>358</v>
      </c>
      <c r="MY20" s="332" t="n">
        <v>359</v>
      </c>
      <c r="MZ20" s="332" t="n">
        <v>360</v>
      </c>
      <c r="NA20" s="332" t="n">
        <v>361</v>
      </c>
      <c r="NB20" s="332" t="n">
        <v>362</v>
      </c>
      <c r="NC20" s="332" t="n">
        <v>363</v>
      </c>
      <c r="ND20" s="332" t="n">
        <v>364</v>
      </c>
      <c r="NE20" s="332" t="n">
        <v>365</v>
      </c>
      <c r="NF20" s="332" t="n">
        <v>366</v>
      </c>
      <c r="NG20" s="332" t="n">
        <v>367</v>
      </c>
      <c r="NH20" s="332" t="n">
        <v>368</v>
      </c>
      <c r="NI20" s="332" t="n">
        <v>369</v>
      </c>
      <c r="NJ20" s="332" t="n">
        <v>370</v>
      </c>
      <c r="NK20" s="332" t="n">
        <v>371</v>
      </c>
      <c r="NL20" s="332" t="n">
        <v>372</v>
      </c>
    </row>
    <row r="21">
      <c r="B21" s="316" t="inlineStr">
        <is>
          <t>Month Ending</t>
        </is>
      </c>
      <c r="E21" s="406">
        <f>Operating!E$4</f>
        <v/>
      </c>
      <c r="F21" s="406">
        <f>Operating!F$4</f>
        <v/>
      </c>
      <c r="G21" s="406">
        <f>Operating!G$4</f>
        <v/>
      </c>
      <c r="H21" s="406">
        <f>Operating!H$4</f>
        <v/>
      </c>
      <c r="I21" s="406">
        <f>Operating!I$4</f>
        <v/>
      </c>
      <c r="J21" s="406">
        <f>Operating!J$4</f>
        <v/>
      </c>
      <c r="K21" s="406">
        <f>Operating!K$4</f>
        <v/>
      </c>
      <c r="L21" s="406">
        <f>Operating!L$4</f>
        <v/>
      </c>
      <c r="M21" s="406">
        <f>Operating!M$4</f>
        <v/>
      </c>
      <c r="N21" s="406">
        <f>Operating!N$4</f>
        <v/>
      </c>
      <c r="O21" s="406">
        <f>Operating!O$4</f>
        <v/>
      </c>
      <c r="P21" s="406">
        <f>Operating!P$4</f>
        <v/>
      </c>
      <c r="Q21" s="406">
        <f>Operating!Q$4</f>
        <v/>
      </c>
      <c r="R21" s="406">
        <f>Operating!R$4</f>
        <v/>
      </c>
      <c r="S21" s="406">
        <f>Operating!S$4</f>
        <v/>
      </c>
      <c r="T21" s="406">
        <f>Operating!T$4</f>
        <v/>
      </c>
      <c r="U21" s="406">
        <f>Operating!U$4</f>
        <v/>
      </c>
      <c r="V21" s="406">
        <f>Operating!V$4</f>
        <v/>
      </c>
      <c r="W21" s="406">
        <f>Operating!W$4</f>
        <v/>
      </c>
      <c r="X21" s="406">
        <f>Operating!X$4</f>
        <v/>
      </c>
      <c r="Y21" s="406">
        <f>Operating!Y$4</f>
        <v/>
      </c>
      <c r="Z21" s="406">
        <f>Operating!Z$4</f>
        <v/>
      </c>
      <c r="AA21" s="406">
        <f>Operating!AA$4</f>
        <v/>
      </c>
      <c r="AB21" s="406">
        <f>Operating!AB$4</f>
        <v/>
      </c>
      <c r="AC21" s="406">
        <f>Operating!AC$4</f>
        <v/>
      </c>
      <c r="AD21" s="406">
        <f>Operating!AD$4</f>
        <v/>
      </c>
      <c r="AE21" s="406">
        <f>Operating!AE$4</f>
        <v/>
      </c>
      <c r="AF21" s="406">
        <f>Operating!AF$4</f>
        <v/>
      </c>
      <c r="AG21" s="406">
        <f>Operating!AG$4</f>
        <v/>
      </c>
      <c r="AH21" s="406">
        <f>Operating!AH$4</f>
        <v/>
      </c>
      <c r="AI21" s="406">
        <f>Operating!AI$4</f>
        <v/>
      </c>
      <c r="AJ21" s="406">
        <f>Operating!AJ$4</f>
        <v/>
      </c>
      <c r="AK21" s="406">
        <f>Operating!AK$4</f>
        <v/>
      </c>
      <c r="AL21" s="406">
        <f>Operating!AL$4</f>
        <v/>
      </c>
      <c r="AM21" s="406">
        <f>Operating!AM$4</f>
        <v/>
      </c>
      <c r="AN21" s="406">
        <f>Operating!AN$4</f>
        <v/>
      </c>
      <c r="AO21" s="406">
        <f>Operating!AO$4</f>
        <v/>
      </c>
      <c r="AP21" s="406">
        <f>Operating!AP$4</f>
        <v/>
      </c>
      <c r="AQ21" s="406">
        <f>Operating!AQ$4</f>
        <v/>
      </c>
      <c r="AR21" s="406">
        <f>Operating!AR$4</f>
        <v/>
      </c>
      <c r="AS21" s="406">
        <f>Operating!AS$4</f>
        <v/>
      </c>
      <c r="AT21" s="406">
        <f>Operating!AT$4</f>
        <v/>
      </c>
      <c r="AU21" s="406">
        <f>Operating!AU$4</f>
        <v/>
      </c>
      <c r="AV21" s="406">
        <f>Operating!AV$4</f>
        <v/>
      </c>
      <c r="AW21" s="406">
        <f>Operating!AW$4</f>
        <v/>
      </c>
      <c r="AX21" s="406">
        <f>Operating!AX$4</f>
        <v/>
      </c>
      <c r="AY21" s="406">
        <f>Operating!AY$4</f>
        <v/>
      </c>
      <c r="AZ21" s="406">
        <f>Operating!AZ$4</f>
        <v/>
      </c>
      <c r="BA21" s="406">
        <f>Operating!BA$4</f>
        <v/>
      </c>
      <c r="BB21" s="406">
        <f>Operating!BB$4</f>
        <v/>
      </c>
      <c r="BC21" s="406">
        <f>Operating!BC$4</f>
        <v/>
      </c>
      <c r="BD21" s="406">
        <f>Operating!BD$4</f>
        <v/>
      </c>
      <c r="BE21" s="406">
        <f>Operating!BE$4</f>
        <v/>
      </c>
      <c r="BF21" s="406">
        <f>Operating!BF$4</f>
        <v/>
      </c>
      <c r="BG21" s="406">
        <f>Operating!BG$4</f>
        <v/>
      </c>
      <c r="BH21" s="406">
        <f>Operating!BH$4</f>
        <v/>
      </c>
      <c r="BI21" s="406">
        <f>Operating!BI$4</f>
        <v/>
      </c>
      <c r="BJ21" s="406">
        <f>Operating!BJ$4</f>
        <v/>
      </c>
      <c r="BK21" s="406">
        <f>Operating!BK$4</f>
        <v/>
      </c>
      <c r="BL21" s="406">
        <f>Operating!BL$4</f>
        <v/>
      </c>
      <c r="BM21" s="406">
        <f>Operating!BM$4</f>
        <v/>
      </c>
      <c r="BN21" s="406">
        <f>Operating!BN$4</f>
        <v/>
      </c>
      <c r="BO21" s="406">
        <f>Operating!BO$4</f>
        <v/>
      </c>
      <c r="BP21" s="406">
        <f>Operating!BP$4</f>
        <v/>
      </c>
      <c r="BQ21" s="406">
        <f>Operating!BQ$4</f>
        <v/>
      </c>
      <c r="BR21" s="406">
        <f>Operating!BR$4</f>
        <v/>
      </c>
      <c r="BS21" s="406">
        <f>Operating!BS$4</f>
        <v/>
      </c>
      <c r="BT21" s="406">
        <f>Operating!BT$4</f>
        <v/>
      </c>
      <c r="BU21" s="406">
        <f>Operating!BU$4</f>
        <v/>
      </c>
      <c r="BV21" s="406">
        <f>Operating!BV$4</f>
        <v/>
      </c>
      <c r="BW21" s="406">
        <f>Operating!BW$4</f>
        <v/>
      </c>
      <c r="BX21" s="406">
        <f>Operating!BX$4</f>
        <v/>
      </c>
      <c r="BY21" s="406">
        <f>Operating!BY$4</f>
        <v/>
      </c>
      <c r="BZ21" s="406">
        <f>Operating!BZ$4</f>
        <v/>
      </c>
      <c r="CA21" s="406">
        <f>Operating!CA$4</f>
        <v/>
      </c>
      <c r="CB21" s="406">
        <f>Operating!CB$4</f>
        <v/>
      </c>
      <c r="CC21" s="406">
        <f>Operating!CC$4</f>
        <v/>
      </c>
      <c r="CD21" s="406">
        <f>Operating!CD$4</f>
        <v/>
      </c>
      <c r="CE21" s="406">
        <f>Operating!CE$4</f>
        <v/>
      </c>
      <c r="CF21" s="406">
        <f>Operating!CF$4</f>
        <v/>
      </c>
      <c r="CG21" s="406">
        <f>Operating!CG$4</f>
        <v/>
      </c>
      <c r="CH21" s="406">
        <f>Operating!CH$4</f>
        <v/>
      </c>
      <c r="CI21" s="406">
        <f>Operating!CI$4</f>
        <v/>
      </c>
      <c r="CJ21" s="406">
        <f>Operating!CJ$4</f>
        <v/>
      </c>
      <c r="CK21" s="406">
        <f>Operating!CK$4</f>
        <v/>
      </c>
      <c r="CL21" s="406">
        <f>Operating!CL$4</f>
        <v/>
      </c>
      <c r="CM21" s="406">
        <f>Operating!CM$4</f>
        <v/>
      </c>
      <c r="CN21" s="406">
        <f>Operating!CN$4</f>
        <v/>
      </c>
      <c r="CO21" s="406">
        <f>Operating!CO$4</f>
        <v/>
      </c>
      <c r="CP21" s="406">
        <f>Operating!CP$4</f>
        <v/>
      </c>
      <c r="CQ21" s="406">
        <f>Operating!CQ$4</f>
        <v/>
      </c>
      <c r="CR21" s="406">
        <f>Operating!CR$4</f>
        <v/>
      </c>
      <c r="CS21" s="406">
        <f>Operating!CS$4</f>
        <v/>
      </c>
      <c r="CT21" s="406">
        <f>Operating!CT$4</f>
        <v/>
      </c>
      <c r="CU21" s="406">
        <f>Operating!CU$4</f>
        <v/>
      </c>
      <c r="CV21" s="406">
        <f>Operating!CV$4</f>
        <v/>
      </c>
      <c r="CW21" s="406">
        <f>Operating!CW$4</f>
        <v/>
      </c>
      <c r="CX21" s="406">
        <f>Operating!CX$4</f>
        <v/>
      </c>
      <c r="CY21" s="406">
        <f>Operating!CY$4</f>
        <v/>
      </c>
      <c r="CZ21" s="406">
        <f>Operating!CZ$4</f>
        <v/>
      </c>
      <c r="DA21" s="406">
        <f>Operating!DA$4</f>
        <v/>
      </c>
      <c r="DB21" s="406">
        <f>Operating!DB$4</f>
        <v/>
      </c>
      <c r="DC21" s="406">
        <f>Operating!DC$4</f>
        <v/>
      </c>
      <c r="DD21" s="406">
        <f>Operating!DD$4</f>
        <v/>
      </c>
      <c r="DE21" s="406">
        <f>Operating!DE$4</f>
        <v/>
      </c>
      <c r="DF21" s="406">
        <f>Operating!DF$4</f>
        <v/>
      </c>
      <c r="DG21" s="406">
        <f>Operating!DG$4</f>
        <v/>
      </c>
      <c r="DH21" s="406">
        <f>Operating!DH$4</f>
        <v/>
      </c>
      <c r="DI21" s="406">
        <f>Operating!DI$4</f>
        <v/>
      </c>
      <c r="DJ21" s="406">
        <f>Operating!DJ$4</f>
        <v/>
      </c>
      <c r="DK21" s="406">
        <f>Operating!DK$4</f>
        <v/>
      </c>
      <c r="DL21" s="406">
        <f>Operating!DL$4</f>
        <v/>
      </c>
      <c r="DM21" s="406">
        <f>Operating!DM$4</f>
        <v/>
      </c>
      <c r="DN21" s="406">
        <f>Operating!DN$4</f>
        <v/>
      </c>
      <c r="DO21" s="406">
        <f>Operating!DO$4</f>
        <v/>
      </c>
      <c r="DP21" s="406">
        <f>Operating!DP$4</f>
        <v/>
      </c>
      <c r="DQ21" s="406">
        <f>Operating!DQ$4</f>
        <v/>
      </c>
      <c r="DR21" s="406">
        <f>Operating!DR$4</f>
        <v/>
      </c>
      <c r="DS21" s="406">
        <f>Operating!DS$4</f>
        <v/>
      </c>
      <c r="DT21" s="406">
        <f>Operating!DT$4</f>
        <v/>
      </c>
      <c r="DU21" s="406">
        <f>Operating!DU$4</f>
        <v/>
      </c>
      <c r="DV21" s="406">
        <f>Operating!DV$4</f>
        <v/>
      </c>
      <c r="DW21" s="406">
        <f>Operating!DW$4</f>
        <v/>
      </c>
      <c r="DX21" s="406">
        <f>Operating!DX$4</f>
        <v/>
      </c>
      <c r="DY21" s="406">
        <f>Operating!DY$4</f>
        <v/>
      </c>
      <c r="DZ21" s="406">
        <f>Operating!DZ$4</f>
        <v/>
      </c>
      <c r="EA21" s="406">
        <f>Operating!EA$4</f>
        <v/>
      </c>
      <c r="EB21" s="406">
        <f>Operating!EB$4</f>
        <v/>
      </c>
      <c r="EC21" s="406">
        <f>Operating!EC$4</f>
        <v/>
      </c>
      <c r="ED21" s="406">
        <f>Operating!ED$4</f>
        <v/>
      </c>
      <c r="EE21" s="406">
        <f>Operating!EE$4</f>
        <v/>
      </c>
      <c r="EF21" s="406">
        <f>Operating!EF$4</f>
        <v/>
      </c>
      <c r="EG21" s="406">
        <f>Operating!EG$4</f>
        <v/>
      </c>
      <c r="EH21" s="406">
        <f>Operating!EH$4</f>
        <v/>
      </c>
      <c r="EI21" s="406">
        <f>Operating!EI$4</f>
        <v/>
      </c>
      <c r="EJ21" s="406">
        <f>Operating!EJ$4</f>
        <v/>
      </c>
      <c r="EK21" s="406">
        <f>Operating!EK$4</f>
        <v/>
      </c>
      <c r="EL21" s="406">
        <f>Operating!EL$4</f>
        <v/>
      </c>
      <c r="EM21" s="406">
        <f>Operating!EM$4</f>
        <v/>
      </c>
      <c r="EN21" s="406">
        <f>Operating!EN$4</f>
        <v/>
      </c>
      <c r="EO21" s="406">
        <f>Operating!EO$4</f>
        <v/>
      </c>
      <c r="EP21" s="406">
        <f>Operating!EP$4</f>
        <v/>
      </c>
      <c r="EQ21" s="406">
        <f>Operating!EQ$4</f>
        <v/>
      </c>
      <c r="ER21" s="406">
        <f>Operating!ER$4</f>
        <v/>
      </c>
      <c r="ES21" s="406">
        <f>Operating!ES$4</f>
        <v/>
      </c>
      <c r="ET21" s="406">
        <f>Operating!ET$4</f>
        <v/>
      </c>
      <c r="EU21" s="406">
        <f>Operating!EU$4</f>
        <v/>
      </c>
      <c r="EV21" s="406">
        <f>Operating!EV$4</f>
        <v/>
      </c>
      <c r="EW21" s="406">
        <f>Operating!EW$4</f>
        <v/>
      </c>
      <c r="EX21" s="406">
        <f>Operating!EX$4</f>
        <v/>
      </c>
      <c r="EY21" s="406">
        <f>Operating!EY$4</f>
        <v/>
      </c>
      <c r="EZ21" s="406">
        <f>Operating!EZ$4</f>
        <v/>
      </c>
      <c r="FA21" s="406">
        <f>Operating!FA$4</f>
        <v/>
      </c>
      <c r="FB21" s="406">
        <f>Operating!FB$4</f>
        <v/>
      </c>
      <c r="FC21" s="406">
        <f>Operating!FC$4</f>
        <v/>
      </c>
      <c r="FD21" s="406">
        <f>Operating!FD$4</f>
        <v/>
      </c>
      <c r="FE21" s="406">
        <f>Operating!FE$4</f>
        <v/>
      </c>
      <c r="FF21" s="406">
        <f>Operating!FF$4</f>
        <v/>
      </c>
      <c r="FG21" s="406">
        <f>Operating!FG$4</f>
        <v/>
      </c>
      <c r="FH21" s="406">
        <f>Operating!FH$4</f>
        <v/>
      </c>
      <c r="FI21" s="406">
        <f>Operating!FI$4</f>
        <v/>
      </c>
      <c r="FJ21" s="406">
        <f>Operating!FJ$4</f>
        <v/>
      </c>
      <c r="FK21" s="406">
        <f>Operating!FK$4</f>
        <v/>
      </c>
      <c r="FL21" s="406">
        <f>Operating!FL$4</f>
        <v/>
      </c>
      <c r="FM21" s="406">
        <f>Operating!FM$4</f>
        <v/>
      </c>
      <c r="FN21" s="406">
        <f>Operating!FN$4</f>
        <v/>
      </c>
      <c r="FO21" s="406">
        <f>Operating!FO$4</f>
        <v/>
      </c>
      <c r="FP21" s="406">
        <f>Operating!FP$4</f>
        <v/>
      </c>
      <c r="FQ21" s="406">
        <f>Operating!FQ$4</f>
        <v/>
      </c>
      <c r="FR21" s="406">
        <f>Operating!FR$4</f>
        <v/>
      </c>
      <c r="FS21" s="406">
        <f>Operating!FS$4</f>
        <v/>
      </c>
      <c r="FT21" s="406">
        <f>Operating!FT$4</f>
        <v/>
      </c>
      <c r="FU21" s="406">
        <f>Operating!FU$4</f>
        <v/>
      </c>
      <c r="FV21" s="406">
        <f>Operating!FV$4</f>
        <v/>
      </c>
      <c r="FW21" s="406">
        <f>Operating!FW$4</f>
        <v/>
      </c>
      <c r="FX21" s="406">
        <f>Operating!FX$4</f>
        <v/>
      </c>
      <c r="FY21" s="406">
        <f>Operating!FY$4</f>
        <v/>
      </c>
      <c r="FZ21" s="406">
        <f>Operating!FZ$4</f>
        <v/>
      </c>
      <c r="GA21" s="406">
        <f>Operating!GA$4</f>
        <v/>
      </c>
      <c r="GB21" s="406">
        <f>Operating!GB$4</f>
        <v/>
      </c>
      <c r="GC21" s="406">
        <f>Operating!GC$4</f>
        <v/>
      </c>
      <c r="GD21" s="406">
        <f>Operating!GD$4</f>
        <v/>
      </c>
      <c r="GE21" s="406">
        <f>Operating!GE$4</f>
        <v/>
      </c>
      <c r="GF21" s="406">
        <f>Operating!GF$4</f>
        <v/>
      </c>
      <c r="GG21" s="406">
        <f>Operating!GG$4</f>
        <v/>
      </c>
      <c r="GH21" s="406">
        <f>Operating!GH$4</f>
        <v/>
      </c>
      <c r="GI21" s="406">
        <f>Operating!GI$4</f>
        <v/>
      </c>
      <c r="GJ21" s="406">
        <f>Operating!GJ$4</f>
        <v/>
      </c>
      <c r="GK21" s="406">
        <f>Operating!GK$4</f>
        <v/>
      </c>
      <c r="GL21" s="406">
        <f>Operating!GL$4</f>
        <v/>
      </c>
      <c r="GM21" s="406">
        <f>Operating!GM$4</f>
        <v/>
      </c>
      <c r="GN21" s="406">
        <f>Operating!GN$4</f>
        <v/>
      </c>
      <c r="GO21" s="406">
        <f>Operating!GO$4</f>
        <v/>
      </c>
      <c r="GP21" s="406">
        <f>Operating!GP$4</f>
        <v/>
      </c>
      <c r="GQ21" s="406">
        <f>Operating!GQ$4</f>
        <v/>
      </c>
      <c r="GR21" s="406">
        <f>Operating!GR$4</f>
        <v/>
      </c>
      <c r="GS21" s="406">
        <f>Operating!GS$4</f>
        <v/>
      </c>
      <c r="GT21" s="406">
        <f>Operating!GT$4</f>
        <v/>
      </c>
      <c r="GU21" s="406">
        <f>Operating!GU$4</f>
        <v/>
      </c>
      <c r="GV21" s="406">
        <f>Operating!GV$4</f>
        <v/>
      </c>
      <c r="GW21" s="406">
        <f>Operating!GW$4</f>
        <v/>
      </c>
      <c r="GX21" s="406">
        <f>Operating!GX$4</f>
        <v/>
      </c>
      <c r="GY21" s="406">
        <f>Operating!GY$4</f>
        <v/>
      </c>
      <c r="GZ21" s="406">
        <f>Operating!GZ$4</f>
        <v/>
      </c>
      <c r="HA21" s="406">
        <f>Operating!HA$4</f>
        <v/>
      </c>
      <c r="HB21" s="406">
        <f>Operating!HB$4</f>
        <v/>
      </c>
      <c r="HC21" s="406">
        <f>Operating!HC$4</f>
        <v/>
      </c>
      <c r="HD21" s="406">
        <f>Operating!HD$4</f>
        <v/>
      </c>
      <c r="HE21" s="406">
        <f>Operating!HE$4</f>
        <v/>
      </c>
      <c r="HF21" s="406">
        <f>Operating!HF$4</f>
        <v/>
      </c>
      <c r="HG21" s="406">
        <f>Operating!HG$4</f>
        <v/>
      </c>
      <c r="HH21" s="406">
        <f>Operating!HH$4</f>
        <v/>
      </c>
      <c r="HI21" s="406">
        <f>Operating!HI$4</f>
        <v/>
      </c>
      <c r="HJ21" s="406">
        <f>Operating!HJ$4</f>
        <v/>
      </c>
      <c r="HK21" s="406">
        <f>Operating!HK$4</f>
        <v/>
      </c>
      <c r="HL21" s="406">
        <f>Operating!HL$4</f>
        <v/>
      </c>
      <c r="HM21" s="406">
        <f>Operating!HM$4</f>
        <v/>
      </c>
      <c r="HN21" s="406">
        <f>Operating!HN$4</f>
        <v/>
      </c>
      <c r="HO21" s="406">
        <f>Operating!HO$4</f>
        <v/>
      </c>
      <c r="HP21" s="406">
        <f>Operating!HP$4</f>
        <v/>
      </c>
      <c r="HQ21" s="406">
        <f>Operating!HQ$4</f>
        <v/>
      </c>
      <c r="HR21" s="406">
        <f>Operating!HR$4</f>
        <v/>
      </c>
      <c r="HS21" s="406">
        <f>Operating!HS$4</f>
        <v/>
      </c>
      <c r="HT21" s="406">
        <f>Operating!HT$4</f>
        <v/>
      </c>
      <c r="HU21" s="406">
        <f>Operating!HU$4</f>
        <v/>
      </c>
      <c r="HV21" s="406">
        <f>Operating!HV$4</f>
        <v/>
      </c>
      <c r="HW21" s="406">
        <f>Operating!HW$4</f>
        <v/>
      </c>
      <c r="HX21" s="406">
        <f>Operating!HX$4</f>
        <v/>
      </c>
      <c r="HY21" s="406">
        <f>Operating!HY$4</f>
        <v/>
      </c>
      <c r="HZ21" s="406">
        <f>Operating!HZ$4</f>
        <v/>
      </c>
      <c r="IA21" s="406">
        <f>Operating!IA$4</f>
        <v/>
      </c>
      <c r="IB21" s="406">
        <f>Operating!IB$4</f>
        <v/>
      </c>
      <c r="IC21" s="406">
        <f>Operating!IC$4</f>
        <v/>
      </c>
      <c r="ID21" s="406">
        <f>Operating!ID$4</f>
        <v/>
      </c>
      <c r="IE21" s="406">
        <f>Operating!IE$4</f>
        <v/>
      </c>
      <c r="IF21" s="406">
        <f>Operating!IF$4</f>
        <v/>
      </c>
      <c r="IG21" s="406">
        <f>Operating!IG$4</f>
        <v/>
      </c>
      <c r="IH21" s="406">
        <f>Operating!IH$4</f>
        <v/>
      </c>
      <c r="II21" s="406">
        <f>Operating!II$4</f>
        <v/>
      </c>
      <c r="IJ21" s="406">
        <f>Operating!IJ$4</f>
        <v/>
      </c>
      <c r="IK21" s="406">
        <f>Operating!IK$4</f>
        <v/>
      </c>
      <c r="IL21" s="406">
        <f>Operating!IL$4</f>
        <v/>
      </c>
      <c r="IM21" s="406">
        <f>Operating!IM$4</f>
        <v/>
      </c>
      <c r="IN21" s="406">
        <f>Operating!IN$4</f>
        <v/>
      </c>
      <c r="IO21" s="406">
        <f>Operating!IO$4</f>
        <v/>
      </c>
      <c r="IP21" s="406">
        <f>Operating!IP$4</f>
        <v/>
      </c>
      <c r="IQ21" s="406">
        <f>Operating!IQ$4</f>
        <v/>
      </c>
      <c r="IR21" s="406">
        <f>Operating!IR$4</f>
        <v/>
      </c>
      <c r="IS21" s="406">
        <f>Operating!IS$4</f>
        <v/>
      </c>
      <c r="IT21" s="406">
        <f>Operating!IT$4</f>
        <v/>
      </c>
      <c r="IU21" s="406">
        <f>Operating!IU$4</f>
        <v/>
      </c>
      <c r="IV21" s="406">
        <f>Operating!IV$4</f>
        <v/>
      </c>
      <c r="IW21" s="406">
        <f>Operating!IW$4</f>
        <v/>
      </c>
      <c r="IX21" s="406">
        <f>Operating!IX$4</f>
        <v/>
      </c>
      <c r="IY21" s="406">
        <f>Operating!IY$4</f>
        <v/>
      </c>
      <c r="IZ21" s="406">
        <f>Operating!IZ$4</f>
        <v/>
      </c>
      <c r="JA21" s="406">
        <f>Operating!JA$4</f>
        <v/>
      </c>
      <c r="JB21" s="406">
        <f>Operating!JB$4</f>
        <v/>
      </c>
      <c r="JC21" s="406">
        <f>Operating!JC$4</f>
        <v/>
      </c>
      <c r="JD21" s="406">
        <f>Operating!JD$4</f>
        <v/>
      </c>
      <c r="JE21" s="406">
        <f>Operating!JE$4</f>
        <v/>
      </c>
      <c r="JF21" s="406">
        <f>Operating!JF$4</f>
        <v/>
      </c>
      <c r="JG21" s="406">
        <f>Operating!JG$4</f>
        <v/>
      </c>
      <c r="JH21" s="406">
        <f>Operating!JH$4</f>
        <v/>
      </c>
      <c r="JI21" s="406">
        <f>Operating!JI$4</f>
        <v/>
      </c>
      <c r="JJ21" s="406">
        <f>Operating!JJ$4</f>
        <v/>
      </c>
      <c r="JK21" s="406">
        <f>Operating!JK$4</f>
        <v/>
      </c>
      <c r="JL21" s="406">
        <f>Operating!JL$4</f>
        <v/>
      </c>
      <c r="JM21" s="406">
        <f>Operating!JM$4</f>
        <v/>
      </c>
      <c r="JN21" s="406">
        <f>Operating!JN$4</f>
        <v/>
      </c>
      <c r="JO21" s="406">
        <f>Operating!JO$4</f>
        <v/>
      </c>
      <c r="JP21" s="406">
        <f>Operating!JP$4</f>
        <v/>
      </c>
      <c r="JQ21" s="406">
        <f>Operating!JQ$4</f>
        <v/>
      </c>
      <c r="JR21" s="406">
        <f>Operating!JR$4</f>
        <v/>
      </c>
      <c r="JS21" s="406">
        <f>Operating!JS$4</f>
        <v/>
      </c>
      <c r="JT21" s="406">
        <f>Operating!JT$4</f>
        <v/>
      </c>
      <c r="JU21" s="406">
        <f>Operating!JU$4</f>
        <v/>
      </c>
      <c r="JV21" s="406">
        <f>Operating!JV$4</f>
        <v/>
      </c>
      <c r="JW21" s="406">
        <f>Operating!JW$4</f>
        <v/>
      </c>
      <c r="JX21" s="406">
        <f>Operating!JX$4</f>
        <v/>
      </c>
      <c r="JY21" s="406">
        <f>Operating!JY$4</f>
        <v/>
      </c>
      <c r="JZ21" s="406">
        <f>Operating!JZ$4</f>
        <v/>
      </c>
      <c r="KA21" s="406">
        <f>Operating!KA$4</f>
        <v/>
      </c>
      <c r="KB21" s="406">
        <f>Operating!KB$4</f>
        <v/>
      </c>
      <c r="KC21" s="406">
        <f>Operating!KC$4</f>
        <v/>
      </c>
      <c r="KD21" s="406">
        <f>Operating!KD$4</f>
        <v/>
      </c>
      <c r="KE21" s="406">
        <f>Operating!KE$4</f>
        <v/>
      </c>
      <c r="KF21" s="406">
        <f>Operating!KF$4</f>
        <v/>
      </c>
      <c r="KG21" s="406">
        <f>Operating!KG$4</f>
        <v/>
      </c>
      <c r="KH21" s="406">
        <f>Operating!KH$4</f>
        <v/>
      </c>
      <c r="KI21" s="406">
        <f>Operating!KI$4</f>
        <v/>
      </c>
      <c r="KJ21" s="406">
        <f>Operating!KJ$4</f>
        <v/>
      </c>
      <c r="KK21" s="406">
        <f>Operating!KK$4</f>
        <v/>
      </c>
      <c r="KL21" s="406">
        <f>Operating!KL$4</f>
        <v/>
      </c>
      <c r="KM21" s="406">
        <f>Operating!KM$4</f>
        <v/>
      </c>
      <c r="KN21" s="406">
        <f>Operating!KN$4</f>
        <v/>
      </c>
      <c r="KO21" s="406">
        <f>Operating!KO$4</f>
        <v/>
      </c>
      <c r="KP21" s="406">
        <f>Operating!KP$4</f>
        <v/>
      </c>
      <c r="KQ21" s="406">
        <f>Operating!KQ$4</f>
        <v/>
      </c>
      <c r="KR21" s="406">
        <f>Operating!KR$4</f>
        <v/>
      </c>
      <c r="KS21" s="406">
        <f>Operating!KS$4</f>
        <v/>
      </c>
      <c r="KT21" s="406">
        <f>Operating!KT$4</f>
        <v/>
      </c>
      <c r="KU21" s="406">
        <f>Operating!KU$4</f>
        <v/>
      </c>
      <c r="KV21" s="406">
        <f>Operating!KV$4</f>
        <v/>
      </c>
      <c r="KW21" s="406">
        <f>Operating!KW$4</f>
        <v/>
      </c>
      <c r="KX21" s="406">
        <f>Operating!KX$4</f>
        <v/>
      </c>
      <c r="KY21" s="406">
        <f>Operating!KY$4</f>
        <v/>
      </c>
      <c r="KZ21" s="406">
        <f>Operating!KZ$4</f>
        <v/>
      </c>
      <c r="LA21" s="406">
        <f>Operating!LA$4</f>
        <v/>
      </c>
      <c r="LB21" s="406">
        <f>Operating!LB$4</f>
        <v/>
      </c>
      <c r="LC21" s="406">
        <f>Operating!LC$4</f>
        <v/>
      </c>
      <c r="LD21" s="406">
        <f>Operating!LD$4</f>
        <v/>
      </c>
      <c r="LE21" s="406">
        <f>Operating!LE$4</f>
        <v/>
      </c>
      <c r="LF21" s="406">
        <f>Operating!LF$4</f>
        <v/>
      </c>
      <c r="LG21" s="406">
        <f>Operating!LG$4</f>
        <v/>
      </c>
      <c r="LH21" s="406">
        <f>Operating!LH$4</f>
        <v/>
      </c>
      <c r="LI21" s="406">
        <f>Operating!LI$4</f>
        <v/>
      </c>
      <c r="LJ21" s="406">
        <f>Operating!LJ$4</f>
        <v/>
      </c>
      <c r="LK21" s="406">
        <f>Operating!LK$4</f>
        <v/>
      </c>
      <c r="LL21" s="406">
        <f>Operating!LL$4</f>
        <v/>
      </c>
      <c r="LM21" s="406">
        <f>Operating!LM$4</f>
        <v/>
      </c>
      <c r="LN21" s="406">
        <f>Operating!LN$4</f>
        <v/>
      </c>
      <c r="LO21" s="406">
        <f>Operating!LO$4</f>
        <v/>
      </c>
      <c r="LP21" s="406">
        <f>Operating!LP$4</f>
        <v/>
      </c>
      <c r="LQ21" s="406">
        <f>Operating!LQ$4</f>
        <v/>
      </c>
      <c r="LR21" s="406">
        <f>Operating!LR$4</f>
        <v/>
      </c>
      <c r="LS21" s="406">
        <f>Operating!LS$4</f>
        <v/>
      </c>
      <c r="LT21" s="406">
        <f>Operating!LT$4</f>
        <v/>
      </c>
      <c r="LU21" s="406">
        <f>Operating!LU$4</f>
        <v/>
      </c>
      <c r="LV21" s="406">
        <f>Operating!LV$4</f>
        <v/>
      </c>
      <c r="LW21" s="406">
        <f>Operating!LW$4</f>
        <v/>
      </c>
      <c r="LX21" s="406">
        <f>Operating!LX$4</f>
        <v/>
      </c>
      <c r="LY21" s="406">
        <f>Operating!LY$4</f>
        <v/>
      </c>
      <c r="LZ21" s="406">
        <f>Operating!LZ$4</f>
        <v/>
      </c>
      <c r="MA21" s="406">
        <f>Operating!MA$4</f>
        <v/>
      </c>
      <c r="MB21" s="406">
        <f>Operating!MB$4</f>
        <v/>
      </c>
      <c r="MC21" s="406">
        <f>Operating!MC$4</f>
        <v/>
      </c>
      <c r="MD21" s="406">
        <f>Operating!MD$4</f>
        <v/>
      </c>
      <c r="ME21" s="406">
        <f>Operating!ME$4</f>
        <v/>
      </c>
      <c r="MF21" s="406">
        <f>Operating!MF$4</f>
        <v/>
      </c>
      <c r="MG21" s="406">
        <f>Operating!MG$4</f>
        <v/>
      </c>
      <c r="MH21" s="406">
        <f>Operating!MH$4</f>
        <v/>
      </c>
      <c r="MI21" s="406">
        <f>Operating!MI$4</f>
        <v/>
      </c>
      <c r="MJ21" s="406">
        <f>Operating!MJ$4</f>
        <v/>
      </c>
      <c r="MK21" s="406">
        <f>Operating!MK$4</f>
        <v/>
      </c>
      <c r="ML21" s="406">
        <f>Operating!ML$4</f>
        <v/>
      </c>
      <c r="MM21" s="406">
        <f>Operating!MM$4</f>
        <v/>
      </c>
      <c r="MN21" s="406">
        <f>Operating!MN$4</f>
        <v/>
      </c>
      <c r="MO21" s="406">
        <f>Operating!MO$4</f>
        <v/>
      </c>
      <c r="MP21" s="406">
        <f>Operating!MP$4</f>
        <v/>
      </c>
      <c r="MQ21" s="406">
        <f>Operating!MQ$4</f>
        <v/>
      </c>
      <c r="MR21" s="406">
        <f>Operating!MR$4</f>
        <v/>
      </c>
      <c r="MS21" s="406">
        <f>Operating!MS$4</f>
        <v/>
      </c>
      <c r="MT21" s="406">
        <f>Operating!MT$4</f>
        <v/>
      </c>
      <c r="MU21" s="406">
        <f>Operating!MU$4</f>
        <v/>
      </c>
      <c r="MV21" s="406">
        <f>Operating!MV$4</f>
        <v/>
      </c>
      <c r="MW21" s="406">
        <f>Operating!MW$4</f>
        <v/>
      </c>
      <c r="MX21" s="406">
        <f>Operating!MX$4</f>
        <v/>
      </c>
      <c r="MY21" s="406">
        <f>Operating!MY$4</f>
        <v/>
      </c>
      <c r="MZ21" s="406">
        <f>Operating!MZ$4</f>
        <v/>
      </c>
      <c r="NA21" s="406">
        <f>Operating!NA$4</f>
        <v/>
      </c>
      <c r="NB21" s="406">
        <f>Operating!NB$4</f>
        <v/>
      </c>
      <c r="NC21" s="406">
        <f>Operating!NC$4</f>
        <v/>
      </c>
      <c r="ND21" s="406">
        <f>Operating!ND$4</f>
        <v/>
      </c>
      <c r="NE21" s="406">
        <f>Operating!NE$4</f>
        <v/>
      </c>
      <c r="NF21" s="406">
        <f>Operating!NF$4</f>
        <v/>
      </c>
      <c r="NG21" s="406">
        <f>Operating!NG$4</f>
        <v/>
      </c>
      <c r="NH21" s="406">
        <f>Operating!NH$4</f>
        <v/>
      </c>
      <c r="NI21" s="406">
        <f>Operating!NI$4</f>
        <v/>
      </c>
      <c r="NJ21" s="406">
        <f>Operating!NJ$4</f>
        <v/>
      </c>
      <c r="NK21" s="406">
        <f>Operating!NK$4</f>
        <v/>
      </c>
      <c r="NL21" s="406">
        <f>Operating!NL$4</f>
        <v/>
      </c>
    </row>
    <row r="22">
      <c r="B22" s="384" t="inlineStr">
        <is>
          <t>Equity Cash Flow</t>
        </is>
      </c>
      <c r="D22" s="401" t="inlineStr"/>
      <c r="E22" s="155" t="n"/>
      <c r="F22" s="155" t="n"/>
      <c r="G22" s="155" t="n"/>
      <c r="H22" s="155" t="n"/>
      <c r="I22" s="155" t="n"/>
      <c r="J22" s="155" t="n"/>
      <c r="K22" s="155" t="n"/>
      <c r="L22" s="155" t="n"/>
      <c r="M22" s="155" t="n"/>
      <c r="N22" s="155" t="n"/>
      <c r="O22" s="155" t="n"/>
      <c r="P22" s="155" t="n"/>
      <c r="Q22" s="155" t="n"/>
      <c r="R22" s="155" t="n"/>
      <c r="S22" s="155" t="n"/>
      <c r="T22" s="155" t="n"/>
      <c r="U22" s="155" t="n"/>
      <c r="V22" s="155" t="n"/>
      <c r="W22" s="155" t="n"/>
      <c r="X22" s="155" t="n"/>
      <c r="Y22" s="155" t="n"/>
      <c r="Z22" s="155" t="n"/>
      <c r="AA22" s="155" t="n"/>
      <c r="AB22" s="155" t="n"/>
      <c r="AC22" s="155" t="n"/>
      <c r="AD22" s="155" t="n"/>
      <c r="AE22" s="155" t="n"/>
      <c r="AF22" s="155" t="n"/>
      <c r="AG22" s="155" t="n"/>
      <c r="AH22" s="155" t="n"/>
      <c r="AI22" s="155" t="n"/>
      <c r="AJ22" s="155" t="n"/>
      <c r="AK22" s="155" t="n"/>
      <c r="AL22" s="155" t="n"/>
      <c r="AM22" s="155" t="n"/>
      <c r="AN22" s="155" t="n"/>
      <c r="AO22" s="155" t="n"/>
      <c r="AP22" s="155" t="n"/>
      <c r="AQ22" s="155" t="n"/>
      <c r="AR22" s="155" t="n"/>
      <c r="AS22" s="155" t="n"/>
      <c r="AT22" s="155" t="n"/>
      <c r="AU22" s="155" t="n"/>
      <c r="AV22" s="155" t="n"/>
      <c r="AW22" s="155" t="n"/>
      <c r="AX22" s="155" t="n"/>
      <c r="AY22" s="155" t="n"/>
      <c r="AZ22" s="155" t="n"/>
      <c r="BA22" s="155" t="n"/>
      <c r="BB22" s="155" t="n"/>
      <c r="BC22" s="155" t="n"/>
      <c r="BD22" s="155" t="n"/>
      <c r="BE22" s="155" t="n"/>
      <c r="BF22" s="155" t="n"/>
      <c r="BG22" s="155" t="n"/>
      <c r="BH22" s="155" t="n"/>
      <c r="BI22" s="155" t="n"/>
      <c r="BJ22" s="155" t="n"/>
      <c r="BK22" s="155" t="n"/>
      <c r="BL22" s="155" t="n"/>
      <c r="BM22" s="155" t="n"/>
      <c r="BN22" s="155" t="n"/>
      <c r="BO22" s="155" t="n"/>
      <c r="BP22" s="155" t="n"/>
      <c r="BQ22" s="155" t="n"/>
      <c r="BR22" s="155" t="n"/>
      <c r="BS22" s="155" t="n"/>
      <c r="BT22" s="155" t="n"/>
      <c r="BU22" s="155" t="n"/>
      <c r="BV22" s="155" t="n"/>
      <c r="BW22" s="155" t="n"/>
      <c r="BX22" s="155" t="n"/>
      <c r="BY22" s="155" t="n"/>
      <c r="BZ22" s="155" t="n"/>
      <c r="CA22" s="155" t="n"/>
      <c r="CB22" s="155" t="n"/>
      <c r="CC22" s="155" t="n"/>
      <c r="CD22" s="155" t="n"/>
      <c r="CE22" s="155" t="n"/>
      <c r="CF22" s="155" t="n"/>
      <c r="CG22" s="155" t="n"/>
      <c r="CH22" s="155" t="n"/>
      <c r="CI22" s="155" t="n"/>
      <c r="CJ22" s="155" t="n"/>
      <c r="CK22" s="155" t="n"/>
      <c r="CL22" s="155" t="n"/>
      <c r="CM22" s="155" t="n"/>
      <c r="CN22" s="155" t="n"/>
      <c r="CO22" s="155" t="n"/>
      <c r="CP22" s="155" t="n"/>
      <c r="CQ22" s="155" t="n"/>
      <c r="CR22" s="155" t="n"/>
      <c r="CS22" s="155" t="n"/>
      <c r="CT22" s="155" t="n"/>
      <c r="CU22" s="155" t="n"/>
      <c r="CV22" s="155" t="n"/>
      <c r="CW22" s="155" t="n"/>
      <c r="CX22" s="155" t="n"/>
      <c r="CY22" s="155" t="n"/>
      <c r="CZ22" s="155" t="n"/>
      <c r="DA22" s="155" t="n"/>
      <c r="DB22" s="155" t="n"/>
      <c r="DC22" s="155" t="n"/>
      <c r="DD22" s="155" t="n"/>
      <c r="DE22" s="155" t="n"/>
      <c r="DF22" s="155" t="n"/>
      <c r="DG22" s="155" t="n"/>
      <c r="DH22" s="155" t="n"/>
      <c r="DI22" s="155" t="n"/>
      <c r="DJ22" s="155" t="n"/>
      <c r="DK22" s="155" t="n"/>
      <c r="DL22" s="155" t="n"/>
      <c r="DM22" s="155" t="n"/>
      <c r="DN22" s="155" t="n"/>
      <c r="DO22" s="155" t="n"/>
      <c r="DP22" s="155" t="n"/>
      <c r="DQ22" s="155" t="n"/>
      <c r="DR22" s="155" t="n"/>
      <c r="DS22" s="155" t="n"/>
      <c r="DT22" s="155" t="n"/>
      <c r="DU22" s="155" t="n"/>
      <c r="DV22" s="155" t="n"/>
      <c r="DW22" s="155" t="n"/>
      <c r="DX22" s="155" t="n"/>
      <c r="DY22" s="155" t="n"/>
      <c r="DZ22" s="155" t="n"/>
      <c r="EA22" s="155" t="n"/>
      <c r="EB22" s="155" t="n"/>
      <c r="EC22" s="155" t="n"/>
      <c r="ED22" s="155" t="n"/>
      <c r="EE22" s="155" t="n"/>
      <c r="EF22" s="155" t="n"/>
      <c r="EG22" s="155" t="n"/>
      <c r="EH22" s="155" t="n"/>
      <c r="EI22" s="155" t="n"/>
      <c r="EJ22" s="155" t="n"/>
      <c r="EK22" s="155" t="n"/>
      <c r="EL22" s="155" t="n"/>
      <c r="EM22" s="155" t="n"/>
      <c r="EN22" s="155" t="n"/>
      <c r="EO22" s="155" t="n"/>
      <c r="EP22" s="155" t="n"/>
      <c r="EQ22" s="155" t="n"/>
      <c r="ER22" s="155" t="n"/>
      <c r="ES22" s="155" t="n"/>
      <c r="ET22" s="155" t="n"/>
      <c r="EU22" s="155" t="n"/>
      <c r="EV22" s="155" t="n"/>
      <c r="EW22" s="155" t="n"/>
      <c r="EX22" s="155" t="n"/>
      <c r="EY22" s="155" t="n"/>
      <c r="EZ22" s="155" t="n"/>
      <c r="FA22" s="155" t="n"/>
      <c r="FB22" s="155" t="n"/>
      <c r="FC22" s="155" t="n"/>
      <c r="FD22" s="155" t="n"/>
      <c r="FE22" s="155" t="n"/>
      <c r="FF22" s="155" t="n"/>
      <c r="FG22" s="155" t="n"/>
      <c r="FH22" s="155" t="n"/>
      <c r="FI22" s="155" t="n"/>
      <c r="FJ22" s="155" t="n"/>
      <c r="FK22" s="155" t="n"/>
      <c r="FL22" s="155" t="n"/>
      <c r="FM22" s="155" t="n"/>
      <c r="FN22" s="155" t="n"/>
      <c r="FO22" s="155" t="n"/>
      <c r="FP22" s="155" t="n"/>
      <c r="FQ22" s="155" t="n"/>
      <c r="FR22" s="155" t="n"/>
      <c r="FS22" s="155" t="n"/>
      <c r="FT22" s="155" t="n"/>
      <c r="FU22" s="155" t="n"/>
      <c r="FV22" s="155" t="n"/>
      <c r="FW22" s="155" t="n"/>
      <c r="FX22" s="155" t="n"/>
      <c r="FY22" s="155" t="n"/>
      <c r="FZ22" s="155" t="n"/>
      <c r="GA22" s="155" t="n"/>
      <c r="GB22" s="155" t="n"/>
      <c r="GC22" s="155" t="n"/>
      <c r="GD22" s="155" t="n"/>
      <c r="GE22" s="155" t="n"/>
      <c r="GF22" s="155" t="n"/>
      <c r="GG22" s="155" t="n"/>
      <c r="GH22" s="155" t="n"/>
      <c r="GI22" s="155" t="n"/>
      <c r="GJ22" s="155" t="n"/>
      <c r="GK22" s="155" t="n"/>
      <c r="GL22" s="155" t="n"/>
      <c r="GM22" s="155" t="n"/>
      <c r="GN22" s="155" t="n"/>
      <c r="GO22" s="155" t="n"/>
      <c r="GP22" s="155" t="n"/>
      <c r="GQ22" s="155" t="n"/>
      <c r="GR22" s="155" t="n"/>
      <c r="GS22" s="155" t="n"/>
      <c r="GT22" s="155" t="n"/>
      <c r="GU22" s="155" t="n"/>
      <c r="GV22" s="155" t="n"/>
      <c r="GW22" s="155" t="n"/>
      <c r="GX22" s="155" t="n"/>
      <c r="GY22" s="155" t="n"/>
      <c r="GZ22" s="155" t="n"/>
      <c r="HA22" s="155" t="n"/>
      <c r="HB22" s="155" t="n"/>
      <c r="HC22" s="155" t="n"/>
      <c r="HD22" s="155" t="n"/>
      <c r="HE22" s="155" t="n"/>
      <c r="HF22" s="155" t="n"/>
      <c r="HG22" s="155" t="n"/>
      <c r="HH22" s="155" t="n"/>
      <c r="HI22" s="155" t="n"/>
      <c r="HJ22" s="155" t="n"/>
      <c r="HK22" s="155" t="n"/>
      <c r="HL22" s="155" t="n"/>
      <c r="HM22" s="155" t="n"/>
      <c r="HN22" s="155" t="n"/>
      <c r="HO22" s="155" t="n"/>
      <c r="HP22" s="155" t="n"/>
      <c r="HQ22" s="155" t="n"/>
      <c r="HR22" s="155" t="n"/>
      <c r="HS22" s="155" t="n"/>
      <c r="HT22" s="155" t="n"/>
      <c r="HU22" s="155" t="n"/>
      <c r="HV22" s="155" t="n"/>
      <c r="HW22" s="155" t="n"/>
      <c r="HX22" s="155" t="n"/>
      <c r="HY22" s="155" t="n"/>
      <c r="HZ22" s="155" t="n"/>
      <c r="IA22" s="155" t="n"/>
      <c r="IB22" s="155" t="n"/>
      <c r="IC22" s="155" t="n"/>
      <c r="ID22" s="155" t="n"/>
      <c r="IE22" s="155" t="n"/>
      <c r="IF22" s="155" t="n"/>
      <c r="IG22" s="155" t="n"/>
      <c r="IH22" s="155" t="n"/>
      <c r="II22" s="155" t="n"/>
      <c r="IJ22" s="155" t="n"/>
      <c r="IK22" s="155" t="n"/>
      <c r="IL22" s="155" t="n"/>
      <c r="IM22" s="155" t="n"/>
      <c r="IN22" s="155" t="n"/>
      <c r="IO22" s="155" t="n"/>
      <c r="IP22" s="155" t="n"/>
      <c r="IQ22" s="155" t="n"/>
      <c r="IR22" s="155" t="n"/>
      <c r="IS22" s="155" t="n"/>
      <c r="IT22" s="155" t="n"/>
      <c r="IU22" s="155" t="n"/>
      <c r="IV22" s="155" t="n"/>
      <c r="IW22" s="155" t="n"/>
      <c r="IX22" s="155" t="n"/>
      <c r="IY22" s="155" t="n"/>
      <c r="IZ22" s="155" t="n"/>
      <c r="JA22" s="155" t="n"/>
      <c r="JB22" s="155" t="n"/>
      <c r="JC22" s="155" t="n"/>
      <c r="JD22" s="155" t="n"/>
      <c r="JE22" s="155" t="n"/>
      <c r="JF22" s="155" t="n"/>
      <c r="JG22" s="155" t="n"/>
      <c r="JH22" s="155" t="n"/>
      <c r="JI22" s="155" t="n"/>
      <c r="JJ22" s="155" t="n"/>
      <c r="JK22" s="155" t="n"/>
      <c r="JL22" s="155" t="n"/>
      <c r="JM22" s="155" t="n"/>
      <c r="JN22" s="155" t="n"/>
      <c r="JO22" s="155" t="n"/>
      <c r="JP22" s="155" t="n"/>
      <c r="JQ22" s="155" t="n"/>
      <c r="JR22" s="155" t="n"/>
      <c r="JS22" s="155" t="n"/>
      <c r="JT22" s="155" t="n"/>
      <c r="JU22" s="155" t="n"/>
      <c r="JV22" s="155" t="n"/>
      <c r="JW22" s="155" t="n"/>
      <c r="JX22" s="155" t="n"/>
      <c r="JY22" s="155" t="n"/>
      <c r="JZ22" s="155" t="n"/>
      <c r="KA22" s="155" t="n"/>
      <c r="KB22" s="155" t="n"/>
      <c r="KC22" s="155" t="n"/>
      <c r="KD22" s="155" t="n"/>
      <c r="KE22" s="155" t="n"/>
      <c r="KF22" s="155" t="n"/>
      <c r="KG22" s="155" t="n"/>
      <c r="KH22" s="155" t="n"/>
      <c r="KI22" s="155" t="n"/>
      <c r="KJ22" s="155" t="n"/>
      <c r="KK22" s="155" t="n"/>
      <c r="KL22" s="155" t="n"/>
      <c r="KM22" s="155" t="n"/>
      <c r="KN22" s="155" t="n"/>
      <c r="KO22" s="155" t="n"/>
      <c r="KP22" s="155" t="n"/>
      <c r="KQ22" s="155" t="n"/>
      <c r="KR22" s="155" t="n"/>
      <c r="KS22" s="155" t="n"/>
      <c r="KT22" s="155" t="n"/>
      <c r="KU22" s="155" t="n"/>
      <c r="KV22" s="155" t="n"/>
      <c r="KW22" s="155" t="n"/>
      <c r="KX22" s="155" t="n"/>
      <c r="KY22" s="155" t="n"/>
      <c r="KZ22" s="155" t="n"/>
      <c r="LA22" s="155" t="n"/>
      <c r="LB22" s="155" t="n"/>
      <c r="LC22" s="155" t="n"/>
      <c r="LD22" s="155" t="n"/>
      <c r="LE22" s="155" t="n"/>
      <c r="LF22" s="155" t="n"/>
      <c r="LG22" s="155" t="n"/>
      <c r="LH22" s="155" t="n"/>
      <c r="LI22" s="155" t="n"/>
      <c r="LJ22" s="155" t="n"/>
      <c r="LK22" s="155" t="n"/>
      <c r="LL22" s="155" t="n"/>
      <c r="LM22" s="155" t="n"/>
      <c r="LN22" s="155" t="n"/>
      <c r="LO22" s="155" t="n"/>
      <c r="LP22" s="155" t="n"/>
      <c r="LQ22" s="155" t="n"/>
      <c r="LR22" s="155" t="n"/>
      <c r="LS22" s="155" t="n"/>
      <c r="LT22" s="155" t="n"/>
      <c r="LU22" s="155" t="n"/>
      <c r="LV22" s="155" t="n"/>
      <c r="LW22" s="155" t="n"/>
      <c r="LX22" s="155" t="n"/>
      <c r="LY22" s="155" t="n"/>
      <c r="LZ22" s="155" t="n"/>
      <c r="MA22" s="155" t="n"/>
      <c r="MB22" s="155" t="n"/>
      <c r="MC22" s="155" t="n"/>
      <c r="MD22" s="155" t="n"/>
      <c r="ME22" s="155" t="n"/>
      <c r="MF22" s="155" t="n"/>
      <c r="MG22" s="155" t="n"/>
      <c r="MH22" s="155" t="n"/>
      <c r="MI22" s="155" t="n"/>
      <c r="MJ22" s="155" t="n"/>
      <c r="MK22" s="155" t="n"/>
      <c r="ML22" s="155" t="n"/>
      <c r="MM22" s="155" t="n"/>
      <c r="MN22" s="155" t="n"/>
      <c r="MO22" s="155" t="n"/>
      <c r="MP22" s="155" t="n"/>
      <c r="MQ22" s="155" t="n"/>
      <c r="MR22" s="155" t="n"/>
      <c r="MS22" s="155" t="n"/>
      <c r="MT22" s="155" t="n"/>
      <c r="MU22" s="155" t="n"/>
      <c r="MV22" s="155" t="n"/>
      <c r="MW22" s="155" t="n"/>
      <c r="MX22" s="155" t="n"/>
      <c r="MY22" s="155" t="n"/>
      <c r="MZ22" s="155" t="n"/>
      <c r="NA22" s="155" t="n"/>
      <c r="NB22" s="155" t="n"/>
      <c r="NC22" s="155" t="n"/>
      <c r="ND22" s="155" t="n"/>
      <c r="NE22" s="155" t="n"/>
      <c r="NF22" s="155" t="n"/>
      <c r="NG22" s="155" t="n"/>
      <c r="NH22" s="155" t="n"/>
      <c r="NI22" s="155" t="n"/>
      <c r="NJ22" s="155" t="n"/>
      <c r="NK22" s="155" t="n"/>
      <c r="NL22" s="155" t="n"/>
    </row>
    <row r="23">
      <c r="B23" s="316" t="inlineStr">
        <is>
          <t>Levered Cash Flow to Equity</t>
        </is>
      </c>
      <c r="D23" s="402">
        <f>SUM(E23:NL23)</f>
        <v/>
      </c>
      <c r="E23" s="402">
        <f>CashFlow!E$6</f>
        <v/>
      </c>
      <c r="F23" s="402">
        <f>CashFlow!F$6</f>
        <v/>
      </c>
      <c r="G23" s="402">
        <f>CashFlow!G$6</f>
        <v/>
      </c>
      <c r="H23" s="402">
        <f>CashFlow!H$6</f>
        <v/>
      </c>
      <c r="I23" s="402">
        <f>CashFlow!I$6</f>
        <v/>
      </c>
      <c r="J23" s="402">
        <f>CashFlow!J$6</f>
        <v/>
      </c>
      <c r="K23" s="402">
        <f>CashFlow!K$6</f>
        <v/>
      </c>
      <c r="L23" s="402">
        <f>CashFlow!L$6</f>
        <v/>
      </c>
      <c r="M23" s="402">
        <f>CashFlow!M$6</f>
        <v/>
      </c>
      <c r="N23" s="402">
        <f>CashFlow!N$6</f>
        <v/>
      </c>
      <c r="O23" s="402">
        <f>CashFlow!O$6</f>
        <v/>
      </c>
      <c r="P23" s="402">
        <f>CashFlow!P$6</f>
        <v/>
      </c>
      <c r="Q23" s="402">
        <f>CashFlow!Q$6</f>
        <v/>
      </c>
      <c r="R23" s="402">
        <f>CashFlow!R$6</f>
        <v/>
      </c>
      <c r="S23" s="402">
        <f>CashFlow!S$6</f>
        <v/>
      </c>
      <c r="T23" s="402">
        <f>CashFlow!T$6</f>
        <v/>
      </c>
      <c r="U23" s="402">
        <f>CashFlow!U$6</f>
        <v/>
      </c>
      <c r="V23" s="402">
        <f>CashFlow!V$6</f>
        <v/>
      </c>
      <c r="W23" s="402">
        <f>CashFlow!W$6</f>
        <v/>
      </c>
      <c r="X23" s="402">
        <f>CashFlow!X$6</f>
        <v/>
      </c>
      <c r="Y23" s="402">
        <f>CashFlow!Y$6</f>
        <v/>
      </c>
      <c r="Z23" s="402">
        <f>CashFlow!Z$6</f>
        <v/>
      </c>
      <c r="AA23" s="402">
        <f>CashFlow!AA$6</f>
        <v/>
      </c>
      <c r="AB23" s="402">
        <f>CashFlow!AB$6</f>
        <v/>
      </c>
      <c r="AC23" s="402">
        <f>CashFlow!AC$6</f>
        <v/>
      </c>
      <c r="AD23" s="402">
        <f>CashFlow!AD$6</f>
        <v/>
      </c>
      <c r="AE23" s="402">
        <f>CashFlow!AE$6</f>
        <v/>
      </c>
      <c r="AF23" s="402">
        <f>CashFlow!AF$6</f>
        <v/>
      </c>
      <c r="AG23" s="402">
        <f>CashFlow!AG$6</f>
        <v/>
      </c>
      <c r="AH23" s="402">
        <f>CashFlow!AH$6</f>
        <v/>
      </c>
      <c r="AI23" s="402">
        <f>CashFlow!AI$6</f>
        <v/>
      </c>
      <c r="AJ23" s="402">
        <f>CashFlow!AJ$6</f>
        <v/>
      </c>
      <c r="AK23" s="402">
        <f>CashFlow!AK$6</f>
        <v/>
      </c>
      <c r="AL23" s="402">
        <f>CashFlow!AL$6</f>
        <v/>
      </c>
      <c r="AM23" s="402">
        <f>CashFlow!AM$6</f>
        <v/>
      </c>
      <c r="AN23" s="402">
        <f>CashFlow!AN$6</f>
        <v/>
      </c>
      <c r="AO23" s="402">
        <f>CashFlow!AO$6</f>
        <v/>
      </c>
      <c r="AP23" s="402">
        <f>CashFlow!AP$6</f>
        <v/>
      </c>
      <c r="AQ23" s="402">
        <f>CashFlow!AQ$6</f>
        <v/>
      </c>
      <c r="AR23" s="402">
        <f>CashFlow!AR$6</f>
        <v/>
      </c>
      <c r="AS23" s="402">
        <f>CashFlow!AS$6</f>
        <v/>
      </c>
      <c r="AT23" s="402">
        <f>CashFlow!AT$6</f>
        <v/>
      </c>
      <c r="AU23" s="402">
        <f>CashFlow!AU$6</f>
        <v/>
      </c>
      <c r="AV23" s="402">
        <f>CashFlow!AV$6</f>
        <v/>
      </c>
      <c r="AW23" s="402">
        <f>CashFlow!AW$6</f>
        <v/>
      </c>
      <c r="AX23" s="402">
        <f>CashFlow!AX$6</f>
        <v/>
      </c>
      <c r="AY23" s="402">
        <f>CashFlow!AY$6</f>
        <v/>
      </c>
      <c r="AZ23" s="402">
        <f>CashFlow!AZ$6</f>
        <v/>
      </c>
      <c r="BA23" s="402">
        <f>CashFlow!BA$6</f>
        <v/>
      </c>
      <c r="BB23" s="402">
        <f>CashFlow!BB$6</f>
        <v/>
      </c>
      <c r="BC23" s="402">
        <f>CashFlow!BC$6</f>
        <v/>
      </c>
      <c r="BD23" s="402">
        <f>CashFlow!BD$6</f>
        <v/>
      </c>
      <c r="BE23" s="402">
        <f>CashFlow!BE$6</f>
        <v/>
      </c>
      <c r="BF23" s="402">
        <f>CashFlow!BF$6</f>
        <v/>
      </c>
      <c r="BG23" s="402">
        <f>CashFlow!BG$6</f>
        <v/>
      </c>
      <c r="BH23" s="402">
        <f>CashFlow!BH$6</f>
        <v/>
      </c>
      <c r="BI23" s="402">
        <f>CashFlow!BI$6</f>
        <v/>
      </c>
      <c r="BJ23" s="402">
        <f>CashFlow!BJ$6</f>
        <v/>
      </c>
      <c r="BK23" s="402">
        <f>CashFlow!BK$6</f>
        <v/>
      </c>
      <c r="BL23" s="402">
        <f>CashFlow!BL$6</f>
        <v/>
      </c>
      <c r="BM23" s="402">
        <f>CashFlow!BM$6</f>
        <v/>
      </c>
      <c r="BN23" s="402">
        <f>CashFlow!BN$6</f>
        <v/>
      </c>
      <c r="BO23" s="402">
        <f>CashFlow!BO$6</f>
        <v/>
      </c>
      <c r="BP23" s="402">
        <f>CashFlow!BP$6</f>
        <v/>
      </c>
      <c r="BQ23" s="402">
        <f>CashFlow!BQ$6</f>
        <v/>
      </c>
      <c r="BR23" s="402">
        <f>CashFlow!BR$6</f>
        <v/>
      </c>
      <c r="BS23" s="402">
        <f>CashFlow!BS$6</f>
        <v/>
      </c>
      <c r="BT23" s="402">
        <f>CashFlow!BT$6</f>
        <v/>
      </c>
      <c r="BU23" s="402">
        <f>CashFlow!BU$6</f>
        <v/>
      </c>
      <c r="BV23" s="402">
        <f>CashFlow!BV$6</f>
        <v/>
      </c>
      <c r="BW23" s="402">
        <f>CashFlow!BW$6</f>
        <v/>
      </c>
      <c r="BX23" s="402">
        <f>CashFlow!BX$6</f>
        <v/>
      </c>
      <c r="BY23" s="402">
        <f>CashFlow!BY$6</f>
        <v/>
      </c>
      <c r="BZ23" s="402">
        <f>CashFlow!BZ$6</f>
        <v/>
      </c>
      <c r="CA23" s="402">
        <f>CashFlow!CA$6</f>
        <v/>
      </c>
      <c r="CB23" s="402">
        <f>CashFlow!CB$6</f>
        <v/>
      </c>
      <c r="CC23" s="402">
        <f>CashFlow!CC$6</f>
        <v/>
      </c>
      <c r="CD23" s="402">
        <f>CashFlow!CD$6</f>
        <v/>
      </c>
      <c r="CE23" s="402">
        <f>CashFlow!CE$6</f>
        <v/>
      </c>
      <c r="CF23" s="402">
        <f>CashFlow!CF$6</f>
        <v/>
      </c>
      <c r="CG23" s="402">
        <f>CashFlow!CG$6</f>
        <v/>
      </c>
      <c r="CH23" s="402">
        <f>CashFlow!CH$6</f>
        <v/>
      </c>
      <c r="CI23" s="402">
        <f>CashFlow!CI$6</f>
        <v/>
      </c>
      <c r="CJ23" s="402">
        <f>CashFlow!CJ$6</f>
        <v/>
      </c>
      <c r="CK23" s="402">
        <f>CashFlow!CK$6</f>
        <v/>
      </c>
      <c r="CL23" s="402">
        <f>CashFlow!CL$6</f>
        <v/>
      </c>
      <c r="CM23" s="402">
        <f>CashFlow!CM$6</f>
        <v/>
      </c>
      <c r="CN23" s="402">
        <f>CashFlow!CN$6</f>
        <v/>
      </c>
      <c r="CO23" s="402">
        <f>CashFlow!CO$6</f>
        <v/>
      </c>
      <c r="CP23" s="402">
        <f>CashFlow!CP$6</f>
        <v/>
      </c>
      <c r="CQ23" s="402">
        <f>CashFlow!CQ$6</f>
        <v/>
      </c>
      <c r="CR23" s="402">
        <f>CashFlow!CR$6</f>
        <v/>
      </c>
      <c r="CS23" s="402">
        <f>CashFlow!CS$6</f>
        <v/>
      </c>
      <c r="CT23" s="402">
        <f>CashFlow!CT$6</f>
        <v/>
      </c>
      <c r="CU23" s="402">
        <f>CashFlow!CU$6</f>
        <v/>
      </c>
      <c r="CV23" s="402">
        <f>CashFlow!CV$6</f>
        <v/>
      </c>
      <c r="CW23" s="402">
        <f>CashFlow!CW$6</f>
        <v/>
      </c>
      <c r="CX23" s="402">
        <f>CashFlow!CX$6</f>
        <v/>
      </c>
      <c r="CY23" s="402">
        <f>CashFlow!CY$6</f>
        <v/>
      </c>
      <c r="CZ23" s="402">
        <f>CashFlow!CZ$6</f>
        <v/>
      </c>
      <c r="DA23" s="402">
        <f>CashFlow!DA$6</f>
        <v/>
      </c>
      <c r="DB23" s="402">
        <f>CashFlow!DB$6</f>
        <v/>
      </c>
      <c r="DC23" s="402">
        <f>CashFlow!DC$6</f>
        <v/>
      </c>
      <c r="DD23" s="402">
        <f>CashFlow!DD$6</f>
        <v/>
      </c>
      <c r="DE23" s="402">
        <f>CashFlow!DE$6</f>
        <v/>
      </c>
      <c r="DF23" s="402">
        <f>CashFlow!DF$6</f>
        <v/>
      </c>
      <c r="DG23" s="402">
        <f>CashFlow!DG$6</f>
        <v/>
      </c>
      <c r="DH23" s="402">
        <f>CashFlow!DH$6</f>
        <v/>
      </c>
      <c r="DI23" s="402">
        <f>CashFlow!DI$6</f>
        <v/>
      </c>
      <c r="DJ23" s="402">
        <f>CashFlow!DJ$6</f>
        <v/>
      </c>
      <c r="DK23" s="402">
        <f>CashFlow!DK$6</f>
        <v/>
      </c>
      <c r="DL23" s="402">
        <f>CashFlow!DL$6</f>
        <v/>
      </c>
      <c r="DM23" s="402">
        <f>CashFlow!DM$6</f>
        <v/>
      </c>
      <c r="DN23" s="402">
        <f>CashFlow!DN$6</f>
        <v/>
      </c>
      <c r="DO23" s="402">
        <f>CashFlow!DO$6</f>
        <v/>
      </c>
      <c r="DP23" s="402">
        <f>CashFlow!DP$6</f>
        <v/>
      </c>
      <c r="DQ23" s="402">
        <f>CashFlow!DQ$6</f>
        <v/>
      </c>
      <c r="DR23" s="402">
        <f>CashFlow!DR$6</f>
        <v/>
      </c>
      <c r="DS23" s="402">
        <f>CashFlow!DS$6</f>
        <v/>
      </c>
      <c r="DT23" s="402">
        <f>CashFlow!DT$6</f>
        <v/>
      </c>
      <c r="DU23" s="402">
        <f>CashFlow!DU$6</f>
        <v/>
      </c>
      <c r="DV23" s="402">
        <f>CashFlow!DV$6</f>
        <v/>
      </c>
      <c r="DW23" s="402">
        <f>CashFlow!DW$6</f>
        <v/>
      </c>
      <c r="DX23" s="402">
        <f>CashFlow!DX$6</f>
        <v/>
      </c>
      <c r="DY23" s="402">
        <f>CashFlow!DY$6</f>
        <v/>
      </c>
      <c r="DZ23" s="402">
        <f>CashFlow!DZ$6</f>
        <v/>
      </c>
      <c r="EA23" s="402">
        <f>CashFlow!EA$6</f>
        <v/>
      </c>
      <c r="EB23" s="402">
        <f>CashFlow!EB$6</f>
        <v/>
      </c>
      <c r="EC23" s="402">
        <f>CashFlow!EC$6</f>
        <v/>
      </c>
      <c r="ED23" s="402">
        <f>CashFlow!ED$6</f>
        <v/>
      </c>
      <c r="EE23" s="402">
        <f>CashFlow!EE$6</f>
        <v/>
      </c>
      <c r="EF23" s="402">
        <f>CashFlow!EF$6</f>
        <v/>
      </c>
      <c r="EG23" s="402">
        <f>CashFlow!EG$6</f>
        <v/>
      </c>
      <c r="EH23" s="402">
        <f>CashFlow!EH$6</f>
        <v/>
      </c>
      <c r="EI23" s="402">
        <f>CashFlow!EI$6</f>
        <v/>
      </c>
      <c r="EJ23" s="402">
        <f>CashFlow!EJ$6</f>
        <v/>
      </c>
      <c r="EK23" s="402">
        <f>CashFlow!EK$6</f>
        <v/>
      </c>
      <c r="EL23" s="402">
        <f>CashFlow!EL$6</f>
        <v/>
      </c>
      <c r="EM23" s="402">
        <f>CashFlow!EM$6</f>
        <v/>
      </c>
      <c r="EN23" s="402">
        <f>CashFlow!EN$6</f>
        <v/>
      </c>
      <c r="EO23" s="402">
        <f>CashFlow!EO$6</f>
        <v/>
      </c>
      <c r="EP23" s="402">
        <f>CashFlow!EP$6</f>
        <v/>
      </c>
      <c r="EQ23" s="402">
        <f>CashFlow!EQ$6</f>
        <v/>
      </c>
      <c r="ER23" s="402">
        <f>CashFlow!ER$6</f>
        <v/>
      </c>
      <c r="ES23" s="402">
        <f>CashFlow!ES$6</f>
        <v/>
      </c>
      <c r="ET23" s="402">
        <f>CashFlow!ET$6</f>
        <v/>
      </c>
      <c r="EU23" s="402">
        <f>CashFlow!EU$6</f>
        <v/>
      </c>
      <c r="EV23" s="402">
        <f>CashFlow!EV$6</f>
        <v/>
      </c>
      <c r="EW23" s="402">
        <f>CashFlow!EW$6</f>
        <v/>
      </c>
      <c r="EX23" s="402">
        <f>CashFlow!EX$6</f>
        <v/>
      </c>
      <c r="EY23" s="402">
        <f>CashFlow!EY$6</f>
        <v/>
      </c>
      <c r="EZ23" s="402">
        <f>CashFlow!EZ$6</f>
        <v/>
      </c>
      <c r="FA23" s="402">
        <f>CashFlow!FA$6</f>
        <v/>
      </c>
      <c r="FB23" s="402">
        <f>CashFlow!FB$6</f>
        <v/>
      </c>
      <c r="FC23" s="402">
        <f>CashFlow!FC$6</f>
        <v/>
      </c>
      <c r="FD23" s="402">
        <f>CashFlow!FD$6</f>
        <v/>
      </c>
      <c r="FE23" s="402">
        <f>CashFlow!FE$6</f>
        <v/>
      </c>
      <c r="FF23" s="402">
        <f>CashFlow!FF$6</f>
        <v/>
      </c>
      <c r="FG23" s="402">
        <f>CashFlow!FG$6</f>
        <v/>
      </c>
      <c r="FH23" s="402">
        <f>CashFlow!FH$6</f>
        <v/>
      </c>
      <c r="FI23" s="402">
        <f>CashFlow!FI$6</f>
        <v/>
      </c>
      <c r="FJ23" s="402">
        <f>CashFlow!FJ$6</f>
        <v/>
      </c>
      <c r="FK23" s="402">
        <f>CashFlow!FK$6</f>
        <v/>
      </c>
      <c r="FL23" s="402">
        <f>CashFlow!FL$6</f>
        <v/>
      </c>
      <c r="FM23" s="402">
        <f>CashFlow!FM$6</f>
        <v/>
      </c>
      <c r="FN23" s="402">
        <f>CashFlow!FN$6</f>
        <v/>
      </c>
      <c r="FO23" s="402">
        <f>CashFlow!FO$6</f>
        <v/>
      </c>
      <c r="FP23" s="402">
        <f>CashFlow!FP$6</f>
        <v/>
      </c>
      <c r="FQ23" s="402">
        <f>CashFlow!FQ$6</f>
        <v/>
      </c>
      <c r="FR23" s="402">
        <f>CashFlow!FR$6</f>
        <v/>
      </c>
      <c r="FS23" s="402">
        <f>CashFlow!FS$6</f>
        <v/>
      </c>
      <c r="FT23" s="402">
        <f>CashFlow!FT$6</f>
        <v/>
      </c>
      <c r="FU23" s="402">
        <f>CashFlow!FU$6</f>
        <v/>
      </c>
      <c r="FV23" s="402">
        <f>CashFlow!FV$6</f>
        <v/>
      </c>
      <c r="FW23" s="402">
        <f>CashFlow!FW$6</f>
        <v/>
      </c>
      <c r="FX23" s="402">
        <f>CashFlow!FX$6</f>
        <v/>
      </c>
      <c r="FY23" s="402">
        <f>CashFlow!FY$6</f>
        <v/>
      </c>
      <c r="FZ23" s="402">
        <f>CashFlow!FZ$6</f>
        <v/>
      </c>
      <c r="GA23" s="402">
        <f>CashFlow!GA$6</f>
        <v/>
      </c>
      <c r="GB23" s="402">
        <f>CashFlow!GB$6</f>
        <v/>
      </c>
      <c r="GC23" s="402">
        <f>CashFlow!GC$6</f>
        <v/>
      </c>
      <c r="GD23" s="402">
        <f>CashFlow!GD$6</f>
        <v/>
      </c>
      <c r="GE23" s="402">
        <f>CashFlow!GE$6</f>
        <v/>
      </c>
      <c r="GF23" s="402">
        <f>CashFlow!GF$6</f>
        <v/>
      </c>
      <c r="GG23" s="402">
        <f>CashFlow!GG$6</f>
        <v/>
      </c>
      <c r="GH23" s="402">
        <f>CashFlow!GH$6</f>
        <v/>
      </c>
      <c r="GI23" s="402">
        <f>CashFlow!GI$6</f>
        <v/>
      </c>
      <c r="GJ23" s="402">
        <f>CashFlow!GJ$6</f>
        <v/>
      </c>
      <c r="GK23" s="402">
        <f>CashFlow!GK$6</f>
        <v/>
      </c>
      <c r="GL23" s="402">
        <f>CashFlow!GL$6</f>
        <v/>
      </c>
      <c r="GM23" s="402">
        <f>CashFlow!GM$6</f>
        <v/>
      </c>
      <c r="GN23" s="402">
        <f>CashFlow!GN$6</f>
        <v/>
      </c>
      <c r="GO23" s="402">
        <f>CashFlow!GO$6</f>
        <v/>
      </c>
      <c r="GP23" s="402">
        <f>CashFlow!GP$6</f>
        <v/>
      </c>
      <c r="GQ23" s="402">
        <f>CashFlow!GQ$6</f>
        <v/>
      </c>
      <c r="GR23" s="402">
        <f>CashFlow!GR$6</f>
        <v/>
      </c>
      <c r="GS23" s="402">
        <f>CashFlow!GS$6</f>
        <v/>
      </c>
      <c r="GT23" s="402">
        <f>CashFlow!GT$6</f>
        <v/>
      </c>
      <c r="GU23" s="402">
        <f>CashFlow!GU$6</f>
        <v/>
      </c>
      <c r="GV23" s="402">
        <f>CashFlow!GV$6</f>
        <v/>
      </c>
      <c r="GW23" s="402">
        <f>CashFlow!GW$6</f>
        <v/>
      </c>
      <c r="GX23" s="402">
        <f>CashFlow!GX$6</f>
        <v/>
      </c>
      <c r="GY23" s="402">
        <f>CashFlow!GY$6</f>
        <v/>
      </c>
      <c r="GZ23" s="402">
        <f>CashFlow!GZ$6</f>
        <v/>
      </c>
      <c r="HA23" s="402">
        <f>CashFlow!HA$6</f>
        <v/>
      </c>
      <c r="HB23" s="402">
        <f>CashFlow!HB$6</f>
        <v/>
      </c>
      <c r="HC23" s="402">
        <f>CashFlow!HC$6</f>
        <v/>
      </c>
      <c r="HD23" s="402">
        <f>CashFlow!HD$6</f>
        <v/>
      </c>
      <c r="HE23" s="402">
        <f>CashFlow!HE$6</f>
        <v/>
      </c>
      <c r="HF23" s="402">
        <f>CashFlow!HF$6</f>
        <v/>
      </c>
      <c r="HG23" s="402">
        <f>CashFlow!HG$6</f>
        <v/>
      </c>
      <c r="HH23" s="402">
        <f>CashFlow!HH$6</f>
        <v/>
      </c>
      <c r="HI23" s="402">
        <f>CashFlow!HI$6</f>
        <v/>
      </c>
      <c r="HJ23" s="402">
        <f>CashFlow!HJ$6</f>
        <v/>
      </c>
      <c r="HK23" s="402">
        <f>CashFlow!HK$6</f>
        <v/>
      </c>
      <c r="HL23" s="402">
        <f>CashFlow!HL$6</f>
        <v/>
      </c>
      <c r="HM23" s="402">
        <f>CashFlow!HM$6</f>
        <v/>
      </c>
      <c r="HN23" s="402">
        <f>CashFlow!HN$6</f>
        <v/>
      </c>
      <c r="HO23" s="402">
        <f>CashFlow!HO$6</f>
        <v/>
      </c>
      <c r="HP23" s="402">
        <f>CashFlow!HP$6</f>
        <v/>
      </c>
      <c r="HQ23" s="402">
        <f>CashFlow!HQ$6</f>
        <v/>
      </c>
      <c r="HR23" s="402">
        <f>CashFlow!HR$6</f>
        <v/>
      </c>
      <c r="HS23" s="402">
        <f>CashFlow!HS$6</f>
        <v/>
      </c>
      <c r="HT23" s="402">
        <f>CashFlow!HT$6</f>
        <v/>
      </c>
      <c r="HU23" s="402">
        <f>CashFlow!HU$6</f>
        <v/>
      </c>
      <c r="HV23" s="402">
        <f>CashFlow!HV$6</f>
        <v/>
      </c>
      <c r="HW23" s="402">
        <f>CashFlow!HW$6</f>
        <v/>
      </c>
      <c r="HX23" s="402">
        <f>CashFlow!HX$6</f>
        <v/>
      </c>
      <c r="HY23" s="402">
        <f>CashFlow!HY$6</f>
        <v/>
      </c>
      <c r="HZ23" s="402">
        <f>CashFlow!HZ$6</f>
        <v/>
      </c>
      <c r="IA23" s="402">
        <f>CashFlow!IA$6</f>
        <v/>
      </c>
      <c r="IB23" s="402">
        <f>CashFlow!IB$6</f>
        <v/>
      </c>
      <c r="IC23" s="402">
        <f>CashFlow!IC$6</f>
        <v/>
      </c>
      <c r="ID23" s="402">
        <f>CashFlow!ID$6</f>
        <v/>
      </c>
      <c r="IE23" s="402">
        <f>CashFlow!IE$6</f>
        <v/>
      </c>
      <c r="IF23" s="402">
        <f>CashFlow!IF$6</f>
        <v/>
      </c>
      <c r="IG23" s="402">
        <f>CashFlow!IG$6</f>
        <v/>
      </c>
      <c r="IH23" s="402">
        <f>CashFlow!IH$6</f>
        <v/>
      </c>
      <c r="II23" s="402">
        <f>CashFlow!II$6</f>
        <v/>
      </c>
      <c r="IJ23" s="402">
        <f>CashFlow!IJ$6</f>
        <v/>
      </c>
      <c r="IK23" s="402">
        <f>CashFlow!IK$6</f>
        <v/>
      </c>
      <c r="IL23" s="402">
        <f>CashFlow!IL$6</f>
        <v/>
      </c>
      <c r="IM23" s="402">
        <f>CashFlow!IM$6</f>
        <v/>
      </c>
      <c r="IN23" s="402">
        <f>CashFlow!IN$6</f>
        <v/>
      </c>
      <c r="IO23" s="402">
        <f>CashFlow!IO$6</f>
        <v/>
      </c>
      <c r="IP23" s="402">
        <f>CashFlow!IP$6</f>
        <v/>
      </c>
      <c r="IQ23" s="402">
        <f>CashFlow!IQ$6</f>
        <v/>
      </c>
      <c r="IR23" s="402">
        <f>CashFlow!IR$6</f>
        <v/>
      </c>
      <c r="IS23" s="402">
        <f>CashFlow!IS$6</f>
        <v/>
      </c>
      <c r="IT23" s="402">
        <f>CashFlow!IT$6</f>
        <v/>
      </c>
      <c r="IU23" s="402">
        <f>CashFlow!IU$6</f>
        <v/>
      </c>
      <c r="IV23" s="402">
        <f>CashFlow!IV$6</f>
        <v/>
      </c>
      <c r="IW23" s="402">
        <f>CashFlow!IW$6</f>
        <v/>
      </c>
      <c r="IX23" s="402">
        <f>CashFlow!IX$6</f>
        <v/>
      </c>
      <c r="IY23" s="402">
        <f>CashFlow!IY$6</f>
        <v/>
      </c>
      <c r="IZ23" s="402">
        <f>CashFlow!IZ$6</f>
        <v/>
      </c>
      <c r="JA23" s="402">
        <f>CashFlow!JA$6</f>
        <v/>
      </c>
      <c r="JB23" s="402">
        <f>CashFlow!JB$6</f>
        <v/>
      </c>
      <c r="JC23" s="402">
        <f>CashFlow!JC$6</f>
        <v/>
      </c>
      <c r="JD23" s="402">
        <f>CashFlow!JD$6</f>
        <v/>
      </c>
      <c r="JE23" s="402">
        <f>CashFlow!JE$6</f>
        <v/>
      </c>
      <c r="JF23" s="402">
        <f>CashFlow!JF$6</f>
        <v/>
      </c>
      <c r="JG23" s="402">
        <f>CashFlow!JG$6</f>
        <v/>
      </c>
      <c r="JH23" s="402">
        <f>CashFlow!JH$6</f>
        <v/>
      </c>
      <c r="JI23" s="402">
        <f>CashFlow!JI$6</f>
        <v/>
      </c>
      <c r="JJ23" s="402">
        <f>CashFlow!JJ$6</f>
        <v/>
      </c>
      <c r="JK23" s="402">
        <f>CashFlow!JK$6</f>
        <v/>
      </c>
      <c r="JL23" s="402">
        <f>CashFlow!JL$6</f>
        <v/>
      </c>
      <c r="JM23" s="402">
        <f>CashFlow!JM$6</f>
        <v/>
      </c>
      <c r="JN23" s="402">
        <f>CashFlow!JN$6</f>
        <v/>
      </c>
      <c r="JO23" s="402">
        <f>CashFlow!JO$6</f>
        <v/>
      </c>
      <c r="JP23" s="402">
        <f>CashFlow!JP$6</f>
        <v/>
      </c>
      <c r="JQ23" s="402">
        <f>CashFlow!JQ$6</f>
        <v/>
      </c>
      <c r="JR23" s="402">
        <f>CashFlow!JR$6</f>
        <v/>
      </c>
      <c r="JS23" s="402">
        <f>CashFlow!JS$6</f>
        <v/>
      </c>
      <c r="JT23" s="402">
        <f>CashFlow!JT$6</f>
        <v/>
      </c>
      <c r="JU23" s="402">
        <f>CashFlow!JU$6</f>
        <v/>
      </c>
      <c r="JV23" s="402">
        <f>CashFlow!JV$6</f>
        <v/>
      </c>
      <c r="JW23" s="402">
        <f>CashFlow!JW$6</f>
        <v/>
      </c>
      <c r="JX23" s="402">
        <f>CashFlow!JX$6</f>
        <v/>
      </c>
      <c r="JY23" s="402">
        <f>CashFlow!JY$6</f>
        <v/>
      </c>
      <c r="JZ23" s="402">
        <f>CashFlow!JZ$6</f>
        <v/>
      </c>
      <c r="KA23" s="402">
        <f>CashFlow!KA$6</f>
        <v/>
      </c>
      <c r="KB23" s="402">
        <f>CashFlow!KB$6</f>
        <v/>
      </c>
      <c r="KC23" s="402">
        <f>CashFlow!KC$6</f>
        <v/>
      </c>
      <c r="KD23" s="402">
        <f>CashFlow!KD$6</f>
        <v/>
      </c>
      <c r="KE23" s="402">
        <f>CashFlow!KE$6</f>
        <v/>
      </c>
      <c r="KF23" s="402">
        <f>CashFlow!KF$6</f>
        <v/>
      </c>
      <c r="KG23" s="402">
        <f>CashFlow!KG$6</f>
        <v/>
      </c>
      <c r="KH23" s="402">
        <f>CashFlow!KH$6</f>
        <v/>
      </c>
      <c r="KI23" s="402">
        <f>CashFlow!KI$6</f>
        <v/>
      </c>
      <c r="KJ23" s="402">
        <f>CashFlow!KJ$6</f>
        <v/>
      </c>
      <c r="KK23" s="402">
        <f>CashFlow!KK$6</f>
        <v/>
      </c>
      <c r="KL23" s="402">
        <f>CashFlow!KL$6</f>
        <v/>
      </c>
      <c r="KM23" s="402">
        <f>CashFlow!KM$6</f>
        <v/>
      </c>
      <c r="KN23" s="402">
        <f>CashFlow!KN$6</f>
        <v/>
      </c>
      <c r="KO23" s="402">
        <f>CashFlow!KO$6</f>
        <v/>
      </c>
      <c r="KP23" s="402">
        <f>CashFlow!KP$6</f>
        <v/>
      </c>
      <c r="KQ23" s="402">
        <f>CashFlow!KQ$6</f>
        <v/>
      </c>
      <c r="KR23" s="402">
        <f>CashFlow!KR$6</f>
        <v/>
      </c>
      <c r="KS23" s="402">
        <f>CashFlow!KS$6</f>
        <v/>
      </c>
      <c r="KT23" s="402">
        <f>CashFlow!KT$6</f>
        <v/>
      </c>
      <c r="KU23" s="402">
        <f>CashFlow!KU$6</f>
        <v/>
      </c>
      <c r="KV23" s="402">
        <f>CashFlow!KV$6</f>
        <v/>
      </c>
      <c r="KW23" s="402">
        <f>CashFlow!KW$6</f>
        <v/>
      </c>
      <c r="KX23" s="402">
        <f>CashFlow!KX$6</f>
        <v/>
      </c>
      <c r="KY23" s="402">
        <f>CashFlow!KY$6</f>
        <v/>
      </c>
      <c r="KZ23" s="402">
        <f>CashFlow!KZ$6</f>
        <v/>
      </c>
      <c r="LA23" s="402">
        <f>CashFlow!LA$6</f>
        <v/>
      </c>
      <c r="LB23" s="402">
        <f>CashFlow!LB$6</f>
        <v/>
      </c>
      <c r="LC23" s="402">
        <f>CashFlow!LC$6</f>
        <v/>
      </c>
      <c r="LD23" s="402">
        <f>CashFlow!LD$6</f>
        <v/>
      </c>
      <c r="LE23" s="402">
        <f>CashFlow!LE$6</f>
        <v/>
      </c>
      <c r="LF23" s="402">
        <f>CashFlow!LF$6</f>
        <v/>
      </c>
      <c r="LG23" s="402">
        <f>CashFlow!LG$6</f>
        <v/>
      </c>
      <c r="LH23" s="402">
        <f>CashFlow!LH$6</f>
        <v/>
      </c>
      <c r="LI23" s="402">
        <f>CashFlow!LI$6</f>
        <v/>
      </c>
      <c r="LJ23" s="402">
        <f>CashFlow!LJ$6</f>
        <v/>
      </c>
      <c r="LK23" s="402">
        <f>CashFlow!LK$6</f>
        <v/>
      </c>
      <c r="LL23" s="402">
        <f>CashFlow!LL$6</f>
        <v/>
      </c>
      <c r="LM23" s="402">
        <f>CashFlow!LM$6</f>
        <v/>
      </c>
      <c r="LN23" s="402">
        <f>CashFlow!LN$6</f>
        <v/>
      </c>
      <c r="LO23" s="402">
        <f>CashFlow!LO$6</f>
        <v/>
      </c>
      <c r="LP23" s="402">
        <f>CashFlow!LP$6</f>
        <v/>
      </c>
      <c r="LQ23" s="402">
        <f>CashFlow!LQ$6</f>
        <v/>
      </c>
      <c r="LR23" s="402">
        <f>CashFlow!LR$6</f>
        <v/>
      </c>
      <c r="LS23" s="402">
        <f>CashFlow!LS$6</f>
        <v/>
      </c>
      <c r="LT23" s="402">
        <f>CashFlow!LT$6</f>
        <v/>
      </c>
      <c r="LU23" s="402">
        <f>CashFlow!LU$6</f>
        <v/>
      </c>
      <c r="LV23" s="402">
        <f>CashFlow!LV$6</f>
        <v/>
      </c>
      <c r="LW23" s="402">
        <f>CashFlow!LW$6</f>
        <v/>
      </c>
      <c r="LX23" s="402">
        <f>CashFlow!LX$6</f>
        <v/>
      </c>
      <c r="LY23" s="402">
        <f>CashFlow!LY$6</f>
        <v/>
      </c>
      <c r="LZ23" s="402">
        <f>CashFlow!LZ$6</f>
        <v/>
      </c>
      <c r="MA23" s="402">
        <f>CashFlow!MA$6</f>
        <v/>
      </c>
      <c r="MB23" s="402">
        <f>CashFlow!MB$6</f>
        <v/>
      </c>
      <c r="MC23" s="402">
        <f>CashFlow!MC$6</f>
        <v/>
      </c>
      <c r="MD23" s="402">
        <f>CashFlow!MD$6</f>
        <v/>
      </c>
      <c r="ME23" s="402">
        <f>CashFlow!ME$6</f>
        <v/>
      </c>
      <c r="MF23" s="402">
        <f>CashFlow!MF$6</f>
        <v/>
      </c>
      <c r="MG23" s="402">
        <f>CashFlow!MG$6</f>
        <v/>
      </c>
      <c r="MH23" s="402">
        <f>CashFlow!MH$6</f>
        <v/>
      </c>
      <c r="MI23" s="402">
        <f>CashFlow!MI$6</f>
        <v/>
      </c>
      <c r="MJ23" s="402">
        <f>CashFlow!MJ$6</f>
        <v/>
      </c>
      <c r="MK23" s="402">
        <f>CashFlow!MK$6</f>
        <v/>
      </c>
      <c r="ML23" s="402">
        <f>CashFlow!ML$6</f>
        <v/>
      </c>
      <c r="MM23" s="402">
        <f>CashFlow!MM$6</f>
        <v/>
      </c>
      <c r="MN23" s="402">
        <f>CashFlow!MN$6</f>
        <v/>
      </c>
      <c r="MO23" s="402">
        <f>CashFlow!MO$6</f>
        <v/>
      </c>
      <c r="MP23" s="402">
        <f>CashFlow!MP$6</f>
        <v/>
      </c>
      <c r="MQ23" s="402">
        <f>CashFlow!MQ$6</f>
        <v/>
      </c>
      <c r="MR23" s="402">
        <f>CashFlow!MR$6</f>
        <v/>
      </c>
      <c r="MS23" s="402">
        <f>CashFlow!MS$6</f>
        <v/>
      </c>
      <c r="MT23" s="402">
        <f>CashFlow!MT$6</f>
        <v/>
      </c>
      <c r="MU23" s="402">
        <f>CashFlow!MU$6</f>
        <v/>
      </c>
      <c r="MV23" s="402">
        <f>CashFlow!MV$6</f>
        <v/>
      </c>
      <c r="MW23" s="402">
        <f>CashFlow!MW$6</f>
        <v/>
      </c>
      <c r="MX23" s="402">
        <f>CashFlow!MX$6</f>
        <v/>
      </c>
      <c r="MY23" s="402">
        <f>CashFlow!MY$6</f>
        <v/>
      </c>
      <c r="MZ23" s="402">
        <f>CashFlow!MZ$6</f>
        <v/>
      </c>
      <c r="NA23" s="402">
        <f>CashFlow!NA$6</f>
        <v/>
      </c>
      <c r="NB23" s="402">
        <f>CashFlow!NB$6</f>
        <v/>
      </c>
      <c r="NC23" s="402">
        <f>CashFlow!NC$6</f>
        <v/>
      </c>
      <c r="ND23" s="402">
        <f>CashFlow!ND$6</f>
        <v/>
      </c>
      <c r="NE23" s="402">
        <f>CashFlow!NE$6</f>
        <v/>
      </c>
      <c r="NF23" s="402">
        <f>CashFlow!NF$6</f>
        <v/>
      </c>
      <c r="NG23" s="402">
        <f>CashFlow!NG$6</f>
        <v/>
      </c>
      <c r="NH23" s="402">
        <f>CashFlow!NH$6</f>
        <v/>
      </c>
      <c r="NI23" s="402">
        <f>CashFlow!NI$6</f>
        <v/>
      </c>
      <c r="NJ23" s="402">
        <f>CashFlow!NJ$6</f>
        <v/>
      </c>
      <c r="NK23" s="402">
        <f>CashFlow!NK$6</f>
        <v/>
      </c>
      <c r="NL23" s="402">
        <f>CashFlow!NL$6</f>
        <v/>
      </c>
    </row>
    <row r="24">
      <c r="B24" s="316" t="inlineStr">
        <is>
          <t>Total Equity Contribution</t>
        </is>
      </c>
      <c r="D24" s="402">
        <f>SUM(E24:NL24)</f>
        <v/>
      </c>
      <c r="E24" s="402">
        <f>MAX(0,-E23)</f>
        <v/>
      </c>
      <c r="F24" s="402">
        <f>MAX(0,-F23)</f>
        <v/>
      </c>
      <c r="G24" s="402">
        <f>MAX(0,-G23)</f>
        <v/>
      </c>
      <c r="H24" s="402">
        <f>MAX(0,-H23)</f>
        <v/>
      </c>
      <c r="I24" s="402">
        <f>MAX(0,-I23)</f>
        <v/>
      </c>
      <c r="J24" s="402">
        <f>MAX(0,-J23)</f>
        <v/>
      </c>
      <c r="K24" s="402">
        <f>MAX(0,-K23)</f>
        <v/>
      </c>
      <c r="L24" s="402">
        <f>MAX(0,-L23)</f>
        <v/>
      </c>
      <c r="M24" s="402">
        <f>MAX(0,-M23)</f>
        <v/>
      </c>
      <c r="N24" s="402">
        <f>MAX(0,-N23)</f>
        <v/>
      </c>
      <c r="O24" s="402">
        <f>MAX(0,-O23)</f>
        <v/>
      </c>
      <c r="P24" s="402">
        <f>MAX(0,-P23)</f>
        <v/>
      </c>
      <c r="Q24" s="402">
        <f>MAX(0,-Q23)</f>
        <v/>
      </c>
      <c r="R24" s="402">
        <f>MAX(0,-R23)</f>
        <v/>
      </c>
      <c r="S24" s="402">
        <f>MAX(0,-S23)</f>
        <v/>
      </c>
      <c r="T24" s="402">
        <f>MAX(0,-T23)</f>
        <v/>
      </c>
      <c r="U24" s="402">
        <f>MAX(0,-U23)</f>
        <v/>
      </c>
      <c r="V24" s="402">
        <f>MAX(0,-V23)</f>
        <v/>
      </c>
      <c r="W24" s="402">
        <f>MAX(0,-W23)</f>
        <v/>
      </c>
      <c r="X24" s="402">
        <f>MAX(0,-X23)</f>
        <v/>
      </c>
      <c r="Y24" s="402">
        <f>MAX(0,-Y23)</f>
        <v/>
      </c>
      <c r="Z24" s="402">
        <f>MAX(0,-Z23)</f>
        <v/>
      </c>
      <c r="AA24" s="402">
        <f>MAX(0,-AA23)</f>
        <v/>
      </c>
      <c r="AB24" s="402">
        <f>MAX(0,-AB23)</f>
        <v/>
      </c>
      <c r="AC24" s="402">
        <f>MAX(0,-AC23)</f>
        <v/>
      </c>
      <c r="AD24" s="402">
        <f>MAX(0,-AD23)</f>
        <v/>
      </c>
      <c r="AE24" s="402">
        <f>MAX(0,-AE23)</f>
        <v/>
      </c>
      <c r="AF24" s="402">
        <f>MAX(0,-AF23)</f>
        <v/>
      </c>
      <c r="AG24" s="402">
        <f>MAX(0,-AG23)</f>
        <v/>
      </c>
      <c r="AH24" s="402">
        <f>MAX(0,-AH23)</f>
        <v/>
      </c>
      <c r="AI24" s="402">
        <f>MAX(0,-AI23)</f>
        <v/>
      </c>
      <c r="AJ24" s="402">
        <f>MAX(0,-AJ23)</f>
        <v/>
      </c>
      <c r="AK24" s="402">
        <f>MAX(0,-AK23)</f>
        <v/>
      </c>
      <c r="AL24" s="402">
        <f>MAX(0,-AL23)</f>
        <v/>
      </c>
      <c r="AM24" s="402">
        <f>MAX(0,-AM23)</f>
        <v/>
      </c>
      <c r="AN24" s="402">
        <f>MAX(0,-AN23)</f>
        <v/>
      </c>
      <c r="AO24" s="402">
        <f>MAX(0,-AO23)</f>
        <v/>
      </c>
      <c r="AP24" s="402">
        <f>MAX(0,-AP23)</f>
        <v/>
      </c>
      <c r="AQ24" s="402">
        <f>MAX(0,-AQ23)</f>
        <v/>
      </c>
      <c r="AR24" s="402">
        <f>MAX(0,-AR23)</f>
        <v/>
      </c>
      <c r="AS24" s="402">
        <f>MAX(0,-AS23)</f>
        <v/>
      </c>
      <c r="AT24" s="402">
        <f>MAX(0,-AT23)</f>
        <v/>
      </c>
      <c r="AU24" s="402">
        <f>MAX(0,-AU23)</f>
        <v/>
      </c>
      <c r="AV24" s="402">
        <f>MAX(0,-AV23)</f>
        <v/>
      </c>
      <c r="AW24" s="402">
        <f>MAX(0,-AW23)</f>
        <v/>
      </c>
      <c r="AX24" s="402">
        <f>MAX(0,-AX23)</f>
        <v/>
      </c>
      <c r="AY24" s="402">
        <f>MAX(0,-AY23)</f>
        <v/>
      </c>
      <c r="AZ24" s="402">
        <f>MAX(0,-AZ23)</f>
        <v/>
      </c>
      <c r="BA24" s="402">
        <f>MAX(0,-BA23)</f>
        <v/>
      </c>
      <c r="BB24" s="402">
        <f>MAX(0,-BB23)</f>
        <v/>
      </c>
      <c r="BC24" s="402">
        <f>MAX(0,-BC23)</f>
        <v/>
      </c>
      <c r="BD24" s="402">
        <f>MAX(0,-BD23)</f>
        <v/>
      </c>
      <c r="BE24" s="402">
        <f>MAX(0,-BE23)</f>
        <v/>
      </c>
      <c r="BF24" s="402">
        <f>MAX(0,-BF23)</f>
        <v/>
      </c>
      <c r="BG24" s="402">
        <f>MAX(0,-BG23)</f>
        <v/>
      </c>
      <c r="BH24" s="402">
        <f>MAX(0,-BH23)</f>
        <v/>
      </c>
      <c r="BI24" s="402">
        <f>MAX(0,-BI23)</f>
        <v/>
      </c>
      <c r="BJ24" s="402">
        <f>MAX(0,-BJ23)</f>
        <v/>
      </c>
      <c r="BK24" s="402">
        <f>MAX(0,-BK23)</f>
        <v/>
      </c>
      <c r="BL24" s="402">
        <f>MAX(0,-BL23)</f>
        <v/>
      </c>
      <c r="BM24" s="402">
        <f>MAX(0,-BM23)</f>
        <v/>
      </c>
      <c r="BN24" s="402">
        <f>MAX(0,-BN23)</f>
        <v/>
      </c>
      <c r="BO24" s="402">
        <f>MAX(0,-BO23)</f>
        <v/>
      </c>
      <c r="BP24" s="402">
        <f>MAX(0,-BP23)</f>
        <v/>
      </c>
      <c r="BQ24" s="402">
        <f>MAX(0,-BQ23)</f>
        <v/>
      </c>
      <c r="BR24" s="402">
        <f>MAX(0,-BR23)</f>
        <v/>
      </c>
      <c r="BS24" s="402">
        <f>MAX(0,-BS23)</f>
        <v/>
      </c>
      <c r="BT24" s="402">
        <f>MAX(0,-BT23)</f>
        <v/>
      </c>
      <c r="BU24" s="402">
        <f>MAX(0,-BU23)</f>
        <v/>
      </c>
      <c r="BV24" s="402">
        <f>MAX(0,-BV23)</f>
        <v/>
      </c>
      <c r="BW24" s="402">
        <f>MAX(0,-BW23)</f>
        <v/>
      </c>
      <c r="BX24" s="402">
        <f>MAX(0,-BX23)</f>
        <v/>
      </c>
      <c r="BY24" s="402">
        <f>MAX(0,-BY23)</f>
        <v/>
      </c>
      <c r="BZ24" s="402">
        <f>MAX(0,-BZ23)</f>
        <v/>
      </c>
      <c r="CA24" s="402">
        <f>MAX(0,-CA23)</f>
        <v/>
      </c>
      <c r="CB24" s="402">
        <f>MAX(0,-CB23)</f>
        <v/>
      </c>
      <c r="CC24" s="402">
        <f>MAX(0,-CC23)</f>
        <v/>
      </c>
      <c r="CD24" s="402">
        <f>MAX(0,-CD23)</f>
        <v/>
      </c>
      <c r="CE24" s="402">
        <f>MAX(0,-CE23)</f>
        <v/>
      </c>
      <c r="CF24" s="402">
        <f>MAX(0,-CF23)</f>
        <v/>
      </c>
      <c r="CG24" s="402">
        <f>MAX(0,-CG23)</f>
        <v/>
      </c>
      <c r="CH24" s="402">
        <f>MAX(0,-CH23)</f>
        <v/>
      </c>
      <c r="CI24" s="402">
        <f>MAX(0,-CI23)</f>
        <v/>
      </c>
      <c r="CJ24" s="402">
        <f>MAX(0,-CJ23)</f>
        <v/>
      </c>
      <c r="CK24" s="402">
        <f>MAX(0,-CK23)</f>
        <v/>
      </c>
      <c r="CL24" s="402">
        <f>MAX(0,-CL23)</f>
        <v/>
      </c>
      <c r="CM24" s="402">
        <f>MAX(0,-CM23)</f>
        <v/>
      </c>
      <c r="CN24" s="402">
        <f>MAX(0,-CN23)</f>
        <v/>
      </c>
      <c r="CO24" s="402">
        <f>MAX(0,-CO23)</f>
        <v/>
      </c>
      <c r="CP24" s="402">
        <f>MAX(0,-CP23)</f>
        <v/>
      </c>
      <c r="CQ24" s="402">
        <f>MAX(0,-CQ23)</f>
        <v/>
      </c>
      <c r="CR24" s="402">
        <f>MAX(0,-CR23)</f>
        <v/>
      </c>
      <c r="CS24" s="402">
        <f>MAX(0,-CS23)</f>
        <v/>
      </c>
      <c r="CT24" s="402">
        <f>MAX(0,-CT23)</f>
        <v/>
      </c>
      <c r="CU24" s="402">
        <f>MAX(0,-CU23)</f>
        <v/>
      </c>
      <c r="CV24" s="402">
        <f>MAX(0,-CV23)</f>
        <v/>
      </c>
      <c r="CW24" s="402">
        <f>MAX(0,-CW23)</f>
        <v/>
      </c>
      <c r="CX24" s="402">
        <f>MAX(0,-CX23)</f>
        <v/>
      </c>
      <c r="CY24" s="402">
        <f>MAX(0,-CY23)</f>
        <v/>
      </c>
      <c r="CZ24" s="402">
        <f>MAX(0,-CZ23)</f>
        <v/>
      </c>
      <c r="DA24" s="402">
        <f>MAX(0,-DA23)</f>
        <v/>
      </c>
      <c r="DB24" s="402">
        <f>MAX(0,-DB23)</f>
        <v/>
      </c>
      <c r="DC24" s="402">
        <f>MAX(0,-DC23)</f>
        <v/>
      </c>
      <c r="DD24" s="402">
        <f>MAX(0,-DD23)</f>
        <v/>
      </c>
      <c r="DE24" s="402">
        <f>MAX(0,-DE23)</f>
        <v/>
      </c>
      <c r="DF24" s="402">
        <f>MAX(0,-DF23)</f>
        <v/>
      </c>
      <c r="DG24" s="402">
        <f>MAX(0,-DG23)</f>
        <v/>
      </c>
      <c r="DH24" s="402">
        <f>MAX(0,-DH23)</f>
        <v/>
      </c>
      <c r="DI24" s="402">
        <f>MAX(0,-DI23)</f>
        <v/>
      </c>
      <c r="DJ24" s="402">
        <f>MAX(0,-DJ23)</f>
        <v/>
      </c>
      <c r="DK24" s="402">
        <f>MAX(0,-DK23)</f>
        <v/>
      </c>
      <c r="DL24" s="402">
        <f>MAX(0,-DL23)</f>
        <v/>
      </c>
      <c r="DM24" s="402">
        <f>MAX(0,-DM23)</f>
        <v/>
      </c>
      <c r="DN24" s="402">
        <f>MAX(0,-DN23)</f>
        <v/>
      </c>
      <c r="DO24" s="402">
        <f>MAX(0,-DO23)</f>
        <v/>
      </c>
      <c r="DP24" s="402">
        <f>MAX(0,-DP23)</f>
        <v/>
      </c>
      <c r="DQ24" s="402">
        <f>MAX(0,-DQ23)</f>
        <v/>
      </c>
      <c r="DR24" s="402">
        <f>MAX(0,-DR23)</f>
        <v/>
      </c>
      <c r="DS24" s="402">
        <f>MAX(0,-DS23)</f>
        <v/>
      </c>
      <c r="DT24" s="402">
        <f>MAX(0,-DT23)</f>
        <v/>
      </c>
      <c r="DU24" s="402">
        <f>MAX(0,-DU23)</f>
        <v/>
      </c>
      <c r="DV24" s="402">
        <f>MAX(0,-DV23)</f>
        <v/>
      </c>
      <c r="DW24" s="402">
        <f>MAX(0,-DW23)</f>
        <v/>
      </c>
      <c r="DX24" s="402">
        <f>MAX(0,-DX23)</f>
        <v/>
      </c>
      <c r="DY24" s="402">
        <f>MAX(0,-DY23)</f>
        <v/>
      </c>
      <c r="DZ24" s="402">
        <f>MAX(0,-DZ23)</f>
        <v/>
      </c>
      <c r="EA24" s="402">
        <f>MAX(0,-EA23)</f>
        <v/>
      </c>
      <c r="EB24" s="402">
        <f>MAX(0,-EB23)</f>
        <v/>
      </c>
      <c r="EC24" s="402">
        <f>MAX(0,-EC23)</f>
        <v/>
      </c>
      <c r="ED24" s="402">
        <f>MAX(0,-ED23)</f>
        <v/>
      </c>
      <c r="EE24" s="402">
        <f>MAX(0,-EE23)</f>
        <v/>
      </c>
      <c r="EF24" s="402">
        <f>MAX(0,-EF23)</f>
        <v/>
      </c>
      <c r="EG24" s="402">
        <f>MAX(0,-EG23)</f>
        <v/>
      </c>
      <c r="EH24" s="402">
        <f>MAX(0,-EH23)</f>
        <v/>
      </c>
      <c r="EI24" s="402">
        <f>MAX(0,-EI23)</f>
        <v/>
      </c>
      <c r="EJ24" s="402">
        <f>MAX(0,-EJ23)</f>
        <v/>
      </c>
      <c r="EK24" s="402">
        <f>MAX(0,-EK23)</f>
        <v/>
      </c>
      <c r="EL24" s="402">
        <f>MAX(0,-EL23)</f>
        <v/>
      </c>
      <c r="EM24" s="402">
        <f>MAX(0,-EM23)</f>
        <v/>
      </c>
      <c r="EN24" s="402">
        <f>MAX(0,-EN23)</f>
        <v/>
      </c>
      <c r="EO24" s="402">
        <f>MAX(0,-EO23)</f>
        <v/>
      </c>
      <c r="EP24" s="402">
        <f>MAX(0,-EP23)</f>
        <v/>
      </c>
      <c r="EQ24" s="402">
        <f>MAX(0,-EQ23)</f>
        <v/>
      </c>
      <c r="ER24" s="402">
        <f>MAX(0,-ER23)</f>
        <v/>
      </c>
      <c r="ES24" s="402">
        <f>MAX(0,-ES23)</f>
        <v/>
      </c>
      <c r="ET24" s="402">
        <f>MAX(0,-ET23)</f>
        <v/>
      </c>
      <c r="EU24" s="402">
        <f>MAX(0,-EU23)</f>
        <v/>
      </c>
      <c r="EV24" s="402">
        <f>MAX(0,-EV23)</f>
        <v/>
      </c>
      <c r="EW24" s="402">
        <f>MAX(0,-EW23)</f>
        <v/>
      </c>
      <c r="EX24" s="402">
        <f>MAX(0,-EX23)</f>
        <v/>
      </c>
      <c r="EY24" s="402">
        <f>MAX(0,-EY23)</f>
        <v/>
      </c>
      <c r="EZ24" s="402">
        <f>MAX(0,-EZ23)</f>
        <v/>
      </c>
      <c r="FA24" s="402">
        <f>MAX(0,-FA23)</f>
        <v/>
      </c>
      <c r="FB24" s="402">
        <f>MAX(0,-FB23)</f>
        <v/>
      </c>
      <c r="FC24" s="402">
        <f>MAX(0,-FC23)</f>
        <v/>
      </c>
      <c r="FD24" s="402">
        <f>MAX(0,-FD23)</f>
        <v/>
      </c>
      <c r="FE24" s="402">
        <f>MAX(0,-FE23)</f>
        <v/>
      </c>
      <c r="FF24" s="402">
        <f>MAX(0,-FF23)</f>
        <v/>
      </c>
      <c r="FG24" s="402">
        <f>MAX(0,-FG23)</f>
        <v/>
      </c>
      <c r="FH24" s="402">
        <f>MAX(0,-FH23)</f>
        <v/>
      </c>
      <c r="FI24" s="402">
        <f>MAX(0,-FI23)</f>
        <v/>
      </c>
      <c r="FJ24" s="402">
        <f>MAX(0,-FJ23)</f>
        <v/>
      </c>
      <c r="FK24" s="402">
        <f>MAX(0,-FK23)</f>
        <v/>
      </c>
      <c r="FL24" s="402">
        <f>MAX(0,-FL23)</f>
        <v/>
      </c>
      <c r="FM24" s="402">
        <f>MAX(0,-FM23)</f>
        <v/>
      </c>
      <c r="FN24" s="402">
        <f>MAX(0,-FN23)</f>
        <v/>
      </c>
      <c r="FO24" s="402">
        <f>MAX(0,-FO23)</f>
        <v/>
      </c>
      <c r="FP24" s="402">
        <f>MAX(0,-FP23)</f>
        <v/>
      </c>
      <c r="FQ24" s="402">
        <f>MAX(0,-FQ23)</f>
        <v/>
      </c>
      <c r="FR24" s="402">
        <f>MAX(0,-FR23)</f>
        <v/>
      </c>
      <c r="FS24" s="402">
        <f>MAX(0,-FS23)</f>
        <v/>
      </c>
      <c r="FT24" s="402">
        <f>MAX(0,-FT23)</f>
        <v/>
      </c>
      <c r="FU24" s="402">
        <f>MAX(0,-FU23)</f>
        <v/>
      </c>
      <c r="FV24" s="402">
        <f>MAX(0,-FV23)</f>
        <v/>
      </c>
      <c r="FW24" s="402">
        <f>MAX(0,-FW23)</f>
        <v/>
      </c>
      <c r="FX24" s="402">
        <f>MAX(0,-FX23)</f>
        <v/>
      </c>
      <c r="FY24" s="402">
        <f>MAX(0,-FY23)</f>
        <v/>
      </c>
      <c r="FZ24" s="402">
        <f>MAX(0,-FZ23)</f>
        <v/>
      </c>
      <c r="GA24" s="402">
        <f>MAX(0,-GA23)</f>
        <v/>
      </c>
      <c r="GB24" s="402">
        <f>MAX(0,-GB23)</f>
        <v/>
      </c>
      <c r="GC24" s="402">
        <f>MAX(0,-GC23)</f>
        <v/>
      </c>
      <c r="GD24" s="402">
        <f>MAX(0,-GD23)</f>
        <v/>
      </c>
      <c r="GE24" s="402">
        <f>MAX(0,-GE23)</f>
        <v/>
      </c>
      <c r="GF24" s="402">
        <f>MAX(0,-GF23)</f>
        <v/>
      </c>
      <c r="GG24" s="402">
        <f>MAX(0,-GG23)</f>
        <v/>
      </c>
      <c r="GH24" s="402">
        <f>MAX(0,-GH23)</f>
        <v/>
      </c>
      <c r="GI24" s="402">
        <f>MAX(0,-GI23)</f>
        <v/>
      </c>
      <c r="GJ24" s="402">
        <f>MAX(0,-GJ23)</f>
        <v/>
      </c>
      <c r="GK24" s="402">
        <f>MAX(0,-GK23)</f>
        <v/>
      </c>
      <c r="GL24" s="402">
        <f>MAX(0,-GL23)</f>
        <v/>
      </c>
      <c r="GM24" s="402">
        <f>MAX(0,-GM23)</f>
        <v/>
      </c>
      <c r="GN24" s="402">
        <f>MAX(0,-GN23)</f>
        <v/>
      </c>
      <c r="GO24" s="402">
        <f>MAX(0,-GO23)</f>
        <v/>
      </c>
      <c r="GP24" s="402">
        <f>MAX(0,-GP23)</f>
        <v/>
      </c>
      <c r="GQ24" s="402">
        <f>MAX(0,-GQ23)</f>
        <v/>
      </c>
      <c r="GR24" s="402">
        <f>MAX(0,-GR23)</f>
        <v/>
      </c>
      <c r="GS24" s="402">
        <f>MAX(0,-GS23)</f>
        <v/>
      </c>
      <c r="GT24" s="402">
        <f>MAX(0,-GT23)</f>
        <v/>
      </c>
      <c r="GU24" s="402">
        <f>MAX(0,-GU23)</f>
        <v/>
      </c>
      <c r="GV24" s="402">
        <f>MAX(0,-GV23)</f>
        <v/>
      </c>
      <c r="GW24" s="402">
        <f>MAX(0,-GW23)</f>
        <v/>
      </c>
      <c r="GX24" s="402">
        <f>MAX(0,-GX23)</f>
        <v/>
      </c>
      <c r="GY24" s="402">
        <f>MAX(0,-GY23)</f>
        <v/>
      </c>
      <c r="GZ24" s="402">
        <f>MAX(0,-GZ23)</f>
        <v/>
      </c>
      <c r="HA24" s="402">
        <f>MAX(0,-HA23)</f>
        <v/>
      </c>
      <c r="HB24" s="402">
        <f>MAX(0,-HB23)</f>
        <v/>
      </c>
      <c r="HC24" s="402">
        <f>MAX(0,-HC23)</f>
        <v/>
      </c>
      <c r="HD24" s="402">
        <f>MAX(0,-HD23)</f>
        <v/>
      </c>
      <c r="HE24" s="402">
        <f>MAX(0,-HE23)</f>
        <v/>
      </c>
      <c r="HF24" s="402">
        <f>MAX(0,-HF23)</f>
        <v/>
      </c>
      <c r="HG24" s="402">
        <f>MAX(0,-HG23)</f>
        <v/>
      </c>
      <c r="HH24" s="402">
        <f>MAX(0,-HH23)</f>
        <v/>
      </c>
      <c r="HI24" s="402">
        <f>MAX(0,-HI23)</f>
        <v/>
      </c>
      <c r="HJ24" s="402">
        <f>MAX(0,-HJ23)</f>
        <v/>
      </c>
      <c r="HK24" s="402">
        <f>MAX(0,-HK23)</f>
        <v/>
      </c>
      <c r="HL24" s="402">
        <f>MAX(0,-HL23)</f>
        <v/>
      </c>
      <c r="HM24" s="402">
        <f>MAX(0,-HM23)</f>
        <v/>
      </c>
      <c r="HN24" s="402">
        <f>MAX(0,-HN23)</f>
        <v/>
      </c>
      <c r="HO24" s="402">
        <f>MAX(0,-HO23)</f>
        <v/>
      </c>
      <c r="HP24" s="402">
        <f>MAX(0,-HP23)</f>
        <v/>
      </c>
      <c r="HQ24" s="402">
        <f>MAX(0,-HQ23)</f>
        <v/>
      </c>
      <c r="HR24" s="402">
        <f>MAX(0,-HR23)</f>
        <v/>
      </c>
      <c r="HS24" s="402">
        <f>MAX(0,-HS23)</f>
        <v/>
      </c>
      <c r="HT24" s="402">
        <f>MAX(0,-HT23)</f>
        <v/>
      </c>
      <c r="HU24" s="402">
        <f>MAX(0,-HU23)</f>
        <v/>
      </c>
      <c r="HV24" s="402">
        <f>MAX(0,-HV23)</f>
        <v/>
      </c>
      <c r="HW24" s="402">
        <f>MAX(0,-HW23)</f>
        <v/>
      </c>
      <c r="HX24" s="402">
        <f>MAX(0,-HX23)</f>
        <v/>
      </c>
      <c r="HY24" s="402">
        <f>MAX(0,-HY23)</f>
        <v/>
      </c>
      <c r="HZ24" s="402">
        <f>MAX(0,-HZ23)</f>
        <v/>
      </c>
      <c r="IA24" s="402">
        <f>MAX(0,-IA23)</f>
        <v/>
      </c>
      <c r="IB24" s="402">
        <f>MAX(0,-IB23)</f>
        <v/>
      </c>
      <c r="IC24" s="402">
        <f>MAX(0,-IC23)</f>
        <v/>
      </c>
      <c r="ID24" s="402">
        <f>MAX(0,-ID23)</f>
        <v/>
      </c>
      <c r="IE24" s="402">
        <f>MAX(0,-IE23)</f>
        <v/>
      </c>
      <c r="IF24" s="402">
        <f>MAX(0,-IF23)</f>
        <v/>
      </c>
      <c r="IG24" s="402">
        <f>MAX(0,-IG23)</f>
        <v/>
      </c>
      <c r="IH24" s="402">
        <f>MAX(0,-IH23)</f>
        <v/>
      </c>
      <c r="II24" s="402">
        <f>MAX(0,-II23)</f>
        <v/>
      </c>
      <c r="IJ24" s="402">
        <f>MAX(0,-IJ23)</f>
        <v/>
      </c>
      <c r="IK24" s="402">
        <f>MAX(0,-IK23)</f>
        <v/>
      </c>
      <c r="IL24" s="402">
        <f>MAX(0,-IL23)</f>
        <v/>
      </c>
      <c r="IM24" s="402">
        <f>MAX(0,-IM23)</f>
        <v/>
      </c>
      <c r="IN24" s="402">
        <f>MAX(0,-IN23)</f>
        <v/>
      </c>
      <c r="IO24" s="402">
        <f>MAX(0,-IO23)</f>
        <v/>
      </c>
      <c r="IP24" s="402">
        <f>MAX(0,-IP23)</f>
        <v/>
      </c>
      <c r="IQ24" s="402">
        <f>MAX(0,-IQ23)</f>
        <v/>
      </c>
      <c r="IR24" s="402">
        <f>MAX(0,-IR23)</f>
        <v/>
      </c>
      <c r="IS24" s="402">
        <f>MAX(0,-IS23)</f>
        <v/>
      </c>
      <c r="IT24" s="402">
        <f>MAX(0,-IT23)</f>
        <v/>
      </c>
      <c r="IU24" s="402">
        <f>MAX(0,-IU23)</f>
        <v/>
      </c>
      <c r="IV24" s="402">
        <f>MAX(0,-IV23)</f>
        <v/>
      </c>
      <c r="IW24" s="402">
        <f>MAX(0,-IW23)</f>
        <v/>
      </c>
      <c r="IX24" s="402">
        <f>MAX(0,-IX23)</f>
        <v/>
      </c>
      <c r="IY24" s="402">
        <f>MAX(0,-IY23)</f>
        <v/>
      </c>
      <c r="IZ24" s="402">
        <f>MAX(0,-IZ23)</f>
        <v/>
      </c>
      <c r="JA24" s="402">
        <f>MAX(0,-JA23)</f>
        <v/>
      </c>
      <c r="JB24" s="402">
        <f>MAX(0,-JB23)</f>
        <v/>
      </c>
      <c r="JC24" s="402">
        <f>MAX(0,-JC23)</f>
        <v/>
      </c>
      <c r="JD24" s="402">
        <f>MAX(0,-JD23)</f>
        <v/>
      </c>
      <c r="JE24" s="402">
        <f>MAX(0,-JE23)</f>
        <v/>
      </c>
      <c r="JF24" s="402">
        <f>MAX(0,-JF23)</f>
        <v/>
      </c>
      <c r="JG24" s="402">
        <f>MAX(0,-JG23)</f>
        <v/>
      </c>
      <c r="JH24" s="402">
        <f>MAX(0,-JH23)</f>
        <v/>
      </c>
      <c r="JI24" s="402">
        <f>MAX(0,-JI23)</f>
        <v/>
      </c>
      <c r="JJ24" s="402">
        <f>MAX(0,-JJ23)</f>
        <v/>
      </c>
      <c r="JK24" s="402">
        <f>MAX(0,-JK23)</f>
        <v/>
      </c>
      <c r="JL24" s="402">
        <f>MAX(0,-JL23)</f>
        <v/>
      </c>
      <c r="JM24" s="402">
        <f>MAX(0,-JM23)</f>
        <v/>
      </c>
      <c r="JN24" s="402">
        <f>MAX(0,-JN23)</f>
        <v/>
      </c>
      <c r="JO24" s="402">
        <f>MAX(0,-JO23)</f>
        <v/>
      </c>
      <c r="JP24" s="402">
        <f>MAX(0,-JP23)</f>
        <v/>
      </c>
      <c r="JQ24" s="402">
        <f>MAX(0,-JQ23)</f>
        <v/>
      </c>
      <c r="JR24" s="402">
        <f>MAX(0,-JR23)</f>
        <v/>
      </c>
      <c r="JS24" s="402">
        <f>MAX(0,-JS23)</f>
        <v/>
      </c>
      <c r="JT24" s="402">
        <f>MAX(0,-JT23)</f>
        <v/>
      </c>
      <c r="JU24" s="402">
        <f>MAX(0,-JU23)</f>
        <v/>
      </c>
      <c r="JV24" s="402">
        <f>MAX(0,-JV23)</f>
        <v/>
      </c>
      <c r="JW24" s="402">
        <f>MAX(0,-JW23)</f>
        <v/>
      </c>
      <c r="JX24" s="402">
        <f>MAX(0,-JX23)</f>
        <v/>
      </c>
      <c r="JY24" s="402">
        <f>MAX(0,-JY23)</f>
        <v/>
      </c>
      <c r="JZ24" s="402">
        <f>MAX(0,-JZ23)</f>
        <v/>
      </c>
      <c r="KA24" s="402">
        <f>MAX(0,-KA23)</f>
        <v/>
      </c>
      <c r="KB24" s="402">
        <f>MAX(0,-KB23)</f>
        <v/>
      </c>
      <c r="KC24" s="402">
        <f>MAX(0,-KC23)</f>
        <v/>
      </c>
      <c r="KD24" s="402">
        <f>MAX(0,-KD23)</f>
        <v/>
      </c>
      <c r="KE24" s="402">
        <f>MAX(0,-KE23)</f>
        <v/>
      </c>
      <c r="KF24" s="402">
        <f>MAX(0,-KF23)</f>
        <v/>
      </c>
      <c r="KG24" s="402">
        <f>MAX(0,-KG23)</f>
        <v/>
      </c>
      <c r="KH24" s="402">
        <f>MAX(0,-KH23)</f>
        <v/>
      </c>
      <c r="KI24" s="402">
        <f>MAX(0,-KI23)</f>
        <v/>
      </c>
      <c r="KJ24" s="402">
        <f>MAX(0,-KJ23)</f>
        <v/>
      </c>
      <c r="KK24" s="402">
        <f>MAX(0,-KK23)</f>
        <v/>
      </c>
      <c r="KL24" s="402">
        <f>MAX(0,-KL23)</f>
        <v/>
      </c>
      <c r="KM24" s="402">
        <f>MAX(0,-KM23)</f>
        <v/>
      </c>
      <c r="KN24" s="402">
        <f>MAX(0,-KN23)</f>
        <v/>
      </c>
      <c r="KO24" s="402">
        <f>MAX(0,-KO23)</f>
        <v/>
      </c>
      <c r="KP24" s="402">
        <f>MAX(0,-KP23)</f>
        <v/>
      </c>
      <c r="KQ24" s="402">
        <f>MAX(0,-KQ23)</f>
        <v/>
      </c>
      <c r="KR24" s="402">
        <f>MAX(0,-KR23)</f>
        <v/>
      </c>
      <c r="KS24" s="402">
        <f>MAX(0,-KS23)</f>
        <v/>
      </c>
      <c r="KT24" s="402">
        <f>MAX(0,-KT23)</f>
        <v/>
      </c>
      <c r="KU24" s="402">
        <f>MAX(0,-KU23)</f>
        <v/>
      </c>
      <c r="KV24" s="402">
        <f>MAX(0,-KV23)</f>
        <v/>
      </c>
      <c r="KW24" s="402">
        <f>MAX(0,-KW23)</f>
        <v/>
      </c>
      <c r="KX24" s="402">
        <f>MAX(0,-KX23)</f>
        <v/>
      </c>
      <c r="KY24" s="402">
        <f>MAX(0,-KY23)</f>
        <v/>
      </c>
      <c r="KZ24" s="402">
        <f>MAX(0,-KZ23)</f>
        <v/>
      </c>
      <c r="LA24" s="402">
        <f>MAX(0,-LA23)</f>
        <v/>
      </c>
      <c r="LB24" s="402">
        <f>MAX(0,-LB23)</f>
        <v/>
      </c>
      <c r="LC24" s="402">
        <f>MAX(0,-LC23)</f>
        <v/>
      </c>
      <c r="LD24" s="402">
        <f>MAX(0,-LD23)</f>
        <v/>
      </c>
      <c r="LE24" s="402">
        <f>MAX(0,-LE23)</f>
        <v/>
      </c>
      <c r="LF24" s="402">
        <f>MAX(0,-LF23)</f>
        <v/>
      </c>
      <c r="LG24" s="402">
        <f>MAX(0,-LG23)</f>
        <v/>
      </c>
      <c r="LH24" s="402">
        <f>MAX(0,-LH23)</f>
        <v/>
      </c>
      <c r="LI24" s="402">
        <f>MAX(0,-LI23)</f>
        <v/>
      </c>
      <c r="LJ24" s="402">
        <f>MAX(0,-LJ23)</f>
        <v/>
      </c>
      <c r="LK24" s="402">
        <f>MAX(0,-LK23)</f>
        <v/>
      </c>
      <c r="LL24" s="402">
        <f>MAX(0,-LL23)</f>
        <v/>
      </c>
      <c r="LM24" s="402">
        <f>MAX(0,-LM23)</f>
        <v/>
      </c>
      <c r="LN24" s="402">
        <f>MAX(0,-LN23)</f>
        <v/>
      </c>
      <c r="LO24" s="402">
        <f>MAX(0,-LO23)</f>
        <v/>
      </c>
      <c r="LP24" s="402">
        <f>MAX(0,-LP23)</f>
        <v/>
      </c>
      <c r="LQ24" s="402">
        <f>MAX(0,-LQ23)</f>
        <v/>
      </c>
      <c r="LR24" s="402">
        <f>MAX(0,-LR23)</f>
        <v/>
      </c>
      <c r="LS24" s="402">
        <f>MAX(0,-LS23)</f>
        <v/>
      </c>
      <c r="LT24" s="402">
        <f>MAX(0,-LT23)</f>
        <v/>
      </c>
      <c r="LU24" s="402">
        <f>MAX(0,-LU23)</f>
        <v/>
      </c>
      <c r="LV24" s="402">
        <f>MAX(0,-LV23)</f>
        <v/>
      </c>
      <c r="LW24" s="402">
        <f>MAX(0,-LW23)</f>
        <v/>
      </c>
      <c r="LX24" s="402">
        <f>MAX(0,-LX23)</f>
        <v/>
      </c>
      <c r="LY24" s="402">
        <f>MAX(0,-LY23)</f>
        <v/>
      </c>
      <c r="LZ24" s="402">
        <f>MAX(0,-LZ23)</f>
        <v/>
      </c>
      <c r="MA24" s="402">
        <f>MAX(0,-MA23)</f>
        <v/>
      </c>
      <c r="MB24" s="402">
        <f>MAX(0,-MB23)</f>
        <v/>
      </c>
      <c r="MC24" s="402">
        <f>MAX(0,-MC23)</f>
        <v/>
      </c>
      <c r="MD24" s="402">
        <f>MAX(0,-MD23)</f>
        <v/>
      </c>
      <c r="ME24" s="402">
        <f>MAX(0,-ME23)</f>
        <v/>
      </c>
      <c r="MF24" s="402">
        <f>MAX(0,-MF23)</f>
        <v/>
      </c>
      <c r="MG24" s="402">
        <f>MAX(0,-MG23)</f>
        <v/>
      </c>
      <c r="MH24" s="402">
        <f>MAX(0,-MH23)</f>
        <v/>
      </c>
      <c r="MI24" s="402">
        <f>MAX(0,-MI23)</f>
        <v/>
      </c>
      <c r="MJ24" s="402">
        <f>MAX(0,-MJ23)</f>
        <v/>
      </c>
      <c r="MK24" s="402">
        <f>MAX(0,-MK23)</f>
        <v/>
      </c>
      <c r="ML24" s="402">
        <f>MAX(0,-ML23)</f>
        <v/>
      </c>
      <c r="MM24" s="402">
        <f>MAX(0,-MM23)</f>
        <v/>
      </c>
      <c r="MN24" s="402">
        <f>MAX(0,-MN23)</f>
        <v/>
      </c>
      <c r="MO24" s="402">
        <f>MAX(0,-MO23)</f>
        <v/>
      </c>
      <c r="MP24" s="402">
        <f>MAX(0,-MP23)</f>
        <v/>
      </c>
      <c r="MQ24" s="402">
        <f>MAX(0,-MQ23)</f>
        <v/>
      </c>
      <c r="MR24" s="402">
        <f>MAX(0,-MR23)</f>
        <v/>
      </c>
      <c r="MS24" s="402">
        <f>MAX(0,-MS23)</f>
        <v/>
      </c>
      <c r="MT24" s="402">
        <f>MAX(0,-MT23)</f>
        <v/>
      </c>
      <c r="MU24" s="402">
        <f>MAX(0,-MU23)</f>
        <v/>
      </c>
      <c r="MV24" s="402">
        <f>MAX(0,-MV23)</f>
        <v/>
      </c>
      <c r="MW24" s="402">
        <f>MAX(0,-MW23)</f>
        <v/>
      </c>
      <c r="MX24" s="402">
        <f>MAX(0,-MX23)</f>
        <v/>
      </c>
      <c r="MY24" s="402">
        <f>MAX(0,-MY23)</f>
        <v/>
      </c>
      <c r="MZ24" s="402">
        <f>MAX(0,-MZ23)</f>
        <v/>
      </c>
      <c r="NA24" s="402">
        <f>MAX(0,-NA23)</f>
        <v/>
      </c>
      <c r="NB24" s="402">
        <f>MAX(0,-NB23)</f>
        <v/>
      </c>
      <c r="NC24" s="402">
        <f>MAX(0,-NC23)</f>
        <v/>
      </c>
      <c r="ND24" s="402">
        <f>MAX(0,-ND23)</f>
        <v/>
      </c>
      <c r="NE24" s="402">
        <f>MAX(0,-NE23)</f>
        <v/>
      </c>
      <c r="NF24" s="402">
        <f>MAX(0,-NF23)</f>
        <v/>
      </c>
      <c r="NG24" s="402">
        <f>MAX(0,-NG23)</f>
        <v/>
      </c>
      <c r="NH24" s="402">
        <f>MAX(0,-NH23)</f>
        <v/>
      </c>
      <c r="NI24" s="402">
        <f>MAX(0,-NI23)</f>
        <v/>
      </c>
      <c r="NJ24" s="402">
        <f>MAX(0,-NJ23)</f>
        <v/>
      </c>
      <c r="NK24" s="402">
        <f>MAX(0,-NK23)</f>
        <v/>
      </c>
      <c r="NL24" s="402">
        <f>MAX(0,-NL23)</f>
        <v/>
      </c>
    </row>
    <row r="25">
      <c r="B25" s="316" t="inlineStr">
        <is>
          <t>Cash Available to Distribute</t>
        </is>
      </c>
      <c r="D25" s="402">
        <f>SUM(E25:NL25)</f>
        <v/>
      </c>
      <c r="E25" s="402">
        <f>MAX(0,E23)</f>
        <v/>
      </c>
      <c r="F25" s="402">
        <f>MAX(0,F23)</f>
        <v/>
      </c>
      <c r="G25" s="402">
        <f>MAX(0,G23)</f>
        <v/>
      </c>
      <c r="H25" s="402">
        <f>MAX(0,H23)</f>
        <v/>
      </c>
      <c r="I25" s="402">
        <f>MAX(0,I23)</f>
        <v/>
      </c>
      <c r="J25" s="402">
        <f>MAX(0,J23)</f>
        <v/>
      </c>
      <c r="K25" s="402">
        <f>MAX(0,K23)</f>
        <v/>
      </c>
      <c r="L25" s="402">
        <f>MAX(0,L23)</f>
        <v/>
      </c>
      <c r="M25" s="402">
        <f>MAX(0,M23)</f>
        <v/>
      </c>
      <c r="N25" s="402">
        <f>MAX(0,N23)</f>
        <v/>
      </c>
      <c r="O25" s="402">
        <f>MAX(0,O23)</f>
        <v/>
      </c>
      <c r="P25" s="402">
        <f>MAX(0,P23)</f>
        <v/>
      </c>
      <c r="Q25" s="402">
        <f>MAX(0,Q23)</f>
        <v/>
      </c>
      <c r="R25" s="402">
        <f>MAX(0,R23)</f>
        <v/>
      </c>
      <c r="S25" s="402">
        <f>MAX(0,S23)</f>
        <v/>
      </c>
      <c r="T25" s="402">
        <f>MAX(0,T23)</f>
        <v/>
      </c>
      <c r="U25" s="402">
        <f>MAX(0,U23)</f>
        <v/>
      </c>
      <c r="V25" s="402">
        <f>MAX(0,V23)</f>
        <v/>
      </c>
      <c r="W25" s="402">
        <f>MAX(0,W23)</f>
        <v/>
      </c>
      <c r="X25" s="402">
        <f>MAX(0,X23)</f>
        <v/>
      </c>
      <c r="Y25" s="402">
        <f>MAX(0,Y23)</f>
        <v/>
      </c>
      <c r="Z25" s="402">
        <f>MAX(0,Z23)</f>
        <v/>
      </c>
      <c r="AA25" s="402">
        <f>MAX(0,AA23)</f>
        <v/>
      </c>
      <c r="AB25" s="402">
        <f>MAX(0,AB23)</f>
        <v/>
      </c>
      <c r="AC25" s="402">
        <f>MAX(0,AC23)</f>
        <v/>
      </c>
      <c r="AD25" s="402">
        <f>MAX(0,AD23)</f>
        <v/>
      </c>
      <c r="AE25" s="402">
        <f>MAX(0,AE23)</f>
        <v/>
      </c>
      <c r="AF25" s="402">
        <f>MAX(0,AF23)</f>
        <v/>
      </c>
      <c r="AG25" s="402">
        <f>MAX(0,AG23)</f>
        <v/>
      </c>
      <c r="AH25" s="402">
        <f>MAX(0,AH23)</f>
        <v/>
      </c>
      <c r="AI25" s="402">
        <f>MAX(0,AI23)</f>
        <v/>
      </c>
      <c r="AJ25" s="402">
        <f>MAX(0,AJ23)</f>
        <v/>
      </c>
      <c r="AK25" s="402">
        <f>MAX(0,AK23)</f>
        <v/>
      </c>
      <c r="AL25" s="402">
        <f>MAX(0,AL23)</f>
        <v/>
      </c>
      <c r="AM25" s="402">
        <f>MAX(0,AM23)</f>
        <v/>
      </c>
      <c r="AN25" s="402">
        <f>MAX(0,AN23)</f>
        <v/>
      </c>
      <c r="AO25" s="402">
        <f>MAX(0,AO23)</f>
        <v/>
      </c>
      <c r="AP25" s="402">
        <f>MAX(0,AP23)</f>
        <v/>
      </c>
      <c r="AQ25" s="402">
        <f>MAX(0,AQ23)</f>
        <v/>
      </c>
      <c r="AR25" s="402">
        <f>MAX(0,AR23)</f>
        <v/>
      </c>
      <c r="AS25" s="402">
        <f>MAX(0,AS23)</f>
        <v/>
      </c>
      <c r="AT25" s="402">
        <f>MAX(0,AT23)</f>
        <v/>
      </c>
      <c r="AU25" s="402">
        <f>MAX(0,AU23)</f>
        <v/>
      </c>
      <c r="AV25" s="402">
        <f>MAX(0,AV23)</f>
        <v/>
      </c>
      <c r="AW25" s="402">
        <f>MAX(0,AW23)</f>
        <v/>
      </c>
      <c r="AX25" s="402">
        <f>MAX(0,AX23)</f>
        <v/>
      </c>
      <c r="AY25" s="402">
        <f>MAX(0,AY23)</f>
        <v/>
      </c>
      <c r="AZ25" s="402">
        <f>MAX(0,AZ23)</f>
        <v/>
      </c>
      <c r="BA25" s="402">
        <f>MAX(0,BA23)</f>
        <v/>
      </c>
      <c r="BB25" s="402">
        <f>MAX(0,BB23)</f>
        <v/>
      </c>
      <c r="BC25" s="402">
        <f>MAX(0,BC23)</f>
        <v/>
      </c>
      <c r="BD25" s="402">
        <f>MAX(0,BD23)</f>
        <v/>
      </c>
      <c r="BE25" s="402">
        <f>MAX(0,BE23)</f>
        <v/>
      </c>
      <c r="BF25" s="402">
        <f>MAX(0,BF23)</f>
        <v/>
      </c>
      <c r="BG25" s="402">
        <f>MAX(0,BG23)</f>
        <v/>
      </c>
      <c r="BH25" s="402">
        <f>MAX(0,BH23)</f>
        <v/>
      </c>
      <c r="BI25" s="402">
        <f>MAX(0,BI23)</f>
        <v/>
      </c>
      <c r="BJ25" s="402">
        <f>MAX(0,BJ23)</f>
        <v/>
      </c>
      <c r="BK25" s="402">
        <f>MAX(0,BK23)</f>
        <v/>
      </c>
      <c r="BL25" s="402">
        <f>MAX(0,BL23)</f>
        <v/>
      </c>
      <c r="BM25" s="402">
        <f>MAX(0,BM23)</f>
        <v/>
      </c>
      <c r="BN25" s="402">
        <f>MAX(0,BN23)</f>
        <v/>
      </c>
      <c r="BO25" s="402">
        <f>MAX(0,BO23)</f>
        <v/>
      </c>
      <c r="BP25" s="402">
        <f>MAX(0,BP23)</f>
        <v/>
      </c>
      <c r="BQ25" s="402">
        <f>MAX(0,BQ23)</f>
        <v/>
      </c>
      <c r="BR25" s="402">
        <f>MAX(0,BR23)</f>
        <v/>
      </c>
      <c r="BS25" s="402">
        <f>MAX(0,BS23)</f>
        <v/>
      </c>
      <c r="BT25" s="402">
        <f>MAX(0,BT23)</f>
        <v/>
      </c>
      <c r="BU25" s="402">
        <f>MAX(0,BU23)</f>
        <v/>
      </c>
      <c r="BV25" s="402">
        <f>MAX(0,BV23)</f>
        <v/>
      </c>
      <c r="BW25" s="402">
        <f>MAX(0,BW23)</f>
        <v/>
      </c>
      <c r="BX25" s="402">
        <f>MAX(0,BX23)</f>
        <v/>
      </c>
      <c r="BY25" s="402">
        <f>MAX(0,BY23)</f>
        <v/>
      </c>
      <c r="BZ25" s="402">
        <f>MAX(0,BZ23)</f>
        <v/>
      </c>
      <c r="CA25" s="402">
        <f>MAX(0,CA23)</f>
        <v/>
      </c>
      <c r="CB25" s="402">
        <f>MAX(0,CB23)</f>
        <v/>
      </c>
      <c r="CC25" s="402">
        <f>MAX(0,CC23)</f>
        <v/>
      </c>
      <c r="CD25" s="402">
        <f>MAX(0,CD23)</f>
        <v/>
      </c>
      <c r="CE25" s="402">
        <f>MAX(0,CE23)</f>
        <v/>
      </c>
      <c r="CF25" s="402">
        <f>MAX(0,CF23)</f>
        <v/>
      </c>
      <c r="CG25" s="402">
        <f>MAX(0,CG23)</f>
        <v/>
      </c>
      <c r="CH25" s="402">
        <f>MAX(0,CH23)</f>
        <v/>
      </c>
      <c r="CI25" s="402">
        <f>MAX(0,CI23)</f>
        <v/>
      </c>
      <c r="CJ25" s="402">
        <f>MAX(0,CJ23)</f>
        <v/>
      </c>
      <c r="CK25" s="402">
        <f>MAX(0,CK23)</f>
        <v/>
      </c>
      <c r="CL25" s="402">
        <f>MAX(0,CL23)</f>
        <v/>
      </c>
      <c r="CM25" s="402">
        <f>MAX(0,CM23)</f>
        <v/>
      </c>
      <c r="CN25" s="402">
        <f>MAX(0,CN23)</f>
        <v/>
      </c>
      <c r="CO25" s="402">
        <f>MAX(0,CO23)</f>
        <v/>
      </c>
      <c r="CP25" s="402">
        <f>MAX(0,CP23)</f>
        <v/>
      </c>
      <c r="CQ25" s="402">
        <f>MAX(0,CQ23)</f>
        <v/>
      </c>
      <c r="CR25" s="402">
        <f>MAX(0,CR23)</f>
        <v/>
      </c>
      <c r="CS25" s="402">
        <f>MAX(0,CS23)</f>
        <v/>
      </c>
      <c r="CT25" s="402">
        <f>MAX(0,CT23)</f>
        <v/>
      </c>
      <c r="CU25" s="402">
        <f>MAX(0,CU23)</f>
        <v/>
      </c>
      <c r="CV25" s="402">
        <f>MAX(0,CV23)</f>
        <v/>
      </c>
      <c r="CW25" s="402">
        <f>MAX(0,CW23)</f>
        <v/>
      </c>
      <c r="CX25" s="402">
        <f>MAX(0,CX23)</f>
        <v/>
      </c>
      <c r="CY25" s="402">
        <f>MAX(0,CY23)</f>
        <v/>
      </c>
      <c r="CZ25" s="402">
        <f>MAX(0,CZ23)</f>
        <v/>
      </c>
      <c r="DA25" s="402">
        <f>MAX(0,DA23)</f>
        <v/>
      </c>
      <c r="DB25" s="402">
        <f>MAX(0,DB23)</f>
        <v/>
      </c>
      <c r="DC25" s="402">
        <f>MAX(0,DC23)</f>
        <v/>
      </c>
      <c r="DD25" s="402">
        <f>MAX(0,DD23)</f>
        <v/>
      </c>
      <c r="DE25" s="402">
        <f>MAX(0,DE23)</f>
        <v/>
      </c>
      <c r="DF25" s="402">
        <f>MAX(0,DF23)</f>
        <v/>
      </c>
      <c r="DG25" s="402">
        <f>MAX(0,DG23)</f>
        <v/>
      </c>
      <c r="DH25" s="402">
        <f>MAX(0,DH23)</f>
        <v/>
      </c>
      <c r="DI25" s="402">
        <f>MAX(0,DI23)</f>
        <v/>
      </c>
      <c r="DJ25" s="402">
        <f>MAX(0,DJ23)</f>
        <v/>
      </c>
      <c r="DK25" s="402">
        <f>MAX(0,DK23)</f>
        <v/>
      </c>
      <c r="DL25" s="402">
        <f>MAX(0,DL23)</f>
        <v/>
      </c>
      <c r="DM25" s="402">
        <f>MAX(0,DM23)</f>
        <v/>
      </c>
      <c r="DN25" s="402">
        <f>MAX(0,DN23)</f>
        <v/>
      </c>
      <c r="DO25" s="402">
        <f>MAX(0,DO23)</f>
        <v/>
      </c>
      <c r="DP25" s="402">
        <f>MAX(0,DP23)</f>
        <v/>
      </c>
      <c r="DQ25" s="402">
        <f>MAX(0,DQ23)</f>
        <v/>
      </c>
      <c r="DR25" s="402">
        <f>MAX(0,DR23)</f>
        <v/>
      </c>
      <c r="DS25" s="402">
        <f>MAX(0,DS23)</f>
        <v/>
      </c>
      <c r="DT25" s="402">
        <f>MAX(0,DT23)</f>
        <v/>
      </c>
      <c r="DU25" s="402">
        <f>MAX(0,DU23)</f>
        <v/>
      </c>
      <c r="DV25" s="402">
        <f>MAX(0,DV23)</f>
        <v/>
      </c>
      <c r="DW25" s="402">
        <f>MAX(0,DW23)</f>
        <v/>
      </c>
      <c r="DX25" s="402">
        <f>MAX(0,DX23)</f>
        <v/>
      </c>
      <c r="DY25" s="402">
        <f>MAX(0,DY23)</f>
        <v/>
      </c>
      <c r="DZ25" s="402">
        <f>MAX(0,DZ23)</f>
        <v/>
      </c>
      <c r="EA25" s="402">
        <f>MAX(0,EA23)</f>
        <v/>
      </c>
      <c r="EB25" s="402">
        <f>MAX(0,EB23)</f>
        <v/>
      </c>
      <c r="EC25" s="402">
        <f>MAX(0,EC23)</f>
        <v/>
      </c>
      <c r="ED25" s="402">
        <f>MAX(0,ED23)</f>
        <v/>
      </c>
      <c r="EE25" s="402">
        <f>MAX(0,EE23)</f>
        <v/>
      </c>
      <c r="EF25" s="402">
        <f>MAX(0,EF23)</f>
        <v/>
      </c>
      <c r="EG25" s="402">
        <f>MAX(0,EG23)</f>
        <v/>
      </c>
      <c r="EH25" s="402">
        <f>MAX(0,EH23)</f>
        <v/>
      </c>
      <c r="EI25" s="402">
        <f>MAX(0,EI23)</f>
        <v/>
      </c>
      <c r="EJ25" s="402">
        <f>MAX(0,EJ23)</f>
        <v/>
      </c>
      <c r="EK25" s="402">
        <f>MAX(0,EK23)</f>
        <v/>
      </c>
      <c r="EL25" s="402">
        <f>MAX(0,EL23)</f>
        <v/>
      </c>
      <c r="EM25" s="402">
        <f>MAX(0,EM23)</f>
        <v/>
      </c>
      <c r="EN25" s="402">
        <f>MAX(0,EN23)</f>
        <v/>
      </c>
      <c r="EO25" s="402">
        <f>MAX(0,EO23)</f>
        <v/>
      </c>
      <c r="EP25" s="402">
        <f>MAX(0,EP23)</f>
        <v/>
      </c>
      <c r="EQ25" s="402">
        <f>MAX(0,EQ23)</f>
        <v/>
      </c>
      <c r="ER25" s="402">
        <f>MAX(0,ER23)</f>
        <v/>
      </c>
      <c r="ES25" s="402">
        <f>MAX(0,ES23)</f>
        <v/>
      </c>
      <c r="ET25" s="402">
        <f>MAX(0,ET23)</f>
        <v/>
      </c>
      <c r="EU25" s="402">
        <f>MAX(0,EU23)</f>
        <v/>
      </c>
      <c r="EV25" s="402">
        <f>MAX(0,EV23)</f>
        <v/>
      </c>
      <c r="EW25" s="402">
        <f>MAX(0,EW23)</f>
        <v/>
      </c>
      <c r="EX25" s="402">
        <f>MAX(0,EX23)</f>
        <v/>
      </c>
      <c r="EY25" s="402">
        <f>MAX(0,EY23)</f>
        <v/>
      </c>
      <c r="EZ25" s="402">
        <f>MAX(0,EZ23)</f>
        <v/>
      </c>
      <c r="FA25" s="402">
        <f>MAX(0,FA23)</f>
        <v/>
      </c>
      <c r="FB25" s="402">
        <f>MAX(0,FB23)</f>
        <v/>
      </c>
      <c r="FC25" s="402">
        <f>MAX(0,FC23)</f>
        <v/>
      </c>
      <c r="FD25" s="402">
        <f>MAX(0,FD23)</f>
        <v/>
      </c>
      <c r="FE25" s="402">
        <f>MAX(0,FE23)</f>
        <v/>
      </c>
      <c r="FF25" s="402">
        <f>MAX(0,FF23)</f>
        <v/>
      </c>
      <c r="FG25" s="402">
        <f>MAX(0,FG23)</f>
        <v/>
      </c>
      <c r="FH25" s="402">
        <f>MAX(0,FH23)</f>
        <v/>
      </c>
      <c r="FI25" s="402">
        <f>MAX(0,FI23)</f>
        <v/>
      </c>
      <c r="FJ25" s="402">
        <f>MAX(0,FJ23)</f>
        <v/>
      </c>
      <c r="FK25" s="402">
        <f>MAX(0,FK23)</f>
        <v/>
      </c>
      <c r="FL25" s="402">
        <f>MAX(0,FL23)</f>
        <v/>
      </c>
      <c r="FM25" s="402">
        <f>MAX(0,FM23)</f>
        <v/>
      </c>
      <c r="FN25" s="402">
        <f>MAX(0,FN23)</f>
        <v/>
      </c>
      <c r="FO25" s="402">
        <f>MAX(0,FO23)</f>
        <v/>
      </c>
      <c r="FP25" s="402">
        <f>MAX(0,FP23)</f>
        <v/>
      </c>
      <c r="FQ25" s="402">
        <f>MAX(0,FQ23)</f>
        <v/>
      </c>
      <c r="FR25" s="402">
        <f>MAX(0,FR23)</f>
        <v/>
      </c>
      <c r="FS25" s="402">
        <f>MAX(0,FS23)</f>
        <v/>
      </c>
      <c r="FT25" s="402">
        <f>MAX(0,FT23)</f>
        <v/>
      </c>
      <c r="FU25" s="402">
        <f>MAX(0,FU23)</f>
        <v/>
      </c>
      <c r="FV25" s="402">
        <f>MAX(0,FV23)</f>
        <v/>
      </c>
      <c r="FW25" s="402">
        <f>MAX(0,FW23)</f>
        <v/>
      </c>
      <c r="FX25" s="402">
        <f>MAX(0,FX23)</f>
        <v/>
      </c>
      <c r="FY25" s="402">
        <f>MAX(0,FY23)</f>
        <v/>
      </c>
      <c r="FZ25" s="402">
        <f>MAX(0,FZ23)</f>
        <v/>
      </c>
      <c r="GA25" s="402">
        <f>MAX(0,GA23)</f>
        <v/>
      </c>
      <c r="GB25" s="402">
        <f>MAX(0,GB23)</f>
        <v/>
      </c>
      <c r="GC25" s="402">
        <f>MAX(0,GC23)</f>
        <v/>
      </c>
      <c r="GD25" s="402">
        <f>MAX(0,GD23)</f>
        <v/>
      </c>
      <c r="GE25" s="402">
        <f>MAX(0,GE23)</f>
        <v/>
      </c>
      <c r="GF25" s="402">
        <f>MAX(0,GF23)</f>
        <v/>
      </c>
      <c r="GG25" s="402">
        <f>MAX(0,GG23)</f>
        <v/>
      </c>
      <c r="GH25" s="402">
        <f>MAX(0,GH23)</f>
        <v/>
      </c>
      <c r="GI25" s="402">
        <f>MAX(0,GI23)</f>
        <v/>
      </c>
      <c r="GJ25" s="402">
        <f>MAX(0,GJ23)</f>
        <v/>
      </c>
      <c r="GK25" s="402">
        <f>MAX(0,GK23)</f>
        <v/>
      </c>
      <c r="GL25" s="402">
        <f>MAX(0,GL23)</f>
        <v/>
      </c>
      <c r="GM25" s="402">
        <f>MAX(0,GM23)</f>
        <v/>
      </c>
      <c r="GN25" s="402">
        <f>MAX(0,GN23)</f>
        <v/>
      </c>
      <c r="GO25" s="402">
        <f>MAX(0,GO23)</f>
        <v/>
      </c>
      <c r="GP25" s="402">
        <f>MAX(0,GP23)</f>
        <v/>
      </c>
      <c r="GQ25" s="402">
        <f>MAX(0,GQ23)</f>
        <v/>
      </c>
      <c r="GR25" s="402">
        <f>MAX(0,GR23)</f>
        <v/>
      </c>
      <c r="GS25" s="402">
        <f>MAX(0,GS23)</f>
        <v/>
      </c>
      <c r="GT25" s="402">
        <f>MAX(0,GT23)</f>
        <v/>
      </c>
      <c r="GU25" s="402">
        <f>MAX(0,GU23)</f>
        <v/>
      </c>
      <c r="GV25" s="402">
        <f>MAX(0,GV23)</f>
        <v/>
      </c>
      <c r="GW25" s="402">
        <f>MAX(0,GW23)</f>
        <v/>
      </c>
      <c r="GX25" s="402">
        <f>MAX(0,GX23)</f>
        <v/>
      </c>
      <c r="GY25" s="402">
        <f>MAX(0,GY23)</f>
        <v/>
      </c>
      <c r="GZ25" s="402">
        <f>MAX(0,GZ23)</f>
        <v/>
      </c>
      <c r="HA25" s="402">
        <f>MAX(0,HA23)</f>
        <v/>
      </c>
      <c r="HB25" s="402">
        <f>MAX(0,HB23)</f>
        <v/>
      </c>
      <c r="HC25" s="402">
        <f>MAX(0,HC23)</f>
        <v/>
      </c>
      <c r="HD25" s="402">
        <f>MAX(0,HD23)</f>
        <v/>
      </c>
      <c r="HE25" s="402">
        <f>MAX(0,HE23)</f>
        <v/>
      </c>
      <c r="HF25" s="402">
        <f>MAX(0,HF23)</f>
        <v/>
      </c>
      <c r="HG25" s="402">
        <f>MAX(0,HG23)</f>
        <v/>
      </c>
      <c r="HH25" s="402">
        <f>MAX(0,HH23)</f>
        <v/>
      </c>
      <c r="HI25" s="402">
        <f>MAX(0,HI23)</f>
        <v/>
      </c>
      <c r="HJ25" s="402">
        <f>MAX(0,HJ23)</f>
        <v/>
      </c>
      <c r="HK25" s="402">
        <f>MAX(0,HK23)</f>
        <v/>
      </c>
      <c r="HL25" s="402">
        <f>MAX(0,HL23)</f>
        <v/>
      </c>
      <c r="HM25" s="402">
        <f>MAX(0,HM23)</f>
        <v/>
      </c>
      <c r="HN25" s="402">
        <f>MAX(0,HN23)</f>
        <v/>
      </c>
      <c r="HO25" s="402">
        <f>MAX(0,HO23)</f>
        <v/>
      </c>
      <c r="HP25" s="402">
        <f>MAX(0,HP23)</f>
        <v/>
      </c>
      <c r="HQ25" s="402">
        <f>MAX(0,HQ23)</f>
        <v/>
      </c>
      <c r="HR25" s="402">
        <f>MAX(0,HR23)</f>
        <v/>
      </c>
      <c r="HS25" s="402">
        <f>MAX(0,HS23)</f>
        <v/>
      </c>
      <c r="HT25" s="402">
        <f>MAX(0,HT23)</f>
        <v/>
      </c>
      <c r="HU25" s="402">
        <f>MAX(0,HU23)</f>
        <v/>
      </c>
      <c r="HV25" s="402">
        <f>MAX(0,HV23)</f>
        <v/>
      </c>
      <c r="HW25" s="402">
        <f>MAX(0,HW23)</f>
        <v/>
      </c>
      <c r="HX25" s="402">
        <f>MAX(0,HX23)</f>
        <v/>
      </c>
      <c r="HY25" s="402">
        <f>MAX(0,HY23)</f>
        <v/>
      </c>
      <c r="HZ25" s="402">
        <f>MAX(0,HZ23)</f>
        <v/>
      </c>
      <c r="IA25" s="402">
        <f>MAX(0,IA23)</f>
        <v/>
      </c>
      <c r="IB25" s="402">
        <f>MAX(0,IB23)</f>
        <v/>
      </c>
      <c r="IC25" s="402">
        <f>MAX(0,IC23)</f>
        <v/>
      </c>
      <c r="ID25" s="402">
        <f>MAX(0,ID23)</f>
        <v/>
      </c>
      <c r="IE25" s="402">
        <f>MAX(0,IE23)</f>
        <v/>
      </c>
      <c r="IF25" s="402">
        <f>MAX(0,IF23)</f>
        <v/>
      </c>
      <c r="IG25" s="402">
        <f>MAX(0,IG23)</f>
        <v/>
      </c>
      <c r="IH25" s="402">
        <f>MAX(0,IH23)</f>
        <v/>
      </c>
      <c r="II25" s="402">
        <f>MAX(0,II23)</f>
        <v/>
      </c>
      <c r="IJ25" s="402">
        <f>MAX(0,IJ23)</f>
        <v/>
      </c>
      <c r="IK25" s="402">
        <f>MAX(0,IK23)</f>
        <v/>
      </c>
      <c r="IL25" s="402">
        <f>MAX(0,IL23)</f>
        <v/>
      </c>
      <c r="IM25" s="402">
        <f>MAX(0,IM23)</f>
        <v/>
      </c>
      <c r="IN25" s="402">
        <f>MAX(0,IN23)</f>
        <v/>
      </c>
      <c r="IO25" s="402">
        <f>MAX(0,IO23)</f>
        <v/>
      </c>
      <c r="IP25" s="402">
        <f>MAX(0,IP23)</f>
        <v/>
      </c>
      <c r="IQ25" s="402">
        <f>MAX(0,IQ23)</f>
        <v/>
      </c>
      <c r="IR25" s="402">
        <f>MAX(0,IR23)</f>
        <v/>
      </c>
      <c r="IS25" s="402">
        <f>MAX(0,IS23)</f>
        <v/>
      </c>
      <c r="IT25" s="402">
        <f>MAX(0,IT23)</f>
        <v/>
      </c>
      <c r="IU25" s="402">
        <f>MAX(0,IU23)</f>
        <v/>
      </c>
      <c r="IV25" s="402">
        <f>MAX(0,IV23)</f>
        <v/>
      </c>
      <c r="IW25" s="402">
        <f>MAX(0,IW23)</f>
        <v/>
      </c>
      <c r="IX25" s="402">
        <f>MAX(0,IX23)</f>
        <v/>
      </c>
      <c r="IY25" s="402">
        <f>MAX(0,IY23)</f>
        <v/>
      </c>
      <c r="IZ25" s="402">
        <f>MAX(0,IZ23)</f>
        <v/>
      </c>
      <c r="JA25" s="402">
        <f>MAX(0,JA23)</f>
        <v/>
      </c>
      <c r="JB25" s="402">
        <f>MAX(0,JB23)</f>
        <v/>
      </c>
      <c r="JC25" s="402">
        <f>MAX(0,JC23)</f>
        <v/>
      </c>
      <c r="JD25" s="402">
        <f>MAX(0,JD23)</f>
        <v/>
      </c>
      <c r="JE25" s="402">
        <f>MAX(0,JE23)</f>
        <v/>
      </c>
      <c r="JF25" s="402">
        <f>MAX(0,JF23)</f>
        <v/>
      </c>
      <c r="JG25" s="402">
        <f>MAX(0,JG23)</f>
        <v/>
      </c>
      <c r="JH25" s="402">
        <f>MAX(0,JH23)</f>
        <v/>
      </c>
      <c r="JI25" s="402">
        <f>MAX(0,JI23)</f>
        <v/>
      </c>
      <c r="JJ25" s="402">
        <f>MAX(0,JJ23)</f>
        <v/>
      </c>
      <c r="JK25" s="402">
        <f>MAX(0,JK23)</f>
        <v/>
      </c>
      <c r="JL25" s="402">
        <f>MAX(0,JL23)</f>
        <v/>
      </c>
      <c r="JM25" s="402">
        <f>MAX(0,JM23)</f>
        <v/>
      </c>
      <c r="JN25" s="402">
        <f>MAX(0,JN23)</f>
        <v/>
      </c>
      <c r="JO25" s="402">
        <f>MAX(0,JO23)</f>
        <v/>
      </c>
      <c r="JP25" s="402">
        <f>MAX(0,JP23)</f>
        <v/>
      </c>
      <c r="JQ25" s="402">
        <f>MAX(0,JQ23)</f>
        <v/>
      </c>
      <c r="JR25" s="402">
        <f>MAX(0,JR23)</f>
        <v/>
      </c>
      <c r="JS25" s="402">
        <f>MAX(0,JS23)</f>
        <v/>
      </c>
      <c r="JT25" s="402">
        <f>MAX(0,JT23)</f>
        <v/>
      </c>
      <c r="JU25" s="402">
        <f>MAX(0,JU23)</f>
        <v/>
      </c>
      <c r="JV25" s="402">
        <f>MAX(0,JV23)</f>
        <v/>
      </c>
      <c r="JW25" s="402">
        <f>MAX(0,JW23)</f>
        <v/>
      </c>
      <c r="JX25" s="402">
        <f>MAX(0,JX23)</f>
        <v/>
      </c>
      <c r="JY25" s="402">
        <f>MAX(0,JY23)</f>
        <v/>
      </c>
      <c r="JZ25" s="402">
        <f>MAX(0,JZ23)</f>
        <v/>
      </c>
      <c r="KA25" s="402">
        <f>MAX(0,KA23)</f>
        <v/>
      </c>
      <c r="KB25" s="402">
        <f>MAX(0,KB23)</f>
        <v/>
      </c>
      <c r="KC25" s="402">
        <f>MAX(0,KC23)</f>
        <v/>
      </c>
      <c r="KD25" s="402">
        <f>MAX(0,KD23)</f>
        <v/>
      </c>
      <c r="KE25" s="402">
        <f>MAX(0,KE23)</f>
        <v/>
      </c>
      <c r="KF25" s="402">
        <f>MAX(0,KF23)</f>
        <v/>
      </c>
      <c r="KG25" s="402">
        <f>MAX(0,KG23)</f>
        <v/>
      </c>
      <c r="KH25" s="402">
        <f>MAX(0,KH23)</f>
        <v/>
      </c>
      <c r="KI25" s="402">
        <f>MAX(0,KI23)</f>
        <v/>
      </c>
      <c r="KJ25" s="402">
        <f>MAX(0,KJ23)</f>
        <v/>
      </c>
      <c r="KK25" s="402">
        <f>MAX(0,KK23)</f>
        <v/>
      </c>
      <c r="KL25" s="402">
        <f>MAX(0,KL23)</f>
        <v/>
      </c>
      <c r="KM25" s="402">
        <f>MAX(0,KM23)</f>
        <v/>
      </c>
      <c r="KN25" s="402">
        <f>MAX(0,KN23)</f>
        <v/>
      </c>
      <c r="KO25" s="402">
        <f>MAX(0,KO23)</f>
        <v/>
      </c>
      <c r="KP25" s="402">
        <f>MAX(0,KP23)</f>
        <v/>
      </c>
      <c r="KQ25" s="402">
        <f>MAX(0,KQ23)</f>
        <v/>
      </c>
      <c r="KR25" s="402">
        <f>MAX(0,KR23)</f>
        <v/>
      </c>
      <c r="KS25" s="402">
        <f>MAX(0,KS23)</f>
        <v/>
      </c>
      <c r="KT25" s="402">
        <f>MAX(0,KT23)</f>
        <v/>
      </c>
      <c r="KU25" s="402">
        <f>MAX(0,KU23)</f>
        <v/>
      </c>
      <c r="KV25" s="402">
        <f>MAX(0,KV23)</f>
        <v/>
      </c>
      <c r="KW25" s="402">
        <f>MAX(0,KW23)</f>
        <v/>
      </c>
      <c r="KX25" s="402">
        <f>MAX(0,KX23)</f>
        <v/>
      </c>
      <c r="KY25" s="402">
        <f>MAX(0,KY23)</f>
        <v/>
      </c>
      <c r="KZ25" s="402">
        <f>MAX(0,KZ23)</f>
        <v/>
      </c>
      <c r="LA25" s="402">
        <f>MAX(0,LA23)</f>
        <v/>
      </c>
      <c r="LB25" s="402">
        <f>MAX(0,LB23)</f>
        <v/>
      </c>
      <c r="LC25" s="402">
        <f>MAX(0,LC23)</f>
        <v/>
      </c>
      <c r="LD25" s="402">
        <f>MAX(0,LD23)</f>
        <v/>
      </c>
      <c r="LE25" s="402">
        <f>MAX(0,LE23)</f>
        <v/>
      </c>
      <c r="LF25" s="402">
        <f>MAX(0,LF23)</f>
        <v/>
      </c>
      <c r="LG25" s="402">
        <f>MAX(0,LG23)</f>
        <v/>
      </c>
      <c r="LH25" s="402">
        <f>MAX(0,LH23)</f>
        <v/>
      </c>
      <c r="LI25" s="402">
        <f>MAX(0,LI23)</f>
        <v/>
      </c>
      <c r="LJ25" s="402">
        <f>MAX(0,LJ23)</f>
        <v/>
      </c>
      <c r="LK25" s="402">
        <f>MAX(0,LK23)</f>
        <v/>
      </c>
      <c r="LL25" s="402">
        <f>MAX(0,LL23)</f>
        <v/>
      </c>
      <c r="LM25" s="402">
        <f>MAX(0,LM23)</f>
        <v/>
      </c>
      <c r="LN25" s="402">
        <f>MAX(0,LN23)</f>
        <v/>
      </c>
      <c r="LO25" s="402">
        <f>MAX(0,LO23)</f>
        <v/>
      </c>
      <c r="LP25" s="402">
        <f>MAX(0,LP23)</f>
        <v/>
      </c>
      <c r="LQ25" s="402">
        <f>MAX(0,LQ23)</f>
        <v/>
      </c>
      <c r="LR25" s="402">
        <f>MAX(0,LR23)</f>
        <v/>
      </c>
      <c r="LS25" s="402">
        <f>MAX(0,LS23)</f>
        <v/>
      </c>
      <c r="LT25" s="402">
        <f>MAX(0,LT23)</f>
        <v/>
      </c>
      <c r="LU25" s="402">
        <f>MAX(0,LU23)</f>
        <v/>
      </c>
      <c r="LV25" s="402">
        <f>MAX(0,LV23)</f>
        <v/>
      </c>
      <c r="LW25" s="402">
        <f>MAX(0,LW23)</f>
        <v/>
      </c>
      <c r="LX25" s="402">
        <f>MAX(0,LX23)</f>
        <v/>
      </c>
      <c r="LY25" s="402">
        <f>MAX(0,LY23)</f>
        <v/>
      </c>
      <c r="LZ25" s="402">
        <f>MAX(0,LZ23)</f>
        <v/>
      </c>
      <c r="MA25" s="402">
        <f>MAX(0,MA23)</f>
        <v/>
      </c>
      <c r="MB25" s="402">
        <f>MAX(0,MB23)</f>
        <v/>
      </c>
      <c r="MC25" s="402">
        <f>MAX(0,MC23)</f>
        <v/>
      </c>
      <c r="MD25" s="402">
        <f>MAX(0,MD23)</f>
        <v/>
      </c>
      <c r="ME25" s="402">
        <f>MAX(0,ME23)</f>
        <v/>
      </c>
      <c r="MF25" s="402">
        <f>MAX(0,MF23)</f>
        <v/>
      </c>
      <c r="MG25" s="402">
        <f>MAX(0,MG23)</f>
        <v/>
      </c>
      <c r="MH25" s="402">
        <f>MAX(0,MH23)</f>
        <v/>
      </c>
      <c r="MI25" s="402">
        <f>MAX(0,MI23)</f>
        <v/>
      </c>
      <c r="MJ25" s="402">
        <f>MAX(0,MJ23)</f>
        <v/>
      </c>
      <c r="MK25" s="402">
        <f>MAX(0,MK23)</f>
        <v/>
      </c>
      <c r="ML25" s="402">
        <f>MAX(0,ML23)</f>
        <v/>
      </c>
      <c r="MM25" s="402">
        <f>MAX(0,MM23)</f>
        <v/>
      </c>
      <c r="MN25" s="402">
        <f>MAX(0,MN23)</f>
        <v/>
      </c>
      <c r="MO25" s="402">
        <f>MAX(0,MO23)</f>
        <v/>
      </c>
      <c r="MP25" s="402">
        <f>MAX(0,MP23)</f>
        <v/>
      </c>
      <c r="MQ25" s="402">
        <f>MAX(0,MQ23)</f>
        <v/>
      </c>
      <c r="MR25" s="402">
        <f>MAX(0,MR23)</f>
        <v/>
      </c>
      <c r="MS25" s="402">
        <f>MAX(0,MS23)</f>
        <v/>
      </c>
      <c r="MT25" s="402">
        <f>MAX(0,MT23)</f>
        <v/>
      </c>
      <c r="MU25" s="402">
        <f>MAX(0,MU23)</f>
        <v/>
      </c>
      <c r="MV25" s="402">
        <f>MAX(0,MV23)</f>
        <v/>
      </c>
      <c r="MW25" s="402">
        <f>MAX(0,MW23)</f>
        <v/>
      </c>
      <c r="MX25" s="402">
        <f>MAX(0,MX23)</f>
        <v/>
      </c>
      <c r="MY25" s="402">
        <f>MAX(0,MY23)</f>
        <v/>
      </c>
      <c r="MZ25" s="402">
        <f>MAX(0,MZ23)</f>
        <v/>
      </c>
      <c r="NA25" s="402">
        <f>MAX(0,NA23)</f>
        <v/>
      </c>
      <c r="NB25" s="402">
        <f>MAX(0,NB23)</f>
        <v/>
      </c>
      <c r="NC25" s="402">
        <f>MAX(0,NC23)</f>
        <v/>
      </c>
      <c r="ND25" s="402">
        <f>MAX(0,ND23)</f>
        <v/>
      </c>
      <c r="NE25" s="402">
        <f>MAX(0,NE23)</f>
        <v/>
      </c>
      <c r="NF25" s="402">
        <f>MAX(0,NF23)</f>
        <v/>
      </c>
      <c r="NG25" s="402">
        <f>MAX(0,NG23)</f>
        <v/>
      </c>
      <c r="NH25" s="402">
        <f>MAX(0,NH23)</f>
        <v/>
      </c>
      <c r="NI25" s="402">
        <f>MAX(0,NI23)</f>
        <v/>
      </c>
      <c r="NJ25" s="402">
        <f>MAX(0,NJ23)</f>
        <v/>
      </c>
      <c r="NK25" s="402">
        <f>MAX(0,NK23)</f>
        <v/>
      </c>
      <c r="NL25" s="402">
        <f>MAX(0,NL23)</f>
        <v/>
      </c>
    </row>
    <row r="26">
      <c r="B26" s="384" t="inlineStr">
        <is>
          <t>Hurdle Accruals (cumulative capital at hurdle)</t>
        </is>
      </c>
      <c r="D26" s="401" t="inlineStr"/>
      <c r="E26" s="155" t="n"/>
      <c r="F26" s="155" t="n"/>
      <c r="G26" s="155" t="n"/>
      <c r="H26" s="155" t="n"/>
      <c r="I26" s="155" t="n"/>
      <c r="J26" s="155" t="n"/>
      <c r="K26" s="155" t="n"/>
      <c r="L26" s="155" t="n"/>
      <c r="M26" s="155" t="n"/>
      <c r="N26" s="155" t="n"/>
      <c r="O26" s="155" t="n"/>
      <c r="P26" s="155" t="n"/>
      <c r="Q26" s="155" t="n"/>
      <c r="R26" s="155" t="n"/>
      <c r="S26" s="155" t="n"/>
      <c r="T26" s="155" t="n"/>
      <c r="U26" s="155" t="n"/>
      <c r="V26" s="155" t="n"/>
      <c r="W26" s="155" t="n"/>
      <c r="X26" s="155" t="n"/>
      <c r="Y26" s="155" t="n"/>
      <c r="Z26" s="155" t="n"/>
      <c r="AA26" s="155" t="n"/>
      <c r="AB26" s="155" t="n"/>
      <c r="AC26" s="155" t="n"/>
      <c r="AD26" s="155" t="n"/>
      <c r="AE26" s="155" t="n"/>
      <c r="AF26" s="155" t="n"/>
      <c r="AG26" s="155" t="n"/>
      <c r="AH26" s="155" t="n"/>
      <c r="AI26" s="155" t="n"/>
      <c r="AJ26" s="155" t="n"/>
      <c r="AK26" s="155" t="n"/>
      <c r="AL26" s="155" t="n"/>
      <c r="AM26" s="155" t="n"/>
      <c r="AN26" s="155" t="n"/>
      <c r="AO26" s="155" t="n"/>
      <c r="AP26" s="155" t="n"/>
      <c r="AQ26" s="155" t="n"/>
      <c r="AR26" s="155" t="n"/>
      <c r="AS26" s="155" t="n"/>
      <c r="AT26" s="155" t="n"/>
      <c r="AU26" s="155" t="n"/>
      <c r="AV26" s="155" t="n"/>
      <c r="AW26" s="155" t="n"/>
      <c r="AX26" s="155" t="n"/>
      <c r="AY26" s="155" t="n"/>
      <c r="AZ26" s="155" t="n"/>
      <c r="BA26" s="155" t="n"/>
      <c r="BB26" s="155" t="n"/>
      <c r="BC26" s="155" t="n"/>
      <c r="BD26" s="155" t="n"/>
      <c r="BE26" s="155" t="n"/>
      <c r="BF26" s="155" t="n"/>
      <c r="BG26" s="155" t="n"/>
      <c r="BH26" s="155" t="n"/>
      <c r="BI26" s="155" t="n"/>
      <c r="BJ26" s="155" t="n"/>
      <c r="BK26" s="155" t="n"/>
      <c r="BL26" s="155" t="n"/>
      <c r="BM26" s="155" t="n"/>
      <c r="BN26" s="155" t="n"/>
      <c r="BO26" s="155" t="n"/>
      <c r="BP26" s="155" t="n"/>
      <c r="BQ26" s="155" t="n"/>
      <c r="BR26" s="155" t="n"/>
      <c r="BS26" s="155" t="n"/>
      <c r="BT26" s="155" t="n"/>
      <c r="BU26" s="155" t="n"/>
      <c r="BV26" s="155" t="n"/>
      <c r="BW26" s="155" t="n"/>
      <c r="BX26" s="155" t="n"/>
      <c r="BY26" s="155" t="n"/>
      <c r="BZ26" s="155" t="n"/>
      <c r="CA26" s="155" t="n"/>
      <c r="CB26" s="155" t="n"/>
      <c r="CC26" s="155" t="n"/>
      <c r="CD26" s="155" t="n"/>
      <c r="CE26" s="155" t="n"/>
      <c r="CF26" s="155" t="n"/>
      <c r="CG26" s="155" t="n"/>
      <c r="CH26" s="155" t="n"/>
      <c r="CI26" s="155" t="n"/>
      <c r="CJ26" s="155" t="n"/>
      <c r="CK26" s="155" t="n"/>
      <c r="CL26" s="155" t="n"/>
      <c r="CM26" s="155" t="n"/>
      <c r="CN26" s="155" t="n"/>
      <c r="CO26" s="155" t="n"/>
      <c r="CP26" s="155" t="n"/>
      <c r="CQ26" s="155" t="n"/>
      <c r="CR26" s="155" t="n"/>
      <c r="CS26" s="155" t="n"/>
      <c r="CT26" s="155" t="n"/>
      <c r="CU26" s="155" t="n"/>
      <c r="CV26" s="155" t="n"/>
      <c r="CW26" s="155" t="n"/>
      <c r="CX26" s="155" t="n"/>
      <c r="CY26" s="155" t="n"/>
      <c r="CZ26" s="155" t="n"/>
      <c r="DA26" s="155" t="n"/>
      <c r="DB26" s="155" t="n"/>
      <c r="DC26" s="155" t="n"/>
      <c r="DD26" s="155" t="n"/>
      <c r="DE26" s="155" t="n"/>
      <c r="DF26" s="155" t="n"/>
      <c r="DG26" s="155" t="n"/>
      <c r="DH26" s="155" t="n"/>
      <c r="DI26" s="155" t="n"/>
      <c r="DJ26" s="155" t="n"/>
      <c r="DK26" s="155" t="n"/>
      <c r="DL26" s="155" t="n"/>
      <c r="DM26" s="155" t="n"/>
      <c r="DN26" s="155" t="n"/>
      <c r="DO26" s="155" t="n"/>
      <c r="DP26" s="155" t="n"/>
      <c r="DQ26" s="155" t="n"/>
      <c r="DR26" s="155" t="n"/>
      <c r="DS26" s="155" t="n"/>
      <c r="DT26" s="155" t="n"/>
      <c r="DU26" s="155" t="n"/>
      <c r="DV26" s="155" t="n"/>
      <c r="DW26" s="155" t="n"/>
      <c r="DX26" s="155" t="n"/>
      <c r="DY26" s="155" t="n"/>
      <c r="DZ26" s="155" t="n"/>
      <c r="EA26" s="155" t="n"/>
      <c r="EB26" s="155" t="n"/>
      <c r="EC26" s="155" t="n"/>
      <c r="ED26" s="155" t="n"/>
      <c r="EE26" s="155" t="n"/>
      <c r="EF26" s="155" t="n"/>
      <c r="EG26" s="155" t="n"/>
      <c r="EH26" s="155" t="n"/>
      <c r="EI26" s="155" t="n"/>
      <c r="EJ26" s="155" t="n"/>
      <c r="EK26" s="155" t="n"/>
      <c r="EL26" s="155" t="n"/>
      <c r="EM26" s="155" t="n"/>
      <c r="EN26" s="155" t="n"/>
      <c r="EO26" s="155" t="n"/>
      <c r="EP26" s="155" t="n"/>
      <c r="EQ26" s="155" t="n"/>
      <c r="ER26" s="155" t="n"/>
      <c r="ES26" s="155" t="n"/>
      <c r="ET26" s="155" t="n"/>
      <c r="EU26" s="155" t="n"/>
      <c r="EV26" s="155" t="n"/>
      <c r="EW26" s="155" t="n"/>
      <c r="EX26" s="155" t="n"/>
      <c r="EY26" s="155" t="n"/>
      <c r="EZ26" s="155" t="n"/>
      <c r="FA26" s="155" t="n"/>
      <c r="FB26" s="155" t="n"/>
      <c r="FC26" s="155" t="n"/>
      <c r="FD26" s="155" t="n"/>
      <c r="FE26" s="155" t="n"/>
      <c r="FF26" s="155" t="n"/>
      <c r="FG26" s="155" t="n"/>
      <c r="FH26" s="155" t="n"/>
      <c r="FI26" s="155" t="n"/>
      <c r="FJ26" s="155" t="n"/>
      <c r="FK26" s="155" t="n"/>
      <c r="FL26" s="155" t="n"/>
      <c r="FM26" s="155" t="n"/>
      <c r="FN26" s="155" t="n"/>
      <c r="FO26" s="155" t="n"/>
      <c r="FP26" s="155" t="n"/>
      <c r="FQ26" s="155" t="n"/>
      <c r="FR26" s="155" t="n"/>
      <c r="FS26" s="155" t="n"/>
      <c r="FT26" s="155" t="n"/>
      <c r="FU26" s="155" t="n"/>
      <c r="FV26" s="155" t="n"/>
      <c r="FW26" s="155" t="n"/>
      <c r="FX26" s="155" t="n"/>
      <c r="FY26" s="155" t="n"/>
      <c r="FZ26" s="155" t="n"/>
      <c r="GA26" s="155" t="n"/>
      <c r="GB26" s="155" t="n"/>
      <c r="GC26" s="155" t="n"/>
      <c r="GD26" s="155" t="n"/>
      <c r="GE26" s="155" t="n"/>
      <c r="GF26" s="155" t="n"/>
      <c r="GG26" s="155" t="n"/>
      <c r="GH26" s="155" t="n"/>
      <c r="GI26" s="155" t="n"/>
      <c r="GJ26" s="155" t="n"/>
      <c r="GK26" s="155" t="n"/>
      <c r="GL26" s="155" t="n"/>
      <c r="GM26" s="155" t="n"/>
      <c r="GN26" s="155" t="n"/>
      <c r="GO26" s="155" t="n"/>
      <c r="GP26" s="155" t="n"/>
      <c r="GQ26" s="155" t="n"/>
      <c r="GR26" s="155" t="n"/>
      <c r="GS26" s="155" t="n"/>
      <c r="GT26" s="155" t="n"/>
      <c r="GU26" s="155" t="n"/>
      <c r="GV26" s="155" t="n"/>
      <c r="GW26" s="155" t="n"/>
      <c r="GX26" s="155" t="n"/>
      <c r="GY26" s="155" t="n"/>
      <c r="GZ26" s="155" t="n"/>
      <c r="HA26" s="155" t="n"/>
      <c r="HB26" s="155" t="n"/>
      <c r="HC26" s="155" t="n"/>
      <c r="HD26" s="155" t="n"/>
      <c r="HE26" s="155" t="n"/>
      <c r="HF26" s="155" t="n"/>
      <c r="HG26" s="155" t="n"/>
      <c r="HH26" s="155" t="n"/>
      <c r="HI26" s="155" t="n"/>
      <c r="HJ26" s="155" t="n"/>
      <c r="HK26" s="155" t="n"/>
      <c r="HL26" s="155" t="n"/>
      <c r="HM26" s="155" t="n"/>
      <c r="HN26" s="155" t="n"/>
      <c r="HO26" s="155" t="n"/>
      <c r="HP26" s="155" t="n"/>
      <c r="HQ26" s="155" t="n"/>
      <c r="HR26" s="155" t="n"/>
      <c r="HS26" s="155" t="n"/>
      <c r="HT26" s="155" t="n"/>
      <c r="HU26" s="155" t="n"/>
      <c r="HV26" s="155" t="n"/>
      <c r="HW26" s="155" t="n"/>
      <c r="HX26" s="155" t="n"/>
      <c r="HY26" s="155" t="n"/>
      <c r="HZ26" s="155" t="n"/>
      <c r="IA26" s="155" t="n"/>
      <c r="IB26" s="155" t="n"/>
      <c r="IC26" s="155" t="n"/>
      <c r="ID26" s="155" t="n"/>
      <c r="IE26" s="155" t="n"/>
      <c r="IF26" s="155" t="n"/>
      <c r="IG26" s="155" t="n"/>
      <c r="IH26" s="155" t="n"/>
      <c r="II26" s="155" t="n"/>
      <c r="IJ26" s="155" t="n"/>
      <c r="IK26" s="155" t="n"/>
      <c r="IL26" s="155" t="n"/>
      <c r="IM26" s="155" t="n"/>
      <c r="IN26" s="155" t="n"/>
      <c r="IO26" s="155" t="n"/>
      <c r="IP26" s="155" t="n"/>
      <c r="IQ26" s="155" t="n"/>
      <c r="IR26" s="155" t="n"/>
      <c r="IS26" s="155" t="n"/>
      <c r="IT26" s="155" t="n"/>
      <c r="IU26" s="155" t="n"/>
      <c r="IV26" s="155" t="n"/>
      <c r="IW26" s="155" t="n"/>
      <c r="IX26" s="155" t="n"/>
      <c r="IY26" s="155" t="n"/>
      <c r="IZ26" s="155" t="n"/>
      <c r="JA26" s="155" t="n"/>
      <c r="JB26" s="155" t="n"/>
      <c r="JC26" s="155" t="n"/>
      <c r="JD26" s="155" t="n"/>
      <c r="JE26" s="155" t="n"/>
      <c r="JF26" s="155" t="n"/>
      <c r="JG26" s="155" t="n"/>
      <c r="JH26" s="155" t="n"/>
      <c r="JI26" s="155" t="n"/>
      <c r="JJ26" s="155" t="n"/>
      <c r="JK26" s="155" t="n"/>
      <c r="JL26" s="155" t="n"/>
      <c r="JM26" s="155" t="n"/>
      <c r="JN26" s="155" t="n"/>
      <c r="JO26" s="155" t="n"/>
      <c r="JP26" s="155" t="n"/>
      <c r="JQ26" s="155" t="n"/>
      <c r="JR26" s="155" t="n"/>
      <c r="JS26" s="155" t="n"/>
      <c r="JT26" s="155" t="n"/>
      <c r="JU26" s="155" t="n"/>
      <c r="JV26" s="155" t="n"/>
      <c r="JW26" s="155" t="n"/>
      <c r="JX26" s="155" t="n"/>
      <c r="JY26" s="155" t="n"/>
      <c r="JZ26" s="155" t="n"/>
      <c r="KA26" s="155" t="n"/>
      <c r="KB26" s="155" t="n"/>
      <c r="KC26" s="155" t="n"/>
      <c r="KD26" s="155" t="n"/>
      <c r="KE26" s="155" t="n"/>
      <c r="KF26" s="155" t="n"/>
      <c r="KG26" s="155" t="n"/>
      <c r="KH26" s="155" t="n"/>
      <c r="KI26" s="155" t="n"/>
      <c r="KJ26" s="155" t="n"/>
      <c r="KK26" s="155" t="n"/>
      <c r="KL26" s="155" t="n"/>
      <c r="KM26" s="155" t="n"/>
      <c r="KN26" s="155" t="n"/>
      <c r="KO26" s="155" t="n"/>
      <c r="KP26" s="155" t="n"/>
      <c r="KQ26" s="155" t="n"/>
      <c r="KR26" s="155" t="n"/>
      <c r="KS26" s="155" t="n"/>
      <c r="KT26" s="155" t="n"/>
      <c r="KU26" s="155" t="n"/>
      <c r="KV26" s="155" t="n"/>
      <c r="KW26" s="155" t="n"/>
      <c r="KX26" s="155" t="n"/>
      <c r="KY26" s="155" t="n"/>
      <c r="KZ26" s="155" t="n"/>
      <c r="LA26" s="155" t="n"/>
      <c r="LB26" s="155" t="n"/>
      <c r="LC26" s="155" t="n"/>
      <c r="LD26" s="155" t="n"/>
      <c r="LE26" s="155" t="n"/>
      <c r="LF26" s="155" t="n"/>
      <c r="LG26" s="155" t="n"/>
      <c r="LH26" s="155" t="n"/>
      <c r="LI26" s="155" t="n"/>
      <c r="LJ26" s="155" t="n"/>
      <c r="LK26" s="155" t="n"/>
      <c r="LL26" s="155" t="n"/>
      <c r="LM26" s="155" t="n"/>
      <c r="LN26" s="155" t="n"/>
      <c r="LO26" s="155" t="n"/>
      <c r="LP26" s="155" t="n"/>
      <c r="LQ26" s="155" t="n"/>
      <c r="LR26" s="155" t="n"/>
      <c r="LS26" s="155" t="n"/>
      <c r="LT26" s="155" t="n"/>
      <c r="LU26" s="155" t="n"/>
      <c r="LV26" s="155" t="n"/>
      <c r="LW26" s="155" t="n"/>
      <c r="LX26" s="155" t="n"/>
      <c r="LY26" s="155" t="n"/>
      <c r="LZ26" s="155" t="n"/>
      <c r="MA26" s="155" t="n"/>
      <c r="MB26" s="155" t="n"/>
      <c r="MC26" s="155" t="n"/>
      <c r="MD26" s="155" t="n"/>
      <c r="ME26" s="155" t="n"/>
      <c r="MF26" s="155" t="n"/>
      <c r="MG26" s="155" t="n"/>
      <c r="MH26" s="155" t="n"/>
      <c r="MI26" s="155" t="n"/>
      <c r="MJ26" s="155" t="n"/>
      <c r="MK26" s="155" t="n"/>
      <c r="ML26" s="155" t="n"/>
      <c r="MM26" s="155" t="n"/>
      <c r="MN26" s="155" t="n"/>
      <c r="MO26" s="155" t="n"/>
      <c r="MP26" s="155" t="n"/>
      <c r="MQ26" s="155" t="n"/>
      <c r="MR26" s="155" t="n"/>
      <c r="MS26" s="155" t="n"/>
      <c r="MT26" s="155" t="n"/>
      <c r="MU26" s="155" t="n"/>
      <c r="MV26" s="155" t="n"/>
      <c r="MW26" s="155" t="n"/>
      <c r="MX26" s="155" t="n"/>
      <c r="MY26" s="155" t="n"/>
      <c r="MZ26" s="155" t="n"/>
      <c r="NA26" s="155" t="n"/>
      <c r="NB26" s="155" t="n"/>
      <c r="NC26" s="155" t="n"/>
      <c r="ND26" s="155" t="n"/>
      <c r="NE26" s="155" t="n"/>
      <c r="NF26" s="155" t="n"/>
      <c r="NG26" s="155" t="n"/>
      <c r="NH26" s="155" t="n"/>
      <c r="NI26" s="155" t="n"/>
      <c r="NJ26" s="155" t="n"/>
      <c r="NK26" s="155" t="n"/>
      <c r="NL26" s="155" t="n"/>
    </row>
    <row r="27">
      <c r="B27" s="316" t="inlineStr">
        <is>
          <t>Accrued @ Preferred</t>
        </is>
      </c>
      <c r="D27" s="402">
        <f>INDEX(E27:NL27,HoldPeriodMonths)</f>
        <v/>
      </c>
      <c r="E27" s="402">
        <f>0*(1+PrefReturn)^(1/12)+E24</f>
        <v/>
      </c>
      <c r="F27" s="402">
        <f>E27*(1+PrefReturn)^(1/12)+F24</f>
        <v/>
      </c>
      <c r="G27" s="402">
        <f>F27*(1+PrefReturn)^(1/12)+G24</f>
        <v/>
      </c>
      <c r="H27" s="402">
        <f>G27*(1+PrefReturn)^(1/12)+H24</f>
        <v/>
      </c>
      <c r="I27" s="402">
        <f>H27*(1+PrefReturn)^(1/12)+I24</f>
        <v/>
      </c>
      <c r="J27" s="402">
        <f>I27*(1+PrefReturn)^(1/12)+J24</f>
        <v/>
      </c>
      <c r="K27" s="402">
        <f>J27*(1+PrefReturn)^(1/12)+K24</f>
        <v/>
      </c>
      <c r="L27" s="402">
        <f>K27*(1+PrefReturn)^(1/12)+L24</f>
        <v/>
      </c>
      <c r="M27" s="402">
        <f>L27*(1+PrefReturn)^(1/12)+M24</f>
        <v/>
      </c>
      <c r="N27" s="402">
        <f>M27*(1+PrefReturn)^(1/12)+N24</f>
        <v/>
      </c>
      <c r="O27" s="402">
        <f>N27*(1+PrefReturn)^(1/12)+O24</f>
        <v/>
      </c>
      <c r="P27" s="402">
        <f>O27*(1+PrefReturn)^(1/12)+P24</f>
        <v/>
      </c>
      <c r="Q27" s="402">
        <f>P27*(1+PrefReturn)^(1/12)+Q24</f>
        <v/>
      </c>
      <c r="R27" s="402">
        <f>Q27*(1+PrefReturn)^(1/12)+R24</f>
        <v/>
      </c>
      <c r="S27" s="402">
        <f>R27*(1+PrefReturn)^(1/12)+S24</f>
        <v/>
      </c>
      <c r="T27" s="402">
        <f>S27*(1+PrefReturn)^(1/12)+T24</f>
        <v/>
      </c>
      <c r="U27" s="402">
        <f>T27*(1+PrefReturn)^(1/12)+U24</f>
        <v/>
      </c>
      <c r="V27" s="402">
        <f>U27*(1+PrefReturn)^(1/12)+V24</f>
        <v/>
      </c>
      <c r="W27" s="402">
        <f>V27*(1+PrefReturn)^(1/12)+W24</f>
        <v/>
      </c>
      <c r="X27" s="402">
        <f>W27*(1+PrefReturn)^(1/12)+X24</f>
        <v/>
      </c>
      <c r="Y27" s="402">
        <f>X27*(1+PrefReturn)^(1/12)+Y24</f>
        <v/>
      </c>
      <c r="Z27" s="402">
        <f>Y27*(1+PrefReturn)^(1/12)+Z24</f>
        <v/>
      </c>
      <c r="AA27" s="402">
        <f>Z27*(1+PrefReturn)^(1/12)+AA24</f>
        <v/>
      </c>
      <c r="AB27" s="402">
        <f>AA27*(1+PrefReturn)^(1/12)+AB24</f>
        <v/>
      </c>
      <c r="AC27" s="402">
        <f>AB27*(1+PrefReturn)^(1/12)+AC24</f>
        <v/>
      </c>
      <c r="AD27" s="402">
        <f>AC27*(1+PrefReturn)^(1/12)+AD24</f>
        <v/>
      </c>
      <c r="AE27" s="402">
        <f>AD27*(1+PrefReturn)^(1/12)+AE24</f>
        <v/>
      </c>
      <c r="AF27" s="402">
        <f>AE27*(1+PrefReturn)^(1/12)+AF24</f>
        <v/>
      </c>
      <c r="AG27" s="402">
        <f>AF27*(1+PrefReturn)^(1/12)+AG24</f>
        <v/>
      </c>
      <c r="AH27" s="402">
        <f>AG27*(1+PrefReturn)^(1/12)+AH24</f>
        <v/>
      </c>
      <c r="AI27" s="402">
        <f>AH27*(1+PrefReturn)^(1/12)+AI24</f>
        <v/>
      </c>
      <c r="AJ27" s="402">
        <f>AI27*(1+PrefReturn)^(1/12)+AJ24</f>
        <v/>
      </c>
      <c r="AK27" s="402">
        <f>AJ27*(1+PrefReturn)^(1/12)+AK24</f>
        <v/>
      </c>
      <c r="AL27" s="402">
        <f>AK27*(1+PrefReturn)^(1/12)+AL24</f>
        <v/>
      </c>
      <c r="AM27" s="402">
        <f>AL27*(1+PrefReturn)^(1/12)+AM24</f>
        <v/>
      </c>
      <c r="AN27" s="402">
        <f>AM27*(1+PrefReturn)^(1/12)+AN24</f>
        <v/>
      </c>
      <c r="AO27" s="402">
        <f>AN27*(1+PrefReturn)^(1/12)+AO24</f>
        <v/>
      </c>
      <c r="AP27" s="402">
        <f>AO27*(1+PrefReturn)^(1/12)+AP24</f>
        <v/>
      </c>
      <c r="AQ27" s="402">
        <f>AP27*(1+PrefReturn)^(1/12)+AQ24</f>
        <v/>
      </c>
      <c r="AR27" s="402">
        <f>AQ27*(1+PrefReturn)^(1/12)+AR24</f>
        <v/>
      </c>
      <c r="AS27" s="402">
        <f>AR27*(1+PrefReturn)^(1/12)+AS24</f>
        <v/>
      </c>
      <c r="AT27" s="402">
        <f>AS27*(1+PrefReturn)^(1/12)+AT24</f>
        <v/>
      </c>
      <c r="AU27" s="402">
        <f>AT27*(1+PrefReturn)^(1/12)+AU24</f>
        <v/>
      </c>
      <c r="AV27" s="402">
        <f>AU27*(1+PrefReturn)^(1/12)+AV24</f>
        <v/>
      </c>
      <c r="AW27" s="402">
        <f>AV27*(1+PrefReturn)^(1/12)+AW24</f>
        <v/>
      </c>
      <c r="AX27" s="402">
        <f>AW27*(1+PrefReturn)^(1/12)+AX24</f>
        <v/>
      </c>
      <c r="AY27" s="402">
        <f>AX27*(1+PrefReturn)^(1/12)+AY24</f>
        <v/>
      </c>
      <c r="AZ27" s="402">
        <f>AY27*(1+PrefReturn)^(1/12)+AZ24</f>
        <v/>
      </c>
      <c r="BA27" s="402">
        <f>AZ27*(1+PrefReturn)^(1/12)+BA24</f>
        <v/>
      </c>
      <c r="BB27" s="402">
        <f>BA27*(1+PrefReturn)^(1/12)+BB24</f>
        <v/>
      </c>
      <c r="BC27" s="402">
        <f>BB27*(1+PrefReturn)^(1/12)+BC24</f>
        <v/>
      </c>
      <c r="BD27" s="402">
        <f>BC27*(1+PrefReturn)^(1/12)+BD24</f>
        <v/>
      </c>
      <c r="BE27" s="402">
        <f>BD27*(1+PrefReturn)^(1/12)+BE24</f>
        <v/>
      </c>
      <c r="BF27" s="402">
        <f>BE27*(1+PrefReturn)^(1/12)+BF24</f>
        <v/>
      </c>
      <c r="BG27" s="402">
        <f>BF27*(1+PrefReturn)^(1/12)+BG24</f>
        <v/>
      </c>
      <c r="BH27" s="402">
        <f>BG27*(1+PrefReturn)^(1/12)+BH24</f>
        <v/>
      </c>
      <c r="BI27" s="402">
        <f>BH27*(1+PrefReturn)^(1/12)+BI24</f>
        <v/>
      </c>
      <c r="BJ27" s="402">
        <f>BI27*(1+PrefReturn)^(1/12)+BJ24</f>
        <v/>
      </c>
      <c r="BK27" s="402">
        <f>BJ27*(1+PrefReturn)^(1/12)+BK24</f>
        <v/>
      </c>
      <c r="BL27" s="402">
        <f>BK27*(1+PrefReturn)^(1/12)+BL24</f>
        <v/>
      </c>
      <c r="BM27" s="402">
        <f>BL27*(1+PrefReturn)^(1/12)+BM24</f>
        <v/>
      </c>
      <c r="BN27" s="402">
        <f>BM27*(1+PrefReturn)^(1/12)+BN24</f>
        <v/>
      </c>
      <c r="BO27" s="402">
        <f>BN27*(1+PrefReturn)^(1/12)+BO24</f>
        <v/>
      </c>
      <c r="BP27" s="402">
        <f>BO27*(1+PrefReturn)^(1/12)+BP24</f>
        <v/>
      </c>
      <c r="BQ27" s="402">
        <f>BP27*(1+PrefReturn)^(1/12)+BQ24</f>
        <v/>
      </c>
      <c r="BR27" s="402">
        <f>BQ27*(1+PrefReturn)^(1/12)+BR24</f>
        <v/>
      </c>
      <c r="BS27" s="402">
        <f>BR27*(1+PrefReturn)^(1/12)+BS24</f>
        <v/>
      </c>
      <c r="BT27" s="402">
        <f>BS27*(1+PrefReturn)^(1/12)+BT24</f>
        <v/>
      </c>
      <c r="BU27" s="402">
        <f>BT27*(1+PrefReturn)^(1/12)+BU24</f>
        <v/>
      </c>
      <c r="BV27" s="402">
        <f>BU27*(1+PrefReturn)^(1/12)+BV24</f>
        <v/>
      </c>
      <c r="BW27" s="402">
        <f>BV27*(1+PrefReturn)^(1/12)+BW24</f>
        <v/>
      </c>
      <c r="BX27" s="402">
        <f>BW27*(1+PrefReturn)^(1/12)+BX24</f>
        <v/>
      </c>
      <c r="BY27" s="402">
        <f>BX27*(1+PrefReturn)^(1/12)+BY24</f>
        <v/>
      </c>
      <c r="BZ27" s="402">
        <f>BY27*(1+PrefReturn)^(1/12)+BZ24</f>
        <v/>
      </c>
      <c r="CA27" s="402">
        <f>BZ27*(1+PrefReturn)^(1/12)+CA24</f>
        <v/>
      </c>
      <c r="CB27" s="402">
        <f>CA27*(1+PrefReturn)^(1/12)+CB24</f>
        <v/>
      </c>
      <c r="CC27" s="402">
        <f>CB27*(1+PrefReturn)^(1/12)+CC24</f>
        <v/>
      </c>
      <c r="CD27" s="402">
        <f>CC27*(1+PrefReturn)^(1/12)+CD24</f>
        <v/>
      </c>
      <c r="CE27" s="402">
        <f>CD27*(1+PrefReturn)^(1/12)+CE24</f>
        <v/>
      </c>
      <c r="CF27" s="402">
        <f>CE27*(1+PrefReturn)^(1/12)+CF24</f>
        <v/>
      </c>
      <c r="CG27" s="402">
        <f>CF27*(1+PrefReturn)^(1/12)+CG24</f>
        <v/>
      </c>
      <c r="CH27" s="402">
        <f>CG27*(1+PrefReturn)^(1/12)+CH24</f>
        <v/>
      </c>
      <c r="CI27" s="402">
        <f>CH27*(1+PrefReturn)^(1/12)+CI24</f>
        <v/>
      </c>
      <c r="CJ27" s="402">
        <f>CI27*(1+PrefReturn)^(1/12)+CJ24</f>
        <v/>
      </c>
      <c r="CK27" s="402">
        <f>CJ27*(1+PrefReturn)^(1/12)+CK24</f>
        <v/>
      </c>
      <c r="CL27" s="402">
        <f>CK27*(1+PrefReturn)^(1/12)+CL24</f>
        <v/>
      </c>
      <c r="CM27" s="402">
        <f>CL27*(1+PrefReturn)^(1/12)+CM24</f>
        <v/>
      </c>
      <c r="CN27" s="402">
        <f>CM27*(1+PrefReturn)^(1/12)+CN24</f>
        <v/>
      </c>
      <c r="CO27" s="402">
        <f>CN27*(1+PrefReturn)^(1/12)+CO24</f>
        <v/>
      </c>
      <c r="CP27" s="402">
        <f>CO27*(1+PrefReturn)^(1/12)+CP24</f>
        <v/>
      </c>
      <c r="CQ27" s="402">
        <f>CP27*(1+PrefReturn)^(1/12)+CQ24</f>
        <v/>
      </c>
      <c r="CR27" s="402">
        <f>CQ27*(1+PrefReturn)^(1/12)+CR24</f>
        <v/>
      </c>
      <c r="CS27" s="402">
        <f>CR27*(1+PrefReturn)^(1/12)+CS24</f>
        <v/>
      </c>
      <c r="CT27" s="402">
        <f>CS27*(1+PrefReturn)^(1/12)+CT24</f>
        <v/>
      </c>
      <c r="CU27" s="402">
        <f>CT27*(1+PrefReturn)^(1/12)+CU24</f>
        <v/>
      </c>
      <c r="CV27" s="402">
        <f>CU27*(1+PrefReturn)^(1/12)+CV24</f>
        <v/>
      </c>
      <c r="CW27" s="402">
        <f>CV27*(1+PrefReturn)^(1/12)+CW24</f>
        <v/>
      </c>
      <c r="CX27" s="402">
        <f>CW27*(1+PrefReturn)^(1/12)+CX24</f>
        <v/>
      </c>
      <c r="CY27" s="402">
        <f>CX27*(1+PrefReturn)^(1/12)+CY24</f>
        <v/>
      </c>
      <c r="CZ27" s="402">
        <f>CY27*(1+PrefReturn)^(1/12)+CZ24</f>
        <v/>
      </c>
      <c r="DA27" s="402">
        <f>CZ27*(1+PrefReturn)^(1/12)+DA24</f>
        <v/>
      </c>
      <c r="DB27" s="402">
        <f>DA27*(1+PrefReturn)^(1/12)+DB24</f>
        <v/>
      </c>
      <c r="DC27" s="402">
        <f>DB27*(1+PrefReturn)^(1/12)+DC24</f>
        <v/>
      </c>
      <c r="DD27" s="402">
        <f>DC27*(1+PrefReturn)^(1/12)+DD24</f>
        <v/>
      </c>
      <c r="DE27" s="402">
        <f>DD27*(1+PrefReturn)^(1/12)+DE24</f>
        <v/>
      </c>
      <c r="DF27" s="402">
        <f>DE27*(1+PrefReturn)^(1/12)+DF24</f>
        <v/>
      </c>
      <c r="DG27" s="402">
        <f>DF27*(1+PrefReturn)^(1/12)+DG24</f>
        <v/>
      </c>
      <c r="DH27" s="402">
        <f>DG27*(1+PrefReturn)^(1/12)+DH24</f>
        <v/>
      </c>
      <c r="DI27" s="402">
        <f>DH27*(1+PrefReturn)^(1/12)+DI24</f>
        <v/>
      </c>
      <c r="DJ27" s="402">
        <f>DI27*(1+PrefReturn)^(1/12)+DJ24</f>
        <v/>
      </c>
      <c r="DK27" s="402">
        <f>DJ27*(1+PrefReturn)^(1/12)+DK24</f>
        <v/>
      </c>
      <c r="DL27" s="402">
        <f>DK27*(1+PrefReturn)^(1/12)+DL24</f>
        <v/>
      </c>
      <c r="DM27" s="402">
        <f>DL27*(1+PrefReturn)^(1/12)+DM24</f>
        <v/>
      </c>
      <c r="DN27" s="402">
        <f>DM27*(1+PrefReturn)^(1/12)+DN24</f>
        <v/>
      </c>
      <c r="DO27" s="402">
        <f>DN27*(1+PrefReturn)^(1/12)+DO24</f>
        <v/>
      </c>
      <c r="DP27" s="402">
        <f>DO27*(1+PrefReturn)^(1/12)+DP24</f>
        <v/>
      </c>
      <c r="DQ27" s="402">
        <f>DP27*(1+PrefReturn)^(1/12)+DQ24</f>
        <v/>
      </c>
      <c r="DR27" s="402">
        <f>DQ27*(1+PrefReturn)^(1/12)+DR24</f>
        <v/>
      </c>
      <c r="DS27" s="402">
        <f>DR27*(1+PrefReturn)^(1/12)+DS24</f>
        <v/>
      </c>
      <c r="DT27" s="402">
        <f>DS27*(1+PrefReturn)^(1/12)+DT24</f>
        <v/>
      </c>
      <c r="DU27" s="402">
        <f>DT27*(1+PrefReturn)^(1/12)+DU24</f>
        <v/>
      </c>
      <c r="DV27" s="402">
        <f>DU27*(1+PrefReturn)^(1/12)+DV24</f>
        <v/>
      </c>
      <c r="DW27" s="402">
        <f>DV27*(1+PrefReturn)^(1/12)+DW24</f>
        <v/>
      </c>
      <c r="DX27" s="402">
        <f>DW27*(1+PrefReturn)^(1/12)+DX24</f>
        <v/>
      </c>
      <c r="DY27" s="402">
        <f>DX27*(1+PrefReturn)^(1/12)+DY24</f>
        <v/>
      </c>
      <c r="DZ27" s="402">
        <f>DY27*(1+PrefReturn)^(1/12)+DZ24</f>
        <v/>
      </c>
      <c r="EA27" s="402">
        <f>DZ27*(1+PrefReturn)^(1/12)+EA24</f>
        <v/>
      </c>
      <c r="EB27" s="402">
        <f>EA27*(1+PrefReturn)^(1/12)+EB24</f>
        <v/>
      </c>
      <c r="EC27" s="402">
        <f>EB27*(1+PrefReturn)^(1/12)+EC24</f>
        <v/>
      </c>
      <c r="ED27" s="402">
        <f>EC27*(1+PrefReturn)^(1/12)+ED24</f>
        <v/>
      </c>
      <c r="EE27" s="402">
        <f>ED27*(1+PrefReturn)^(1/12)+EE24</f>
        <v/>
      </c>
      <c r="EF27" s="402">
        <f>EE27*(1+PrefReturn)^(1/12)+EF24</f>
        <v/>
      </c>
      <c r="EG27" s="402">
        <f>EF27*(1+PrefReturn)^(1/12)+EG24</f>
        <v/>
      </c>
      <c r="EH27" s="402">
        <f>EG27*(1+PrefReturn)^(1/12)+EH24</f>
        <v/>
      </c>
      <c r="EI27" s="402">
        <f>EH27*(1+PrefReturn)^(1/12)+EI24</f>
        <v/>
      </c>
      <c r="EJ27" s="402">
        <f>EI27*(1+PrefReturn)^(1/12)+EJ24</f>
        <v/>
      </c>
      <c r="EK27" s="402">
        <f>EJ27*(1+PrefReturn)^(1/12)+EK24</f>
        <v/>
      </c>
      <c r="EL27" s="402">
        <f>EK27*(1+PrefReturn)^(1/12)+EL24</f>
        <v/>
      </c>
      <c r="EM27" s="402">
        <f>EL27*(1+PrefReturn)^(1/12)+EM24</f>
        <v/>
      </c>
      <c r="EN27" s="402">
        <f>EM27*(1+PrefReturn)^(1/12)+EN24</f>
        <v/>
      </c>
      <c r="EO27" s="402">
        <f>EN27*(1+PrefReturn)^(1/12)+EO24</f>
        <v/>
      </c>
      <c r="EP27" s="402">
        <f>EO27*(1+PrefReturn)^(1/12)+EP24</f>
        <v/>
      </c>
      <c r="EQ27" s="402">
        <f>EP27*(1+PrefReturn)^(1/12)+EQ24</f>
        <v/>
      </c>
      <c r="ER27" s="402">
        <f>EQ27*(1+PrefReturn)^(1/12)+ER24</f>
        <v/>
      </c>
      <c r="ES27" s="402">
        <f>ER27*(1+PrefReturn)^(1/12)+ES24</f>
        <v/>
      </c>
      <c r="ET27" s="402">
        <f>ES27*(1+PrefReturn)^(1/12)+ET24</f>
        <v/>
      </c>
      <c r="EU27" s="402">
        <f>ET27*(1+PrefReturn)^(1/12)+EU24</f>
        <v/>
      </c>
      <c r="EV27" s="402">
        <f>EU27*(1+PrefReturn)^(1/12)+EV24</f>
        <v/>
      </c>
      <c r="EW27" s="402">
        <f>EV27*(1+PrefReturn)^(1/12)+EW24</f>
        <v/>
      </c>
      <c r="EX27" s="402">
        <f>EW27*(1+PrefReturn)^(1/12)+EX24</f>
        <v/>
      </c>
      <c r="EY27" s="402">
        <f>EX27*(1+PrefReturn)^(1/12)+EY24</f>
        <v/>
      </c>
      <c r="EZ27" s="402">
        <f>EY27*(1+PrefReturn)^(1/12)+EZ24</f>
        <v/>
      </c>
      <c r="FA27" s="402">
        <f>EZ27*(1+PrefReturn)^(1/12)+FA24</f>
        <v/>
      </c>
      <c r="FB27" s="402">
        <f>FA27*(1+PrefReturn)^(1/12)+FB24</f>
        <v/>
      </c>
      <c r="FC27" s="402">
        <f>FB27*(1+PrefReturn)^(1/12)+FC24</f>
        <v/>
      </c>
      <c r="FD27" s="402">
        <f>FC27*(1+PrefReturn)^(1/12)+FD24</f>
        <v/>
      </c>
      <c r="FE27" s="402">
        <f>FD27*(1+PrefReturn)^(1/12)+FE24</f>
        <v/>
      </c>
      <c r="FF27" s="402">
        <f>FE27*(1+PrefReturn)^(1/12)+FF24</f>
        <v/>
      </c>
      <c r="FG27" s="402">
        <f>FF27*(1+PrefReturn)^(1/12)+FG24</f>
        <v/>
      </c>
      <c r="FH27" s="402">
        <f>FG27*(1+PrefReturn)^(1/12)+FH24</f>
        <v/>
      </c>
      <c r="FI27" s="402">
        <f>FH27*(1+PrefReturn)^(1/12)+FI24</f>
        <v/>
      </c>
      <c r="FJ27" s="402">
        <f>FI27*(1+PrefReturn)^(1/12)+FJ24</f>
        <v/>
      </c>
      <c r="FK27" s="402">
        <f>FJ27*(1+PrefReturn)^(1/12)+FK24</f>
        <v/>
      </c>
      <c r="FL27" s="402">
        <f>FK27*(1+PrefReturn)^(1/12)+FL24</f>
        <v/>
      </c>
      <c r="FM27" s="402">
        <f>FL27*(1+PrefReturn)^(1/12)+FM24</f>
        <v/>
      </c>
      <c r="FN27" s="402">
        <f>FM27*(1+PrefReturn)^(1/12)+FN24</f>
        <v/>
      </c>
      <c r="FO27" s="402">
        <f>FN27*(1+PrefReturn)^(1/12)+FO24</f>
        <v/>
      </c>
      <c r="FP27" s="402">
        <f>FO27*(1+PrefReturn)^(1/12)+FP24</f>
        <v/>
      </c>
      <c r="FQ27" s="402">
        <f>FP27*(1+PrefReturn)^(1/12)+FQ24</f>
        <v/>
      </c>
      <c r="FR27" s="402">
        <f>FQ27*(1+PrefReturn)^(1/12)+FR24</f>
        <v/>
      </c>
      <c r="FS27" s="402">
        <f>FR27*(1+PrefReturn)^(1/12)+FS24</f>
        <v/>
      </c>
      <c r="FT27" s="402">
        <f>FS27*(1+PrefReturn)^(1/12)+FT24</f>
        <v/>
      </c>
      <c r="FU27" s="402">
        <f>FT27*(1+PrefReturn)^(1/12)+FU24</f>
        <v/>
      </c>
      <c r="FV27" s="402">
        <f>FU27*(1+PrefReturn)^(1/12)+FV24</f>
        <v/>
      </c>
      <c r="FW27" s="402">
        <f>FV27*(1+PrefReturn)^(1/12)+FW24</f>
        <v/>
      </c>
      <c r="FX27" s="402">
        <f>FW27*(1+PrefReturn)^(1/12)+FX24</f>
        <v/>
      </c>
      <c r="FY27" s="402">
        <f>FX27*(1+PrefReturn)^(1/12)+FY24</f>
        <v/>
      </c>
      <c r="FZ27" s="402">
        <f>FY27*(1+PrefReturn)^(1/12)+FZ24</f>
        <v/>
      </c>
      <c r="GA27" s="402">
        <f>FZ27*(1+PrefReturn)^(1/12)+GA24</f>
        <v/>
      </c>
      <c r="GB27" s="402">
        <f>GA27*(1+PrefReturn)^(1/12)+GB24</f>
        <v/>
      </c>
      <c r="GC27" s="402">
        <f>GB27*(1+PrefReturn)^(1/12)+GC24</f>
        <v/>
      </c>
      <c r="GD27" s="402">
        <f>GC27*(1+PrefReturn)^(1/12)+GD24</f>
        <v/>
      </c>
      <c r="GE27" s="402">
        <f>GD27*(1+PrefReturn)^(1/12)+GE24</f>
        <v/>
      </c>
      <c r="GF27" s="402">
        <f>GE27*(1+PrefReturn)^(1/12)+GF24</f>
        <v/>
      </c>
      <c r="GG27" s="402">
        <f>GF27*(1+PrefReturn)^(1/12)+GG24</f>
        <v/>
      </c>
      <c r="GH27" s="402">
        <f>GG27*(1+PrefReturn)^(1/12)+GH24</f>
        <v/>
      </c>
      <c r="GI27" s="402">
        <f>GH27*(1+PrefReturn)^(1/12)+GI24</f>
        <v/>
      </c>
      <c r="GJ27" s="402">
        <f>GI27*(1+PrefReturn)^(1/12)+GJ24</f>
        <v/>
      </c>
      <c r="GK27" s="402">
        <f>GJ27*(1+PrefReturn)^(1/12)+GK24</f>
        <v/>
      </c>
      <c r="GL27" s="402">
        <f>GK27*(1+PrefReturn)^(1/12)+GL24</f>
        <v/>
      </c>
      <c r="GM27" s="402">
        <f>GL27*(1+PrefReturn)^(1/12)+GM24</f>
        <v/>
      </c>
      <c r="GN27" s="402">
        <f>GM27*(1+PrefReturn)^(1/12)+GN24</f>
        <v/>
      </c>
      <c r="GO27" s="402">
        <f>GN27*(1+PrefReturn)^(1/12)+GO24</f>
        <v/>
      </c>
      <c r="GP27" s="402">
        <f>GO27*(1+PrefReturn)^(1/12)+GP24</f>
        <v/>
      </c>
      <c r="GQ27" s="402">
        <f>GP27*(1+PrefReturn)^(1/12)+GQ24</f>
        <v/>
      </c>
      <c r="GR27" s="402">
        <f>GQ27*(1+PrefReturn)^(1/12)+GR24</f>
        <v/>
      </c>
      <c r="GS27" s="402">
        <f>GR27*(1+PrefReturn)^(1/12)+GS24</f>
        <v/>
      </c>
      <c r="GT27" s="402">
        <f>GS27*(1+PrefReturn)^(1/12)+GT24</f>
        <v/>
      </c>
      <c r="GU27" s="402">
        <f>GT27*(1+PrefReturn)^(1/12)+GU24</f>
        <v/>
      </c>
      <c r="GV27" s="402">
        <f>GU27*(1+PrefReturn)^(1/12)+GV24</f>
        <v/>
      </c>
      <c r="GW27" s="402">
        <f>GV27*(1+PrefReturn)^(1/12)+GW24</f>
        <v/>
      </c>
      <c r="GX27" s="402">
        <f>GW27*(1+PrefReturn)^(1/12)+GX24</f>
        <v/>
      </c>
      <c r="GY27" s="402">
        <f>GX27*(1+PrefReturn)^(1/12)+GY24</f>
        <v/>
      </c>
      <c r="GZ27" s="402">
        <f>GY27*(1+PrefReturn)^(1/12)+GZ24</f>
        <v/>
      </c>
      <c r="HA27" s="402">
        <f>GZ27*(1+PrefReturn)^(1/12)+HA24</f>
        <v/>
      </c>
      <c r="HB27" s="402">
        <f>HA27*(1+PrefReturn)^(1/12)+HB24</f>
        <v/>
      </c>
      <c r="HC27" s="402">
        <f>HB27*(1+PrefReturn)^(1/12)+HC24</f>
        <v/>
      </c>
      <c r="HD27" s="402">
        <f>HC27*(1+PrefReturn)^(1/12)+HD24</f>
        <v/>
      </c>
      <c r="HE27" s="402">
        <f>HD27*(1+PrefReturn)^(1/12)+HE24</f>
        <v/>
      </c>
      <c r="HF27" s="402">
        <f>HE27*(1+PrefReturn)^(1/12)+HF24</f>
        <v/>
      </c>
      <c r="HG27" s="402">
        <f>HF27*(1+PrefReturn)^(1/12)+HG24</f>
        <v/>
      </c>
      <c r="HH27" s="402">
        <f>HG27*(1+PrefReturn)^(1/12)+HH24</f>
        <v/>
      </c>
      <c r="HI27" s="402">
        <f>HH27*(1+PrefReturn)^(1/12)+HI24</f>
        <v/>
      </c>
      <c r="HJ27" s="402">
        <f>HI27*(1+PrefReturn)^(1/12)+HJ24</f>
        <v/>
      </c>
      <c r="HK27" s="402">
        <f>HJ27*(1+PrefReturn)^(1/12)+HK24</f>
        <v/>
      </c>
      <c r="HL27" s="402">
        <f>HK27*(1+PrefReturn)^(1/12)+HL24</f>
        <v/>
      </c>
      <c r="HM27" s="402">
        <f>HL27*(1+PrefReturn)^(1/12)+HM24</f>
        <v/>
      </c>
      <c r="HN27" s="402">
        <f>HM27*(1+PrefReturn)^(1/12)+HN24</f>
        <v/>
      </c>
      <c r="HO27" s="402">
        <f>HN27*(1+PrefReturn)^(1/12)+HO24</f>
        <v/>
      </c>
      <c r="HP27" s="402">
        <f>HO27*(1+PrefReturn)^(1/12)+HP24</f>
        <v/>
      </c>
      <c r="HQ27" s="402">
        <f>HP27*(1+PrefReturn)^(1/12)+HQ24</f>
        <v/>
      </c>
      <c r="HR27" s="402">
        <f>HQ27*(1+PrefReturn)^(1/12)+HR24</f>
        <v/>
      </c>
      <c r="HS27" s="402">
        <f>HR27*(1+PrefReturn)^(1/12)+HS24</f>
        <v/>
      </c>
      <c r="HT27" s="402">
        <f>HS27*(1+PrefReturn)^(1/12)+HT24</f>
        <v/>
      </c>
      <c r="HU27" s="402">
        <f>HT27*(1+PrefReturn)^(1/12)+HU24</f>
        <v/>
      </c>
      <c r="HV27" s="402">
        <f>HU27*(1+PrefReturn)^(1/12)+HV24</f>
        <v/>
      </c>
      <c r="HW27" s="402">
        <f>HV27*(1+PrefReturn)^(1/12)+HW24</f>
        <v/>
      </c>
      <c r="HX27" s="402">
        <f>HW27*(1+PrefReturn)^(1/12)+HX24</f>
        <v/>
      </c>
      <c r="HY27" s="402">
        <f>HX27*(1+PrefReturn)^(1/12)+HY24</f>
        <v/>
      </c>
      <c r="HZ27" s="402">
        <f>HY27*(1+PrefReturn)^(1/12)+HZ24</f>
        <v/>
      </c>
      <c r="IA27" s="402">
        <f>HZ27*(1+PrefReturn)^(1/12)+IA24</f>
        <v/>
      </c>
      <c r="IB27" s="402">
        <f>IA27*(1+PrefReturn)^(1/12)+IB24</f>
        <v/>
      </c>
      <c r="IC27" s="402">
        <f>IB27*(1+PrefReturn)^(1/12)+IC24</f>
        <v/>
      </c>
      <c r="ID27" s="402">
        <f>IC27*(1+PrefReturn)^(1/12)+ID24</f>
        <v/>
      </c>
      <c r="IE27" s="402">
        <f>ID27*(1+PrefReturn)^(1/12)+IE24</f>
        <v/>
      </c>
      <c r="IF27" s="402">
        <f>IE27*(1+PrefReturn)^(1/12)+IF24</f>
        <v/>
      </c>
      <c r="IG27" s="402">
        <f>IF27*(1+PrefReturn)^(1/12)+IG24</f>
        <v/>
      </c>
      <c r="IH27" s="402">
        <f>IG27*(1+PrefReturn)^(1/12)+IH24</f>
        <v/>
      </c>
      <c r="II27" s="402">
        <f>IH27*(1+PrefReturn)^(1/12)+II24</f>
        <v/>
      </c>
      <c r="IJ27" s="402">
        <f>II27*(1+PrefReturn)^(1/12)+IJ24</f>
        <v/>
      </c>
      <c r="IK27" s="402">
        <f>IJ27*(1+PrefReturn)^(1/12)+IK24</f>
        <v/>
      </c>
      <c r="IL27" s="402">
        <f>IK27*(1+PrefReturn)^(1/12)+IL24</f>
        <v/>
      </c>
      <c r="IM27" s="402">
        <f>IL27*(1+PrefReturn)^(1/12)+IM24</f>
        <v/>
      </c>
      <c r="IN27" s="402">
        <f>IM27*(1+PrefReturn)^(1/12)+IN24</f>
        <v/>
      </c>
      <c r="IO27" s="402">
        <f>IN27*(1+PrefReturn)^(1/12)+IO24</f>
        <v/>
      </c>
      <c r="IP27" s="402">
        <f>IO27*(1+PrefReturn)^(1/12)+IP24</f>
        <v/>
      </c>
      <c r="IQ27" s="402">
        <f>IP27*(1+PrefReturn)^(1/12)+IQ24</f>
        <v/>
      </c>
      <c r="IR27" s="402">
        <f>IQ27*(1+PrefReturn)^(1/12)+IR24</f>
        <v/>
      </c>
      <c r="IS27" s="402">
        <f>IR27*(1+PrefReturn)^(1/12)+IS24</f>
        <v/>
      </c>
      <c r="IT27" s="402">
        <f>IS27*(1+PrefReturn)^(1/12)+IT24</f>
        <v/>
      </c>
      <c r="IU27" s="402">
        <f>IT27*(1+PrefReturn)^(1/12)+IU24</f>
        <v/>
      </c>
      <c r="IV27" s="402">
        <f>IU27*(1+PrefReturn)^(1/12)+IV24</f>
        <v/>
      </c>
      <c r="IW27" s="402">
        <f>IV27*(1+PrefReturn)^(1/12)+IW24</f>
        <v/>
      </c>
      <c r="IX27" s="402">
        <f>IW27*(1+PrefReturn)^(1/12)+IX24</f>
        <v/>
      </c>
      <c r="IY27" s="402">
        <f>IX27*(1+PrefReturn)^(1/12)+IY24</f>
        <v/>
      </c>
      <c r="IZ27" s="402">
        <f>IY27*(1+PrefReturn)^(1/12)+IZ24</f>
        <v/>
      </c>
      <c r="JA27" s="402">
        <f>IZ27*(1+PrefReturn)^(1/12)+JA24</f>
        <v/>
      </c>
      <c r="JB27" s="402">
        <f>JA27*(1+PrefReturn)^(1/12)+JB24</f>
        <v/>
      </c>
      <c r="JC27" s="402">
        <f>JB27*(1+PrefReturn)^(1/12)+JC24</f>
        <v/>
      </c>
      <c r="JD27" s="402">
        <f>JC27*(1+PrefReturn)^(1/12)+JD24</f>
        <v/>
      </c>
      <c r="JE27" s="402">
        <f>JD27*(1+PrefReturn)^(1/12)+JE24</f>
        <v/>
      </c>
      <c r="JF27" s="402">
        <f>JE27*(1+PrefReturn)^(1/12)+JF24</f>
        <v/>
      </c>
      <c r="JG27" s="402">
        <f>JF27*(1+PrefReturn)^(1/12)+JG24</f>
        <v/>
      </c>
      <c r="JH27" s="402">
        <f>JG27*(1+PrefReturn)^(1/12)+JH24</f>
        <v/>
      </c>
      <c r="JI27" s="402">
        <f>JH27*(1+PrefReturn)^(1/12)+JI24</f>
        <v/>
      </c>
      <c r="JJ27" s="402">
        <f>JI27*(1+PrefReturn)^(1/12)+JJ24</f>
        <v/>
      </c>
      <c r="JK27" s="402">
        <f>JJ27*(1+PrefReturn)^(1/12)+JK24</f>
        <v/>
      </c>
      <c r="JL27" s="402">
        <f>JK27*(1+PrefReturn)^(1/12)+JL24</f>
        <v/>
      </c>
      <c r="JM27" s="402">
        <f>JL27*(1+PrefReturn)^(1/12)+JM24</f>
        <v/>
      </c>
      <c r="JN27" s="402">
        <f>JM27*(1+PrefReturn)^(1/12)+JN24</f>
        <v/>
      </c>
      <c r="JO27" s="402">
        <f>JN27*(1+PrefReturn)^(1/12)+JO24</f>
        <v/>
      </c>
      <c r="JP27" s="402">
        <f>JO27*(1+PrefReturn)^(1/12)+JP24</f>
        <v/>
      </c>
      <c r="JQ27" s="402">
        <f>JP27*(1+PrefReturn)^(1/12)+JQ24</f>
        <v/>
      </c>
      <c r="JR27" s="402">
        <f>JQ27*(1+PrefReturn)^(1/12)+JR24</f>
        <v/>
      </c>
      <c r="JS27" s="402">
        <f>JR27*(1+PrefReturn)^(1/12)+JS24</f>
        <v/>
      </c>
      <c r="JT27" s="402">
        <f>JS27*(1+PrefReturn)^(1/12)+JT24</f>
        <v/>
      </c>
      <c r="JU27" s="402">
        <f>JT27*(1+PrefReturn)^(1/12)+JU24</f>
        <v/>
      </c>
      <c r="JV27" s="402">
        <f>JU27*(1+PrefReturn)^(1/12)+JV24</f>
        <v/>
      </c>
      <c r="JW27" s="402">
        <f>JV27*(1+PrefReturn)^(1/12)+JW24</f>
        <v/>
      </c>
      <c r="JX27" s="402">
        <f>JW27*(1+PrefReturn)^(1/12)+JX24</f>
        <v/>
      </c>
      <c r="JY27" s="402">
        <f>JX27*(1+PrefReturn)^(1/12)+JY24</f>
        <v/>
      </c>
      <c r="JZ27" s="402">
        <f>JY27*(1+PrefReturn)^(1/12)+JZ24</f>
        <v/>
      </c>
      <c r="KA27" s="402">
        <f>JZ27*(1+PrefReturn)^(1/12)+KA24</f>
        <v/>
      </c>
      <c r="KB27" s="402">
        <f>KA27*(1+PrefReturn)^(1/12)+KB24</f>
        <v/>
      </c>
      <c r="KC27" s="402">
        <f>KB27*(1+PrefReturn)^(1/12)+KC24</f>
        <v/>
      </c>
      <c r="KD27" s="402">
        <f>KC27*(1+PrefReturn)^(1/12)+KD24</f>
        <v/>
      </c>
      <c r="KE27" s="402">
        <f>KD27*(1+PrefReturn)^(1/12)+KE24</f>
        <v/>
      </c>
      <c r="KF27" s="402">
        <f>KE27*(1+PrefReturn)^(1/12)+KF24</f>
        <v/>
      </c>
      <c r="KG27" s="402">
        <f>KF27*(1+PrefReturn)^(1/12)+KG24</f>
        <v/>
      </c>
      <c r="KH27" s="402">
        <f>KG27*(1+PrefReturn)^(1/12)+KH24</f>
        <v/>
      </c>
      <c r="KI27" s="402">
        <f>KH27*(1+PrefReturn)^(1/12)+KI24</f>
        <v/>
      </c>
      <c r="KJ27" s="402">
        <f>KI27*(1+PrefReturn)^(1/12)+KJ24</f>
        <v/>
      </c>
      <c r="KK27" s="402">
        <f>KJ27*(1+PrefReturn)^(1/12)+KK24</f>
        <v/>
      </c>
      <c r="KL27" s="402">
        <f>KK27*(1+PrefReturn)^(1/12)+KL24</f>
        <v/>
      </c>
      <c r="KM27" s="402">
        <f>KL27*(1+PrefReturn)^(1/12)+KM24</f>
        <v/>
      </c>
      <c r="KN27" s="402">
        <f>KM27*(1+PrefReturn)^(1/12)+KN24</f>
        <v/>
      </c>
      <c r="KO27" s="402">
        <f>KN27*(1+PrefReturn)^(1/12)+KO24</f>
        <v/>
      </c>
      <c r="KP27" s="402">
        <f>KO27*(1+PrefReturn)^(1/12)+KP24</f>
        <v/>
      </c>
      <c r="KQ27" s="402">
        <f>KP27*(1+PrefReturn)^(1/12)+KQ24</f>
        <v/>
      </c>
      <c r="KR27" s="402">
        <f>KQ27*(1+PrefReturn)^(1/12)+KR24</f>
        <v/>
      </c>
      <c r="KS27" s="402">
        <f>KR27*(1+PrefReturn)^(1/12)+KS24</f>
        <v/>
      </c>
      <c r="KT27" s="402">
        <f>KS27*(1+PrefReturn)^(1/12)+KT24</f>
        <v/>
      </c>
      <c r="KU27" s="402">
        <f>KT27*(1+PrefReturn)^(1/12)+KU24</f>
        <v/>
      </c>
      <c r="KV27" s="402">
        <f>KU27*(1+PrefReturn)^(1/12)+KV24</f>
        <v/>
      </c>
      <c r="KW27" s="402">
        <f>KV27*(1+PrefReturn)^(1/12)+KW24</f>
        <v/>
      </c>
      <c r="KX27" s="402">
        <f>KW27*(1+PrefReturn)^(1/12)+KX24</f>
        <v/>
      </c>
      <c r="KY27" s="402">
        <f>KX27*(1+PrefReturn)^(1/12)+KY24</f>
        <v/>
      </c>
      <c r="KZ27" s="402">
        <f>KY27*(1+PrefReturn)^(1/12)+KZ24</f>
        <v/>
      </c>
      <c r="LA27" s="402">
        <f>KZ27*(1+PrefReturn)^(1/12)+LA24</f>
        <v/>
      </c>
      <c r="LB27" s="402">
        <f>LA27*(1+PrefReturn)^(1/12)+LB24</f>
        <v/>
      </c>
      <c r="LC27" s="402">
        <f>LB27*(1+PrefReturn)^(1/12)+LC24</f>
        <v/>
      </c>
      <c r="LD27" s="402">
        <f>LC27*(1+PrefReturn)^(1/12)+LD24</f>
        <v/>
      </c>
      <c r="LE27" s="402">
        <f>LD27*(1+PrefReturn)^(1/12)+LE24</f>
        <v/>
      </c>
      <c r="LF27" s="402">
        <f>LE27*(1+PrefReturn)^(1/12)+LF24</f>
        <v/>
      </c>
      <c r="LG27" s="402">
        <f>LF27*(1+PrefReturn)^(1/12)+LG24</f>
        <v/>
      </c>
      <c r="LH27" s="402">
        <f>LG27*(1+PrefReturn)^(1/12)+LH24</f>
        <v/>
      </c>
      <c r="LI27" s="402">
        <f>LH27*(1+PrefReturn)^(1/12)+LI24</f>
        <v/>
      </c>
      <c r="LJ27" s="402">
        <f>LI27*(1+PrefReturn)^(1/12)+LJ24</f>
        <v/>
      </c>
      <c r="LK27" s="402">
        <f>LJ27*(1+PrefReturn)^(1/12)+LK24</f>
        <v/>
      </c>
      <c r="LL27" s="402">
        <f>LK27*(1+PrefReturn)^(1/12)+LL24</f>
        <v/>
      </c>
      <c r="LM27" s="402">
        <f>LL27*(1+PrefReturn)^(1/12)+LM24</f>
        <v/>
      </c>
      <c r="LN27" s="402">
        <f>LM27*(1+PrefReturn)^(1/12)+LN24</f>
        <v/>
      </c>
      <c r="LO27" s="402">
        <f>LN27*(1+PrefReturn)^(1/12)+LO24</f>
        <v/>
      </c>
      <c r="LP27" s="402">
        <f>LO27*(1+PrefReturn)^(1/12)+LP24</f>
        <v/>
      </c>
      <c r="LQ27" s="402">
        <f>LP27*(1+PrefReturn)^(1/12)+LQ24</f>
        <v/>
      </c>
      <c r="LR27" s="402">
        <f>LQ27*(1+PrefReturn)^(1/12)+LR24</f>
        <v/>
      </c>
      <c r="LS27" s="402">
        <f>LR27*(1+PrefReturn)^(1/12)+LS24</f>
        <v/>
      </c>
      <c r="LT27" s="402">
        <f>LS27*(1+PrefReturn)^(1/12)+LT24</f>
        <v/>
      </c>
      <c r="LU27" s="402">
        <f>LT27*(1+PrefReturn)^(1/12)+LU24</f>
        <v/>
      </c>
      <c r="LV27" s="402">
        <f>LU27*(1+PrefReturn)^(1/12)+LV24</f>
        <v/>
      </c>
      <c r="LW27" s="402">
        <f>LV27*(1+PrefReturn)^(1/12)+LW24</f>
        <v/>
      </c>
      <c r="LX27" s="402">
        <f>LW27*(1+PrefReturn)^(1/12)+LX24</f>
        <v/>
      </c>
      <c r="LY27" s="402">
        <f>LX27*(1+PrefReturn)^(1/12)+LY24</f>
        <v/>
      </c>
      <c r="LZ27" s="402">
        <f>LY27*(1+PrefReturn)^(1/12)+LZ24</f>
        <v/>
      </c>
      <c r="MA27" s="402">
        <f>LZ27*(1+PrefReturn)^(1/12)+MA24</f>
        <v/>
      </c>
      <c r="MB27" s="402">
        <f>MA27*(1+PrefReturn)^(1/12)+MB24</f>
        <v/>
      </c>
      <c r="MC27" s="402">
        <f>MB27*(1+PrefReturn)^(1/12)+MC24</f>
        <v/>
      </c>
      <c r="MD27" s="402">
        <f>MC27*(1+PrefReturn)^(1/12)+MD24</f>
        <v/>
      </c>
      <c r="ME27" s="402">
        <f>MD27*(1+PrefReturn)^(1/12)+ME24</f>
        <v/>
      </c>
      <c r="MF27" s="402">
        <f>ME27*(1+PrefReturn)^(1/12)+MF24</f>
        <v/>
      </c>
      <c r="MG27" s="402">
        <f>MF27*(1+PrefReturn)^(1/12)+MG24</f>
        <v/>
      </c>
      <c r="MH27" s="402">
        <f>MG27*(1+PrefReturn)^(1/12)+MH24</f>
        <v/>
      </c>
      <c r="MI27" s="402">
        <f>MH27*(1+PrefReturn)^(1/12)+MI24</f>
        <v/>
      </c>
      <c r="MJ27" s="402">
        <f>MI27*(1+PrefReturn)^(1/12)+MJ24</f>
        <v/>
      </c>
      <c r="MK27" s="402">
        <f>MJ27*(1+PrefReturn)^(1/12)+MK24</f>
        <v/>
      </c>
      <c r="ML27" s="402">
        <f>MK27*(1+PrefReturn)^(1/12)+ML24</f>
        <v/>
      </c>
      <c r="MM27" s="402">
        <f>ML27*(1+PrefReturn)^(1/12)+MM24</f>
        <v/>
      </c>
      <c r="MN27" s="402">
        <f>MM27*(1+PrefReturn)^(1/12)+MN24</f>
        <v/>
      </c>
      <c r="MO27" s="402">
        <f>MN27*(1+PrefReturn)^(1/12)+MO24</f>
        <v/>
      </c>
      <c r="MP27" s="402">
        <f>MO27*(1+PrefReturn)^(1/12)+MP24</f>
        <v/>
      </c>
      <c r="MQ27" s="402">
        <f>MP27*(1+PrefReturn)^(1/12)+MQ24</f>
        <v/>
      </c>
      <c r="MR27" s="402">
        <f>MQ27*(1+PrefReturn)^(1/12)+MR24</f>
        <v/>
      </c>
      <c r="MS27" s="402">
        <f>MR27*(1+PrefReturn)^(1/12)+MS24</f>
        <v/>
      </c>
      <c r="MT27" s="402">
        <f>MS27*(1+PrefReturn)^(1/12)+MT24</f>
        <v/>
      </c>
      <c r="MU27" s="402">
        <f>MT27*(1+PrefReturn)^(1/12)+MU24</f>
        <v/>
      </c>
      <c r="MV27" s="402">
        <f>MU27*(1+PrefReturn)^(1/12)+MV24</f>
        <v/>
      </c>
      <c r="MW27" s="402">
        <f>MV27*(1+PrefReturn)^(1/12)+MW24</f>
        <v/>
      </c>
      <c r="MX27" s="402">
        <f>MW27*(1+PrefReturn)^(1/12)+MX24</f>
        <v/>
      </c>
      <c r="MY27" s="402">
        <f>MX27*(1+PrefReturn)^(1/12)+MY24</f>
        <v/>
      </c>
      <c r="MZ27" s="402">
        <f>MY27*(1+PrefReturn)^(1/12)+MZ24</f>
        <v/>
      </c>
      <c r="NA27" s="402">
        <f>MZ27*(1+PrefReturn)^(1/12)+NA24</f>
        <v/>
      </c>
      <c r="NB27" s="402">
        <f>NA27*(1+PrefReturn)^(1/12)+NB24</f>
        <v/>
      </c>
      <c r="NC27" s="402">
        <f>NB27*(1+PrefReturn)^(1/12)+NC24</f>
        <v/>
      </c>
      <c r="ND27" s="402">
        <f>NC27*(1+PrefReturn)^(1/12)+ND24</f>
        <v/>
      </c>
      <c r="NE27" s="402">
        <f>ND27*(1+PrefReturn)^(1/12)+NE24</f>
        <v/>
      </c>
      <c r="NF27" s="402">
        <f>NE27*(1+PrefReturn)^(1/12)+NF24</f>
        <v/>
      </c>
      <c r="NG27" s="402">
        <f>NF27*(1+PrefReturn)^(1/12)+NG24</f>
        <v/>
      </c>
      <c r="NH27" s="402">
        <f>NG27*(1+PrefReturn)^(1/12)+NH24</f>
        <v/>
      </c>
      <c r="NI27" s="402">
        <f>NH27*(1+PrefReturn)^(1/12)+NI24</f>
        <v/>
      </c>
      <c r="NJ27" s="402">
        <f>NI27*(1+PrefReturn)^(1/12)+NJ24</f>
        <v/>
      </c>
      <c r="NK27" s="402">
        <f>NJ27*(1+PrefReturn)^(1/12)+NK24</f>
        <v/>
      </c>
      <c r="NL27" s="402">
        <f>NK27*(1+PrefReturn)^(1/12)+NL24</f>
        <v/>
      </c>
    </row>
    <row r="28">
      <c r="B28" s="316" t="inlineStr">
        <is>
          <t>Accrued @ Hurdle 2</t>
        </is>
      </c>
      <c r="D28" s="402">
        <f>INDEX(E28:NL28,HoldPeriodMonths)</f>
        <v/>
      </c>
      <c r="E28" s="402">
        <f>0*(1+Hurdle2IRR)^(1/12)+E24</f>
        <v/>
      </c>
      <c r="F28" s="402">
        <f>E28*(1+Hurdle2IRR)^(1/12)+F24</f>
        <v/>
      </c>
      <c r="G28" s="402">
        <f>F28*(1+Hurdle2IRR)^(1/12)+G24</f>
        <v/>
      </c>
      <c r="H28" s="402">
        <f>G28*(1+Hurdle2IRR)^(1/12)+H24</f>
        <v/>
      </c>
      <c r="I28" s="402">
        <f>H28*(1+Hurdle2IRR)^(1/12)+I24</f>
        <v/>
      </c>
      <c r="J28" s="402">
        <f>I28*(1+Hurdle2IRR)^(1/12)+J24</f>
        <v/>
      </c>
      <c r="K28" s="402">
        <f>J28*(1+Hurdle2IRR)^(1/12)+K24</f>
        <v/>
      </c>
      <c r="L28" s="402">
        <f>K28*(1+Hurdle2IRR)^(1/12)+L24</f>
        <v/>
      </c>
      <c r="M28" s="402">
        <f>L28*(1+Hurdle2IRR)^(1/12)+M24</f>
        <v/>
      </c>
      <c r="N28" s="402">
        <f>M28*(1+Hurdle2IRR)^(1/12)+N24</f>
        <v/>
      </c>
      <c r="O28" s="402">
        <f>N28*(1+Hurdle2IRR)^(1/12)+O24</f>
        <v/>
      </c>
      <c r="P28" s="402">
        <f>O28*(1+Hurdle2IRR)^(1/12)+P24</f>
        <v/>
      </c>
      <c r="Q28" s="402">
        <f>P28*(1+Hurdle2IRR)^(1/12)+Q24</f>
        <v/>
      </c>
      <c r="R28" s="402">
        <f>Q28*(1+Hurdle2IRR)^(1/12)+R24</f>
        <v/>
      </c>
      <c r="S28" s="402">
        <f>R28*(1+Hurdle2IRR)^(1/12)+S24</f>
        <v/>
      </c>
      <c r="T28" s="402">
        <f>S28*(1+Hurdle2IRR)^(1/12)+T24</f>
        <v/>
      </c>
      <c r="U28" s="402">
        <f>T28*(1+Hurdle2IRR)^(1/12)+U24</f>
        <v/>
      </c>
      <c r="V28" s="402">
        <f>U28*(1+Hurdle2IRR)^(1/12)+V24</f>
        <v/>
      </c>
      <c r="W28" s="402">
        <f>V28*(1+Hurdle2IRR)^(1/12)+W24</f>
        <v/>
      </c>
      <c r="X28" s="402">
        <f>W28*(1+Hurdle2IRR)^(1/12)+X24</f>
        <v/>
      </c>
      <c r="Y28" s="402">
        <f>X28*(1+Hurdle2IRR)^(1/12)+Y24</f>
        <v/>
      </c>
      <c r="Z28" s="402">
        <f>Y28*(1+Hurdle2IRR)^(1/12)+Z24</f>
        <v/>
      </c>
      <c r="AA28" s="402">
        <f>Z28*(1+Hurdle2IRR)^(1/12)+AA24</f>
        <v/>
      </c>
      <c r="AB28" s="402">
        <f>AA28*(1+Hurdle2IRR)^(1/12)+AB24</f>
        <v/>
      </c>
      <c r="AC28" s="402">
        <f>AB28*(1+Hurdle2IRR)^(1/12)+AC24</f>
        <v/>
      </c>
      <c r="AD28" s="402">
        <f>AC28*(1+Hurdle2IRR)^(1/12)+AD24</f>
        <v/>
      </c>
      <c r="AE28" s="402">
        <f>AD28*(1+Hurdle2IRR)^(1/12)+AE24</f>
        <v/>
      </c>
      <c r="AF28" s="402">
        <f>AE28*(1+Hurdle2IRR)^(1/12)+AF24</f>
        <v/>
      </c>
      <c r="AG28" s="402">
        <f>AF28*(1+Hurdle2IRR)^(1/12)+AG24</f>
        <v/>
      </c>
      <c r="AH28" s="402">
        <f>AG28*(1+Hurdle2IRR)^(1/12)+AH24</f>
        <v/>
      </c>
      <c r="AI28" s="402">
        <f>AH28*(1+Hurdle2IRR)^(1/12)+AI24</f>
        <v/>
      </c>
      <c r="AJ28" s="402">
        <f>AI28*(1+Hurdle2IRR)^(1/12)+AJ24</f>
        <v/>
      </c>
      <c r="AK28" s="402">
        <f>AJ28*(1+Hurdle2IRR)^(1/12)+AK24</f>
        <v/>
      </c>
      <c r="AL28" s="402">
        <f>AK28*(1+Hurdle2IRR)^(1/12)+AL24</f>
        <v/>
      </c>
      <c r="AM28" s="402">
        <f>AL28*(1+Hurdle2IRR)^(1/12)+AM24</f>
        <v/>
      </c>
      <c r="AN28" s="402">
        <f>AM28*(1+Hurdle2IRR)^(1/12)+AN24</f>
        <v/>
      </c>
      <c r="AO28" s="402">
        <f>AN28*(1+Hurdle2IRR)^(1/12)+AO24</f>
        <v/>
      </c>
      <c r="AP28" s="402">
        <f>AO28*(1+Hurdle2IRR)^(1/12)+AP24</f>
        <v/>
      </c>
      <c r="AQ28" s="402">
        <f>AP28*(1+Hurdle2IRR)^(1/12)+AQ24</f>
        <v/>
      </c>
      <c r="AR28" s="402">
        <f>AQ28*(1+Hurdle2IRR)^(1/12)+AR24</f>
        <v/>
      </c>
      <c r="AS28" s="402">
        <f>AR28*(1+Hurdle2IRR)^(1/12)+AS24</f>
        <v/>
      </c>
      <c r="AT28" s="402">
        <f>AS28*(1+Hurdle2IRR)^(1/12)+AT24</f>
        <v/>
      </c>
      <c r="AU28" s="402">
        <f>AT28*(1+Hurdle2IRR)^(1/12)+AU24</f>
        <v/>
      </c>
      <c r="AV28" s="402">
        <f>AU28*(1+Hurdle2IRR)^(1/12)+AV24</f>
        <v/>
      </c>
      <c r="AW28" s="402">
        <f>AV28*(1+Hurdle2IRR)^(1/12)+AW24</f>
        <v/>
      </c>
      <c r="AX28" s="402">
        <f>AW28*(1+Hurdle2IRR)^(1/12)+AX24</f>
        <v/>
      </c>
      <c r="AY28" s="402">
        <f>AX28*(1+Hurdle2IRR)^(1/12)+AY24</f>
        <v/>
      </c>
      <c r="AZ28" s="402">
        <f>AY28*(1+Hurdle2IRR)^(1/12)+AZ24</f>
        <v/>
      </c>
      <c r="BA28" s="402">
        <f>AZ28*(1+Hurdle2IRR)^(1/12)+BA24</f>
        <v/>
      </c>
      <c r="BB28" s="402">
        <f>BA28*(1+Hurdle2IRR)^(1/12)+BB24</f>
        <v/>
      </c>
      <c r="BC28" s="402">
        <f>BB28*(1+Hurdle2IRR)^(1/12)+BC24</f>
        <v/>
      </c>
      <c r="BD28" s="402">
        <f>BC28*(1+Hurdle2IRR)^(1/12)+BD24</f>
        <v/>
      </c>
      <c r="BE28" s="402">
        <f>BD28*(1+Hurdle2IRR)^(1/12)+BE24</f>
        <v/>
      </c>
      <c r="BF28" s="402">
        <f>BE28*(1+Hurdle2IRR)^(1/12)+BF24</f>
        <v/>
      </c>
      <c r="BG28" s="402">
        <f>BF28*(1+Hurdle2IRR)^(1/12)+BG24</f>
        <v/>
      </c>
      <c r="BH28" s="402">
        <f>BG28*(1+Hurdle2IRR)^(1/12)+BH24</f>
        <v/>
      </c>
      <c r="BI28" s="402">
        <f>BH28*(1+Hurdle2IRR)^(1/12)+BI24</f>
        <v/>
      </c>
      <c r="BJ28" s="402">
        <f>BI28*(1+Hurdle2IRR)^(1/12)+BJ24</f>
        <v/>
      </c>
      <c r="BK28" s="402">
        <f>BJ28*(1+Hurdle2IRR)^(1/12)+BK24</f>
        <v/>
      </c>
      <c r="BL28" s="402">
        <f>BK28*(1+Hurdle2IRR)^(1/12)+BL24</f>
        <v/>
      </c>
      <c r="BM28" s="402">
        <f>BL28*(1+Hurdle2IRR)^(1/12)+BM24</f>
        <v/>
      </c>
      <c r="BN28" s="402">
        <f>BM28*(1+Hurdle2IRR)^(1/12)+BN24</f>
        <v/>
      </c>
      <c r="BO28" s="402">
        <f>BN28*(1+Hurdle2IRR)^(1/12)+BO24</f>
        <v/>
      </c>
      <c r="BP28" s="402">
        <f>BO28*(1+Hurdle2IRR)^(1/12)+BP24</f>
        <v/>
      </c>
      <c r="BQ28" s="402">
        <f>BP28*(1+Hurdle2IRR)^(1/12)+BQ24</f>
        <v/>
      </c>
      <c r="BR28" s="402">
        <f>BQ28*(1+Hurdle2IRR)^(1/12)+BR24</f>
        <v/>
      </c>
      <c r="BS28" s="402">
        <f>BR28*(1+Hurdle2IRR)^(1/12)+BS24</f>
        <v/>
      </c>
      <c r="BT28" s="402">
        <f>BS28*(1+Hurdle2IRR)^(1/12)+BT24</f>
        <v/>
      </c>
      <c r="BU28" s="402">
        <f>BT28*(1+Hurdle2IRR)^(1/12)+BU24</f>
        <v/>
      </c>
      <c r="BV28" s="402">
        <f>BU28*(1+Hurdle2IRR)^(1/12)+BV24</f>
        <v/>
      </c>
      <c r="BW28" s="402">
        <f>BV28*(1+Hurdle2IRR)^(1/12)+BW24</f>
        <v/>
      </c>
      <c r="BX28" s="402">
        <f>BW28*(1+Hurdle2IRR)^(1/12)+BX24</f>
        <v/>
      </c>
      <c r="BY28" s="402">
        <f>BX28*(1+Hurdle2IRR)^(1/12)+BY24</f>
        <v/>
      </c>
      <c r="BZ28" s="402">
        <f>BY28*(1+Hurdle2IRR)^(1/12)+BZ24</f>
        <v/>
      </c>
      <c r="CA28" s="402">
        <f>BZ28*(1+Hurdle2IRR)^(1/12)+CA24</f>
        <v/>
      </c>
      <c r="CB28" s="402">
        <f>CA28*(1+Hurdle2IRR)^(1/12)+CB24</f>
        <v/>
      </c>
      <c r="CC28" s="402">
        <f>CB28*(1+Hurdle2IRR)^(1/12)+CC24</f>
        <v/>
      </c>
      <c r="CD28" s="402">
        <f>CC28*(1+Hurdle2IRR)^(1/12)+CD24</f>
        <v/>
      </c>
      <c r="CE28" s="402">
        <f>CD28*(1+Hurdle2IRR)^(1/12)+CE24</f>
        <v/>
      </c>
      <c r="CF28" s="402">
        <f>CE28*(1+Hurdle2IRR)^(1/12)+CF24</f>
        <v/>
      </c>
      <c r="CG28" s="402">
        <f>CF28*(1+Hurdle2IRR)^(1/12)+CG24</f>
        <v/>
      </c>
      <c r="CH28" s="402">
        <f>CG28*(1+Hurdle2IRR)^(1/12)+CH24</f>
        <v/>
      </c>
      <c r="CI28" s="402">
        <f>CH28*(1+Hurdle2IRR)^(1/12)+CI24</f>
        <v/>
      </c>
      <c r="CJ28" s="402">
        <f>CI28*(1+Hurdle2IRR)^(1/12)+CJ24</f>
        <v/>
      </c>
      <c r="CK28" s="402">
        <f>CJ28*(1+Hurdle2IRR)^(1/12)+CK24</f>
        <v/>
      </c>
      <c r="CL28" s="402">
        <f>CK28*(1+Hurdle2IRR)^(1/12)+CL24</f>
        <v/>
      </c>
      <c r="CM28" s="402">
        <f>CL28*(1+Hurdle2IRR)^(1/12)+CM24</f>
        <v/>
      </c>
      <c r="CN28" s="402">
        <f>CM28*(1+Hurdle2IRR)^(1/12)+CN24</f>
        <v/>
      </c>
      <c r="CO28" s="402">
        <f>CN28*(1+Hurdle2IRR)^(1/12)+CO24</f>
        <v/>
      </c>
      <c r="CP28" s="402">
        <f>CO28*(1+Hurdle2IRR)^(1/12)+CP24</f>
        <v/>
      </c>
      <c r="CQ28" s="402">
        <f>CP28*(1+Hurdle2IRR)^(1/12)+CQ24</f>
        <v/>
      </c>
      <c r="CR28" s="402">
        <f>CQ28*(1+Hurdle2IRR)^(1/12)+CR24</f>
        <v/>
      </c>
      <c r="CS28" s="402">
        <f>CR28*(1+Hurdle2IRR)^(1/12)+CS24</f>
        <v/>
      </c>
      <c r="CT28" s="402">
        <f>CS28*(1+Hurdle2IRR)^(1/12)+CT24</f>
        <v/>
      </c>
      <c r="CU28" s="402">
        <f>CT28*(1+Hurdle2IRR)^(1/12)+CU24</f>
        <v/>
      </c>
      <c r="CV28" s="402">
        <f>CU28*(1+Hurdle2IRR)^(1/12)+CV24</f>
        <v/>
      </c>
      <c r="CW28" s="402">
        <f>CV28*(1+Hurdle2IRR)^(1/12)+CW24</f>
        <v/>
      </c>
      <c r="CX28" s="402">
        <f>CW28*(1+Hurdle2IRR)^(1/12)+CX24</f>
        <v/>
      </c>
      <c r="CY28" s="402">
        <f>CX28*(1+Hurdle2IRR)^(1/12)+CY24</f>
        <v/>
      </c>
      <c r="CZ28" s="402">
        <f>CY28*(1+Hurdle2IRR)^(1/12)+CZ24</f>
        <v/>
      </c>
      <c r="DA28" s="402">
        <f>CZ28*(1+Hurdle2IRR)^(1/12)+DA24</f>
        <v/>
      </c>
      <c r="DB28" s="402">
        <f>DA28*(1+Hurdle2IRR)^(1/12)+DB24</f>
        <v/>
      </c>
      <c r="DC28" s="402">
        <f>DB28*(1+Hurdle2IRR)^(1/12)+DC24</f>
        <v/>
      </c>
      <c r="DD28" s="402">
        <f>DC28*(1+Hurdle2IRR)^(1/12)+DD24</f>
        <v/>
      </c>
      <c r="DE28" s="402">
        <f>DD28*(1+Hurdle2IRR)^(1/12)+DE24</f>
        <v/>
      </c>
      <c r="DF28" s="402">
        <f>DE28*(1+Hurdle2IRR)^(1/12)+DF24</f>
        <v/>
      </c>
      <c r="DG28" s="402">
        <f>DF28*(1+Hurdle2IRR)^(1/12)+DG24</f>
        <v/>
      </c>
      <c r="DH28" s="402">
        <f>DG28*(1+Hurdle2IRR)^(1/12)+DH24</f>
        <v/>
      </c>
      <c r="DI28" s="402">
        <f>DH28*(1+Hurdle2IRR)^(1/12)+DI24</f>
        <v/>
      </c>
      <c r="DJ28" s="402">
        <f>DI28*(1+Hurdle2IRR)^(1/12)+DJ24</f>
        <v/>
      </c>
      <c r="DK28" s="402">
        <f>DJ28*(1+Hurdle2IRR)^(1/12)+DK24</f>
        <v/>
      </c>
      <c r="DL28" s="402">
        <f>DK28*(1+Hurdle2IRR)^(1/12)+DL24</f>
        <v/>
      </c>
      <c r="DM28" s="402">
        <f>DL28*(1+Hurdle2IRR)^(1/12)+DM24</f>
        <v/>
      </c>
      <c r="DN28" s="402">
        <f>DM28*(1+Hurdle2IRR)^(1/12)+DN24</f>
        <v/>
      </c>
      <c r="DO28" s="402">
        <f>DN28*(1+Hurdle2IRR)^(1/12)+DO24</f>
        <v/>
      </c>
      <c r="DP28" s="402">
        <f>DO28*(1+Hurdle2IRR)^(1/12)+DP24</f>
        <v/>
      </c>
      <c r="DQ28" s="402">
        <f>DP28*(1+Hurdle2IRR)^(1/12)+DQ24</f>
        <v/>
      </c>
      <c r="DR28" s="402">
        <f>DQ28*(1+Hurdle2IRR)^(1/12)+DR24</f>
        <v/>
      </c>
      <c r="DS28" s="402">
        <f>DR28*(1+Hurdle2IRR)^(1/12)+DS24</f>
        <v/>
      </c>
      <c r="DT28" s="402">
        <f>DS28*(1+Hurdle2IRR)^(1/12)+DT24</f>
        <v/>
      </c>
      <c r="DU28" s="402">
        <f>DT28*(1+Hurdle2IRR)^(1/12)+DU24</f>
        <v/>
      </c>
      <c r="DV28" s="402">
        <f>DU28*(1+Hurdle2IRR)^(1/12)+DV24</f>
        <v/>
      </c>
      <c r="DW28" s="402">
        <f>DV28*(1+Hurdle2IRR)^(1/12)+DW24</f>
        <v/>
      </c>
      <c r="DX28" s="402">
        <f>DW28*(1+Hurdle2IRR)^(1/12)+DX24</f>
        <v/>
      </c>
      <c r="DY28" s="402">
        <f>DX28*(1+Hurdle2IRR)^(1/12)+DY24</f>
        <v/>
      </c>
      <c r="DZ28" s="402">
        <f>DY28*(1+Hurdle2IRR)^(1/12)+DZ24</f>
        <v/>
      </c>
      <c r="EA28" s="402">
        <f>DZ28*(1+Hurdle2IRR)^(1/12)+EA24</f>
        <v/>
      </c>
      <c r="EB28" s="402">
        <f>EA28*(1+Hurdle2IRR)^(1/12)+EB24</f>
        <v/>
      </c>
      <c r="EC28" s="402">
        <f>EB28*(1+Hurdle2IRR)^(1/12)+EC24</f>
        <v/>
      </c>
      <c r="ED28" s="402">
        <f>EC28*(1+Hurdle2IRR)^(1/12)+ED24</f>
        <v/>
      </c>
      <c r="EE28" s="402">
        <f>ED28*(1+Hurdle2IRR)^(1/12)+EE24</f>
        <v/>
      </c>
      <c r="EF28" s="402">
        <f>EE28*(1+Hurdle2IRR)^(1/12)+EF24</f>
        <v/>
      </c>
      <c r="EG28" s="402">
        <f>EF28*(1+Hurdle2IRR)^(1/12)+EG24</f>
        <v/>
      </c>
      <c r="EH28" s="402">
        <f>EG28*(1+Hurdle2IRR)^(1/12)+EH24</f>
        <v/>
      </c>
      <c r="EI28" s="402">
        <f>EH28*(1+Hurdle2IRR)^(1/12)+EI24</f>
        <v/>
      </c>
      <c r="EJ28" s="402">
        <f>EI28*(1+Hurdle2IRR)^(1/12)+EJ24</f>
        <v/>
      </c>
      <c r="EK28" s="402">
        <f>EJ28*(1+Hurdle2IRR)^(1/12)+EK24</f>
        <v/>
      </c>
      <c r="EL28" s="402">
        <f>EK28*(1+Hurdle2IRR)^(1/12)+EL24</f>
        <v/>
      </c>
      <c r="EM28" s="402">
        <f>EL28*(1+Hurdle2IRR)^(1/12)+EM24</f>
        <v/>
      </c>
      <c r="EN28" s="402">
        <f>EM28*(1+Hurdle2IRR)^(1/12)+EN24</f>
        <v/>
      </c>
      <c r="EO28" s="402">
        <f>EN28*(1+Hurdle2IRR)^(1/12)+EO24</f>
        <v/>
      </c>
      <c r="EP28" s="402">
        <f>EO28*(1+Hurdle2IRR)^(1/12)+EP24</f>
        <v/>
      </c>
      <c r="EQ28" s="402">
        <f>EP28*(1+Hurdle2IRR)^(1/12)+EQ24</f>
        <v/>
      </c>
      <c r="ER28" s="402">
        <f>EQ28*(1+Hurdle2IRR)^(1/12)+ER24</f>
        <v/>
      </c>
      <c r="ES28" s="402">
        <f>ER28*(1+Hurdle2IRR)^(1/12)+ES24</f>
        <v/>
      </c>
      <c r="ET28" s="402">
        <f>ES28*(1+Hurdle2IRR)^(1/12)+ET24</f>
        <v/>
      </c>
      <c r="EU28" s="402">
        <f>ET28*(1+Hurdle2IRR)^(1/12)+EU24</f>
        <v/>
      </c>
      <c r="EV28" s="402">
        <f>EU28*(1+Hurdle2IRR)^(1/12)+EV24</f>
        <v/>
      </c>
      <c r="EW28" s="402">
        <f>EV28*(1+Hurdle2IRR)^(1/12)+EW24</f>
        <v/>
      </c>
      <c r="EX28" s="402">
        <f>EW28*(1+Hurdle2IRR)^(1/12)+EX24</f>
        <v/>
      </c>
      <c r="EY28" s="402">
        <f>EX28*(1+Hurdle2IRR)^(1/12)+EY24</f>
        <v/>
      </c>
      <c r="EZ28" s="402">
        <f>EY28*(1+Hurdle2IRR)^(1/12)+EZ24</f>
        <v/>
      </c>
      <c r="FA28" s="402">
        <f>EZ28*(1+Hurdle2IRR)^(1/12)+FA24</f>
        <v/>
      </c>
      <c r="FB28" s="402">
        <f>FA28*(1+Hurdle2IRR)^(1/12)+FB24</f>
        <v/>
      </c>
      <c r="FC28" s="402">
        <f>FB28*(1+Hurdle2IRR)^(1/12)+FC24</f>
        <v/>
      </c>
      <c r="FD28" s="402">
        <f>FC28*(1+Hurdle2IRR)^(1/12)+FD24</f>
        <v/>
      </c>
      <c r="FE28" s="402">
        <f>FD28*(1+Hurdle2IRR)^(1/12)+FE24</f>
        <v/>
      </c>
      <c r="FF28" s="402">
        <f>FE28*(1+Hurdle2IRR)^(1/12)+FF24</f>
        <v/>
      </c>
      <c r="FG28" s="402">
        <f>FF28*(1+Hurdle2IRR)^(1/12)+FG24</f>
        <v/>
      </c>
      <c r="FH28" s="402">
        <f>FG28*(1+Hurdle2IRR)^(1/12)+FH24</f>
        <v/>
      </c>
      <c r="FI28" s="402">
        <f>FH28*(1+Hurdle2IRR)^(1/12)+FI24</f>
        <v/>
      </c>
      <c r="FJ28" s="402">
        <f>FI28*(1+Hurdle2IRR)^(1/12)+FJ24</f>
        <v/>
      </c>
      <c r="FK28" s="402">
        <f>FJ28*(1+Hurdle2IRR)^(1/12)+FK24</f>
        <v/>
      </c>
      <c r="FL28" s="402">
        <f>FK28*(1+Hurdle2IRR)^(1/12)+FL24</f>
        <v/>
      </c>
      <c r="FM28" s="402">
        <f>FL28*(1+Hurdle2IRR)^(1/12)+FM24</f>
        <v/>
      </c>
      <c r="FN28" s="402">
        <f>FM28*(1+Hurdle2IRR)^(1/12)+FN24</f>
        <v/>
      </c>
      <c r="FO28" s="402">
        <f>FN28*(1+Hurdle2IRR)^(1/12)+FO24</f>
        <v/>
      </c>
      <c r="FP28" s="402">
        <f>FO28*(1+Hurdle2IRR)^(1/12)+FP24</f>
        <v/>
      </c>
      <c r="FQ28" s="402">
        <f>FP28*(1+Hurdle2IRR)^(1/12)+FQ24</f>
        <v/>
      </c>
      <c r="FR28" s="402">
        <f>FQ28*(1+Hurdle2IRR)^(1/12)+FR24</f>
        <v/>
      </c>
      <c r="FS28" s="402">
        <f>FR28*(1+Hurdle2IRR)^(1/12)+FS24</f>
        <v/>
      </c>
      <c r="FT28" s="402">
        <f>FS28*(1+Hurdle2IRR)^(1/12)+FT24</f>
        <v/>
      </c>
      <c r="FU28" s="402">
        <f>FT28*(1+Hurdle2IRR)^(1/12)+FU24</f>
        <v/>
      </c>
      <c r="FV28" s="402">
        <f>FU28*(1+Hurdle2IRR)^(1/12)+FV24</f>
        <v/>
      </c>
      <c r="FW28" s="402">
        <f>FV28*(1+Hurdle2IRR)^(1/12)+FW24</f>
        <v/>
      </c>
      <c r="FX28" s="402">
        <f>FW28*(1+Hurdle2IRR)^(1/12)+FX24</f>
        <v/>
      </c>
      <c r="FY28" s="402">
        <f>FX28*(1+Hurdle2IRR)^(1/12)+FY24</f>
        <v/>
      </c>
      <c r="FZ28" s="402">
        <f>FY28*(1+Hurdle2IRR)^(1/12)+FZ24</f>
        <v/>
      </c>
      <c r="GA28" s="402">
        <f>FZ28*(1+Hurdle2IRR)^(1/12)+GA24</f>
        <v/>
      </c>
      <c r="GB28" s="402">
        <f>GA28*(1+Hurdle2IRR)^(1/12)+GB24</f>
        <v/>
      </c>
      <c r="GC28" s="402">
        <f>GB28*(1+Hurdle2IRR)^(1/12)+GC24</f>
        <v/>
      </c>
      <c r="GD28" s="402">
        <f>GC28*(1+Hurdle2IRR)^(1/12)+GD24</f>
        <v/>
      </c>
      <c r="GE28" s="402">
        <f>GD28*(1+Hurdle2IRR)^(1/12)+GE24</f>
        <v/>
      </c>
      <c r="GF28" s="402">
        <f>GE28*(1+Hurdle2IRR)^(1/12)+GF24</f>
        <v/>
      </c>
      <c r="GG28" s="402">
        <f>GF28*(1+Hurdle2IRR)^(1/12)+GG24</f>
        <v/>
      </c>
      <c r="GH28" s="402">
        <f>GG28*(1+Hurdle2IRR)^(1/12)+GH24</f>
        <v/>
      </c>
      <c r="GI28" s="402">
        <f>GH28*(1+Hurdle2IRR)^(1/12)+GI24</f>
        <v/>
      </c>
      <c r="GJ28" s="402">
        <f>GI28*(1+Hurdle2IRR)^(1/12)+GJ24</f>
        <v/>
      </c>
      <c r="GK28" s="402">
        <f>GJ28*(1+Hurdle2IRR)^(1/12)+GK24</f>
        <v/>
      </c>
      <c r="GL28" s="402">
        <f>GK28*(1+Hurdle2IRR)^(1/12)+GL24</f>
        <v/>
      </c>
      <c r="GM28" s="402">
        <f>GL28*(1+Hurdle2IRR)^(1/12)+GM24</f>
        <v/>
      </c>
      <c r="GN28" s="402">
        <f>GM28*(1+Hurdle2IRR)^(1/12)+GN24</f>
        <v/>
      </c>
      <c r="GO28" s="402">
        <f>GN28*(1+Hurdle2IRR)^(1/12)+GO24</f>
        <v/>
      </c>
      <c r="GP28" s="402">
        <f>GO28*(1+Hurdle2IRR)^(1/12)+GP24</f>
        <v/>
      </c>
      <c r="GQ28" s="402">
        <f>GP28*(1+Hurdle2IRR)^(1/12)+GQ24</f>
        <v/>
      </c>
      <c r="GR28" s="402">
        <f>GQ28*(1+Hurdle2IRR)^(1/12)+GR24</f>
        <v/>
      </c>
      <c r="GS28" s="402">
        <f>GR28*(1+Hurdle2IRR)^(1/12)+GS24</f>
        <v/>
      </c>
      <c r="GT28" s="402">
        <f>GS28*(1+Hurdle2IRR)^(1/12)+GT24</f>
        <v/>
      </c>
      <c r="GU28" s="402">
        <f>GT28*(1+Hurdle2IRR)^(1/12)+GU24</f>
        <v/>
      </c>
      <c r="GV28" s="402">
        <f>GU28*(1+Hurdle2IRR)^(1/12)+GV24</f>
        <v/>
      </c>
      <c r="GW28" s="402">
        <f>GV28*(1+Hurdle2IRR)^(1/12)+GW24</f>
        <v/>
      </c>
      <c r="GX28" s="402">
        <f>GW28*(1+Hurdle2IRR)^(1/12)+GX24</f>
        <v/>
      </c>
      <c r="GY28" s="402">
        <f>GX28*(1+Hurdle2IRR)^(1/12)+GY24</f>
        <v/>
      </c>
      <c r="GZ28" s="402">
        <f>GY28*(1+Hurdle2IRR)^(1/12)+GZ24</f>
        <v/>
      </c>
      <c r="HA28" s="402">
        <f>GZ28*(1+Hurdle2IRR)^(1/12)+HA24</f>
        <v/>
      </c>
      <c r="HB28" s="402">
        <f>HA28*(1+Hurdle2IRR)^(1/12)+HB24</f>
        <v/>
      </c>
      <c r="HC28" s="402">
        <f>HB28*(1+Hurdle2IRR)^(1/12)+HC24</f>
        <v/>
      </c>
      <c r="HD28" s="402">
        <f>HC28*(1+Hurdle2IRR)^(1/12)+HD24</f>
        <v/>
      </c>
      <c r="HE28" s="402">
        <f>HD28*(1+Hurdle2IRR)^(1/12)+HE24</f>
        <v/>
      </c>
      <c r="HF28" s="402">
        <f>HE28*(1+Hurdle2IRR)^(1/12)+HF24</f>
        <v/>
      </c>
      <c r="HG28" s="402">
        <f>HF28*(1+Hurdle2IRR)^(1/12)+HG24</f>
        <v/>
      </c>
      <c r="HH28" s="402">
        <f>HG28*(1+Hurdle2IRR)^(1/12)+HH24</f>
        <v/>
      </c>
      <c r="HI28" s="402">
        <f>HH28*(1+Hurdle2IRR)^(1/12)+HI24</f>
        <v/>
      </c>
      <c r="HJ28" s="402">
        <f>HI28*(1+Hurdle2IRR)^(1/12)+HJ24</f>
        <v/>
      </c>
      <c r="HK28" s="402">
        <f>HJ28*(1+Hurdle2IRR)^(1/12)+HK24</f>
        <v/>
      </c>
      <c r="HL28" s="402">
        <f>HK28*(1+Hurdle2IRR)^(1/12)+HL24</f>
        <v/>
      </c>
      <c r="HM28" s="402">
        <f>HL28*(1+Hurdle2IRR)^(1/12)+HM24</f>
        <v/>
      </c>
      <c r="HN28" s="402">
        <f>HM28*(1+Hurdle2IRR)^(1/12)+HN24</f>
        <v/>
      </c>
      <c r="HO28" s="402">
        <f>HN28*(1+Hurdle2IRR)^(1/12)+HO24</f>
        <v/>
      </c>
      <c r="HP28" s="402">
        <f>HO28*(1+Hurdle2IRR)^(1/12)+HP24</f>
        <v/>
      </c>
      <c r="HQ28" s="402">
        <f>HP28*(1+Hurdle2IRR)^(1/12)+HQ24</f>
        <v/>
      </c>
      <c r="HR28" s="402">
        <f>HQ28*(1+Hurdle2IRR)^(1/12)+HR24</f>
        <v/>
      </c>
      <c r="HS28" s="402">
        <f>HR28*(1+Hurdle2IRR)^(1/12)+HS24</f>
        <v/>
      </c>
      <c r="HT28" s="402">
        <f>HS28*(1+Hurdle2IRR)^(1/12)+HT24</f>
        <v/>
      </c>
      <c r="HU28" s="402">
        <f>HT28*(1+Hurdle2IRR)^(1/12)+HU24</f>
        <v/>
      </c>
      <c r="HV28" s="402">
        <f>HU28*(1+Hurdle2IRR)^(1/12)+HV24</f>
        <v/>
      </c>
      <c r="HW28" s="402">
        <f>HV28*(1+Hurdle2IRR)^(1/12)+HW24</f>
        <v/>
      </c>
      <c r="HX28" s="402">
        <f>HW28*(1+Hurdle2IRR)^(1/12)+HX24</f>
        <v/>
      </c>
      <c r="HY28" s="402">
        <f>HX28*(1+Hurdle2IRR)^(1/12)+HY24</f>
        <v/>
      </c>
      <c r="HZ28" s="402">
        <f>HY28*(1+Hurdle2IRR)^(1/12)+HZ24</f>
        <v/>
      </c>
      <c r="IA28" s="402">
        <f>HZ28*(1+Hurdle2IRR)^(1/12)+IA24</f>
        <v/>
      </c>
      <c r="IB28" s="402">
        <f>IA28*(1+Hurdle2IRR)^(1/12)+IB24</f>
        <v/>
      </c>
      <c r="IC28" s="402">
        <f>IB28*(1+Hurdle2IRR)^(1/12)+IC24</f>
        <v/>
      </c>
      <c r="ID28" s="402">
        <f>IC28*(1+Hurdle2IRR)^(1/12)+ID24</f>
        <v/>
      </c>
      <c r="IE28" s="402">
        <f>ID28*(1+Hurdle2IRR)^(1/12)+IE24</f>
        <v/>
      </c>
      <c r="IF28" s="402">
        <f>IE28*(1+Hurdle2IRR)^(1/12)+IF24</f>
        <v/>
      </c>
      <c r="IG28" s="402">
        <f>IF28*(1+Hurdle2IRR)^(1/12)+IG24</f>
        <v/>
      </c>
      <c r="IH28" s="402">
        <f>IG28*(1+Hurdle2IRR)^(1/12)+IH24</f>
        <v/>
      </c>
      <c r="II28" s="402">
        <f>IH28*(1+Hurdle2IRR)^(1/12)+II24</f>
        <v/>
      </c>
      <c r="IJ28" s="402">
        <f>II28*(1+Hurdle2IRR)^(1/12)+IJ24</f>
        <v/>
      </c>
      <c r="IK28" s="402">
        <f>IJ28*(1+Hurdle2IRR)^(1/12)+IK24</f>
        <v/>
      </c>
      <c r="IL28" s="402">
        <f>IK28*(1+Hurdle2IRR)^(1/12)+IL24</f>
        <v/>
      </c>
      <c r="IM28" s="402">
        <f>IL28*(1+Hurdle2IRR)^(1/12)+IM24</f>
        <v/>
      </c>
      <c r="IN28" s="402">
        <f>IM28*(1+Hurdle2IRR)^(1/12)+IN24</f>
        <v/>
      </c>
      <c r="IO28" s="402">
        <f>IN28*(1+Hurdle2IRR)^(1/12)+IO24</f>
        <v/>
      </c>
      <c r="IP28" s="402">
        <f>IO28*(1+Hurdle2IRR)^(1/12)+IP24</f>
        <v/>
      </c>
      <c r="IQ28" s="402">
        <f>IP28*(1+Hurdle2IRR)^(1/12)+IQ24</f>
        <v/>
      </c>
      <c r="IR28" s="402">
        <f>IQ28*(1+Hurdle2IRR)^(1/12)+IR24</f>
        <v/>
      </c>
      <c r="IS28" s="402">
        <f>IR28*(1+Hurdle2IRR)^(1/12)+IS24</f>
        <v/>
      </c>
      <c r="IT28" s="402">
        <f>IS28*(1+Hurdle2IRR)^(1/12)+IT24</f>
        <v/>
      </c>
      <c r="IU28" s="402">
        <f>IT28*(1+Hurdle2IRR)^(1/12)+IU24</f>
        <v/>
      </c>
      <c r="IV28" s="402">
        <f>IU28*(1+Hurdle2IRR)^(1/12)+IV24</f>
        <v/>
      </c>
      <c r="IW28" s="402">
        <f>IV28*(1+Hurdle2IRR)^(1/12)+IW24</f>
        <v/>
      </c>
      <c r="IX28" s="402">
        <f>IW28*(1+Hurdle2IRR)^(1/12)+IX24</f>
        <v/>
      </c>
      <c r="IY28" s="402">
        <f>IX28*(1+Hurdle2IRR)^(1/12)+IY24</f>
        <v/>
      </c>
      <c r="IZ28" s="402">
        <f>IY28*(1+Hurdle2IRR)^(1/12)+IZ24</f>
        <v/>
      </c>
      <c r="JA28" s="402">
        <f>IZ28*(1+Hurdle2IRR)^(1/12)+JA24</f>
        <v/>
      </c>
      <c r="JB28" s="402">
        <f>JA28*(1+Hurdle2IRR)^(1/12)+JB24</f>
        <v/>
      </c>
      <c r="JC28" s="402">
        <f>JB28*(1+Hurdle2IRR)^(1/12)+JC24</f>
        <v/>
      </c>
      <c r="JD28" s="402">
        <f>JC28*(1+Hurdle2IRR)^(1/12)+JD24</f>
        <v/>
      </c>
      <c r="JE28" s="402">
        <f>JD28*(1+Hurdle2IRR)^(1/12)+JE24</f>
        <v/>
      </c>
      <c r="JF28" s="402">
        <f>JE28*(1+Hurdle2IRR)^(1/12)+JF24</f>
        <v/>
      </c>
      <c r="JG28" s="402">
        <f>JF28*(1+Hurdle2IRR)^(1/12)+JG24</f>
        <v/>
      </c>
      <c r="JH28" s="402">
        <f>JG28*(1+Hurdle2IRR)^(1/12)+JH24</f>
        <v/>
      </c>
      <c r="JI28" s="402">
        <f>JH28*(1+Hurdle2IRR)^(1/12)+JI24</f>
        <v/>
      </c>
      <c r="JJ28" s="402">
        <f>JI28*(1+Hurdle2IRR)^(1/12)+JJ24</f>
        <v/>
      </c>
      <c r="JK28" s="402">
        <f>JJ28*(1+Hurdle2IRR)^(1/12)+JK24</f>
        <v/>
      </c>
      <c r="JL28" s="402">
        <f>JK28*(1+Hurdle2IRR)^(1/12)+JL24</f>
        <v/>
      </c>
      <c r="JM28" s="402">
        <f>JL28*(1+Hurdle2IRR)^(1/12)+JM24</f>
        <v/>
      </c>
      <c r="JN28" s="402">
        <f>JM28*(1+Hurdle2IRR)^(1/12)+JN24</f>
        <v/>
      </c>
      <c r="JO28" s="402">
        <f>JN28*(1+Hurdle2IRR)^(1/12)+JO24</f>
        <v/>
      </c>
      <c r="JP28" s="402">
        <f>JO28*(1+Hurdle2IRR)^(1/12)+JP24</f>
        <v/>
      </c>
      <c r="JQ28" s="402">
        <f>JP28*(1+Hurdle2IRR)^(1/12)+JQ24</f>
        <v/>
      </c>
      <c r="JR28" s="402">
        <f>JQ28*(1+Hurdle2IRR)^(1/12)+JR24</f>
        <v/>
      </c>
      <c r="JS28" s="402">
        <f>JR28*(1+Hurdle2IRR)^(1/12)+JS24</f>
        <v/>
      </c>
      <c r="JT28" s="402">
        <f>JS28*(1+Hurdle2IRR)^(1/12)+JT24</f>
        <v/>
      </c>
      <c r="JU28" s="402">
        <f>JT28*(1+Hurdle2IRR)^(1/12)+JU24</f>
        <v/>
      </c>
      <c r="JV28" s="402">
        <f>JU28*(1+Hurdle2IRR)^(1/12)+JV24</f>
        <v/>
      </c>
      <c r="JW28" s="402">
        <f>JV28*(1+Hurdle2IRR)^(1/12)+JW24</f>
        <v/>
      </c>
      <c r="JX28" s="402">
        <f>JW28*(1+Hurdle2IRR)^(1/12)+JX24</f>
        <v/>
      </c>
      <c r="JY28" s="402">
        <f>JX28*(1+Hurdle2IRR)^(1/12)+JY24</f>
        <v/>
      </c>
      <c r="JZ28" s="402">
        <f>JY28*(1+Hurdle2IRR)^(1/12)+JZ24</f>
        <v/>
      </c>
      <c r="KA28" s="402">
        <f>JZ28*(1+Hurdle2IRR)^(1/12)+KA24</f>
        <v/>
      </c>
      <c r="KB28" s="402">
        <f>KA28*(1+Hurdle2IRR)^(1/12)+KB24</f>
        <v/>
      </c>
      <c r="KC28" s="402">
        <f>KB28*(1+Hurdle2IRR)^(1/12)+KC24</f>
        <v/>
      </c>
      <c r="KD28" s="402">
        <f>KC28*(1+Hurdle2IRR)^(1/12)+KD24</f>
        <v/>
      </c>
      <c r="KE28" s="402">
        <f>KD28*(1+Hurdle2IRR)^(1/12)+KE24</f>
        <v/>
      </c>
      <c r="KF28" s="402">
        <f>KE28*(1+Hurdle2IRR)^(1/12)+KF24</f>
        <v/>
      </c>
      <c r="KG28" s="402">
        <f>KF28*(1+Hurdle2IRR)^(1/12)+KG24</f>
        <v/>
      </c>
      <c r="KH28" s="402">
        <f>KG28*(1+Hurdle2IRR)^(1/12)+KH24</f>
        <v/>
      </c>
      <c r="KI28" s="402">
        <f>KH28*(1+Hurdle2IRR)^(1/12)+KI24</f>
        <v/>
      </c>
      <c r="KJ28" s="402">
        <f>KI28*(1+Hurdle2IRR)^(1/12)+KJ24</f>
        <v/>
      </c>
      <c r="KK28" s="402">
        <f>KJ28*(1+Hurdle2IRR)^(1/12)+KK24</f>
        <v/>
      </c>
      <c r="KL28" s="402">
        <f>KK28*(1+Hurdle2IRR)^(1/12)+KL24</f>
        <v/>
      </c>
      <c r="KM28" s="402">
        <f>KL28*(1+Hurdle2IRR)^(1/12)+KM24</f>
        <v/>
      </c>
      <c r="KN28" s="402">
        <f>KM28*(1+Hurdle2IRR)^(1/12)+KN24</f>
        <v/>
      </c>
      <c r="KO28" s="402">
        <f>KN28*(1+Hurdle2IRR)^(1/12)+KO24</f>
        <v/>
      </c>
      <c r="KP28" s="402">
        <f>KO28*(1+Hurdle2IRR)^(1/12)+KP24</f>
        <v/>
      </c>
      <c r="KQ28" s="402">
        <f>KP28*(1+Hurdle2IRR)^(1/12)+KQ24</f>
        <v/>
      </c>
      <c r="KR28" s="402">
        <f>KQ28*(1+Hurdle2IRR)^(1/12)+KR24</f>
        <v/>
      </c>
      <c r="KS28" s="402">
        <f>KR28*(1+Hurdle2IRR)^(1/12)+KS24</f>
        <v/>
      </c>
      <c r="KT28" s="402">
        <f>KS28*(1+Hurdle2IRR)^(1/12)+KT24</f>
        <v/>
      </c>
      <c r="KU28" s="402">
        <f>KT28*(1+Hurdle2IRR)^(1/12)+KU24</f>
        <v/>
      </c>
      <c r="KV28" s="402">
        <f>KU28*(1+Hurdle2IRR)^(1/12)+KV24</f>
        <v/>
      </c>
      <c r="KW28" s="402">
        <f>KV28*(1+Hurdle2IRR)^(1/12)+KW24</f>
        <v/>
      </c>
      <c r="KX28" s="402">
        <f>KW28*(1+Hurdle2IRR)^(1/12)+KX24</f>
        <v/>
      </c>
      <c r="KY28" s="402">
        <f>KX28*(1+Hurdle2IRR)^(1/12)+KY24</f>
        <v/>
      </c>
      <c r="KZ28" s="402">
        <f>KY28*(1+Hurdle2IRR)^(1/12)+KZ24</f>
        <v/>
      </c>
      <c r="LA28" s="402">
        <f>KZ28*(1+Hurdle2IRR)^(1/12)+LA24</f>
        <v/>
      </c>
      <c r="LB28" s="402">
        <f>LA28*(1+Hurdle2IRR)^(1/12)+LB24</f>
        <v/>
      </c>
      <c r="LC28" s="402">
        <f>LB28*(1+Hurdle2IRR)^(1/12)+LC24</f>
        <v/>
      </c>
      <c r="LD28" s="402">
        <f>LC28*(1+Hurdle2IRR)^(1/12)+LD24</f>
        <v/>
      </c>
      <c r="LE28" s="402">
        <f>LD28*(1+Hurdle2IRR)^(1/12)+LE24</f>
        <v/>
      </c>
      <c r="LF28" s="402">
        <f>LE28*(1+Hurdle2IRR)^(1/12)+LF24</f>
        <v/>
      </c>
      <c r="LG28" s="402">
        <f>LF28*(1+Hurdle2IRR)^(1/12)+LG24</f>
        <v/>
      </c>
      <c r="LH28" s="402">
        <f>LG28*(1+Hurdle2IRR)^(1/12)+LH24</f>
        <v/>
      </c>
      <c r="LI28" s="402">
        <f>LH28*(1+Hurdle2IRR)^(1/12)+LI24</f>
        <v/>
      </c>
      <c r="LJ28" s="402">
        <f>LI28*(1+Hurdle2IRR)^(1/12)+LJ24</f>
        <v/>
      </c>
      <c r="LK28" s="402">
        <f>LJ28*(1+Hurdle2IRR)^(1/12)+LK24</f>
        <v/>
      </c>
      <c r="LL28" s="402">
        <f>LK28*(1+Hurdle2IRR)^(1/12)+LL24</f>
        <v/>
      </c>
      <c r="LM28" s="402">
        <f>LL28*(1+Hurdle2IRR)^(1/12)+LM24</f>
        <v/>
      </c>
      <c r="LN28" s="402">
        <f>LM28*(1+Hurdle2IRR)^(1/12)+LN24</f>
        <v/>
      </c>
      <c r="LO28" s="402">
        <f>LN28*(1+Hurdle2IRR)^(1/12)+LO24</f>
        <v/>
      </c>
      <c r="LP28" s="402">
        <f>LO28*(1+Hurdle2IRR)^(1/12)+LP24</f>
        <v/>
      </c>
      <c r="LQ28" s="402">
        <f>LP28*(1+Hurdle2IRR)^(1/12)+LQ24</f>
        <v/>
      </c>
      <c r="LR28" s="402">
        <f>LQ28*(1+Hurdle2IRR)^(1/12)+LR24</f>
        <v/>
      </c>
      <c r="LS28" s="402">
        <f>LR28*(1+Hurdle2IRR)^(1/12)+LS24</f>
        <v/>
      </c>
      <c r="LT28" s="402">
        <f>LS28*(1+Hurdle2IRR)^(1/12)+LT24</f>
        <v/>
      </c>
      <c r="LU28" s="402">
        <f>LT28*(1+Hurdle2IRR)^(1/12)+LU24</f>
        <v/>
      </c>
      <c r="LV28" s="402">
        <f>LU28*(1+Hurdle2IRR)^(1/12)+LV24</f>
        <v/>
      </c>
      <c r="LW28" s="402">
        <f>LV28*(1+Hurdle2IRR)^(1/12)+LW24</f>
        <v/>
      </c>
      <c r="LX28" s="402">
        <f>LW28*(1+Hurdle2IRR)^(1/12)+LX24</f>
        <v/>
      </c>
      <c r="LY28" s="402">
        <f>LX28*(1+Hurdle2IRR)^(1/12)+LY24</f>
        <v/>
      </c>
      <c r="LZ28" s="402">
        <f>LY28*(1+Hurdle2IRR)^(1/12)+LZ24</f>
        <v/>
      </c>
      <c r="MA28" s="402">
        <f>LZ28*(1+Hurdle2IRR)^(1/12)+MA24</f>
        <v/>
      </c>
      <c r="MB28" s="402">
        <f>MA28*(1+Hurdle2IRR)^(1/12)+MB24</f>
        <v/>
      </c>
      <c r="MC28" s="402">
        <f>MB28*(1+Hurdle2IRR)^(1/12)+MC24</f>
        <v/>
      </c>
      <c r="MD28" s="402">
        <f>MC28*(1+Hurdle2IRR)^(1/12)+MD24</f>
        <v/>
      </c>
      <c r="ME28" s="402">
        <f>MD28*(1+Hurdle2IRR)^(1/12)+ME24</f>
        <v/>
      </c>
      <c r="MF28" s="402">
        <f>ME28*(1+Hurdle2IRR)^(1/12)+MF24</f>
        <v/>
      </c>
      <c r="MG28" s="402">
        <f>MF28*(1+Hurdle2IRR)^(1/12)+MG24</f>
        <v/>
      </c>
      <c r="MH28" s="402">
        <f>MG28*(1+Hurdle2IRR)^(1/12)+MH24</f>
        <v/>
      </c>
      <c r="MI28" s="402">
        <f>MH28*(1+Hurdle2IRR)^(1/12)+MI24</f>
        <v/>
      </c>
      <c r="MJ28" s="402">
        <f>MI28*(1+Hurdle2IRR)^(1/12)+MJ24</f>
        <v/>
      </c>
      <c r="MK28" s="402">
        <f>MJ28*(1+Hurdle2IRR)^(1/12)+MK24</f>
        <v/>
      </c>
      <c r="ML28" s="402">
        <f>MK28*(1+Hurdle2IRR)^(1/12)+ML24</f>
        <v/>
      </c>
      <c r="MM28" s="402">
        <f>ML28*(1+Hurdle2IRR)^(1/12)+MM24</f>
        <v/>
      </c>
      <c r="MN28" s="402">
        <f>MM28*(1+Hurdle2IRR)^(1/12)+MN24</f>
        <v/>
      </c>
      <c r="MO28" s="402">
        <f>MN28*(1+Hurdle2IRR)^(1/12)+MO24</f>
        <v/>
      </c>
      <c r="MP28" s="402">
        <f>MO28*(1+Hurdle2IRR)^(1/12)+MP24</f>
        <v/>
      </c>
      <c r="MQ28" s="402">
        <f>MP28*(1+Hurdle2IRR)^(1/12)+MQ24</f>
        <v/>
      </c>
      <c r="MR28" s="402">
        <f>MQ28*(1+Hurdle2IRR)^(1/12)+MR24</f>
        <v/>
      </c>
      <c r="MS28" s="402">
        <f>MR28*(1+Hurdle2IRR)^(1/12)+MS24</f>
        <v/>
      </c>
      <c r="MT28" s="402">
        <f>MS28*(1+Hurdle2IRR)^(1/12)+MT24</f>
        <v/>
      </c>
      <c r="MU28" s="402">
        <f>MT28*(1+Hurdle2IRR)^(1/12)+MU24</f>
        <v/>
      </c>
      <c r="MV28" s="402">
        <f>MU28*(1+Hurdle2IRR)^(1/12)+MV24</f>
        <v/>
      </c>
      <c r="MW28" s="402">
        <f>MV28*(1+Hurdle2IRR)^(1/12)+MW24</f>
        <v/>
      </c>
      <c r="MX28" s="402">
        <f>MW28*(1+Hurdle2IRR)^(1/12)+MX24</f>
        <v/>
      </c>
      <c r="MY28" s="402">
        <f>MX28*(1+Hurdle2IRR)^(1/12)+MY24</f>
        <v/>
      </c>
      <c r="MZ28" s="402">
        <f>MY28*(1+Hurdle2IRR)^(1/12)+MZ24</f>
        <v/>
      </c>
      <c r="NA28" s="402">
        <f>MZ28*(1+Hurdle2IRR)^(1/12)+NA24</f>
        <v/>
      </c>
      <c r="NB28" s="402">
        <f>NA28*(1+Hurdle2IRR)^(1/12)+NB24</f>
        <v/>
      </c>
      <c r="NC28" s="402">
        <f>NB28*(1+Hurdle2IRR)^(1/12)+NC24</f>
        <v/>
      </c>
      <c r="ND28" s="402">
        <f>NC28*(1+Hurdle2IRR)^(1/12)+ND24</f>
        <v/>
      </c>
      <c r="NE28" s="402">
        <f>ND28*(1+Hurdle2IRR)^(1/12)+NE24</f>
        <v/>
      </c>
      <c r="NF28" s="402">
        <f>NE28*(1+Hurdle2IRR)^(1/12)+NF24</f>
        <v/>
      </c>
      <c r="NG28" s="402">
        <f>NF28*(1+Hurdle2IRR)^(1/12)+NG24</f>
        <v/>
      </c>
      <c r="NH28" s="402">
        <f>NG28*(1+Hurdle2IRR)^(1/12)+NH24</f>
        <v/>
      </c>
      <c r="NI28" s="402">
        <f>NH28*(1+Hurdle2IRR)^(1/12)+NI24</f>
        <v/>
      </c>
      <c r="NJ28" s="402">
        <f>NI28*(1+Hurdle2IRR)^(1/12)+NJ24</f>
        <v/>
      </c>
      <c r="NK28" s="402">
        <f>NJ28*(1+Hurdle2IRR)^(1/12)+NK24</f>
        <v/>
      </c>
      <c r="NL28" s="402">
        <f>NK28*(1+Hurdle2IRR)^(1/12)+NL24</f>
        <v/>
      </c>
    </row>
    <row r="29">
      <c r="B29" s="316" t="inlineStr">
        <is>
          <t>Accrued @ Hurdle 3</t>
        </is>
      </c>
      <c r="D29" s="402">
        <f>INDEX(E29:NL29,HoldPeriodMonths)</f>
        <v/>
      </c>
      <c r="E29" s="402">
        <f>0*(1+Hurdle3IRR)^(1/12)+E24</f>
        <v/>
      </c>
      <c r="F29" s="402">
        <f>E29*(1+Hurdle3IRR)^(1/12)+F24</f>
        <v/>
      </c>
      <c r="G29" s="402">
        <f>F29*(1+Hurdle3IRR)^(1/12)+G24</f>
        <v/>
      </c>
      <c r="H29" s="402">
        <f>G29*(1+Hurdle3IRR)^(1/12)+H24</f>
        <v/>
      </c>
      <c r="I29" s="402">
        <f>H29*(1+Hurdle3IRR)^(1/12)+I24</f>
        <v/>
      </c>
      <c r="J29" s="402">
        <f>I29*(1+Hurdle3IRR)^(1/12)+J24</f>
        <v/>
      </c>
      <c r="K29" s="402">
        <f>J29*(1+Hurdle3IRR)^(1/12)+K24</f>
        <v/>
      </c>
      <c r="L29" s="402">
        <f>K29*(1+Hurdle3IRR)^(1/12)+L24</f>
        <v/>
      </c>
      <c r="M29" s="402">
        <f>L29*(1+Hurdle3IRR)^(1/12)+M24</f>
        <v/>
      </c>
      <c r="N29" s="402">
        <f>M29*(1+Hurdle3IRR)^(1/12)+N24</f>
        <v/>
      </c>
      <c r="O29" s="402">
        <f>N29*(1+Hurdle3IRR)^(1/12)+O24</f>
        <v/>
      </c>
      <c r="P29" s="402">
        <f>O29*(1+Hurdle3IRR)^(1/12)+P24</f>
        <v/>
      </c>
      <c r="Q29" s="402">
        <f>P29*(1+Hurdle3IRR)^(1/12)+Q24</f>
        <v/>
      </c>
      <c r="R29" s="402">
        <f>Q29*(1+Hurdle3IRR)^(1/12)+R24</f>
        <v/>
      </c>
      <c r="S29" s="402">
        <f>R29*(1+Hurdle3IRR)^(1/12)+S24</f>
        <v/>
      </c>
      <c r="T29" s="402">
        <f>S29*(1+Hurdle3IRR)^(1/12)+T24</f>
        <v/>
      </c>
      <c r="U29" s="402">
        <f>T29*(1+Hurdle3IRR)^(1/12)+U24</f>
        <v/>
      </c>
      <c r="V29" s="402">
        <f>U29*(1+Hurdle3IRR)^(1/12)+V24</f>
        <v/>
      </c>
      <c r="W29" s="402">
        <f>V29*(1+Hurdle3IRR)^(1/12)+W24</f>
        <v/>
      </c>
      <c r="X29" s="402">
        <f>W29*(1+Hurdle3IRR)^(1/12)+X24</f>
        <v/>
      </c>
      <c r="Y29" s="402">
        <f>X29*(1+Hurdle3IRR)^(1/12)+Y24</f>
        <v/>
      </c>
      <c r="Z29" s="402">
        <f>Y29*(1+Hurdle3IRR)^(1/12)+Z24</f>
        <v/>
      </c>
      <c r="AA29" s="402">
        <f>Z29*(1+Hurdle3IRR)^(1/12)+AA24</f>
        <v/>
      </c>
      <c r="AB29" s="402">
        <f>AA29*(1+Hurdle3IRR)^(1/12)+AB24</f>
        <v/>
      </c>
      <c r="AC29" s="402">
        <f>AB29*(1+Hurdle3IRR)^(1/12)+AC24</f>
        <v/>
      </c>
      <c r="AD29" s="402">
        <f>AC29*(1+Hurdle3IRR)^(1/12)+AD24</f>
        <v/>
      </c>
      <c r="AE29" s="402">
        <f>AD29*(1+Hurdle3IRR)^(1/12)+AE24</f>
        <v/>
      </c>
      <c r="AF29" s="402">
        <f>AE29*(1+Hurdle3IRR)^(1/12)+AF24</f>
        <v/>
      </c>
      <c r="AG29" s="402">
        <f>AF29*(1+Hurdle3IRR)^(1/12)+AG24</f>
        <v/>
      </c>
      <c r="AH29" s="402">
        <f>AG29*(1+Hurdle3IRR)^(1/12)+AH24</f>
        <v/>
      </c>
      <c r="AI29" s="402">
        <f>AH29*(1+Hurdle3IRR)^(1/12)+AI24</f>
        <v/>
      </c>
      <c r="AJ29" s="402">
        <f>AI29*(1+Hurdle3IRR)^(1/12)+AJ24</f>
        <v/>
      </c>
      <c r="AK29" s="402">
        <f>AJ29*(1+Hurdle3IRR)^(1/12)+AK24</f>
        <v/>
      </c>
      <c r="AL29" s="402">
        <f>AK29*(1+Hurdle3IRR)^(1/12)+AL24</f>
        <v/>
      </c>
      <c r="AM29" s="402">
        <f>AL29*(1+Hurdle3IRR)^(1/12)+AM24</f>
        <v/>
      </c>
      <c r="AN29" s="402">
        <f>AM29*(1+Hurdle3IRR)^(1/12)+AN24</f>
        <v/>
      </c>
      <c r="AO29" s="402">
        <f>AN29*(1+Hurdle3IRR)^(1/12)+AO24</f>
        <v/>
      </c>
      <c r="AP29" s="402">
        <f>AO29*(1+Hurdle3IRR)^(1/12)+AP24</f>
        <v/>
      </c>
      <c r="AQ29" s="402">
        <f>AP29*(1+Hurdle3IRR)^(1/12)+AQ24</f>
        <v/>
      </c>
      <c r="AR29" s="402">
        <f>AQ29*(1+Hurdle3IRR)^(1/12)+AR24</f>
        <v/>
      </c>
      <c r="AS29" s="402">
        <f>AR29*(1+Hurdle3IRR)^(1/12)+AS24</f>
        <v/>
      </c>
      <c r="AT29" s="402">
        <f>AS29*(1+Hurdle3IRR)^(1/12)+AT24</f>
        <v/>
      </c>
      <c r="AU29" s="402">
        <f>AT29*(1+Hurdle3IRR)^(1/12)+AU24</f>
        <v/>
      </c>
      <c r="AV29" s="402">
        <f>AU29*(1+Hurdle3IRR)^(1/12)+AV24</f>
        <v/>
      </c>
      <c r="AW29" s="402">
        <f>AV29*(1+Hurdle3IRR)^(1/12)+AW24</f>
        <v/>
      </c>
      <c r="AX29" s="402">
        <f>AW29*(1+Hurdle3IRR)^(1/12)+AX24</f>
        <v/>
      </c>
      <c r="AY29" s="402">
        <f>AX29*(1+Hurdle3IRR)^(1/12)+AY24</f>
        <v/>
      </c>
      <c r="AZ29" s="402">
        <f>AY29*(1+Hurdle3IRR)^(1/12)+AZ24</f>
        <v/>
      </c>
      <c r="BA29" s="402">
        <f>AZ29*(1+Hurdle3IRR)^(1/12)+BA24</f>
        <v/>
      </c>
      <c r="BB29" s="402">
        <f>BA29*(1+Hurdle3IRR)^(1/12)+BB24</f>
        <v/>
      </c>
      <c r="BC29" s="402">
        <f>BB29*(1+Hurdle3IRR)^(1/12)+BC24</f>
        <v/>
      </c>
      <c r="BD29" s="402">
        <f>BC29*(1+Hurdle3IRR)^(1/12)+BD24</f>
        <v/>
      </c>
      <c r="BE29" s="402">
        <f>BD29*(1+Hurdle3IRR)^(1/12)+BE24</f>
        <v/>
      </c>
      <c r="BF29" s="402">
        <f>BE29*(1+Hurdle3IRR)^(1/12)+BF24</f>
        <v/>
      </c>
      <c r="BG29" s="402">
        <f>BF29*(1+Hurdle3IRR)^(1/12)+BG24</f>
        <v/>
      </c>
      <c r="BH29" s="402">
        <f>BG29*(1+Hurdle3IRR)^(1/12)+BH24</f>
        <v/>
      </c>
      <c r="BI29" s="402">
        <f>BH29*(1+Hurdle3IRR)^(1/12)+BI24</f>
        <v/>
      </c>
      <c r="BJ29" s="402">
        <f>BI29*(1+Hurdle3IRR)^(1/12)+BJ24</f>
        <v/>
      </c>
      <c r="BK29" s="402">
        <f>BJ29*(1+Hurdle3IRR)^(1/12)+BK24</f>
        <v/>
      </c>
      <c r="BL29" s="402">
        <f>BK29*(1+Hurdle3IRR)^(1/12)+BL24</f>
        <v/>
      </c>
      <c r="BM29" s="402">
        <f>BL29*(1+Hurdle3IRR)^(1/12)+BM24</f>
        <v/>
      </c>
      <c r="BN29" s="402">
        <f>BM29*(1+Hurdle3IRR)^(1/12)+BN24</f>
        <v/>
      </c>
      <c r="BO29" s="402">
        <f>BN29*(1+Hurdle3IRR)^(1/12)+BO24</f>
        <v/>
      </c>
      <c r="BP29" s="402">
        <f>BO29*(1+Hurdle3IRR)^(1/12)+BP24</f>
        <v/>
      </c>
      <c r="BQ29" s="402">
        <f>BP29*(1+Hurdle3IRR)^(1/12)+BQ24</f>
        <v/>
      </c>
      <c r="BR29" s="402">
        <f>BQ29*(1+Hurdle3IRR)^(1/12)+BR24</f>
        <v/>
      </c>
      <c r="BS29" s="402">
        <f>BR29*(1+Hurdle3IRR)^(1/12)+BS24</f>
        <v/>
      </c>
      <c r="BT29" s="402">
        <f>BS29*(1+Hurdle3IRR)^(1/12)+BT24</f>
        <v/>
      </c>
      <c r="BU29" s="402">
        <f>BT29*(1+Hurdle3IRR)^(1/12)+BU24</f>
        <v/>
      </c>
      <c r="BV29" s="402">
        <f>BU29*(1+Hurdle3IRR)^(1/12)+BV24</f>
        <v/>
      </c>
      <c r="BW29" s="402">
        <f>BV29*(1+Hurdle3IRR)^(1/12)+BW24</f>
        <v/>
      </c>
      <c r="BX29" s="402">
        <f>BW29*(1+Hurdle3IRR)^(1/12)+BX24</f>
        <v/>
      </c>
      <c r="BY29" s="402">
        <f>BX29*(1+Hurdle3IRR)^(1/12)+BY24</f>
        <v/>
      </c>
      <c r="BZ29" s="402">
        <f>BY29*(1+Hurdle3IRR)^(1/12)+BZ24</f>
        <v/>
      </c>
      <c r="CA29" s="402">
        <f>BZ29*(1+Hurdle3IRR)^(1/12)+CA24</f>
        <v/>
      </c>
      <c r="CB29" s="402">
        <f>CA29*(1+Hurdle3IRR)^(1/12)+CB24</f>
        <v/>
      </c>
      <c r="CC29" s="402">
        <f>CB29*(1+Hurdle3IRR)^(1/12)+CC24</f>
        <v/>
      </c>
      <c r="CD29" s="402">
        <f>CC29*(1+Hurdle3IRR)^(1/12)+CD24</f>
        <v/>
      </c>
      <c r="CE29" s="402">
        <f>CD29*(1+Hurdle3IRR)^(1/12)+CE24</f>
        <v/>
      </c>
      <c r="CF29" s="402">
        <f>CE29*(1+Hurdle3IRR)^(1/12)+CF24</f>
        <v/>
      </c>
      <c r="CG29" s="402">
        <f>CF29*(1+Hurdle3IRR)^(1/12)+CG24</f>
        <v/>
      </c>
      <c r="CH29" s="402">
        <f>CG29*(1+Hurdle3IRR)^(1/12)+CH24</f>
        <v/>
      </c>
      <c r="CI29" s="402">
        <f>CH29*(1+Hurdle3IRR)^(1/12)+CI24</f>
        <v/>
      </c>
      <c r="CJ29" s="402">
        <f>CI29*(1+Hurdle3IRR)^(1/12)+CJ24</f>
        <v/>
      </c>
      <c r="CK29" s="402">
        <f>CJ29*(1+Hurdle3IRR)^(1/12)+CK24</f>
        <v/>
      </c>
      <c r="CL29" s="402">
        <f>CK29*(1+Hurdle3IRR)^(1/12)+CL24</f>
        <v/>
      </c>
      <c r="CM29" s="402">
        <f>CL29*(1+Hurdle3IRR)^(1/12)+CM24</f>
        <v/>
      </c>
      <c r="CN29" s="402">
        <f>CM29*(1+Hurdle3IRR)^(1/12)+CN24</f>
        <v/>
      </c>
      <c r="CO29" s="402">
        <f>CN29*(1+Hurdle3IRR)^(1/12)+CO24</f>
        <v/>
      </c>
      <c r="CP29" s="402">
        <f>CO29*(1+Hurdle3IRR)^(1/12)+CP24</f>
        <v/>
      </c>
      <c r="CQ29" s="402">
        <f>CP29*(1+Hurdle3IRR)^(1/12)+CQ24</f>
        <v/>
      </c>
      <c r="CR29" s="402">
        <f>CQ29*(1+Hurdle3IRR)^(1/12)+CR24</f>
        <v/>
      </c>
      <c r="CS29" s="402">
        <f>CR29*(1+Hurdle3IRR)^(1/12)+CS24</f>
        <v/>
      </c>
      <c r="CT29" s="402">
        <f>CS29*(1+Hurdle3IRR)^(1/12)+CT24</f>
        <v/>
      </c>
      <c r="CU29" s="402">
        <f>CT29*(1+Hurdle3IRR)^(1/12)+CU24</f>
        <v/>
      </c>
      <c r="CV29" s="402">
        <f>CU29*(1+Hurdle3IRR)^(1/12)+CV24</f>
        <v/>
      </c>
      <c r="CW29" s="402">
        <f>CV29*(1+Hurdle3IRR)^(1/12)+CW24</f>
        <v/>
      </c>
      <c r="CX29" s="402">
        <f>CW29*(1+Hurdle3IRR)^(1/12)+CX24</f>
        <v/>
      </c>
      <c r="CY29" s="402">
        <f>CX29*(1+Hurdle3IRR)^(1/12)+CY24</f>
        <v/>
      </c>
      <c r="CZ29" s="402">
        <f>CY29*(1+Hurdle3IRR)^(1/12)+CZ24</f>
        <v/>
      </c>
      <c r="DA29" s="402">
        <f>CZ29*(1+Hurdle3IRR)^(1/12)+DA24</f>
        <v/>
      </c>
      <c r="DB29" s="402">
        <f>DA29*(1+Hurdle3IRR)^(1/12)+DB24</f>
        <v/>
      </c>
      <c r="DC29" s="402">
        <f>DB29*(1+Hurdle3IRR)^(1/12)+DC24</f>
        <v/>
      </c>
      <c r="DD29" s="402">
        <f>DC29*(1+Hurdle3IRR)^(1/12)+DD24</f>
        <v/>
      </c>
      <c r="DE29" s="402">
        <f>DD29*(1+Hurdle3IRR)^(1/12)+DE24</f>
        <v/>
      </c>
      <c r="DF29" s="402">
        <f>DE29*(1+Hurdle3IRR)^(1/12)+DF24</f>
        <v/>
      </c>
      <c r="DG29" s="402">
        <f>DF29*(1+Hurdle3IRR)^(1/12)+DG24</f>
        <v/>
      </c>
      <c r="DH29" s="402">
        <f>DG29*(1+Hurdle3IRR)^(1/12)+DH24</f>
        <v/>
      </c>
      <c r="DI29" s="402">
        <f>DH29*(1+Hurdle3IRR)^(1/12)+DI24</f>
        <v/>
      </c>
      <c r="DJ29" s="402">
        <f>DI29*(1+Hurdle3IRR)^(1/12)+DJ24</f>
        <v/>
      </c>
      <c r="DK29" s="402">
        <f>DJ29*(1+Hurdle3IRR)^(1/12)+DK24</f>
        <v/>
      </c>
      <c r="DL29" s="402">
        <f>DK29*(1+Hurdle3IRR)^(1/12)+DL24</f>
        <v/>
      </c>
      <c r="DM29" s="402">
        <f>DL29*(1+Hurdle3IRR)^(1/12)+DM24</f>
        <v/>
      </c>
      <c r="DN29" s="402">
        <f>DM29*(1+Hurdle3IRR)^(1/12)+DN24</f>
        <v/>
      </c>
      <c r="DO29" s="402">
        <f>DN29*(1+Hurdle3IRR)^(1/12)+DO24</f>
        <v/>
      </c>
      <c r="DP29" s="402">
        <f>DO29*(1+Hurdle3IRR)^(1/12)+DP24</f>
        <v/>
      </c>
      <c r="DQ29" s="402">
        <f>DP29*(1+Hurdle3IRR)^(1/12)+DQ24</f>
        <v/>
      </c>
      <c r="DR29" s="402">
        <f>DQ29*(1+Hurdle3IRR)^(1/12)+DR24</f>
        <v/>
      </c>
      <c r="DS29" s="402">
        <f>DR29*(1+Hurdle3IRR)^(1/12)+DS24</f>
        <v/>
      </c>
      <c r="DT29" s="402">
        <f>DS29*(1+Hurdle3IRR)^(1/12)+DT24</f>
        <v/>
      </c>
      <c r="DU29" s="402">
        <f>DT29*(1+Hurdle3IRR)^(1/12)+DU24</f>
        <v/>
      </c>
      <c r="DV29" s="402">
        <f>DU29*(1+Hurdle3IRR)^(1/12)+DV24</f>
        <v/>
      </c>
      <c r="DW29" s="402">
        <f>DV29*(1+Hurdle3IRR)^(1/12)+DW24</f>
        <v/>
      </c>
      <c r="DX29" s="402">
        <f>DW29*(1+Hurdle3IRR)^(1/12)+DX24</f>
        <v/>
      </c>
      <c r="DY29" s="402">
        <f>DX29*(1+Hurdle3IRR)^(1/12)+DY24</f>
        <v/>
      </c>
      <c r="DZ29" s="402">
        <f>DY29*(1+Hurdle3IRR)^(1/12)+DZ24</f>
        <v/>
      </c>
      <c r="EA29" s="402">
        <f>DZ29*(1+Hurdle3IRR)^(1/12)+EA24</f>
        <v/>
      </c>
      <c r="EB29" s="402">
        <f>EA29*(1+Hurdle3IRR)^(1/12)+EB24</f>
        <v/>
      </c>
      <c r="EC29" s="402">
        <f>EB29*(1+Hurdle3IRR)^(1/12)+EC24</f>
        <v/>
      </c>
      <c r="ED29" s="402">
        <f>EC29*(1+Hurdle3IRR)^(1/12)+ED24</f>
        <v/>
      </c>
      <c r="EE29" s="402">
        <f>ED29*(1+Hurdle3IRR)^(1/12)+EE24</f>
        <v/>
      </c>
      <c r="EF29" s="402">
        <f>EE29*(1+Hurdle3IRR)^(1/12)+EF24</f>
        <v/>
      </c>
      <c r="EG29" s="402">
        <f>EF29*(1+Hurdle3IRR)^(1/12)+EG24</f>
        <v/>
      </c>
      <c r="EH29" s="402">
        <f>EG29*(1+Hurdle3IRR)^(1/12)+EH24</f>
        <v/>
      </c>
      <c r="EI29" s="402">
        <f>EH29*(1+Hurdle3IRR)^(1/12)+EI24</f>
        <v/>
      </c>
      <c r="EJ29" s="402">
        <f>EI29*(1+Hurdle3IRR)^(1/12)+EJ24</f>
        <v/>
      </c>
      <c r="EK29" s="402">
        <f>EJ29*(1+Hurdle3IRR)^(1/12)+EK24</f>
        <v/>
      </c>
      <c r="EL29" s="402">
        <f>EK29*(1+Hurdle3IRR)^(1/12)+EL24</f>
        <v/>
      </c>
      <c r="EM29" s="402">
        <f>EL29*(1+Hurdle3IRR)^(1/12)+EM24</f>
        <v/>
      </c>
      <c r="EN29" s="402">
        <f>EM29*(1+Hurdle3IRR)^(1/12)+EN24</f>
        <v/>
      </c>
      <c r="EO29" s="402">
        <f>EN29*(1+Hurdle3IRR)^(1/12)+EO24</f>
        <v/>
      </c>
      <c r="EP29" s="402">
        <f>EO29*(1+Hurdle3IRR)^(1/12)+EP24</f>
        <v/>
      </c>
      <c r="EQ29" s="402">
        <f>EP29*(1+Hurdle3IRR)^(1/12)+EQ24</f>
        <v/>
      </c>
      <c r="ER29" s="402">
        <f>EQ29*(1+Hurdle3IRR)^(1/12)+ER24</f>
        <v/>
      </c>
      <c r="ES29" s="402">
        <f>ER29*(1+Hurdle3IRR)^(1/12)+ES24</f>
        <v/>
      </c>
      <c r="ET29" s="402">
        <f>ES29*(1+Hurdle3IRR)^(1/12)+ET24</f>
        <v/>
      </c>
      <c r="EU29" s="402">
        <f>ET29*(1+Hurdle3IRR)^(1/12)+EU24</f>
        <v/>
      </c>
      <c r="EV29" s="402">
        <f>EU29*(1+Hurdle3IRR)^(1/12)+EV24</f>
        <v/>
      </c>
      <c r="EW29" s="402">
        <f>EV29*(1+Hurdle3IRR)^(1/12)+EW24</f>
        <v/>
      </c>
      <c r="EX29" s="402">
        <f>EW29*(1+Hurdle3IRR)^(1/12)+EX24</f>
        <v/>
      </c>
      <c r="EY29" s="402">
        <f>EX29*(1+Hurdle3IRR)^(1/12)+EY24</f>
        <v/>
      </c>
      <c r="EZ29" s="402">
        <f>EY29*(1+Hurdle3IRR)^(1/12)+EZ24</f>
        <v/>
      </c>
      <c r="FA29" s="402">
        <f>EZ29*(1+Hurdle3IRR)^(1/12)+FA24</f>
        <v/>
      </c>
      <c r="FB29" s="402">
        <f>FA29*(1+Hurdle3IRR)^(1/12)+FB24</f>
        <v/>
      </c>
      <c r="FC29" s="402">
        <f>FB29*(1+Hurdle3IRR)^(1/12)+FC24</f>
        <v/>
      </c>
      <c r="FD29" s="402">
        <f>FC29*(1+Hurdle3IRR)^(1/12)+FD24</f>
        <v/>
      </c>
      <c r="FE29" s="402">
        <f>FD29*(1+Hurdle3IRR)^(1/12)+FE24</f>
        <v/>
      </c>
      <c r="FF29" s="402">
        <f>FE29*(1+Hurdle3IRR)^(1/12)+FF24</f>
        <v/>
      </c>
      <c r="FG29" s="402">
        <f>FF29*(1+Hurdle3IRR)^(1/12)+FG24</f>
        <v/>
      </c>
      <c r="FH29" s="402">
        <f>FG29*(1+Hurdle3IRR)^(1/12)+FH24</f>
        <v/>
      </c>
      <c r="FI29" s="402">
        <f>FH29*(1+Hurdle3IRR)^(1/12)+FI24</f>
        <v/>
      </c>
      <c r="FJ29" s="402">
        <f>FI29*(1+Hurdle3IRR)^(1/12)+FJ24</f>
        <v/>
      </c>
      <c r="FK29" s="402">
        <f>FJ29*(1+Hurdle3IRR)^(1/12)+FK24</f>
        <v/>
      </c>
      <c r="FL29" s="402">
        <f>FK29*(1+Hurdle3IRR)^(1/12)+FL24</f>
        <v/>
      </c>
      <c r="FM29" s="402">
        <f>FL29*(1+Hurdle3IRR)^(1/12)+FM24</f>
        <v/>
      </c>
      <c r="FN29" s="402">
        <f>FM29*(1+Hurdle3IRR)^(1/12)+FN24</f>
        <v/>
      </c>
      <c r="FO29" s="402">
        <f>FN29*(1+Hurdle3IRR)^(1/12)+FO24</f>
        <v/>
      </c>
      <c r="FP29" s="402">
        <f>FO29*(1+Hurdle3IRR)^(1/12)+FP24</f>
        <v/>
      </c>
      <c r="FQ29" s="402">
        <f>FP29*(1+Hurdle3IRR)^(1/12)+FQ24</f>
        <v/>
      </c>
      <c r="FR29" s="402">
        <f>FQ29*(1+Hurdle3IRR)^(1/12)+FR24</f>
        <v/>
      </c>
      <c r="FS29" s="402">
        <f>FR29*(1+Hurdle3IRR)^(1/12)+FS24</f>
        <v/>
      </c>
      <c r="FT29" s="402">
        <f>FS29*(1+Hurdle3IRR)^(1/12)+FT24</f>
        <v/>
      </c>
      <c r="FU29" s="402">
        <f>FT29*(1+Hurdle3IRR)^(1/12)+FU24</f>
        <v/>
      </c>
      <c r="FV29" s="402">
        <f>FU29*(1+Hurdle3IRR)^(1/12)+FV24</f>
        <v/>
      </c>
      <c r="FW29" s="402">
        <f>FV29*(1+Hurdle3IRR)^(1/12)+FW24</f>
        <v/>
      </c>
      <c r="FX29" s="402">
        <f>FW29*(1+Hurdle3IRR)^(1/12)+FX24</f>
        <v/>
      </c>
      <c r="FY29" s="402">
        <f>FX29*(1+Hurdle3IRR)^(1/12)+FY24</f>
        <v/>
      </c>
      <c r="FZ29" s="402">
        <f>FY29*(1+Hurdle3IRR)^(1/12)+FZ24</f>
        <v/>
      </c>
      <c r="GA29" s="402">
        <f>FZ29*(1+Hurdle3IRR)^(1/12)+GA24</f>
        <v/>
      </c>
      <c r="GB29" s="402">
        <f>GA29*(1+Hurdle3IRR)^(1/12)+GB24</f>
        <v/>
      </c>
      <c r="GC29" s="402">
        <f>GB29*(1+Hurdle3IRR)^(1/12)+GC24</f>
        <v/>
      </c>
      <c r="GD29" s="402">
        <f>GC29*(1+Hurdle3IRR)^(1/12)+GD24</f>
        <v/>
      </c>
      <c r="GE29" s="402">
        <f>GD29*(1+Hurdle3IRR)^(1/12)+GE24</f>
        <v/>
      </c>
      <c r="GF29" s="402">
        <f>GE29*(1+Hurdle3IRR)^(1/12)+GF24</f>
        <v/>
      </c>
      <c r="GG29" s="402">
        <f>GF29*(1+Hurdle3IRR)^(1/12)+GG24</f>
        <v/>
      </c>
      <c r="GH29" s="402">
        <f>GG29*(1+Hurdle3IRR)^(1/12)+GH24</f>
        <v/>
      </c>
      <c r="GI29" s="402">
        <f>GH29*(1+Hurdle3IRR)^(1/12)+GI24</f>
        <v/>
      </c>
      <c r="GJ29" s="402">
        <f>GI29*(1+Hurdle3IRR)^(1/12)+GJ24</f>
        <v/>
      </c>
      <c r="GK29" s="402">
        <f>GJ29*(1+Hurdle3IRR)^(1/12)+GK24</f>
        <v/>
      </c>
      <c r="GL29" s="402">
        <f>GK29*(1+Hurdle3IRR)^(1/12)+GL24</f>
        <v/>
      </c>
      <c r="GM29" s="402">
        <f>GL29*(1+Hurdle3IRR)^(1/12)+GM24</f>
        <v/>
      </c>
      <c r="GN29" s="402">
        <f>GM29*(1+Hurdle3IRR)^(1/12)+GN24</f>
        <v/>
      </c>
      <c r="GO29" s="402">
        <f>GN29*(1+Hurdle3IRR)^(1/12)+GO24</f>
        <v/>
      </c>
      <c r="GP29" s="402">
        <f>GO29*(1+Hurdle3IRR)^(1/12)+GP24</f>
        <v/>
      </c>
      <c r="GQ29" s="402">
        <f>GP29*(1+Hurdle3IRR)^(1/12)+GQ24</f>
        <v/>
      </c>
      <c r="GR29" s="402">
        <f>GQ29*(1+Hurdle3IRR)^(1/12)+GR24</f>
        <v/>
      </c>
      <c r="GS29" s="402">
        <f>GR29*(1+Hurdle3IRR)^(1/12)+GS24</f>
        <v/>
      </c>
      <c r="GT29" s="402">
        <f>GS29*(1+Hurdle3IRR)^(1/12)+GT24</f>
        <v/>
      </c>
      <c r="GU29" s="402">
        <f>GT29*(1+Hurdle3IRR)^(1/12)+GU24</f>
        <v/>
      </c>
      <c r="GV29" s="402">
        <f>GU29*(1+Hurdle3IRR)^(1/12)+GV24</f>
        <v/>
      </c>
      <c r="GW29" s="402">
        <f>GV29*(1+Hurdle3IRR)^(1/12)+GW24</f>
        <v/>
      </c>
      <c r="GX29" s="402">
        <f>GW29*(1+Hurdle3IRR)^(1/12)+GX24</f>
        <v/>
      </c>
      <c r="GY29" s="402">
        <f>GX29*(1+Hurdle3IRR)^(1/12)+GY24</f>
        <v/>
      </c>
      <c r="GZ29" s="402">
        <f>GY29*(1+Hurdle3IRR)^(1/12)+GZ24</f>
        <v/>
      </c>
      <c r="HA29" s="402">
        <f>GZ29*(1+Hurdle3IRR)^(1/12)+HA24</f>
        <v/>
      </c>
      <c r="HB29" s="402">
        <f>HA29*(1+Hurdle3IRR)^(1/12)+HB24</f>
        <v/>
      </c>
      <c r="HC29" s="402">
        <f>HB29*(1+Hurdle3IRR)^(1/12)+HC24</f>
        <v/>
      </c>
      <c r="HD29" s="402">
        <f>HC29*(1+Hurdle3IRR)^(1/12)+HD24</f>
        <v/>
      </c>
      <c r="HE29" s="402">
        <f>HD29*(1+Hurdle3IRR)^(1/12)+HE24</f>
        <v/>
      </c>
      <c r="HF29" s="402">
        <f>HE29*(1+Hurdle3IRR)^(1/12)+HF24</f>
        <v/>
      </c>
      <c r="HG29" s="402">
        <f>HF29*(1+Hurdle3IRR)^(1/12)+HG24</f>
        <v/>
      </c>
      <c r="HH29" s="402">
        <f>HG29*(1+Hurdle3IRR)^(1/12)+HH24</f>
        <v/>
      </c>
      <c r="HI29" s="402">
        <f>HH29*(1+Hurdle3IRR)^(1/12)+HI24</f>
        <v/>
      </c>
      <c r="HJ29" s="402">
        <f>HI29*(1+Hurdle3IRR)^(1/12)+HJ24</f>
        <v/>
      </c>
      <c r="HK29" s="402">
        <f>HJ29*(1+Hurdle3IRR)^(1/12)+HK24</f>
        <v/>
      </c>
      <c r="HL29" s="402">
        <f>HK29*(1+Hurdle3IRR)^(1/12)+HL24</f>
        <v/>
      </c>
      <c r="HM29" s="402">
        <f>HL29*(1+Hurdle3IRR)^(1/12)+HM24</f>
        <v/>
      </c>
      <c r="HN29" s="402">
        <f>HM29*(1+Hurdle3IRR)^(1/12)+HN24</f>
        <v/>
      </c>
      <c r="HO29" s="402">
        <f>HN29*(1+Hurdle3IRR)^(1/12)+HO24</f>
        <v/>
      </c>
      <c r="HP29" s="402">
        <f>HO29*(1+Hurdle3IRR)^(1/12)+HP24</f>
        <v/>
      </c>
      <c r="HQ29" s="402">
        <f>HP29*(1+Hurdle3IRR)^(1/12)+HQ24</f>
        <v/>
      </c>
      <c r="HR29" s="402">
        <f>HQ29*(1+Hurdle3IRR)^(1/12)+HR24</f>
        <v/>
      </c>
      <c r="HS29" s="402">
        <f>HR29*(1+Hurdle3IRR)^(1/12)+HS24</f>
        <v/>
      </c>
      <c r="HT29" s="402">
        <f>HS29*(1+Hurdle3IRR)^(1/12)+HT24</f>
        <v/>
      </c>
      <c r="HU29" s="402">
        <f>HT29*(1+Hurdle3IRR)^(1/12)+HU24</f>
        <v/>
      </c>
      <c r="HV29" s="402">
        <f>HU29*(1+Hurdle3IRR)^(1/12)+HV24</f>
        <v/>
      </c>
      <c r="HW29" s="402">
        <f>HV29*(1+Hurdle3IRR)^(1/12)+HW24</f>
        <v/>
      </c>
      <c r="HX29" s="402">
        <f>HW29*(1+Hurdle3IRR)^(1/12)+HX24</f>
        <v/>
      </c>
      <c r="HY29" s="402">
        <f>HX29*(1+Hurdle3IRR)^(1/12)+HY24</f>
        <v/>
      </c>
      <c r="HZ29" s="402">
        <f>HY29*(1+Hurdle3IRR)^(1/12)+HZ24</f>
        <v/>
      </c>
      <c r="IA29" s="402">
        <f>HZ29*(1+Hurdle3IRR)^(1/12)+IA24</f>
        <v/>
      </c>
      <c r="IB29" s="402">
        <f>IA29*(1+Hurdle3IRR)^(1/12)+IB24</f>
        <v/>
      </c>
      <c r="IC29" s="402">
        <f>IB29*(1+Hurdle3IRR)^(1/12)+IC24</f>
        <v/>
      </c>
      <c r="ID29" s="402">
        <f>IC29*(1+Hurdle3IRR)^(1/12)+ID24</f>
        <v/>
      </c>
      <c r="IE29" s="402">
        <f>ID29*(1+Hurdle3IRR)^(1/12)+IE24</f>
        <v/>
      </c>
      <c r="IF29" s="402">
        <f>IE29*(1+Hurdle3IRR)^(1/12)+IF24</f>
        <v/>
      </c>
      <c r="IG29" s="402">
        <f>IF29*(1+Hurdle3IRR)^(1/12)+IG24</f>
        <v/>
      </c>
      <c r="IH29" s="402">
        <f>IG29*(1+Hurdle3IRR)^(1/12)+IH24</f>
        <v/>
      </c>
      <c r="II29" s="402">
        <f>IH29*(1+Hurdle3IRR)^(1/12)+II24</f>
        <v/>
      </c>
      <c r="IJ29" s="402">
        <f>II29*(1+Hurdle3IRR)^(1/12)+IJ24</f>
        <v/>
      </c>
      <c r="IK29" s="402">
        <f>IJ29*(1+Hurdle3IRR)^(1/12)+IK24</f>
        <v/>
      </c>
      <c r="IL29" s="402">
        <f>IK29*(1+Hurdle3IRR)^(1/12)+IL24</f>
        <v/>
      </c>
      <c r="IM29" s="402">
        <f>IL29*(1+Hurdle3IRR)^(1/12)+IM24</f>
        <v/>
      </c>
      <c r="IN29" s="402">
        <f>IM29*(1+Hurdle3IRR)^(1/12)+IN24</f>
        <v/>
      </c>
      <c r="IO29" s="402">
        <f>IN29*(1+Hurdle3IRR)^(1/12)+IO24</f>
        <v/>
      </c>
      <c r="IP29" s="402">
        <f>IO29*(1+Hurdle3IRR)^(1/12)+IP24</f>
        <v/>
      </c>
      <c r="IQ29" s="402">
        <f>IP29*(1+Hurdle3IRR)^(1/12)+IQ24</f>
        <v/>
      </c>
      <c r="IR29" s="402">
        <f>IQ29*(1+Hurdle3IRR)^(1/12)+IR24</f>
        <v/>
      </c>
      <c r="IS29" s="402">
        <f>IR29*(1+Hurdle3IRR)^(1/12)+IS24</f>
        <v/>
      </c>
      <c r="IT29" s="402">
        <f>IS29*(1+Hurdle3IRR)^(1/12)+IT24</f>
        <v/>
      </c>
      <c r="IU29" s="402">
        <f>IT29*(1+Hurdle3IRR)^(1/12)+IU24</f>
        <v/>
      </c>
      <c r="IV29" s="402">
        <f>IU29*(1+Hurdle3IRR)^(1/12)+IV24</f>
        <v/>
      </c>
      <c r="IW29" s="402">
        <f>IV29*(1+Hurdle3IRR)^(1/12)+IW24</f>
        <v/>
      </c>
      <c r="IX29" s="402">
        <f>IW29*(1+Hurdle3IRR)^(1/12)+IX24</f>
        <v/>
      </c>
      <c r="IY29" s="402">
        <f>IX29*(1+Hurdle3IRR)^(1/12)+IY24</f>
        <v/>
      </c>
      <c r="IZ29" s="402">
        <f>IY29*(1+Hurdle3IRR)^(1/12)+IZ24</f>
        <v/>
      </c>
      <c r="JA29" s="402">
        <f>IZ29*(1+Hurdle3IRR)^(1/12)+JA24</f>
        <v/>
      </c>
      <c r="JB29" s="402">
        <f>JA29*(1+Hurdle3IRR)^(1/12)+JB24</f>
        <v/>
      </c>
      <c r="JC29" s="402">
        <f>JB29*(1+Hurdle3IRR)^(1/12)+JC24</f>
        <v/>
      </c>
      <c r="JD29" s="402">
        <f>JC29*(1+Hurdle3IRR)^(1/12)+JD24</f>
        <v/>
      </c>
      <c r="JE29" s="402">
        <f>JD29*(1+Hurdle3IRR)^(1/12)+JE24</f>
        <v/>
      </c>
      <c r="JF29" s="402">
        <f>JE29*(1+Hurdle3IRR)^(1/12)+JF24</f>
        <v/>
      </c>
      <c r="JG29" s="402">
        <f>JF29*(1+Hurdle3IRR)^(1/12)+JG24</f>
        <v/>
      </c>
      <c r="JH29" s="402">
        <f>JG29*(1+Hurdle3IRR)^(1/12)+JH24</f>
        <v/>
      </c>
      <c r="JI29" s="402">
        <f>JH29*(1+Hurdle3IRR)^(1/12)+JI24</f>
        <v/>
      </c>
      <c r="JJ29" s="402">
        <f>JI29*(1+Hurdle3IRR)^(1/12)+JJ24</f>
        <v/>
      </c>
      <c r="JK29" s="402">
        <f>JJ29*(1+Hurdle3IRR)^(1/12)+JK24</f>
        <v/>
      </c>
      <c r="JL29" s="402">
        <f>JK29*(1+Hurdle3IRR)^(1/12)+JL24</f>
        <v/>
      </c>
      <c r="JM29" s="402">
        <f>JL29*(1+Hurdle3IRR)^(1/12)+JM24</f>
        <v/>
      </c>
      <c r="JN29" s="402">
        <f>JM29*(1+Hurdle3IRR)^(1/12)+JN24</f>
        <v/>
      </c>
      <c r="JO29" s="402">
        <f>JN29*(1+Hurdle3IRR)^(1/12)+JO24</f>
        <v/>
      </c>
      <c r="JP29" s="402">
        <f>JO29*(1+Hurdle3IRR)^(1/12)+JP24</f>
        <v/>
      </c>
      <c r="JQ29" s="402">
        <f>JP29*(1+Hurdle3IRR)^(1/12)+JQ24</f>
        <v/>
      </c>
      <c r="JR29" s="402">
        <f>JQ29*(1+Hurdle3IRR)^(1/12)+JR24</f>
        <v/>
      </c>
      <c r="JS29" s="402">
        <f>JR29*(1+Hurdle3IRR)^(1/12)+JS24</f>
        <v/>
      </c>
      <c r="JT29" s="402">
        <f>JS29*(1+Hurdle3IRR)^(1/12)+JT24</f>
        <v/>
      </c>
      <c r="JU29" s="402">
        <f>JT29*(1+Hurdle3IRR)^(1/12)+JU24</f>
        <v/>
      </c>
      <c r="JV29" s="402">
        <f>JU29*(1+Hurdle3IRR)^(1/12)+JV24</f>
        <v/>
      </c>
      <c r="JW29" s="402">
        <f>JV29*(1+Hurdle3IRR)^(1/12)+JW24</f>
        <v/>
      </c>
      <c r="JX29" s="402">
        <f>JW29*(1+Hurdle3IRR)^(1/12)+JX24</f>
        <v/>
      </c>
      <c r="JY29" s="402">
        <f>JX29*(1+Hurdle3IRR)^(1/12)+JY24</f>
        <v/>
      </c>
      <c r="JZ29" s="402">
        <f>JY29*(1+Hurdle3IRR)^(1/12)+JZ24</f>
        <v/>
      </c>
      <c r="KA29" s="402">
        <f>JZ29*(1+Hurdle3IRR)^(1/12)+KA24</f>
        <v/>
      </c>
      <c r="KB29" s="402">
        <f>KA29*(1+Hurdle3IRR)^(1/12)+KB24</f>
        <v/>
      </c>
      <c r="KC29" s="402">
        <f>KB29*(1+Hurdle3IRR)^(1/12)+KC24</f>
        <v/>
      </c>
      <c r="KD29" s="402">
        <f>KC29*(1+Hurdle3IRR)^(1/12)+KD24</f>
        <v/>
      </c>
      <c r="KE29" s="402">
        <f>KD29*(1+Hurdle3IRR)^(1/12)+KE24</f>
        <v/>
      </c>
      <c r="KF29" s="402">
        <f>KE29*(1+Hurdle3IRR)^(1/12)+KF24</f>
        <v/>
      </c>
      <c r="KG29" s="402">
        <f>KF29*(1+Hurdle3IRR)^(1/12)+KG24</f>
        <v/>
      </c>
      <c r="KH29" s="402">
        <f>KG29*(1+Hurdle3IRR)^(1/12)+KH24</f>
        <v/>
      </c>
      <c r="KI29" s="402">
        <f>KH29*(1+Hurdle3IRR)^(1/12)+KI24</f>
        <v/>
      </c>
      <c r="KJ29" s="402">
        <f>KI29*(1+Hurdle3IRR)^(1/12)+KJ24</f>
        <v/>
      </c>
      <c r="KK29" s="402">
        <f>KJ29*(1+Hurdle3IRR)^(1/12)+KK24</f>
        <v/>
      </c>
      <c r="KL29" s="402">
        <f>KK29*(1+Hurdle3IRR)^(1/12)+KL24</f>
        <v/>
      </c>
      <c r="KM29" s="402">
        <f>KL29*(1+Hurdle3IRR)^(1/12)+KM24</f>
        <v/>
      </c>
      <c r="KN29" s="402">
        <f>KM29*(1+Hurdle3IRR)^(1/12)+KN24</f>
        <v/>
      </c>
      <c r="KO29" s="402">
        <f>KN29*(1+Hurdle3IRR)^(1/12)+KO24</f>
        <v/>
      </c>
      <c r="KP29" s="402">
        <f>KO29*(1+Hurdle3IRR)^(1/12)+KP24</f>
        <v/>
      </c>
      <c r="KQ29" s="402">
        <f>KP29*(1+Hurdle3IRR)^(1/12)+KQ24</f>
        <v/>
      </c>
      <c r="KR29" s="402">
        <f>KQ29*(1+Hurdle3IRR)^(1/12)+KR24</f>
        <v/>
      </c>
      <c r="KS29" s="402">
        <f>KR29*(1+Hurdle3IRR)^(1/12)+KS24</f>
        <v/>
      </c>
      <c r="KT29" s="402">
        <f>KS29*(1+Hurdle3IRR)^(1/12)+KT24</f>
        <v/>
      </c>
      <c r="KU29" s="402">
        <f>KT29*(1+Hurdle3IRR)^(1/12)+KU24</f>
        <v/>
      </c>
      <c r="KV29" s="402">
        <f>KU29*(1+Hurdle3IRR)^(1/12)+KV24</f>
        <v/>
      </c>
      <c r="KW29" s="402">
        <f>KV29*(1+Hurdle3IRR)^(1/12)+KW24</f>
        <v/>
      </c>
      <c r="KX29" s="402">
        <f>KW29*(1+Hurdle3IRR)^(1/12)+KX24</f>
        <v/>
      </c>
      <c r="KY29" s="402">
        <f>KX29*(1+Hurdle3IRR)^(1/12)+KY24</f>
        <v/>
      </c>
      <c r="KZ29" s="402">
        <f>KY29*(1+Hurdle3IRR)^(1/12)+KZ24</f>
        <v/>
      </c>
      <c r="LA29" s="402">
        <f>KZ29*(1+Hurdle3IRR)^(1/12)+LA24</f>
        <v/>
      </c>
      <c r="LB29" s="402">
        <f>LA29*(1+Hurdle3IRR)^(1/12)+LB24</f>
        <v/>
      </c>
      <c r="LC29" s="402">
        <f>LB29*(1+Hurdle3IRR)^(1/12)+LC24</f>
        <v/>
      </c>
      <c r="LD29" s="402">
        <f>LC29*(1+Hurdle3IRR)^(1/12)+LD24</f>
        <v/>
      </c>
      <c r="LE29" s="402">
        <f>LD29*(1+Hurdle3IRR)^(1/12)+LE24</f>
        <v/>
      </c>
      <c r="LF29" s="402">
        <f>LE29*(1+Hurdle3IRR)^(1/12)+LF24</f>
        <v/>
      </c>
      <c r="LG29" s="402">
        <f>LF29*(1+Hurdle3IRR)^(1/12)+LG24</f>
        <v/>
      </c>
      <c r="LH29" s="402">
        <f>LG29*(1+Hurdle3IRR)^(1/12)+LH24</f>
        <v/>
      </c>
      <c r="LI29" s="402">
        <f>LH29*(1+Hurdle3IRR)^(1/12)+LI24</f>
        <v/>
      </c>
      <c r="LJ29" s="402">
        <f>LI29*(1+Hurdle3IRR)^(1/12)+LJ24</f>
        <v/>
      </c>
      <c r="LK29" s="402">
        <f>LJ29*(1+Hurdle3IRR)^(1/12)+LK24</f>
        <v/>
      </c>
      <c r="LL29" s="402">
        <f>LK29*(1+Hurdle3IRR)^(1/12)+LL24</f>
        <v/>
      </c>
      <c r="LM29" s="402">
        <f>LL29*(1+Hurdle3IRR)^(1/12)+LM24</f>
        <v/>
      </c>
      <c r="LN29" s="402">
        <f>LM29*(1+Hurdle3IRR)^(1/12)+LN24</f>
        <v/>
      </c>
      <c r="LO29" s="402">
        <f>LN29*(1+Hurdle3IRR)^(1/12)+LO24</f>
        <v/>
      </c>
      <c r="LP29" s="402">
        <f>LO29*(1+Hurdle3IRR)^(1/12)+LP24</f>
        <v/>
      </c>
      <c r="LQ29" s="402">
        <f>LP29*(1+Hurdle3IRR)^(1/12)+LQ24</f>
        <v/>
      </c>
      <c r="LR29" s="402">
        <f>LQ29*(1+Hurdle3IRR)^(1/12)+LR24</f>
        <v/>
      </c>
      <c r="LS29" s="402">
        <f>LR29*(1+Hurdle3IRR)^(1/12)+LS24</f>
        <v/>
      </c>
      <c r="LT29" s="402">
        <f>LS29*(1+Hurdle3IRR)^(1/12)+LT24</f>
        <v/>
      </c>
      <c r="LU29" s="402">
        <f>LT29*(1+Hurdle3IRR)^(1/12)+LU24</f>
        <v/>
      </c>
      <c r="LV29" s="402">
        <f>LU29*(1+Hurdle3IRR)^(1/12)+LV24</f>
        <v/>
      </c>
      <c r="LW29" s="402">
        <f>LV29*(1+Hurdle3IRR)^(1/12)+LW24</f>
        <v/>
      </c>
      <c r="LX29" s="402">
        <f>LW29*(1+Hurdle3IRR)^(1/12)+LX24</f>
        <v/>
      </c>
      <c r="LY29" s="402">
        <f>LX29*(1+Hurdle3IRR)^(1/12)+LY24</f>
        <v/>
      </c>
      <c r="LZ29" s="402">
        <f>LY29*(1+Hurdle3IRR)^(1/12)+LZ24</f>
        <v/>
      </c>
      <c r="MA29" s="402">
        <f>LZ29*(1+Hurdle3IRR)^(1/12)+MA24</f>
        <v/>
      </c>
      <c r="MB29" s="402">
        <f>MA29*(1+Hurdle3IRR)^(1/12)+MB24</f>
        <v/>
      </c>
      <c r="MC29" s="402">
        <f>MB29*(1+Hurdle3IRR)^(1/12)+MC24</f>
        <v/>
      </c>
      <c r="MD29" s="402">
        <f>MC29*(1+Hurdle3IRR)^(1/12)+MD24</f>
        <v/>
      </c>
      <c r="ME29" s="402">
        <f>MD29*(1+Hurdle3IRR)^(1/12)+ME24</f>
        <v/>
      </c>
      <c r="MF29" s="402">
        <f>ME29*(1+Hurdle3IRR)^(1/12)+MF24</f>
        <v/>
      </c>
      <c r="MG29" s="402">
        <f>MF29*(1+Hurdle3IRR)^(1/12)+MG24</f>
        <v/>
      </c>
      <c r="MH29" s="402">
        <f>MG29*(1+Hurdle3IRR)^(1/12)+MH24</f>
        <v/>
      </c>
      <c r="MI29" s="402">
        <f>MH29*(1+Hurdle3IRR)^(1/12)+MI24</f>
        <v/>
      </c>
      <c r="MJ29" s="402">
        <f>MI29*(1+Hurdle3IRR)^(1/12)+MJ24</f>
        <v/>
      </c>
      <c r="MK29" s="402">
        <f>MJ29*(1+Hurdle3IRR)^(1/12)+MK24</f>
        <v/>
      </c>
      <c r="ML29" s="402">
        <f>MK29*(1+Hurdle3IRR)^(1/12)+ML24</f>
        <v/>
      </c>
      <c r="MM29" s="402">
        <f>ML29*(1+Hurdle3IRR)^(1/12)+MM24</f>
        <v/>
      </c>
      <c r="MN29" s="402">
        <f>MM29*(1+Hurdle3IRR)^(1/12)+MN24</f>
        <v/>
      </c>
      <c r="MO29" s="402">
        <f>MN29*(1+Hurdle3IRR)^(1/12)+MO24</f>
        <v/>
      </c>
      <c r="MP29" s="402">
        <f>MO29*(1+Hurdle3IRR)^(1/12)+MP24</f>
        <v/>
      </c>
      <c r="MQ29" s="402">
        <f>MP29*(1+Hurdle3IRR)^(1/12)+MQ24</f>
        <v/>
      </c>
      <c r="MR29" s="402">
        <f>MQ29*(1+Hurdle3IRR)^(1/12)+MR24</f>
        <v/>
      </c>
      <c r="MS29" s="402">
        <f>MR29*(1+Hurdle3IRR)^(1/12)+MS24</f>
        <v/>
      </c>
      <c r="MT29" s="402">
        <f>MS29*(1+Hurdle3IRR)^(1/12)+MT24</f>
        <v/>
      </c>
      <c r="MU29" s="402">
        <f>MT29*(1+Hurdle3IRR)^(1/12)+MU24</f>
        <v/>
      </c>
      <c r="MV29" s="402">
        <f>MU29*(1+Hurdle3IRR)^(1/12)+MV24</f>
        <v/>
      </c>
      <c r="MW29" s="402">
        <f>MV29*(1+Hurdle3IRR)^(1/12)+MW24</f>
        <v/>
      </c>
      <c r="MX29" s="402">
        <f>MW29*(1+Hurdle3IRR)^(1/12)+MX24</f>
        <v/>
      </c>
      <c r="MY29" s="402">
        <f>MX29*(1+Hurdle3IRR)^(1/12)+MY24</f>
        <v/>
      </c>
      <c r="MZ29" s="402">
        <f>MY29*(1+Hurdle3IRR)^(1/12)+MZ24</f>
        <v/>
      </c>
      <c r="NA29" s="402">
        <f>MZ29*(1+Hurdle3IRR)^(1/12)+NA24</f>
        <v/>
      </c>
      <c r="NB29" s="402">
        <f>NA29*(1+Hurdle3IRR)^(1/12)+NB24</f>
        <v/>
      </c>
      <c r="NC29" s="402">
        <f>NB29*(1+Hurdle3IRR)^(1/12)+NC24</f>
        <v/>
      </c>
      <c r="ND29" s="402">
        <f>NC29*(1+Hurdle3IRR)^(1/12)+ND24</f>
        <v/>
      </c>
      <c r="NE29" s="402">
        <f>ND29*(1+Hurdle3IRR)^(1/12)+NE24</f>
        <v/>
      </c>
      <c r="NF29" s="402">
        <f>NE29*(1+Hurdle3IRR)^(1/12)+NF24</f>
        <v/>
      </c>
      <c r="NG29" s="402">
        <f>NF29*(1+Hurdle3IRR)^(1/12)+NG24</f>
        <v/>
      </c>
      <c r="NH29" s="402">
        <f>NG29*(1+Hurdle3IRR)^(1/12)+NH24</f>
        <v/>
      </c>
      <c r="NI29" s="402">
        <f>NH29*(1+Hurdle3IRR)^(1/12)+NI24</f>
        <v/>
      </c>
      <c r="NJ29" s="402">
        <f>NI29*(1+Hurdle3IRR)^(1/12)+NJ24</f>
        <v/>
      </c>
      <c r="NK29" s="402">
        <f>NJ29*(1+Hurdle3IRR)^(1/12)+NK24</f>
        <v/>
      </c>
      <c r="NL29" s="402">
        <f>NK29*(1+Hurdle3IRR)^(1/12)+NL24</f>
        <v/>
      </c>
    </row>
    <row r="30">
      <c r="B30" s="316" t="inlineStr">
        <is>
          <t>Cumulative Distributions (BoM)</t>
        </is>
      </c>
      <c r="D30" s="402">
        <f>INDEX(E30:NL30,HoldPeriodMonths)</f>
        <v/>
      </c>
      <c r="E30" s="402">
        <f>0</f>
        <v/>
      </c>
      <c r="F30" s="402">
        <f>E36</f>
        <v/>
      </c>
      <c r="G30" s="402">
        <f>F36</f>
        <v/>
      </c>
      <c r="H30" s="402">
        <f>G36</f>
        <v/>
      </c>
      <c r="I30" s="402">
        <f>H36</f>
        <v/>
      </c>
      <c r="J30" s="402">
        <f>I36</f>
        <v/>
      </c>
      <c r="K30" s="402">
        <f>J36</f>
        <v/>
      </c>
      <c r="L30" s="402">
        <f>K36</f>
        <v/>
      </c>
      <c r="M30" s="402">
        <f>L36</f>
        <v/>
      </c>
      <c r="N30" s="402">
        <f>M36</f>
        <v/>
      </c>
      <c r="O30" s="402">
        <f>N36</f>
        <v/>
      </c>
      <c r="P30" s="402">
        <f>O36</f>
        <v/>
      </c>
      <c r="Q30" s="402">
        <f>P36</f>
        <v/>
      </c>
      <c r="R30" s="402">
        <f>Q36</f>
        <v/>
      </c>
      <c r="S30" s="402">
        <f>R36</f>
        <v/>
      </c>
      <c r="T30" s="402">
        <f>S36</f>
        <v/>
      </c>
      <c r="U30" s="402">
        <f>T36</f>
        <v/>
      </c>
      <c r="V30" s="402">
        <f>U36</f>
        <v/>
      </c>
      <c r="W30" s="402">
        <f>V36</f>
        <v/>
      </c>
      <c r="X30" s="402">
        <f>W36</f>
        <v/>
      </c>
      <c r="Y30" s="402">
        <f>X36</f>
        <v/>
      </c>
      <c r="Z30" s="402">
        <f>Y36</f>
        <v/>
      </c>
      <c r="AA30" s="402">
        <f>Z36</f>
        <v/>
      </c>
      <c r="AB30" s="402">
        <f>AA36</f>
        <v/>
      </c>
      <c r="AC30" s="402">
        <f>AB36</f>
        <v/>
      </c>
      <c r="AD30" s="402">
        <f>AC36</f>
        <v/>
      </c>
      <c r="AE30" s="402">
        <f>AD36</f>
        <v/>
      </c>
      <c r="AF30" s="402">
        <f>AE36</f>
        <v/>
      </c>
      <c r="AG30" s="402">
        <f>AF36</f>
        <v/>
      </c>
      <c r="AH30" s="402">
        <f>AG36</f>
        <v/>
      </c>
      <c r="AI30" s="402">
        <f>AH36</f>
        <v/>
      </c>
      <c r="AJ30" s="402">
        <f>AI36</f>
        <v/>
      </c>
      <c r="AK30" s="402">
        <f>AJ36</f>
        <v/>
      </c>
      <c r="AL30" s="402">
        <f>AK36</f>
        <v/>
      </c>
      <c r="AM30" s="402">
        <f>AL36</f>
        <v/>
      </c>
      <c r="AN30" s="402">
        <f>AM36</f>
        <v/>
      </c>
      <c r="AO30" s="402">
        <f>AN36</f>
        <v/>
      </c>
      <c r="AP30" s="402">
        <f>AO36</f>
        <v/>
      </c>
      <c r="AQ30" s="402">
        <f>AP36</f>
        <v/>
      </c>
      <c r="AR30" s="402">
        <f>AQ36</f>
        <v/>
      </c>
      <c r="AS30" s="402">
        <f>AR36</f>
        <v/>
      </c>
      <c r="AT30" s="402">
        <f>AS36</f>
        <v/>
      </c>
      <c r="AU30" s="402">
        <f>AT36</f>
        <v/>
      </c>
      <c r="AV30" s="402">
        <f>AU36</f>
        <v/>
      </c>
      <c r="AW30" s="402">
        <f>AV36</f>
        <v/>
      </c>
      <c r="AX30" s="402">
        <f>AW36</f>
        <v/>
      </c>
      <c r="AY30" s="402">
        <f>AX36</f>
        <v/>
      </c>
      <c r="AZ30" s="402">
        <f>AY36</f>
        <v/>
      </c>
      <c r="BA30" s="402">
        <f>AZ36</f>
        <v/>
      </c>
      <c r="BB30" s="402">
        <f>BA36</f>
        <v/>
      </c>
      <c r="BC30" s="402">
        <f>BB36</f>
        <v/>
      </c>
      <c r="BD30" s="402">
        <f>BC36</f>
        <v/>
      </c>
      <c r="BE30" s="402">
        <f>BD36</f>
        <v/>
      </c>
      <c r="BF30" s="402">
        <f>BE36</f>
        <v/>
      </c>
      <c r="BG30" s="402">
        <f>BF36</f>
        <v/>
      </c>
      <c r="BH30" s="402">
        <f>BG36</f>
        <v/>
      </c>
      <c r="BI30" s="402">
        <f>BH36</f>
        <v/>
      </c>
      <c r="BJ30" s="402">
        <f>BI36</f>
        <v/>
      </c>
      <c r="BK30" s="402">
        <f>BJ36</f>
        <v/>
      </c>
      <c r="BL30" s="402">
        <f>BK36</f>
        <v/>
      </c>
      <c r="BM30" s="402">
        <f>BL36</f>
        <v/>
      </c>
      <c r="BN30" s="402">
        <f>BM36</f>
        <v/>
      </c>
      <c r="BO30" s="402">
        <f>BN36</f>
        <v/>
      </c>
      <c r="BP30" s="402">
        <f>BO36</f>
        <v/>
      </c>
      <c r="BQ30" s="402">
        <f>BP36</f>
        <v/>
      </c>
      <c r="BR30" s="402">
        <f>BQ36</f>
        <v/>
      </c>
      <c r="BS30" s="402">
        <f>BR36</f>
        <v/>
      </c>
      <c r="BT30" s="402">
        <f>BS36</f>
        <v/>
      </c>
      <c r="BU30" s="402">
        <f>BT36</f>
        <v/>
      </c>
      <c r="BV30" s="402">
        <f>BU36</f>
        <v/>
      </c>
      <c r="BW30" s="402">
        <f>BV36</f>
        <v/>
      </c>
      <c r="BX30" s="402">
        <f>BW36</f>
        <v/>
      </c>
      <c r="BY30" s="402">
        <f>BX36</f>
        <v/>
      </c>
      <c r="BZ30" s="402">
        <f>BY36</f>
        <v/>
      </c>
      <c r="CA30" s="402">
        <f>BZ36</f>
        <v/>
      </c>
      <c r="CB30" s="402">
        <f>CA36</f>
        <v/>
      </c>
      <c r="CC30" s="402">
        <f>CB36</f>
        <v/>
      </c>
      <c r="CD30" s="402">
        <f>CC36</f>
        <v/>
      </c>
      <c r="CE30" s="402">
        <f>CD36</f>
        <v/>
      </c>
      <c r="CF30" s="402">
        <f>CE36</f>
        <v/>
      </c>
      <c r="CG30" s="402">
        <f>CF36</f>
        <v/>
      </c>
      <c r="CH30" s="402">
        <f>CG36</f>
        <v/>
      </c>
      <c r="CI30" s="402">
        <f>CH36</f>
        <v/>
      </c>
      <c r="CJ30" s="402">
        <f>CI36</f>
        <v/>
      </c>
      <c r="CK30" s="402">
        <f>CJ36</f>
        <v/>
      </c>
      <c r="CL30" s="402">
        <f>CK36</f>
        <v/>
      </c>
      <c r="CM30" s="402">
        <f>CL36</f>
        <v/>
      </c>
      <c r="CN30" s="402">
        <f>CM36</f>
        <v/>
      </c>
      <c r="CO30" s="402">
        <f>CN36</f>
        <v/>
      </c>
      <c r="CP30" s="402">
        <f>CO36</f>
        <v/>
      </c>
      <c r="CQ30" s="402">
        <f>CP36</f>
        <v/>
      </c>
      <c r="CR30" s="402">
        <f>CQ36</f>
        <v/>
      </c>
      <c r="CS30" s="402">
        <f>CR36</f>
        <v/>
      </c>
      <c r="CT30" s="402">
        <f>CS36</f>
        <v/>
      </c>
      <c r="CU30" s="402">
        <f>CT36</f>
        <v/>
      </c>
      <c r="CV30" s="402">
        <f>CU36</f>
        <v/>
      </c>
      <c r="CW30" s="402">
        <f>CV36</f>
        <v/>
      </c>
      <c r="CX30" s="402">
        <f>CW36</f>
        <v/>
      </c>
      <c r="CY30" s="402">
        <f>CX36</f>
        <v/>
      </c>
      <c r="CZ30" s="402">
        <f>CY36</f>
        <v/>
      </c>
      <c r="DA30" s="402">
        <f>CZ36</f>
        <v/>
      </c>
      <c r="DB30" s="402">
        <f>DA36</f>
        <v/>
      </c>
      <c r="DC30" s="402">
        <f>DB36</f>
        <v/>
      </c>
      <c r="DD30" s="402">
        <f>DC36</f>
        <v/>
      </c>
      <c r="DE30" s="402">
        <f>DD36</f>
        <v/>
      </c>
      <c r="DF30" s="402">
        <f>DE36</f>
        <v/>
      </c>
      <c r="DG30" s="402">
        <f>DF36</f>
        <v/>
      </c>
      <c r="DH30" s="402">
        <f>DG36</f>
        <v/>
      </c>
      <c r="DI30" s="402">
        <f>DH36</f>
        <v/>
      </c>
      <c r="DJ30" s="402">
        <f>DI36</f>
        <v/>
      </c>
      <c r="DK30" s="402">
        <f>DJ36</f>
        <v/>
      </c>
      <c r="DL30" s="402">
        <f>DK36</f>
        <v/>
      </c>
      <c r="DM30" s="402">
        <f>DL36</f>
        <v/>
      </c>
      <c r="DN30" s="402">
        <f>DM36</f>
        <v/>
      </c>
      <c r="DO30" s="402">
        <f>DN36</f>
        <v/>
      </c>
      <c r="DP30" s="402">
        <f>DO36</f>
        <v/>
      </c>
      <c r="DQ30" s="402">
        <f>DP36</f>
        <v/>
      </c>
      <c r="DR30" s="402">
        <f>DQ36</f>
        <v/>
      </c>
      <c r="DS30" s="402">
        <f>DR36</f>
        <v/>
      </c>
      <c r="DT30" s="402">
        <f>DS36</f>
        <v/>
      </c>
      <c r="DU30" s="402">
        <f>DT36</f>
        <v/>
      </c>
      <c r="DV30" s="402">
        <f>DU36</f>
        <v/>
      </c>
      <c r="DW30" s="402">
        <f>DV36</f>
        <v/>
      </c>
      <c r="DX30" s="402">
        <f>DW36</f>
        <v/>
      </c>
      <c r="DY30" s="402">
        <f>DX36</f>
        <v/>
      </c>
      <c r="DZ30" s="402">
        <f>DY36</f>
        <v/>
      </c>
      <c r="EA30" s="402">
        <f>DZ36</f>
        <v/>
      </c>
      <c r="EB30" s="402">
        <f>EA36</f>
        <v/>
      </c>
      <c r="EC30" s="402">
        <f>EB36</f>
        <v/>
      </c>
      <c r="ED30" s="402">
        <f>EC36</f>
        <v/>
      </c>
      <c r="EE30" s="402">
        <f>ED36</f>
        <v/>
      </c>
      <c r="EF30" s="402">
        <f>EE36</f>
        <v/>
      </c>
      <c r="EG30" s="402">
        <f>EF36</f>
        <v/>
      </c>
      <c r="EH30" s="402">
        <f>EG36</f>
        <v/>
      </c>
      <c r="EI30" s="402">
        <f>EH36</f>
        <v/>
      </c>
      <c r="EJ30" s="402">
        <f>EI36</f>
        <v/>
      </c>
      <c r="EK30" s="402">
        <f>EJ36</f>
        <v/>
      </c>
      <c r="EL30" s="402">
        <f>EK36</f>
        <v/>
      </c>
      <c r="EM30" s="402">
        <f>EL36</f>
        <v/>
      </c>
      <c r="EN30" s="402">
        <f>EM36</f>
        <v/>
      </c>
      <c r="EO30" s="402">
        <f>EN36</f>
        <v/>
      </c>
      <c r="EP30" s="402">
        <f>EO36</f>
        <v/>
      </c>
      <c r="EQ30" s="402">
        <f>EP36</f>
        <v/>
      </c>
      <c r="ER30" s="402">
        <f>EQ36</f>
        <v/>
      </c>
      <c r="ES30" s="402">
        <f>ER36</f>
        <v/>
      </c>
      <c r="ET30" s="402">
        <f>ES36</f>
        <v/>
      </c>
      <c r="EU30" s="402">
        <f>ET36</f>
        <v/>
      </c>
      <c r="EV30" s="402">
        <f>EU36</f>
        <v/>
      </c>
      <c r="EW30" s="402">
        <f>EV36</f>
        <v/>
      </c>
      <c r="EX30" s="402">
        <f>EW36</f>
        <v/>
      </c>
      <c r="EY30" s="402">
        <f>EX36</f>
        <v/>
      </c>
      <c r="EZ30" s="402">
        <f>EY36</f>
        <v/>
      </c>
      <c r="FA30" s="402">
        <f>EZ36</f>
        <v/>
      </c>
      <c r="FB30" s="402">
        <f>FA36</f>
        <v/>
      </c>
      <c r="FC30" s="402">
        <f>FB36</f>
        <v/>
      </c>
      <c r="FD30" s="402">
        <f>FC36</f>
        <v/>
      </c>
      <c r="FE30" s="402">
        <f>FD36</f>
        <v/>
      </c>
      <c r="FF30" s="402">
        <f>FE36</f>
        <v/>
      </c>
      <c r="FG30" s="402">
        <f>FF36</f>
        <v/>
      </c>
      <c r="FH30" s="402">
        <f>FG36</f>
        <v/>
      </c>
      <c r="FI30" s="402">
        <f>FH36</f>
        <v/>
      </c>
      <c r="FJ30" s="402">
        <f>FI36</f>
        <v/>
      </c>
      <c r="FK30" s="402">
        <f>FJ36</f>
        <v/>
      </c>
      <c r="FL30" s="402">
        <f>FK36</f>
        <v/>
      </c>
      <c r="FM30" s="402">
        <f>FL36</f>
        <v/>
      </c>
      <c r="FN30" s="402">
        <f>FM36</f>
        <v/>
      </c>
      <c r="FO30" s="402">
        <f>FN36</f>
        <v/>
      </c>
      <c r="FP30" s="402">
        <f>FO36</f>
        <v/>
      </c>
      <c r="FQ30" s="402">
        <f>FP36</f>
        <v/>
      </c>
      <c r="FR30" s="402">
        <f>FQ36</f>
        <v/>
      </c>
      <c r="FS30" s="402">
        <f>FR36</f>
        <v/>
      </c>
      <c r="FT30" s="402">
        <f>FS36</f>
        <v/>
      </c>
      <c r="FU30" s="402">
        <f>FT36</f>
        <v/>
      </c>
      <c r="FV30" s="402">
        <f>FU36</f>
        <v/>
      </c>
      <c r="FW30" s="402">
        <f>FV36</f>
        <v/>
      </c>
      <c r="FX30" s="402">
        <f>FW36</f>
        <v/>
      </c>
      <c r="FY30" s="402">
        <f>FX36</f>
        <v/>
      </c>
      <c r="FZ30" s="402">
        <f>FY36</f>
        <v/>
      </c>
      <c r="GA30" s="402">
        <f>FZ36</f>
        <v/>
      </c>
      <c r="GB30" s="402">
        <f>GA36</f>
        <v/>
      </c>
      <c r="GC30" s="402">
        <f>GB36</f>
        <v/>
      </c>
      <c r="GD30" s="402">
        <f>GC36</f>
        <v/>
      </c>
      <c r="GE30" s="402">
        <f>GD36</f>
        <v/>
      </c>
      <c r="GF30" s="402">
        <f>GE36</f>
        <v/>
      </c>
      <c r="GG30" s="402">
        <f>GF36</f>
        <v/>
      </c>
      <c r="GH30" s="402">
        <f>GG36</f>
        <v/>
      </c>
      <c r="GI30" s="402">
        <f>GH36</f>
        <v/>
      </c>
      <c r="GJ30" s="402">
        <f>GI36</f>
        <v/>
      </c>
      <c r="GK30" s="402">
        <f>GJ36</f>
        <v/>
      </c>
      <c r="GL30" s="402">
        <f>GK36</f>
        <v/>
      </c>
      <c r="GM30" s="402">
        <f>GL36</f>
        <v/>
      </c>
      <c r="GN30" s="402">
        <f>GM36</f>
        <v/>
      </c>
      <c r="GO30" s="402">
        <f>GN36</f>
        <v/>
      </c>
      <c r="GP30" s="402">
        <f>GO36</f>
        <v/>
      </c>
      <c r="GQ30" s="402">
        <f>GP36</f>
        <v/>
      </c>
      <c r="GR30" s="402">
        <f>GQ36</f>
        <v/>
      </c>
      <c r="GS30" s="402">
        <f>GR36</f>
        <v/>
      </c>
      <c r="GT30" s="402">
        <f>GS36</f>
        <v/>
      </c>
      <c r="GU30" s="402">
        <f>GT36</f>
        <v/>
      </c>
      <c r="GV30" s="402">
        <f>GU36</f>
        <v/>
      </c>
      <c r="GW30" s="402">
        <f>GV36</f>
        <v/>
      </c>
      <c r="GX30" s="402">
        <f>GW36</f>
        <v/>
      </c>
      <c r="GY30" s="402">
        <f>GX36</f>
        <v/>
      </c>
      <c r="GZ30" s="402">
        <f>GY36</f>
        <v/>
      </c>
      <c r="HA30" s="402">
        <f>GZ36</f>
        <v/>
      </c>
      <c r="HB30" s="402">
        <f>HA36</f>
        <v/>
      </c>
      <c r="HC30" s="402">
        <f>HB36</f>
        <v/>
      </c>
      <c r="HD30" s="402">
        <f>HC36</f>
        <v/>
      </c>
      <c r="HE30" s="402">
        <f>HD36</f>
        <v/>
      </c>
      <c r="HF30" s="402">
        <f>HE36</f>
        <v/>
      </c>
      <c r="HG30" s="402">
        <f>HF36</f>
        <v/>
      </c>
      <c r="HH30" s="402">
        <f>HG36</f>
        <v/>
      </c>
      <c r="HI30" s="402">
        <f>HH36</f>
        <v/>
      </c>
      <c r="HJ30" s="402">
        <f>HI36</f>
        <v/>
      </c>
      <c r="HK30" s="402">
        <f>HJ36</f>
        <v/>
      </c>
      <c r="HL30" s="402">
        <f>HK36</f>
        <v/>
      </c>
      <c r="HM30" s="402">
        <f>HL36</f>
        <v/>
      </c>
      <c r="HN30" s="402">
        <f>HM36</f>
        <v/>
      </c>
      <c r="HO30" s="402">
        <f>HN36</f>
        <v/>
      </c>
      <c r="HP30" s="402">
        <f>HO36</f>
        <v/>
      </c>
      <c r="HQ30" s="402">
        <f>HP36</f>
        <v/>
      </c>
      <c r="HR30" s="402">
        <f>HQ36</f>
        <v/>
      </c>
      <c r="HS30" s="402">
        <f>HR36</f>
        <v/>
      </c>
      <c r="HT30" s="402">
        <f>HS36</f>
        <v/>
      </c>
      <c r="HU30" s="402">
        <f>HT36</f>
        <v/>
      </c>
      <c r="HV30" s="402">
        <f>HU36</f>
        <v/>
      </c>
      <c r="HW30" s="402">
        <f>HV36</f>
        <v/>
      </c>
      <c r="HX30" s="402">
        <f>HW36</f>
        <v/>
      </c>
      <c r="HY30" s="402">
        <f>HX36</f>
        <v/>
      </c>
      <c r="HZ30" s="402">
        <f>HY36</f>
        <v/>
      </c>
      <c r="IA30" s="402">
        <f>HZ36</f>
        <v/>
      </c>
      <c r="IB30" s="402">
        <f>IA36</f>
        <v/>
      </c>
      <c r="IC30" s="402">
        <f>IB36</f>
        <v/>
      </c>
      <c r="ID30" s="402">
        <f>IC36</f>
        <v/>
      </c>
      <c r="IE30" s="402">
        <f>ID36</f>
        <v/>
      </c>
      <c r="IF30" s="402">
        <f>IE36</f>
        <v/>
      </c>
      <c r="IG30" s="402">
        <f>IF36</f>
        <v/>
      </c>
      <c r="IH30" s="402">
        <f>IG36</f>
        <v/>
      </c>
      <c r="II30" s="402">
        <f>IH36</f>
        <v/>
      </c>
      <c r="IJ30" s="402">
        <f>II36</f>
        <v/>
      </c>
      <c r="IK30" s="402">
        <f>IJ36</f>
        <v/>
      </c>
      <c r="IL30" s="402">
        <f>IK36</f>
        <v/>
      </c>
      <c r="IM30" s="402">
        <f>IL36</f>
        <v/>
      </c>
      <c r="IN30" s="402">
        <f>IM36</f>
        <v/>
      </c>
      <c r="IO30" s="402">
        <f>IN36</f>
        <v/>
      </c>
      <c r="IP30" s="402">
        <f>IO36</f>
        <v/>
      </c>
      <c r="IQ30" s="402">
        <f>IP36</f>
        <v/>
      </c>
      <c r="IR30" s="402">
        <f>IQ36</f>
        <v/>
      </c>
      <c r="IS30" s="402">
        <f>IR36</f>
        <v/>
      </c>
      <c r="IT30" s="402">
        <f>IS36</f>
        <v/>
      </c>
      <c r="IU30" s="402">
        <f>IT36</f>
        <v/>
      </c>
      <c r="IV30" s="402">
        <f>IU36</f>
        <v/>
      </c>
      <c r="IW30" s="402">
        <f>IV36</f>
        <v/>
      </c>
      <c r="IX30" s="402">
        <f>IW36</f>
        <v/>
      </c>
      <c r="IY30" s="402">
        <f>IX36</f>
        <v/>
      </c>
      <c r="IZ30" s="402">
        <f>IY36</f>
        <v/>
      </c>
      <c r="JA30" s="402">
        <f>IZ36</f>
        <v/>
      </c>
      <c r="JB30" s="402">
        <f>JA36</f>
        <v/>
      </c>
      <c r="JC30" s="402">
        <f>JB36</f>
        <v/>
      </c>
      <c r="JD30" s="402">
        <f>JC36</f>
        <v/>
      </c>
      <c r="JE30" s="402">
        <f>JD36</f>
        <v/>
      </c>
      <c r="JF30" s="402">
        <f>JE36</f>
        <v/>
      </c>
      <c r="JG30" s="402">
        <f>JF36</f>
        <v/>
      </c>
      <c r="JH30" s="402">
        <f>JG36</f>
        <v/>
      </c>
      <c r="JI30" s="402">
        <f>JH36</f>
        <v/>
      </c>
      <c r="JJ30" s="402">
        <f>JI36</f>
        <v/>
      </c>
      <c r="JK30" s="402">
        <f>JJ36</f>
        <v/>
      </c>
      <c r="JL30" s="402">
        <f>JK36</f>
        <v/>
      </c>
      <c r="JM30" s="402">
        <f>JL36</f>
        <v/>
      </c>
      <c r="JN30" s="402">
        <f>JM36</f>
        <v/>
      </c>
      <c r="JO30" s="402">
        <f>JN36</f>
        <v/>
      </c>
      <c r="JP30" s="402">
        <f>JO36</f>
        <v/>
      </c>
      <c r="JQ30" s="402">
        <f>JP36</f>
        <v/>
      </c>
      <c r="JR30" s="402">
        <f>JQ36</f>
        <v/>
      </c>
      <c r="JS30" s="402">
        <f>JR36</f>
        <v/>
      </c>
      <c r="JT30" s="402">
        <f>JS36</f>
        <v/>
      </c>
      <c r="JU30" s="402">
        <f>JT36</f>
        <v/>
      </c>
      <c r="JV30" s="402">
        <f>JU36</f>
        <v/>
      </c>
      <c r="JW30" s="402">
        <f>JV36</f>
        <v/>
      </c>
      <c r="JX30" s="402">
        <f>JW36</f>
        <v/>
      </c>
      <c r="JY30" s="402">
        <f>JX36</f>
        <v/>
      </c>
      <c r="JZ30" s="402">
        <f>JY36</f>
        <v/>
      </c>
      <c r="KA30" s="402">
        <f>JZ36</f>
        <v/>
      </c>
      <c r="KB30" s="402">
        <f>KA36</f>
        <v/>
      </c>
      <c r="KC30" s="402">
        <f>KB36</f>
        <v/>
      </c>
      <c r="KD30" s="402">
        <f>KC36</f>
        <v/>
      </c>
      <c r="KE30" s="402">
        <f>KD36</f>
        <v/>
      </c>
      <c r="KF30" s="402">
        <f>KE36</f>
        <v/>
      </c>
      <c r="KG30" s="402">
        <f>KF36</f>
        <v/>
      </c>
      <c r="KH30" s="402">
        <f>KG36</f>
        <v/>
      </c>
      <c r="KI30" s="402">
        <f>KH36</f>
        <v/>
      </c>
      <c r="KJ30" s="402">
        <f>KI36</f>
        <v/>
      </c>
      <c r="KK30" s="402">
        <f>KJ36</f>
        <v/>
      </c>
      <c r="KL30" s="402">
        <f>KK36</f>
        <v/>
      </c>
      <c r="KM30" s="402">
        <f>KL36</f>
        <v/>
      </c>
      <c r="KN30" s="402">
        <f>KM36</f>
        <v/>
      </c>
      <c r="KO30" s="402">
        <f>KN36</f>
        <v/>
      </c>
      <c r="KP30" s="402">
        <f>KO36</f>
        <v/>
      </c>
      <c r="KQ30" s="402">
        <f>KP36</f>
        <v/>
      </c>
      <c r="KR30" s="402">
        <f>KQ36</f>
        <v/>
      </c>
      <c r="KS30" s="402">
        <f>KR36</f>
        <v/>
      </c>
      <c r="KT30" s="402">
        <f>KS36</f>
        <v/>
      </c>
      <c r="KU30" s="402">
        <f>KT36</f>
        <v/>
      </c>
      <c r="KV30" s="402">
        <f>KU36</f>
        <v/>
      </c>
      <c r="KW30" s="402">
        <f>KV36</f>
        <v/>
      </c>
      <c r="KX30" s="402">
        <f>KW36</f>
        <v/>
      </c>
      <c r="KY30" s="402">
        <f>KX36</f>
        <v/>
      </c>
      <c r="KZ30" s="402">
        <f>KY36</f>
        <v/>
      </c>
      <c r="LA30" s="402">
        <f>KZ36</f>
        <v/>
      </c>
      <c r="LB30" s="402">
        <f>LA36</f>
        <v/>
      </c>
      <c r="LC30" s="402">
        <f>LB36</f>
        <v/>
      </c>
      <c r="LD30" s="402">
        <f>LC36</f>
        <v/>
      </c>
      <c r="LE30" s="402">
        <f>LD36</f>
        <v/>
      </c>
      <c r="LF30" s="402">
        <f>LE36</f>
        <v/>
      </c>
      <c r="LG30" s="402">
        <f>LF36</f>
        <v/>
      </c>
      <c r="LH30" s="402">
        <f>LG36</f>
        <v/>
      </c>
      <c r="LI30" s="402">
        <f>LH36</f>
        <v/>
      </c>
      <c r="LJ30" s="402">
        <f>LI36</f>
        <v/>
      </c>
      <c r="LK30" s="402">
        <f>LJ36</f>
        <v/>
      </c>
      <c r="LL30" s="402">
        <f>LK36</f>
        <v/>
      </c>
      <c r="LM30" s="402">
        <f>LL36</f>
        <v/>
      </c>
      <c r="LN30" s="402">
        <f>LM36</f>
        <v/>
      </c>
      <c r="LO30" s="402">
        <f>LN36</f>
        <v/>
      </c>
      <c r="LP30" s="402">
        <f>LO36</f>
        <v/>
      </c>
      <c r="LQ30" s="402">
        <f>LP36</f>
        <v/>
      </c>
      <c r="LR30" s="402">
        <f>LQ36</f>
        <v/>
      </c>
      <c r="LS30" s="402">
        <f>LR36</f>
        <v/>
      </c>
      <c r="LT30" s="402">
        <f>LS36</f>
        <v/>
      </c>
      <c r="LU30" s="402">
        <f>LT36</f>
        <v/>
      </c>
      <c r="LV30" s="402">
        <f>LU36</f>
        <v/>
      </c>
      <c r="LW30" s="402">
        <f>LV36</f>
        <v/>
      </c>
      <c r="LX30" s="402">
        <f>LW36</f>
        <v/>
      </c>
      <c r="LY30" s="402">
        <f>LX36</f>
        <v/>
      </c>
      <c r="LZ30" s="402">
        <f>LY36</f>
        <v/>
      </c>
      <c r="MA30" s="402">
        <f>LZ36</f>
        <v/>
      </c>
      <c r="MB30" s="402">
        <f>MA36</f>
        <v/>
      </c>
      <c r="MC30" s="402">
        <f>MB36</f>
        <v/>
      </c>
      <c r="MD30" s="402">
        <f>MC36</f>
        <v/>
      </c>
      <c r="ME30" s="402">
        <f>MD36</f>
        <v/>
      </c>
      <c r="MF30" s="402">
        <f>ME36</f>
        <v/>
      </c>
      <c r="MG30" s="402">
        <f>MF36</f>
        <v/>
      </c>
      <c r="MH30" s="402">
        <f>MG36</f>
        <v/>
      </c>
      <c r="MI30" s="402">
        <f>MH36</f>
        <v/>
      </c>
      <c r="MJ30" s="402">
        <f>MI36</f>
        <v/>
      </c>
      <c r="MK30" s="402">
        <f>MJ36</f>
        <v/>
      </c>
      <c r="ML30" s="402">
        <f>MK36</f>
        <v/>
      </c>
      <c r="MM30" s="402">
        <f>ML36</f>
        <v/>
      </c>
      <c r="MN30" s="402">
        <f>MM36</f>
        <v/>
      </c>
      <c r="MO30" s="402">
        <f>MN36</f>
        <v/>
      </c>
      <c r="MP30" s="402">
        <f>MO36</f>
        <v/>
      </c>
      <c r="MQ30" s="402">
        <f>MP36</f>
        <v/>
      </c>
      <c r="MR30" s="402">
        <f>MQ36</f>
        <v/>
      </c>
      <c r="MS30" s="402">
        <f>MR36</f>
        <v/>
      </c>
      <c r="MT30" s="402">
        <f>MS36</f>
        <v/>
      </c>
      <c r="MU30" s="402">
        <f>MT36</f>
        <v/>
      </c>
      <c r="MV30" s="402">
        <f>MU36</f>
        <v/>
      </c>
      <c r="MW30" s="402">
        <f>MV36</f>
        <v/>
      </c>
      <c r="MX30" s="402">
        <f>MW36</f>
        <v/>
      </c>
      <c r="MY30" s="402">
        <f>MX36</f>
        <v/>
      </c>
      <c r="MZ30" s="402">
        <f>MY36</f>
        <v/>
      </c>
      <c r="NA30" s="402">
        <f>MZ36</f>
        <v/>
      </c>
      <c r="NB30" s="402">
        <f>NA36</f>
        <v/>
      </c>
      <c r="NC30" s="402">
        <f>NB36</f>
        <v/>
      </c>
      <c r="ND30" s="402">
        <f>NC36</f>
        <v/>
      </c>
      <c r="NE30" s="402">
        <f>ND36</f>
        <v/>
      </c>
      <c r="NF30" s="402">
        <f>NE36</f>
        <v/>
      </c>
      <c r="NG30" s="402">
        <f>NF36</f>
        <v/>
      </c>
      <c r="NH30" s="402">
        <f>NG36</f>
        <v/>
      </c>
      <c r="NI30" s="402">
        <f>NH36</f>
        <v/>
      </c>
      <c r="NJ30" s="402">
        <f>NI36</f>
        <v/>
      </c>
      <c r="NK30" s="402">
        <f>NJ36</f>
        <v/>
      </c>
      <c r="NL30" s="402">
        <f>NK36</f>
        <v/>
      </c>
    </row>
    <row r="31">
      <c r="B31" s="384" t="inlineStr">
        <is>
          <t>Tier Distributions</t>
        </is>
      </c>
      <c r="D31" s="401" t="inlineStr"/>
      <c r="E31" s="155" t="n"/>
      <c r="F31" s="155" t="n"/>
      <c r="G31" s="155" t="n"/>
      <c r="H31" s="155" t="n"/>
      <c r="I31" s="155" t="n"/>
      <c r="J31" s="155" t="n"/>
      <c r="K31" s="155" t="n"/>
      <c r="L31" s="155" t="n"/>
      <c r="M31" s="155" t="n"/>
      <c r="N31" s="155" t="n"/>
      <c r="O31" s="155" t="n"/>
      <c r="P31" s="155" t="n"/>
      <c r="Q31" s="155" t="n"/>
      <c r="R31" s="155" t="n"/>
      <c r="S31" s="155" t="n"/>
      <c r="T31" s="155" t="n"/>
      <c r="U31" s="155" t="n"/>
      <c r="V31" s="155" t="n"/>
      <c r="W31" s="155" t="n"/>
      <c r="X31" s="155" t="n"/>
      <c r="Y31" s="155" t="n"/>
      <c r="Z31" s="155" t="n"/>
      <c r="AA31" s="155" t="n"/>
      <c r="AB31" s="155" t="n"/>
      <c r="AC31" s="155" t="n"/>
      <c r="AD31" s="155" t="n"/>
      <c r="AE31" s="155" t="n"/>
      <c r="AF31" s="155" t="n"/>
      <c r="AG31" s="155" t="n"/>
      <c r="AH31" s="155" t="n"/>
      <c r="AI31" s="155" t="n"/>
      <c r="AJ31" s="155" t="n"/>
      <c r="AK31" s="155" t="n"/>
      <c r="AL31" s="155" t="n"/>
      <c r="AM31" s="155" t="n"/>
      <c r="AN31" s="155" t="n"/>
      <c r="AO31" s="155" t="n"/>
      <c r="AP31" s="155" t="n"/>
      <c r="AQ31" s="155" t="n"/>
      <c r="AR31" s="155" t="n"/>
      <c r="AS31" s="155" t="n"/>
      <c r="AT31" s="155" t="n"/>
      <c r="AU31" s="155" t="n"/>
      <c r="AV31" s="155" t="n"/>
      <c r="AW31" s="155" t="n"/>
      <c r="AX31" s="155" t="n"/>
      <c r="AY31" s="155" t="n"/>
      <c r="AZ31" s="155" t="n"/>
      <c r="BA31" s="155" t="n"/>
      <c r="BB31" s="155" t="n"/>
      <c r="BC31" s="155" t="n"/>
      <c r="BD31" s="155" t="n"/>
      <c r="BE31" s="155" t="n"/>
      <c r="BF31" s="155" t="n"/>
      <c r="BG31" s="155" t="n"/>
      <c r="BH31" s="155" t="n"/>
      <c r="BI31" s="155" t="n"/>
      <c r="BJ31" s="155" t="n"/>
      <c r="BK31" s="155" t="n"/>
      <c r="BL31" s="155" t="n"/>
      <c r="BM31" s="155" t="n"/>
      <c r="BN31" s="155" t="n"/>
      <c r="BO31" s="155" t="n"/>
      <c r="BP31" s="155" t="n"/>
      <c r="BQ31" s="155" t="n"/>
      <c r="BR31" s="155" t="n"/>
      <c r="BS31" s="155" t="n"/>
      <c r="BT31" s="155" t="n"/>
      <c r="BU31" s="155" t="n"/>
      <c r="BV31" s="155" t="n"/>
      <c r="BW31" s="155" t="n"/>
      <c r="BX31" s="155" t="n"/>
      <c r="BY31" s="155" t="n"/>
      <c r="BZ31" s="155" t="n"/>
      <c r="CA31" s="155" t="n"/>
      <c r="CB31" s="155" t="n"/>
      <c r="CC31" s="155" t="n"/>
      <c r="CD31" s="155" t="n"/>
      <c r="CE31" s="155" t="n"/>
      <c r="CF31" s="155" t="n"/>
      <c r="CG31" s="155" t="n"/>
      <c r="CH31" s="155" t="n"/>
      <c r="CI31" s="155" t="n"/>
      <c r="CJ31" s="155" t="n"/>
      <c r="CK31" s="155" t="n"/>
      <c r="CL31" s="155" t="n"/>
      <c r="CM31" s="155" t="n"/>
      <c r="CN31" s="155" t="n"/>
      <c r="CO31" s="155" t="n"/>
      <c r="CP31" s="155" t="n"/>
      <c r="CQ31" s="155" t="n"/>
      <c r="CR31" s="155" t="n"/>
      <c r="CS31" s="155" t="n"/>
      <c r="CT31" s="155" t="n"/>
      <c r="CU31" s="155" t="n"/>
      <c r="CV31" s="155" t="n"/>
      <c r="CW31" s="155" t="n"/>
      <c r="CX31" s="155" t="n"/>
      <c r="CY31" s="155" t="n"/>
      <c r="CZ31" s="155" t="n"/>
      <c r="DA31" s="155" t="n"/>
      <c r="DB31" s="155" t="n"/>
      <c r="DC31" s="155" t="n"/>
      <c r="DD31" s="155" t="n"/>
      <c r="DE31" s="155" t="n"/>
      <c r="DF31" s="155" t="n"/>
      <c r="DG31" s="155" t="n"/>
      <c r="DH31" s="155" t="n"/>
      <c r="DI31" s="155" t="n"/>
      <c r="DJ31" s="155" t="n"/>
      <c r="DK31" s="155" t="n"/>
      <c r="DL31" s="155" t="n"/>
      <c r="DM31" s="155" t="n"/>
      <c r="DN31" s="155" t="n"/>
      <c r="DO31" s="155" t="n"/>
      <c r="DP31" s="155" t="n"/>
      <c r="DQ31" s="155" t="n"/>
      <c r="DR31" s="155" t="n"/>
      <c r="DS31" s="155" t="n"/>
      <c r="DT31" s="155" t="n"/>
      <c r="DU31" s="155" t="n"/>
      <c r="DV31" s="155" t="n"/>
      <c r="DW31" s="155" t="n"/>
      <c r="DX31" s="155" t="n"/>
      <c r="DY31" s="155" t="n"/>
      <c r="DZ31" s="155" t="n"/>
      <c r="EA31" s="155" t="n"/>
      <c r="EB31" s="155" t="n"/>
      <c r="EC31" s="155" t="n"/>
      <c r="ED31" s="155" t="n"/>
      <c r="EE31" s="155" t="n"/>
      <c r="EF31" s="155" t="n"/>
      <c r="EG31" s="155" t="n"/>
      <c r="EH31" s="155" t="n"/>
      <c r="EI31" s="155" t="n"/>
      <c r="EJ31" s="155" t="n"/>
      <c r="EK31" s="155" t="n"/>
      <c r="EL31" s="155" t="n"/>
      <c r="EM31" s="155" t="n"/>
      <c r="EN31" s="155" t="n"/>
      <c r="EO31" s="155" t="n"/>
      <c r="EP31" s="155" t="n"/>
      <c r="EQ31" s="155" t="n"/>
      <c r="ER31" s="155" t="n"/>
      <c r="ES31" s="155" t="n"/>
      <c r="ET31" s="155" t="n"/>
      <c r="EU31" s="155" t="n"/>
      <c r="EV31" s="155" t="n"/>
      <c r="EW31" s="155" t="n"/>
      <c r="EX31" s="155" t="n"/>
      <c r="EY31" s="155" t="n"/>
      <c r="EZ31" s="155" t="n"/>
      <c r="FA31" s="155" t="n"/>
      <c r="FB31" s="155" t="n"/>
      <c r="FC31" s="155" t="n"/>
      <c r="FD31" s="155" t="n"/>
      <c r="FE31" s="155" t="n"/>
      <c r="FF31" s="155" t="n"/>
      <c r="FG31" s="155" t="n"/>
      <c r="FH31" s="155" t="n"/>
      <c r="FI31" s="155" t="n"/>
      <c r="FJ31" s="155" t="n"/>
      <c r="FK31" s="155" t="n"/>
      <c r="FL31" s="155" t="n"/>
      <c r="FM31" s="155" t="n"/>
      <c r="FN31" s="155" t="n"/>
      <c r="FO31" s="155" t="n"/>
      <c r="FP31" s="155" t="n"/>
      <c r="FQ31" s="155" t="n"/>
      <c r="FR31" s="155" t="n"/>
      <c r="FS31" s="155" t="n"/>
      <c r="FT31" s="155" t="n"/>
      <c r="FU31" s="155" t="n"/>
      <c r="FV31" s="155" t="n"/>
      <c r="FW31" s="155" t="n"/>
      <c r="FX31" s="155" t="n"/>
      <c r="FY31" s="155" t="n"/>
      <c r="FZ31" s="155" t="n"/>
      <c r="GA31" s="155" t="n"/>
      <c r="GB31" s="155" t="n"/>
      <c r="GC31" s="155" t="n"/>
      <c r="GD31" s="155" t="n"/>
      <c r="GE31" s="155" t="n"/>
      <c r="GF31" s="155" t="n"/>
      <c r="GG31" s="155" t="n"/>
      <c r="GH31" s="155" t="n"/>
      <c r="GI31" s="155" t="n"/>
      <c r="GJ31" s="155" t="n"/>
      <c r="GK31" s="155" t="n"/>
      <c r="GL31" s="155" t="n"/>
      <c r="GM31" s="155" t="n"/>
      <c r="GN31" s="155" t="n"/>
      <c r="GO31" s="155" t="n"/>
      <c r="GP31" s="155" t="n"/>
      <c r="GQ31" s="155" t="n"/>
      <c r="GR31" s="155" t="n"/>
      <c r="GS31" s="155" t="n"/>
      <c r="GT31" s="155" t="n"/>
      <c r="GU31" s="155" t="n"/>
      <c r="GV31" s="155" t="n"/>
      <c r="GW31" s="155" t="n"/>
      <c r="GX31" s="155" t="n"/>
      <c r="GY31" s="155" t="n"/>
      <c r="GZ31" s="155" t="n"/>
      <c r="HA31" s="155" t="n"/>
      <c r="HB31" s="155" t="n"/>
      <c r="HC31" s="155" t="n"/>
      <c r="HD31" s="155" t="n"/>
      <c r="HE31" s="155" t="n"/>
      <c r="HF31" s="155" t="n"/>
      <c r="HG31" s="155" t="n"/>
      <c r="HH31" s="155" t="n"/>
      <c r="HI31" s="155" t="n"/>
      <c r="HJ31" s="155" t="n"/>
      <c r="HK31" s="155" t="n"/>
      <c r="HL31" s="155" t="n"/>
      <c r="HM31" s="155" t="n"/>
      <c r="HN31" s="155" t="n"/>
      <c r="HO31" s="155" t="n"/>
      <c r="HP31" s="155" t="n"/>
      <c r="HQ31" s="155" t="n"/>
      <c r="HR31" s="155" t="n"/>
      <c r="HS31" s="155" t="n"/>
      <c r="HT31" s="155" t="n"/>
      <c r="HU31" s="155" t="n"/>
      <c r="HV31" s="155" t="n"/>
      <c r="HW31" s="155" t="n"/>
      <c r="HX31" s="155" t="n"/>
      <c r="HY31" s="155" t="n"/>
      <c r="HZ31" s="155" t="n"/>
      <c r="IA31" s="155" t="n"/>
      <c r="IB31" s="155" t="n"/>
      <c r="IC31" s="155" t="n"/>
      <c r="ID31" s="155" t="n"/>
      <c r="IE31" s="155" t="n"/>
      <c r="IF31" s="155" t="n"/>
      <c r="IG31" s="155" t="n"/>
      <c r="IH31" s="155" t="n"/>
      <c r="II31" s="155" t="n"/>
      <c r="IJ31" s="155" t="n"/>
      <c r="IK31" s="155" t="n"/>
      <c r="IL31" s="155" t="n"/>
      <c r="IM31" s="155" t="n"/>
      <c r="IN31" s="155" t="n"/>
      <c r="IO31" s="155" t="n"/>
      <c r="IP31" s="155" t="n"/>
      <c r="IQ31" s="155" t="n"/>
      <c r="IR31" s="155" t="n"/>
      <c r="IS31" s="155" t="n"/>
      <c r="IT31" s="155" t="n"/>
      <c r="IU31" s="155" t="n"/>
      <c r="IV31" s="155" t="n"/>
      <c r="IW31" s="155" t="n"/>
      <c r="IX31" s="155" t="n"/>
      <c r="IY31" s="155" t="n"/>
      <c r="IZ31" s="155" t="n"/>
      <c r="JA31" s="155" t="n"/>
      <c r="JB31" s="155" t="n"/>
      <c r="JC31" s="155" t="n"/>
      <c r="JD31" s="155" t="n"/>
      <c r="JE31" s="155" t="n"/>
      <c r="JF31" s="155" t="n"/>
      <c r="JG31" s="155" t="n"/>
      <c r="JH31" s="155" t="n"/>
      <c r="JI31" s="155" t="n"/>
      <c r="JJ31" s="155" t="n"/>
      <c r="JK31" s="155" t="n"/>
      <c r="JL31" s="155" t="n"/>
      <c r="JM31" s="155" t="n"/>
      <c r="JN31" s="155" t="n"/>
      <c r="JO31" s="155" t="n"/>
      <c r="JP31" s="155" t="n"/>
      <c r="JQ31" s="155" t="n"/>
      <c r="JR31" s="155" t="n"/>
      <c r="JS31" s="155" t="n"/>
      <c r="JT31" s="155" t="n"/>
      <c r="JU31" s="155" t="n"/>
      <c r="JV31" s="155" t="n"/>
      <c r="JW31" s="155" t="n"/>
      <c r="JX31" s="155" t="n"/>
      <c r="JY31" s="155" t="n"/>
      <c r="JZ31" s="155" t="n"/>
      <c r="KA31" s="155" t="n"/>
      <c r="KB31" s="155" t="n"/>
      <c r="KC31" s="155" t="n"/>
      <c r="KD31" s="155" t="n"/>
      <c r="KE31" s="155" t="n"/>
      <c r="KF31" s="155" t="n"/>
      <c r="KG31" s="155" t="n"/>
      <c r="KH31" s="155" t="n"/>
      <c r="KI31" s="155" t="n"/>
      <c r="KJ31" s="155" t="n"/>
      <c r="KK31" s="155" t="n"/>
      <c r="KL31" s="155" t="n"/>
      <c r="KM31" s="155" t="n"/>
      <c r="KN31" s="155" t="n"/>
      <c r="KO31" s="155" t="n"/>
      <c r="KP31" s="155" t="n"/>
      <c r="KQ31" s="155" t="n"/>
      <c r="KR31" s="155" t="n"/>
      <c r="KS31" s="155" t="n"/>
      <c r="KT31" s="155" t="n"/>
      <c r="KU31" s="155" t="n"/>
      <c r="KV31" s="155" t="n"/>
      <c r="KW31" s="155" t="n"/>
      <c r="KX31" s="155" t="n"/>
      <c r="KY31" s="155" t="n"/>
      <c r="KZ31" s="155" t="n"/>
      <c r="LA31" s="155" t="n"/>
      <c r="LB31" s="155" t="n"/>
      <c r="LC31" s="155" t="n"/>
      <c r="LD31" s="155" t="n"/>
      <c r="LE31" s="155" t="n"/>
      <c r="LF31" s="155" t="n"/>
      <c r="LG31" s="155" t="n"/>
      <c r="LH31" s="155" t="n"/>
      <c r="LI31" s="155" t="n"/>
      <c r="LJ31" s="155" t="n"/>
      <c r="LK31" s="155" t="n"/>
      <c r="LL31" s="155" t="n"/>
      <c r="LM31" s="155" t="n"/>
      <c r="LN31" s="155" t="n"/>
      <c r="LO31" s="155" t="n"/>
      <c r="LP31" s="155" t="n"/>
      <c r="LQ31" s="155" t="n"/>
      <c r="LR31" s="155" t="n"/>
      <c r="LS31" s="155" t="n"/>
      <c r="LT31" s="155" t="n"/>
      <c r="LU31" s="155" t="n"/>
      <c r="LV31" s="155" t="n"/>
      <c r="LW31" s="155" t="n"/>
      <c r="LX31" s="155" t="n"/>
      <c r="LY31" s="155" t="n"/>
      <c r="LZ31" s="155" t="n"/>
      <c r="MA31" s="155" t="n"/>
      <c r="MB31" s="155" t="n"/>
      <c r="MC31" s="155" t="n"/>
      <c r="MD31" s="155" t="n"/>
      <c r="ME31" s="155" t="n"/>
      <c r="MF31" s="155" t="n"/>
      <c r="MG31" s="155" t="n"/>
      <c r="MH31" s="155" t="n"/>
      <c r="MI31" s="155" t="n"/>
      <c r="MJ31" s="155" t="n"/>
      <c r="MK31" s="155" t="n"/>
      <c r="ML31" s="155" t="n"/>
      <c r="MM31" s="155" t="n"/>
      <c r="MN31" s="155" t="n"/>
      <c r="MO31" s="155" t="n"/>
      <c r="MP31" s="155" t="n"/>
      <c r="MQ31" s="155" t="n"/>
      <c r="MR31" s="155" t="n"/>
      <c r="MS31" s="155" t="n"/>
      <c r="MT31" s="155" t="n"/>
      <c r="MU31" s="155" t="n"/>
      <c r="MV31" s="155" t="n"/>
      <c r="MW31" s="155" t="n"/>
      <c r="MX31" s="155" t="n"/>
      <c r="MY31" s="155" t="n"/>
      <c r="MZ31" s="155" t="n"/>
      <c r="NA31" s="155" t="n"/>
      <c r="NB31" s="155" t="n"/>
      <c r="NC31" s="155" t="n"/>
      <c r="ND31" s="155" t="n"/>
      <c r="NE31" s="155" t="n"/>
      <c r="NF31" s="155" t="n"/>
      <c r="NG31" s="155" t="n"/>
      <c r="NH31" s="155" t="n"/>
      <c r="NI31" s="155" t="n"/>
      <c r="NJ31" s="155" t="n"/>
      <c r="NK31" s="155" t="n"/>
      <c r="NL31" s="155" t="n"/>
    </row>
    <row r="32">
      <c r="B32" s="316" t="inlineStr">
        <is>
          <t>Tier 1 — Return of Capital + Pref</t>
        </is>
      </c>
      <c r="D32" s="402">
        <f>SUM(E32:NL32)</f>
        <v/>
      </c>
      <c r="E32" s="402">
        <f>MIN(E25,MAX(0,E27-E30))</f>
        <v/>
      </c>
      <c r="F32" s="402">
        <f>MIN(F25,MAX(0,F27-F30))</f>
        <v/>
      </c>
      <c r="G32" s="402">
        <f>MIN(G25,MAX(0,G27-G30))</f>
        <v/>
      </c>
      <c r="H32" s="402">
        <f>MIN(H25,MAX(0,H27-H30))</f>
        <v/>
      </c>
      <c r="I32" s="402">
        <f>MIN(I25,MAX(0,I27-I30))</f>
        <v/>
      </c>
      <c r="J32" s="402">
        <f>MIN(J25,MAX(0,J27-J30))</f>
        <v/>
      </c>
      <c r="K32" s="402">
        <f>MIN(K25,MAX(0,K27-K30))</f>
        <v/>
      </c>
      <c r="L32" s="402">
        <f>MIN(L25,MAX(0,L27-L30))</f>
        <v/>
      </c>
      <c r="M32" s="402">
        <f>MIN(M25,MAX(0,M27-M30))</f>
        <v/>
      </c>
      <c r="N32" s="402">
        <f>MIN(N25,MAX(0,N27-N30))</f>
        <v/>
      </c>
      <c r="O32" s="402">
        <f>MIN(O25,MAX(0,O27-O30))</f>
        <v/>
      </c>
      <c r="P32" s="402">
        <f>MIN(P25,MAX(0,P27-P30))</f>
        <v/>
      </c>
      <c r="Q32" s="402">
        <f>MIN(Q25,MAX(0,Q27-Q30))</f>
        <v/>
      </c>
      <c r="R32" s="402">
        <f>MIN(R25,MAX(0,R27-R30))</f>
        <v/>
      </c>
      <c r="S32" s="402">
        <f>MIN(S25,MAX(0,S27-S30))</f>
        <v/>
      </c>
      <c r="T32" s="402">
        <f>MIN(T25,MAX(0,T27-T30))</f>
        <v/>
      </c>
      <c r="U32" s="402">
        <f>MIN(U25,MAX(0,U27-U30))</f>
        <v/>
      </c>
      <c r="V32" s="402">
        <f>MIN(V25,MAX(0,V27-V30))</f>
        <v/>
      </c>
      <c r="W32" s="402">
        <f>MIN(W25,MAX(0,W27-W30))</f>
        <v/>
      </c>
      <c r="X32" s="402">
        <f>MIN(X25,MAX(0,X27-X30))</f>
        <v/>
      </c>
      <c r="Y32" s="402">
        <f>MIN(Y25,MAX(0,Y27-Y30))</f>
        <v/>
      </c>
      <c r="Z32" s="402">
        <f>MIN(Z25,MAX(0,Z27-Z30))</f>
        <v/>
      </c>
      <c r="AA32" s="402">
        <f>MIN(AA25,MAX(0,AA27-AA30))</f>
        <v/>
      </c>
      <c r="AB32" s="402">
        <f>MIN(AB25,MAX(0,AB27-AB30))</f>
        <v/>
      </c>
      <c r="AC32" s="402">
        <f>MIN(AC25,MAX(0,AC27-AC30))</f>
        <v/>
      </c>
      <c r="AD32" s="402">
        <f>MIN(AD25,MAX(0,AD27-AD30))</f>
        <v/>
      </c>
      <c r="AE32" s="402">
        <f>MIN(AE25,MAX(0,AE27-AE30))</f>
        <v/>
      </c>
      <c r="AF32" s="402">
        <f>MIN(AF25,MAX(0,AF27-AF30))</f>
        <v/>
      </c>
      <c r="AG32" s="402">
        <f>MIN(AG25,MAX(0,AG27-AG30))</f>
        <v/>
      </c>
      <c r="AH32" s="402">
        <f>MIN(AH25,MAX(0,AH27-AH30))</f>
        <v/>
      </c>
      <c r="AI32" s="402">
        <f>MIN(AI25,MAX(0,AI27-AI30))</f>
        <v/>
      </c>
      <c r="AJ32" s="402">
        <f>MIN(AJ25,MAX(0,AJ27-AJ30))</f>
        <v/>
      </c>
      <c r="AK32" s="402">
        <f>MIN(AK25,MAX(0,AK27-AK30))</f>
        <v/>
      </c>
      <c r="AL32" s="402">
        <f>MIN(AL25,MAX(0,AL27-AL30))</f>
        <v/>
      </c>
      <c r="AM32" s="402">
        <f>MIN(AM25,MAX(0,AM27-AM30))</f>
        <v/>
      </c>
      <c r="AN32" s="402">
        <f>MIN(AN25,MAX(0,AN27-AN30))</f>
        <v/>
      </c>
      <c r="AO32" s="402">
        <f>MIN(AO25,MAX(0,AO27-AO30))</f>
        <v/>
      </c>
      <c r="AP32" s="402">
        <f>MIN(AP25,MAX(0,AP27-AP30))</f>
        <v/>
      </c>
      <c r="AQ32" s="402">
        <f>MIN(AQ25,MAX(0,AQ27-AQ30))</f>
        <v/>
      </c>
      <c r="AR32" s="402">
        <f>MIN(AR25,MAX(0,AR27-AR30))</f>
        <v/>
      </c>
      <c r="AS32" s="402">
        <f>MIN(AS25,MAX(0,AS27-AS30))</f>
        <v/>
      </c>
      <c r="AT32" s="402">
        <f>MIN(AT25,MAX(0,AT27-AT30))</f>
        <v/>
      </c>
      <c r="AU32" s="402">
        <f>MIN(AU25,MAX(0,AU27-AU30))</f>
        <v/>
      </c>
      <c r="AV32" s="402">
        <f>MIN(AV25,MAX(0,AV27-AV30))</f>
        <v/>
      </c>
      <c r="AW32" s="402">
        <f>MIN(AW25,MAX(0,AW27-AW30))</f>
        <v/>
      </c>
      <c r="AX32" s="402">
        <f>MIN(AX25,MAX(0,AX27-AX30))</f>
        <v/>
      </c>
      <c r="AY32" s="402">
        <f>MIN(AY25,MAX(0,AY27-AY30))</f>
        <v/>
      </c>
      <c r="AZ32" s="402">
        <f>MIN(AZ25,MAX(0,AZ27-AZ30))</f>
        <v/>
      </c>
      <c r="BA32" s="402">
        <f>MIN(BA25,MAX(0,BA27-BA30))</f>
        <v/>
      </c>
      <c r="BB32" s="402">
        <f>MIN(BB25,MAX(0,BB27-BB30))</f>
        <v/>
      </c>
      <c r="BC32" s="402">
        <f>MIN(BC25,MAX(0,BC27-BC30))</f>
        <v/>
      </c>
      <c r="BD32" s="402">
        <f>MIN(BD25,MAX(0,BD27-BD30))</f>
        <v/>
      </c>
      <c r="BE32" s="402">
        <f>MIN(BE25,MAX(0,BE27-BE30))</f>
        <v/>
      </c>
      <c r="BF32" s="402">
        <f>MIN(BF25,MAX(0,BF27-BF30))</f>
        <v/>
      </c>
      <c r="BG32" s="402">
        <f>MIN(BG25,MAX(0,BG27-BG30))</f>
        <v/>
      </c>
      <c r="BH32" s="402">
        <f>MIN(BH25,MAX(0,BH27-BH30))</f>
        <v/>
      </c>
      <c r="BI32" s="402">
        <f>MIN(BI25,MAX(0,BI27-BI30))</f>
        <v/>
      </c>
      <c r="BJ32" s="402">
        <f>MIN(BJ25,MAX(0,BJ27-BJ30))</f>
        <v/>
      </c>
      <c r="BK32" s="402">
        <f>MIN(BK25,MAX(0,BK27-BK30))</f>
        <v/>
      </c>
      <c r="BL32" s="402">
        <f>MIN(BL25,MAX(0,BL27-BL30))</f>
        <v/>
      </c>
      <c r="BM32" s="402">
        <f>MIN(BM25,MAX(0,BM27-BM30))</f>
        <v/>
      </c>
      <c r="BN32" s="402">
        <f>MIN(BN25,MAX(0,BN27-BN30))</f>
        <v/>
      </c>
      <c r="BO32" s="402">
        <f>MIN(BO25,MAX(0,BO27-BO30))</f>
        <v/>
      </c>
      <c r="BP32" s="402">
        <f>MIN(BP25,MAX(0,BP27-BP30))</f>
        <v/>
      </c>
      <c r="BQ32" s="402">
        <f>MIN(BQ25,MAX(0,BQ27-BQ30))</f>
        <v/>
      </c>
      <c r="BR32" s="402">
        <f>MIN(BR25,MAX(0,BR27-BR30))</f>
        <v/>
      </c>
      <c r="BS32" s="402">
        <f>MIN(BS25,MAX(0,BS27-BS30))</f>
        <v/>
      </c>
      <c r="BT32" s="402">
        <f>MIN(BT25,MAX(0,BT27-BT30))</f>
        <v/>
      </c>
      <c r="BU32" s="402">
        <f>MIN(BU25,MAX(0,BU27-BU30))</f>
        <v/>
      </c>
      <c r="BV32" s="402">
        <f>MIN(BV25,MAX(0,BV27-BV30))</f>
        <v/>
      </c>
      <c r="BW32" s="402">
        <f>MIN(BW25,MAX(0,BW27-BW30))</f>
        <v/>
      </c>
      <c r="BX32" s="402">
        <f>MIN(BX25,MAX(0,BX27-BX30))</f>
        <v/>
      </c>
      <c r="BY32" s="402">
        <f>MIN(BY25,MAX(0,BY27-BY30))</f>
        <v/>
      </c>
      <c r="BZ32" s="402">
        <f>MIN(BZ25,MAX(0,BZ27-BZ30))</f>
        <v/>
      </c>
      <c r="CA32" s="402">
        <f>MIN(CA25,MAX(0,CA27-CA30))</f>
        <v/>
      </c>
      <c r="CB32" s="402">
        <f>MIN(CB25,MAX(0,CB27-CB30))</f>
        <v/>
      </c>
      <c r="CC32" s="402">
        <f>MIN(CC25,MAX(0,CC27-CC30))</f>
        <v/>
      </c>
      <c r="CD32" s="402">
        <f>MIN(CD25,MAX(0,CD27-CD30))</f>
        <v/>
      </c>
      <c r="CE32" s="402">
        <f>MIN(CE25,MAX(0,CE27-CE30))</f>
        <v/>
      </c>
      <c r="CF32" s="402">
        <f>MIN(CF25,MAX(0,CF27-CF30))</f>
        <v/>
      </c>
      <c r="CG32" s="402">
        <f>MIN(CG25,MAX(0,CG27-CG30))</f>
        <v/>
      </c>
      <c r="CH32" s="402">
        <f>MIN(CH25,MAX(0,CH27-CH30))</f>
        <v/>
      </c>
      <c r="CI32" s="402">
        <f>MIN(CI25,MAX(0,CI27-CI30))</f>
        <v/>
      </c>
      <c r="CJ32" s="402">
        <f>MIN(CJ25,MAX(0,CJ27-CJ30))</f>
        <v/>
      </c>
      <c r="CK32" s="402">
        <f>MIN(CK25,MAX(0,CK27-CK30))</f>
        <v/>
      </c>
      <c r="CL32" s="402">
        <f>MIN(CL25,MAX(0,CL27-CL30))</f>
        <v/>
      </c>
      <c r="CM32" s="402">
        <f>MIN(CM25,MAX(0,CM27-CM30))</f>
        <v/>
      </c>
      <c r="CN32" s="402">
        <f>MIN(CN25,MAX(0,CN27-CN30))</f>
        <v/>
      </c>
      <c r="CO32" s="402">
        <f>MIN(CO25,MAX(0,CO27-CO30))</f>
        <v/>
      </c>
      <c r="CP32" s="402">
        <f>MIN(CP25,MAX(0,CP27-CP30))</f>
        <v/>
      </c>
      <c r="CQ32" s="402">
        <f>MIN(CQ25,MAX(0,CQ27-CQ30))</f>
        <v/>
      </c>
      <c r="CR32" s="402">
        <f>MIN(CR25,MAX(0,CR27-CR30))</f>
        <v/>
      </c>
      <c r="CS32" s="402">
        <f>MIN(CS25,MAX(0,CS27-CS30))</f>
        <v/>
      </c>
      <c r="CT32" s="402">
        <f>MIN(CT25,MAX(0,CT27-CT30))</f>
        <v/>
      </c>
      <c r="CU32" s="402">
        <f>MIN(CU25,MAX(0,CU27-CU30))</f>
        <v/>
      </c>
      <c r="CV32" s="402">
        <f>MIN(CV25,MAX(0,CV27-CV30))</f>
        <v/>
      </c>
      <c r="CW32" s="402">
        <f>MIN(CW25,MAX(0,CW27-CW30))</f>
        <v/>
      </c>
      <c r="CX32" s="402">
        <f>MIN(CX25,MAX(0,CX27-CX30))</f>
        <v/>
      </c>
      <c r="CY32" s="402">
        <f>MIN(CY25,MAX(0,CY27-CY30))</f>
        <v/>
      </c>
      <c r="CZ32" s="402">
        <f>MIN(CZ25,MAX(0,CZ27-CZ30))</f>
        <v/>
      </c>
      <c r="DA32" s="402">
        <f>MIN(DA25,MAX(0,DA27-DA30))</f>
        <v/>
      </c>
      <c r="DB32" s="402">
        <f>MIN(DB25,MAX(0,DB27-DB30))</f>
        <v/>
      </c>
      <c r="DC32" s="402">
        <f>MIN(DC25,MAX(0,DC27-DC30))</f>
        <v/>
      </c>
      <c r="DD32" s="402">
        <f>MIN(DD25,MAX(0,DD27-DD30))</f>
        <v/>
      </c>
      <c r="DE32" s="402">
        <f>MIN(DE25,MAX(0,DE27-DE30))</f>
        <v/>
      </c>
      <c r="DF32" s="402">
        <f>MIN(DF25,MAX(0,DF27-DF30))</f>
        <v/>
      </c>
      <c r="DG32" s="402">
        <f>MIN(DG25,MAX(0,DG27-DG30))</f>
        <v/>
      </c>
      <c r="DH32" s="402">
        <f>MIN(DH25,MAX(0,DH27-DH30))</f>
        <v/>
      </c>
      <c r="DI32" s="402">
        <f>MIN(DI25,MAX(0,DI27-DI30))</f>
        <v/>
      </c>
      <c r="DJ32" s="402">
        <f>MIN(DJ25,MAX(0,DJ27-DJ30))</f>
        <v/>
      </c>
      <c r="DK32" s="402">
        <f>MIN(DK25,MAX(0,DK27-DK30))</f>
        <v/>
      </c>
      <c r="DL32" s="402">
        <f>MIN(DL25,MAX(0,DL27-DL30))</f>
        <v/>
      </c>
      <c r="DM32" s="402">
        <f>MIN(DM25,MAX(0,DM27-DM30))</f>
        <v/>
      </c>
      <c r="DN32" s="402">
        <f>MIN(DN25,MAX(0,DN27-DN30))</f>
        <v/>
      </c>
      <c r="DO32" s="402">
        <f>MIN(DO25,MAX(0,DO27-DO30))</f>
        <v/>
      </c>
      <c r="DP32" s="402">
        <f>MIN(DP25,MAX(0,DP27-DP30))</f>
        <v/>
      </c>
      <c r="DQ32" s="402">
        <f>MIN(DQ25,MAX(0,DQ27-DQ30))</f>
        <v/>
      </c>
      <c r="DR32" s="402">
        <f>MIN(DR25,MAX(0,DR27-DR30))</f>
        <v/>
      </c>
      <c r="DS32" s="402">
        <f>MIN(DS25,MAX(0,DS27-DS30))</f>
        <v/>
      </c>
      <c r="DT32" s="402">
        <f>MIN(DT25,MAX(0,DT27-DT30))</f>
        <v/>
      </c>
      <c r="DU32" s="402">
        <f>MIN(DU25,MAX(0,DU27-DU30))</f>
        <v/>
      </c>
      <c r="DV32" s="402">
        <f>MIN(DV25,MAX(0,DV27-DV30))</f>
        <v/>
      </c>
      <c r="DW32" s="402">
        <f>MIN(DW25,MAX(0,DW27-DW30))</f>
        <v/>
      </c>
      <c r="DX32" s="402">
        <f>MIN(DX25,MAX(0,DX27-DX30))</f>
        <v/>
      </c>
      <c r="DY32" s="402">
        <f>MIN(DY25,MAX(0,DY27-DY30))</f>
        <v/>
      </c>
      <c r="DZ32" s="402">
        <f>MIN(DZ25,MAX(0,DZ27-DZ30))</f>
        <v/>
      </c>
      <c r="EA32" s="402">
        <f>MIN(EA25,MAX(0,EA27-EA30))</f>
        <v/>
      </c>
      <c r="EB32" s="402">
        <f>MIN(EB25,MAX(0,EB27-EB30))</f>
        <v/>
      </c>
      <c r="EC32" s="402">
        <f>MIN(EC25,MAX(0,EC27-EC30))</f>
        <v/>
      </c>
      <c r="ED32" s="402">
        <f>MIN(ED25,MAX(0,ED27-ED30))</f>
        <v/>
      </c>
      <c r="EE32" s="402">
        <f>MIN(EE25,MAX(0,EE27-EE30))</f>
        <v/>
      </c>
      <c r="EF32" s="402">
        <f>MIN(EF25,MAX(0,EF27-EF30))</f>
        <v/>
      </c>
      <c r="EG32" s="402">
        <f>MIN(EG25,MAX(0,EG27-EG30))</f>
        <v/>
      </c>
      <c r="EH32" s="402">
        <f>MIN(EH25,MAX(0,EH27-EH30))</f>
        <v/>
      </c>
      <c r="EI32" s="402">
        <f>MIN(EI25,MAX(0,EI27-EI30))</f>
        <v/>
      </c>
      <c r="EJ32" s="402">
        <f>MIN(EJ25,MAX(0,EJ27-EJ30))</f>
        <v/>
      </c>
      <c r="EK32" s="402">
        <f>MIN(EK25,MAX(0,EK27-EK30))</f>
        <v/>
      </c>
      <c r="EL32" s="402">
        <f>MIN(EL25,MAX(0,EL27-EL30))</f>
        <v/>
      </c>
      <c r="EM32" s="402">
        <f>MIN(EM25,MAX(0,EM27-EM30))</f>
        <v/>
      </c>
      <c r="EN32" s="402">
        <f>MIN(EN25,MAX(0,EN27-EN30))</f>
        <v/>
      </c>
      <c r="EO32" s="402">
        <f>MIN(EO25,MAX(0,EO27-EO30))</f>
        <v/>
      </c>
      <c r="EP32" s="402">
        <f>MIN(EP25,MAX(0,EP27-EP30))</f>
        <v/>
      </c>
      <c r="EQ32" s="402">
        <f>MIN(EQ25,MAX(0,EQ27-EQ30))</f>
        <v/>
      </c>
      <c r="ER32" s="402">
        <f>MIN(ER25,MAX(0,ER27-ER30))</f>
        <v/>
      </c>
      <c r="ES32" s="402">
        <f>MIN(ES25,MAX(0,ES27-ES30))</f>
        <v/>
      </c>
      <c r="ET32" s="402">
        <f>MIN(ET25,MAX(0,ET27-ET30))</f>
        <v/>
      </c>
      <c r="EU32" s="402">
        <f>MIN(EU25,MAX(0,EU27-EU30))</f>
        <v/>
      </c>
      <c r="EV32" s="402">
        <f>MIN(EV25,MAX(0,EV27-EV30))</f>
        <v/>
      </c>
      <c r="EW32" s="402">
        <f>MIN(EW25,MAX(0,EW27-EW30))</f>
        <v/>
      </c>
      <c r="EX32" s="402">
        <f>MIN(EX25,MAX(0,EX27-EX30))</f>
        <v/>
      </c>
      <c r="EY32" s="402">
        <f>MIN(EY25,MAX(0,EY27-EY30))</f>
        <v/>
      </c>
      <c r="EZ32" s="402">
        <f>MIN(EZ25,MAX(0,EZ27-EZ30))</f>
        <v/>
      </c>
      <c r="FA32" s="402">
        <f>MIN(FA25,MAX(0,FA27-FA30))</f>
        <v/>
      </c>
      <c r="FB32" s="402">
        <f>MIN(FB25,MAX(0,FB27-FB30))</f>
        <v/>
      </c>
      <c r="FC32" s="402">
        <f>MIN(FC25,MAX(0,FC27-FC30))</f>
        <v/>
      </c>
      <c r="FD32" s="402">
        <f>MIN(FD25,MAX(0,FD27-FD30))</f>
        <v/>
      </c>
      <c r="FE32" s="402">
        <f>MIN(FE25,MAX(0,FE27-FE30))</f>
        <v/>
      </c>
      <c r="FF32" s="402">
        <f>MIN(FF25,MAX(0,FF27-FF30))</f>
        <v/>
      </c>
      <c r="FG32" s="402">
        <f>MIN(FG25,MAX(0,FG27-FG30))</f>
        <v/>
      </c>
      <c r="FH32" s="402">
        <f>MIN(FH25,MAX(0,FH27-FH30))</f>
        <v/>
      </c>
      <c r="FI32" s="402">
        <f>MIN(FI25,MAX(0,FI27-FI30))</f>
        <v/>
      </c>
      <c r="FJ32" s="402">
        <f>MIN(FJ25,MAX(0,FJ27-FJ30))</f>
        <v/>
      </c>
      <c r="FK32" s="402">
        <f>MIN(FK25,MAX(0,FK27-FK30))</f>
        <v/>
      </c>
      <c r="FL32" s="402">
        <f>MIN(FL25,MAX(0,FL27-FL30))</f>
        <v/>
      </c>
      <c r="FM32" s="402">
        <f>MIN(FM25,MAX(0,FM27-FM30))</f>
        <v/>
      </c>
      <c r="FN32" s="402">
        <f>MIN(FN25,MAX(0,FN27-FN30))</f>
        <v/>
      </c>
      <c r="FO32" s="402">
        <f>MIN(FO25,MAX(0,FO27-FO30))</f>
        <v/>
      </c>
      <c r="FP32" s="402">
        <f>MIN(FP25,MAX(0,FP27-FP30))</f>
        <v/>
      </c>
      <c r="FQ32" s="402">
        <f>MIN(FQ25,MAX(0,FQ27-FQ30))</f>
        <v/>
      </c>
      <c r="FR32" s="402">
        <f>MIN(FR25,MAX(0,FR27-FR30))</f>
        <v/>
      </c>
      <c r="FS32" s="402">
        <f>MIN(FS25,MAX(0,FS27-FS30))</f>
        <v/>
      </c>
      <c r="FT32" s="402">
        <f>MIN(FT25,MAX(0,FT27-FT30))</f>
        <v/>
      </c>
      <c r="FU32" s="402">
        <f>MIN(FU25,MAX(0,FU27-FU30))</f>
        <v/>
      </c>
      <c r="FV32" s="402">
        <f>MIN(FV25,MAX(0,FV27-FV30))</f>
        <v/>
      </c>
      <c r="FW32" s="402">
        <f>MIN(FW25,MAX(0,FW27-FW30))</f>
        <v/>
      </c>
      <c r="FX32" s="402">
        <f>MIN(FX25,MAX(0,FX27-FX30))</f>
        <v/>
      </c>
      <c r="FY32" s="402">
        <f>MIN(FY25,MAX(0,FY27-FY30))</f>
        <v/>
      </c>
      <c r="FZ32" s="402">
        <f>MIN(FZ25,MAX(0,FZ27-FZ30))</f>
        <v/>
      </c>
      <c r="GA32" s="402">
        <f>MIN(GA25,MAX(0,GA27-GA30))</f>
        <v/>
      </c>
      <c r="GB32" s="402">
        <f>MIN(GB25,MAX(0,GB27-GB30))</f>
        <v/>
      </c>
      <c r="GC32" s="402">
        <f>MIN(GC25,MAX(0,GC27-GC30))</f>
        <v/>
      </c>
      <c r="GD32" s="402">
        <f>MIN(GD25,MAX(0,GD27-GD30))</f>
        <v/>
      </c>
      <c r="GE32" s="402">
        <f>MIN(GE25,MAX(0,GE27-GE30))</f>
        <v/>
      </c>
      <c r="GF32" s="402">
        <f>MIN(GF25,MAX(0,GF27-GF30))</f>
        <v/>
      </c>
      <c r="GG32" s="402">
        <f>MIN(GG25,MAX(0,GG27-GG30))</f>
        <v/>
      </c>
      <c r="GH32" s="402">
        <f>MIN(GH25,MAX(0,GH27-GH30))</f>
        <v/>
      </c>
      <c r="GI32" s="402">
        <f>MIN(GI25,MAX(0,GI27-GI30))</f>
        <v/>
      </c>
      <c r="GJ32" s="402">
        <f>MIN(GJ25,MAX(0,GJ27-GJ30))</f>
        <v/>
      </c>
      <c r="GK32" s="402">
        <f>MIN(GK25,MAX(0,GK27-GK30))</f>
        <v/>
      </c>
      <c r="GL32" s="402">
        <f>MIN(GL25,MAX(0,GL27-GL30))</f>
        <v/>
      </c>
      <c r="GM32" s="402">
        <f>MIN(GM25,MAX(0,GM27-GM30))</f>
        <v/>
      </c>
      <c r="GN32" s="402">
        <f>MIN(GN25,MAX(0,GN27-GN30))</f>
        <v/>
      </c>
      <c r="GO32" s="402">
        <f>MIN(GO25,MAX(0,GO27-GO30))</f>
        <v/>
      </c>
      <c r="GP32" s="402">
        <f>MIN(GP25,MAX(0,GP27-GP30))</f>
        <v/>
      </c>
      <c r="GQ32" s="402">
        <f>MIN(GQ25,MAX(0,GQ27-GQ30))</f>
        <v/>
      </c>
      <c r="GR32" s="402">
        <f>MIN(GR25,MAX(0,GR27-GR30))</f>
        <v/>
      </c>
      <c r="GS32" s="402">
        <f>MIN(GS25,MAX(0,GS27-GS30))</f>
        <v/>
      </c>
      <c r="GT32" s="402">
        <f>MIN(GT25,MAX(0,GT27-GT30))</f>
        <v/>
      </c>
      <c r="GU32" s="402">
        <f>MIN(GU25,MAX(0,GU27-GU30))</f>
        <v/>
      </c>
      <c r="GV32" s="402">
        <f>MIN(GV25,MAX(0,GV27-GV30))</f>
        <v/>
      </c>
      <c r="GW32" s="402">
        <f>MIN(GW25,MAX(0,GW27-GW30))</f>
        <v/>
      </c>
      <c r="GX32" s="402">
        <f>MIN(GX25,MAX(0,GX27-GX30))</f>
        <v/>
      </c>
      <c r="GY32" s="402">
        <f>MIN(GY25,MAX(0,GY27-GY30))</f>
        <v/>
      </c>
      <c r="GZ32" s="402">
        <f>MIN(GZ25,MAX(0,GZ27-GZ30))</f>
        <v/>
      </c>
      <c r="HA32" s="402">
        <f>MIN(HA25,MAX(0,HA27-HA30))</f>
        <v/>
      </c>
      <c r="HB32" s="402">
        <f>MIN(HB25,MAX(0,HB27-HB30))</f>
        <v/>
      </c>
      <c r="HC32" s="402">
        <f>MIN(HC25,MAX(0,HC27-HC30))</f>
        <v/>
      </c>
      <c r="HD32" s="402">
        <f>MIN(HD25,MAX(0,HD27-HD30))</f>
        <v/>
      </c>
      <c r="HE32" s="402">
        <f>MIN(HE25,MAX(0,HE27-HE30))</f>
        <v/>
      </c>
      <c r="HF32" s="402">
        <f>MIN(HF25,MAX(0,HF27-HF30))</f>
        <v/>
      </c>
      <c r="HG32" s="402">
        <f>MIN(HG25,MAX(0,HG27-HG30))</f>
        <v/>
      </c>
      <c r="HH32" s="402">
        <f>MIN(HH25,MAX(0,HH27-HH30))</f>
        <v/>
      </c>
      <c r="HI32" s="402">
        <f>MIN(HI25,MAX(0,HI27-HI30))</f>
        <v/>
      </c>
      <c r="HJ32" s="402">
        <f>MIN(HJ25,MAX(0,HJ27-HJ30))</f>
        <v/>
      </c>
      <c r="HK32" s="402">
        <f>MIN(HK25,MAX(0,HK27-HK30))</f>
        <v/>
      </c>
      <c r="HL32" s="402">
        <f>MIN(HL25,MAX(0,HL27-HL30))</f>
        <v/>
      </c>
      <c r="HM32" s="402">
        <f>MIN(HM25,MAX(0,HM27-HM30))</f>
        <v/>
      </c>
      <c r="HN32" s="402">
        <f>MIN(HN25,MAX(0,HN27-HN30))</f>
        <v/>
      </c>
      <c r="HO32" s="402">
        <f>MIN(HO25,MAX(0,HO27-HO30))</f>
        <v/>
      </c>
      <c r="HP32" s="402">
        <f>MIN(HP25,MAX(0,HP27-HP30))</f>
        <v/>
      </c>
      <c r="HQ32" s="402">
        <f>MIN(HQ25,MAX(0,HQ27-HQ30))</f>
        <v/>
      </c>
      <c r="HR32" s="402">
        <f>MIN(HR25,MAX(0,HR27-HR30))</f>
        <v/>
      </c>
      <c r="HS32" s="402">
        <f>MIN(HS25,MAX(0,HS27-HS30))</f>
        <v/>
      </c>
      <c r="HT32" s="402">
        <f>MIN(HT25,MAX(0,HT27-HT30))</f>
        <v/>
      </c>
      <c r="HU32" s="402">
        <f>MIN(HU25,MAX(0,HU27-HU30))</f>
        <v/>
      </c>
      <c r="HV32" s="402">
        <f>MIN(HV25,MAX(0,HV27-HV30))</f>
        <v/>
      </c>
      <c r="HW32" s="402">
        <f>MIN(HW25,MAX(0,HW27-HW30))</f>
        <v/>
      </c>
      <c r="HX32" s="402">
        <f>MIN(HX25,MAX(0,HX27-HX30))</f>
        <v/>
      </c>
      <c r="HY32" s="402">
        <f>MIN(HY25,MAX(0,HY27-HY30))</f>
        <v/>
      </c>
      <c r="HZ32" s="402">
        <f>MIN(HZ25,MAX(0,HZ27-HZ30))</f>
        <v/>
      </c>
      <c r="IA32" s="402">
        <f>MIN(IA25,MAX(0,IA27-IA30))</f>
        <v/>
      </c>
      <c r="IB32" s="402">
        <f>MIN(IB25,MAX(0,IB27-IB30))</f>
        <v/>
      </c>
      <c r="IC32" s="402">
        <f>MIN(IC25,MAX(0,IC27-IC30))</f>
        <v/>
      </c>
      <c r="ID32" s="402">
        <f>MIN(ID25,MAX(0,ID27-ID30))</f>
        <v/>
      </c>
      <c r="IE32" s="402">
        <f>MIN(IE25,MAX(0,IE27-IE30))</f>
        <v/>
      </c>
      <c r="IF32" s="402">
        <f>MIN(IF25,MAX(0,IF27-IF30))</f>
        <v/>
      </c>
      <c r="IG32" s="402">
        <f>MIN(IG25,MAX(0,IG27-IG30))</f>
        <v/>
      </c>
      <c r="IH32" s="402">
        <f>MIN(IH25,MAX(0,IH27-IH30))</f>
        <v/>
      </c>
      <c r="II32" s="402">
        <f>MIN(II25,MAX(0,II27-II30))</f>
        <v/>
      </c>
      <c r="IJ32" s="402">
        <f>MIN(IJ25,MAX(0,IJ27-IJ30))</f>
        <v/>
      </c>
      <c r="IK32" s="402">
        <f>MIN(IK25,MAX(0,IK27-IK30))</f>
        <v/>
      </c>
      <c r="IL32" s="402">
        <f>MIN(IL25,MAX(0,IL27-IL30))</f>
        <v/>
      </c>
      <c r="IM32" s="402">
        <f>MIN(IM25,MAX(0,IM27-IM30))</f>
        <v/>
      </c>
      <c r="IN32" s="402">
        <f>MIN(IN25,MAX(0,IN27-IN30))</f>
        <v/>
      </c>
      <c r="IO32" s="402">
        <f>MIN(IO25,MAX(0,IO27-IO30))</f>
        <v/>
      </c>
      <c r="IP32" s="402">
        <f>MIN(IP25,MAX(0,IP27-IP30))</f>
        <v/>
      </c>
      <c r="IQ32" s="402">
        <f>MIN(IQ25,MAX(0,IQ27-IQ30))</f>
        <v/>
      </c>
      <c r="IR32" s="402">
        <f>MIN(IR25,MAX(0,IR27-IR30))</f>
        <v/>
      </c>
      <c r="IS32" s="402">
        <f>MIN(IS25,MAX(0,IS27-IS30))</f>
        <v/>
      </c>
      <c r="IT32" s="402">
        <f>MIN(IT25,MAX(0,IT27-IT30))</f>
        <v/>
      </c>
      <c r="IU32" s="402">
        <f>MIN(IU25,MAX(0,IU27-IU30))</f>
        <v/>
      </c>
      <c r="IV32" s="402">
        <f>MIN(IV25,MAX(0,IV27-IV30))</f>
        <v/>
      </c>
      <c r="IW32" s="402">
        <f>MIN(IW25,MAX(0,IW27-IW30))</f>
        <v/>
      </c>
      <c r="IX32" s="402">
        <f>MIN(IX25,MAX(0,IX27-IX30))</f>
        <v/>
      </c>
      <c r="IY32" s="402">
        <f>MIN(IY25,MAX(0,IY27-IY30))</f>
        <v/>
      </c>
      <c r="IZ32" s="402">
        <f>MIN(IZ25,MAX(0,IZ27-IZ30))</f>
        <v/>
      </c>
      <c r="JA32" s="402">
        <f>MIN(JA25,MAX(0,JA27-JA30))</f>
        <v/>
      </c>
      <c r="JB32" s="402">
        <f>MIN(JB25,MAX(0,JB27-JB30))</f>
        <v/>
      </c>
      <c r="JC32" s="402">
        <f>MIN(JC25,MAX(0,JC27-JC30))</f>
        <v/>
      </c>
      <c r="JD32" s="402">
        <f>MIN(JD25,MAX(0,JD27-JD30))</f>
        <v/>
      </c>
      <c r="JE32" s="402">
        <f>MIN(JE25,MAX(0,JE27-JE30))</f>
        <v/>
      </c>
      <c r="JF32" s="402">
        <f>MIN(JF25,MAX(0,JF27-JF30))</f>
        <v/>
      </c>
      <c r="JG32" s="402">
        <f>MIN(JG25,MAX(0,JG27-JG30))</f>
        <v/>
      </c>
      <c r="JH32" s="402">
        <f>MIN(JH25,MAX(0,JH27-JH30))</f>
        <v/>
      </c>
      <c r="JI32" s="402">
        <f>MIN(JI25,MAX(0,JI27-JI30))</f>
        <v/>
      </c>
      <c r="JJ32" s="402">
        <f>MIN(JJ25,MAX(0,JJ27-JJ30))</f>
        <v/>
      </c>
      <c r="JK32" s="402">
        <f>MIN(JK25,MAX(0,JK27-JK30))</f>
        <v/>
      </c>
      <c r="JL32" s="402">
        <f>MIN(JL25,MAX(0,JL27-JL30))</f>
        <v/>
      </c>
      <c r="JM32" s="402">
        <f>MIN(JM25,MAX(0,JM27-JM30))</f>
        <v/>
      </c>
      <c r="JN32" s="402">
        <f>MIN(JN25,MAX(0,JN27-JN30))</f>
        <v/>
      </c>
      <c r="JO32" s="402">
        <f>MIN(JO25,MAX(0,JO27-JO30))</f>
        <v/>
      </c>
      <c r="JP32" s="402">
        <f>MIN(JP25,MAX(0,JP27-JP30))</f>
        <v/>
      </c>
      <c r="JQ32" s="402">
        <f>MIN(JQ25,MAX(0,JQ27-JQ30))</f>
        <v/>
      </c>
      <c r="JR32" s="402">
        <f>MIN(JR25,MAX(0,JR27-JR30))</f>
        <v/>
      </c>
      <c r="JS32" s="402">
        <f>MIN(JS25,MAX(0,JS27-JS30))</f>
        <v/>
      </c>
      <c r="JT32" s="402">
        <f>MIN(JT25,MAX(0,JT27-JT30))</f>
        <v/>
      </c>
      <c r="JU32" s="402">
        <f>MIN(JU25,MAX(0,JU27-JU30))</f>
        <v/>
      </c>
      <c r="JV32" s="402">
        <f>MIN(JV25,MAX(0,JV27-JV30))</f>
        <v/>
      </c>
      <c r="JW32" s="402">
        <f>MIN(JW25,MAX(0,JW27-JW30))</f>
        <v/>
      </c>
      <c r="JX32" s="402">
        <f>MIN(JX25,MAX(0,JX27-JX30))</f>
        <v/>
      </c>
      <c r="JY32" s="402">
        <f>MIN(JY25,MAX(0,JY27-JY30))</f>
        <v/>
      </c>
      <c r="JZ32" s="402">
        <f>MIN(JZ25,MAX(0,JZ27-JZ30))</f>
        <v/>
      </c>
      <c r="KA32" s="402">
        <f>MIN(KA25,MAX(0,KA27-KA30))</f>
        <v/>
      </c>
      <c r="KB32" s="402">
        <f>MIN(KB25,MAX(0,KB27-KB30))</f>
        <v/>
      </c>
      <c r="KC32" s="402">
        <f>MIN(KC25,MAX(0,KC27-KC30))</f>
        <v/>
      </c>
      <c r="KD32" s="402">
        <f>MIN(KD25,MAX(0,KD27-KD30))</f>
        <v/>
      </c>
      <c r="KE32" s="402">
        <f>MIN(KE25,MAX(0,KE27-KE30))</f>
        <v/>
      </c>
      <c r="KF32" s="402">
        <f>MIN(KF25,MAX(0,KF27-KF30))</f>
        <v/>
      </c>
      <c r="KG32" s="402">
        <f>MIN(KG25,MAX(0,KG27-KG30))</f>
        <v/>
      </c>
      <c r="KH32" s="402">
        <f>MIN(KH25,MAX(0,KH27-KH30))</f>
        <v/>
      </c>
      <c r="KI32" s="402">
        <f>MIN(KI25,MAX(0,KI27-KI30))</f>
        <v/>
      </c>
      <c r="KJ32" s="402">
        <f>MIN(KJ25,MAX(0,KJ27-KJ30))</f>
        <v/>
      </c>
      <c r="KK32" s="402">
        <f>MIN(KK25,MAX(0,KK27-KK30))</f>
        <v/>
      </c>
      <c r="KL32" s="402">
        <f>MIN(KL25,MAX(0,KL27-KL30))</f>
        <v/>
      </c>
      <c r="KM32" s="402">
        <f>MIN(KM25,MAX(0,KM27-KM30))</f>
        <v/>
      </c>
      <c r="KN32" s="402">
        <f>MIN(KN25,MAX(0,KN27-KN30))</f>
        <v/>
      </c>
      <c r="KO32" s="402">
        <f>MIN(KO25,MAX(0,KO27-KO30))</f>
        <v/>
      </c>
      <c r="KP32" s="402">
        <f>MIN(KP25,MAX(0,KP27-KP30))</f>
        <v/>
      </c>
      <c r="KQ32" s="402">
        <f>MIN(KQ25,MAX(0,KQ27-KQ30))</f>
        <v/>
      </c>
      <c r="KR32" s="402">
        <f>MIN(KR25,MAX(0,KR27-KR30))</f>
        <v/>
      </c>
      <c r="KS32" s="402">
        <f>MIN(KS25,MAX(0,KS27-KS30))</f>
        <v/>
      </c>
      <c r="KT32" s="402">
        <f>MIN(KT25,MAX(0,KT27-KT30))</f>
        <v/>
      </c>
      <c r="KU32" s="402">
        <f>MIN(KU25,MAX(0,KU27-KU30))</f>
        <v/>
      </c>
      <c r="KV32" s="402">
        <f>MIN(KV25,MAX(0,KV27-KV30))</f>
        <v/>
      </c>
      <c r="KW32" s="402">
        <f>MIN(KW25,MAX(0,KW27-KW30))</f>
        <v/>
      </c>
      <c r="KX32" s="402">
        <f>MIN(KX25,MAX(0,KX27-KX30))</f>
        <v/>
      </c>
      <c r="KY32" s="402">
        <f>MIN(KY25,MAX(0,KY27-KY30))</f>
        <v/>
      </c>
      <c r="KZ32" s="402">
        <f>MIN(KZ25,MAX(0,KZ27-KZ30))</f>
        <v/>
      </c>
      <c r="LA32" s="402">
        <f>MIN(LA25,MAX(0,LA27-LA30))</f>
        <v/>
      </c>
      <c r="LB32" s="402">
        <f>MIN(LB25,MAX(0,LB27-LB30))</f>
        <v/>
      </c>
      <c r="LC32" s="402">
        <f>MIN(LC25,MAX(0,LC27-LC30))</f>
        <v/>
      </c>
      <c r="LD32" s="402">
        <f>MIN(LD25,MAX(0,LD27-LD30))</f>
        <v/>
      </c>
      <c r="LE32" s="402">
        <f>MIN(LE25,MAX(0,LE27-LE30))</f>
        <v/>
      </c>
      <c r="LF32" s="402">
        <f>MIN(LF25,MAX(0,LF27-LF30))</f>
        <v/>
      </c>
      <c r="LG32" s="402">
        <f>MIN(LG25,MAX(0,LG27-LG30))</f>
        <v/>
      </c>
      <c r="LH32" s="402">
        <f>MIN(LH25,MAX(0,LH27-LH30))</f>
        <v/>
      </c>
      <c r="LI32" s="402">
        <f>MIN(LI25,MAX(0,LI27-LI30))</f>
        <v/>
      </c>
      <c r="LJ32" s="402">
        <f>MIN(LJ25,MAX(0,LJ27-LJ30))</f>
        <v/>
      </c>
      <c r="LK32" s="402">
        <f>MIN(LK25,MAX(0,LK27-LK30))</f>
        <v/>
      </c>
      <c r="LL32" s="402">
        <f>MIN(LL25,MAX(0,LL27-LL30))</f>
        <v/>
      </c>
      <c r="LM32" s="402">
        <f>MIN(LM25,MAX(0,LM27-LM30))</f>
        <v/>
      </c>
      <c r="LN32" s="402">
        <f>MIN(LN25,MAX(0,LN27-LN30))</f>
        <v/>
      </c>
      <c r="LO32" s="402">
        <f>MIN(LO25,MAX(0,LO27-LO30))</f>
        <v/>
      </c>
      <c r="LP32" s="402">
        <f>MIN(LP25,MAX(0,LP27-LP30))</f>
        <v/>
      </c>
      <c r="LQ32" s="402">
        <f>MIN(LQ25,MAX(0,LQ27-LQ30))</f>
        <v/>
      </c>
      <c r="LR32" s="402">
        <f>MIN(LR25,MAX(0,LR27-LR30))</f>
        <v/>
      </c>
      <c r="LS32" s="402">
        <f>MIN(LS25,MAX(0,LS27-LS30))</f>
        <v/>
      </c>
      <c r="LT32" s="402">
        <f>MIN(LT25,MAX(0,LT27-LT30))</f>
        <v/>
      </c>
      <c r="LU32" s="402">
        <f>MIN(LU25,MAX(0,LU27-LU30))</f>
        <v/>
      </c>
      <c r="LV32" s="402">
        <f>MIN(LV25,MAX(0,LV27-LV30))</f>
        <v/>
      </c>
      <c r="LW32" s="402">
        <f>MIN(LW25,MAX(0,LW27-LW30))</f>
        <v/>
      </c>
      <c r="LX32" s="402">
        <f>MIN(LX25,MAX(0,LX27-LX30))</f>
        <v/>
      </c>
      <c r="LY32" s="402">
        <f>MIN(LY25,MAX(0,LY27-LY30))</f>
        <v/>
      </c>
      <c r="LZ32" s="402">
        <f>MIN(LZ25,MAX(0,LZ27-LZ30))</f>
        <v/>
      </c>
      <c r="MA32" s="402">
        <f>MIN(MA25,MAX(0,MA27-MA30))</f>
        <v/>
      </c>
      <c r="MB32" s="402">
        <f>MIN(MB25,MAX(0,MB27-MB30))</f>
        <v/>
      </c>
      <c r="MC32" s="402">
        <f>MIN(MC25,MAX(0,MC27-MC30))</f>
        <v/>
      </c>
      <c r="MD32" s="402">
        <f>MIN(MD25,MAX(0,MD27-MD30))</f>
        <v/>
      </c>
      <c r="ME32" s="402">
        <f>MIN(ME25,MAX(0,ME27-ME30))</f>
        <v/>
      </c>
      <c r="MF32" s="402">
        <f>MIN(MF25,MAX(0,MF27-MF30))</f>
        <v/>
      </c>
      <c r="MG32" s="402">
        <f>MIN(MG25,MAX(0,MG27-MG30))</f>
        <v/>
      </c>
      <c r="MH32" s="402">
        <f>MIN(MH25,MAX(0,MH27-MH30))</f>
        <v/>
      </c>
      <c r="MI32" s="402">
        <f>MIN(MI25,MAX(0,MI27-MI30))</f>
        <v/>
      </c>
      <c r="MJ32" s="402">
        <f>MIN(MJ25,MAX(0,MJ27-MJ30))</f>
        <v/>
      </c>
      <c r="MK32" s="402">
        <f>MIN(MK25,MAX(0,MK27-MK30))</f>
        <v/>
      </c>
      <c r="ML32" s="402">
        <f>MIN(ML25,MAX(0,ML27-ML30))</f>
        <v/>
      </c>
      <c r="MM32" s="402">
        <f>MIN(MM25,MAX(0,MM27-MM30))</f>
        <v/>
      </c>
      <c r="MN32" s="402">
        <f>MIN(MN25,MAX(0,MN27-MN30))</f>
        <v/>
      </c>
      <c r="MO32" s="402">
        <f>MIN(MO25,MAX(0,MO27-MO30))</f>
        <v/>
      </c>
      <c r="MP32" s="402">
        <f>MIN(MP25,MAX(0,MP27-MP30))</f>
        <v/>
      </c>
      <c r="MQ32" s="402">
        <f>MIN(MQ25,MAX(0,MQ27-MQ30))</f>
        <v/>
      </c>
      <c r="MR32" s="402">
        <f>MIN(MR25,MAX(0,MR27-MR30))</f>
        <v/>
      </c>
      <c r="MS32" s="402">
        <f>MIN(MS25,MAX(0,MS27-MS30))</f>
        <v/>
      </c>
      <c r="MT32" s="402">
        <f>MIN(MT25,MAX(0,MT27-MT30))</f>
        <v/>
      </c>
      <c r="MU32" s="402">
        <f>MIN(MU25,MAX(0,MU27-MU30))</f>
        <v/>
      </c>
      <c r="MV32" s="402">
        <f>MIN(MV25,MAX(0,MV27-MV30))</f>
        <v/>
      </c>
      <c r="MW32" s="402">
        <f>MIN(MW25,MAX(0,MW27-MW30))</f>
        <v/>
      </c>
      <c r="MX32" s="402">
        <f>MIN(MX25,MAX(0,MX27-MX30))</f>
        <v/>
      </c>
      <c r="MY32" s="402">
        <f>MIN(MY25,MAX(0,MY27-MY30))</f>
        <v/>
      </c>
      <c r="MZ32" s="402">
        <f>MIN(MZ25,MAX(0,MZ27-MZ30))</f>
        <v/>
      </c>
      <c r="NA32" s="402">
        <f>MIN(NA25,MAX(0,NA27-NA30))</f>
        <v/>
      </c>
      <c r="NB32" s="402">
        <f>MIN(NB25,MAX(0,NB27-NB30))</f>
        <v/>
      </c>
      <c r="NC32" s="402">
        <f>MIN(NC25,MAX(0,NC27-NC30))</f>
        <v/>
      </c>
      <c r="ND32" s="402">
        <f>MIN(ND25,MAX(0,ND27-ND30))</f>
        <v/>
      </c>
      <c r="NE32" s="402">
        <f>MIN(NE25,MAX(0,NE27-NE30))</f>
        <v/>
      </c>
      <c r="NF32" s="402">
        <f>MIN(NF25,MAX(0,NF27-NF30))</f>
        <v/>
      </c>
      <c r="NG32" s="402">
        <f>MIN(NG25,MAX(0,NG27-NG30))</f>
        <v/>
      </c>
      <c r="NH32" s="402">
        <f>MIN(NH25,MAX(0,NH27-NH30))</f>
        <v/>
      </c>
      <c r="NI32" s="402">
        <f>MIN(NI25,MAX(0,NI27-NI30))</f>
        <v/>
      </c>
      <c r="NJ32" s="402">
        <f>MIN(NJ25,MAX(0,NJ27-NJ30))</f>
        <v/>
      </c>
      <c r="NK32" s="402">
        <f>MIN(NK25,MAX(0,NK27-NK30))</f>
        <v/>
      </c>
      <c r="NL32" s="402">
        <f>MIN(NL25,MAX(0,NL27-NL30))</f>
        <v/>
      </c>
    </row>
    <row r="33">
      <c r="B33" s="316" t="inlineStr">
        <is>
          <t>Tier 2 — Pref to Hurdle 2</t>
        </is>
      </c>
      <c r="D33" s="402">
        <f>SUM(E33:NL33)</f>
        <v/>
      </c>
      <c r="E33" s="402">
        <f>MIN(E25-E32,MAX(0,E28-E30-E32))</f>
        <v/>
      </c>
      <c r="F33" s="402">
        <f>MIN(F25-F32,MAX(0,F28-F30-F32))</f>
        <v/>
      </c>
      <c r="G33" s="402">
        <f>MIN(G25-G32,MAX(0,G28-G30-G32))</f>
        <v/>
      </c>
      <c r="H33" s="402">
        <f>MIN(H25-H32,MAX(0,H28-H30-H32))</f>
        <v/>
      </c>
      <c r="I33" s="402">
        <f>MIN(I25-I32,MAX(0,I28-I30-I32))</f>
        <v/>
      </c>
      <c r="J33" s="402">
        <f>MIN(J25-J32,MAX(0,J28-J30-J32))</f>
        <v/>
      </c>
      <c r="K33" s="402">
        <f>MIN(K25-K32,MAX(0,K28-K30-K32))</f>
        <v/>
      </c>
      <c r="L33" s="402">
        <f>MIN(L25-L32,MAX(0,L28-L30-L32))</f>
        <v/>
      </c>
      <c r="M33" s="402">
        <f>MIN(M25-M32,MAX(0,M28-M30-M32))</f>
        <v/>
      </c>
      <c r="N33" s="402">
        <f>MIN(N25-N32,MAX(0,N28-N30-N32))</f>
        <v/>
      </c>
      <c r="O33" s="402">
        <f>MIN(O25-O32,MAX(0,O28-O30-O32))</f>
        <v/>
      </c>
      <c r="P33" s="402">
        <f>MIN(P25-P32,MAX(0,P28-P30-P32))</f>
        <v/>
      </c>
      <c r="Q33" s="402">
        <f>MIN(Q25-Q32,MAX(0,Q28-Q30-Q32))</f>
        <v/>
      </c>
      <c r="R33" s="402">
        <f>MIN(R25-R32,MAX(0,R28-R30-R32))</f>
        <v/>
      </c>
      <c r="S33" s="402">
        <f>MIN(S25-S32,MAX(0,S28-S30-S32))</f>
        <v/>
      </c>
      <c r="T33" s="402">
        <f>MIN(T25-T32,MAX(0,T28-T30-T32))</f>
        <v/>
      </c>
      <c r="U33" s="402">
        <f>MIN(U25-U32,MAX(0,U28-U30-U32))</f>
        <v/>
      </c>
      <c r="V33" s="402">
        <f>MIN(V25-V32,MAX(0,V28-V30-V32))</f>
        <v/>
      </c>
      <c r="W33" s="402">
        <f>MIN(W25-W32,MAX(0,W28-W30-W32))</f>
        <v/>
      </c>
      <c r="X33" s="402">
        <f>MIN(X25-X32,MAX(0,X28-X30-X32))</f>
        <v/>
      </c>
      <c r="Y33" s="402">
        <f>MIN(Y25-Y32,MAX(0,Y28-Y30-Y32))</f>
        <v/>
      </c>
      <c r="Z33" s="402">
        <f>MIN(Z25-Z32,MAX(0,Z28-Z30-Z32))</f>
        <v/>
      </c>
      <c r="AA33" s="402">
        <f>MIN(AA25-AA32,MAX(0,AA28-AA30-AA32))</f>
        <v/>
      </c>
      <c r="AB33" s="402">
        <f>MIN(AB25-AB32,MAX(0,AB28-AB30-AB32))</f>
        <v/>
      </c>
      <c r="AC33" s="402">
        <f>MIN(AC25-AC32,MAX(0,AC28-AC30-AC32))</f>
        <v/>
      </c>
      <c r="AD33" s="402">
        <f>MIN(AD25-AD32,MAX(0,AD28-AD30-AD32))</f>
        <v/>
      </c>
      <c r="AE33" s="402">
        <f>MIN(AE25-AE32,MAX(0,AE28-AE30-AE32))</f>
        <v/>
      </c>
      <c r="AF33" s="402">
        <f>MIN(AF25-AF32,MAX(0,AF28-AF30-AF32))</f>
        <v/>
      </c>
      <c r="AG33" s="402">
        <f>MIN(AG25-AG32,MAX(0,AG28-AG30-AG32))</f>
        <v/>
      </c>
      <c r="AH33" s="402">
        <f>MIN(AH25-AH32,MAX(0,AH28-AH30-AH32))</f>
        <v/>
      </c>
      <c r="AI33" s="402">
        <f>MIN(AI25-AI32,MAX(0,AI28-AI30-AI32))</f>
        <v/>
      </c>
      <c r="AJ33" s="402">
        <f>MIN(AJ25-AJ32,MAX(0,AJ28-AJ30-AJ32))</f>
        <v/>
      </c>
      <c r="AK33" s="402">
        <f>MIN(AK25-AK32,MAX(0,AK28-AK30-AK32))</f>
        <v/>
      </c>
      <c r="AL33" s="402">
        <f>MIN(AL25-AL32,MAX(0,AL28-AL30-AL32))</f>
        <v/>
      </c>
      <c r="AM33" s="402">
        <f>MIN(AM25-AM32,MAX(0,AM28-AM30-AM32))</f>
        <v/>
      </c>
      <c r="AN33" s="402">
        <f>MIN(AN25-AN32,MAX(0,AN28-AN30-AN32))</f>
        <v/>
      </c>
      <c r="AO33" s="402">
        <f>MIN(AO25-AO32,MAX(0,AO28-AO30-AO32))</f>
        <v/>
      </c>
      <c r="AP33" s="402">
        <f>MIN(AP25-AP32,MAX(0,AP28-AP30-AP32))</f>
        <v/>
      </c>
      <c r="AQ33" s="402">
        <f>MIN(AQ25-AQ32,MAX(0,AQ28-AQ30-AQ32))</f>
        <v/>
      </c>
      <c r="AR33" s="402">
        <f>MIN(AR25-AR32,MAX(0,AR28-AR30-AR32))</f>
        <v/>
      </c>
      <c r="AS33" s="402">
        <f>MIN(AS25-AS32,MAX(0,AS28-AS30-AS32))</f>
        <v/>
      </c>
      <c r="AT33" s="402">
        <f>MIN(AT25-AT32,MAX(0,AT28-AT30-AT32))</f>
        <v/>
      </c>
      <c r="AU33" s="402">
        <f>MIN(AU25-AU32,MAX(0,AU28-AU30-AU32))</f>
        <v/>
      </c>
      <c r="AV33" s="402">
        <f>MIN(AV25-AV32,MAX(0,AV28-AV30-AV32))</f>
        <v/>
      </c>
      <c r="AW33" s="402">
        <f>MIN(AW25-AW32,MAX(0,AW28-AW30-AW32))</f>
        <v/>
      </c>
      <c r="AX33" s="402">
        <f>MIN(AX25-AX32,MAX(0,AX28-AX30-AX32))</f>
        <v/>
      </c>
      <c r="AY33" s="402">
        <f>MIN(AY25-AY32,MAX(0,AY28-AY30-AY32))</f>
        <v/>
      </c>
      <c r="AZ33" s="402">
        <f>MIN(AZ25-AZ32,MAX(0,AZ28-AZ30-AZ32))</f>
        <v/>
      </c>
      <c r="BA33" s="402">
        <f>MIN(BA25-BA32,MAX(0,BA28-BA30-BA32))</f>
        <v/>
      </c>
      <c r="BB33" s="402">
        <f>MIN(BB25-BB32,MAX(0,BB28-BB30-BB32))</f>
        <v/>
      </c>
      <c r="BC33" s="402">
        <f>MIN(BC25-BC32,MAX(0,BC28-BC30-BC32))</f>
        <v/>
      </c>
      <c r="BD33" s="402">
        <f>MIN(BD25-BD32,MAX(0,BD28-BD30-BD32))</f>
        <v/>
      </c>
      <c r="BE33" s="402">
        <f>MIN(BE25-BE32,MAX(0,BE28-BE30-BE32))</f>
        <v/>
      </c>
      <c r="BF33" s="402">
        <f>MIN(BF25-BF32,MAX(0,BF28-BF30-BF32))</f>
        <v/>
      </c>
      <c r="BG33" s="402">
        <f>MIN(BG25-BG32,MAX(0,BG28-BG30-BG32))</f>
        <v/>
      </c>
      <c r="BH33" s="402">
        <f>MIN(BH25-BH32,MAX(0,BH28-BH30-BH32))</f>
        <v/>
      </c>
      <c r="BI33" s="402">
        <f>MIN(BI25-BI32,MAX(0,BI28-BI30-BI32))</f>
        <v/>
      </c>
      <c r="BJ33" s="402">
        <f>MIN(BJ25-BJ32,MAX(0,BJ28-BJ30-BJ32))</f>
        <v/>
      </c>
      <c r="BK33" s="402">
        <f>MIN(BK25-BK32,MAX(0,BK28-BK30-BK32))</f>
        <v/>
      </c>
      <c r="BL33" s="402">
        <f>MIN(BL25-BL32,MAX(0,BL28-BL30-BL32))</f>
        <v/>
      </c>
      <c r="BM33" s="402">
        <f>MIN(BM25-BM32,MAX(0,BM28-BM30-BM32))</f>
        <v/>
      </c>
      <c r="BN33" s="402">
        <f>MIN(BN25-BN32,MAX(0,BN28-BN30-BN32))</f>
        <v/>
      </c>
      <c r="BO33" s="402">
        <f>MIN(BO25-BO32,MAX(0,BO28-BO30-BO32))</f>
        <v/>
      </c>
      <c r="BP33" s="402">
        <f>MIN(BP25-BP32,MAX(0,BP28-BP30-BP32))</f>
        <v/>
      </c>
      <c r="BQ33" s="402">
        <f>MIN(BQ25-BQ32,MAX(0,BQ28-BQ30-BQ32))</f>
        <v/>
      </c>
      <c r="BR33" s="402">
        <f>MIN(BR25-BR32,MAX(0,BR28-BR30-BR32))</f>
        <v/>
      </c>
      <c r="BS33" s="402">
        <f>MIN(BS25-BS32,MAX(0,BS28-BS30-BS32))</f>
        <v/>
      </c>
      <c r="BT33" s="402">
        <f>MIN(BT25-BT32,MAX(0,BT28-BT30-BT32))</f>
        <v/>
      </c>
      <c r="BU33" s="402">
        <f>MIN(BU25-BU32,MAX(0,BU28-BU30-BU32))</f>
        <v/>
      </c>
      <c r="BV33" s="402">
        <f>MIN(BV25-BV32,MAX(0,BV28-BV30-BV32))</f>
        <v/>
      </c>
      <c r="BW33" s="402">
        <f>MIN(BW25-BW32,MAX(0,BW28-BW30-BW32))</f>
        <v/>
      </c>
      <c r="BX33" s="402">
        <f>MIN(BX25-BX32,MAX(0,BX28-BX30-BX32))</f>
        <v/>
      </c>
      <c r="BY33" s="402">
        <f>MIN(BY25-BY32,MAX(0,BY28-BY30-BY32))</f>
        <v/>
      </c>
      <c r="BZ33" s="402">
        <f>MIN(BZ25-BZ32,MAX(0,BZ28-BZ30-BZ32))</f>
        <v/>
      </c>
      <c r="CA33" s="402">
        <f>MIN(CA25-CA32,MAX(0,CA28-CA30-CA32))</f>
        <v/>
      </c>
      <c r="CB33" s="402">
        <f>MIN(CB25-CB32,MAX(0,CB28-CB30-CB32))</f>
        <v/>
      </c>
      <c r="CC33" s="402">
        <f>MIN(CC25-CC32,MAX(0,CC28-CC30-CC32))</f>
        <v/>
      </c>
      <c r="CD33" s="402">
        <f>MIN(CD25-CD32,MAX(0,CD28-CD30-CD32))</f>
        <v/>
      </c>
      <c r="CE33" s="402">
        <f>MIN(CE25-CE32,MAX(0,CE28-CE30-CE32))</f>
        <v/>
      </c>
      <c r="CF33" s="402">
        <f>MIN(CF25-CF32,MAX(0,CF28-CF30-CF32))</f>
        <v/>
      </c>
      <c r="CG33" s="402">
        <f>MIN(CG25-CG32,MAX(0,CG28-CG30-CG32))</f>
        <v/>
      </c>
      <c r="CH33" s="402">
        <f>MIN(CH25-CH32,MAX(0,CH28-CH30-CH32))</f>
        <v/>
      </c>
      <c r="CI33" s="402">
        <f>MIN(CI25-CI32,MAX(0,CI28-CI30-CI32))</f>
        <v/>
      </c>
      <c r="CJ33" s="402">
        <f>MIN(CJ25-CJ32,MAX(0,CJ28-CJ30-CJ32))</f>
        <v/>
      </c>
      <c r="CK33" s="402">
        <f>MIN(CK25-CK32,MAX(0,CK28-CK30-CK32))</f>
        <v/>
      </c>
      <c r="CL33" s="402">
        <f>MIN(CL25-CL32,MAX(0,CL28-CL30-CL32))</f>
        <v/>
      </c>
      <c r="CM33" s="402">
        <f>MIN(CM25-CM32,MAX(0,CM28-CM30-CM32))</f>
        <v/>
      </c>
      <c r="CN33" s="402">
        <f>MIN(CN25-CN32,MAX(0,CN28-CN30-CN32))</f>
        <v/>
      </c>
      <c r="CO33" s="402">
        <f>MIN(CO25-CO32,MAX(0,CO28-CO30-CO32))</f>
        <v/>
      </c>
      <c r="CP33" s="402">
        <f>MIN(CP25-CP32,MAX(0,CP28-CP30-CP32))</f>
        <v/>
      </c>
      <c r="CQ33" s="402">
        <f>MIN(CQ25-CQ32,MAX(0,CQ28-CQ30-CQ32))</f>
        <v/>
      </c>
      <c r="CR33" s="402">
        <f>MIN(CR25-CR32,MAX(0,CR28-CR30-CR32))</f>
        <v/>
      </c>
      <c r="CS33" s="402">
        <f>MIN(CS25-CS32,MAX(0,CS28-CS30-CS32))</f>
        <v/>
      </c>
      <c r="CT33" s="402">
        <f>MIN(CT25-CT32,MAX(0,CT28-CT30-CT32))</f>
        <v/>
      </c>
      <c r="CU33" s="402">
        <f>MIN(CU25-CU32,MAX(0,CU28-CU30-CU32))</f>
        <v/>
      </c>
      <c r="CV33" s="402">
        <f>MIN(CV25-CV32,MAX(0,CV28-CV30-CV32))</f>
        <v/>
      </c>
      <c r="CW33" s="402">
        <f>MIN(CW25-CW32,MAX(0,CW28-CW30-CW32))</f>
        <v/>
      </c>
      <c r="CX33" s="402">
        <f>MIN(CX25-CX32,MAX(0,CX28-CX30-CX32))</f>
        <v/>
      </c>
      <c r="CY33" s="402">
        <f>MIN(CY25-CY32,MAX(0,CY28-CY30-CY32))</f>
        <v/>
      </c>
      <c r="CZ33" s="402">
        <f>MIN(CZ25-CZ32,MAX(0,CZ28-CZ30-CZ32))</f>
        <v/>
      </c>
      <c r="DA33" s="402">
        <f>MIN(DA25-DA32,MAX(0,DA28-DA30-DA32))</f>
        <v/>
      </c>
      <c r="DB33" s="402">
        <f>MIN(DB25-DB32,MAX(0,DB28-DB30-DB32))</f>
        <v/>
      </c>
      <c r="DC33" s="402">
        <f>MIN(DC25-DC32,MAX(0,DC28-DC30-DC32))</f>
        <v/>
      </c>
      <c r="DD33" s="402">
        <f>MIN(DD25-DD32,MAX(0,DD28-DD30-DD32))</f>
        <v/>
      </c>
      <c r="DE33" s="402">
        <f>MIN(DE25-DE32,MAX(0,DE28-DE30-DE32))</f>
        <v/>
      </c>
      <c r="DF33" s="402">
        <f>MIN(DF25-DF32,MAX(0,DF28-DF30-DF32))</f>
        <v/>
      </c>
      <c r="DG33" s="402">
        <f>MIN(DG25-DG32,MAX(0,DG28-DG30-DG32))</f>
        <v/>
      </c>
      <c r="DH33" s="402">
        <f>MIN(DH25-DH32,MAX(0,DH28-DH30-DH32))</f>
        <v/>
      </c>
      <c r="DI33" s="402">
        <f>MIN(DI25-DI32,MAX(0,DI28-DI30-DI32))</f>
        <v/>
      </c>
      <c r="DJ33" s="402">
        <f>MIN(DJ25-DJ32,MAX(0,DJ28-DJ30-DJ32))</f>
        <v/>
      </c>
      <c r="DK33" s="402">
        <f>MIN(DK25-DK32,MAX(0,DK28-DK30-DK32))</f>
        <v/>
      </c>
      <c r="DL33" s="402">
        <f>MIN(DL25-DL32,MAX(0,DL28-DL30-DL32))</f>
        <v/>
      </c>
      <c r="DM33" s="402">
        <f>MIN(DM25-DM32,MAX(0,DM28-DM30-DM32))</f>
        <v/>
      </c>
      <c r="DN33" s="402">
        <f>MIN(DN25-DN32,MAX(0,DN28-DN30-DN32))</f>
        <v/>
      </c>
      <c r="DO33" s="402">
        <f>MIN(DO25-DO32,MAX(0,DO28-DO30-DO32))</f>
        <v/>
      </c>
      <c r="DP33" s="402">
        <f>MIN(DP25-DP32,MAX(0,DP28-DP30-DP32))</f>
        <v/>
      </c>
      <c r="DQ33" s="402">
        <f>MIN(DQ25-DQ32,MAX(0,DQ28-DQ30-DQ32))</f>
        <v/>
      </c>
      <c r="DR33" s="402">
        <f>MIN(DR25-DR32,MAX(0,DR28-DR30-DR32))</f>
        <v/>
      </c>
      <c r="DS33" s="402">
        <f>MIN(DS25-DS32,MAX(0,DS28-DS30-DS32))</f>
        <v/>
      </c>
      <c r="DT33" s="402">
        <f>MIN(DT25-DT32,MAX(0,DT28-DT30-DT32))</f>
        <v/>
      </c>
      <c r="DU33" s="402">
        <f>MIN(DU25-DU32,MAX(0,DU28-DU30-DU32))</f>
        <v/>
      </c>
      <c r="DV33" s="402">
        <f>MIN(DV25-DV32,MAX(0,DV28-DV30-DV32))</f>
        <v/>
      </c>
      <c r="DW33" s="402">
        <f>MIN(DW25-DW32,MAX(0,DW28-DW30-DW32))</f>
        <v/>
      </c>
      <c r="DX33" s="402">
        <f>MIN(DX25-DX32,MAX(0,DX28-DX30-DX32))</f>
        <v/>
      </c>
      <c r="DY33" s="402">
        <f>MIN(DY25-DY32,MAX(0,DY28-DY30-DY32))</f>
        <v/>
      </c>
      <c r="DZ33" s="402">
        <f>MIN(DZ25-DZ32,MAX(0,DZ28-DZ30-DZ32))</f>
        <v/>
      </c>
      <c r="EA33" s="402">
        <f>MIN(EA25-EA32,MAX(0,EA28-EA30-EA32))</f>
        <v/>
      </c>
      <c r="EB33" s="402">
        <f>MIN(EB25-EB32,MAX(0,EB28-EB30-EB32))</f>
        <v/>
      </c>
      <c r="EC33" s="402">
        <f>MIN(EC25-EC32,MAX(0,EC28-EC30-EC32))</f>
        <v/>
      </c>
      <c r="ED33" s="402">
        <f>MIN(ED25-ED32,MAX(0,ED28-ED30-ED32))</f>
        <v/>
      </c>
      <c r="EE33" s="402">
        <f>MIN(EE25-EE32,MAX(0,EE28-EE30-EE32))</f>
        <v/>
      </c>
      <c r="EF33" s="402">
        <f>MIN(EF25-EF32,MAX(0,EF28-EF30-EF32))</f>
        <v/>
      </c>
      <c r="EG33" s="402">
        <f>MIN(EG25-EG32,MAX(0,EG28-EG30-EG32))</f>
        <v/>
      </c>
      <c r="EH33" s="402">
        <f>MIN(EH25-EH32,MAX(0,EH28-EH30-EH32))</f>
        <v/>
      </c>
      <c r="EI33" s="402">
        <f>MIN(EI25-EI32,MAX(0,EI28-EI30-EI32))</f>
        <v/>
      </c>
      <c r="EJ33" s="402">
        <f>MIN(EJ25-EJ32,MAX(0,EJ28-EJ30-EJ32))</f>
        <v/>
      </c>
      <c r="EK33" s="402">
        <f>MIN(EK25-EK32,MAX(0,EK28-EK30-EK32))</f>
        <v/>
      </c>
      <c r="EL33" s="402">
        <f>MIN(EL25-EL32,MAX(0,EL28-EL30-EL32))</f>
        <v/>
      </c>
      <c r="EM33" s="402">
        <f>MIN(EM25-EM32,MAX(0,EM28-EM30-EM32))</f>
        <v/>
      </c>
      <c r="EN33" s="402">
        <f>MIN(EN25-EN32,MAX(0,EN28-EN30-EN32))</f>
        <v/>
      </c>
      <c r="EO33" s="402">
        <f>MIN(EO25-EO32,MAX(0,EO28-EO30-EO32))</f>
        <v/>
      </c>
      <c r="EP33" s="402">
        <f>MIN(EP25-EP32,MAX(0,EP28-EP30-EP32))</f>
        <v/>
      </c>
      <c r="EQ33" s="402">
        <f>MIN(EQ25-EQ32,MAX(0,EQ28-EQ30-EQ32))</f>
        <v/>
      </c>
      <c r="ER33" s="402">
        <f>MIN(ER25-ER32,MAX(0,ER28-ER30-ER32))</f>
        <v/>
      </c>
      <c r="ES33" s="402">
        <f>MIN(ES25-ES32,MAX(0,ES28-ES30-ES32))</f>
        <v/>
      </c>
      <c r="ET33" s="402">
        <f>MIN(ET25-ET32,MAX(0,ET28-ET30-ET32))</f>
        <v/>
      </c>
      <c r="EU33" s="402">
        <f>MIN(EU25-EU32,MAX(0,EU28-EU30-EU32))</f>
        <v/>
      </c>
      <c r="EV33" s="402">
        <f>MIN(EV25-EV32,MAX(0,EV28-EV30-EV32))</f>
        <v/>
      </c>
      <c r="EW33" s="402">
        <f>MIN(EW25-EW32,MAX(0,EW28-EW30-EW32))</f>
        <v/>
      </c>
      <c r="EX33" s="402">
        <f>MIN(EX25-EX32,MAX(0,EX28-EX30-EX32))</f>
        <v/>
      </c>
      <c r="EY33" s="402">
        <f>MIN(EY25-EY32,MAX(0,EY28-EY30-EY32))</f>
        <v/>
      </c>
      <c r="EZ33" s="402">
        <f>MIN(EZ25-EZ32,MAX(0,EZ28-EZ30-EZ32))</f>
        <v/>
      </c>
      <c r="FA33" s="402">
        <f>MIN(FA25-FA32,MAX(0,FA28-FA30-FA32))</f>
        <v/>
      </c>
      <c r="FB33" s="402">
        <f>MIN(FB25-FB32,MAX(0,FB28-FB30-FB32))</f>
        <v/>
      </c>
      <c r="FC33" s="402">
        <f>MIN(FC25-FC32,MAX(0,FC28-FC30-FC32))</f>
        <v/>
      </c>
      <c r="FD33" s="402">
        <f>MIN(FD25-FD32,MAX(0,FD28-FD30-FD32))</f>
        <v/>
      </c>
      <c r="FE33" s="402">
        <f>MIN(FE25-FE32,MAX(0,FE28-FE30-FE32))</f>
        <v/>
      </c>
      <c r="FF33" s="402">
        <f>MIN(FF25-FF32,MAX(0,FF28-FF30-FF32))</f>
        <v/>
      </c>
      <c r="FG33" s="402">
        <f>MIN(FG25-FG32,MAX(0,FG28-FG30-FG32))</f>
        <v/>
      </c>
      <c r="FH33" s="402">
        <f>MIN(FH25-FH32,MAX(0,FH28-FH30-FH32))</f>
        <v/>
      </c>
      <c r="FI33" s="402">
        <f>MIN(FI25-FI32,MAX(0,FI28-FI30-FI32))</f>
        <v/>
      </c>
      <c r="FJ33" s="402">
        <f>MIN(FJ25-FJ32,MAX(0,FJ28-FJ30-FJ32))</f>
        <v/>
      </c>
      <c r="FK33" s="402">
        <f>MIN(FK25-FK32,MAX(0,FK28-FK30-FK32))</f>
        <v/>
      </c>
      <c r="FL33" s="402">
        <f>MIN(FL25-FL32,MAX(0,FL28-FL30-FL32))</f>
        <v/>
      </c>
      <c r="FM33" s="402">
        <f>MIN(FM25-FM32,MAX(0,FM28-FM30-FM32))</f>
        <v/>
      </c>
      <c r="FN33" s="402">
        <f>MIN(FN25-FN32,MAX(0,FN28-FN30-FN32))</f>
        <v/>
      </c>
      <c r="FO33" s="402">
        <f>MIN(FO25-FO32,MAX(0,FO28-FO30-FO32))</f>
        <v/>
      </c>
      <c r="FP33" s="402">
        <f>MIN(FP25-FP32,MAX(0,FP28-FP30-FP32))</f>
        <v/>
      </c>
      <c r="FQ33" s="402">
        <f>MIN(FQ25-FQ32,MAX(0,FQ28-FQ30-FQ32))</f>
        <v/>
      </c>
      <c r="FR33" s="402">
        <f>MIN(FR25-FR32,MAX(0,FR28-FR30-FR32))</f>
        <v/>
      </c>
      <c r="FS33" s="402">
        <f>MIN(FS25-FS32,MAX(0,FS28-FS30-FS32))</f>
        <v/>
      </c>
      <c r="FT33" s="402">
        <f>MIN(FT25-FT32,MAX(0,FT28-FT30-FT32))</f>
        <v/>
      </c>
      <c r="FU33" s="402">
        <f>MIN(FU25-FU32,MAX(0,FU28-FU30-FU32))</f>
        <v/>
      </c>
      <c r="FV33" s="402">
        <f>MIN(FV25-FV32,MAX(0,FV28-FV30-FV32))</f>
        <v/>
      </c>
      <c r="FW33" s="402">
        <f>MIN(FW25-FW32,MAX(0,FW28-FW30-FW32))</f>
        <v/>
      </c>
      <c r="FX33" s="402">
        <f>MIN(FX25-FX32,MAX(0,FX28-FX30-FX32))</f>
        <v/>
      </c>
      <c r="FY33" s="402">
        <f>MIN(FY25-FY32,MAX(0,FY28-FY30-FY32))</f>
        <v/>
      </c>
      <c r="FZ33" s="402">
        <f>MIN(FZ25-FZ32,MAX(0,FZ28-FZ30-FZ32))</f>
        <v/>
      </c>
      <c r="GA33" s="402">
        <f>MIN(GA25-GA32,MAX(0,GA28-GA30-GA32))</f>
        <v/>
      </c>
      <c r="GB33" s="402">
        <f>MIN(GB25-GB32,MAX(0,GB28-GB30-GB32))</f>
        <v/>
      </c>
      <c r="GC33" s="402">
        <f>MIN(GC25-GC32,MAX(0,GC28-GC30-GC32))</f>
        <v/>
      </c>
      <c r="GD33" s="402">
        <f>MIN(GD25-GD32,MAX(0,GD28-GD30-GD32))</f>
        <v/>
      </c>
      <c r="GE33" s="402">
        <f>MIN(GE25-GE32,MAX(0,GE28-GE30-GE32))</f>
        <v/>
      </c>
      <c r="GF33" s="402">
        <f>MIN(GF25-GF32,MAX(0,GF28-GF30-GF32))</f>
        <v/>
      </c>
      <c r="GG33" s="402">
        <f>MIN(GG25-GG32,MAX(0,GG28-GG30-GG32))</f>
        <v/>
      </c>
      <c r="GH33" s="402">
        <f>MIN(GH25-GH32,MAX(0,GH28-GH30-GH32))</f>
        <v/>
      </c>
      <c r="GI33" s="402">
        <f>MIN(GI25-GI32,MAX(0,GI28-GI30-GI32))</f>
        <v/>
      </c>
      <c r="GJ33" s="402">
        <f>MIN(GJ25-GJ32,MAX(0,GJ28-GJ30-GJ32))</f>
        <v/>
      </c>
      <c r="GK33" s="402">
        <f>MIN(GK25-GK32,MAX(0,GK28-GK30-GK32))</f>
        <v/>
      </c>
      <c r="GL33" s="402">
        <f>MIN(GL25-GL32,MAX(0,GL28-GL30-GL32))</f>
        <v/>
      </c>
      <c r="GM33" s="402">
        <f>MIN(GM25-GM32,MAX(0,GM28-GM30-GM32))</f>
        <v/>
      </c>
      <c r="GN33" s="402">
        <f>MIN(GN25-GN32,MAX(0,GN28-GN30-GN32))</f>
        <v/>
      </c>
      <c r="GO33" s="402">
        <f>MIN(GO25-GO32,MAX(0,GO28-GO30-GO32))</f>
        <v/>
      </c>
      <c r="GP33" s="402">
        <f>MIN(GP25-GP32,MAX(0,GP28-GP30-GP32))</f>
        <v/>
      </c>
      <c r="GQ33" s="402">
        <f>MIN(GQ25-GQ32,MAX(0,GQ28-GQ30-GQ32))</f>
        <v/>
      </c>
      <c r="GR33" s="402">
        <f>MIN(GR25-GR32,MAX(0,GR28-GR30-GR32))</f>
        <v/>
      </c>
      <c r="GS33" s="402">
        <f>MIN(GS25-GS32,MAX(0,GS28-GS30-GS32))</f>
        <v/>
      </c>
      <c r="GT33" s="402">
        <f>MIN(GT25-GT32,MAX(0,GT28-GT30-GT32))</f>
        <v/>
      </c>
      <c r="GU33" s="402">
        <f>MIN(GU25-GU32,MAX(0,GU28-GU30-GU32))</f>
        <v/>
      </c>
      <c r="GV33" s="402">
        <f>MIN(GV25-GV32,MAX(0,GV28-GV30-GV32))</f>
        <v/>
      </c>
      <c r="GW33" s="402">
        <f>MIN(GW25-GW32,MAX(0,GW28-GW30-GW32))</f>
        <v/>
      </c>
      <c r="GX33" s="402">
        <f>MIN(GX25-GX32,MAX(0,GX28-GX30-GX32))</f>
        <v/>
      </c>
      <c r="GY33" s="402">
        <f>MIN(GY25-GY32,MAX(0,GY28-GY30-GY32))</f>
        <v/>
      </c>
      <c r="GZ33" s="402">
        <f>MIN(GZ25-GZ32,MAX(0,GZ28-GZ30-GZ32))</f>
        <v/>
      </c>
      <c r="HA33" s="402">
        <f>MIN(HA25-HA32,MAX(0,HA28-HA30-HA32))</f>
        <v/>
      </c>
      <c r="HB33" s="402">
        <f>MIN(HB25-HB32,MAX(0,HB28-HB30-HB32))</f>
        <v/>
      </c>
      <c r="HC33" s="402">
        <f>MIN(HC25-HC32,MAX(0,HC28-HC30-HC32))</f>
        <v/>
      </c>
      <c r="HD33" s="402">
        <f>MIN(HD25-HD32,MAX(0,HD28-HD30-HD32))</f>
        <v/>
      </c>
      <c r="HE33" s="402">
        <f>MIN(HE25-HE32,MAX(0,HE28-HE30-HE32))</f>
        <v/>
      </c>
      <c r="HF33" s="402">
        <f>MIN(HF25-HF32,MAX(0,HF28-HF30-HF32))</f>
        <v/>
      </c>
      <c r="HG33" s="402">
        <f>MIN(HG25-HG32,MAX(0,HG28-HG30-HG32))</f>
        <v/>
      </c>
      <c r="HH33" s="402">
        <f>MIN(HH25-HH32,MAX(0,HH28-HH30-HH32))</f>
        <v/>
      </c>
      <c r="HI33" s="402">
        <f>MIN(HI25-HI32,MAX(0,HI28-HI30-HI32))</f>
        <v/>
      </c>
      <c r="HJ33" s="402">
        <f>MIN(HJ25-HJ32,MAX(0,HJ28-HJ30-HJ32))</f>
        <v/>
      </c>
      <c r="HK33" s="402">
        <f>MIN(HK25-HK32,MAX(0,HK28-HK30-HK32))</f>
        <v/>
      </c>
      <c r="HL33" s="402">
        <f>MIN(HL25-HL32,MAX(0,HL28-HL30-HL32))</f>
        <v/>
      </c>
      <c r="HM33" s="402">
        <f>MIN(HM25-HM32,MAX(0,HM28-HM30-HM32))</f>
        <v/>
      </c>
      <c r="HN33" s="402">
        <f>MIN(HN25-HN32,MAX(0,HN28-HN30-HN32))</f>
        <v/>
      </c>
      <c r="HO33" s="402">
        <f>MIN(HO25-HO32,MAX(0,HO28-HO30-HO32))</f>
        <v/>
      </c>
      <c r="HP33" s="402">
        <f>MIN(HP25-HP32,MAX(0,HP28-HP30-HP32))</f>
        <v/>
      </c>
      <c r="HQ33" s="402">
        <f>MIN(HQ25-HQ32,MAX(0,HQ28-HQ30-HQ32))</f>
        <v/>
      </c>
      <c r="HR33" s="402">
        <f>MIN(HR25-HR32,MAX(0,HR28-HR30-HR32))</f>
        <v/>
      </c>
      <c r="HS33" s="402">
        <f>MIN(HS25-HS32,MAX(0,HS28-HS30-HS32))</f>
        <v/>
      </c>
      <c r="HT33" s="402">
        <f>MIN(HT25-HT32,MAX(0,HT28-HT30-HT32))</f>
        <v/>
      </c>
      <c r="HU33" s="402">
        <f>MIN(HU25-HU32,MAX(0,HU28-HU30-HU32))</f>
        <v/>
      </c>
      <c r="HV33" s="402">
        <f>MIN(HV25-HV32,MAX(0,HV28-HV30-HV32))</f>
        <v/>
      </c>
      <c r="HW33" s="402">
        <f>MIN(HW25-HW32,MAX(0,HW28-HW30-HW32))</f>
        <v/>
      </c>
      <c r="HX33" s="402">
        <f>MIN(HX25-HX32,MAX(0,HX28-HX30-HX32))</f>
        <v/>
      </c>
      <c r="HY33" s="402">
        <f>MIN(HY25-HY32,MAX(0,HY28-HY30-HY32))</f>
        <v/>
      </c>
      <c r="HZ33" s="402">
        <f>MIN(HZ25-HZ32,MAX(0,HZ28-HZ30-HZ32))</f>
        <v/>
      </c>
      <c r="IA33" s="402">
        <f>MIN(IA25-IA32,MAX(0,IA28-IA30-IA32))</f>
        <v/>
      </c>
      <c r="IB33" s="402">
        <f>MIN(IB25-IB32,MAX(0,IB28-IB30-IB32))</f>
        <v/>
      </c>
      <c r="IC33" s="402">
        <f>MIN(IC25-IC32,MAX(0,IC28-IC30-IC32))</f>
        <v/>
      </c>
      <c r="ID33" s="402">
        <f>MIN(ID25-ID32,MAX(0,ID28-ID30-ID32))</f>
        <v/>
      </c>
      <c r="IE33" s="402">
        <f>MIN(IE25-IE32,MAX(0,IE28-IE30-IE32))</f>
        <v/>
      </c>
      <c r="IF33" s="402">
        <f>MIN(IF25-IF32,MAX(0,IF28-IF30-IF32))</f>
        <v/>
      </c>
      <c r="IG33" s="402">
        <f>MIN(IG25-IG32,MAX(0,IG28-IG30-IG32))</f>
        <v/>
      </c>
      <c r="IH33" s="402">
        <f>MIN(IH25-IH32,MAX(0,IH28-IH30-IH32))</f>
        <v/>
      </c>
      <c r="II33" s="402">
        <f>MIN(II25-II32,MAX(0,II28-II30-II32))</f>
        <v/>
      </c>
      <c r="IJ33" s="402">
        <f>MIN(IJ25-IJ32,MAX(0,IJ28-IJ30-IJ32))</f>
        <v/>
      </c>
      <c r="IK33" s="402">
        <f>MIN(IK25-IK32,MAX(0,IK28-IK30-IK32))</f>
        <v/>
      </c>
      <c r="IL33" s="402">
        <f>MIN(IL25-IL32,MAX(0,IL28-IL30-IL32))</f>
        <v/>
      </c>
      <c r="IM33" s="402">
        <f>MIN(IM25-IM32,MAX(0,IM28-IM30-IM32))</f>
        <v/>
      </c>
      <c r="IN33" s="402">
        <f>MIN(IN25-IN32,MAX(0,IN28-IN30-IN32))</f>
        <v/>
      </c>
      <c r="IO33" s="402">
        <f>MIN(IO25-IO32,MAX(0,IO28-IO30-IO32))</f>
        <v/>
      </c>
      <c r="IP33" s="402">
        <f>MIN(IP25-IP32,MAX(0,IP28-IP30-IP32))</f>
        <v/>
      </c>
      <c r="IQ33" s="402">
        <f>MIN(IQ25-IQ32,MAX(0,IQ28-IQ30-IQ32))</f>
        <v/>
      </c>
      <c r="IR33" s="402">
        <f>MIN(IR25-IR32,MAX(0,IR28-IR30-IR32))</f>
        <v/>
      </c>
      <c r="IS33" s="402">
        <f>MIN(IS25-IS32,MAX(0,IS28-IS30-IS32))</f>
        <v/>
      </c>
      <c r="IT33" s="402">
        <f>MIN(IT25-IT32,MAX(0,IT28-IT30-IT32))</f>
        <v/>
      </c>
      <c r="IU33" s="402">
        <f>MIN(IU25-IU32,MAX(0,IU28-IU30-IU32))</f>
        <v/>
      </c>
      <c r="IV33" s="402">
        <f>MIN(IV25-IV32,MAX(0,IV28-IV30-IV32))</f>
        <v/>
      </c>
      <c r="IW33" s="402">
        <f>MIN(IW25-IW32,MAX(0,IW28-IW30-IW32))</f>
        <v/>
      </c>
      <c r="IX33" s="402">
        <f>MIN(IX25-IX32,MAX(0,IX28-IX30-IX32))</f>
        <v/>
      </c>
      <c r="IY33" s="402">
        <f>MIN(IY25-IY32,MAX(0,IY28-IY30-IY32))</f>
        <v/>
      </c>
      <c r="IZ33" s="402">
        <f>MIN(IZ25-IZ32,MAX(0,IZ28-IZ30-IZ32))</f>
        <v/>
      </c>
      <c r="JA33" s="402">
        <f>MIN(JA25-JA32,MAX(0,JA28-JA30-JA32))</f>
        <v/>
      </c>
      <c r="JB33" s="402">
        <f>MIN(JB25-JB32,MAX(0,JB28-JB30-JB32))</f>
        <v/>
      </c>
      <c r="JC33" s="402">
        <f>MIN(JC25-JC32,MAX(0,JC28-JC30-JC32))</f>
        <v/>
      </c>
      <c r="JD33" s="402">
        <f>MIN(JD25-JD32,MAX(0,JD28-JD30-JD32))</f>
        <v/>
      </c>
      <c r="JE33" s="402">
        <f>MIN(JE25-JE32,MAX(0,JE28-JE30-JE32))</f>
        <v/>
      </c>
      <c r="JF33" s="402">
        <f>MIN(JF25-JF32,MAX(0,JF28-JF30-JF32))</f>
        <v/>
      </c>
      <c r="JG33" s="402">
        <f>MIN(JG25-JG32,MAX(0,JG28-JG30-JG32))</f>
        <v/>
      </c>
      <c r="JH33" s="402">
        <f>MIN(JH25-JH32,MAX(0,JH28-JH30-JH32))</f>
        <v/>
      </c>
      <c r="JI33" s="402">
        <f>MIN(JI25-JI32,MAX(0,JI28-JI30-JI32))</f>
        <v/>
      </c>
      <c r="JJ33" s="402">
        <f>MIN(JJ25-JJ32,MAX(0,JJ28-JJ30-JJ32))</f>
        <v/>
      </c>
      <c r="JK33" s="402">
        <f>MIN(JK25-JK32,MAX(0,JK28-JK30-JK32))</f>
        <v/>
      </c>
      <c r="JL33" s="402">
        <f>MIN(JL25-JL32,MAX(0,JL28-JL30-JL32))</f>
        <v/>
      </c>
      <c r="JM33" s="402">
        <f>MIN(JM25-JM32,MAX(0,JM28-JM30-JM32))</f>
        <v/>
      </c>
      <c r="JN33" s="402">
        <f>MIN(JN25-JN32,MAX(0,JN28-JN30-JN32))</f>
        <v/>
      </c>
      <c r="JO33" s="402">
        <f>MIN(JO25-JO32,MAX(0,JO28-JO30-JO32))</f>
        <v/>
      </c>
      <c r="JP33" s="402">
        <f>MIN(JP25-JP32,MAX(0,JP28-JP30-JP32))</f>
        <v/>
      </c>
      <c r="JQ33" s="402">
        <f>MIN(JQ25-JQ32,MAX(0,JQ28-JQ30-JQ32))</f>
        <v/>
      </c>
      <c r="JR33" s="402">
        <f>MIN(JR25-JR32,MAX(0,JR28-JR30-JR32))</f>
        <v/>
      </c>
      <c r="JS33" s="402">
        <f>MIN(JS25-JS32,MAX(0,JS28-JS30-JS32))</f>
        <v/>
      </c>
      <c r="JT33" s="402">
        <f>MIN(JT25-JT32,MAX(0,JT28-JT30-JT32))</f>
        <v/>
      </c>
      <c r="JU33" s="402">
        <f>MIN(JU25-JU32,MAX(0,JU28-JU30-JU32))</f>
        <v/>
      </c>
      <c r="JV33" s="402">
        <f>MIN(JV25-JV32,MAX(0,JV28-JV30-JV32))</f>
        <v/>
      </c>
      <c r="JW33" s="402">
        <f>MIN(JW25-JW32,MAX(0,JW28-JW30-JW32))</f>
        <v/>
      </c>
      <c r="JX33" s="402">
        <f>MIN(JX25-JX32,MAX(0,JX28-JX30-JX32))</f>
        <v/>
      </c>
      <c r="JY33" s="402">
        <f>MIN(JY25-JY32,MAX(0,JY28-JY30-JY32))</f>
        <v/>
      </c>
      <c r="JZ33" s="402">
        <f>MIN(JZ25-JZ32,MAX(0,JZ28-JZ30-JZ32))</f>
        <v/>
      </c>
      <c r="KA33" s="402">
        <f>MIN(KA25-KA32,MAX(0,KA28-KA30-KA32))</f>
        <v/>
      </c>
      <c r="KB33" s="402">
        <f>MIN(KB25-KB32,MAX(0,KB28-KB30-KB32))</f>
        <v/>
      </c>
      <c r="KC33" s="402">
        <f>MIN(KC25-KC32,MAX(0,KC28-KC30-KC32))</f>
        <v/>
      </c>
      <c r="KD33" s="402">
        <f>MIN(KD25-KD32,MAX(0,KD28-KD30-KD32))</f>
        <v/>
      </c>
      <c r="KE33" s="402">
        <f>MIN(KE25-KE32,MAX(0,KE28-KE30-KE32))</f>
        <v/>
      </c>
      <c r="KF33" s="402">
        <f>MIN(KF25-KF32,MAX(0,KF28-KF30-KF32))</f>
        <v/>
      </c>
      <c r="KG33" s="402">
        <f>MIN(KG25-KG32,MAX(0,KG28-KG30-KG32))</f>
        <v/>
      </c>
      <c r="KH33" s="402">
        <f>MIN(KH25-KH32,MAX(0,KH28-KH30-KH32))</f>
        <v/>
      </c>
      <c r="KI33" s="402">
        <f>MIN(KI25-KI32,MAX(0,KI28-KI30-KI32))</f>
        <v/>
      </c>
      <c r="KJ33" s="402">
        <f>MIN(KJ25-KJ32,MAX(0,KJ28-KJ30-KJ32))</f>
        <v/>
      </c>
      <c r="KK33" s="402">
        <f>MIN(KK25-KK32,MAX(0,KK28-KK30-KK32))</f>
        <v/>
      </c>
      <c r="KL33" s="402">
        <f>MIN(KL25-KL32,MAX(0,KL28-KL30-KL32))</f>
        <v/>
      </c>
      <c r="KM33" s="402">
        <f>MIN(KM25-KM32,MAX(0,KM28-KM30-KM32))</f>
        <v/>
      </c>
      <c r="KN33" s="402">
        <f>MIN(KN25-KN32,MAX(0,KN28-KN30-KN32))</f>
        <v/>
      </c>
      <c r="KO33" s="402">
        <f>MIN(KO25-KO32,MAX(0,KO28-KO30-KO32))</f>
        <v/>
      </c>
      <c r="KP33" s="402">
        <f>MIN(KP25-KP32,MAX(0,KP28-KP30-KP32))</f>
        <v/>
      </c>
      <c r="KQ33" s="402">
        <f>MIN(KQ25-KQ32,MAX(0,KQ28-KQ30-KQ32))</f>
        <v/>
      </c>
      <c r="KR33" s="402">
        <f>MIN(KR25-KR32,MAX(0,KR28-KR30-KR32))</f>
        <v/>
      </c>
      <c r="KS33" s="402">
        <f>MIN(KS25-KS32,MAX(0,KS28-KS30-KS32))</f>
        <v/>
      </c>
      <c r="KT33" s="402">
        <f>MIN(KT25-KT32,MAX(0,KT28-KT30-KT32))</f>
        <v/>
      </c>
      <c r="KU33" s="402">
        <f>MIN(KU25-KU32,MAX(0,KU28-KU30-KU32))</f>
        <v/>
      </c>
      <c r="KV33" s="402">
        <f>MIN(KV25-KV32,MAX(0,KV28-KV30-KV32))</f>
        <v/>
      </c>
      <c r="KW33" s="402">
        <f>MIN(KW25-KW32,MAX(0,KW28-KW30-KW32))</f>
        <v/>
      </c>
      <c r="KX33" s="402">
        <f>MIN(KX25-KX32,MAX(0,KX28-KX30-KX32))</f>
        <v/>
      </c>
      <c r="KY33" s="402">
        <f>MIN(KY25-KY32,MAX(0,KY28-KY30-KY32))</f>
        <v/>
      </c>
      <c r="KZ33" s="402">
        <f>MIN(KZ25-KZ32,MAX(0,KZ28-KZ30-KZ32))</f>
        <v/>
      </c>
      <c r="LA33" s="402">
        <f>MIN(LA25-LA32,MAX(0,LA28-LA30-LA32))</f>
        <v/>
      </c>
      <c r="LB33" s="402">
        <f>MIN(LB25-LB32,MAX(0,LB28-LB30-LB32))</f>
        <v/>
      </c>
      <c r="LC33" s="402">
        <f>MIN(LC25-LC32,MAX(0,LC28-LC30-LC32))</f>
        <v/>
      </c>
      <c r="LD33" s="402">
        <f>MIN(LD25-LD32,MAX(0,LD28-LD30-LD32))</f>
        <v/>
      </c>
      <c r="LE33" s="402">
        <f>MIN(LE25-LE32,MAX(0,LE28-LE30-LE32))</f>
        <v/>
      </c>
      <c r="LF33" s="402">
        <f>MIN(LF25-LF32,MAX(0,LF28-LF30-LF32))</f>
        <v/>
      </c>
      <c r="LG33" s="402">
        <f>MIN(LG25-LG32,MAX(0,LG28-LG30-LG32))</f>
        <v/>
      </c>
      <c r="LH33" s="402">
        <f>MIN(LH25-LH32,MAX(0,LH28-LH30-LH32))</f>
        <v/>
      </c>
      <c r="LI33" s="402">
        <f>MIN(LI25-LI32,MAX(0,LI28-LI30-LI32))</f>
        <v/>
      </c>
      <c r="LJ33" s="402">
        <f>MIN(LJ25-LJ32,MAX(0,LJ28-LJ30-LJ32))</f>
        <v/>
      </c>
      <c r="LK33" s="402">
        <f>MIN(LK25-LK32,MAX(0,LK28-LK30-LK32))</f>
        <v/>
      </c>
      <c r="LL33" s="402">
        <f>MIN(LL25-LL32,MAX(0,LL28-LL30-LL32))</f>
        <v/>
      </c>
      <c r="LM33" s="402">
        <f>MIN(LM25-LM32,MAX(0,LM28-LM30-LM32))</f>
        <v/>
      </c>
      <c r="LN33" s="402">
        <f>MIN(LN25-LN32,MAX(0,LN28-LN30-LN32))</f>
        <v/>
      </c>
      <c r="LO33" s="402">
        <f>MIN(LO25-LO32,MAX(0,LO28-LO30-LO32))</f>
        <v/>
      </c>
      <c r="LP33" s="402">
        <f>MIN(LP25-LP32,MAX(0,LP28-LP30-LP32))</f>
        <v/>
      </c>
      <c r="LQ33" s="402">
        <f>MIN(LQ25-LQ32,MAX(0,LQ28-LQ30-LQ32))</f>
        <v/>
      </c>
      <c r="LR33" s="402">
        <f>MIN(LR25-LR32,MAX(0,LR28-LR30-LR32))</f>
        <v/>
      </c>
      <c r="LS33" s="402">
        <f>MIN(LS25-LS32,MAX(0,LS28-LS30-LS32))</f>
        <v/>
      </c>
      <c r="LT33" s="402">
        <f>MIN(LT25-LT32,MAX(0,LT28-LT30-LT32))</f>
        <v/>
      </c>
      <c r="LU33" s="402">
        <f>MIN(LU25-LU32,MAX(0,LU28-LU30-LU32))</f>
        <v/>
      </c>
      <c r="LV33" s="402">
        <f>MIN(LV25-LV32,MAX(0,LV28-LV30-LV32))</f>
        <v/>
      </c>
      <c r="LW33" s="402">
        <f>MIN(LW25-LW32,MAX(0,LW28-LW30-LW32))</f>
        <v/>
      </c>
      <c r="LX33" s="402">
        <f>MIN(LX25-LX32,MAX(0,LX28-LX30-LX32))</f>
        <v/>
      </c>
      <c r="LY33" s="402">
        <f>MIN(LY25-LY32,MAX(0,LY28-LY30-LY32))</f>
        <v/>
      </c>
      <c r="LZ33" s="402">
        <f>MIN(LZ25-LZ32,MAX(0,LZ28-LZ30-LZ32))</f>
        <v/>
      </c>
      <c r="MA33" s="402">
        <f>MIN(MA25-MA32,MAX(0,MA28-MA30-MA32))</f>
        <v/>
      </c>
      <c r="MB33" s="402">
        <f>MIN(MB25-MB32,MAX(0,MB28-MB30-MB32))</f>
        <v/>
      </c>
      <c r="MC33" s="402">
        <f>MIN(MC25-MC32,MAX(0,MC28-MC30-MC32))</f>
        <v/>
      </c>
      <c r="MD33" s="402">
        <f>MIN(MD25-MD32,MAX(0,MD28-MD30-MD32))</f>
        <v/>
      </c>
      <c r="ME33" s="402">
        <f>MIN(ME25-ME32,MAX(0,ME28-ME30-ME32))</f>
        <v/>
      </c>
      <c r="MF33" s="402">
        <f>MIN(MF25-MF32,MAX(0,MF28-MF30-MF32))</f>
        <v/>
      </c>
      <c r="MG33" s="402">
        <f>MIN(MG25-MG32,MAX(0,MG28-MG30-MG32))</f>
        <v/>
      </c>
      <c r="MH33" s="402">
        <f>MIN(MH25-MH32,MAX(0,MH28-MH30-MH32))</f>
        <v/>
      </c>
      <c r="MI33" s="402">
        <f>MIN(MI25-MI32,MAX(0,MI28-MI30-MI32))</f>
        <v/>
      </c>
      <c r="MJ33" s="402">
        <f>MIN(MJ25-MJ32,MAX(0,MJ28-MJ30-MJ32))</f>
        <v/>
      </c>
      <c r="MK33" s="402">
        <f>MIN(MK25-MK32,MAX(0,MK28-MK30-MK32))</f>
        <v/>
      </c>
      <c r="ML33" s="402">
        <f>MIN(ML25-ML32,MAX(0,ML28-ML30-ML32))</f>
        <v/>
      </c>
      <c r="MM33" s="402">
        <f>MIN(MM25-MM32,MAX(0,MM28-MM30-MM32))</f>
        <v/>
      </c>
      <c r="MN33" s="402">
        <f>MIN(MN25-MN32,MAX(0,MN28-MN30-MN32))</f>
        <v/>
      </c>
      <c r="MO33" s="402">
        <f>MIN(MO25-MO32,MAX(0,MO28-MO30-MO32))</f>
        <v/>
      </c>
      <c r="MP33" s="402">
        <f>MIN(MP25-MP32,MAX(0,MP28-MP30-MP32))</f>
        <v/>
      </c>
      <c r="MQ33" s="402">
        <f>MIN(MQ25-MQ32,MAX(0,MQ28-MQ30-MQ32))</f>
        <v/>
      </c>
      <c r="MR33" s="402">
        <f>MIN(MR25-MR32,MAX(0,MR28-MR30-MR32))</f>
        <v/>
      </c>
      <c r="MS33" s="402">
        <f>MIN(MS25-MS32,MAX(0,MS28-MS30-MS32))</f>
        <v/>
      </c>
      <c r="MT33" s="402">
        <f>MIN(MT25-MT32,MAX(0,MT28-MT30-MT32))</f>
        <v/>
      </c>
      <c r="MU33" s="402">
        <f>MIN(MU25-MU32,MAX(0,MU28-MU30-MU32))</f>
        <v/>
      </c>
      <c r="MV33" s="402">
        <f>MIN(MV25-MV32,MAX(0,MV28-MV30-MV32))</f>
        <v/>
      </c>
      <c r="MW33" s="402">
        <f>MIN(MW25-MW32,MAX(0,MW28-MW30-MW32))</f>
        <v/>
      </c>
      <c r="MX33" s="402">
        <f>MIN(MX25-MX32,MAX(0,MX28-MX30-MX32))</f>
        <v/>
      </c>
      <c r="MY33" s="402">
        <f>MIN(MY25-MY32,MAX(0,MY28-MY30-MY32))</f>
        <v/>
      </c>
      <c r="MZ33" s="402">
        <f>MIN(MZ25-MZ32,MAX(0,MZ28-MZ30-MZ32))</f>
        <v/>
      </c>
      <c r="NA33" s="402">
        <f>MIN(NA25-NA32,MAX(0,NA28-NA30-NA32))</f>
        <v/>
      </c>
      <c r="NB33" s="402">
        <f>MIN(NB25-NB32,MAX(0,NB28-NB30-NB32))</f>
        <v/>
      </c>
      <c r="NC33" s="402">
        <f>MIN(NC25-NC32,MAX(0,NC28-NC30-NC32))</f>
        <v/>
      </c>
      <c r="ND33" s="402">
        <f>MIN(ND25-ND32,MAX(0,ND28-ND30-ND32))</f>
        <v/>
      </c>
      <c r="NE33" s="402">
        <f>MIN(NE25-NE32,MAX(0,NE28-NE30-NE32))</f>
        <v/>
      </c>
      <c r="NF33" s="402">
        <f>MIN(NF25-NF32,MAX(0,NF28-NF30-NF32))</f>
        <v/>
      </c>
      <c r="NG33" s="402">
        <f>MIN(NG25-NG32,MAX(0,NG28-NG30-NG32))</f>
        <v/>
      </c>
      <c r="NH33" s="402">
        <f>MIN(NH25-NH32,MAX(0,NH28-NH30-NH32))</f>
        <v/>
      </c>
      <c r="NI33" s="402">
        <f>MIN(NI25-NI32,MAX(0,NI28-NI30-NI32))</f>
        <v/>
      </c>
      <c r="NJ33" s="402">
        <f>MIN(NJ25-NJ32,MAX(0,NJ28-NJ30-NJ32))</f>
        <v/>
      </c>
      <c r="NK33" s="402">
        <f>MIN(NK25-NK32,MAX(0,NK28-NK30-NK32))</f>
        <v/>
      </c>
      <c r="NL33" s="402">
        <f>MIN(NL25-NL32,MAX(0,NL28-NL30-NL32))</f>
        <v/>
      </c>
    </row>
    <row r="34">
      <c r="B34" s="316" t="inlineStr">
        <is>
          <t>Tier 3 — Hurdle 2 to Hurdle 3</t>
        </is>
      </c>
      <c r="D34" s="402">
        <f>SUM(E34:NL34)</f>
        <v/>
      </c>
      <c r="E34" s="402">
        <f>MIN(E25-E32-E33,MAX(0,E29-E30-E32-E33))</f>
        <v/>
      </c>
      <c r="F34" s="402">
        <f>MIN(F25-F32-F33,MAX(0,F29-F30-F32-F33))</f>
        <v/>
      </c>
      <c r="G34" s="402">
        <f>MIN(G25-G32-G33,MAX(0,G29-G30-G32-G33))</f>
        <v/>
      </c>
      <c r="H34" s="402">
        <f>MIN(H25-H32-H33,MAX(0,H29-H30-H32-H33))</f>
        <v/>
      </c>
      <c r="I34" s="402">
        <f>MIN(I25-I32-I33,MAX(0,I29-I30-I32-I33))</f>
        <v/>
      </c>
      <c r="J34" s="402">
        <f>MIN(J25-J32-J33,MAX(0,J29-J30-J32-J33))</f>
        <v/>
      </c>
      <c r="K34" s="402">
        <f>MIN(K25-K32-K33,MAX(0,K29-K30-K32-K33))</f>
        <v/>
      </c>
      <c r="L34" s="402">
        <f>MIN(L25-L32-L33,MAX(0,L29-L30-L32-L33))</f>
        <v/>
      </c>
      <c r="M34" s="402">
        <f>MIN(M25-M32-M33,MAX(0,M29-M30-M32-M33))</f>
        <v/>
      </c>
      <c r="N34" s="402">
        <f>MIN(N25-N32-N33,MAX(0,N29-N30-N32-N33))</f>
        <v/>
      </c>
      <c r="O34" s="402">
        <f>MIN(O25-O32-O33,MAX(0,O29-O30-O32-O33))</f>
        <v/>
      </c>
      <c r="P34" s="402">
        <f>MIN(P25-P32-P33,MAX(0,P29-P30-P32-P33))</f>
        <v/>
      </c>
      <c r="Q34" s="402">
        <f>MIN(Q25-Q32-Q33,MAX(0,Q29-Q30-Q32-Q33))</f>
        <v/>
      </c>
      <c r="R34" s="402">
        <f>MIN(R25-R32-R33,MAX(0,R29-R30-R32-R33))</f>
        <v/>
      </c>
      <c r="S34" s="402">
        <f>MIN(S25-S32-S33,MAX(0,S29-S30-S32-S33))</f>
        <v/>
      </c>
      <c r="T34" s="402">
        <f>MIN(T25-T32-T33,MAX(0,T29-T30-T32-T33))</f>
        <v/>
      </c>
      <c r="U34" s="402">
        <f>MIN(U25-U32-U33,MAX(0,U29-U30-U32-U33))</f>
        <v/>
      </c>
      <c r="V34" s="402">
        <f>MIN(V25-V32-V33,MAX(0,V29-V30-V32-V33))</f>
        <v/>
      </c>
      <c r="W34" s="402">
        <f>MIN(W25-W32-W33,MAX(0,W29-W30-W32-W33))</f>
        <v/>
      </c>
      <c r="X34" s="402">
        <f>MIN(X25-X32-X33,MAX(0,X29-X30-X32-X33))</f>
        <v/>
      </c>
      <c r="Y34" s="402">
        <f>MIN(Y25-Y32-Y33,MAX(0,Y29-Y30-Y32-Y33))</f>
        <v/>
      </c>
      <c r="Z34" s="402">
        <f>MIN(Z25-Z32-Z33,MAX(0,Z29-Z30-Z32-Z33))</f>
        <v/>
      </c>
      <c r="AA34" s="402">
        <f>MIN(AA25-AA32-AA33,MAX(0,AA29-AA30-AA32-AA33))</f>
        <v/>
      </c>
      <c r="AB34" s="402">
        <f>MIN(AB25-AB32-AB33,MAX(0,AB29-AB30-AB32-AB33))</f>
        <v/>
      </c>
      <c r="AC34" s="402">
        <f>MIN(AC25-AC32-AC33,MAX(0,AC29-AC30-AC32-AC33))</f>
        <v/>
      </c>
      <c r="AD34" s="402">
        <f>MIN(AD25-AD32-AD33,MAX(0,AD29-AD30-AD32-AD33))</f>
        <v/>
      </c>
      <c r="AE34" s="402">
        <f>MIN(AE25-AE32-AE33,MAX(0,AE29-AE30-AE32-AE33))</f>
        <v/>
      </c>
      <c r="AF34" s="402">
        <f>MIN(AF25-AF32-AF33,MAX(0,AF29-AF30-AF32-AF33))</f>
        <v/>
      </c>
      <c r="AG34" s="402">
        <f>MIN(AG25-AG32-AG33,MAX(0,AG29-AG30-AG32-AG33))</f>
        <v/>
      </c>
      <c r="AH34" s="402">
        <f>MIN(AH25-AH32-AH33,MAX(0,AH29-AH30-AH32-AH33))</f>
        <v/>
      </c>
      <c r="AI34" s="402">
        <f>MIN(AI25-AI32-AI33,MAX(0,AI29-AI30-AI32-AI33))</f>
        <v/>
      </c>
      <c r="AJ34" s="402">
        <f>MIN(AJ25-AJ32-AJ33,MAX(0,AJ29-AJ30-AJ32-AJ33))</f>
        <v/>
      </c>
      <c r="AK34" s="402">
        <f>MIN(AK25-AK32-AK33,MAX(0,AK29-AK30-AK32-AK33))</f>
        <v/>
      </c>
      <c r="AL34" s="402">
        <f>MIN(AL25-AL32-AL33,MAX(0,AL29-AL30-AL32-AL33))</f>
        <v/>
      </c>
      <c r="AM34" s="402">
        <f>MIN(AM25-AM32-AM33,MAX(0,AM29-AM30-AM32-AM33))</f>
        <v/>
      </c>
      <c r="AN34" s="402">
        <f>MIN(AN25-AN32-AN33,MAX(0,AN29-AN30-AN32-AN33))</f>
        <v/>
      </c>
      <c r="AO34" s="402">
        <f>MIN(AO25-AO32-AO33,MAX(0,AO29-AO30-AO32-AO33))</f>
        <v/>
      </c>
      <c r="AP34" s="402">
        <f>MIN(AP25-AP32-AP33,MAX(0,AP29-AP30-AP32-AP33))</f>
        <v/>
      </c>
      <c r="AQ34" s="402">
        <f>MIN(AQ25-AQ32-AQ33,MAX(0,AQ29-AQ30-AQ32-AQ33))</f>
        <v/>
      </c>
      <c r="AR34" s="402">
        <f>MIN(AR25-AR32-AR33,MAX(0,AR29-AR30-AR32-AR33))</f>
        <v/>
      </c>
      <c r="AS34" s="402">
        <f>MIN(AS25-AS32-AS33,MAX(0,AS29-AS30-AS32-AS33))</f>
        <v/>
      </c>
      <c r="AT34" s="402">
        <f>MIN(AT25-AT32-AT33,MAX(0,AT29-AT30-AT32-AT33))</f>
        <v/>
      </c>
      <c r="AU34" s="402">
        <f>MIN(AU25-AU32-AU33,MAX(0,AU29-AU30-AU32-AU33))</f>
        <v/>
      </c>
      <c r="AV34" s="402">
        <f>MIN(AV25-AV32-AV33,MAX(0,AV29-AV30-AV32-AV33))</f>
        <v/>
      </c>
      <c r="AW34" s="402">
        <f>MIN(AW25-AW32-AW33,MAX(0,AW29-AW30-AW32-AW33))</f>
        <v/>
      </c>
      <c r="AX34" s="402">
        <f>MIN(AX25-AX32-AX33,MAX(0,AX29-AX30-AX32-AX33))</f>
        <v/>
      </c>
      <c r="AY34" s="402">
        <f>MIN(AY25-AY32-AY33,MAX(0,AY29-AY30-AY32-AY33))</f>
        <v/>
      </c>
      <c r="AZ34" s="402">
        <f>MIN(AZ25-AZ32-AZ33,MAX(0,AZ29-AZ30-AZ32-AZ33))</f>
        <v/>
      </c>
      <c r="BA34" s="402">
        <f>MIN(BA25-BA32-BA33,MAX(0,BA29-BA30-BA32-BA33))</f>
        <v/>
      </c>
      <c r="BB34" s="402">
        <f>MIN(BB25-BB32-BB33,MAX(0,BB29-BB30-BB32-BB33))</f>
        <v/>
      </c>
      <c r="BC34" s="402">
        <f>MIN(BC25-BC32-BC33,MAX(0,BC29-BC30-BC32-BC33))</f>
        <v/>
      </c>
      <c r="BD34" s="402">
        <f>MIN(BD25-BD32-BD33,MAX(0,BD29-BD30-BD32-BD33))</f>
        <v/>
      </c>
      <c r="BE34" s="402">
        <f>MIN(BE25-BE32-BE33,MAX(0,BE29-BE30-BE32-BE33))</f>
        <v/>
      </c>
      <c r="BF34" s="402">
        <f>MIN(BF25-BF32-BF33,MAX(0,BF29-BF30-BF32-BF33))</f>
        <v/>
      </c>
      <c r="BG34" s="402">
        <f>MIN(BG25-BG32-BG33,MAX(0,BG29-BG30-BG32-BG33))</f>
        <v/>
      </c>
      <c r="BH34" s="402">
        <f>MIN(BH25-BH32-BH33,MAX(0,BH29-BH30-BH32-BH33))</f>
        <v/>
      </c>
      <c r="BI34" s="402">
        <f>MIN(BI25-BI32-BI33,MAX(0,BI29-BI30-BI32-BI33))</f>
        <v/>
      </c>
      <c r="BJ34" s="402">
        <f>MIN(BJ25-BJ32-BJ33,MAX(0,BJ29-BJ30-BJ32-BJ33))</f>
        <v/>
      </c>
      <c r="BK34" s="402">
        <f>MIN(BK25-BK32-BK33,MAX(0,BK29-BK30-BK32-BK33))</f>
        <v/>
      </c>
      <c r="BL34" s="402">
        <f>MIN(BL25-BL32-BL33,MAX(0,BL29-BL30-BL32-BL33))</f>
        <v/>
      </c>
      <c r="BM34" s="402">
        <f>MIN(BM25-BM32-BM33,MAX(0,BM29-BM30-BM32-BM33))</f>
        <v/>
      </c>
      <c r="BN34" s="402">
        <f>MIN(BN25-BN32-BN33,MAX(0,BN29-BN30-BN32-BN33))</f>
        <v/>
      </c>
      <c r="BO34" s="402">
        <f>MIN(BO25-BO32-BO33,MAX(0,BO29-BO30-BO32-BO33))</f>
        <v/>
      </c>
      <c r="BP34" s="402">
        <f>MIN(BP25-BP32-BP33,MAX(0,BP29-BP30-BP32-BP33))</f>
        <v/>
      </c>
      <c r="BQ34" s="402">
        <f>MIN(BQ25-BQ32-BQ33,MAX(0,BQ29-BQ30-BQ32-BQ33))</f>
        <v/>
      </c>
      <c r="BR34" s="402">
        <f>MIN(BR25-BR32-BR33,MAX(0,BR29-BR30-BR32-BR33))</f>
        <v/>
      </c>
      <c r="BS34" s="402">
        <f>MIN(BS25-BS32-BS33,MAX(0,BS29-BS30-BS32-BS33))</f>
        <v/>
      </c>
      <c r="BT34" s="402">
        <f>MIN(BT25-BT32-BT33,MAX(0,BT29-BT30-BT32-BT33))</f>
        <v/>
      </c>
      <c r="BU34" s="402">
        <f>MIN(BU25-BU32-BU33,MAX(0,BU29-BU30-BU32-BU33))</f>
        <v/>
      </c>
      <c r="BV34" s="402">
        <f>MIN(BV25-BV32-BV33,MAX(0,BV29-BV30-BV32-BV33))</f>
        <v/>
      </c>
      <c r="BW34" s="402">
        <f>MIN(BW25-BW32-BW33,MAX(0,BW29-BW30-BW32-BW33))</f>
        <v/>
      </c>
      <c r="BX34" s="402">
        <f>MIN(BX25-BX32-BX33,MAX(0,BX29-BX30-BX32-BX33))</f>
        <v/>
      </c>
      <c r="BY34" s="402">
        <f>MIN(BY25-BY32-BY33,MAX(0,BY29-BY30-BY32-BY33))</f>
        <v/>
      </c>
      <c r="BZ34" s="402">
        <f>MIN(BZ25-BZ32-BZ33,MAX(0,BZ29-BZ30-BZ32-BZ33))</f>
        <v/>
      </c>
      <c r="CA34" s="402">
        <f>MIN(CA25-CA32-CA33,MAX(0,CA29-CA30-CA32-CA33))</f>
        <v/>
      </c>
      <c r="CB34" s="402">
        <f>MIN(CB25-CB32-CB33,MAX(0,CB29-CB30-CB32-CB33))</f>
        <v/>
      </c>
      <c r="CC34" s="402">
        <f>MIN(CC25-CC32-CC33,MAX(0,CC29-CC30-CC32-CC33))</f>
        <v/>
      </c>
      <c r="CD34" s="402">
        <f>MIN(CD25-CD32-CD33,MAX(0,CD29-CD30-CD32-CD33))</f>
        <v/>
      </c>
      <c r="CE34" s="402">
        <f>MIN(CE25-CE32-CE33,MAX(0,CE29-CE30-CE32-CE33))</f>
        <v/>
      </c>
      <c r="CF34" s="402">
        <f>MIN(CF25-CF32-CF33,MAX(0,CF29-CF30-CF32-CF33))</f>
        <v/>
      </c>
      <c r="CG34" s="402">
        <f>MIN(CG25-CG32-CG33,MAX(0,CG29-CG30-CG32-CG33))</f>
        <v/>
      </c>
      <c r="CH34" s="402">
        <f>MIN(CH25-CH32-CH33,MAX(0,CH29-CH30-CH32-CH33))</f>
        <v/>
      </c>
      <c r="CI34" s="402">
        <f>MIN(CI25-CI32-CI33,MAX(0,CI29-CI30-CI32-CI33))</f>
        <v/>
      </c>
      <c r="CJ34" s="402">
        <f>MIN(CJ25-CJ32-CJ33,MAX(0,CJ29-CJ30-CJ32-CJ33))</f>
        <v/>
      </c>
      <c r="CK34" s="402">
        <f>MIN(CK25-CK32-CK33,MAX(0,CK29-CK30-CK32-CK33))</f>
        <v/>
      </c>
      <c r="CL34" s="402">
        <f>MIN(CL25-CL32-CL33,MAX(0,CL29-CL30-CL32-CL33))</f>
        <v/>
      </c>
      <c r="CM34" s="402">
        <f>MIN(CM25-CM32-CM33,MAX(0,CM29-CM30-CM32-CM33))</f>
        <v/>
      </c>
      <c r="CN34" s="402">
        <f>MIN(CN25-CN32-CN33,MAX(0,CN29-CN30-CN32-CN33))</f>
        <v/>
      </c>
      <c r="CO34" s="402">
        <f>MIN(CO25-CO32-CO33,MAX(0,CO29-CO30-CO32-CO33))</f>
        <v/>
      </c>
      <c r="CP34" s="402">
        <f>MIN(CP25-CP32-CP33,MAX(0,CP29-CP30-CP32-CP33))</f>
        <v/>
      </c>
      <c r="CQ34" s="402">
        <f>MIN(CQ25-CQ32-CQ33,MAX(0,CQ29-CQ30-CQ32-CQ33))</f>
        <v/>
      </c>
      <c r="CR34" s="402">
        <f>MIN(CR25-CR32-CR33,MAX(0,CR29-CR30-CR32-CR33))</f>
        <v/>
      </c>
      <c r="CS34" s="402">
        <f>MIN(CS25-CS32-CS33,MAX(0,CS29-CS30-CS32-CS33))</f>
        <v/>
      </c>
      <c r="CT34" s="402">
        <f>MIN(CT25-CT32-CT33,MAX(0,CT29-CT30-CT32-CT33))</f>
        <v/>
      </c>
      <c r="CU34" s="402">
        <f>MIN(CU25-CU32-CU33,MAX(0,CU29-CU30-CU32-CU33))</f>
        <v/>
      </c>
      <c r="CV34" s="402">
        <f>MIN(CV25-CV32-CV33,MAX(0,CV29-CV30-CV32-CV33))</f>
        <v/>
      </c>
      <c r="CW34" s="402">
        <f>MIN(CW25-CW32-CW33,MAX(0,CW29-CW30-CW32-CW33))</f>
        <v/>
      </c>
      <c r="CX34" s="402">
        <f>MIN(CX25-CX32-CX33,MAX(0,CX29-CX30-CX32-CX33))</f>
        <v/>
      </c>
      <c r="CY34" s="402">
        <f>MIN(CY25-CY32-CY33,MAX(0,CY29-CY30-CY32-CY33))</f>
        <v/>
      </c>
      <c r="CZ34" s="402">
        <f>MIN(CZ25-CZ32-CZ33,MAX(0,CZ29-CZ30-CZ32-CZ33))</f>
        <v/>
      </c>
      <c r="DA34" s="402">
        <f>MIN(DA25-DA32-DA33,MAX(0,DA29-DA30-DA32-DA33))</f>
        <v/>
      </c>
      <c r="DB34" s="402">
        <f>MIN(DB25-DB32-DB33,MAX(0,DB29-DB30-DB32-DB33))</f>
        <v/>
      </c>
      <c r="DC34" s="402">
        <f>MIN(DC25-DC32-DC33,MAX(0,DC29-DC30-DC32-DC33))</f>
        <v/>
      </c>
      <c r="DD34" s="402">
        <f>MIN(DD25-DD32-DD33,MAX(0,DD29-DD30-DD32-DD33))</f>
        <v/>
      </c>
      <c r="DE34" s="402">
        <f>MIN(DE25-DE32-DE33,MAX(0,DE29-DE30-DE32-DE33))</f>
        <v/>
      </c>
      <c r="DF34" s="402">
        <f>MIN(DF25-DF32-DF33,MAX(0,DF29-DF30-DF32-DF33))</f>
        <v/>
      </c>
      <c r="DG34" s="402">
        <f>MIN(DG25-DG32-DG33,MAX(0,DG29-DG30-DG32-DG33))</f>
        <v/>
      </c>
      <c r="DH34" s="402">
        <f>MIN(DH25-DH32-DH33,MAX(0,DH29-DH30-DH32-DH33))</f>
        <v/>
      </c>
      <c r="DI34" s="402">
        <f>MIN(DI25-DI32-DI33,MAX(0,DI29-DI30-DI32-DI33))</f>
        <v/>
      </c>
      <c r="DJ34" s="402">
        <f>MIN(DJ25-DJ32-DJ33,MAX(0,DJ29-DJ30-DJ32-DJ33))</f>
        <v/>
      </c>
      <c r="DK34" s="402">
        <f>MIN(DK25-DK32-DK33,MAX(0,DK29-DK30-DK32-DK33))</f>
        <v/>
      </c>
      <c r="DL34" s="402">
        <f>MIN(DL25-DL32-DL33,MAX(0,DL29-DL30-DL32-DL33))</f>
        <v/>
      </c>
      <c r="DM34" s="402">
        <f>MIN(DM25-DM32-DM33,MAX(0,DM29-DM30-DM32-DM33))</f>
        <v/>
      </c>
      <c r="DN34" s="402">
        <f>MIN(DN25-DN32-DN33,MAX(0,DN29-DN30-DN32-DN33))</f>
        <v/>
      </c>
      <c r="DO34" s="402">
        <f>MIN(DO25-DO32-DO33,MAX(0,DO29-DO30-DO32-DO33))</f>
        <v/>
      </c>
      <c r="DP34" s="402">
        <f>MIN(DP25-DP32-DP33,MAX(0,DP29-DP30-DP32-DP33))</f>
        <v/>
      </c>
      <c r="DQ34" s="402">
        <f>MIN(DQ25-DQ32-DQ33,MAX(0,DQ29-DQ30-DQ32-DQ33))</f>
        <v/>
      </c>
      <c r="DR34" s="402">
        <f>MIN(DR25-DR32-DR33,MAX(0,DR29-DR30-DR32-DR33))</f>
        <v/>
      </c>
      <c r="DS34" s="402">
        <f>MIN(DS25-DS32-DS33,MAX(0,DS29-DS30-DS32-DS33))</f>
        <v/>
      </c>
      <c r="DT34" s="402">
        <f>MIN(DT25-DT32-DT33,MAX(0,DT29-DT30-DT32-DT33))</f>
        <v/>
      </c>
      <c r="DU34" s="402">
        <f>MIN(DU25-DU32-DU33,MAX(0,DU29-DU30-DU32-DU33))</f>
        <v/>
      </c>
      <c r="DV34" s="402">
        <f>MIN(DV25-DV32-DV33,MAX(0,DV29-DV30-DV32-DV33))</f>
        <v/>
      </c>
      <c r="DW34" s="402">
        <f>MIN(DW25-DW32-DW33,MAX(0,DW29-DW30-DW32-DW33))</f>
        <v/>
      </c>
      <c r="DX34" s="402">
        <f>MIN(DX25-DX32-DX33,MAX(0,DX29-DX30-DX32-DX33))</f>
        <v/>
      </c>
      <c r="DY34" s="402">
        <f>MIN(DY25-DY32-DY33,MAX(0,DY29-DY30-DY32-DY33))</f>
        <v/>
      </c>
      <c r="DZ34" s="402">
        <f>MIN(DZ25-DZ32-DZ33,MAX(0,DZ29-DZ30-DZ32-DZ33))</f>
        <v/>
      </c>
      <c r="EA34" s="402">
        <f>MIN(EA25-EA32-EA33,MAX(0,EA29-EA30-EA32-EA33))</f>
        <v/>
      </c>
      <c r="EB34" s="402">
        <f>MIN(EB25-EB32-EB33,MAX(0,EB29-EB30-EB32-EB33))</f>
        <v/>
      </c>
      <c r="EC34" s="402">
        <f>MIN(EC25-EC32-EC33,MAX(0,EC29-EC30-EC32-EC33))</f>
        <v/>
      </c>
      <c r="ED34" s="402">
        <f>MIN(ED25-ED32-ED33,MAX(0,ED29-ED30-ED32-ED33))</f>
        <v/>
      </c>
      <c r="EE34" s="402">
        <f>MIN(EE25-EE32-EE33,MAX(0,EE29-EE30-EE32-EE33))</f>
        <v/>
      </c>
      <c r="EF34" s="402">
        <f>MIN(EF25-EF32-EF33,MAX(0,EF29-EF30-EF32-EF33))</f>
        <v/>
      </c>
      <c r="EG34" s="402">
        <f>MIN(EG25-EG32-EG33,MAX(0,EG29-EG30-EG32-EG33))</f>
        <v/>
      </c>
      <c r="EH34" s="402">
        <f>MIN(EH25-EH32-EH33,MAX(0,EH29-EH30-EH32-EH33))</f>
        <v/>
      </c>
      <c r="EI34" s="402">
        <f>MIN(EI25-EI32-EI33,MAX(0,EI29-EI30-EI32-EI33))</f>
        <v/>
      </c>
      <c r="EJ34" s="402">
        <f>MIN(EJ25-EJ32-EJ33,MAX(0,EJ29-EJ30-EJ32-EJ33))</f>
        <v/>
      </c>
      <c r="EK34" s="402">
        <f>MIN(EK25-EK32-EK33,MAX(0,EK29-EK30-EK32-EK33))</f>
        <v/>
      </c>
      <c r="EL34" s="402">
        <f>MIN(EL25-EL32-EL33,MAX(0,EL29-EL30-EL32-EL33))</f>
        <v/>
      </c>
      <c r="EM34" s="402">
        <f>MIN(EM25-EM32-EM33,MAX(0,EM29-EM30-EM32-EM33))</f>
        <v/>
      </c>
      <c r="EN34" s="402">
        <f>MIN(EN25-EN32-EN33,MAX(0,EN29-EN30-EN32-EN33))</f>
        <v/>
      </c>
      <c r="EO34" s="402">
        <f>MIN(EO25-EO32-EO33,MAX(0,EO29-EO30-EO32-EO33))</f>
        <v/>
      </c>
      <c r="EP34" s="402">
        <f>MIN(EP25-EP32-EP33,MAX(0,EP29-EP30-EP32-EP33))</f>
        <v/>
      </c>
      <c r="EQ34" s="402">
        <f>MIN(EQ25-EQ32-EQ33,MAX(0,EQ29-EQ30-EQ32-EQ33))</f>
        <v/>
      </c>
      <c r="ER34" s="402">
        <f>MIN(ER25-ER32-ER33,MAX(0,ER29-ER30-ER32-ER33))</f>
        <v/>
      </c>
      <c r="ES34" s="402">
        <f>MIN(ES25-ES32-ES33,MAX(0,ES29-ES30-ES32-ES33))</f>
        <v/>
      </c>
      <c r="ET34" s="402">
        <f>MIN(ET25-ET32-ET33,MAX(0,ET29-ET30-ET32-ET33))</f>
        <v/>
      </c>
      <c r="EU34" s="402">
        <f>MIN(EU25-EU32-EU33,MAX(0,EU29-EU30-EU32-EU33))</f>
        <v/>
      </c>
      <c r="EV34" s="402">
        <f>MIN(EV25-EV32-EV33,MAX(0,EV29-EV30-EV32-EV33))</f>
        <v/>
      </c>
      <c r="EW34" s="402">
        <f>MIN(EW25-EW32-EW33,MAX(0,EW29-EW30-EW32-EW33))</f>
        <v/>
      </c>
      <c r="EX34" s="402">
        <f>MIN(EX25-EX32-EX33,MAX(0,EX29-EX30-EX32-EX33))</f>
        <v/>
      </c>
      <c r="EY34" s="402">
        <f>MIN(EY25-EY32-EY33,MAX(0,EY29-EY30-EY32-EY33))</f>
        <v/>
      </c>
      <c r="EZ34" s="402">
        <f>MIN(EZ25-EZ32-EZ33,MAX(0,EZ29-EZ30-EZ32-EZ33))</f>
        <v/>
      </c>
      <c r="FA34" s="402">
        <f>MIN(FA25-FA32-FA33,MAX(0,FA29-FA30-FA32-FA33))</f>
        <v/>
      </c>
      <c r="FB34" s="402">
        <f>MIN(FB25-FB32-FB33,MAX(0,FB29-FB30-FB32-FB33))</f>
        <v/>
      </c>
      <c r="FC34" s="402">
        <f>MIN(FC25-FC32-FC33,MAX(0,FC29-FC30-FC32-FC33))</f>
        <v/>
      </c>
      <c r="FD34" s="402">
        <f>MIN(FD25-FD32-FD33,MAX(0,FD29-FD30-FD32-FD33))</f>
        <v/>
      </c>
      <c r="FE34" s="402">
        <f>MIN(FE25-FE32-FE33,MAX(0,FE29-FE30-FE32-FE33))</f>
        <v/>
      </c>
      <c r="FF34" s="402">
        <f>MIN(FF25-FF32-FF33,MAX(0,FF29-FF30-FF32-FF33))</f>
        <v/>
      </c>
      <c r="FG34" s="402">
        <f>MIN(FG25-FG32-FG33,MAX(0,FG29-FG30-FG32-FG33))</f>
        <v/>
      </c>
      <c r="FH34" s="402">
        <f>MIN(FH25-FH32-FH33,MAX(0,FH29-FH30-FH32-FH33))</f>
        <v/>
      </c>
      <c r="FI34" s="402">
        <f>MIN(FI25-FI32-FI33,MAX(0,FI29-FI30-FI32-FI33))</f>
        <v/>
      </c>
      <c r="FJ34" s="402">
        <f>MIN(FJ25-FJ32-FJ33,MAX(0,FJ29-FJ30-FJ32-FJ33))</f>
        <v/>
      </c>
      <c r="FK34" s="402">
        <f>MIN(FK25-FK32-FK33,MAX(0,FK29-FK30-FK32-FK33))</f>
        <v/>
      </c>
      <c r="FL34" s="402">
        <f>MIN(FL25-FL32-FL33,MAX(0,FL29-FL30-FL32-FL33))</f>
        <v/>
      </c>
      <c r="FM34" s="402">
        <f>MIN(FM25-FM32-FM33,MAX(0,FM29-FM30-FM32-FM33))</f>
        <v/>
      </c>
      <c r="FN34" s="402">
        <f>MIN(FN25-FN32-FN33,MAX(0,FN29-FN30-FN32-FN33))</f>
        <v/>
      </c>
      <c r="FO34" s="402">
        <f>MIN(FO25-FO32-FO33,MAX(0,FO29-FO30-FO32-FO33))</f>
        <v/>
      </c>
      <c r="FP34" s="402">
        <f>MIN(FP25-FP32-FP33,MAX(0,FP29-FP30-FP32-FP33))</f>
        <v/>
      </c>
      <c r="FQ34" s="402">
        <f>MIN(FQ25-FQ32-FQ33,MAX(0,FQ29-FQ30-FQ32-FQ33))</f>
        <v/>
      </c>
      <c r="FR34" s="402">
        <f>MIN(FR25-FR32-FR33,MAX(0,FR29-FR30-FR32-FR33))</f>
        <v/>
      </c>
      <c r="FS34" s="402">
        <f>MIN(FS25-FS32-FS33,MAX(0,FS29-FS30-FS32-FS33))</f>
        <v/>
      </c>
      <c r="FT34" s="402">
        <f>MIN(FT25-FT32-FT33,MAX(0,FT29-FT30-FT32-FT33))</f>
        <v/>
      </c>
      <c r="FU34" s="402">
        <f>MIN(FU25-FU32-FU33,MAX(0,FU29-FU30-FU32-FU33))</f>
        <v/>
      </c>
      <c r="FV34" s="402">
        <f>MIN(FV25-FV32-FV33,MAX(0,FV29-FV30-FV32-FV33))</f>
        <v/>
      </c>
      <c r="FW34" s="402">
        <f>MIN(FW25-FW32-FW33,MAX(0,FW29-FW30-FW32-FW33))</f>
        <v/>
      </c>
      <c r="FX34" s="402">
        <f>MIN(FX25-FX32-FX33,MAX(0,FX29-FX30-FX32-FX33))</f>
        <v/>
      </c>
      <c r="FY34" s="402">
        <f>MIN(FY25-FY32-FY33,MAX(0,FY29-FY30-FY32-FY33))</f>
        <v/>
      </c>
      <c r="FZ34" s="402">
        <f>MIN(FZ25-FZ32-FZ33,MAX(0,FZ29-FZ30-FZ32-FZ33))</f>
        <v/>
      </c>
      <c r="GA34" s="402">
        <f>MIN(GA25-GA32-GA33,MAX(0,GA29-GA30-GA32-GA33))</f>
        <v/>
      </c>
      <c r="GB34" s="402">
        <f>MIN(GB25-GB32-GB33,MAX(0,GB29-GB30-GB32-GB33))</f>
        <v/>
      </c>
      <c r="GC34" s="402">
        <f>MIN(GC25-GC32-GC33,MAX(0,GC29-GC30-GC32-GC33))</f>
        <v/>
      </c>
      <c r="GD34" s="402">
        <f>MIN(GD25-GD32-GD33,MAX(0,GD29-GD30-GD32-GD33))</f>
        <v/>
      </c>
      <c r="GE34" s="402">
        <f>MIN(GE25-GE32-GE33,MAX(0,GE29-GE30-GE32-GE33))</f>
        <v/>
      </c>
      <c r="GF34" s="402">
        <f>MIN(GF25-GF32-GF33,MAX(0,GF29-GF30-GF32-GF33))</f>
        <v/>
      </c>
      <c r="GG34" s="402">
        <f>MIN(GG25-GG32-GG33,MAX(0,GG29-GG30-GG32-GG33))</f>
        <v/>
      </c>
      <c r="GH34" s="402">
        <f>MIN(GH25-GH32-GH33,MAX(0,GH29-GH30-GH32-GH33))</f>
        <v/>
      </c>
      <c r="GI34" s="402">
        <f>MIN(GI25-GI32-GI33,MAX(0,GI29-GI30-GI32-GI33))</f>
        <v/>
      </c>
      <c r="GJ34" s="402">
        <f>MIN(GJ25-GJ32-GJ33,MAX(0,GJ29-GJ30-GJ32-GJ33))</f>
        <v/>
      </c>
      <c r="GK34" s="402">
        <f>MIN(GK25-GK32-GK33,MAX(0,GK29-GK30-GK32-GK33))</f>
        <v/>
      </c>
      <c r="GL34" s="402">
        <f>MIN(GL25-GL32-GL33,MAX(0,GL29-GL30-GL32-GL33))</f>
        <v/>
      </c>
      <c r="GM34" s="402">
        <f>MIN(GM25-GM32-GM33,MAX(0,GM29-GM30-GM32-GM33))</f>
        <v/>
      </c>
      <c r="GN34" s="402">
        <f>MIN(GN25-GN32-GN33,MAX(0,GN29-GN30-GN32-GN33))</f>
        <v/>
      </c>
      <c r="GO34" s="402">
        <f>MIN(GO25-GO32-GO33,MAX(0,GO29-GO30-GO32-GO33))</f>
        <v/>
      </c>
      <c r="GP34" s="402">
        <f>MIN(GP25-GP32-GP33,MAX(0,GP29-GP30-GP32-GP33))</f>
        <v/>
      </c>
      <c r="GQ34" s="402">
        <f>MIN(GQ25-GQ32-GQ33,MAX(0,GQ29-GQ30-GQ32-GQ33))</f>
        <v/>
      </c>
      <c r="GR34" s="402">
        <f>MIN(GR25-GR32-GR33,MAX(0,GR29-GR30-GR32-GR33))</f>
        <v/>
      </c>
      <c r="GS34" s="402">
        <f>MIN(GS25-GS32-GS33,MAX(0,GS29-GS30-GS32-GS33))</f>
        <v/>
      </c>
      <c r="GT34" s="402">
        <f>MIN(GT25-GT32-GT33,MAX(0,GT29-GT30-GT32-GT33))</f>
        <v/>
      </c>
      <c r="GU34" s="402">
        <f>MIN(GU25-GU32-GU33,MAX(0,GU29-GU30-GU32-GU33))</f>
        <v/>
      </c>
      <c r="GV34" s="402">
        <f>MIN(GV25-GV32-GV33,MAX(0,GV29-GV30-GV32-GV33))</f>
        <v/>
      </c>
      <c r="GW34" s="402">
        <f>MIN(GW25-GW32-GW33,MAX(0,GW29-GW30-GW32-GW33))</f>
        <v/>
      </c>
      <c r="GX34" s="402">
        <f>MIN(GX25-GX32-GX33,MAX(0,GX29-GX30-GX32-GX33))</f>
        <v/>
      </c>
      <c r="GY34" s="402">
        <f>MIN(GY25-GY32-GY33,MAX(0,GY29-GY30-GY32-GY33))</f>
        <v/>
      </c>
      <c r="GZ34" s="402">
        <f>MIN(GZ25-GZ32-GZ33,MAX(0,GZ29-GZ30-GZ32-GZ33))</f>
        <v/>
      </c>
      <c r="HA34" s="402">
        <f>MIN(HA25-HA32-HA33,MAX(0,HA29-HA30-HA32-HA33))</f>
        <v/>
      </c>
      <c r="HB34" s="402">
        <f>MIN(HB25-HB32-HB33,MAX(0,HB29-HB30-HB32-HB33))</f>
        <v/>
      </c>
      <c r="HC34" s="402">
        <f>MIN(HC25-HC32-HC33,MAX(0,HC29-HC30-HC32-HC33))</f>
        <v/>
      </c>
      <c r="HD34" s="402">
        <f>MIN(HD25-HD32-HD33,MAX(0,HD29-HD30-HD32-HD33))</f>
        <v/>
      </c>
      <c r="HE34" s="402">
        <f>MIN(HE25-HE32-HE33,MAX(0,HE29-HE30-HE32-HE33))</f>
        <v/>
      </c>
      <c r="HF34" s="402">
        <f>MIN(HF25-HF32-HF33,MAX(0,HF29-HF30-HF32-HF33))</f>
        <v/>
      </c>
      <c r="HG34" s="402">
        <f>MIN(HG25-HG32-HG33,MAX(0,HG29-HG30-HG32-HG33))</f>
        <v/>
      </c>
      <c r="HH34" s="402">
        <f>MIN(HH25-HH32-HH33,MAX(0,HH29-HH30-HH32-HH33))</f>
        <v/>
      </c>
      <c r="HI34" s="402">
        <f>MIN(HI25-HI32-HI33,MAX(0,HI29-HI30-HI32-HI33))</f>
        <v/>
      </c>
      <c r="HJ34" s="402">
        <f>MIN(HJ25-HJ32-HJ33,MAX(0,HJ29-HJ30-HJ32-HJ33))</f>
        <v/>
      </c>
      <c r="HK34" s="402">
        <f>MIN(HK25-HK32-HK33,MAX(0,HK29-HK30-HK32-HK33))</f>
        <v/>
      </c>
      <c r="HL34" s="402">
        <f>MIN(HL25-HL32-HL33,MAX(0,HL29-HL30-HL32-HL33))</f>
        <v/>
      </c>
      <c r="HM34" s="402">
        <f>MIN(HM25-HM32-HM33,MAX(0,HM29-HM30-HM32-HM33))</f>
        <v/>
      </c>
      <c r="HN34" s="402">
        <f>MIN(HN25-HN32-HN33,MAX(0,HN29-HN30-HN32-HN33))</f>
        <v/>
      </c>
      <c r="HO34" s="402">
        <f>MIN(HO25-HO32-HO33,MAX(0,HO29-HO30-HO32-HO33))</f>
        <v/>
      </c>
      <c r="HP34" s="402">
        <f>MIN(HP25-HP32-HP33,MAX(0,HP29-HP30-HP32-HP33))</f>
        <v/>
      </c>
      <c r="HQ34" s="402">
        <f>MIN(HQ25-HQ32-HQ33,MAX(0,HQ29-HQ30-HQ32-HQ33))</f>
        <v/>
      </c>
      <c r="HR34" s="402">
        <f>MIN(HR25-HR32-HR33,MAX(0,HR29-HR30-HR32-HR33))</f>
        <v/>
      </c>
      <c r="HS34" s="402">
        <f>MIN(HS25-HS32-HS33,MAX(0,HS29-HS30-HS32-HS33))</f>
        <v/>
      </c>
      <c r="HT34" s="402">
        <f>MIN(HT25-HT32-HT33,MAX(0,HT29-HT30-HT32-HT33))</f>
        <v/>
      </c>
      <c r="HU34" s="402">
        <f>MIN(HU25-HU32-HU33,MAX(0,HU29-HU30-HU32-HU33))</f>
        <v/>
      </c>
      <c r="HV34" s="402">
        <f>MIN(HV25-HV32-HV33,MAX(0,HV29-HV30-HV32-HV33))</f>
        <v/>
      </c>
      <c r="HW34" s="402">
        <f>MIN(HW25-HW32-HW33,MAX(0,HW29-HW30-HW32-HW33))</f>
        <v/>
      </c>
      <c r="HX34" s="402">
        <f>MIN(HX25-HX32-HX33,MAX(0,HX29-HX30-HX32-HX33))</f>
        <v/>
      </c>
      <c r="HY34" s="402">
        <f>MIN(HY25-HY32-HY33,MAX(0,HY29-HY30-HY32-HY33))</f>
        <v/>
      </c>
      <c r="HZ34" s="402">
        <f>MIN(HZ25-HZ32-HZ33,MAX(0,HZ29-HZ30-HZ32-HZ33))</f>
        <v/>
      </c>
      <c r="IA34" s="402">
        <f>MIN(IA25-IA32-IA33,MAX(0,IA29-IA30-IA32-IA33))</f>
        <v/>
      </c>
      <c r="IB34" s="402">
        <f>MIN(IB25-IB32-IB33,MAX(0,IB29-IB30-IB32-IB33))</f>
        <v/>
      </c>
      <c r="IC34" s="402">
        <f>MIN(IC25-IC32-IC33,MAX(0,IC29-IC30-IC32-IC33))</f>
        <v/>
      </c>
      <c r="ID34" s="402">
        <f>MIN(ID25-ID32-ID33,MAX(0,ID29-ID30-ID32-ID33))</f>
        <v/>
      </c>
      <c r="IE34" s="402">
        <f>MIN(IE25-IE32-IE33,MAX(0,IE29-IE30-IE32-IE33))</f>
        <v/>
      </c>
      <c r="IF34" s="402">
        <f>MIN(IF25-IF32-IF33,MAX(0,IF29-IF30-IF32-IF33))</f>
        <v/>
      </c>
      <c r="IG34" s="402">
        <f>MIN(IG25-IG32-IG33,MAX(0,IG29-IG30-IG32-IG33))</f>
        <v/>
      </c>
      <c r="IH34" s="402">
        <f>MIN(IH25-IH32-IH33,MAX(0,IH29-IH30-IH32-IH33))</f>
        <v/>
      </c>
      <c r="II34" s="402">
        <f>MIN(II25-II32-II33,MAX(0,II29-II30-II32-II33))</f>
        <v/>
      </c>
      <c r="IJ34" s="402">
        <f>MIN(IJ25-IJ32-IJ33,MAX(0,IJ29-IJ30-IJ32-IJ33))</f>
        <v/>
      </c>
      <c r="IK34" s="402">
        <f>MIN(IK25-IK32-IK33,MAX(0,IK29-IK30-IK32-IK33))</f>
        <v/>
      </c>
      <c r="IL34" s="402">
        <f>MIN(IL25-IL32-IL33,MAX(0,IL29-IL30-IL32-IL33))</f>
        <v/>
      </c>
      <c r="IM34" s="402">
        <f>MIN(IM25-IM32-IM33,MAX(0,IM29-IM30-IM32-IM33))</f>
        <v/>
      </c>
      <c r="IN34" s="402">
        <f>MIN(IN25-IN32-IN33,MAX(0,IN29-IN30-IN32-IN33))</f>
        <v/>
      </c>
      <c r="IO34" s="402">
        <f>MIN(IO25-IO32-IO33,MAX(0,IO29-IO30-IO32-IO33))</f>
        <v/>
      </c>
      <c r="IP34" s="402">
        <f>MIN(IP25-IP32-IP33,MAX(0,IP29-IP30-IP32-IP33))</f>
        <v/>
      </c>
      <c r="IQ34" s="402">
        <f>MIN(IQ25-IQ32-IQ33,MAX(0,IQ29-IQ30-IQ32-IQ33))</f>
        <v/>
      </c>
      <c r="IR34" s="402">
        <f>MIN(IR25-IR32-IR33,MAX(0,IR29-IR30-IR32-IR33))</f>
        <v/>
      </c>
      <c r="IS34" s="402">
        <f>MIN(IS25-IS32-IS33,MAX(0,IS29-IS30-IS32-IS33))</f>
        <v/>
      </c>
      <c r="IT34" s="402">
        <f>MIN(IT25-IT32-IT33,MAX(0,IT29-IT30-IT32-IT33))</f>
        <v/>
      </c>
      <c r="IU34" s="402">
        <f>MIN(IU25-IU32-IU33,MAX(0,IU29-IU30-IU32-IU33))</f>
        <v/>
      </c>
      <c r="IV34" s="402">
        <f>MIN(IV25-IV32-IV33,MAX(0,IV29-IV30-IV32-IV33))</f>
        <v/>
      </c>
      <c r="IW34" s="402">
        <f>MIN(IW25-IW32-IW33,MAX(0,IW29-IW30-IW32-IW33))</f>
        <v/>
      </c>
      <c r="IX34" s="402">
        <f>MIN(IX25-IX32-IX33,MAX(0,IX29-IX30-IX32-IX33))</f>
        <v/>
      </c>
      <c r="IY34" s="402">
        <f>MIN(IY25-IY32-IY33,MAX(0,IY29-IY30-IY32-IY33))</f>
        <v/>
      </c>
      <c r="IZ34" s="402">
        <f>MIN(IZ25-IZ32-IZ33,MAX(0,IZ29-IZ30-IZ32-IZ33))</f>
        <v/>
      </c>
      <c r="JA34" s="402">
        <f>MIN(JA25-JA32-JA33,MAX(0,JA29-JA30-JA32-JA33))</f>
        <v/>
      </c>
      <c r="JB34" s="402">
        <f>MIN(JB25-JB32-JB33,MAX(0,JB29-JB30-JB32-JB33))</f>
        <v/>
      </c>
      <c r="JC34" s="402">
        <f>MIN(JC25-JC32-JC33,MAX(0,JC29-JC30-JC32-JC33))</f>
        <v/>
      </c>
      <c r="JD34" s="402">
        <f>MIN(JD25-JD32-JD33,MAX(0,JD29-JD30-JD32-JD33))</f>
        <v/>
      </c>
      <c r="JE34" s="402">
        <f>MIN(JE25-JE32-JE33,MAX(0,JE29-JE30-JE32-JE33))</f>
        <v/>
      </c>
      <c r="JF34" s="402">
        <f>MIN(JF25-JF32-JF33,MAX(0,JF29-JF30-JF32-JF33))</f>
        <v/>
      </c>
      <c r="JG34" s="402">
        <f>MIN(JG25-JG32-JG33,MAX(0,JG29-JG30-JG32-JG33))</f>
        <v/>
      </c>
      <c r="JH34" s="402">
        <f>MIN(JH25-JH32-JH33,MAX(0,JH29-JH30-JH32-JH33))</f>
        <v/>
      </c>
      <c r="JI34" s="402">
        <f>MIN(JI25-JI32-JI33,MAX(0,JI29-JI30-JI32-JI33))</f>
        <v/>
      </c>
      <c r="JJ34" s="402">
        <f>MIN(JJ25-JJ32-JJ33,MAX(0,JJ29-JJ30-JJ32-JJ33))</f>
        <v/>
      </c>
      <c r="JK34" s="402">
        <f>MIN(JK25-JK32-JK33,MAX(0,JK29-JK30-JK32-JK33))</f>
        <v/>
      </c>
      <c r="JL34" s="402">
        <f>MIN(JL25-JL32-JL33,MAX(0,JL29-JL30-JL32-JL33))</f>
        <v/>
      </c>
      <c r="JM34" s="402">
        <f>MIN(JM25-JM32-JM33,MAX(0,JM29-JM30-JM32-JM33))</f>
        <v/>
      </c>
      <c r="JN34" s="402">
        <f>MIN(JN25-JN32-JN33,MAX(0,JN29-JN30-JN32-JN33))</f>
        <v/>
      </c>
      <c r="JO34" s="402">
        <f>MIN(JO25-JO32-JO33,MAX(0,JO29-JO30-JO32-JO33))</f>
        <v/>
      </c>
      <c r="JP34" s="402">
        <f>MIN(JP25-JP32-JP33,MAX(0,JP29-JP30-JP32-JP33))</f>
        <v/>
      </c>
      <c r="JQ34" s="402">
        <f>MIN(JQ25-JQ32-JQ33,MAX(0,JQ29-JQ30-JQ32-JQ33))</f>
        <v/>
      </c>
      <c r="JR34" s="402">
        <f>MIN(JR25-JR32-JR33,MAX(0,JR29-JR30-JR32-JR33))</f>
        <v/>
      </c>
      <c r="JS34" s="402">
        <f>MIN(JS25-JS32-JS33,MAX(0,JS29-JS30-JS32-JS33))</f>
        <v/>
      </c>
      <c r="JT34" s="402">
        <f>MIN(JT25-JT32-JT33,MAX(0,JT29-JT30-JT32-JT33))</f>
        <v/>
      </c>
      <c r="JU34" s="402">
        <f>MIN(JU25-JU32-JU33,MAX(0,JU29-JU30-JU32-JU33))</f>
        <v/>
      </c>
      <c r="JV34" s="402">
        <f>MIN(JV25-JV32-JV33,MAX(0,JV29-JV30-JV32-JV33))</f>
        <v/>
      </c>
      <c r="JW34" s="402">
        <f>MIN(JW25-JW32-JW33,MAX(0,JW29-JW30-JW32-JW33))</f>
        <v/>
      </c>
      <c r="JX34" s="402">
        <f>MIN(JX25-JX32-JX33,MAX(0,JX29-JX30-JX32-JX33))</f>
        <v/>
      </c>
      <c r="JY34" s="402">
        <f>MIN(JY25-JY32-JY33,MAX(0,JY29-JY30-JY32-JY33))</f>
        <v/>
      </c>
      <c r="JZ34" s="402">
        <f>MIN(JZ25-JZ32-JZ33,MAX(0,JZ29-JZ30-JZ32-JZ33))</f>
        <v/>
      </c>
      <c r="KA34" s="402">
        <f>MIN(KA25-KA32-KA33,MAX(0,KA29-KA30-KA32-KA33))</f>
        <v/>
      </c>
      <c r="KB34" s="402">
        <f>MIN(KB25-KB32-KB33,MAX(0,KB29-KB30-KB32-KB33))</f>
        <v/>
      </c>
      <c r="KC34" s="402">
        <f>MIN(KC25-KC32-KC33,MAX(0,KC29-KC30-KC32-KC33))</f>
        <v/>
      </c>
      <c r="KD34" s="402">
        <f>MIN(KD25-KD32-KD33,MAX(0,KD29-KD30-KD32-KD33))</f>
        <v/>
      </c>
      <c r="KE34" s="402">
        <f>MIN(KE25-KE32-KE33,MAX(0,KE29-KE30-KE32-KE33))</f>
        <v/>
      </c>
      <c r="KF34" s="402">
        <f>MIN(KF25-KF32-KF33,MAX(0,KF29-KF30-KF32-KF33))</f>
        <v/>
      </c>
      <c r="KG34" s="402">
        <f>MIN(KG25-KG32-KG33,MAX(0,KG29-KG30-KG32-KG33))</f>
        <v/>
      </c>
      <c r="KH34" s="402">
        <f>MIN(KH25-KH32-KH33,MAX(0,KH29-KH30-KH32-KH33))</f>
        <v/>
      </c>
      <c r="KI34" s="402">
        <f>MIN(KI25-KI32-KI33,MAX(0,KI29-KI30-KI32-KI33))</f>
        <v/>
      </c>
      <c r="KJ34" s="402">
        <f>MIN(KJ25-KJ32-KJ33,MAX(0,KJ29-KJ30-KJ32-KJ33))</f>
        <v/>
      </c>
      <c r="KK34" s="402">
        <f>MIN(KK25-KK32-KK33,MAX(0,KK29-KK30-KK32-KK33))</f>
        <v/>
      </c>
      <c r="KL34" s="402">
        <f>MIN(KL25-KL32-KL33,MAX(0,KL29-KL30-KL32-KL33))</f>
        <v/>
      </c>
      <c r="KM34" s="402">
        <f>MIN(KM25-KM32-KM33,MAX(0,KM29-KM30-KM32-KM33))</f>
        <v/>
      </c>
      <c r="KN34" s="402">
        <f>MIN(KN25-KN32-KN33,MAX(0,KN29-KN30-KN32-KN33))</f>
        <v/>
      </c>
      <c r="KO34" s="402">
        <f>MIN(KO25-KO32-KO33,MAX(0,KO29-KO30-KO32-KO33))</f>
        <v/>
      </c>
      <c r="KP34" s="402">
        <f>MIN(KP25-KP32-KP33,MAX(0,KP29-KP30-KP32-KP33))</f>
        <v/>
      </c>
      <c r="KQ34" s="402">
        <f>MIN(KQ25-KQ32-KQ33,MAX(0,KQ29-KQ30-KQ32-KQ33))</f>
        <v/>
      </c>
      <c r="KR34" s="402">
        <f>MIN(KR25-KR32-KR33,MAX(0,KR29-KR30-KR32-KR33))</f>
        <v/>
      </c>
      <c r="KS34" s="402">
        <f>MIN(KS25-KS32-KS33,MAX(0,KS29-KS30-KS32-KS33))</f>
        <v/>
      </c>
      <c r="KT34" s="402">
        <f>MIN(KT25-KT32-KT33,MAX(0,KT29-KT30-KT32-KT33))</f>
        <v/>
      </c>
      <c r="KU34" s="402">
        <f>MIN(KU25-KU32-KU33,MAX(0,KU29-KU30-KU32-KU33))</f>
        <v/>
      </c>
      <c r="KV34" s="402">
        <f>MIN(KV25-KV32-KV33,MAX(0,KV29-KV30-KV32-KV33))</f>
        <v/>
      </c>
      <c r="KW34" s="402">
        <f>MIN(KW25-KW32-KW33,MAX(0,KW29-KW30-KW32-KW33))</f>
        <v/>
      </c>
      <c r="KX34" s="402">
        <f>MIN(KX25-KX32-KX33,MAX(0,KX29-KX30-KX32-KX33))</f>
        <v/>
      </c>
      <c r="KY34" s="402">
        <f>MIN(KY25-KY32-KY33,MAX(0,KY29-KY30-KY32-KY33))</f>
        <v/>
      </c>
      <c r="KZ34" s="402">
        <f>MIN(KZ25-KZ32-KZ33,MAX(0,KZ29-KZ30-KZ32-KZ33))</f>
        <v/>
      </c>
      <c r="LA34" s="402">
        <f>MIN(LA25-LA32-LA33,MAX(0,LA29-LA30-LA32-LA33))</f>
        <v/>
      </c>
      <c r="LB34" s="402">
        <f>MIN(LB25-LB32-LB33,MAX(0,LB29-LB30-LB32-LB33))</f>
        <v/>
      </c>
      <c r="LC34" s="402">
        <f>MIN(LC25-LC32-LC33,MAX(0,LC29-LC30-LC32-LC33))</f>
        <v/>
      </c>
      <c r="LD34" s="402">
        <f>MIN(LD25-LD32-LD33,MAX(0,LD29-LD30-LD32-LD33))</f>
        <v/>
      </c>
      <c r="LE34" s="402">
        <f>MIN(LE25-LE32-LE33,MAX(0,LE29-LE30-LE32-LE33))</f>
        <v/>
      </c>
      <c r="LF34" s="402">
        <f>MIN(LF25-LF32-LF33,MAX(0,LF29-LF30-LF32-LF33))</f>
        <v/>
      </c>
      <c r="LG34" s="402">
        <f>MIN(LG25-LG32-LG33,MAX(0,LG29-LG30-LG32-LG33))</f>
        <v/>
      </c>
      <c r="LH34" s="402">
        <f>MIN(LH25-LH32-LH33,MAX(0,LH29-LH30-LH32-LH33))</f>
        <v/>
      </c>
      <c r="LI34" s="402">
        <f>MIN(LI25-LI32-LI33,MAX(0,LI29-LI30-LI32-LI33))</f>
        <v/>
      </c>
      <c r="LJ34" s="402">
        <f>MIN(LJ25-LJ32-LJ33,MAX(0,LJ29-LJ30-LJ32-LJ33))</f>
        <v/>
      </c>
      <c r="LK34" s="402">
        <f>MIN(LK25-LK32-LK33,MAX(0,LK29-LK30-LK32-LK33))</f>
        <v/>
      </c>
      <c r="LL34" s="402">
        <f>MIN(LL25-LL32-LL33,MAX(0,LL29-LL30-LL32-LL33))</f>
        <v/>
      </c>
      <c r="LM34" s="402">
        <f>MIN(LM25-LM32-LM33,MAX(0,LM29-LM30-LM32-LM33))</f>
        <v/>
      </c>
      <c r="LN34" s="402">
        <f>MIN(LN25-LN32-LN33,MAX(0,LN29-LN30-LN32-LN33))</f>
        <v/>
      </c>
      <c r="LO34" s="402">
        <f>MIN(LO25-LO32-LO33,MAX(0,LO29-LO30-LO32-LO33))</f>
        <v/>
      </c>
      <c r="LP34" s="402">
        <f>MIN(LP25-LP32-LP33,MAX(0,LP29-LP30-LP32-LP33))</f>
        <v/>
      </c>
      <c r="LQ34" s="402">
        <f>MIN(LQ25-LQ32-LQ33,MAX(0,LQ29-LQ30-LQ32-LQ33))</f>
        <v/>
      </c>
      <c r="LR34" s="402">
        <f>MIN(LR25-LR32-LR33,MAX(0,LR29-LR30-LR32-LR33))</f>
        <v/>
      </c>
      <c r="LS34" s="402">
        <f>MIN(LS25-LS32-LS33,MAX(0,LS29-LS30-LS32-LS33))</f>
        <v/>
      </c>
      <c r="LT34" s="402">
        <f>MIN(LT25-LT32-LT33,MAX(0,LT29-LT30-LT32-LT33))</f>
        <v/>
      </c>
      <c r="LU34" s="402">
        <f>MIN(LU25-LU32-LU33,MAX(0,LU29-LU30-LU32-LU33))</f>
        <v/>
      </c>
      <c r="LV34" s="402">
        <f>MIN(LV25-LV32-LV33,MAX(0,LV29-LV30-LV32-LV33))</f>
        <v/>
      </c>
      <c r="LW34" s="402">
        <f>MIN(LW25-LW32-LW33,MAX(0,LW29-LW30-LW32-LW33))</f>
        <v/>
      </c>
      <c r="LX34" s="402">
        <f>MIN(LX25-LX32-LX33,MAX(0,LX29-LX30-LX32-LX33))</f>
        <v/>
      </c>
      <c r="LY34" s="402">
        <f>MIN(LY25-LY32-LY33,MAX(0,LY29-LY30-LY32-LY33))</f>
        <v/>
      </c>
      <c r="LZ34" s="402">
        <f>MIN(LZ25-LZ32-LZ33,MAX(0,LZ29-LZ30-LZ32-LZ33))</f>
        <v/>
      </c>
      <c r="MA34" s="402">
        <f>MIN(MA25-MA32-MA33,MAX(0,MA29-MA30-MA32-MA33))</f>
        <v/>
      </c>
      <c r="MB34" s="402">
        <f>MIN(MB25-MB32-MB33,MAX(0,MB29-MB30-MB32-MB33))</f>
        <v/>
      </c>
      <c r="MC34" s="402">
        <f>MIN(MC25-MC32-MC33,MAX(0,MC29-MC30-MC32-MC33))</f>
        <v/>
      </c>
      <c r="MD34" s="402">
        <f>MIN(MD25-MD32-MD33,MAX(0,MD29-MD30-MD32-MD33))</f>
        <v/>
      </c>
      <c r="ME34" s="402">
        <f>MIN(ME25-ME32-ME33,MAX(0,ME29-ME30-ME32-ME33))</f>
        <v/>
      </c>
      <c r="MF34" s="402">
        <f>MIN(MF25-MF32-MF33,MAX(0,MF29-MF30-MF32-MF33))</f>
        <v/>
      </c>
      <c r="MG34" s="402">
        <f>MIN(MG25-MG32-MG33,MAX(0,MG29-MG30-MG32-MG33))</f>
        <v/>
      </c>
      <c r="MH34" s="402">
        <f>MIN(MH25-MH32-MH33,MAX(0,MH29-MH30-MH32-MH33))</f>
        <v/>
      </c>
      <c r="MI34" s="402">
        <f>MIN(MI25-MI32-MI33,MAX(0,MI29-MI30-MI32-MI33))</f>
        <v/>
      </c>
      <c r="MJ34" s="402">
        <f>MIN(MJ25-MJ32-MJ33,MAX(0,MJ29-MJ30-MJ32-MJ33))</f>
        <v/>
      </c>
      <c r="MK34" s="402">
        <f>MIN(MK25-MK32-MK33,MAX(0,MK29-MK30-MK32-MK33))</f>
        <v/>
      </c>
      <c r="ML34" s="402">
        <f>MIN(ML25-ML32-ML33,MAX(0,ML29-ML30-ML32-ML33))</f>
        <v/>
      </c>
      <c r="MM34" s="402">
        <f>MIN(MM25-MM32-MM33,MAX(0,MM29-MM30-MM32-MM33))</f>
        <v/>
      </c>
      <c r="MN34" s="402">
        <f>MIN(MN25-MN32-MN33,MAX(0,MN29-MN30-MN32-MN33))</f>
        <v/>
      </c>
      <c r="MO34" s="402">
        <f>MIN(MO25-MO32-MO33,MAX(0,MO29-MO30-MO32-MO33))</f>
        <v/>
      </c>
      <c r="MP34" s="402">
        <f>MIN(MP25-MP32-MP33,MAX(0,MP29-MP30-MP32-MP33))</f>
        <v/>
      </c>
      <c r="MQ34" s="402">
        <f>MIN(MQ25-MQ32-MQ33,MAX(0,MQ29-MQ30-MQ32-MQ33))</f>
        <v/>
      </c>
      <c r="MR34" s="402">
        <f>MIN(MR25-MR32-MR33,MAX(0,MR29-MR30-MR32-MR33))</f>
        <v/>
      </c>
      <c r="MS34" s="402">
        <f>MIN(MS25-MS32-MS33,MAX(0,MS29-MS30-MS32-MS33))</f>
        <v/>
      </c>
      <c r="MT34" s="402">
        <f>MIN(MT25-MT32-MT33,MAX(0,MT29-MT30-MT32-MT33))</f>
        <v/>
      </c>
      <c r="MU34" s="402">
        <f>MIN(MU25-MU32-MU33,MAX(0,MU29-MU30-MU32-MU33))</f>
        <v/>
      </c>
      <c r="MV34" s="402">
        <f>MIN(MV25-MV32-MV33,MAX(0,MV29-MV30-MV32-MV33))</f>
        <v/>
      </c>
      <c r="MW34" s="402">
        <f>MIN(MW25-MW32-MW33,MAX(0,MW29-MW30-MW32-MW33))</f>
        <v/>
      </c>
      <c r="MX34" s="402">
        <f>MIN(MX25-MX32-MX33,MAX(0,MX29-MX30-MX32-MX33))</f>
        <v/>
      </c>
      <c r="MY34" s="402">
        <f>MIN(MY25-MY32-MY33,MAX(0,MY29-MY30-MY32-MY33))</f>
        <v/>
      </c>
      <c r="MZ34" s="402">
        <f>MIN(MZ25-MZ32-MZ33,MAX(0,MZ29-MZ30-MZ32-MZ33))</f>
        <v/>
      </c>
      <c r="NA34" s="402">
        <f>MIN(NA25-NA32-NA33,MAX(0,NA29-NA30-NA32-NA33))</f>
        <v/>
      </c>
      <c r="NB34" s="402">
        <f>MIN(NB25-NB32-NB33,MAX(0,NB29-NB30-NB32-NB33))</f>
        <v/>
      </c>
      <c r="NC34" s="402">
        <f>MIN(NC25-NC32-NC33,MAX(0,NC29-NC30-NC32-NC33))</f>
        <v/>
      </c>
      <c r="ND34" s="402">
        <f>MIN(ND25-ND32-ND33,MAX(0,ND29-ND30-ND32-ND33))</f>
        <v/>
      </c>
      <c r="NE34" s="402">
        <f>MIN(NE25-NE32-NE33,MAX(0,NE29-NE30-NE32-NE33))</f>
        <v/>
      </c>
      <c r="NF34" s="402">
        <f>MIN(NF25-NF32-NF33,MAX(0,NF29-NF30-NF32-NF33))</f>
        <v/>
      </c>
      <c r="NG34" s="402">
        <f>MIN(NG25-NG32-NG33,MAX(0,NG29-NG30-NG32-NG33))</f>
        <v/>
      </c>
      <c r="NH34" s="402">
        <f>MIN(NH25-NH32-NH33,MAX(0,NH29-NH30-NH32-NH33))</f>
        <v/>
      </c>
      <c r="NI34" s="402">
        <f>MIN(NI25-NI32-NI33,MAX(0,NI29-NI30-NI32-NI33))</f>
        <v/>
      </c>
      <c r="NJ34" s="402">
        <f>MIN(NJ25-NJ32-NJ33,MAX(0,NJ29-NJ30-NJ32-NJ33))</f>
        <v/>
      </c>
      <c r="NK34" s="402">
        <f>MIN(NK25-NK32-NK33,MAX(0,NK29-NK30-NK32-NK33))</f>
        <v/>
      </c>
      <c r="NL34" s="402">
        <f>MIN(NL25-NL32-NL33,MAX(0,NL29-NL30-NL32-NL33))</f>
        <v/>
      </c>
    </row>
    <row r="35">
      <c r="B35" s="316" t="inlineStr">
        <is>
          <t>Tier 4 — Residual</t>
        </is>
      </c>
      <c r="D35" s="402">
        <f>SUM(E35:NL35)</f>
        <v/>
      </c>
      <c r="E35" s="402">
        <f>E25-E32-E33-E34</f>
        <v/>
      </c>
      <c r="F35" s="402">
        <f>F25-F32-F33-F34</f>
        <v/>
      </c>
      <c r="G35" s="402">
        <f>G25-G32-G33-G34</f>
        <v/>
      </c>
      <c r="H35" s="402">
        <f>H25-H32-H33-H34</f>
        <v/>
      </c>
      <c r="I35" s="402">
        <f>I25-I32-I33-I34</f>
        <v/>
      </c>
      <c r="J35" s="402">
        <f>J25-J32-J33-J34</f>
        <v/>
      </c>
      <c r="K35" s="402">
        <f>K25-K32-K33-K34</f>
        <v/>
      </c>
      <c r="L35" s="402">
        <f>L25-L32-L33-L34</f>
        <v/>
      </c>
      <c r="M35" s="402">
        <f>M25-M32-M33-M34</f>
        <v/>
      </c>
      <c r="N35" s="402">
        <f>N25-N32-N33-N34</f>
        <v/>
      </c>
      <c r="O35" s="402">
        <f>O25-O32-O33-O34</f>
        <v/>
      </c>
      <c r="P35" s="402">
        <f>P25-P32-P33-P34</f>
        <v/>
      </c>
      <c r="Q35" s="402">
        <f>Q25-Q32-Q33-Q34</f>
        <v/>
      </c>
      <c r="R35" s="402">
        <f>R25-R32-R33-R34</f>
        <v/>
      </c>
      <c r="S35" s="402">
        <f>S25-S32-S33-S34</f>
        <v/>
      </c>
      <c r="T35" s="402">
        <f>T25-T32-T33-T34</f>
        <v/>
      </c>
      <c r="U35" s="402">
        <f>U25-U32-U33-U34</f>
        <v/>
      </c>
      <c r="V35" s="402">
        <f>V25-V32-V33-V34</f>
        <v/>
      </c>
      <c r="W35" s="402">
        <f>W25-W32-W33-W34</f>
        <v/>
      </c>
      <c r="X35" s="402">
        <f>X25-X32-X33-X34</f>
        <v/>
      </c>
      <c r="Y35" s="402">
        <f>Y25-Y32-Y33-Y34</f>
        <v/>
      </c>
      <c r="Z35" s="402">
        <f>Z25-Z32-Z33-Z34</f>
        <v/>
      </c>
      <c r="AA35" s="402">
        <f>AA25-AA32-AA33-AA34</f>
        <v/>
      </c>
      <c r="AB35" s="402">
        <f>AB25-AB32-AB33-AB34</f>
        <v/>
      </c>
      <c r="AC35" s="402">
        <f>AC25-AC32-AC33-AC34</f>
        <v/>
      </c>
      <c r="AD35" s="402">
        <f>AD25-AD32-AD33-AD34</f>
        <v/>
      </c>
      <c r="AE35" s="402">
        <f>AE25-AE32-AE33-AE34</f>
        <v/>
      </c>
      <c r="AF35" s="402">
        <f>AF25-AF32-AF33-AF34</f>
        <v/>
      </c>
      <c r="AG35" s="402">
        <f>AG25-AG32-AG33-AG34</f>
        <v/>
      </c>
      <c r="AH35" s="402">
        <f>AH25-AH32-AH33-AH34</f>
        <v/>
      </c>
      <c r="AI35" s="402">
        <f>AI25-AI32-AI33-AI34</f>
        <v/>
      </c>
      <c r="AJ35" s="402">
        <f>AJ25-AJ32-AJ33-AJ34</f>
        <v/>
      </c>
      <c r="AK35" s="402">
        <f>AK25-AK32-AK33-AK34</f>
        <v/>
      </c>
      <c r="AL35" s="402">
        <f>AL25-AL32-AL33-AL34</f>
        <v/>
      </c>
      <c r="AM35" s="402">
        <f>AM25-AM32-AM33-AM34</f>
        <v/>
      </c>
      <c r="AN35" s="402">
        <f>AN25-AN32-AN33-AN34</f>
        <v/>
      </c>
      <c r="AO35" s="402">
        <f>AO25-AO32-AO33-AO34</f>
        <v/>
      </c>
      <c r="AP35" s="402">
        <f>AP25-AP32-AP33-AP34</f>
        <v/>
      </c>
      <c r="AQ35" s="402">
        <f>AQ25-AQ32-AQ33-AQ34</f>
        <v/>
      </c>
      <c r="AR35" s="402">
        <f>AR25-AR32-AR33-AR34</f>
        <v/>
      </c>
      <c r="AS35" s="402">
        <f>AS25-AS32-AS33-AS34</f>
        <v/>
      </c>
      <c r="AT35" s="402">
        <f>AT25-AT32-AT33-AT34</f>
        <v/>
      </c>
      <c r="AU35" s="402">
        <f>AU25-AU32-AU33-AU34</f>
        <v/>
      </c>
      <c r="AV35" s="402">
        <f>AV25-AV32-AV33-AV34</f>
        <v/>
      </c>
      <c r="AW35" s="402">
        <f>AW25-AW32-AW33-AW34</f>
        <v/>
      </c>
      <c r="AX35" s="402">
        <f>AX25-AX32-AX33-AX34</f>
        <v/>
      </c>
      <c r="AY35" s="402">
        <f>AY25-AY32-AY33-AY34</f>
        <v/>
      </c>
      <c r="AZ35" s="402">
        <f>AZ25-AZ32-AZ33-AZ34</f>
        <v/>
      </c>
      <c r="BA35" s="402">
        <f>BA25-BA32-BA33-BA34</f>
        <v/>
      </c>
      <c r="BB35" s="402">
        <f>BB25-BB32-BB33-BB34</f>
        <v/>
      </c>
      <c r="BC35" s="402">
        <f>BC25-BC32-BC33-BC34</f>
        <v/>
      </c>
      <c r="BD35" s="402">
        <f>BD25-BD32-BD33-BD34</f>
        <v/>
      </c>
      <c r="BE35" s="402">
        <f>BE25-BE32-BE33-BE34</f>
        <v/>
      </c>
      <c r="BF35" s="402">
        <f>BF25-BF32-BF33-BF34</f>
        <v/>
      </c>
      <c r="BG35" s="402">
        <f>BG25-BG32-BG33-BG34</f>
        <v/>
      </c>
      <c r="BH35" s="402">
        <f>BH25-BH32-BH33-BH34</f>
        <v/>
      </c>
      <c r="BI35" s="402">
        <f>BI25-BI32-BI33-BI34</f>
        <v/>
      </c>
      <c r="BJ35" s="402">
        <f>BJ25-BJ32-BJ33-BJ34</f>
        <v/>
      </c>
      <c r="BK35" s="402">
        <f>BK25-BK32-BK33-BK34</f>
        <v/>
      </c>
      <c r="BL35" s="402">
        <f>BL25-BL32-BL33-BL34</f>
        <v/>
      </c>
      <c r="BM35" s="402">
        <f>BM25-BM32-BM33-BM34</f>
        <v/>
      </c>
      <c r="BN35" s="402">
        <f>BN25-BN32-BN33-BN34</f>
        <v/>
      </c>
      <c r="BO35" s="402">
        <f>BO25-BO32-BO33-BO34</f>
        <v/>
      </c>
      <c r="BP35" s="402">
        <f>BP25-BP32-BP33-BP34</f>
        <v/>
      </c>
      <c r="BQ35" s="402">
        <f>BQ25-BQ32-BQ33-BQ34</f>
        <v/>
      </c>
      <c r="BR35" s="402">
        <f>BR25-BR32-BR33-BR34</f>
        <v/>
      </c>
      <c r="BS35" s="402">
        <f>BS25-BS32-BS33-BS34</f>
        <v/>
      </c>
      <c r="BT35" s="402">
        <f>BT25-BT32-BT33-BT34</f>
        <v/>
      </c>
      <c r="BU35" s="402">
        <f>BU25-BU32-BU33-BU34</f>
        <v/>
      </c>
      <c r="BV35" s="402">
        <f>BV25-BV32-BV33-BV34</f>
        <v/>
      </c>
      <c r="BW35" s="402">
        <f>BW25-BW32-BW33-BW34</f>
        <v/>
      </c>
      <c r="BX35" s="402">
        <f>BX25-BX32-BX33-BX34</f>
        <v/>
      </c>
      <c r="BY35" s="402">
        <f>BY25-BY32-BY33-BY34</f>
        <v/>
      </c>
      <c r="BZ35" s="402">
        <f>BZ25-BZ32-BZ33-BZ34</f>
        <v/>
      </c>
      <c r="CA35" s="402">
        <f>CA25-CA32-CA33-CA34</f>
        <v/>
      </c>
      <c r="CB35" s="402">
        <f>CB25-CB32-CB33-CB34</f>
        <v/>
      </c>
      <c r="CC35" s="402">
        <f>CC25-CC32-CC33-CC34</f>
        <v/>
      </c>
      <c r="CD35" s="402">
        <f>CD25-CD32-CD33-CD34</f>
        <v/>
      </c>
      <c r="CE35" s="402">
        <f>CE25-CE32-CE33-CE34</f>
        <v/>
      </c>
      <c r="CF35" s="402">
        <f>CF25-CF32-CF33-CF34</f>
        <v/>
      </c>
      <c r="CG35" s="402">
        <f>CG25-CG32-CG33-CG34</f>
        <v/>
      </c>
      <c r="CH35" s="402">
        <f>CH25-CH32-CH33-CH34</f>
        <v/>
      </c>
      <c r="CI35" s="402">
        <f>CI25-CI32-CI33-CI34</f>
        <v/>
      </c>
      <c r="CJ35" s="402">
        <f>CJ25-CJ32-CJ33-CJ34</f>
        <v/>
      </c>
      <c r="CK35" s="402">
        <f>CK25-CK32-CK33-CK34</f>
        <v/>
      </c>
      <c r="CL35" s="402">
        <f>CL25-CL32-CL33-CL34</f>
        <v/>
      </c>
      <c r="CM35" s="402">
        <f>CM25-CM32-CM33-CM34</f>
        <v/>
      </c>
      <c r="CN35" s="402">
        <f>CN25-CN32-CN33-CN34</f>
        <v/>
      </c>
      <c r="CO35" s="402">
        <f>CO25-CO32-CO33-CO34</f>
        <v/>
      </c>
      <c r="CP35" s="402">
        <f>CP25-CP32-CP33-CP34</f>
        <v/>
      </c>
      <c r="CQ35" s="402">
        <f>CQ25-CQ32-CQ33-CQ34</f>
        <v/>
      </c>
      <c r="CR35" s="402">
        <f>CR25-CR32-CR33-CR34</f>
        <v/>
      </c>
      <c r="CS35" s="402">
        <f>CS25-CS32-CS33-CS34</f>
        <v/>
      </c>
      <c r="CT35" s="402">
        <f>CT25-CT32-CT33-CT34</f>
        <v/>
      </c>
      <c r="CU35" s="402">
        <f>CU25-CU32-CU33-CU34</f>
        <v/>
      </c>
      <c r="CV35" s="402">
        <f>CV25-CV32-CV33-CV34</f>
        <v/>
      </c>
      <c r="CW35" s="402">
        <f>CW25-CW32-CW33-CW34</f>
        <v/>
      </c>
      <c r="CX35" s="402">
        <f>CX25-CX32-CX33-CX34</f>
        <v/>
      </c>
      <c r="CY35" s="402">
        <f>CY25-CY32-CY33-CY34</f>
        <v/>
      </c>
      <c r="CZ35" s="402">
        <f>CZ25-CZ32-CZ33-CZ34</f>
        <v/>
      </c>
      <c r="DA35" s="402">
        <f>DA25-DA32-DA33-DA34</f>
        <v/>
      </c>
      <c r="DB35" s="402">
        <f>DB25-DB32-DB33-DB34</f>
        <v/>
      </c>
      <c r="DC35" s="402">
        <f>DC25-DC32-DC33-DC34</f>
        <v/>
      </c>
      <c r="DD35" s="402">
        <f>DD25-DD32-DD33-DD34</f>
        <v/>
      </c>
      <c r="DE35" s="402">
        <f>DE25-DE32-DE33-DE34</f>
        <v/>
      </c>
      <c r="DF35" s="402">
        <f>DF25-DF32-DF33-DF34</f>
        <v/>
      </c>
      <c r="DG35" s="402">
        <f>DG25-DG32-DG33-DG34</f>
        <v/>
      </c>
      <c r="DH35" s="402">
        <f>DH25-DH32-DH33-DH34</f>
        <v/>
      </c>
      <c r="DI35" s="402">
        <f>DI25-DI32-DI33-DI34</f>
        <v/>
      </c>
      <c r="DJ35" s="402">
        <f>DJ25-DJ32-DJ33-DJ34</f>
        <v/>
      </c>
      <c r="DK35" s="402">
        <f>DK25-DK32-DK33-DK34</f>
        <v/>
      </c>
      <c r="DL35" s="402">
        <f>DL25-DL32-DL33-DL34</f>
        <v/>
      </c>
      <c r="DM35" s="402">
        <f>DM25-DM32-DM33-DM34</f>
        <v/>
      </c>
      <c r="DN35" s="402">
        <f>DN25-DN32-DN33-DN34</f>
        <v/>
      </c>
      <c r="DO35" s="402">
        <f>DO25-DO32-DO33-DO34</f>
        <v/>
      </c>
      <c r="DP35" s="402">
        <f>DP25-DP32-DP33-DP34</f>
        <v/>
      </c>
      <c r="DQ35" s="402">
        <f>DQ25-DQ32-DQ33-DQ34</f>
        <v/>
      </c>
      <c r="DR35" s="402">
        <f>DR25-DR32-DR33-DR34</f>
        <v/>
      </c>
      <c r="DS35" s="402">
        <f>DS25-DS32-DS33-DS34</f>
        <v/>
      </c>
      <c r="DT35" s="402">
        <f>DT25-DT32-DT33-DT34</f>
        <v/>
      </c>
      <c r="DU35" s="402">
        <f>DU25-DU32-DU33-DU34</f>
        <v/>
      </c>
      <c r="DV35" s="402">
        <f>DV25-DV32-DV33-DV34</f>
        <v/>
      </c>
      <c r="DW35" s="402">
        <f>DW25-DW32-DW33-DW34</f>
        <v/>
      </c>
      <c r="DX35" s="402">
        <f>DX25-DX32-DX33-DX34</f>
        <v/>
      </c>
      <c r="DY35" s="402">
        <f>DY25-DY32-DY33-DY34</f>
        <v/>
      </c>
      <c r="DZ35" s="402">
        <f>DZ25-DZ32-DZ33-DZ34</f>
        <v/>
      </c>
      <c r="EA35" s="402">
        <f>EA25-EA32-EA33-EA34</f>
        <v/>
      </c>
      <c r="EB35" s="402">
        <f>EB25-EB32-EB33-EB34</f>
        <v/>
      </c>
      <c r="EC35" s="402">
        <f>EC25-EC32-EC33-EC34</f>
        <v/>
      </c>
      <c r="ED35" s="402">
        <f>ED25-ED32-ED33-ED34</f>
        <v/>
      </c>
      <c r="EE35" s="402">
        <f>EE25-EE32-EE33-EE34</f>
        <v/>
      </c>
      <c r="EF35" s="402">
        <f>EF25-EF32-EF33-EF34</f>
        <v/>
      </c>
      <c r="EG35" s="402">
        <f>EG25-EG32-EG33-EG34</f>
        <v/>
      </c>
      <c r="EH35" s="402">
        <f>EH25-EH32-EH33-EH34</f>
        <v/>
      </c>
      <c r="EI35" s="402">
        <f>EI25-EI32-EI33-EI34</f>
        <v/>
      </c>
      <c r="EJ35" s="402">
        <f>EJ25-EJ32-EJ33-EJ34</f>
        <v/>
      </c>
      <c r="EK35" s="402">
        <f>EK25-EK32-EK33-EK34</f>
        <v/>
      </c>
      <c r="EL35" s="402">
        <f>EL25-EL32-EL33-EL34</f>
        <v/>
      </c>
      <c r="EM35" s="402">
        <f>EM25-EM32-EM33-EM34</f>
        <v/>
      </c>
      <c r="EN35" s="402">
        <f>EN25-EN32-EN33-EN34</f>
        <v/>
      </c>
      <c r="EO35" s="402">
        <f>EO25-EO32-EO33-EO34</f>
        <v/>
      </c>
      <c r="EP35" s="402">
        <f>EP25-EP32-EP33-EP34</f>
        <v/>
      </c>
      <c r="EQ35" s="402">
        <f>EQ25-EQ32-EQ33-EQ34</f>
        <v/>
      </c>
      <c r="ER35" s="402">
        <f>ER25-ER32-ER33-ER34</f>
        <v/>
      </c>
      <c r="ES35" s="402">
        <f>ES25-ES32-ES33-ES34</f>
        <v/>
      </c>
      <c r="ET35" s="402">
        <f>ET25-ET32-ET33-ET34</f>
        <v/>
      </c>
      <c r="EU35" s="402">
        <f>EU25-EU32-EU33-EU34</f>
        <v/>
      </c>
      <c r="EV35" s="402">
        <f>EV25-EV32-EV33-EV34</f>
        <v/>
      </c>
      <c r="EW35" s="402">
        <f>EW25-EW32-EW33-EW34</f>
        <v/>
      </c>
      <c r="EX35" s="402">
        <f>EX25-EX32-EX33-EX34</f>
        <v/>
      </c>
      <c r="EY35" s="402">
        <f>EY25-EY32-EY33-EY34</f>
        <v/>
      </c>
      <c r="EZ35" s="402">
        <f>EZ25-EZ32-EZ33-EZ34</f>
        <v/>
      </c>
      <c r="FA35" s="402">
        <f>FA25-FA32-FA33-FA34</f>
        <v/>
      </c>
      <c r="FB35" s="402">
        <f>FB25-FB32-FB33-FB34</f>
        <v/>
      </c>
      <c r="FC35" s="402">
        <f>FC25-FC32-FC33-FC34</f>
        <v/>
      </c>
      <c r="FD35" s="402">
        <f>FD25-FD32-FD33-FD34</f>
        <v/>
      </c>
      <c r="FE35" s="402">
        <f>FE25-FE32-FE33-FE34</f>
        <v/>
      </c>
      <c r="FF35" s="402">
        <f>FF25-FF32-FF33-FF34</f>
        <v/>
      </c>
      <c r="FG35" s="402">
        <f>FG25-FG32-FG33-FG34</f>
        <v/>
      </c>
      <c r="FH35" s="402">
        <f>FH25-FH32-FH33-FH34</f>
        <v/>
      </c>
      <c r="FI35" s="402">
        <f>FI25-FI32-FI33-FI34</f>
        <v/>
      </c>
      <c r="FJ35" s="402">
        <f>FJ25-FJ32-FJ33-FJ34</f>
        <v/>
      </c>
      <c r="FK35" s="402">
        <f>FK25-FK32-FK33-FK34</f>
        <v/>
      </c>
      <c r="FL35" s="402">
        <f>FL25-FL32-FL33-FL34</f>
        <v/>
      </c>
      <c r="FM35" s="402">
        <f>FM25-FM32-FM33-FM34</f>
        <v/>
      </c>
      <c r="FN35" s="402">
        <f>FN25-FN32-FN33-FN34</f>
        <v/>
      </c>
      <c r="FO35" s="402">
        <f>FO25-FO32-FO33-FO34</f>
        <v/>
      </c>
      <c r="FP35" s="402">
        <f>FP25-FP32-FP33-FP34</f>
        <v/>
      </c>
      <c r="FQ35" s="402">
        <f>FQ25-FQ32-FQ33-FQ34</f>
        <v/>
      </c>
      <c r="FR35" s="402">
        <f>FR25-FR32-FR33-FR34</f>
        <v/>
      </c>
      <c r="FS35" s="402">
        <f>FS25-FS32-FS33-FS34</f>
        <v/>
      </c>
      <c r="FT35" s="402">
        <f>FT25-FT32-FT33-FT34</f>
        <v/>
      </c>
      <c r="FU35" s="402">
        <f>FU25-FU32-FU33-FU34</f>
        <v/>
      </c>
      <c r="FV35" s="402">
        <f>FV25-FV32-FV33-FV34</f>
        <v/>
      </c>
      <c r="FW35" s="402">
        <f>FW25-FW32-FW33-FW34</f>
        <v/>
      </c>
      <c r="FX35" s="402">
        <f>FX25-FX32-FX33-FX34</f>
        <v/>
      </c>
      <c r="FY35" s="402">
        <f>FY25-FY32-FY33-FY34</f>
        <v/>
      </c>
      <c r="FZ35" s="402">
        <f>FZ25-FZ32-FZ33-FZ34</f>
        <v/>
      </c>
      <c r="GA35" s="402">
        <f>GA25-GA32-GA33-GA34</f>
        <v/>
      </c>
      <c r="GB35" s="402">
        <f>GB25-GB32-GB33-GB34</f>
        <v/>
      </c>
      <c r="GC35" s="402">
        <f>GC25-GC32-GC33-GC34</f>
        <v/>
      </c>
      <c r="GD35" s="402">
        <f>GD25-GD32-GD33-GD34</f>
        <v/>
      </c>
      <c r="GE35" s="402">
        <f>GE25-GE32-GE33-GE34</f>
        <v/>
      </c>
      <c r="GF35" s="402">
        <f>GF25-GF32-GF33-GF34</f>
        <v/>
      </c>
      <c r="GG35" s="402">
        <f>GG25-GG32-GG33-GG34</f>
        <v/>
      </c>
      <c r="GH35" s="402">
        <f>GH25-GH32-GH33-GH34</f>
        <v/>
      </c>
      <c r="GI35" s="402">
        <f>GI25-GI32-GI33-GI34</f>
        <v/>
      </c>
      <c r="GJ35" s="402">
        <f>GJ25-GJ32-GJ33-GJ34</f>
        <v/>
      </c>
      <c r="GK35" s="402">
        <f>GK25-GK32-GK33-GK34</f>
        <v/>
      </c>
      <c r="GL35" s="402">
        <f>GL25-GL32-GL33-GL34</f>
        <v/>
      </c>
      <c r="GM35" s="402">
        <f>GM25-GM32-GM33-GM34</f>
        <v/>
      </c>
      <c r="GN35" s="402">
        <f>GN25-GN32-GN33-GN34</f>
        <v/>
      </c>
      <c r="GO35" s="402">
        <f>GO25-GO32-GO33-GO34</f>
        <v/>
      </c>
      <c r="GP35" s="402">
        <f>GP25-GP32-GP33-GP34</f>
        <v/>
      </c>
      <c r="GQ35" s="402">
        <f>GQ25-GQ32-GQ33-GQ34</f>
        <v/>
      </c>
      <c r="GR35" s="402">
        <f>GR25-GR32-GR33-GR34</f>
        <v/>
      </c>
      <c r="GS35" s="402">
        <f>GS25-GS32-GS33-GS34</f>
        <v/>
      </c>
      <c r="GT35" s="402">
        <f>GT25-GT32-GT33-GT34</f>
        <v/>
      </c>
      <c r="GU35" s="402">
        <f>GU25-GU32-GU33-GU34</f>
        <v/>
      </c>
      <c r="GV35" s="402">
        <f>GV25-GV32-GV33-GV34</f>
        <v/>
      </c>
      <c r="GW35" s="402">
        <f>GW25-GW32-GW33-GW34</f>
        <v/>
      </c>
      <c r="GX35" s="402">
        <f>GX25-GX32-GX33-GX34</f>
        <v/>
      </c>
      <c r="GY35" s="402">
        <f>GY25-GY32-GY33-GY34</f>
        <v/>
      </c>
      <c r="GZ35" s="402">
        <f>GZ25-GZ32-GZ33-GZ34</f>
        <v/>
      </c>
      <c r="HA35" s="402">
        <f>HA25-HA32-HA33-HA34</f>
        <v/>
      </c>
      <c r="HB35" s="402">
        <f>HB25-HB32-HB33-HB34</f>
        <v/>
      </c>
      <c r="HC35" s="402">
        <f>HC25-HC32-HC33-HC34</f>
        <v/>
      </c>
      <c r="HD35" s="402">
        <f>HD25-HD32-HD33-HD34</f>
        <v/>
      </c>
      <c r="HE35" s="402">
        <f>HE25-HE32-HE33-HE34</f>
        <v/>
      </c>
      <c r="HF35" s="402">
        <f>HF25-HF32-HF33-HF34</f>
        <v/>
      </c>
      <c r="HG35" s="402">
        <f>HG25-HG32-HG33-HG34</f>
        <v/>
      </c>
      <c r="HH35" s="402">
        <f>HH25-HH32-HH33-HH34</f>
        <v/>
      </c>
      <c r="HI35" s="402">
        <f>HI25-HI32-HI33-HI34</f>
        <v/>
      </c>
      <c r="HJ35" s="402">
        <f>HJ25-HJ32-HJ33-HJ34</f>
        <v/>
      </c>
      <c r="HK35" s="402">
        <f>HK25-HK32-HK33-HK34</f>
        <v/>
      </c>
      <c r="HL35" s="402">
        <f>HL25-HL32-HL33-HL34</f>
        <v/>
      </c>
      <c r="HM35" s="402">
        <f>HM25-HM32-HM33-HM34</f>
        <v/>
      </c>
      <c r="HN35" s="402">
        <f>HN25-HN32-HN33-HN34</f>
        <v/>
      </c>
      <c r="HO35" s="402">
        <f>HO25-HO32-HO33-HO34</f>
        <v/>
      </c>
      <c r="HP35" s="402">
        <f>HP25-HP32-HP33-HP34</f>
        <v/>
      </c>
      <c r="HQ35" s="402">
        <f>HQ25-HQ32-HQ33-HQ34</f>
        <v/>
      </c>
      <c r="HR35" s="402">
        <f>HR25-HR32-HR33-HR34</f>
        <v/>
      </c>
      <c r="HS35" s="402">
        <f>HS25-HS32-HS33-HS34</f>
        <v/>
      </c>
      <c r="HT35" s="402">
        <f>HT25-HT32-HT33-HT34</f>
        <v/>
      </c>
      <c r="HU35" s="402">
        <f>HU25-HU32-HU33-HU34</f>
        <v/>
      </c>
      <c r="HV35" s="402">
        <f>HV25-HV32-HV33-HV34</f>
        <v/>
      </c>
      <c r="HW35" s="402">
        <f>HW25-HW32-HW33-HW34</f>
        <v/>
      </c>
      <c r="HX35" s="402">
        <f>HX25-HX32-HX33-HX34</f>
        <v/>
      </c>
      <c r="HY35" s="402">
        <f>HY25-HY32-HY33-HY34</f>
        <v/>
      </c>
      <c r="HZ35" s="402">
        <f>HZ25-HZ32-HZ33-HZ34</f>
        <v/>
      </c>
      <c r="IA35" s="402">
        <f>IA25-IA32-IA33-IA34</f>
        <v/>
      </c>
      <c r="IB35" s="402">
        <f>IB25-IB32-IB33-IB34</f>
        <v/>
      </c>
      <c r="IC35" s="402">
        <f>IC25-IC32-IC33-IC34</f>
        <v/>
      </c>
      <c r="ID35" s="402">
        <f>ID25-ID32-ID33-ID34</f>
        <v/>
      </c>
      <c r="IE35" s="402">
        <f>IE25-IE32-IE33-IE34</f>
        <v/>
      </c>
      <c r="IF35" s="402">
        <f>IF25-IF32-IF33-IF34</f>
        <v/>
      </c>
      <c r="IG35" s="402">
        <f>IG25-IG32-IG33-IG34</f>
        <v/>
      </c>
      <c r="IH35" s="402">
        <f>IH25-IH32-IH33-IH34</f>
        <v/>
      </c>
      <c r="II35" s="402">
        <f>II25-II32-II33-II34</f>
        <v/>
      </c>
      <c r="IJ35" s="402">
        <f>IJ25-IJ32-IJ33-IJ34</f>
        <v/>
      </c>
      <c r="IK35" s="402">
        <f>IK25-IK32-IK33-IK34</f>
        <v/>
      </c>
      <c r="IL35" s="402">
        <f>IL25-IL32-IL33-IL34</f>
        <v/>
      </c>
      <c r="IM35" s="402">
        <f>IM25-IM32-IM33-IM34</f>
        <v/>
      </c>
      <c r="IN35" s="402">
        <f>IN25-IN32-IN33-IN34</f>
        <v/>
      </c>
      <c r="IO35" s="402">
        <f>IO25-IO32-IO33-IO34</f>
        <v/>
      </c>
      <c r="IP35" s="402">
        <f>IP25-IP32-IP33-IP34</f>
        <v/>
      </c>
      <c r="IQ35" s="402">
        <f>IQ25-IQ32-IQ33-IQ34</f>
        <v/>
      </c>
      <c r="IR35" s="402">
        <f>IR25-IR32-IR33-IR34</f>
        <v/>
      </c>
      <c r="IS35" s="402">
        <f>IS25-IS32-IS33-IS34</f>
        <v/>
      </c>
      <c r="IT35" s="402">
        <f>IT25-IT32-IT33-IT34</f>
        <v/>
      </c>
      <c r="IU35" s="402">
        <f>IU25-IU32-IU33-IU34</f>
        <v/>
      </c>
      <c r="IV35" s="402">
        <f>IV25-IV32-IV33-IV34</f>
        <v/>
      </c>
      <c r="IW35" s="402">
        <f>IW25-IW32-IW33-IW34</f>
        <v/>
      </c>
      <c r="IX35" s="402">
        <f>IX25-IX32-IX33-IX34</f>
        <v/>
      </c>
      <c r="IY35" s="402">
        <f>IY25-IY32-IY33-IY34</f>
        <v/>
      </c>
      <c r="IZ35" s="402">
        <f>IZ25-IZ32-IZ33-IZ34</f>
        <v/>
      </c>
      <c r="JA35" s="402">
        <f>JA25-JA32-JA33-JA34</f>
        <v/>
      </c>
      <c r="JB35" s="402">
        <f>JB25-JB32-JB33-JB34</f>
        <v/>
      </c>
      <c r="JC35" s="402">
        <f>JC25-JC32-JC33-JC34</f>
        <v/>
      </c>
      <c r="JD35" s="402">
        <f>JD25-JD32-JD33-JD34</f>
        <v/>
      </c>
      <c r="JE35" s="402">
        <f>JE25-JE32-JE33-JE34</f>
        <v/>
      </c>
      <c r="JF35" s="402">
        <f>JF25-JF32-JF33-JF34</f>
        <v/>
      </c>
      <c r="JG35" s="402">
        <f>JG25-JG32-JG33-JG34</f>
        <v/>
      </c>
      <c r="JH35" s="402">
        <f>JH25-JH32-JH33-JH34</f>
        <v/>
      </c>
      <c r="JI35" s="402">
        <f>JI25-JI32-JI33-JI34</f>
        <v/>
      </c>
      <c r="JJ35" s="402">
        <f>JJ25-JJ32-JJ33-JJ34</f>
        <v/>
      </c>
      <c r="JK35" s="402">
        <f>JK25-JK32-JK33-JK34</f>
        <v/>
      </c>
      <c r="JL35" s="402">
        <f>JL25-JL32-JL33-JL34</f>
        <v/>
      </c>
      <c r="JM35" s="402">
        <f>JM25-JM32-JM33-JM34</f>
        <v/>
      </c>
      <c r="JN35" s="402">
        <f>JN25-JN32-JN33-JN34</f>
        <v/>
      </c>
      <c r="JO35" s="402">
        <f>JO25-JO32-JO33-JO34</f>
        <v/>
      </c>
      <c r="JP35" s="402">
        <f>JP25-JP32-JP33-JP34</f>
        <v/>
      </c>
      <c r="JQ35" s="402">
        <f>JQ25-JQ32-JQ33-JQ34</f>
        <v/>
      </c>
      <c r="JR35" s="402">
        <f>JR25-JR32-JR33-JR34</f>
        <v/>
      </c>
      <c r="JS35" s="402">
        <f>JS25-JS32-JS33-JS34</f>
        <v/>
      </c>
      <c r="JT35" s="402">
        <f>JT25-JT32-JT33-JT34</f>
        <v/>
      </c>
      <c r="JU35" s="402">
        <f>JU25-JU32-JU33-JU34</f>
        <v/>
      </c>
      <c r="JV35" s="402">
        <f>JV25-JV32-JV33-JV34</f>
        <v/>
      </c>
      <c r="JW35" s="402">
        <f>JW25-JW32-JW33-JW34</f>
        <v/>
      </c>
      <c r="JX35" s="402">
        <f>JX25-JX32-JX33-JX34</f>
        <v/>
      </c>
      <c r="JY35" s="402">
        <f>JY25-JY32-JY33-JY34</f>
        <v/>
      </c>
      <c r="JZ35" s="402">
        <f>JZ25-JZ32-JZ33-JZ34</f>
        <v/>
      </c>
      <c r="KA35" s="402">
        <f>KA25-KA32-KA33-KA34</f>
        <v/>
      </c>
      <c r="KB35" s="402">
        <f>KB25-KB32-KB33-KB34</f>
        <v/>
      </c>
      <c r="KC35" s="402">
        <f>KC25-KC32-KC33-KC34</f>
        <v/>
      </c>
      <c r="KD35" s="402">
        <f>KD25-KD32-KD33-KD34</f>
        <v/>
      </c>
      <c r="KE35" s="402">
        <f>KE25-KE32-KE33-KE34</f>
        <v/>
      </c>
      <c r="KF35" s="402">
        <f>KF25-KF32-KF33-KF34</f>
        <v/>
      </c>
      <c r="KG35" s="402">
        <f>KG25-KG32-KG33-KG34</f>
        <v/>
      </c>
      <c r="KH35" s="402">
        <f>KH25-KH32-KH33-KH34</f>
        <v/>
      </c>
      <c r="KI35" s="402">
        <f>KI25-KI32-KI33-KI34</f>
        <v/>
      </c>
      <c r="KJ35" s="402">
        <f>KJ25-KJ32-KJ33-KJ34</f>
        <v/>
      </c>
      <c r="KK35" s="402">
        <f>KK25-KK32-KK33-KK34</f>
        <v/>
      </c>
      <c r="KL35" s="402">
        <f>KL25-KL32-KL33-KL34</f>
        <v/>
      </c>
      <c r="KM35" s="402">
        <f>KM25-KM32-KM33-KM34</f>
        <v/>
      </c>
      <c r="KN35" s="402">
        <f>KN25-KN32-KN33-KN34</f>
        <v/>
      </c>
      <c r="KO35" s="402">
        <f>KO25-KO32-KO33-KO34</f>
        <v/>
      </c>
      <c r="KP35" s="402">
        <f>KP25-KP32-KP33-KP34</f>
        <v/>
      </c>
      <c r="KQ35" s="402">
        <f>KQ25-KQ32-KQ33-KQ34</f>
        <v/>
      </c>
      <c r="KR35" s="402">
        <f>KR25-KR32-KR33-KR34</f>
        <v/>
      </c>
      <c r="KS35" s="402">
        <f>KS25-KS32-KS33-KS34</f>
        <v/>
      </c>
      <c r="KT35" s="402">
        <f>KT25-KT32-KT33-KT34</f>
        <v/>
      </c>
      <c r="KU35" s="402">
        <f>KU25-KU32-KU33-KU34</f>
        <v/>
      </c>
      <c r="KV35" s="402">
        <f>KV25-KV32-KV33-KV34</f>
        <v/>
      </c>
      <c r="KW35" s="402">
        <f>KW25-KW32-KW33-KW34</f>
        <v/>
      </c>
      <c r="KX35" s="402">
        <f>KX25-KX32-KX33-KX34</f>
        <v/>
      </c>
      <c r="KY35" s="402">
        <f>KY25-KY32-KY33-KY34</f>
        <v/>
      </c>
      <c r="KZ35" s="402">
        <f>KZ25-KZ32-KZ33-KZ34</f>
        <v/>
      </c>
      <c r="LA35" s="402">
        <f>LA25-LA32-LA33-LA34</f>
        <v/>
      </c>
      <c r="LB35" s="402">
        <f>LB25-LB32-LB33-LB34</f>
        <v/>
      </c>
      <c r="LC35" s="402">
        <f>LC25-LC32-LC33-LC34</f>
        <v/>
      </c>
      <c r="LD35" s="402">
        <f>LD25-LD32-LD33-LD34</f>
        <v/>
      </c>
      <c r="LE35" s="402">
        <f>LE25-LE32-LE33-LE34</f>
        <v/>
      </c>
      <c r="LF35" s="402">
        <f>LF25-LF32-LF33-LF34</f>
        <v/>
      </c>
      <c r="LG35" s="402">
        <f>LG25-LG32-LG33-LG34</f>
        <v/>
      </c>
      <c r="LH35" s="402">
        <f>LH25-LH32-LH33-LH34</f>
        <v/>
      </c>
      <c r="LI35" s="402">
        <f>LI25-LI32-LI33-LI34</f>
        <v/>
      </c>
      <c r="LJ35" s="402">
        <f>LJ25-LJ32-LJ33-LJ34</f>
        <v/>
      </c>
      <c r="LK35" s="402">
        <f>LK25-LK32-LK33-LK34</f>
        <v/>
      </c>
      <c r="LL35" s="402">
        <f>LL25-LL32-LL33-LL34</f>
        <v/>
      </c>
      <c r="LM35" s="402">
        <f>LM25-LM32-LM33-LM34</f>
        <v/>
      </c>
      <c r="LN35" s="402">
        <f>LN25-LN32-LN33-LN34</f>
        <v/>
      </c>
      <c r="LO35" s="402">
        <f>LO25-LO32-LO33-LO34</f>
        <v/>
      </c>
      <c r="LP35" s="402">
        <f>LP25-LP32-LP33-LP34</f>
        <v/>
      </c>
      <c r="LQ35" s="402">
        <f>LQ25-LQ32-LQ33-LQ34</f>
        <v/>
      </c>
      <c r="LR35" s="402">
        <f>LR25-LR32-LR33-LR34</f>
        <v/>
      </c>
      <c r="LS35" s="402">
        <f>LS25-LS32-LS33-LS34</f>
        <v/>
      </c>
      <c r="LT35" s="402">
        <f>LT25-LT32-LT33-LT34</f>
        <v/>
      </c>
      <c r="LU35" s="402">
        <f>LU25-LU32-LU33-LU34</f>
        <v/>
      </c>
      <c r="LV35" s="402">
        <f>LV25-LV32-LV33-LV34</f>
        <v/>
      </c>
      <c r="LW35" s="402">
        <f>LW25-LW32-LW33-LW34</f>
        <v/>
      </c>
      <c r="LX35" s="402">
        <f>LX25-LX32-LX33-LX34</f>
        <v/>
      </c>
      <c r="LY35" s="402">
        <f>LY25-LY32-LY33-LY34</f>
        <v/>
      </c>
      <c r="LZ35" s="402">
        <f>LZ25-LZ32-LZ33-LZ34</f>
        <v/>
      </c>
      <c r="MA35" s="402">
        <f>MA25-MA32-MA33-MA34</f>
        <v/>
      </c>
      <c r="MB35" s="402">
        <f>MB25-MB32-MB33-MB34</f>
        <v/>
      </c>
      <c r="MC35" s="402">
        <f>MC25-MC32-MC33-MC34</f>
        <v/>
      </c>
      <c r="MD35" s="402">
        <f>MD25-MD32-MD33-MD34</f>
        <v/>
      </c>
      <c r="ME35" s="402">
        <f>ME25-ME32-ME33-ME34</f>
        <v/>
      </c>
      <c r="MF35" s="402">
        <f>MF25-MF32-MF33-MF34</f>
        <v/>
      </c>
      <c r="MG35" s="402">
        <f>MG25-MG32-MG33-MG34</f>
        <v/>
      </c>
      <c r="MH35" s="402">
        <f>MH25-MH32-MH33-MH34</f>
        <v/>
      </c>
      <c r="MI35" s="402">
        <f>MI25-MI32-MI33-MI34</f>
        <v/>
      </c>
      <c r="MJ35" s="402">
        <f>MJ25-MJ32-MJ33-MJ34</f>
        <v/>
      </c>
      <c r="MK35" s="402">
        <f>MK25-MK32-MK33-MK34</f>
        <v/>
      </c>
      <c r="ML35" s="402">
        <f>ML25-ML32-ML33-ML34</f>
        <v/>
      </c>
      <c r="MM35" s="402">
        <f>MM25-MM32-MM33-MM34</f>
        <v/>
      </c>
      <c r="MN35" s="402">
        <f>MN25-MN32-MN33-MN34</f>
        <v/>
      </c>
      <c r="MO35" s="402">
        <f>MO25-MO32-MO33-MO34</f>
        <v/>
      </c>
      <c r="MP35" s="402">
        <f>MP25-MP32-MP33-MP34</f>
        <v/>
      </c>
      <c r="MQ35" s="402">
        <f>MQ25-MQ32-MQ33-MQ34</f>
        <v/>
      </c>
      <c r="MR35" s="402">
        <f>MR25-MR32-MR33-MR34</f>
        <v/>
      </c>
      <c r="MS35" s="402">
        <f>MS25-MS32-MS33-MS34</f>
        <v/>
      </c>
      <c r="MT35" s="402">
        <f>MT25-MT32-MT33-MT34</f>
        <v/>
      </c>
      <c r="MU35" s="402">
        <f>MU25-MU32-MU33-MU34</f>
        <v/>
      </c>
      <c r="MV35" s="402">
        <f>MV25-MV32-MV33-MV34</f>
        <v/>
      </c>
      <c r="MW35" s="402">
        <f>MW25-MW32-MW33-MW34</f>
        <v/>
      </c>
      <c r="MX35" s="402">
        <f>MX25-MX32-MX33-MX34</f>
        <v/>
      </c>
      <c r="MY35" s="402">
        <f>MY25-MY32-MY33-MY34</f>
        <v/>
      </c>
      <c r="MZ35" s="402">
        <f>MZ25-MZ32-MZ33-MZ34</f>
        <v/>
      </c>
      <c r="NA35" s="402">
        <f>NA25-NA32-NA33-NA34</f>
        <v/>
      </c>
      <c r="NB35" s="402">
        <f>NB25-NB32-NB33-NB34</f>
        <v/>
      </c>
      <c r="NC35" s="402">
        <f>NC25-NC32-NC33-NC34</f>
        <v/>
      </c>
      <c r="ND35" s="402">
        <f>ND25-ND32-ND33-ND34</f>
        <v/>
      </c>
      <c r="NE35" s="402">
        <f>NE25-NE32-NE33-NE34</f>
        <v/>
      </c>
      <c r="NF35" s="402">
        <f>NF25-NF32-NF33-NF34</f>
        <v/>
      </c>
      <c r="NG35" s="402">
        <f>NG25-NG32-NG33-NG34</f>
        <v/>
      </c>
      <c r="NH35" s="402">
        <f>NH25-NH32-NH33-NH34</f>
        <v/>
      </c>
      <c r="NI35" s="402">
        <f>NI25-NI32-NI33-NI34</f>
        <v/>
      </c>
      <c r="NJ35" s="402">
        <f>NJ25-NJ32-NJ33-NJ34</f>
        <v/>
      </c>
      <c r="NK35" s="402">
        <f>NK25-NK32-NK33-NK34</f>
        <v/>
      </c>
      <c r="NL35" s="402">
        <f>NL25-NL32-NL33-NL34</f>
        <v/>
      </c>
    </row>
    <row r="36">
      <c r="B36" s="328" t="inlineStr">
        <is>
          <t>Cumulative Distributions (EoM)</t>
        </is>
      </c>
      <c r="D36" s="402">
        <f>INDEX(E36:NL36,HoldPeriodMonths)</f>
        <v/>
      </c>
      <c r="E36" s="402">
        <f>E30+E25</f>
        <v/>
      </c>
      <c r="F36" s="402">
        <f>F30+F25</f>
        <v/>
      </c>
      <c r="G36" s="402">
        <f>G30+G25</f>
        <v/>
      </c>
      <c r="H36" s="402">
        <f>H30+H25</f>
        <v/>
      </c>
      <c r="I36" s="402">
        <f>I30+I25</f>
        <v/>
      </c>
      <c r="J36" s="402">
        <f>J30+J25</f>
        <v/>
      </c>
      <c r="K36" s="402">
        <f>K30+K25</f>
        <v/>
      </c>
      <c r="L36" s="402">
        <f>L30+L25</f>
        <v/>
      </c>
      <c r="M36" s="402">
        <f>M30+M25</f>
        <v/>
      </c>
      <c r="N36" s="402">
        <f>N30+N25</f>
        <v/>
      </c>
      <c r="O36" s="402">
        <f>O30+O25</f>
        <v/>
      </c>
      <c r="P36" s="402">
        <f>P30+P25</f>
        <v/>
      </c>
      <c r="Q36" s="402">
        <f>Q30+Q25</f>
        <v/>
      </c>
      <c r="R36" s="402">
        <f>R30+R25</f>
        <v/>
      </c>
      <c r="S36" s="402">
        <f>S30+S25</f>
        <v/>
      </c>
      <c r="T36" s="402">
        <f>T30+T25</f>
        <v/>
      </c>
      <c r="U36" s="402">
        <f>U30+U25</f>
        <v/>
      </c>
      <c r="V36" s="402">
        <f>V30+V25</f>
        <v/>
      </c>
      <c r="W36" s="402">
        <f>W30+W25</f>
        <v/>
      </c>
      <c r="X36" s="402">
        <f>X30+X25</f>
        <v/>
      </c>
      <c r="Y36" s="402">
        <f>Y30+Y25</f>
        <v/>
      </c>
      <c r="Z36" s="402">
        <f>Z30+Z25</f>
        <v/>
      </c>
      <c r="AA36" s="402">
        <f>AA30+AA25</f>
        <v/>
      </c>
      <c r="AB36" s="402">
        <f>AB30+AB25</f>
        <v/>
      </c>
      <c r="AC36" s="402">
        <f>AC30+AC25</f>
        <v/>
      </c>
      <c r="AD36" s="402">
        <f>AD30+AD25</f>
        <v/>
      </c>
      <c r="AE36" s="402">
        <f>AE30+AE25</f>
        <v/>
      </c>
      <c r="AF36" s="402">
        <f>AF30+AF25</f>
        <v/>
      </c>
      <c r="AG36" s="402">
        <f>AG30+AG25</f>
        <v/>
      </c>
      <c r="AH36" s="402">
        <f>AH30+AH25</f>
        <v/>
      </c>
      <c r="AI36" s="402">
        <f>AI30+AI25</f>
        <v/>
      </c>
      <c r="AJ36" s="402">
        <f>AJ30+AJ25</f>
        <v/>
      </c>
      <c r="AK36" s="402">
        <f>AK30+AK25</f>
        <v/>
      </c>
      <c r="AL36" s="402">
        <f>AL30+AL25</f>
        <v/>
      </c>
      <c r="AM36" s="402">
        <f>AM30+AM25</f>
        <v/>
      </c>
      <c r="AN36" s="402">
        <f>AN30+AN25</f>
        <v/>
      </c>
      <c r="AO36" s="402">
        <f>AO30+AO25</f>
        <v/>
      </c>
      <c r="AP36" s="402">
        <f>AP30+AP25</f>
        <v/>
      </c>
      <c r="AQ36" s="402">
        <f>AQ30+AQ25</f>
        <v/>
      </c>
      <c r="AR36" s="402">
        <f>AR30+AR25</f>
        <v/>
      </c>
      <c r="AS36" s="402">
        <f>AS30+AS25</f>
        <v/>
      </c>
      <c r="AT36" s="402">
        <f>AT30+AT25</f>
        <v/>
      </c>
      <c r="AU36" s="402">
        <f>AU30+AU25</f>
        <v/>
      </c>
      <c r="AV36" s="402">
        <f>AV30+AV25</f>
        <v/>
      </c>
      <c r="AW36" s="402">
        <f>AW30+AW25</f>
        <v/>
      </c>
      <c r="AX36" s="402">
        <f>AX30+AX25</f>
        <v/>
      </c>
      <c r="AY36" s="402">
        <f>AY30+AY25</f>
        <v/>
      </c>
      <c r="AZ36" s="402">
        <f>AZ30+AZ25</f>
        <v/>
      </c>
      <c r="BA36" s="402">
        <f>BA30+BA25</f>
        <v/>
      </c>
      <c r="BB36" s="402">
        <f>BB30+BB25</f>
        <v/>
      </c>
      <c r="BC36" s="402">
        <f>BC30+BC25</f>
        <v/>
      </c>
      <c r="BD36" s="402">
        <f>BD30+BD25</f>
        <v/>
      </c>
      <c r="BE36" s="402">
        <f>BE30+BE25</f>
        <v/>
      </c>
      <c r="BF36" s="402">
        <f>BF30+BF25</f>
        <v/>
      </c>
      <c r="BG36" s="402">
        <f>BG30+BG25</f>
        <v/>
      </c>
      <c r="BH36" s="402">
        <f>BH30+BH25</f>
        <v/>
      </c>
      <c r="BI36" s="402">
        <f>BI30+BI25</f>
        <v/>
      </c>
      <c r="BJ36" s="402">
        <f>BJ30+BJ25</f>
        <v/>
      </c>
      <c r="BK36" s="402">
        <f>BK30+BK25</f>
        <v/>
      </c>
      <c r="BL36" s="402">
        <f>BL30+BL25</f>
        <v/>
      </c>
      <c r="BM36" s="402">
        <f>BM30+BM25</f>
        <v/>
      </c>
      <c r="BN36" s="402">
        <f>BN30+BN25</f>
        <v/>
      </c>
      <c r="BO36" s="402">
        <f>BO30+BO25</f>
        <v/>
      </c>
      <c r="BP36" s="402">
        <f>BP30+BP25</f>
        <v/>
      </c>
      <c r="BQ36" s="402">
        <f>BQ30+BQ25</f>
        <v/>
      </c>
      <c r="BR36" s="402">
        <f>BR30+BR25</f>
        <v/>
      </c>
      <c r="BS36" s="402">
        <f>BS30+BS25</f>
        <v/>
      </c>
      <c r="BT36" s="402">
        <f>BT30+BT25</f>
        <v/>
      </c>
      <c r="BU36" s="402">
        <f>BU30+BU25</f>
        <v/>
      </c>
      <c r="BV36" s="402">
        <f>BV30+BV25</f>
        <v/>
      </c>
      <c r="BW36" s="402">
        <f>BW30+BW25</f>
        <v/>
      </c>
      <c r="BX36" s="402">
        <f>BX30+BX25</f>
        <v/>
      </c>
      <c r="BY36" s="402">
        <f>BY30+BY25</f>
        <v/>
      </c>
      <c r="BZ36" s="402">
        <f>BZ30+BZ25</f>
        <v/>
      </c>
      <c r="CA36" s="402">
        <f>CA30+CA25</f>
        <v/>
      </c>
      <c r="CB36" s="402">
        <f>CB30+CB25</f>
        <v/>
      </c>
      <c r="CC36" s="402">
        <f>CC30+CC25</f>
        <v/>
      </c>
      <c r="CD36" s="402">
        <f>CD30+CD25</f>
        <v/>
      </c>
      <c r="CE36" s="402">
        <f>CE30+CE25</f>
        <v/>
      </c>
      <c r="CF36" s="402">
        <f>CF30+CF25</f>
        <v/>
      </c>
      <c r="CG36" s="402">
        <f>CG30+CG25</f>
        <v/>
      </c>
      <c r="CH36" s="402">
        <f>CH30+CH25</f>
        <v/>
      </c>
      <c r="CI36" s="402">
        <f>CI30+CI25</f>
        <v/>
      </c>
      <c r="CJ36" s="402">
        <f>CJ30+CJ25</f>
        <v/>
      </c>
      <c r="CK36" s="402">
        <f>CK30+CK25</f>
        <v/>
      </c>
      <c r="CL36" s="402">
        <f>CL30+CL25</f>
        <v/>
      </c>
      <c r="CM36" s="402">
        <f>CM30+CM25</f>
        <v/>
      </c>
      <c r="CN36" s="402">
        <f>CN30+CN25</f>
        <v/>
      </c>
      <c r="CO36" s="402">
        <f>CO30+CO25</f>
        <v/>
      </c>
      <c r="CP36" s="402">
        <f>CP30+CP25</f>
        <v/>
      </c>
      <c r="CQ36" s="402">
        <f>CQ30+CQ25</f>
        <v/>
      </c>
      <c r="CR36" s="402">
        <f>CR30+CR25</f>
        <v/>
      </c>
      <c r="CS36" s="402">
        <f>CS30+CS25</f>
        <v/>
      </c>
      <c r="CT36" s="402">
        <f>CT30+CT25</f>
        <v/>
      </c>
      <c r="CU36" s="402">
        <f>CU30+CU25</f>
        <v/>
      </c>
      <c r="CV36" s="402">
        <f>CV30+CV25</f>
        <v/>
      </c>
      <c r="CW36" s="402">
        <f>CW30+CW25</f>
        <v/>
      </c>
      <c r="CX36" s="402">
        <f>CX30+CX25</f>
        <v/>
      </c>
      <c r="CY36" s="402">
        <f>CY30+CY25</f>
        <v/>
      </c>
      <c r="CZ36" s="402">
        <f>CZ30+CZ25</f>
        <v/>
      </c>
      <c r="DA36" s="402">
        <f>DA30+DA25</f>
        <v/>
      </c>
      <c r="DB36" s="402">
        <f>DB30+DB25</f>
        <v/>
      </c>
      <c r="DC36" s="402">
        <f>DC30+DC25</f>
        <v/>
      </c>
      <c r="DD36" s="402">
        <f>DD30+DD25</f>
        <v/>
      </c>
      <c r="DE36" s="402">
        <f>DE30+DE25</f>
        <v/>
      </c>
      <c r="DF36" s="402">
        <f>DF30+DF25</f>
        <v/>
      </c>
      <c r="DG36" s="402">
        <f>DG30+DG25</f>
        <v/>
      </c>
      <c r="DH36" s="402">
        <f>DH30+DH25</f>
        <v/>
      </c>
      <c r="DI36" s="402">
        <f>DI30+DI25</f>
        <v/>
      </c>
      <c r="DJ36" s="402">
        <f>DJ30+DJ25</f>
        <v/>
      </c>
      <c r="DK36" s="402">
        <f>DK30+DK25</f>
        <v/>
      </c>
      <c r="DL36" s="402">
        <f>DL30+DL25</f>
        <v/>
      </c>
      <c r="DM36" s="402">
        <f>DM30+DM25</f>
        <v/>
      </c>
      <c r="DN36" s="402">
        <f>DN30+DN25</f>
        <v/>
      </c>
      <c r="DO36" s="402">
        <f>DO30+DO25</f>
        <v/>
      </c>
      <c r="DP36" s="402">
        <f>DP30+DP25</f>
        <v/>
      </c>
      <c r="DQ36" s="402">
        <f>DQ30+DQ25</f>
        <v/>
      </c>
      <c r="DR36" s="402">
        <f>DR30+DR25</f>
        <v/>
      </c>
      <c r="DS36" s="402">
        <f>DS30+DS25</f>
        <v/>
      </c>
      <c r="DT36" s="402">
        <f>DT30+DT25</f>
        <v/>
      </c>
      <c r="DU36" s="402">
        <f>DU30+DU25</f>
        <v/>
      </c>
      <c r="DV36" s="402">
        <f>DV30+DV25</f>
        <v/>
      </c>
      <c r="DW36" s="402">
        <f>DW30+DW25</f>
        <v/>
      </c>
      <c r="DX36" s="402">
        <f>DX30+DX25</f>
        <v/>
      </c>
      <c r="DY36" s="402">
        <f>DY30+DY25</f>
        <v/>
      </c>
      <c r="DZ36" s="402">
        <f>DZ30+DZ25</f>
        <v/>
      </c>
      <c r="EA36" s="402">
        <f>EA30+EA25</f>
        <v/>
      </c>
      <c r="EB36" s="402">
        <f>EB30+EB25</f>
        <v/>
      </c>
      <c r="EC36" s="402">
        <f>EC30+EC25</f>
        <v/>
      </c>
      <c r="ED36" s="402">
        <f>ED30+ED25</f>
        <v/>
      </c>
      <c r="EE36" s="402">
        <f>EE30+EE25</f>
        <v/>
      </c>
      <c r="EF36" s="402">
        <f>EF30+EF25</f>
        <v/>
      </c>
      <c r="EG36" s="402">
        <f>EG30+EG25</f>
        <v/>
      </c>
      <c r="EH36" s="402">
        <f>EH30+EH25</f>
        <v/>
      </c>
      <c r="EI36" s="402">
        <f>EI30+EI25</f>
        <v/>
      </c>
      <c r="EJ36" s="402">
        <f>EJ30+EJ25</f>
        <v/>
      </c>
      <c r="EK36" s="402">
        <f>EK30+EK25</f>
        <v/>
      </c>
      <c r="EL36" s="402">
        <f>EL30+EL25</f>
        <v/>
      </c>
      <c r="EM36" s="402">
        <f>EM30+EM25</f>
        <v/>
      </c>
      <c r="EN36" s="402">
        <f>EN30+EN25</f>
        <v/>
      </c>
      <c r="EO36" s="402">
        <f>EO30+EO25</f>
        <v/>
      </c>
      <c r="EP36" s="402">
        <f>EP30+EP25</f>
        <v/>
      </c>
      <c r="EQ36" s="402">
        <f>EQ30+EQ25</f>
        <v/>
      </c>
      <c r="ER36" s="402">
        <f>ER30+ER25</f>
        <v/>
      </c>
      <c r="ES36" s="402">
        <f>ES30+ES25</f>
        <v/>
      </c>
      <c r="ET36" s="402">
        <f>ET30+ET25</f>
        <v/>
      </c>
      <c r="EU36" s="402">
        <f>EU30+EU25</f>
        <v/>
      </c>
      <c r="EV36" s="402">
        <f>EV30+EV25</f>
        <v/>
      </c>
      <c r="EW36" s="402">
        <f>EW30+EW25</f>
        <v/>
      </c>
      <c r="EX36" s="402">
        <f>EX30+EX25</f>
        <v/>
      </c>
      <c r="EY36" s="402">
        <f>EY30+EY25</f>
        <v/>
      </c>
      <c r="EZ36" s="402">
        <f>EZ30+EZ25</f>
        <v/>
      </c>
      <c r="FA36" s="402">
        <f>FA30+FA25</f>
        <v/>
      </c>
      <c r="FB36" s="402">
        <f>FB30+FB25</f>
        <v/>
      </c>
      <c r="FC36" s="402">
        <f>FC30+FC25</f>
        <v/>
      </c>
      <c r="FD36" s="402">
        <f>FD30+FD25</f>
        <v/>
      </c>
      <c r="FE36" s="402">
        <f>FE30+FE25</f>
        <v/>
      </c>
      <c r="FF36" s="402">
        <f>FF30+FF25</f>
        <v/>
      </c>
      <c r="FG36" s="402">
        <f>FG30+FG25</f>
        <v/>
      </c>
      <c r="FH36" s="402">
        <f>FH30+FH25</f>
        <v/>
      </c>
      <c r="FI36" s="402">
        <f>FI30+FI25</f>
        <v/>
      </c>
      <c r="FJ36" s="402">
        <f>FJ30+FJ25</f>
        <v/>
      </c>
      <c r="FK36" s="402">
        <f>FK30+FK25</f>
        <v/>
      </c>
      <c r="FL36" s="402">
        <f>FL30+FL25</f>
        <v/>
      </c>
      <c r="FM36" s="402">
        <f>FM30+FM25</f>
        <v/>
      </c>
      <c r="FN36" s="402">
        <f>FN30+FN25</f>
        <v/>
      </c>
      <c r="FO36" s="402">
        <f>FO30+FO25</f>
        <v/>
      </c>
      <c r="FP36" s="402">
        <f>FP30+FP25</f>
        <v/>
      </c>
      <c r="FQ36" s="402">
        <f>FQ30+FQ25</f>
        <v/>
      </c>
      <c r="FR36" s="402">
        <f>FR30+FR25</f>
        <v/>
      </c>
      <c r="FS36" s="402">
        <f>FS30+FS25</f>
        <v/>
      </c>
      <c r="FT36" s="402">
        <f>FT30+FT25</f>
        <v/>
      </c>
      <c r="FU36" s="402">
        <f>FU30+FU25</f>
        <v/>
      </c>
      <c r="FV36" s="402">
        <f>FV30+FV25</f>
        <v/>
      </c>
      <c r="FW36" s="402">
        <f>FW30+FW25</f>
        <v/>
      </c>
      <c r="FX36" s="402">
        <f>FX30+FX25</f>
        <v/>
      </c>
      <c r="FY36" s="402">
        <f>FY30+FY25</f>
        <v/>
      </c>
      <c r="FZ36" s="402">
        <f>FZ30+FZ25</f>
        <v/>
      </c>
      <c r="GA36" s="402">
        <f>GA30+GA25</f>
        <v/>
      </c>
      <c r="GB36" s="402">
        <f>GB30+GB25</f>
        <v/>
      </c>
      <c r="GC36" s="402">
        <f>GC30+GC25</f>
        <v/>
      </c>
      <c r="GD36" s="402">
        <f>GD30+GD25</f>
        <v/>
      </c>
      <c r="GE36" s="402">
        <f>GE30+GE25</f>
        <v/>
      </c>
      <c r="GF36" s="402">
        <f>GF30+GF25</f>
        <v/>
      </c>
      <c r="GG36" s="402">
        <f>GG30+GG25</f>
        <v/>
      </c>
      <c r="GH36" s="402">
        <f>GH30+GH25</f>
        <v/>
      </c>
      <c r="GI36" s="402">
        <f>GI30+GI25</f>
        <v/>
      </c>
      <c r="GJ36" s="402">
        <f>GJ30+GJ25</f>
        <v/>
      </c>
      <c r="GK36" s="402">
        <f>GK30+GK25</f>
        <v/>
      </c>
      <c r="GL36" s="402">
        <f>GL30+GL25</f>
        <v/>
      </c>
      <c r="GM36" s="402">
        <f>GM30+GM25</f>
        <v/>
      </c>
      <c r="GN36" s="402">
        <f>GN30+GN25</f>
        <v/>
      </c>
      <c r="GO36" s="402">
        <f>GO30+GO25</f>
        <v/>
      </c>
      <c r="GP36" s="402">
        <f>GP30+GP25</f>
        <v/>
      </c>
      <c r="GQ36" s="402">
        <f>GQ30+GQ25</f>
        <v/>
      </c>
      <c r="GR36" s="402">
        <f>GR30+GR25</f>
        <v/>
      </c>
      <c r="GS36" s="402">
        <f>GS30+GS25</f>
        <v/>
      </c>
      <c r="GT36" s="402">
        <f>GT30+GT25</f>
        <v/>
      </c>
      <c r="GU36" s="402">
        <f>GU30+GU25</f>
        <v/>
      </c>
      <c r="GV36" s="402">
        <f>GV30+GV25</f>
        <v/>
      </c>
      <c r="GW36" s="402">
        <f>GW30+GW25</f>
        <v/>
      </c>
      <c r="GX36" s="402">
        <f>GX30+GX25</f>
        <v/>
      </c>
      <c r="GY36" s="402">
        <f>GY30+GY25</f>
        <v/>
      </c>
      <c r="GZ36" s="402">
        <f>GZ30+GZ25</f>
        <v/>
      </c>
      <c r="HA36" s="402">
        <f>HA30+HA25</f>
        <v/>
      </c>
      <c r="HB36" s="402">
        <f>HB30+HB25</f>
        <v/>
      </c>
      <c r="HC36" s="402">
        <f>HC30+HC25</f>
        <v/>
      </c>
      <c r="HD36" s="402">
        <f>HD30+HD25</f>
        <v/>
      </c>
      <c r="HE36" s="402">
        <f>HE30+HE25</f>
        <v/>
      </c>
      <c r="HF36" s="402">
        <f>HF30+HF25</f>
        <v/>
      </c>
      <c r="HG36" s="402">
        <f>HG30+HG25</f>
        <v/>
      </c>
      <c r="HH36" s="402">
        <f>HH30+HH25</f>
        <v/>
      </c>
      <c r="HI36" s="402">
        <f>HI30+HI25</f>
        <v/>
      </c>
      <c r="HJ36" s="402">
        <f>HJ30+HJ25</f>
        <v/>
      </c>
      <c r="HK36" s="402">
        <f>HK30+HK25</f>
        <v/>
      </c>
      <c r="HL36" s="402">
        <f>HL30+HL25</f>
        <v/>
      </c>
      <c r="HM36" s="402">
        <f>HM30+HM25</f>
        <v/>
      </c>
      <c r="HN36" s="402">
        <f>HN30+HN25</f>
        <v/>
      </c>
      <c r="HO36" s="402">
        <f>HO30+HO25</f>
        <v/>
      </c>
      <c r="HP36" s="402">
        <f>HP30+HP25</f>
        <v/>
      </c>
      <c r="HQ36" s="402">
        <f>HQ30+HQ25</f>
        <v/>
      </c>
      <c r="HR36" s="402">
        <f>HR30+HR25</f>
        <v/>
      </c>
      <c r="HS36" s="402">
        <f>HS30+HS25</f>
        <v/>
      </c>
      <c r="HT36" s="402">
        <f>HT30+HT25</f>
        <v/>
      </c>
      <c r="HU36" s="402">
        <f>HU30+HU25</f>
        <v/>
      </c>
      <c r="HV36" s="402">
        <f>HV30+HV25</f>
        <v/>
      </c>
      <c r="HW36" s="402">
        <f>HW30+HW25</f>
        <v/>
      </c>
      <c r="HX36" s="402">
        <f>HX30+HX25</f>
        <v/>
      </c>
      <c r="HY36" s="402">
        <f>HY30+HY25</f>
        <v/>
      </c>
      <c r="HZ36" s="402">
        <f>HZ30+HZ25</f>
        <v/>
      </c>
      <c r="IA36" s="402">
        <f>IA30+IA25</f>
        <v/>
      </c>
      <c r="IB36" s="402">
        <f>IB30+IB25</f>
        <v/>
      </c>
      <c r="IC36" s="402">
        <f>IC30+IC25</f>
        <v/>
      </c>
      <c r="ID36" s="402">
        <f>ID30+ID25</f>
        <v/>
      </c>
      <c r="IE36" s="402">
        <f>IE30+IE25</f>
        <v/>
      </c>
      <c r="IF36" s="402">
        <f>IF30+IF25</f>
        <v/>
      </c>
      <c r="IG36" s="402">
        <f>IG30+IG25</f>
        <v/>
      </c>
      <c r="IH36" s="402">
        <f>IH30+IH25</f>
        <v/>
      </c>
      <c r="II36" s="402">
        <f>II30+II25</f>
        <v/>
      </c>
      <c r="IJ36" s="402">
        <f>IJ30+IJ25</f>
        <v/>
      </c>
      <c r="IK36" s="402">
        <f>IK30+IK25</f>
        <v/>
      </c>
      <c r="IL36" s="402">
        <f>IL30+IL25</f>
        <v/>
      </c>
      <c r="IM36" s="402">
        <f>IM30+IM25</f>
        <v/>
      </c>
      <c r="IN36" s="402">
        <f>IN30+IN25</f>
        <v/>
      </c>
      <c r="IO36" s="402">
        <f>IO30+IO25</f>
        <v/>
      </c>
      <c r="IP36" s="402">
        <f>IP30+IP25</f>
        <v/>
      </c>
      <c r="IQ36" s="402">
        <f>IQ30+IQ25</f>
        <v/>
      </c>
      <c r="IR36" s="402">
        <f>IR30+IR25</f>
        <v/>
      </c>
      <c r="IS36" s="402">
        <f>IS30+IS25</f>
        <v/>
      </c>
      <c r="IT36" s="402">
        <f>IT30+IT25</f>
        <v/>
      </c>
      <c r="IU36" s="402">
        <f>IU30+IU25</f>
        <v/>
      </c>
      <c r="IV36" s="402">
        <f>IV30+IV25</f>
        <v/>
      </c>
      <c r="IW36" s="402">
        <f>IW30+IW25</f>
        <v/>
      </c>
      <c r="IX36" s="402">
        <f>IX30+IX25</f>
        <v/>
      </c>
      <c r="IY36" s="402">
        <f>IY30+IY25</f>
        <v/>
      </c>
      <c r="IZ36" s="402">
        <f>IZ30+IZ25</f>
        <v/>
      </c>
      <c r="JA36" s="402">
        <f>JA30+JA25</f>
        <v/>
      </c>
      <c r="JB36" s="402">
        <f>JB30+JB25</f>
        <v/>
      </c>
      <c r="JC36" s="402">
        <f>JC30+JC25</f>
        <v/>
      </c>
      <c r="JD36" s="402">
        <f>JD30+JD25</f>
        <v/>
      </c>
      <c r="JE36" s="402">
        <f>JE30+JE25</f>
        <v/>
      </c>
      <c r="JF36" s="402">
        <f>JF30+JF25</f>
        <v/>
      </c>
      <c r="JG36" s="402">
        <f>JG30+JG25</f>
        <v/>
      </c>
      <c r="JH36" s="402">
        <f>JH30+JH25</f>
        <v/>
      </c>
      <c r="JI36" s="402">
        <f>JI30+JI25</f>
        <v/>
      </c>
      <c r="JJ36" s="402">
        <f>JJ30+JJ25</f>
        <v/>
      </c>
      <c r="JK36" s="402">
        <f>JK30+JK25</f>
        <v/>
      </c>
      <c r="JL36" s="402">
        <f>JL30+JL25</f>
        <v/>
      </c>
      <c r="JM36" s="402">
        <f>JM30+JM25</f>
        <v/>
      </c>
      <c r="JN36" s="402">
        <f>JN30+JN25</f>
        <v/>
      </c>
      <c r="JO36" s="402">
        <f>JO30+JO25</f>
        <v/>
      </c>
      <c r="JP36" s="402">
        <f>JP30+JP25</f>
        <v/>
      </c>
      <c r="JQ36" s="402">
        <f>JQ30+JQ25</f>
        <v/>
      </c>
      <c r="JR36" s="402">
        <f>JR30+JR25</f>
        <v/>
      </c>
      <c r="JS36" s="402">
        <f>JS30+JS25</f>
        <v/>
      </c>
      <c r="JT36" s="402">
        <f>JT30+JT25</f>
        <v/>
      </c>
      <c r="JU36" s="402">
        <f>JU30+JU25</f>
        <v/>
      </c>
      <c r="JV36" s="402">
        <f>JV30+JV25</f>
        <v/>
      </c>
      <c r="JW36" s="402">
        <f>JW30+JW25</f>
        <v/>
      </c>
      <c r="JX36" s="402">
        <f>JX30+JX25</f>
        <v/>
      </c>
      <c r="JY36" s="402">
        <f>JY30+JY25</f>
        <v/>
      </c>
      <c r="JZ36" s="402">
        <f>JZ30+JZ25</f>
        <v/>
      </c>
      <c r="KA36" s="402">
        <f>KA30+KA25</f>
        <v/>
      </c>
      <c r="KB36" s="402">
        <f>KB30+KB25</f>
        <v/>
      </c>
      <c r="KC36" s="402">
        <f>KC30+KC25</f>
        <v/>
      </c>
      <c r="KD36" s="402">
        <f>KD30+KD25</f>
        <v/>
      </c>
      <c r="KE36" s="402">
        <f>KE30+KE25</f>
        <v/>
      </c>
      <c r="KF36" s="402">
        <f>KF30+KF25</f>
        <v/>
      </c>
      <c r="KG36" s="402">
        <f>KG30+KG25</f>
        <v/>
      </c>
      <c r="KH36" s="402">
        <f>KH30+KH25</f>
        <v/>
      </c>
      <c r="KI36" s="402">
        <f>KI30+KI25</f>
        <v/>
      </c>
      <c r="KJ36" s="402">
        <f>KJ30+KJ25</f>
        <v/>
      </c>
      <c r="KK36" s="402">
        <f>KK30+KK25</f>
        <v/>
      </c>
      <c r="KL36" s="402">
        <f>KL30+KL25</f>
        <v/>
      </c>
      <c r="KM36" s="402">
        <f>KM30+KM25</f>
        <v/>
      </c>
      <c r="KN36" s="402">
        <f>KN30+KN25</f>
        <v/>
      </c>
      <c r="KO36" s="402">
        <f>KO30+KO25</f>
        <v/>
      </c>
      <c r="KP36" s="402">
        <f>KP30+KP25</f>
        <v/>
      </c>
      <c r="KQ36" s="402">
        <f>KQ30+KQ25</f>
        <v/>
      </c>
      <c r="KR36" s="402">
        <f>KR30+KR25</f>
        <v/>
      </c>
      <c r="KS36" s="402">
        <f>KS30+KS25</f>
        <v/>
      </c>
      <c r="KT36" s="402">
        <f>KT30+KT25</f>
        <v/>
      </c>
      <c r="KU36" s="402">
        <f>KU30+KU25</f>
        <v/>
      </c>
      <c r="KV36" s="402">
        <f>KV30+KV25</f>
        <v/>
      </c>
      <c r="KW36" s="402">
        <f>KW30+KW25</f>
        <v/>
      </c>
      <c r="KX36" s="402">
        <f>KX30+KX25</f>
        <v/>
      </c>
      <c r="KY36" s="402">
        <f>KY30+KY25</f>
        <v/>
      </c>
      <c r="KZ36" s="402">
        <f>KZ30+KZ25</f>
        <v/>
      </c>
      <c r="LA36" s="402">
        <f>LA30+LA25</f>
        <v/>
      </c>
      <c r="LB36" s="402">
        <f>LB30+LB25</f>
        <v/>
      </c>
      <c r="LC36" s="402">
        <f>LC30+LC25</f>
        <v/>
      </c>
      <c r="LD36" s="402">
        <f>LD30+LD25</f>
        <v/>
      </c>
      <c r="LE36" s="402">
        <f>LE30+LE25</f>
        <v/>
      </c>
      <c r="LF36" s="402">
        <f>LF30+LF25</f>
        <v/>
      </c>
      <c r="LG36" s="402">
        <f>LG30+LG25</f>
        <v/>
      </c>
      <c r="LH36" s="402">
        <f>LH30+LH25</f>
        <v/>
      </c>
      <c r="LI36" s="402">
        <f>LI30+LI25</f>
        <v/>
      </c>
      <c r="LJ36" s="402">
        <f>LJ30+LJ25</f>
        <v/>
      </c>
      <c r="LK36" s="402">
        <f>LK30+LK25</f>
        <v/>
      </c>
      <c r="LL36" s="402">
        <f>LL30+LL25</f>
        <v/>
      </c>
      <c r="LM36" s="402">
        <f>LM30+LM25</f>
        <v/>
      </c>
      <c r="LN36" s="402">
        <f>LN30+LN25</f>
        <v/>
      </c>
      <c r="LO36" s="402">
        <f>LO30+LO25</f>
        <v/>
      </c>
      <c r="LP36" s="402">
        <f>LP30+LP25</f>
        <v/>
      </c>
      <c r="LQ36" s="402">
        <f>LQ30+LQ25</f>
        <v/>
      </c>
      <c r="LR36" s="402">
        <f>LR30+LR25</f>
        <v/>
      </c>
      <c r="LS36" s="402">
        <f>LS30+LS25</f>
        <v/>
      </c>
      <c r="LT36" s="402">
        <f>LT30+LT25</f>
        <v/>
      </c>
      <c r="LU36" s="402">
        <f>LU30+LU25</f>
        <v/>
      </c>
      <c r="LV36" s="402">
        <f>LV30+LV25</f>
        <v/>
      </c>
      <c r="LW36" s="402">
        <f>LW30+LW25</f>
        <v/>
      </c>
      <c r="LX36" s="402">
        <f>LX30+LX25</f>
        <v/>
      </c>
      <c r="LY36" s="402">
        <f>LY30+LY25</f>
        <v/>
      </c>
      <c r="LZ36" s="402">
        <f>LZ30+LZ25</f>
        <v/>
      </c>
      <c r="MA36" s="402">
        <f>MA30+MA25</f>
        <v/>
      </c>
      <c r="MB36" s="402">
        <f>MB30+MB25</f>
        <v/>
      </c>
      <c r="MC36" s="402">
        <f>MC30+MC25</f>
        <v/>
      </c>
      <c r="MD36" s="402">
        <f>MD30+MD25</f>
        <v/>
      </c>
      <c r="ME36" s="402">
        <f>ME30+ME25</f>
        <v/>
      </c>
      <c r="MF36" s="402">
        <f>MF30+MF25</f>
        <v/>
      </c>
      <c r="MG36" s="402">
        <f>MG30+MG25</f>
        <v/>
      </c>
      <c r="MH36" s="402">
        <f>MH30+MH25</f>
        <v/>
      </c>
      <c r="MI36" s="402">
        <f>MI30+MI25</f>
        <v/>
      </c>
      <c r="MJ36" s="402">
        <f>MJ30+MJ25</f>
        <v/>
      </c>
      <c r="MK36" s="402">
        <f>MK30+MK25</f>
        <v/>
      </c>
      <c r="ML36" s="402">
        <f>ML30+ML25</f>
        <v/>
      </c>
      <c r="MM36" s="402">
        <f>MM30+MM25</f>
        <v/>
      </c>
      <c r="MN36" s="402">
        <f>MN30+MN25</f>
        <v/>
      </c>
      <c r="MO36" s="402">
        <f>MO30+MO25</f>
        <v/>
      </c>
      <c r="MP36" s="402">
        <f>MP30+MP25</f>
        <v/>
      </c>
      <c r="MQ36" s="402">
        <f>MQ30+MQ25</f>
        <v/>
      </c>
      <c r="MR36" s="402">
        <f>MR30+MR25</f>
        <v/>
      </c>
      <c r="MS36" s="402">
        <f>MS30+MS25</f>
        <v/>
      </c>
      <c r="MT36" s="402">
        <f>MT30+MT25</f>
        <v/>
      </c>
      <c r="MU36" s="402">
        <f>MU30+MU25</f>
        <v/>
      </c>
      <c r="MV36" s="402">
        <f>MV30+MV25</f>
        <v/>
      </c>
      <c r="MW36" s="402">
        <f>MW30+MW25</f>
        <v/>
      </c>
      <c r="MX36" s="402">
        <f>MX30+MX25</f>
        <v/>
      </c>
      <c r="MY36" s="402">
        <f>MY30+MY25</f>
        <v/>
      </c>
      <c r="MZ36" s="402">
        <f>MZ30+MZ25</f>
        <v/>
      </c>
      <c r="NA36" s="402">
        <f>NA30+NA25</f>
        <v/>
      </c>
      <c r="NB36" s="402">
        <f>NB30+NB25</f>
        <v/>
      </c>
      <c r="NC36" s="402">
        <f>NC30+NC25</f>
        <v/>
      </c>
      <c r="ND36" s="402">
        <f>ND30+ND25</f>
        <v/>
      </c>
      <c r="NE36" s="402">
        <f>NE30+NE25</f>
        <v/>
      </c>
      <c r="NF36" s="402">
        <f>NF30+NF25</f>
        <v/>
      </c>
      <c r="NG36" s="402">
        <f>NG30+NG25</f>
        <v/>
      </c>
      <c r="NH36" s="402">
        <f>NH30+NH25</f>
        <v/>
      </c>
      <c r="NI36" s="402">
        <f>NI30+NI25</f>
        <v/>
      </c>
      <c r="NJ36" s="402">
        <f>NJ30+NJ25</f>
        <v/>
      </c>
      <c r="NK36" s="402">
        <f>NK30+NK25</f>
        <v/>
      </c>
      <c r="NL36" s="402">
        <f>NL30+NL25</f>
        <v/>
      </c>
    </row>
    <row r="37">
      <c r="B37" s="384" t="inlineStr">
        <is>
          <t>LP / GP Split</t>
        </is>
      </c>
      <c r="D37" s="401" t="inlineStr"/>
      <c r="E37" s="155" t="n"/>
      <c r="F37" s="155" t="n"/>
      <c r="G37" s="155" t="n"/>
      <c r="H37" s="155" t="n"/>
      <c r="I37" s="155" t="n"/>
      <c r="J37" s="155" t="n"/>
      <c r="K37" s="155" t="n"/>
      <c r="L37" s="155" t="n"/>
      <c r="M37" s="155" t="n"/>
      <c r="N37" s="155" t="n"/>
      <c r="O37" s="155" t="n"/>
      <c r="P37" s="155" t="n"/>
      <c r="Q37" s="155" t="n"/>
      <c r="R37" s="155" t="n"/>
      <c r="S37" s="155" t="n"/>
      <c r="T37" s="155" t="n"/>
      <c r="U37" s="155" t="n"/>
      <c r="V37" s="155" t="n"/>
      <c r="W37" s="155" t="n"/>
      <c r="X37" s="155" t="n"/>
      <c r="Y37" s="155" t="n"/>
      <c r="Z37" s="155" t="n"/>
      <c r="AA37" s="155" t="n"/>
      <c r="AB37" s="155" t="n"/>
      <c r="AC37" s="155" t="n"/>
      <c r="AD37" s="155" t="n"/>
      <c r="AE37" s="155" t="n"/>
      <c r="AF37" s="155" t="n"/>
      <c r="AG37" s="155" t="n"/>
      <c r="AH37" s="155" t="n"/>
      <c r="AI37" s="155" t="n"/>
      <c r="AJ37" s="155" t="n"/>
      <c r="AK37" s="155" t="n"/>
      <c r="AL37" s="155" t="n"/>
      <c r="AM37" s="155" t="n"/>
      <c r="AN37" s="155" t="n"/>
      <c r="AO37" s="155" t="n"/>
      <c r="AP37" s="155" t="n"/>
      <c r="AQ37" s="155" t="n"/>
      <c r="AR37" s="155" t="n"/>
      <c r="AS37" s="155" t="n"/>
      <c r="AT37" s="155" t="n"/>
      <c r="AU37" s="155" t="n"/>
      <c r="AV37" s="155" t="n"/>
      <c r="AW37" s="155" t="n"/>
      <c r="AX37" s="155" t="n"/>
      <c r="AY37" s="155" t="n"/>
      <c r="AZ37" s="155" t="n"/>
      <c r="BA37" s="155" t="n"/>
      <c r="BB37" s="155" t="n"/>
      <c r="BC37" s="155" t="n"/>
      <c r="BD37" s="155" t="n"/>
      <c r="BE37" s="155" t="n"/>
      <c r="BF37" s="155" t="n"/>
      <c r="BG37" s="155" t="n"/>
      <c r="BH37" s="155" t="n"/>
      <c r="BI37" s="155" t="n"/>
      <c r="BJ37" s="155" t="n"/>
      <c r="BK37" s="155" t="n"/>
      <c r="BL37" s="155" t="n"/>
      <c r="BM37" s="155" t="n"/>
      <c r="BN37" s="155" t="n"/>
      <c r="BO37" s="155" t="n"/>
      <c r="BP37" s="155" t="n"/>
      <c r="BQ37" s="155" t="n"/>
      <c r="BR37" s="155" t="n"/>
      <c r="BS37" s="155" t="n"/>
      <c r="BT37" s="155" t="n"/>
      <c r="BU37" s="155" t="n"/>
      <c r="BV37" s="155" t="n"/>
      <c r="BW37" s="155" t="n"/>
      <c r="BX37" s="155" t="n"/>
      <c r="BY37" s="155" t="n"/>
      <c r="BZ37" s="155" t="n"/>
      <c r="CA37" s="155" t="n"/>
      <c r="CB37" s="155" t="n"/>
      <c r="CC37" s="155" t="n"/>
      <c r="CD37" s="155" t="n"/>
      <c r="CE37" s="155" t="n"/>
      <c r="CF37" s="155" t="n"/>
      <c r="CG37" s="155" t="n"/>
      <c r="CH37" s="155" t="n"/>
      <c r="CI37" s="155" t="n"/>
      <c r="CJ37" s="155" t="n"/>
      <c r="CK37" s="155" t="n"/>
      <c r="CL37" s="155" t="n"/>
      <c r="CM37" s="155" t="n"/>
      <c r="CN37" s="155" t="n"/>
      <c r="CO37" s="155" t="n"/>
      <c r="CP37" s="155" t="n"/>
      <c r="CQ37" s="155" t="n"/>
      <c r="CR37" s="155" t="n"/>
      <c r="CS37" s="155" t="n"/>
      <c r="CT37" s="155" t="n"/>
      <c r="CU37" s="155" t="n"/>
      <c r="CV37" s="155" t="n"/>
      <c r="CW37" s="155" t="n"/>
      <c r="CX37" s="155" t="n"/>
      <c r="CY37" s="155" t="n"/>
      <c r="CZ37" s="155" t="n"/>
      <c r="DA37" s="155" t="n"/>
      <c r="DB37" s="155" t="n"/>
      <c r="DC37" s="155" t="n"/>
      <c r="DD37" s="155" t="n"/>
      <c r="DE37" s="155" t="n"/>
      <c r="DF37" s="155" t="n"/>
      <c r="DG37" s="155" t="n"/>
      <c r="DH37" s="155" t="n"/>
      <c r="DI37" s="155" t="n"/>
      <c r="DJ37" s="155" t="n"/>
      <c r="DK37" s="155" t="n"/>
      <c r="DL37" s="155" t="n"/>
      <c r="DM37" s="155" t="n"/>
      <c r="DN37" s="155" t="n"/>
      <c r="DO37" s="155" t="n"/>
      <c r="DP37" s="155" t="n"/>
      <c r="DQ37" s="155" t="n"/>
      <c r="DR37" s="155" t="n"/>
      <c r="DS37" s="155" t="n"/>
      <c r="DT37" s="155" t="n"/>
      <c r="DU37" s="155" t="n"/>
      <c r="DV37" s="155" t="n"/>
      <c r="DW37" s="155" t="n"/>
      <c r="DX37" s="155" t="n"/>
      <c r="DY37" s="155" t="n"/>
      <c r="DZ37" s="155" t="n"/>
      <c r="EA37" s="155" t="n"/>
      <c r="EB37" s="155" t="n"/>
      <c r="EC37" s="155" t="n"/>
      <c r="ED37" s="155" t="n"/>
      <c r="EE37" s="155" t="n"/>
      <c r="EF37" s="155" t="n"/>
      <c r="EG37" s="155" t="n"/>
      <c r="EH37" s="155" t="n"/>
      <c r="EI37" s="155" t="n"/>
      <c r="EJ37" s="155" t="n"/>
      <c r="EK37" s="155" t="n"/>
      <c r="EL37" s="155" t="n"/>
      <c r="EM37" s="155" t="n"/>
      <c r="EN37" s="155" t="n"/>
      <c r="EO37" s="155" t="n"/>
      <c r="EP37" s="155" t="n"/>
      <c r="EQ37" s="155" t="n"/>
      <c r="ER37" s="155" t="n"/>
      <c r="ES37" s="155" t="n"/>
      <c r="ET37" s="155" t="n"/>
      <c r="EU37" s="155" t="n"/>
      <c r="EV37" s="155" t="n"/>
      <c r="EW37" s="155" t="n"/>
      <c r="EX37" s="155" t="n"/>
      <c r="EY37" s="155" t="n"/>
      <c r="EZ37" s="155" t="n"/>
      <c r="FA37" s="155" t="n"/>
      <c r="FB37" s="155" t="n"/>
      <c r="FC37" s="155" t="n"/>
      <c r="FD37" s="155" t="n"/>
      <c r="FE37" s="155" t="n"/>
      <c r="FF37" s="155" t="n"/>
      <c r="FG37" s="155" t="n"/>
      <c r="FH37" s="155" t="n"/>
      <c r="FI37" s="155" t="n"/>
      <c r="FJ37" s="155" t="n"/>
      <c r="FK37" s="155" t="n"/>
      <c r="FL37" s="155" t="n"/>
      <c r="FM37" s="155" t="n"/>
      <c r="FN37" s="155" t="n"/>
      <c r="FO37" s="155" t="n"/>
      <c r="FP37" s="155" t="n"/>
      <c r="FQ37" s="155" t="n"/>
      <c r="FR37" s="155" t="n"/>
      <c r="FS37" s="155" t="n"/>
      <c r="FT37" s="155" t="n"/>
      <c r="FU37" s="155" t="n"/>
      <c r="FV37" s="155" t="n"/>
      <c r="FW37" s="155" t="n"/>
      <c r="FX37" s="155" t="n"/>
      <c r="FY37" s="155" t="n"/>
      <c r="FZ37" s="155" t="n"/>
      <c r="GA37" s="155" t="n"/>
      <c r="GB37" s="155" t="n"/>
      <c r="GC37" s="155" t="n"/>
      <c r="GD37" s="155" t="n"/>
      <c r="GE37" s="155" t="n"/>
      <c r="GF37" s="155" t="n"/>
      <c r="GG37" s="155" t="n"/>
      <c r="GH37" s="155" t="n"/>
      <c r="GI37" s="155" t="n"/>
      <c r="GJ37" s="155" t="n"/>
      <c r="GK37" s="155" t="n"/>
      <c r="GL37" s="155" t="n"/>
      <c r="GM37" s="155" t="n"/>
      <c r="GN37" s="155" t="n"/>
      <c r="GO37" s="155" t="n"/>
      <c r="GP37" s="155" t="n"/>
      <c r="GQ37" s="155" t="n"/>
      <c r="GR37" s="155" t="n"/>
      <c r="GS37" s="155" t="n"/>
      <c r="GT37" s="155" t="n"/>
      <c r="GU37" s="155" t="n"/>
      <c r="GV37" s="155" t="n"/>
      <c r="GW37" s="155" t="n"/>
      <c r="GX37" s="155" t="n"/>
      <c r="GY37" s="155" t="n"/>
      <c r="GZ37" s="155" t="n"/>
      <c r="HA37" s="155" t="n"/>
      <c r="HB37" s="155" t="n"/>
      <c r="HC37" s="155" t="n"/>
      <c r="HD37" s="155" t="n"/>
      <c r="HE37" s="155" t="n"/>
      <c r="HF37" s="155" t="n"/>
      <c r="HG37" s="155" t="n"/>
      <c r="HH37" s="155" t="n"/>
      <c r="HI37" s="155" t="n"/>
      <c r="HJ37" s="155" t="n"/>
      <c r="HK37" s="155" t="n"/>
      <c r="HL37" s="155" t="n"/>
      <c r="HM37" s="155" t="n"/>
      <c r="HN37" s="155" t="n"/>
      <c r="HO37" s="155" t="n"/>
      <c r="HP37" s="155" t="n"/>
      <c r="HQ37" s="155" t="n"/>
      <c r="HR37" s="155" t="n"/>
      <c r="HS37" s="155" t="n"/>
      <c r="HT37" s="155" t="n"/>
      <c r="HU37" s="155" t="n"/>
      <c r="HV37" s="155" t="n"/>
      <c r="HW37" s="155" t="n"/>
      <c r="HX37" s="155" t="n"/>
      <c r="HY37" s="155" t="n"/>
      <c r="HZ37" s="155" t="n"/>
      <c r="IA37" s="155" t="n"/>
      <c r="IB37" s="155" t="n"/>
      <c r="IC37" s="155" t="n"/>
      <c r="ID37" s="155" t="n"/>
      <c r="IE37" s="155" t="n"/>
      <c r="IF37" s="155" t="n"/>
      <c r="IG37" s="155" t="n"/>
      <c r="IH37" s="155" t="n"/>
      <c r="II37" s="155" t="n"/>
      <c r="IJ37" s="155" t="n"/>
      <c r="IK37" s="155" t="n"/>
      <c r="IL37" s="155" t="n"/>
      <c r="IM37" s="155" t="n"/>
      <c r="IN37" s="155" t="n"/>
      <c r="IO37" s="155" t="n"/>
      <c r="IP37" s="155" t="n"/>
      <c r="IQ37" s="155" t="n"/>
      <c r="IR37" s="155" t="n"/>
      <c r="IS37" s="155" t="n"/>
      <c r="IT37" s="155" t="n"/>
      <c r="IU37" s="155" t="n"/>
      <c r="IV37" s="155" t="n"/>
      <c r="IW37" s="155" t="n"/>
      <c r="IX37" s="155" t="n"/>
      <c r="IY37" s="155" t="n"/>
      <c r="IZ37" s="155" t="n"/>
      <c r="JA37" s="155" t="n"/>
      <c r="JB37" s="155" t="n"/>
      <c r="JC37" s="155" t="n"/>
      <c r="JD37" s="155" t="n"/>
      <c r="JE37" s="155" t="n"/>
      <c r="JF37" s="155" t="n"/>
      <c r="JG37" s="155" t="n"/>
      <c r="JH37" s="155" t="n"/>
      <c r="JI37" s="155" t="n"/>
      <c r="JJ37" s="155" t="n"/>
      <c r="JK37" s="155" t="n"/>
      <c r="JL37" s="155" t="n"/>
      <c r="JM37" s="155" t="n"/>
      <c r="JN37" s="155" t="n"/>
      <c r="JO37" s="155" t="n"/>
      <c r="JP37" s="155" t="n"/>
      <c r="JQ37" s="155" t="n"/>
      <c r="JR37" s="155" t="n"/>
      <c r="JS37" s="155" t="n"/>
      <c r="JT37" s="155" t="n"/>
      <c r="JU37" s="155" t="n"/>
      <c r="JV37" s="155" t="n"/>
      <c r="JW37" s="155" t="n"/>
      <c r="JX37" s="155" t="n"/>
      <c r="JY37" s="155" t="n"/>
      <c r="JZ37" s="155" t="n"/>
      <c r="KA37" s="155" t="n"/>
      <c r="KB37" s="155" t="n"/>
      <c r="KC37" s="155" t="n"/>
      <c r="KD37" s="155" t="n"/>
      <c r="KE37" s="155" t="n"/>
      <c r="KF37" s="155" t="n"/>
      <c r="KG37" s="155" t="n"/>
      <c r="KH37" s="155" t="n"/>
      <c r="KI37" s="155" t="n"/>
      <c r="KJ37" s="155" t="n"/>
      <c r="KK37" s="155" t="n"/>
      <c r="KL37" s="155" t="n"/>
      <c r="KM37" s="155" t="n"/>
      <c r="KN37" s="155" t="n"/>
      <c r="KO37" s="155" t="n"/>
      <c r="KP37" s="155" t="n"/>
      <c r="KQ37" s="155" t="n"/>
      <c r="KR37" s="155" t="n"/>
      <c r="KS37" s="155" t="n"/>
      <c r="KT37" s="155" t="n"/>
      <c r="KU37" s="155" t="n"/>
      <c r="KV37" s="155" t="n"/>
      <c r="KW37" s="155" t="n"/>
      <c r="KX37" s="155" t="n"/>
      <c r="KY37" s="155" t="n"/>
      <c r="KZ37" s="155" t="n"/>
      <c r="LA37" s="155" t="n"/>
      <c r="LB37" s="155" t="n"/>
      <c r="LC37" s="155" t="n"/>
      <c r="LD37" s="155" t="n"/>
      <c r="LE37" s="155" t="n"/>
      <c r="LF37" s="155" t="n"/>
      <c r="LG37" s="155" t="n"/>
      <c r="LH37" s="155" t="n"/>
      <c r="LI37" s="155" t="n"/>
      <c r="LJ37" s="155" t="n"/>
      <c r="LK37" s="155" t="n"/>
      <c r="LL37" s="155" t="n"/>
      <c r="LM37" s="155" t="n"/>
      <c r="LN37" s="155" t="n"/>
      <c r="LO37" s="155" t="n"/>
      <c r="LP37" s="155" t="n"/>
      <c r="LQ37" s="155" t="n"/>
      <c r="LR37" s="155" t="n"/>
      <c r="LS37" s="155" t="n"/>
      <c r="LT37" s="155" t="n"/>
      <c r="LU37" s="155" t="n"/>
      <c r="LV37" s="155" t="n"/>
      <c r="LW37" s="155" t="n"/>
      <c r="LX37" s="155" t="n"/>
      <c r="LY37" s="155" t="n"/>
      <c r="LZ37" s="155" t="n"/>
      <c r="MA37" s="155" t="n"/>
      <c r="MB37" s="155" t="n"/>
      <c r="MC37" s="155" t="n"/>
      <c r="MD37" s="155" t="n"/>
      <c r="ME37" s="155" t="n"/>
      <c r="MF37" s="155" t="n"/>
      <c r="MG37" s="155" t="n"/>
      <c r="MH37" s="155" t="n"/>
      <c r="MI37" s="155" t="n"/>
      <c r="MJ37" s="155" t="n"/>
      <c r="MK37" s="155" t="n"/>
      <c r="ML37" s="155" t="n"/>
      <c r="MM37" s="155" t="n"/>
      <c r="MN37" s="155" t="n"/>
      <c r="MO37" s="155" t="n"/>
      <c r="MP37" s="155" t="n"/>
      <c r="MQ37" s="155" t="n"/>
      <c r="MR37" s="155" t="n"/>
      <c r="MS37" s="155" t="n"/>
      <c r="MT37" s="155" t="n"/>
      <c r="MU37" s="155" t="n"/>
      <c r="MV37" s="155" t="n"/>
      <c r="MW37" s="155" t="n"/>
      <c r="MX37" s="155" t="n"/>
      <c r="MY37" s="155" t="n"/>
      <c r="MZ37" s="155" t="n"/>
      <c r="NA37" s="155" t="n"/>
      <c r="NB37" s="155" t="n"/>
      <c r="NC37" s="155" t="n"/>
      <c r="ND37" s="155" t="n"/>
      <c r="NE37" s="155" t="n"/>
      <c r="NF37" s="155" t="n"/>
      <c r="NG37" s="155" t="n"/>
      <c r="NH37" s="155" t="n"/>
      <c r="NI37" s="155" t="n"/>
      <c r="NJ37" s="155" t="n"/>
      <c r="NK37" s="155" t="n"/>
      <c r="NL37" s="155" t="n"/>
    </row>
    <row r="38">
      <c r="B38" s="316" t="inlineStr">
        <is>
          <t>GP Distributions</t>
        </is>
      </c>
      <c r="D38" s="402">
        <f>SUM(E38:NL38)</f>
        <v/>
      </c>
      <c r="E38" s="402">
        <f>E32*GPCoInvest+E33*Promote2+E34*Promote3+E35*Promote4</f>
        <v/>
      </c>
      <c r="F38" s="402">
        <f>F32*GPCoInvest+F33*Promote2+F34*Promote3+F35*Promote4</f>
        <v/>
      </c>
      <c r="G38" s="402">
        <f>G32*GPCoInvest+G33*Promote2+G34*Promote3+G35*Promote4</f>
        <v/>
      </c>
      <c r="H38" s="402">
        <f>H32*GPCoInvest+H33*Promote2+H34*Promote3+H35*Promote4</f>
        <v/>
      </c>
      <c r="I38" s="402">
        <f>I32*GPCoInvest+I33*Promote2+I34*Promote3+I35*Promote4</f>
        <v/>
      </c>
      <c r="J38" s="402">
        <f>J32*GPCoInvest+J33*Promote2+J34*Promote3+J35*Promote4</f>
        <v/>
      </c>
      <c r="K38" s="402">
        <f>K32*GPCoInvest+K33*Promote2+K34*Promote3+K35*Promote4</f>
        <v/>
      </c>
      <c r="L38" s="402">
        <f>L32*GPCoInvest+L33*Promote2+L34*Promote3+L35*Promote4</f>
        <v/>
      </c>
      <c r="M38" s="402">
        <f>M32*GPCoInvest+M33*Promote2+M34*Promote3+M35*Promote4</f>
        <v/>
      </c>
      <c r="N38" s="402">
        <f>N32*GPCoInvest+N33*Promote2+N34*Promote3+N35*Promote4</f>
        <v/>
      </c>
      <c r="O38" s="402">
        <f>O32*GPCoInvest+O33*Promote2+O34*Promote3+O35*Promote4</f>
        <v/>
      </c>
      <c r="P38" s="402">
        <f>P32*GPCoInvest+P33*Promote2+P34*Promote3+P35*Promote4</f>
        <v/>
      </c>
      <c r="Q38" s="402">
        <f>Q32*GPCoInvest+Q33*Promote2+Q34*Promote3+Q35*Promote4</f>
        <v/>
      </c>
      <c r="R38" s="402">
        <f>R32*GPCoInvest+R33*Promote2+R34*Promote3+R35*Promote4</f>
        <v/>
      </c>
      <c r="S38" s="402">
        <f>S32*GPCoInvest+S33*Promote2+S34*Promote3+S35*Promote4</f>
        <v/>
      </c>
      <c r="T38" s="402">
        <f>T32*GPCoInvest+T33*Promote2+T34*Promote3+T35*Promote4</f>
        <v/>
      </c>
      <c r="U38" s="402">
        <f>U32*GPCoInvest+U33*Promote2+U34*Promote3+U35*Promote4</f>
        <v/>
      </c>
      <c r="V38" s="402">
        <f>V32*GPCoInvest+V33*Promote2+V34*Promote3+V35*Promote4</f>
        <v/>
      </c>
      <c r="W38" s="402">
        <f>W32*GPCoInvest+W33*Promote2+W34*Promote3+W35*Promote4</f>
        <v/>
      </c>
      <c r="X38" s="402">
        <f>X32*GPCoInvest+X33*Promote2+X34*Promote3+X35*Promote4</f>
        <v/>
      </c>
      <c r="Y38" s="402">
        <f>Y32*GPCoInvest+Y33*Promote2+Y34*Promote3+Y35*Promote4</f>
        <v/>
      </c>
      <c r="Z38" s="402">
        <f>Z32*GPCoInvest+Z33*Promote2+Z34*Promote3+Z35*Promote4</f>
        <v/>
      </c>
      <c r="AA38" s="402">
        <f>AA32*GPCoInvest+AA33*Promote2+AA34*Promote3+AA35*Promote4</f>
        <v/>
      </c>
      <c r="AB38" s="402">
        <f>AB32*GPCoInvest+AB33*Promote2+AB34*Promote3+AB35*Promote4</f>
        <v/>
      </c>
      <c r="AC38" s="402">
        <f>AC32*GPCoInvest+AC33*Promote2+AC34*Promote3+AC35*Promote4</f>
        <v/>
      </c>
      <c r="AD38" s="402">
        <f>AD32*GPCoInvest+AD33*Promote2+AD34*Promote3+AD35*Promote4</f>
        <v/>
      </c>
      <c r="AE38" s="402">
        <f>AE32*GPCoInvest+AE33*Promote2+AE34*Promote3+AE35*Promote4</f>
        <v/>
      </c>
      <c r="AF38" s="402">
        <f>AF32*GPCoInvest+AF33*Promote2+AF34*Promote3+AF35*Promote4</f>
        <v/>
      </c>
      <c r="AG38" s="402">
        <f>AG32*GPCoInvest+AG33*Promote2+AG34*Promote3+AG35*Promote4</f>
        <v/>
      </c>
      <c r="AH38" s="402">
        <f>AH32*GPCoInvest+AH33*Promote2+AH34*Promote3+AH35*Promote4</f>
        <v/>
      </c>
      <c r="AI38" s="402">
        <f>AI32*GPCoInvest+AI33*Promote2+AI34*Promote3+AI35*Promote4</f>
        <v/>
      </c>
      <c r="AJ38" s="402">
        <f>AJ32*GPCoInvest+AJ33*Promote2+AJ34*Promote3+AJ35*Promote4</f>
        <v/>
      </c>
      <c r="AK38" s="402">
        <f>AK32*GPCoInvest+AK33*Promote2+AK34*Promote3+AK35*Promote4</f>
        <v/>
      </c>
      <c r="AL38" s="402">
        <f>AL32*GPCoInvest+AL33*Promote2+AL34*Promote3+AL35*Promote4</f>
        <v/>
      </c>
      <c r="AM38" s="402">
        <f>AM32*GPCoInvest+AM33*Promote2+AM34*Promote3+AM35*Promote4</f>
        <v/>
      </c>
      <c r="AN38" s="402">
        <f>AN32*GPCoInvest+AN33*Promote2+AN34*Promote3+AN35*Promote4</f>
        <v/>
      </c>
      <c r="AO38" s="402">
        <f>AO32*GPCoInvest+AO33*Promote2+AO34*Promote3+AO35*Promote4</f>
        <v/>
      </c>
      <c r="AP38" s="402">
        <f>AP32*GPCoInvest+AP33*Promote2+AP34*Promote3+AP35*Promote4</f>
        <v/>
      </c>
      <c r="AQ38" s="402">
        <f>AQ32*GPCoInvest+AQ33*Promote2+AQ34*Promote3+AQ35*Promote4</f>
        <v/>
      </c>
      <c r="AR38" s="402">
        <f>AR32*GPCoInvest+AR33*Promote2+AR34*Promote3+AR35*Promote4</f>
        <v/>
      </c>
      <c r="AS38" s="402">
        <f>AS32*GPCoInvest+AS33*Promote2+AS34*Promote3+AS35*Promote4</f>
        <v/>
      </c>
      <c r="AT38" s="402">
        <f>AT32*GPCoInvest+AT33*Promote2+AT34*Promote3+AT35*Promote4</f>
        <v/>
      </c>
      <c r="AU38" s="402">
        <f>AU32*GPCoInvest+AU33*Promote2+AU34*Promote3+AU35*Promote4</f>
        <v/>
      </c>
      <c r="AV38" s="402">
        <f>AV32*GPCoInvest+AV33*Promote2+AV34*Promote3+AV35*Promote4</f>
        <v/>
      </c>
      <c r="AW38" s="402">
        <f>AW32*GPCoInvest+AW33*Promote2+AW34*Promote3+AW35*Promote4</f>
        <v/>
      </c>
      <c r="AX38" s="402">
        <f>AX32*GPCoInvest+AX33*Promote2+AX34*Promote3+AX35*Promote4</f>
        <v/>
      </c>
      <c r="AY38" s="402">
        <f>AY32*GPCoInvest+AY33*Promote2+AY34*Promote3+AY35*Promote4</f>
        <v/>
      </c>
      <c r="AZ38" s="402">
        <f>AZ32*GPCoInvest+AZ33*Promote2+AZ34*Promote3+AZ35*Promote4</f>
        <v/>
      </c>
      <c r="BA38" s="402">
        <f>BA32*GPCoInvest+BA33*Promote2+BA34*Promote3+BA35*Promote4</f>
        <v/>
      </c>
      <c r="BB38" s="402">
        <f>BB32*GPCoInvest+BB33*Promote2+BB34*Promote3+BB35*Promote4</f>
        <v/>
      </c>
      <c r="BC38" s="402">
        <f>BC32*GPCoInvest+BC33*Promote2+BC34*Promote3+BC35*Promote4</f>
        <v/>
      </c>
      <c r="BD38" s="402">
        <f>BD32*GPCoInvest+BD33*Promote2+BD34*Promote3+BD35*Promote4</f>
        <v/>
      </c>
      <c r="BE38" s="402">
        <f>BE32*GPCoInvest+BE33*Promote2+BE34*Promote3+BE35*Promote4</f>
        <v/>
      </c>
      <c r="BF38" s="402">
        <f>BF32*GPCoInvest+BF33*Promote2+BF34*Promote3+BF35*Promote4</f>
        <v/>
      </c>
      <c r="BG38" s="402">
        <f>BG32*GPCoInvest+BG33*Promote2+BG34*Promote3+BG35*Promote4</f>
        <v/>
      </c>
      <c r="BH38" s="402">
        <f>BH32*GPCoInvest+BH33*Promote2+BH34*Promote3+BH35*Promote4</f>
        <v/>
      </c>
      <c r="BI38" s="402">
        <f>BI32*GPCoInvest+BI33*Promote2+BI34*Promote3+BI35*Promote4</f>
        <v/>
      </c>
      <c r="BJ38" s="402">
        <f>BJ32*GPCoInvest+BJ33*Promote2+BJ34*Promote3+BJ35*Promote4</f>
        <v/>
      </c>
      <c r="BK38" s="402">
        <f>BK32*GPCoInvest+BK33*Promote2+BK34*Promote3+BK35*Promote4</f>
        <v/>
      </c>
      <c r="BL38" s="402">
        <f>BL32*GPCoInvest+BL33*Promote2+BL34*Promote3+BL35*Promote4</f>
        <v/>
      </c>
      <c r="BM38" s="402">
        <f>BM32*GPCoInvest+BM33*Promote2+BM34*Promote3+BM35*Promote4</f>
        <v/>
      </c>
      <c r="BN38" s="402">
        <f>BN32*GPCoInvest+BN33*Promote2+BN34*Promote3+BN35*Promote4</f>
        <v/>
      </c>
      <c r="BO38" s="402">
        <f>BO32*GPCoInvest+BO33*Promote2+BO34*Promote3+BO35*Promote4</f>
        <v/>
      </c>
      <c r="BP38" s="402">
        <f>BP32*GPCoInvest+BP33*Promote2+BP34*Promote3+BP35*Promote4</f>
        <v/>
      </c>
      <c r="BQ38" s="402">
        <f>BQ32*GPCoInvest+BQ33*Promote2+BQ34*Promote3+BQ35*Promote4</f>
        <v/>
      </c>
      <c r="BR38" s="402">
        <f>BR32*GPCoInvest+BR33*Promote2+BR34*Promote3+BR35*Promote4</f>
        <v/>
      </c>
      <c r="BS38" s="402">
        <f>BS32*GPCoInvest+BS33*Promote2+BS34*Promote3+BS35*Promote4</f>
        <v/>
      </c>
      <c r="BT38" s="402">
        <f>BT32*GPCoInvest+BT33*Promote2+BT34*Promote3+BT35*Promote4</f>
        <v/>
      </c>
      <c r="BU38" s="402">
        <f>BU32*GPCoInvest+BU33*Promote2+BU34*Promote3+BU35*Promote4</f>
        <v/>
      </c>
      <c r="BV38" s="402">
        <f>BV32*GPCoInvest+BV33*Promote2+BV34*Promote3+BV35*Promote4</f>
        <v/>
      </c>
      <c r="BW38" s="402">
        <f>BW32*GPCoInvest+BW33*Promote2+BW34*Promote3+BW35*Promote4</f>
        <v/>
      </c>
      <c r="BX38" s="402">
        <f>BX32*GPCoInvest+BX33*Promote2+BX34*Promote3+BX35*Promote4</f>
        <v/>
      </c>
      <c r="BY38" s="402">
        <f>BY32*GPCoInvest+BY33*Promote2+BY34*Promote3+BY35*Promote4</f>
        <v/>
      </c>
      <c r="BZ38" s="402">
        <f>BZ32*GPCoInvest+BZ33*Promote2+BZ34*Promote3+BZ35*Promote4</f>
        <v/>
      </c>
      <c r="CA38" s="402">
        <f>CA32*GPCoInvest+CA33*Promote2+CA34*Promote3+CA35*Promote4</f>
        <v/>
      </c>
      <c r="CB38" s="402">
        <f>CB32*GPCoInvest+CB33*Promote2+CB34*Promote3+CB35*Promote4</f>
        <v/>
      </c>
      <c r="CC38" s="402">
        <f>CC32*GPCoInvest+CC33*Promote2+CC34*Promote3+CC35*Promote4</f>
        <v/>
      </c>
      <c r="CD38" s="402">
        <f>CD32*GPCoInvest+CD33*Promote2+CD34*Promote3+CD35*Promote4</f>
        <v/>
      </c>
      <c r="CE38" s="402">
        <f>CE32*GPCoInvest+CE33*Promote2+CE34*Promote3+CE35*Promote4</f>
        <v/>
      </c>
      <c r="CF38" s="402">
        <f>CF32*GPCoInvest+CF33*Promote2+CF34*Promote3+CF35*Promote4</f>
        <v/>
      </c>
      <c r="CG38" s="402">
        <f>CG32*GPCoInvest+CG33*Promote2+CG34*Promote3+CG35*Promote4</f>
        <v/>
      </c>
      <c r="CH38" s="402">
        <f>CH32*GPCoInvest+CH33*Promote2+CH34*Promote3+CH35*Promote4</f>
        <v/>
      </c>
      <c r="CI38" s="402">
        <f>CI32*GPCoInvest+CI33*Promote2+CI34*Promote3+CI35*Promote4</f>
        <v/>
      </c>
      <c r="CJ38" s="402">
        <f>CJ32*GPCoInvest+CJ33*Promote2+CJ34*Promote3+CJ35*Promote4</f>
        <v/>
      </c>
      <c r="CK38" s="402">
        <f>CK32*GPCoInvest+CK33*Promote2+CK34*Promote3+CK35*Promote4</f>
        <v/>
      </c>
      <c r="CL38" s="402">
        <f>CL32*GPCoInvest+CL33*Promote2+CL34*Promote3+CL35*Promote4</f>
        <v/>
      </c>
      <c r="CM38" s="402">
        <f>CM32*GPCoInvest+CM33*Promote2+CM34*Promote3+CM35*Promote4</f>
        <v/>
      </c>
      <c r="CN38" s="402">
        <f>CN32*GPCoInvest+CN33*Promote2+CN34*Promote3+CN35*Promote4</f>
        <v/>
      </c>
      <c r="CO38" s="402">
        <f>CO32*GPCoInvest+CO33*Promote2+CO34*Promote3+CO35*Promote4</f>
        <v/>
      </c>
      <c r="CP38" s="402">
        <f>CP32*GPCoInvest+CP33*Promote2+CP34*Promote3+CP35*Promote4</f>
        <v/>
      </c>
      <c r="CQ38" s="402">
        <f>CQ32*GPCoInvest+CQ33*Promote2+CQ34*Promote3+CQ35*Promote4</f>
        <v/>
      </c>
      <c r="CR38" s="402">
        <f>CR32*GPCoInvest+CR33*Promote2+CR34*Promote3+CR35*Promote4</f>
        <v/>
      </c>
      <c r="CS38" s="402">
        <f>CS32*GPCoInvest+CS33*Promote2+CS34*Promote3+CS35*Promote4</f>
        <v/>
      </c>
      <c r="CT38" s="402">
        <f>CT32*GPCoInvest+CT33*Promote2+CT34*Promote3+CT35*Promote4</f>
        <v/>
      </c>
      <c r="CU38" s="402">
        <f>CU32*GPCoInvest+CU33*Promote2+CU34*Promote3+CU35*Promote4</f>
        <v/>
      </c>
      <c r="CV38" s="402">
        <f>CV32*GPCoInvest+CV33*Promote2+CV34*Promote3+CV35*Promote4</f>
        <v/>
      </c>
      <c r="CW38" s="402">
        <f>CW32*GPCoInvest+CW33*Promote2+CW34*Promote3+CW35*Promote4</f>
        <v/>
      </c>
      <c r="CX38" s="402">
        <f>CX32*GPCoInvest+CX33*Promote2+CX34*Promote3+CX35*Promote4</f>
        <v/>
      </c>
      <c r="CY38" s="402">
        <f>CY32*GPCoInvest+CY33*Promote2+CY34*Promote3+CY35*Promote4</f>
        <v/>
      </c>
      <c r="CZ38" s="402">
        <f>CZ32*GPCoInvest+CZ33*Promote2+CZ34*Promote3+CZ35*Promote4</f>
        <v/>
      </c>
      <c r="DA38" s="402">
        <f>DA32*GPCoInvest+DA33*Promote2+DA34*Promote3+DA35*Promote4</f>
        <v/>
      </c>
      <c r="DB38" s="402">
        <f>DB32*GPCoInvest+DB33*Promote2+DB34*Promote3+DB35*Promote4</f>
        <v/>
      </c>
      <c r="DC38" s="402">
        <f>DC32*GPCoInvest+DC33*Promote2+DC34*Promote3+DC35*Promote4</f>
        <v/>
      </c>
      <c r="DD38" s="402">
        <f>DD32*GPCoInvest+DD33*Promote2+DD34*Promote3+DD35*Promote4</f>
        <v/>
      </c>
      <c r="DE38" s="402">
        <f>DE32*GPCoInvest+DE33*Promote2+DE34*Promote3+DE35*Promote4</f>
        <v/>
      </c>
      <c r="DF38" s="402">
        <f>DF32*GPCoInvest+DF33*Promote2+DF34*Promote3+DF35*Promote4</f>
        <v/>
      </c>
      <c r="DG38" s="402">
        <f>DG32*GPCoInvest+DG33*Promote2+DG34*Promote3+DG35*Promote4</f>
        <v/>
      </c>
      <c r="DH38" s="402">
        <f>DH32*GPCoInvest+DH33*Promote2+DH34*Promote3+DH35*Promote4</f>
        <v/>
      </c>
      <c r="DI38" s="402">
        <f>DI32*GPCoInvest+DI33*Promote2+DI34*Promote3+DI35*Promote4</f>
        <v/>
      </c>
      <c r="DJ38" s="402">
        <f>DJ32*GPCoInvest+DJ33*Promote2+DJ34*Promote3+DJ35*Promote4</f>
        <v/>
      </c>
      <c r="DK38" s="402">
        <f>DK32*GPCoInvest+DK33*Promote2+DK34*Promote3+DK35*Promote4</f>
        <v/>
      </c>
      <c r="DL38" s="402">
        <f>DL32*GPCoInvest+DL33*Promote2+DL34*Promote3+DL35*Promote4</f>
        <v/>
      </c>
      <c r="DM38" s="402">
        <f>DM32*GPCoInvest+DM33*Promote2+DM34*Promote3+DM35*Promote4</f>
        <v/>
      </c>
      <c r="DN38" s="402">
        <f>DN32*GPCoInvest+DN33*Promote2+DN34*Promote3+DN35*Promote4</f>
        <v/>
      </c>
      <c r="DO38" s="402">
        <f>DO32*GPCoInvest+DO33*Promote2+DO34*Promote3+DO35*Promote4</f>
        <v/>
      </c>
      <c r="DP38" s="402">
        <f>DP32*GPCoInvest+DP33*Promote2+DP34*Promote3+DP35*Promote4</f>
        <v/>
      </c>
      <c r="DQ38" s="402">
        <f>DQ32*GPCoInvest+DQ33*Promote2+DQ34*Promote3+DQ35*Promote4</f>
        <v/>
      </c>
      <c r="DR38" s="402">
        <f>DR32*GPCoInvest+DR33*Promote2+DR34*Promote3+DR35*Promote4</f>
        <v/>
      </c>
      <c r="DS38" s="402">
        <f>DS32*GPCoInvest+DS33*Promote2+DS34*Promote3+DS35*Promote4</f>
        <v/>
      </c>
      <c r="DT38" s="402">
        <f>DT32*GPCoInvest+DT33*Promote2+DT34*Promote3+DT35*Promote4</f>
        <v/>
      </c>
      <c r="DU38" s="402">
        <f>DU32*GPCoInvest+DU33*Promote2+DU34*Promote3+DU35*Promote4</f>
        <v/>
      </c>
      <c r="DV38" s="402">
        <f>DV32*GPCoInvest+DV33*Promote2+DV34*Promote3+DV35*Promote4</f>
        <v/>
      </c>
      <c r="DW38" s="402">
        <f>DW32*GPCoInvest+DW33*Promote2+DW34*Promote3+DW35*Promote4</f>
        <v/>
      </c>
      <c r="DX38" s="402">
        <f>DX32*GPCoInvest+DX33*Promote2+DX34*Promote3+DX35*Promote4</f>
        <v/>
      </c>
      <c r="DY38" s="402">
        <f>DY32*GPCoInvest+DY33*Promote2+DY34*Promote3+DY35*Promote4</f>
        <v/>
      </c>
      <c r="DZ38" s="402">
        <f>DZ32*GPCoInvest+DZ33*Promote2+DZ34*Promote3+DZ35*Promote4</f>
        <v/>
      </c>
      <c r="EA38" s="402">
        <f>EA32*GPCoInvest+EA33*Promote2+EA34*Promote3+EA35*Promote4</f>
        <v/>
      </c>
      <c r="EB38" s="402">
        <f>EB32*GPCoInvest+EB33*Promote2+EB34*Promote3+EB35*Promote4</f>
        <v/>
      </c>
      <c r="EC38" s="402">
        <f>EC32*GPCoInvest+EC33*Promote2+EC34*Promote3+EC35*Promote4</f>
        <v/>
      </c>
      <c r="ED38" s="402">
        <f>ED32*GPCoInvest+ED33*Promote2+ED34*Promote3+ED35*Promote4</f>
        <v/>
      </c>
      <c r="EE38" s="402">
        <f>EE32*GPCoInvest+EE33*Promote2+EE34*Promote3+EE35*Promote4</f>
        <v/>
      </c>
      <c r="EF38" s="402">
        <f>EF32*GPCoInvest+EF33*Promote2+EF34*Promote3+EF35*Promote4</f>
        <v/>
      </c>
      <c r="EG38" s="402">
        <f>EG32*GPCoInvest+EG33*Promote2+EG34*Promote3+EG35*Promote4</f>
        <v/>
      </c>
      <c r="EH38" s="402">
        <f>EH32*GPCoInvest+EH33*Promote2+EH34*Promote3+EH35*Promote4</f>
        <v/>
      </c>
      <c r="EI38" s="402">
        <f>EI32*GPCoInvest+EI33*Promote2+EI34*Promote3+EI35*Promote4</f>
        <v/>
      </c>
      <c r="EJ38" s="402">
        <f>EJ32*GPCoInvest+EJ33*Promote2+EJ34*Promote3+EJ35*Promote4</f>
        <v/>
      </c>
      <c r="EK38" s="402">
        <f>EK32*GPCoInvest+EK33*Promote2+EK34*Promote3+EK35*Promote4</f>
        <v/>
      </c>
      <c r="EL38" s="402">
        <f>EL32*GPCoInvest+EL33*Promote2+EL34*Promote3+EL35*Promote4</f>
        <v/>
      </c>
      <c r="EM38" s="402">
        <f>EM32*GPCoInvest+EM33*Promote2+EM34*Promote3+EM35*Promote4</f>
        <v/>
      </c>
      <c r="EN38" s="402">
        <f>EN32*GPCoInvest+EN33*Promote2+EN34*Promote3+EN35*Promote4</f>
        <v/>
      </c>
      <c r="EO38" s="402">
        <f>EO32*GPCoInvest+EO33*Promote2+EO34*Promote3+EO35*Promote4</f>
        <v/>
      </c>
      <c r="EP38" s="402">
        <f>EP32*GPCoInvest+EP33*Promote2+EP34*Promote3+EP35*Promote4</f>
        <v/>
      </c>
      <c r="EQ38" s="402">
        <f>EQ32*GPCoInvest+EQ33*Promote2+EQ34*Promote3+EQ35*Promote4</f>
        <v/>
      </c>
      <c r="ER38" s="402">
        <f>ER32*GPCoInvest+ER33*Promote2+ER34*Promote3+ER35*Promote4</f>
        <v/>
      </c>
      <c r="ES38" s="402">
        <f>ES32*GPCoInvest+ES33*Promote2+ES34*Promote3+ES35*Promote4</f>
        <v/>
      </c>
      <c r="ET38" s="402">
        <f>ET32*GPCoInvest+ET33*Promote2+ET34*Promote3+ET35*Promote4</f>
        <v/>
      </c>
      <c r="EU38" s="402">
        <f>EU32*GPCoInvest+EU33*Promote2+EU34*Promote3+EU35*Promote4</f>
        <v/>
      </c>
      <c r="EV38" s="402">
        <f>EV32*GPCoInvest+EV33*Promote2+EV34*Promote3+EV35*Promote4</f>
        <v/>
      </c>
      <c r="EW38" s="402">
        <f>EW32*GPCoInvest+EW33*Promote2+EW34*Promote3+EW35*Promote4</f>
        <v/>
      </c>
      <c r="EX38" s="402">
        <f>EX32*GPCoInvest+EX33*Promote2+EX34*Promote3+EX35*Promote4</f>
        <v/>
      </c>
      <c r="EY38" s="402">
        <f>EY32*GPCoInvest+EY33*Promote2+EY34*Promote3+EY35*Promote4</f>
        <v/>
      </c>
      <c r="EZ38" s="402">
        <f>EZ32*GPCoInvest+EZ33*Promote2+EZ34*Promote3+EZ35*Promote4</f>
        <v/>
      </c>
      <c r="FA38" s="402">
        <f>FA32*GPCoInvest+FA33*Promote2+FA34*Promote3+FA35*Promote4</f>
        <v/>
      </c>
      <c r="FB38" s="402">
        <f>FB32*GPCoInvest+FB33*Promote2+FB34*Promote3+FB35*Promote4</f>
        <v/>
      </c>
      <c r="FC38" s="402">
        <f>FC32*GPCoInvest+FC33*Promote2+FC34*Promote3+FC35*Promote4</f>
        <v/>
      </c>
      <c r="FD38" s="402">
        <f>FD32*GPCoInvest+FD33*Promote2+FD34*Promote3+FD35*Promote4</f>
        <v/>
      </c>
      <c r="FE38" s="402">
        <f>FE32*GPCoInvest+FE33*Promote2+FE34*Promote3+FE35*Promote4</f>
        <v/>
      </c>
      <c r="FF38" s="402">
        <f>FF32*GPCoInvest+FF33*Promote2+FF34*Promote3+FF35*Promote4</f>
        <v/>
      </c>
      <c r="FG38" s="402">
        <f>FG32*GPCoInvest+FG33*Promote2+FG34*Promote3+FG35*Promote4</f>
        <v/>
      </c>
      <c r="FH38" s="402">
        <f>FH32*GPCoInvest+FH33*Promote2+FH34*Promote3+FH35*Promote4</f>
        <v/>
      </c>
      <c r="FI38" s="402">
        <f>FI32*GPCoInvest+FI33*Promote2+FI34*Promote3+FI35*Promote4</f>
        <v/>
      </c>
      <c r="FJ38" s="402">
        <f>FJ32*GPCoInvest+FJ33*Promote2+FJ34*Promote3+FJ35*Promote4</f>
        <v/>
      </c>
      <c r="FK38" s="402">
        <f>FK32*GPCoInvest+FK33*Promote2+FK34*Promote3+FK35*Promote4</f>
        <v/>
      </c>
      <c r="FL38" s="402">
        <f>FL32*GPCoInvest+FL33*Promote2+FL34*Promote3+FL35*Promote4</f>
        <v/>
      </c>
      <c r="FM38" s="402">
        <f>FM32*GPCoInvest+FM33*Promote2+FM34*Promote3+FM35*Promote4</f>
        <v/>
      </c>
      <c r="FN38" s="402">
        <f>FN32*GPCoInvest+FN33*Promote2+FN34*Promote3+FN35*Promote4</f>
        <v/>
      </c>
      <c r="FO38" s="402">
        <f>FO32*GPCoInvest+FO33*Promote2+FO34*Promote3+FO35*Promote4</f>
        <v/>
      </c>
      <c r="FP38" s="402">
        <f>FP32*GPCoInvest+FP33*Promote2+FP34*Promote3+FP35*Promote4</f>
        <v/>
      </c>
      <c r="FQ38" s="402">
        <f>FQ32*GPCoInvest+FQ33*Promote2+FQ34*Promote3+FQ35*Promote4</f>
        <v/>
      </c>
      <c r="FR38" s="402">
        <f>FR32*GPCoInvest+FR33*Promote2+FR34*Promote3+FR35*Promote4</f>
        <v/>
      </c>
      <c r="FS38" s="402">
        <f>FS32*GPCoInvest+FS33*Promote2+FS34*Promote3+FS35*Promote4</f>
        <v/>
      </c>
      <c r="FT38" s="402">
        <f>FT32*GPCoInvest+FT33*Promote2+FT34*Promote3+FT35*Promote4</f>
        <v/>
      </c>
      <c r="FU38" s="402">
        <f>FU32*GPCoInvest+FU33*Promote2+FU34*Promote3+FU35*Promote4</f>
        <v/>
      </c>
      <c r="FV38" s="402">
        <f>FV32*GPCoInvest+FV33*Promote2+FV34*Promote3+FV35*Promote4</f>
        <v/>
      </c>
      <c r="FW38" s="402">
        <f>FW32*GPCoInvest+FW33*Promote2+FW34*Promote3+FW35*Promote4</f>
        <v/>
      </c>
      <c r="FX38" s="402">
        <f>FX32*GPCoInvest+FX33*Promote2+FX34*Promote3+FX35*Promote4</f>
        <v/>
      </c>
      <c r="FY38" s="402">
        <f>FY32*GPCoInvest+FY33*Promote2+FY34*Promote3+FY35*Promote4</f>
        <v/>
      </c>
      <c r="FZ38" s="402">
        <f>FZ32*GPCoInvest+FZ33*Promote2+FZ34*Promote3+FZ35*Promote4</f>
        <v/>
      </c>
      <c r="GA38" s="402">
        <f>GA32*GPCoInvest+GA33*Promote2+GA34*Promote3+GA35*Promote4</f>
        <v/>
      </c>
      <c r="GB38" s="402">
        <f>GB32*GPCoInvest+GB33*Promote2+GB34*Promote3+GB35*Promote4</f>
        <v/>
      </c>
      <c r="GC38" s="402">
        <f>GC32*GPCoInvest+GC33*Promote2+GC34*Promote3+GC35*Promote4</f>
        <v/>
      </c>
      <c r="GD38" s="402">
        <f>GD32*GPCoInvest+GD33*Promote2+GD34*Promote3+GD35*Promote4</f>
        <v/>
      </c>
      <c r="GE38" s="402">
        <f>GE32*GPCoInvest+GE33*Promote2+GE34*Promote3+GE35*Promote4</f>
        <v/>
      </c>
      <c r="GF38" s="402">
        <f>GF32*GPCoInvest+GF33*Promote2+GF34*Promote3+GF35*Promote4</f>
        <v/>
      </c>
      <c r="GG38" s="402">
        <f>GG32*GPCoInvest+GG33*Promote2+GG34*Promote3+GG35*Promote4</f>
        <v/>
      </c>
      <c r="GH38" s="402">
        <f>GH32*GPCoInvest+GH33*Promote2+GH34*Promote3+GH35*Promote4</f>
        <v/>
      </c>
      <c r="GI38" s="402">
        <f>GI32*GPCoInvest+GI33*Promote2+GI34*Promote3+GI35*Promote4</f>
        <v/>
      </c>
      <c r="GJ38" s="402">
        <f>GJ32*GPCoInvest+GJ33*Promote2+GJ34*Promote3+GJ35*Promote4</f>
        <v/>
      </c>
      <c r="GK38" s="402">
        <f>GK32*GPCoInvest+GK33*Promote2+GK34*Promote3+GK35*Promote4</f>
        <v/>
      </c>
      <c r="GL38" s="402">
        <f>GL32*GPCoInvest+GL33*Promote2+GL34*Promote3+GL35*Promote4</f>
        <v/>
      </c>
      <c r="GM38" s="402">
        <f>GM32*GPCoInvest+GM33*Promote2+GM34*Promote3+GM35*Promote4</f>
        <v/>
      </c>
      <c r="GN38" s="402">
        <f>GN32*GPCoInvest+GN33*Promote2+GN34*Promote3+GN35*Promote4</f>
        <v/>
      </c>
      <c r="GO38" s="402">
        <f>GO32*GPCoInvest+GO33*Promote2+GO34*Promote3+GO35*Promote4</f>
        <v/>
      </c>
      <c r="GP38" s="402">
        <f>GP32*GPCoInvest+GP33*Promote2+GP34*Promote3+GP35*Promote4</f>
        <v/>
      </c>
      <c r="GQ38" s="402">
        <f>GQ32*GPCoInvest+GQ33*Promote2+GQ34*Promote3+GQ35*Promote4</f>
        <v/>
      </c>
      <c r="GR38" s="402">
        <f>GR32*GPCoInvest+GR33*Promote2+GR34*Promote3+GR35*Promote4</f>
        <v/>
      </c>
      <c r="GS38" s="402">
        <f>GS32*GPCoInvest+GS33*Promote2+GS34*Promote3+GS35*Promote4</f>
        <v/>
      </c>
      <c r="GT38" s="402">
        <f>GT32*GPCoInvest+GT33*Promote2+GT34*Promote3+GT35*Promote4</f>
        <v/>
      </c>
      <c r="GU38" s="402">
        <f>GU32*GPCoInvest+GU33*Promote2+GU34*Promote3+GU35*Promote4</f>
        <v/>
      </c>
      <c r="GV38" s="402">
        <f>GV32*GPCoInvest+GV33*Promote2+GV34*Promote3+GV35*Promote4</f>
        <v/>
      </c>
      <c r="GW38" s="402">
        <f>GW32*GPCoInvest+GW33*Promote2+GW34*Promote3+GW35*Promote4</f>
        <v/>
      </c>
      <c r="GX38" s="402">
        <f>GX32*GPCoInvest+GX33*Promote2+GX34*Promote3+GX35*Promote4</f>
        <v/>
      </c>
      <c r="GY38" s="402">
        <f>GY32*GPCoInvest+GY33*Promote2+GY34*Promote3+GY35*Promote4</f>
        <v/>
      </c>
      <c r="GZ38" s="402">
        <f>GZ32*GPCoInvest+GZ33*Promote2+GZ34*Promote3+GZ35*Promote4</f>
        <v/>
      </c>
      <c r="HA38" s="402">
        <f>HA32*GPCoInvest+HA33*Promote2+HA34*Promote3+HA35*Promote4</f>
        <v/>
      </c>
      <c r="HB38" s="402">
        <f>HB32*GPCoInvest+HB33*Promote2+HB34*Promote3+HB35*Promote4</f>
        <v/>
      </c>
      <c r="HC38" s="402">
        <f>HC32*GPCoInvest+HC33*Promote2+HC34*Promote3+HC35*Promote4</f>
        <v/>
      </c>
      <c r="HD38" s="402">
        <f>HD32*GPCoInvest+HD33*Promote2+HD34*Promote3+HD35*Promote4</f>
        <v/>
      </c>
      <c r="HE38" s="402">
        <f>HE32*GPCoInvest+HE33*Promote2+HE34*Promote3+HE35*Promote4</f>
        <v/>
      </c>
      <c r="HF38" s="402">
        <f>HF32*GPCoInvest+HF33*Promote2+HF34*Promote3+HF35*Promote4</f>
        <v/>
      </c>
      <c r="HG38" s="402">
        <f>HG32*GPCoInvest+HG33*Promote2+HG34*Promote3+HG35*Promote4</f>
        <v/>
      </c>
      <c r="HH38" s="402">
        <f>HH32*GPCoInvest+HH33*Promote2+HH34*Promote3+HH35*Promote4</f>
        <v/>
      </c>
      <c r="HI38" s="402">
        <f>HI32*GPCoInvest+HI33*Promote2+HI34*Promote3+HI35*Promote4</f>
        <v/>
      </c>
      <c r="HJ38" s="402">
        <f>HJ32*GPCoInvest+HJ33*Promote2+HJ34*Promote3+HJ35*Promote4</f>
        <v/>
      </c>
      <c r="HK38" s="402">
        <f>HK32*GPCoInvest+HK33*Promote2+HK34*Promote3+HK35*Promote4</f>
        <v/>
      </c>
      <c r="HL38" s="402">
        <f>HL32*GPCoInvest+HL33*Promote2+HL34*Promote3+HL35*Promote4</f>
        <v/>
      </c>
      <c r="HM38" s="402">
        <f>HM32*GPCoInvest+HM33*Promote2+HM34*Promote3+HM35*Promote4</f>
        <v/>
      </c>
      <c r="HN38" s="402">
        <f>HN32*GPCoInvest+HN33*Promote2+HN34*Promote3+HN35*Promote4</f>
        <v/>
      </c>
      <c r="HO38" s="402">
        <f>HO32*GPCoInvest+HO33*Promote2+HO34*Promote3+HO35*Promote4</f>
        <v/>
      </c>
      <c r="HP38" s="402">
        <f>HP32*GPCoInvest+HP33*Promote2+HP34*Promote3+HP35*Promote4</f>
        <v/>
      </c>
      <c r="HQ38" s="402">
        <f>HQ32*GPCoInvest+HQ33*Promote2+HQ34*Promote3+HQ35*Promote4</f>
        <v/>
      </c>
      <c r="HR38" s="402">
        <f>HR32*GPCoInvest+HR33*Promote2+HR34*Promote3+HR35*Promote4</f>
        <v/>
      </c>
      <c r="HS38" s="402">
        <f>HS32*GPCoInvest+HS33*Promote2+HS34*Promote3+HS35*Promote4</f>
        <v/>
      </c>
      <c r="HT38" s="402">
        <f>HT32*GPCoInvest+HT33*Promote2+HT34*Promote3+HT35*Promote4</f>
        <v/>
      </c>
      <c r="HU38" s="402">
        <f>HU32*GPCoInvest+HU33*Promote2+HU34*Promote3+HU35*Promote4</f>
        <v/>
      </c>
      <c r="HV38" s="402">
        <f>HV32*GPCoInvest+HV33*Promote2+HV34*Promote3+HV35*Promote4</f>
        <v/>
      </c>
      <c r="HW38" s="402">
        <f>HW32*GPCoInvest+HW33*Promote2+HW34*Promote3+HW35*Promote4</f>
        <v/>
      </c>
      <c r="HX38" s="402">
        <f>HX32*GPCoInvest+HX33*Promote2+HX34*Promote3+HX35*Promote4</f>
        <v/>
      </c>
      <c r="HY38" s="402">
        <f>HY32*GPCoInvest+HY33*Promote2+HY34*Promote3+HY35*Promote4</f>
        <v/>
      </c>
      <c r="HZ38" s="402">
        <f>HZ32*GPCoInvest+HZ33*Promote2+HZ34*Promote3+HZ35*Promote4</f>
        <v/>
      </c>
      <c r="IA38" s="402">
        <f>IA32*GPCoInvest+IA33*Promote2+IA34*Promote3+IA35*Promote4</f>
        <v/>
      </c>
      <c r="IB38" s="402">
        <f>IB32*GPCoInvest+IB33*Promote2+IB34*Promote3+IB35*Promote4</f>
        <v/>
      </c>
      <c r="IC38" s="402">
        <f>IC32*GPCoInvest+IC33*Promote2+IC34*Promote3+IC35*Promote4</f>
        <v/>
      </c>
      <c r="ID38" s="402">
        <f>ID32*GPCoInvest+ID33*Promote2+ID34*Promote3+ID35*Promote4</f>
        <v/>
      </c>
      <c r="IE38" s="402">
        <f>IE32*GPCoInvest+IE33*Promote2+IE34*Promote3+IE35*Promote4</f>
        <v/>
      </c>
      <c r="IF38" s="402">
        <f>IF32*GPCoInvest+IF33*Promote2+IF34*Promote3+IF35*Promote4</f>
        <v/>
      </c>
      <c r="IG38" s="402">
        <f>IG32*GPCoInvest+IG33*Promote2+IG34*Promote3+IG35*Promote4</f>
        <v/>
      </c>
      <c r="IH38" s="402">
        <f>IH32*GPCoInvest+IH33*Promote2+IH34*Promote3+IH35*Promote4</f>
        <v/>
      </c>
      <c r="II38" s="402">
        <f>II32*GPCoInvest+II33*Promote2+II34*Promote3+II35*Promote4</f>
        <v/>
      </c>
      <c r="IJ38" s="402">
        <f>IJ32*GPCoInvest+IJ33*Promote2+IJ34*Promote3+IJ35*Promote4</f>
        <v/>
      </c>
      <c r="IK38" s="402">
        <f>IK32*GPCoInvest+IK33*Promote2+IK34*Promote3+IK35*Promote4</f>
        <v/>
      </c>
      <c r="IL38" s="402">
        <f>IL32*GPCoInvest+IL33*Promote2+IL34*Promote3+IL35*Promote4</f>
        <v/>
      </c>
      <c r="IM38" s="402">
        <f>IM32*GPCoInvest+IM33*Promote2+IM34*Promote3+IM35*Promote4</f>
        <v/>
      </c>
      <c r="IN38" s="402">
        <f>IN32*GPCoInvest+IN33*Promote2+IN34*Promote3+IN35*Promote4</f>
        <v/>
      </c>
      <c r="IO38" s="402">
        <f>IO32*GPCoInvest+IO33*Promote2+IO34*Promote3+IO35*Promote4</f>
        <v/>
      </c>
      <c r="IP38" s="402">
        <f>IP32*GPCoInvest+IP33*Promote2+IP34*Promote3+IP35*Promote4</f>
        <v/>
      </c>
      <c r="IQ38" s="402">
        <f>IQ32*GPCoInvest+IQ33*Promote2+IQ34*Promote3+IQ35*Promote4</f>
        <v/>
      </c>
      <c r="IR38" s="402">
        <f>IR32*GPCoInvest+IR33*Promote2+IR34*Promote3+IR35*Promote4</f>
        <v/>
      </c>
      <c r="IS38" s="402">
        <f>IS32*GPCoInvest+IS33*Promote2+IS34*Promote3+IS35*Promote4</f>
        <v/>
      </c>
      <c r="IT38" s="402">
        <f>IT32*GPCoInvest+IT33*Promote2+IT34*Promote3+IT35*Promote4</f>
        <v/>
      </c>
      <c r="IU38" s="402">
        <f>IU32*GPCoInvest+IU33*Promote2+IU34*Promote3+IU35*Promote4</f>
        <v/>
      </c>
      <c r="IV38" s="402">
        <f>IV32*GPCoInvest+IV33*Promote2+IV34*Promote3+IV35*Promote4</f>
        <v/>
      </c>
      <c r="IW38" s="402">
        <f>IW32*GPCoInvest+IW33*Promote2+IW34*Promote3+IW35*Promote4</f>
        <v/>
      </c>
      <c r="IX38" s="402">
        <f>IX32*GPCoInvest+IX33*Promote2+IX34*Promote3+IX35*Promote4</f>
        <v/>
      </c>
      <c r="IY38" s="402">
        <f>IY32*GPCoInvest+IY33*Promote2+IY34*Promote3+IY35*Promote4</f>
        <v/>
      </c>
      <c r="IZ38" s="402">
        <f>IZ32*GPCoInvest+IZ33*Promote2+IZ34*Promote3+IZ35*Promote4</f>
        <v/>
      </c>
      <c r="JA38" s="402">
        <f>JA32*GPCoInvest+JA33*Promote2+JA34*Promote3+JA35*Promote4</f>
        <v/>
      </c>
      <c r="JB38" s="402">
        <f>JB32*GPCoInvest+JB33*Promote2+JB34*Promote3+JB35*Promote4</f>
        <v/>
      </c>
      <c r="JC38" s="402">
        <f>JC32*GPCoInvest+JC33*Promote2+JC34*Promote3+JC35*Promote4</f>
        <v/>
      </c>
      <c r="JD38" s="402">
        <f>JD32*GPCoInvest+JD33*Promote2+JD34*Promote3+JD35*Promote4</f>
        <v/>
      </c>
      <c r="JE38" s="402">
        <f>JE32*GPCoInvest+JE33*Promote2+JE34*Promote3+JE35*Promote4</f>
        <v/>
      </c>
      <c r="JF38" s="402">
        <f>JF32*GPCoInvest+JF33*Promote2+JF34*Promote3+JF35*Promote4</f>
        <v/>
      </c>
      <c r="JG38" s="402">
        <f>JG32*GPCoInvest+JG33*Promote2+JG34*Promote3+JG35*Promote4</f>
        <v/>
      </c>
      <c r="JH38" s="402">
        <f>JH32*GPCoInvest+JH33*Promote2+JH34*Promote3+JH35*Promote4</f>
        <v/>
      </c>
      <c r="JI38" s="402">
        <f>JI32*GPCoInvest+JI33*Promote2+JI34*Promote3+JI35*Promote4</f>
        <v/>
      </c>
      <c r="JJ38" s="402">
        <f>JJ32*GPCoInvest+JJ33*Promote2+JJ34*Promote3+JJ35*Promote4</f>
        <v/>
      </c>
      <c r="JK38" s="402">
        <f>JK32*GPCoInvest+JK33*Promote2+JK34*Promote3+JK35*Promote4</f>
        <v/>
      </c>
      <c r="JL38" s="402">
        <f>JL32*GPCoInvest+JL33*Promote2+JL34*Promote3+JL35*Promote4</f>
        <v/>
      </c>
      <c r="JM38" s="402">
        <f>JM32*GPCoInvest+JM33*Promote2+JM34*Promote3+JM35*Promote4</f>
        <v/>
      </c>
      <c r="JN38" s="402">
        <f>JN32*GPCoInvest+JN33*Promote2+JN34*Promote3+JN35*Promote4</f>
        <v/>
      </c>
      <c r="JO38" s="402">
        <f>JO32*GPCoInvest+JO33*Promote2+JO34*Promote3+JO35*Promote4</f>
        <v/>
      </c>
      <c r="JP38" s="402">
        <f>JP32*GPCoInvest+JP33*Promote2+JP34*Promote3+JP35*Promote4</f>
        <v/>
      </c>
      <c r="JQ38" s="402">
        <f>JQ32*GPCoInvest+JQ33*Promote2+JQ34*Promote3+JQ35*Promote4</f>
        <v/>
      </c>
      <c r="JR38" s="402">
        <f>JR32*GPCoInvest+JR33*Promote2+JR34*Promote3+JR35*Promote4</f>
        <v/>
      </c>
      <c r="JS38" s="402">
        <f>JS32*GPCoInvest+JS33*Promote2+JS34*Promote3+JS35*Promote4</f>
        <v/>
      </c>
      <c r="JT38" s="402">
        <f>JT32*GPCoInvest+JT33*Promote2+JT34*Promote3+JT35*Promote4</f>
        <v/>
      </c>
      <c r="JU38" s="402">
        <f>JU32*GPCoInvest+JU33*Promote2+JU34*Promote3+JU35*Promote4</f>
        <v/>
      </c>
      <c r="JV38" s="402">
        <f>JV32*GPCoInvest+JV33*Promote2+JV34*Promote3+JV35*Promote4</f>
        <v/>
      </c>
      <c r="JW38" s="402">
        <f>JW32*GPCoInvest+JW33*Promote2+JW34*Promote3+JW35*Promote4</f>
        <v/>
      </c>
      <c r="JX38" s="402">
        <f>JX32*GPCoInvest+JX33*Promote2+JX34*Promote3+JX35*Promote4</f>
        <v/>
      </c>
      <c r="JY38" s="402">
        <f>JY32*GPCoInvest+JY33*Promote2+JY34*Promote3+JY35*Promote4</f>
        <v/>
      </c>
      <c r="JZ38" s="402">
        <f>JZ32*GPCoInvest+JZ33*Promote2+JZ34*Promote3+JZ35*Promote4</f>
        <v/>
      </c>
      <c r="KA38" s="402">
        <f>KA32*GPCoInvest+KA33*Promote2+KA34*Promote3+KA35*Promote4</f>
        <v/>
      </c>
      <c r="KB38" s="402">
        <f>KB32*GPCoInvest+KB33*Promote2+KB34*Promote3+KB35*Promote4</f>
        <v/>
      </c>
      <c r="KC38" s="402">
        <f>KC32*GPCoInvest+KC33*Promote2+KC34*Promote3+KC35*Promote4</f>
        <v/>
      </c>
      <c r="KD38" s="402">
        <f>KD32*GPCoInvest+KD33*Promote2+KD34*Promote3+KD35*Promote4</f>
        <v/>
      </c>
      <c r="KE38" s="402">
        <f>KE32*GPCoInvest+KE33*Promote2+KE34*Promote3+KE35*Promote4</f>
        <v/>
      </c>
      <c r="KF38" s="402">
        <f>KF32*GPCoInvest+KF33*Promote2+KF34*Promote3+KF35*Promote4</f>
        <v/>
      </c>
      <c r="KG38" s="402">
        <f>KG32*GPCoInvest+KG33*Promote2+KG34*Promote3+KG35*Promote4</f>
        <v/>
      </c>
      <c r="KH38" s="402">
        <f>KH32*GPCoInvest+KH33*Promote2+KH34*Promote3+KH35*Promote4</f>
        <v/>
      </c>
      <c r="KI38" s="402">
        <f>KI32*GPCoInvest+KI33*Promote2+KI34*Promote3+KI35*Promote4</f>
        <v/>
      </c>
      <c r="KJ38" s="402">
        <f>KJ32*GPCoInvest+KJ33*Promote2+KJ34*Promote3+KJ35*Promote4</f>
        <v/>
      </c>
      <c r="KK38" s="402">
        <f>KK32*GPCoInvest+KK33*Promote2+KK34*Promote3+KK35*Promote4</f>
        <v/>
      </c>
      <c r="KL38" s="402">
        <f>KL32*GPCoInvest+KL33*Promote2+KL34*Promote3+KL35*Promote4</f>
        <v/>
      </c>
      <c r="KM38" s="402">
        <f>KM32*GPCoInvest+KM33*Promote2+KM34*Promote3+KM35*Promote4</f>
        <v/>
      </c>
      <c r="KN38" s="402">
        <f>KN32*GPCoInvest+KN33*Promote2+KN34*Promote3+KN35*Promote4</f>
        <v/>
      </c>
      <c r="KO38" s="402">
        <f>KO32*GPCoInvest+KO33*Promote2+KO34*Promote3+KO35*Promote4</f>
        <v/>
      </c>
      <c r="KP38" s="402">
        <f>KP32*GPCoInvest+KP33*Promote2+KP34*Promote3+KP35*Promote4</f>
        <v/>
      </c>
      <c r="KQ38" s="402">
        <f>KQ32*GPCoInvest+KQ33*Promote2+KQ34*Promote3+KQ35*Promote4</f>
        <v/>
      </c>
      <c r="KR38" s="402">
        <f>KR32*GPCoInvest+KR33*Promote2+KR34*Promote3+KR35*Promote4</f>
        <v/>
      </c>
      <c r="KS38" s="402">
        <f>KS32*GPCoInvest+KS33*Promote2+KS34*Promote3+KS35*Promote4</f>
        <v/>
      </c>
      <c r="KT38" s="402">
        <f>KT32*GPCoInvest+KT33*Promote2+KT34*Promote3+KT35*Promote4</f>
        <v/>
      </c>
      <c r="KU38" s="402">
        <f>KU32*GPCoInvest+KU33*Promote2+KU34*Promote3+KU35*Promote4</f>
        <v/>
      </c>
      <c r="KV38" s="402">
        <f>KV32*GPCoInvest+KV33*Promote2+KV34*Promote3+KV35*Promote4</f>
        <v/>
      </c>
      <c r="KW38" s="402">
        <f>KW32*GPCoInvest+KW33*Promote2+KW34*Promote3+KW35*Promote4</f>
        <v/>
      </c>
      <c r="KX38" s="402">
        <f>KX32*GPCoInvest+KX33*Promote2+KX34*Promote3+KX35*Promote4</f>
        <v/>
      </c>
      <c r="KY38" s="402">
        <f>KY32*GPCoInvest+KY33*Promote2+KY34*Promote3+KY35*Promote4</f>
        <v/>
      </c>
      <c r="KZ38" s="402">
        <f>KZ32*GPCoInvest+KZ33*Promote2+KZ34*Promote3+KZ35*Promote4</f>
        <v/>
      </c>
      <c r="LA38" s="402">
        <f>LA32*GPCoInvest+LA33*Promote2+LA34*Promote3+LA35*Promote4</f>
        <v/>
      </c>
      <c r="LB38" s="402">
        <f>LB32*GPCoInvest+LB33*Promote2+LB34*Promote3+LB35*Promote4</f>
        <v/>
      </c>
      <c r="LC38" s="402">
        <f>LC32*GPCoInvest+LC33*Promote2+LC34*Promote3+LC35*Promote4</f>
        <v/>
      </c>
      <c r="LD38" s="402">
        <f>LD32*GPCoInvest+LD33*Promote2+LD34*Promote3+LD35*Promote4</f>
        <v/>
      </c>
      <c r="LE38" s="402">
        <f>LE32*GPCoInvest+LE33*Promote2+LE34*Promote3+LE35*Promote4</f>
        <v/>
      </c>
      <c r="LF38" s="402">
        <f>LF32*GPCoInvest+LF33*Promote2+LF34*Promote3+LF35*Promote4</f>
        <v/>
      </c>
      <c r="LG38" s="402">
        <f>LG32*GPCoInvest+LG33*Promote2+LG34*Promote3+LG35*Promote4</f>
        <v/>
      </c>
      <c r="LH38" s="402">
        <f>LH32*GPCoInvest+LH33*Promote2+LH34*Promote3+LH35*Promote4</f>
        <v/>
      </c>
      <c r="LI38" s="402">
        <f>LI32*GPCoInvest+LI33*Promote2+LI34*Promote3+LI35*Promote4</f>
        <v/>
      </c>
      <c r="LJ38" s="402">
        <f>LJ32*GPCoInvest+LJ33*Promote2+LJ34*Promote3+LJ35*Promote4</f>
        <v/>
      </c>
      <c r="LK38" s="402">
        <f>LK32*GPCoInvest+LK33*Promote2+LK34*Promote3+LK35*Promote4</f>
        <v/>
      </c>
      <c r="LL38" s="402">
        <f>LL32*GPCoInvest+LL33*Promote2+LL34*Promote3+LL35*Promote4</f>
        <v/>
      </c>
      <c r="LM38" s="402">
        <f>LM32*GPCoInvest+LM33*Promote2+LM34*Promote3+LM35*Promote4</f>
        <v/>
      </c>
      <c r="LN38" s="402">
        <f>LN32*GPCoInvest+LN33*Promote2+LN34*Promote3+LN35*Promote4</f>
        <v/>
      </c>
      <c r="LO38" s="402">
        <f>LO32*GPCoInvest+LO33*Promote2+LO34*Promote3+LO35*Promote4</f>
        <v/>
      </c>
      <c r="LP38" s="402">
        <f>LP32*GPCoInvest+LP33*Promote2+LP34*Promote3+LP35*Promote4</f>
        <v/>
      </c>
      <c r="LQ38" s="402">
        <f>LQ32*GPCoInvest+LQ33*Promote2+LQ34*Promote3+LQ35*Promote4</f>
        <v/>
      </c>
      <c r="LR38" s="402">
        <f>LR32*GPCoInvest+LR33*Promote2+LR34*Promote3+LR35*Promote4</f>
        <v/>
      </c>
      <c r="LS38" s="402">
        <f>LS32*GPCoInvest+LS33*Promote2+LS34*Promote3+LS35*Promote4</f>
        <v/>
      </c>
      <c r="LT38" s="402">
        <f>LT32*GPCoInvest+LT33*Promote2+LT34*Promote3+LT35*Promote4</f>
        <v/>
      </c>
      <c r="LU38" s="402">
        <f>LU32*GPCoInvest+LU33*Promote2+LU34*Promote3+LU35*Promote4</f>
        <v/>
      </c>
      <c r="LV38" s="402">
        <f>LV32*GPCoInvest+LV33*Promote2+LV34*Promote3+LV35*Promote4</f>
        <v/>
      </c>
      <c r="LW38" s="402">
        <f>LW32*GPCoInvest+LW33*Promote2+LW34*Promote3+LW35*Promote4</f>
        <v/>
      </c>
      <c r="LX38" s="402">
        <f>LX32*GPCoInvest+LX33*Promote2+LX34*Promote3+LX35*Promote4</f>
        <v/>
      </c>
      <c r="LY38" s="402">
        <f>LY32*GPCoInvest+LY33*Promote2+LY34*Promote3+LY35*Promote4</f>
        <v/>
      </c>
      <c r="LZ38" s="402">
        <f>LZ32*GPCoInvest+LZ33*Promote2+LZ34*Promote3+LZ35*Promote4</f>
        <v/>
      </c>
      <c r="MA38" s="402">
        <f>MA32*GPCoInvest+MA33*Promote2+MA34*Promote3+MA35*Promote4</f>
        <v/>
      </c>
      <c r="MB38" s="402">
        <f>MB32*GPCoInvest+MB33*Promote2+MB34*Promote3+MB35*Promote4</f>
        <v/>
      </c>
      <c r="MC38" s="402">
        <f>MC32*GPCoInvest+MC33*Promote2+MC34*Promote3+MC35*Promote4</f>
        <v/>
      </c>
      <c r="MD38" s="402">
        <f>MD32*GPCoInvest+MD33*Promote2+MD34*Promote3+MD35*Promote4</f>
        <v/>
      </c>
      <c r="ME38" s="402">
        <f>ME32*GPCoInvest+ME33*Promote2+ME34*Promote3+ME35*Promote4</f>
        <v/>
      </c>
      <c r="MF38" s="402">
        <f>MF32*GPCoInvest+MF33*Promote2+MF34*Promote3+MF35*Promote4</f>
        <v/>
      </c>
      <c r="MG38" s="402">
        <f>MG32*GPCoInvest+MG33*Promote2+MG34*Promote3+MG35*Promote4</f>
        <v/>
      </c>
      <c r="MH38" s="402">
        <f>MH32*GPCoInvest+MH33*Promote2+MH34*Promote3+MH35*Promote4</f>
        <v/>
      </c>
      <c r="MI38" s="402">
        <f>MI32*GPCoInvest+MI33*Promote2+MI34*Promote3+MI35*Promote4</f>
        <v/>
      </c>
      <c r="MJ38" s="402">
        <f>MJ32*GPCoInvest+MJ33*Promote2+MJ34*Promote3+MJ35*Promote4</f>
        <v/>
      </c>
      <c r="MK38" s="402">
        <f>MK32*GPCoInvest+MK33*Promote2+MK34*Promote3+MK35*Promote4</f>
        <v/>
      </c>
      <c r="ML38" s="402">
        <f>ML32*GPCoInvest+ML33*Promote2+ML34*Promote3+ML35*Promote4</f>
        <v/>
      </c>
      <c r="MM38" s="402">
        <f>MM32*GPCoInvest+MM33*Promote2+MM34*Promote3+MM35*Promote4</f>
        <v/>
      </c>
      <c r="MN38" s="402">
        <f>MN32*GPCoInvest+MN33*Promote2+MN34*Promote3+MN35*Promote4</f>
        <v/>
      </c>
      <c r="MO38" s="402">
        <f>MO32*GPCoInvest+MO33*Promote2+MO34*Promote3+MO35*Promote4</f>
        <v/>
      </c>
      <c r="MP38" s="402">
        <f>MP32*GPCoInvest+MP33*Promote2+MP34*Promote3+MP35*Promote4</f>
        <v/>
      </c>
      <c r="MQ38" s="402">
        <f>MQ32*GPCoInvest+MQ33*Promote2+MQ34*Promote3+MQ35*Promote4</f>
        <v/>
      </c>
      <c r="MR38" s="402">
        <f>MR32*GPCoInvest+MR33*Promote2+MR34*Promote3+MR35*Promote4</f>
        <v/>
      </c>
      <c r="MS38" s="402">
        <f>MS32*GPCoInvest+MS33*Promote2+MS34*Promote3+MS35*Promote4</f>
        <v/>
      </c>
      <c r="MT38" s="402">
        <f>MT32*GPCoInvest+MT33*Promote2+MT34*Promote3+MT35*Promote4</f>
        <v/>
      </c>
      <c r="MU38" s="402">
        <f>MU32*GPCoInvest+MU33*Promote2+MU34*Promote3+MU35*Promote4</f>
        <v/>
      </c>
      <c r="MV38" s="402">
        <f>MV32*GPCoInvest+MV33*Promote2+MV34*Promote3+MV35*Promote4</f>
        <v/>
      </c>
      <c r="MW38" s="402">
        <f>MW32*GPCoInvest+MW33*Promote2+MW34*Promote3+MW35*Promote4</f>
        <v/>
      </c>
      <c r="MX38" s="402">
        <f>MX32*GPCoInvest+MX33*Promote2+MX34*Promote3+MX35*Promote4</f>
        <v/>
      </c>
      <c r="MY38" s="402">
        <f>MY32*GPCoInvest+MY33*Promote2+MY34*Promote3+MY35*Promote4</f>
        <v/>
      </c>
      <c r="MZ38" s="402">
        <f>MZ32*GPCoInvest+MZ33*Promote2+MZ34*Promote3+MZ35*Promote4</f>
        <v/>
      </c>
      <c r="NA38" s="402">
        <f>NA32*GPCoInvest+NA33*Promote2+NA34*Promote3+NA35*Promote4</f>
        <v/>
      </c>
      <c r="NB38" s="402">
        <f>NB32*GPCoInvest+NB33*Promote2+NB34*Promote3+NB35*Promote4</f>
        <v/>
      </c>
      <c r="NC38" s="402">
        <f>NC32*GPCoInvest+NC33*Promote2+NC34*Promote3+NC35*Promote4</f>
        <v/>
      </c>
      <c r="ND38" s="402">
        <f>ND32*GPCoInvest+ND33*Promote2+ND34*Promote3+ND35*Promote4</f>
        <v/>
      </c>
      <c r="NE38" s="402">
        <f>NE32*GPCoInvest+NE33*Promote2+NE34*Promote3+NE35*Promote4</f>
        <v/>
      </c>
      <c r="NF38" s="402">
        <f>NF32*GPCoInvest+NF33*Promote2+NF34*Promote3+NF35*Promote4</f>
        <v/>
      </c>
      <c r="NG38" s="402">
        <f>NG32*GPCoInvest+NG33*Promote2+NG34*Promote3+NG35*Promote4</f>
        <v/>
      </c>
      <c r="NH38" s="402">
        <f>NH32*GPCoInvest+NH33*Promote2+NH34*Promote3+NH35*Promote4</f>
        <v/>
      </c>
      <c r="NI38" s="402">
        <f>NI32*GPCoInvest+NI33*Promote2+NI34*Promote3+NI35*Promote4</f>
        <v/>
      </c>
      <c r="NJ38" s="402">
        <f>NJ32*GPCoInvest+NJ33*Promote2+NJ34*Promote3+NJ35*Promote4</f>
        <v/>
      </c>
      <c r="NK38" s="402">
        <f>NK32*GPCoInvest+NK33*Promote2+NK34*Promote3+NK35*Promote4</f>
        <v/>
      </c>
      <c r="NL38" s="402">
        <f>NL32*GPCoInvest+NL33*Promote2+NL34*Promote3+NL35*Promote4</f>
        <v/>
      </c>
    </row>
    <row r="39">
      <c r="B39" s="316" t="inlineStr">
        <is>
          <t>LP Distributions</t>
        </is>
      </c>
      <c r="D39" s="402">
        <f>SUM(E39:NL39)</f>
        <v/>
      </c>
      <c r="E39" s="402">
        <f>E25-E38</f>
        <v/>
      </c>
      <c r="F39" s="402">
        <f>F25-F38</f>
        <v/>
      </c>
      <c r="G39" s="402">
        <f>G25-G38</f>
        <v/>
      </c>
      <c r="H39" s="402">
        <f>H25-H38</f>
        <v/>
      </c>
      <c r="I39" s="402">
        <f>I25-I38</f>
        <v/>
      </c>
      <c r="J39" s="402">
        <f>J25-J38</f>
        <v/>
      </c>
      <c r="K39" s="402">
        <f>K25-K38</f>
        <v/>
      </c>
      <c r="L39" s="402">
        <f>L25-L38</f>
        <v/>
      </c>
      <c r="M39" s="402">
        <f>M25-M38</f>
        <v/>
      </c>
      <c r="N39" s="402">
        <f>N25-N38</f>
        <v/>
      </c>
      <c r="O39" s="402">
        <f>O25-O38</f>
        <v/>
      </c>
      <c r="P39" s="402">
        <f>P25-P38</f>
        <v/>
      </c>
      <c r="Q39" s="402">
        <f>Q25-Q38</f>
        <v/>
      </c>
      <c r="R39" s="402">
        <f>R25-R38</f>
        <v/>
      </c>
      <c r="S39" s="402">
        <f>S25-S38</f>
        <v/>
      </c>
      <c r="T39" s="402">
        <f>T25-T38</f>
        <v/>
      </c>
      <c r="U39" s="402">
        <f>U25-U38</f>
        <v/>
      </c>
      <c r="V39" s="402">
        <f>V25-V38</f>
        <v/>
      </c>
      <c r="W39" s="402">
        <f>W25-W38</f>
        <v/>
      </c>
      <c r="X39" s="402">
        <f>X25-X38</f>
        <v/>
      </c>
      <c r="Y39" s="402">
        <f>Y25-Y38</f>
        <v/>
      </c>
      <c r="Z39" s="402">
        <f>Z25-Z38</f>
        <v/>
      </c>
      <c r="AA39" s="402">
        <f>AA25-AA38</f>
        <v/>
      </c>
      <c r="AB39" s="402">
        <f>AB25-AB38</f>
        <v/>
      </c>
      <c r="AC39" s="402">
        <f>AC25-AC38</f>
        <v/>
      </c>
      <c r="AD39" s="402">
        <f>AD25-AD38</f>
        <v/>
      </c>
      <c r="AE39" s="402">
        <f>AE25-AE38</f>
        <v/>
      </c>
      <c r="AF39" s="402">
        <f>AF25-AF38</f>
        <v/>
      </c>
      <c r="AG39" s="402">
        <f>AG25-AG38</f>
        <v/>
      </c>
      <c r="AH39" s="402">
        <f>AH25-AH38</f>
        <v/>
      </c>
      <c r="AI39" s="402">
        <f>AI25-AI38</f>
        <v/>
      </c>
      <c r="AJ39" s="402">
        <f>AJ25-AJ38</f>
        <v/>
      </c>
      <c r="AK39" s="402">
        <f>AK25-AK38</f>
        <v/>
      </c>
      <c r="AL39" s="402">
        <f>AL25-AL38</f>
        <v/>
      </c>
      <c r="AM39" s="402">
        <f>AM25-AM38</f>
        <v/>
      </c>
      <c r="AN39" s="402">
        <f>AN25-AN38</f>
        <v/>
      </c>
      <c r="AO39" s="402">
        <f>AO25-AO38</f>
        <v/>
      </c>
      <c r="AP39" s="402">
        <f>AP25-AP38</f>
        <v/>
      </c>
      <c r="AQ39" s="402">
        <f>AQ25-AQ38</f>
        <v/>
      </c>
      <c r="AR39" s="402">
        <f>AR25-AR38</f>
        <v/>
      </c>
      <c r="AS39" s="402">
        <f>AS25-AS38</f>
        <v/>
      </c>
      <c r="AT39" s="402">
        <f>AT25-AT38</f>
        <v/>
      </c>
      <c r="AU39" s="402">
        <f>AU25-AU38</f>
        <v/>
      </c>
      <c r="AV39" s="402">
        <f>AV25-AV38</f>
        <v/>
      </c>
      <c r="AW39" s="402">
        <f>AW25-AW38</f>
        <v/>
      </c>
      <c r="AX39" s="402">
        <f>AX25-AX38</f>
        <v/>
      </c>
      <c r="AY39" s="402">
        <f>AY25-AY38</f>
        <v/>
      </c>
      <c r="AZ39" s="402">
        <f>AZ25-AZ38</f>
        <v/>
      </c>
      <c r="BA39" s="402">
        <f>BA25-BA38</f>
        <v/>
      </c>
      <c r="BB39" s="402">
        <f>BB25-BB38</f>
        <v/>
      </c>
      <c r="BC39" s="402">
        <f>BC25-BC38</f>
        <v/>
      </c>
      <c r="BD39" s="402">
        <f>BD25-BD38</f>
        <v/>
      </c>
      <c r="BE39" s="402">
        <f>BE25-BE38</f>
        <v/>
      </c>
      <c r="BF39" s="402">
        <f>BF25-BF38</f>
        <v/>
      </c>
      <c r="BG39" s="402">
        <f>BG25-BG38</f>
        <v/>
      </c>
      <c r="BH39" s="402">
        <f>BH25-BH38</f>
        <v/>
      </c>
      <c r="BI39" s="402">
        <f>BI25-BI38</f>
        <v/>
      </c>
      <c r="BJ39" s="402">
        <f>BJ25-BJ38</f>
        <v/>
      </c>
      <c r="BK39" s="402">
        <f>BK25-BK38</f>
        <v/>
      </c>
      <c r="BL39" s="402">
        <f>BL25-BL38</f>
        <v/>
      </c>
      <c r="BM39" s="402">
        <f>BM25-BM38</f>
        <v/>
      </c>
      <c r="BN39" s="402">
        <f>BN25-BN38</f>
        <v/>
      </c>
      <c r="BO39" s="402">
        <f>BO25-BO38</f>
        <v/>
      </c>
      <c r="BP39" s="402">
        <f>BP25-BP38</f>
        <v/>
      </c>
      <c r="BQ39" s="402">
        <f>BQ25-BQ38</f>
        <v/>
      </c>
      <c r="BR39" s="402">
        <f>BR25-BR38</f>
        <v/>
      </c>
      <c r="BS39" s="402">
        <f>BS25-BS38</f>
        <v/>
      </c>
      <c r="BT39" s="402">
        <f>BT25-BT38</f>
        <v/>
      </c>
      <c r="BU39" s="402">
        <f>BU25-BU38</f>
        <v/>
      </c>
      <c r="BV39" s="402">
        <f>BV25-BV38</f>
        <v/>
      </c>
      <c r="BW39" s="402">
        <f>BW25-BW38</f>
        <v/>
      </c>
      <c r="BX39" s="402">
        <f>BX25-BX38</f>
        <v/>
      </c>
      <c r="BY39" s="402">
        <f>BY25-BY38</f>
        <v/>
      </c>
      <c r="BZ39" s="402">
        <f>BZ25-BZ38</f>
        <v/>
      </c>
      <c r="CA39" s="402">
        <f>CA25-CA38</f>
        <v/>
      </c>
      <c r="CB39" s="402">
        <f>CB25-CB38</f>
        <v/>
      </c>
      <c r="CC39" s="402">
        <f>CC25-CC38</f>
        <v/>
      </c>
      <c r="CD39" s="402">
        <f>CD25-CD38</f>
        <v/>
      </c>
      <c r="CE39" s="402">
        <f>CE25-CE38</f>
        <v/>
      </c>
      <c r="CF39" s="402">
        <f>CF25-CF38</f>
        <v/>
      </c>
      <c r="CG39" s="402">
        <f>CG25-CG38</f>
        <v/>
      </c>
      <c r="CH39" s="402">
        <f>CH25-CH38</f>
        <v/>
      </c>
      <c r="CI39" s="402">
        <f>CI25-CI38</f>
        <v/>
      </c>
      <c r="CJ39" s="402">
        <f>CJ25-CJ38</f>
        <v/>
      </c>
      <c r="CK39" s="402">
        <f>CK25-CK38</f>
        <v/>
      </c>
      <c r="CL39" s="402">
        <f>CL25-CL38</f>
        <v/>
      </c>
      <c r="CM39" s="402">
        <f>CM25-CM38</f>
        <v/>
      </c>
      <c r="CN39" s="402">
        <f>CN25-CN38</f>
        <v/>
      </c>
      <c r="CO39" s="402">
        <f>CO25-CO38</f>
        <v/>
      </c>
      <c r="CP39" s="402">
        <f>CP25-CP38</f>
        <v/>
      </c>
      <c r="CQ39" s="402">
        <f>CQ25-CQ38</f>
        <v/>
      </c>
      <c r="CR39" s="402">
        <f>CR25-CR38</f>
        <v/>
      </c>
      <c r="CS39" s="402">
        <f>CS25-CS38</f>
        <v/>
      </c>
      <c r="CT39" s="402">
        <f>CT25-CT38</f>
        <v/>
      </c>
      <c r="CU39" s="402">
        <f>CU25-CU38</f>
        <v/>
      </c>
      <c r="CV39" s="402">
        <f>CV25-CV38</f>
        <v/>
      </c>
      <c r="CW39" s="402">
        <f>CW25-CW38</f>
        <v/>
      </c>
      <c r="CX39" s="402">
        <f>CX25-CX38</f>
        <v/>
      </c>
      <c r="CY39" s="402">
        <f>CY25-CY38</f>
        <v/>
      </c>
      <c r="CZ39" s="402">
        <f>CZ25-CZ38</f>
        <v/>
      </c>
      <c r="DA39" s="402">
        <f>DA25-DA38</f>
        <v/>
      </c>
      <c r="DB39" s="402">
        <f>DB25-DB38</f>
        <v/>
      </c>
      <c r="DC39" s="402">
        <f>DC25-DC38</f>
        <v/>
      </c>
      <c r="DD39" s="402">
        <f>DD25-DD38</f>
        <v/>
      </c>
      <c r="DE39" s="402">
        <f>DE25-DE38</f>
        <v/>
      </c>
      <c r="DF39" s="402">
        <f>DF25-DF38</f>
        <v/>
      </c>
      <c r="DG39" s="402">
        <f>DG25-DG38</f>
        <v/>
      </c>
      <c r="DH39" s="402">
        <f>DH25-DH38</f>
        <v/>
      </c>
      <c r="DI39" s="402">
        <f>DI25-DI38</f>
        <v/>
      </c>
      <c r="DJ39" s="402">
        <f>DJ25-DJ38</f>
        <v/>
      </c>
      <c r="DK39" s="402">
        <f>DK25-DK38</f>
        <v/>
      </c>
      <c r="DL39" s="402">
        <f>DL25-DL38</f>
        <v/>
      </c>
      <c r="DM39" s="402">
        <f>DM25-DM38</f>
        <v/>
      </c>
      <c r="DN39" s="402">
        <f>DN25-DN38</f>
        <v/>
      </c>
      <c r="DO39" s="402">
        <f>DO25-DO38</f>
        <v/>
      </c>
      <c r="DP39" s="402">
        <f>DP25-DP38</f>
        <v/>
      </c>
      <c r="DQ39" s="402">
        <f>DQ25-DQ38</f>
        <v/>
      </c>
      <c r="DR39" s="402">
        <f>DR25-DR38</f>
        <v/>
      </c>
      <c r="DS39" s="402">
        <f>DS25-DS38</f>
        <v/>
      </c>
      <c r="DT39" s="402">
        <f>DT25-DT38</f>
        <v/>
      </c>
      <c r="DU39" s="402">
        <f>DU25-DU38</f>
        <v/>
      </c>
      <c r="DV39" s="402">
        <f>DV25-DV38</f>
        <v/>
      </c>
      <c r="DW39" s="402">
        <f>DW25-DW38</f>
        <v/>
      </c>
      <c r="DX39" s="402">
        <f>DX25-DX38</f>
        <v/>
      </c>
      <c r="DY39" s="402">
        <f>DY25-DY38</f>
        <v/>
      </c>
      <c r="DZ39" s="402">
        <f>DZ25-DZ38</f>
        <v/>
      </c>
      <c r="EA39" s="402">
        <f>EA25-EA38</f>
        <v/>
      </c>
      <c r="EB39" s="402">
        <f>EB25-EB38</f>
        <v/>
      </c>
      <c r="EC39" s="402">
        <f>EC25-EC38</f>
        <v/>
      </c>
      <c r="ED39" s="402">
        <f>ED25-ED38</f>
        <v/>
      </c>
      <c r="EE39" s="402">
        <f>EE25-EE38</f>
        <v/>
      </c>
      <c r="EF39" s="402">
        <f>EF25-EF38</f>
        <v/>
      </c>
      <c r="EG39" s="402">
        <f>EG25-EG38</f>
        <v/>
      </c>
      <c r="EH39" s="402">
        <f>EH25-EH38</f>
        <v/>
      </c>
      <c r="EI39" s="402">
        <f>EI25-EI38</f>
        <v/>
      </c>
      <c r="EJ39" s="402">
        <f>EJ25-EJ38</f>
        <v/>
      </c>
      <c r="EK39" s="402">
        <f>EK25-EK38</f>
        <v/>
      </c>
      <c r="EL39" s="402">
        <f>EL25-EL38</f>
        <v/>
      </c>
      <c r="EM39" s="402">
        <f>EM25-EM38</f>
        <v/>
      </c>
      <c r="EN39" s="402">
        <f>EN25-EN38</f>
        <v/>
      </c>
      <c r="EO39" s="402">
        <f>EO25-EO38</f>
        <v/>
      </c>
      <c r="EP39" s="402">
        <f>EP25-EP38</f>
        <v/>
      </c>
      <c r="EQ39" s="402">
        <f>EQ25-EQ38</f>
        <v/>
      </c>
      <c r="ER39" s="402">
        <f>ER25-ER38</f>
        <v/>
      </c>
      <c r="ES39" s="402">
        <f>ES25-ES38</f>
        <v/>
      </c>
      <c r="ET39" s="402">
        <f>ET25-ET38</f>
        <v/>
      </c>
      <c r="EU39" s="402">
        <f>EU25-EU38</f>
        <v/>
      </c>
      <c r="EV39" s="402">
        <f>EV25-EV38</f>
        <v/>
      </c>
      <c r="EW39" s="402">
        <f>EW25-EW38</f>
        <v/>
      </c>
      <c r="EX39" s="402">
        <f>EX25-EX38</f>
        <v/>
      </c>
      <c r="EY39" s="402">
        <f>EY25-EY38</f>
        <v/>
      </c>
      <c r="EZ39" s="402">
        <f>EZ25-EZ38</f>
        <v/>
      </c>
      <c r="FA39" s="402">
        <f>FA25-FA38</f>
        <v/>
      </c>
      <c r="FB39" s="402">
        <f>FB25-FB38</f>
        <v/>
      </c>
      <c r="FC39" s="402">
        <f>FC25-FC38</f>
        <v/>
      </c>
      <c r="FD39" s="402">
        <f>FD25-FD38</f>
        <v/>
      </c>
      <c r="FE39" s="402">
        <f>FE25-FE38</f>
        <v/>
      </c>
      <c r="FF39" s="402">
        <f>FF25-FF38</f>
        <v/>
      </c>
      <c r="FG39" s="402">
        <f>FG25-FG38</f>
        <v/>
      </c>
      <c r="FH39" s="402">
        <f>FH25-FH38</f>
        <v/>
      </c>
      <c r="FI39" s="402">
        <f>FI25-FI38</f>
        <v/>
      </c>
      <c r="FJ39" s="402">
        <f>FJ25-FJ38</f>
        <v/>
      </c>
      <c r="FK39" s="402">
        <f>FK25-FK38</f>
        <v/>
      </c>
      <c r="FL39" s="402">
        <f>FL25-FL38</f>
        <v/>
      </c>
      <c r="FM39" s="402">
        <f>FM25-FM38</f>
        <v/>
      </c>
      <c r="FN39" s="402">
        <f>FN25-FN38</f>
        <v/>
      </c>
      <c r="FO39" s="402">
        <f>FO25-FO38</f>
        <v/>
      </c>
      <c r="FP39" s="402">
        <f>FP25-FP38</f>
        <v/>
      </c>
      <c r="FQ39" s="402">
        <f>FQ25-FQ38</f>
        <v/>
      </c>
      <c r="FR39" s="402">
        <f>FR25-FR38</f>
        <v/>
      </c>
      <c r="FS39" s="402">
        <f>FS25-FS38</f>
        <v/>
      </c>
      <c r="FT39" s="402">
        <f>FT25-FT38</f>
        <v/>
      </c>
      <c r="FU39" s="402">
        <f>FU25-FU38</f>
        <v/>
      </c>
      <c r="FV39" s="402">
        <f>FV25-FV38</f>
        <v/>
      </c>
      <c r="FW39" s="402">
        <f>FW25-FW38</f>
        <v/>
      </c>
      <c r="FX39" s="402">
        <f>FX25-FX38</f>
        <v/>
      </c>
      <c r="FY39" s="402">
        <f>FY25-FY38</f>
        <v/>
      </c>
      <c r="FZ39" s="402">
        <f>FZ25-FZ38</f>
        <v/>
      </c>
      <c r="GA39" s="402">
        <f>GA25-GA38</f>
        <v/>
      </c>
      <c r="GB39" s="402">
        <f>GB25-GB38</f>
        <v/>
      </c>
      <c r="GC39" s="402">
        <f>GC25-GC38</f>
        <v/>
      </c>
      <c r="GD39" s="402">
        <f>GD25-GD38</f>
        <v/>
      </c>
      <c r="GE39" s="402">
        <f>GE25-GE38</f>
        <v/>
      </c>
      <c r="GF39" s="402">
        <f>GF25-GF38</f>
        <v/>
      </c>
      <c r="GG39" s="402">
        <f>GG25-GG38</f>
        <v/>
      </c>
      <c r="GH39" s="402">
        <f>GH25-GH38</f>
        <v/>
      </c>
      <c r="GI39" s="402">
        <f>GI25-GI38</f>
        <v/>
      </c>
      <c r="GJ39" s="402">
        <f>GJ25-GJ38</f>
        <v/>
      </c>
      <c r="GK39" s="402">
        <f>GK25-GK38</f>
        <v/>
      </c>
      <c r="GL39" s="402">
        <f>GL25-GL38</f>
        <v/>
      </c>
      <c r="GM39" s="402">
        <f>GM25-GM38</f>
        <v/>
      </c>
      <c r="GN39" s="402">
        <f>GN25-GN38</f>
        <v/>
      </c>
      <c r="GO39" s="402">
        <f>GO25-GO38</f>
        <v/>
      </c>
      <c r="GP39" s="402">
        <f>GP25-GP38</f>
        <v/>
      </c>
      <c r="GQ39" s="402">
        <f>GQ25-GQ38</f>
        <v/>
      </c>
      <c r="GR39" s="402">
        <f>GR25-GR38</f>
        <v/>
      </c>
      <c r="GS39" s="402">
        <f>GS25-GS38</f>
        <v/>
      </c>
      <c r="GT39" s="402">
        <f>GT25-GT38</f>
        <v/>
      </c>
      <c r="GU39" s="402">
        <f>GU25-GU38</f>
        <v/>
      </c>
      <c r="GV39" s="402">
        <f>GV25-GV38</f>
        <v/>
      </c>
      <c r="GW39" s="402">
        <f>GW25-GW38</f>
        <v/>
      </c>
      <c r="GX39" s="402">
        <f>GX25-GX38</f>
        <v/>
      </c>
      <c r="GY39" s="402">
        <f>GY25-GY38</f>
        <v/>
      </c>
      <c r="GZ39" s="402">
        <f>GZ25-GZ38</f>
        <v/>
      </c>
      <c r="HA39" s="402">
        <f>HA25-HA38</f>
        <v/>
      </c>
      <c r="HB39" s="402">
        <f>HB25-HB38</f>
        <v/>
      </c>
      <c r="HC39" s="402">
        <f>HC25-HC38</f>
        <v/>
      </c>
      <c r="HD39" s="402">
        <f>HD25-HD38</f>
        <v/>
      </c>
      <c r="HE39" s="402">
        <f>HE25-HE38</f>
        <v/>
      </c>
      <c r="HF39" s="402">
        <f>HF25-HF38</f>
        <v/>
      </c>
      <c r="HG39" s="402">
        <f>HG25-HG38</f>
        <v/>
      </c>
      <c r="HH39" s="402">
        <f>HH25-HH38</f>
        <v/>
      </c>
      <c r="HI39" s="402">
        <f>HI25-HI38</f>
        <v/>
      </c>
      <c r="HJ39" s="402">
        <f>HJ25-HJ38</f>
        <v/>
      </c>
      <c r="HK39" s="402">
        <f>HK25-HK38</f>
        <v/>
      </c>
      <c r="HL39" s="402">
        <f>HL25-HL38</f>
        <v/>
      </c>
      <c r="HM39" s="402">
        <f>HM25-HM38</f>
        <v/>
      </c>
      <c r="HN39" s="402">
        <f>HN25-HN38</f>
        <v/>
      </c>
      <c r="HO39" s="402">
        <f>HO25-HO38</f>
        <v/>
      </c>
      <c r="HP39" s="402">
        <f>HP25-HP38</f>
        <v/>
      </c>
      <c r="HQ39" s="402">
        <f>HQ25-HQ38</f>
        <v/>
      </c>
      <c r="HR39" s="402">
        <f>HR25-HR38</f>
        <v/>
      </c>
      <c r="HS39" s="402">
        <f>HS25-HS38</f>
        <v/>
      </c>
      <c r="HT39" s="402">
        <f>HT25-HT38</f>
        <v/>
      </c>
      <c r="HU39" s="402">
        <f>HU25-HU38</f>
        <v/>
      </c>
      <c r="HV39" s="402">
        <f>HV25-HV38</f>
        <v/>
      </c>
      <c r="HW39" s="402">
        <f>HW25-HW38</f>
        <v/>
      </c>
      <c r="HX39" s="402">
        <f>HX25-HX38</f>
        <v/>
      </c>
      <c r="HY39" s="402">
        <f>HY25-HY38</f>
        <v/>
      </c>
      <c r="HZ39" s="402">
        <f>HZ25-HZ38</f>
        <v/>
      </c>
      <c r="IA39" s="402">
        <f>IA25-IA38</f>
        <v/>
      </c>
      <c r="IB39" s="402">
        <f>IB25-IB38</f>
        <v/>
      </c>
      <c r="IC39" s="402">
        <f>IC25-IC38</f>
        <v/>
      </c>
      <c r="ID39" s="402">
        <f>ID25-ID38</f>
        <v/>
      </c>
      <c r="IE39" s="402">
        <f>IE25-IE38</f>
        <v/>
      </c>
      <c r="IF39" s="402">
        <f>IF25-IF38</f>
        <v/>
      </c>
      <c r="IG39" s="402">
        <f>IG25-IG38</f>
        <v/>
      </c>
      <c r="IH39" s="402">
        <f>IH25-IH38</f>
        <v/>
      </c>
      <c r="II39" s="402">
        <f>II25-II38</f>
        <v/>
      </c>
      <c r="IJ39" s="402">
        <f>IJ25-IJ38</f>
        <v/>
      </c>
      <c r="IK39" s="402">
        <f>IK25-IK38</f>
        <v/>
      </c>
      <c r="IL39" s="402">
        <f>IL25-IL38</f>
        <v/>
      </c>
      <c r="IM39" s="402">
        <f>IM25-IM38</f>
        <v/>
      </c>
      <c r="IN39" s="402">
        <f>IN25-IN38</f>
        <v/>
      </c>
      <c r="IO39" s="402">
        <f>IO25-IO38</f>
        <v/>
      </c>
      <c r="IP39" s="402">
        <f>IP25-IP38</f>
        <v/>
      </c>
      <c r="IQ39" s="402">
        <f>IQ25-IQ38</f>
        <v/>
      </c>
      <c r="IR39" s="402">
        <f>IR25-IR38</f>
        <v/>
      </c>
      <c r="IS39" s="402">
        <f>IS25-IS38</f>
        <v/>
      </c>
      <c r="IT39" s="402">
        <f>IT25-IT38</f>
        <v/>
      </c>
      <c r="IU39" s="402">
        <f>IU25-IU38</f>
        <v/>
      </c>
      <c r="IV39" s="402">
        <f>IV25-IV38</f>
        <v/>
      </c>
      <c r="IW39" s="402">
        <f>IW25-IW38</f>
        <v/>
      </c>
      <c r="IX39" s="402">
        <f>IX25-IX38</f>
        <v/>
      </c>
      <c r="IY39" s="402">
        <f>IY25-IY38</f>
        <v/>
      </c>
      <c r="IZ39" s="402">
        <f>IZ25-IZ38</f>
        <v/>
      </c>
      <c r="JA39" s="402">
        <f>JA25-JA38</f>
        <v/>
      </c>
      <c r="JB39" s="402">
        <f>JB25-JB38</f>
        <v/>
      </c>
      <c r="JC39" s="402">
        <f>JC25-JC38</f>
        <v/>
      </c>
      <c r="JD39" s="402">
        <f>JD25-JD38</f>
        <v/>
      </c>
      <c r="JE39" s="402">
        <f>JE25-JE38</f>
        <v/>
      </c>
      <c r="JF39" s="402">
        <f>JF25-JF38</f>
        <v/>
      </c>
      <c r="JG39" s="402">
        <f>JG25-JG38</f>
        <v/>
      </c>
      <c r="JH39" s="402">
        <f>JH25-JH38</f>
        <v/>
      </c>
      <c r="JI39" s="402">
        <f>JI25-JI38</f>
        <v/>
      </c>
      <c r="JJ39" s="402">
        <f>JJ25-JJ38</f>
        <v/>
      </c>
      <c r="JK39" s="402">
        <f>JK25-JK38</f>
        <v/>
      </c>
      <c r="JL39" s="402">
        <f>JL25-JL38</f>
        <v/>
      </c>
      <c r="JM39" s="402">
        <f>JM25-JM38</f>
        <v/>
      </c>
      <c r="JN39" s="402">
        <f>JN25-JN38</f>
        <v/>
      </c>
      <c r="JO39" s="402">
        <f>JO25-JO38</f>
        <v/>
      </c>
      <c r="JP39" s="402">
        <f>JP25-JP38</f>
        <v/>
      </c>
      <c r="JQ39" s="402">
        <f>JQ25-JQ38</f>
        <v/>
      </c>
      <c r="JR39" s="402">
        <f>JR25-JR38</f>
        <v/>
      </c>
      <c r="JS39" s="402">
        <f>JS25-JS38</f>
        <v/>
      </c>
      <c r="JT39" s="402">
        <f>JT25-JT38</f>
        <v/>
      </c>
      <c r="JU39" s="402">
        <f>JU25-JU38</f>
        <v/>
      </c>
      <c r="JV39" s="402">
        <f>JV25-JV38</f>
        <v/>
      </c>
      <c r="JW39" s="402">
        <f>JW25-JW38</f>
        <v/>
      </c>
      <c r="JX39" s="402">
        <f>JX25-JX38</f>
        <v/>
      </c>
      <c r="JY39" s="402">
        <f>JY25-JY38</f>
        <v/>
      </c>
      <c r="JZ39" s="402">
        <f>JZ25-JZ38</f>
        <v/>
      </c>
      <c r="KA39" s="402">
        <f>KA25-KA38</f>
        <v/>
      </c>
      <c r="KB39" s="402">
        <f>KB25-KB38</f>
        <v/>
      </c>
      <c r="KC39" s="402">
        <f>KC25-KC38</f>
        <v/>
      </c>
      <c r="KD39" s="402">
        <f>KD25-KD38</f>
        <v/>
      </c>
      <c r="KE39" s="402">
        <f>KE25-KE38</f>
        <v/>
      </c>
      <c r="KF39" s="402">
        <f>KF25-KF38</f>
        <v/>
      </c>
      <c r="KG39" s="402">
        <f>KG25-KG38</f>
        <v/>
      </c>
      <c r="KH39" s="402">
        <f>KH25-KH38</f>
        <v/>
      </c>
      <c r="KI39" s="402">
        <f>KI25-KI38</f>
        <v/>
      </c>
      <c r="KJ39" s="402">
        <f>KJ25-KJ38</f>
        <v/>
      </c>
      <c r="KK39" s="402">
        <f>KK25-KK38</f>
        <v/>
      </c>
      <c r="KL39" s="402">
        <f>KL25-KL38</f>
        <v/>
      </c>
      <c r="KM39" s="402">
        <f>KM25-KM38</f>
        <v/>
      </c>
      <c r="KN39" s="402">
        <f>KN25-KN38</f>
        <v/>
      </c>
      <c r="KO39" s="402">
        <f>KO25-KO38</f>
        <v/>
      </c>
      <c r="KP39" s="402">
        <f>KP25-KP38</f>
        <v/>
      </c>
      <c r="KQ39" s="402">
        <f>KQ25-KQ38</f>
        <v/>
      </c>
      <c r="KR39" s="402">
        <f>KR25-KR38</f>
        <v/>
      </c>
      <c r="KS39" s="402">
        <f>KS25-KS38</f>
        <v/>
      </c>
      <c r="KT39" s="402">
        <f>KT25-KT38</f>
        <v/>
      </c>
      <c r="KU39" s="402">
        <f>KU25-KU38</f>
        <v/>
      </c>
      <c r="KV39" s="402">
        <f>KV25-KV38</f>
        <v/>
      </c>
      <c r="KW39" s="402">
        <f>KW25-KW38</f>
        <v/>
      </c>
      <c r="KX39" s="402">
        <f>KX25-KX38</f>
        <v/>
      </c>
      <c r="KY39" s="402">
        <f>KY25-KY38</f>
        <v/>
      </c>
      <c r="KZ39" s="402">
        <f>KZ25-KZ38</f>
        <v/>
      </c>
      <c r="LA39" s="402">
        <f>LA25-LA38</f>
        <v/>
      </c>
      <c r="LB39" s="402">
        <f>LB25-LB38</f>
        <v/>
      </c>
      <c r="LC39" s="402">
        <f>LC25-LC38</f>
        <v/>
      </c>
      <c r="LD39" s="402">
        <f>LD25-LD38</f>
        <v/>
      </c>
      <c r="LE39" s="402">
        <f>LE25-LE38</f>
        <v/>
      </c>
      <c r="LF39" s="402">
        <f>LF25-LF38</f>
        <v/>
      </c>
      <c r="LG39" s="402">
        <f>LG25-LG38</f>
        <v/>
      </c>
      <c r="LH39" s="402">
        <f>LH25-LH38</f>
        <v/>
      </c>
      <c r="LI39" s="402">
        <f>LI25-LI38</f>
        <v/>
      </c>
      <c r="LJ39" s="402">
        <f>LJ25-LJ38</f>
        <v/>
      </c>
      <c r="LK39" s="402">
        <f>LK25-LK38</f>
        <v/>
      </c>
      <c r="LL39" s="402">
        <f>LL25-LL38</f>
        <v/>
      </c>
      <c r="LM39" s="402">
        <f>LM25-LM38</f>
        <v/>
      </c>
      <c r="LN39" s="402">
        <f>LN25-LN38</f>
        <v/>
      </c>
      <c r="LO39" s="402">
        <f>LO25-LO38</f>
        <v/>
      </c>
      <c r="LP39" s="402">
        <f>LP25-LP38</f>
        <v/>
      </c>
      <c r="LQ39" s="402">
        <f>LQ25-LQ38</f>
        <v/>
      </c>
      <c r="LR39" s="402">
        <f>LR25-LR38</f>
        <v/>
      </c>
      <c r="LS39" s="402">
        <f>LS25-LS38</f>
        <v/>
      </c>
      <c r="LT39" s="402">
        <f>LT25-LT38</f>
        <v/>
      </c>
      <c r="LU39" s="402">
        <f>LU25-LU38</f>
        <v/>
      </c>
      <c r="LV39" s="402">
        <f>LV25-LV38</f>
        <v/>
      </c>
      <c r="LW39" s="402">
        <f>LW25-LW38</f>
        <v/>
      </c>
      <c r="LX39" s="402">
        <f>LX25-LX38</f>
        <v/>
      </c>
      <c r="LY39" s="402">
        <f>LY25-LY38</f>
        <v/>
      </c>
      <c r="LZ39" s="402">
        <f>LZ25-LZ38</f>
        <v/>
      </c>
      <c r="MA39" s="402">
        <f>MA25-MA38</f>
        <v/>
      </c>
      <c r="MB39" s="402">
        <f>MB25-MB38</f>
        <v/>
      </c>
      <c r="MC39" s="402">
        <f>MC25-MC38</f>
        <v/>
      </c>
      <c r="MD39" s="402">
        <f>MD25-MD38</f>
        <v/>
      </c>
      <c r="ME39" s="402">
        <f>ME25-ME38</f>
        <v/>
      </c>
      <c r="MF39" s="402">
        <f>MF25-MF38</f>
        <v/>
      </c>
      <c r="MG39" s="402">
        <f>MG25-MG38</f>
        <v/>
      </c>
      <c r="MH39" s="402">
        <f>MH25-MH38</f>
        <v/>
      </c>
      <c r="MI39" s="402">
        <f>MI25-MI38</f>
        <v/>
      </c>
      <c r="MJ39" s="402">
        <f>MJ25-MJ38</f>
        <v/>
      </c>
      <c r="MK39" s="402">
        <f>MK25-MK38</f>
        <v/>
      </c>
      <c r="ML39" s="402">
        <f>ML25-ML38</f>
        <v/>
      </c>
      <c r="MM39" s="402">
        <f>MM25-MM38</f>
        <v/>
      </c>
      <c r="MN39" s="402">
        <f>MN25-MN38</f>
        <v/>
      </c>
      <c r="MO39" s="402">
        <f>MO25-MO38</f>
        <v/>
      </c>
      <c r="MP39" s="402">
        <f>MP25-MP38</f>
        <v/>
      </c>
      <c r="MQ39" s="402">
        <f>MQ25-MQ38</f>
        <v/>
      </c>
      <c r="MR39" s="402">
        <f>MR25-MR38</f>
        <v/>
      </c>
      <c r="MS39" s="402">
        <f>MS25-MS38</f>
        <v/>
      </c>
      <c r="MT39" s="402">
        <f>MT25-MT38</f>
        <v/>
      </c>
      <c r="MU39" s="402">
        <f>MU25-MU38</f>
        <v/>
      </c>
      <c r="MV39" s="402">
        <f>MV25-MV38</f>
        <v/>
      </c>
      <c r="MW39" s="402">
        <f>MW25-MW38</f>
        <v/>
      </c>
      <c r="MX39" s="402">
        <f>MX25-MX38</f>
        <v/>
      </c>
      <c r="MY39" s="402">
        <f>MY25-MY38</f>
        <v/>
      </c>
      <c r="MZ39" s="402">
        <f>MZ25-MZ38</f>
        <v/>
      </c>
      <c r="NA39" s="402">
        <f>NA25-NA38</f>
        <v/>
      </c>
      <c r="NB39" s="402">
        <f>NB25-NB38</f>
        <v/>
      </c>
      <c r="NC39" s="402">
        <f>NC25-NC38</f>
        <v/>
      </c>
      <c r="ND39" s="402">
        <f>ND25-ND38</f>
        <v/>
      </c>
      <c r="NE39" s="402">
        <f>NE25-NE38</f>
        <v/>
      </c>
      <c r="NF39" s="402">
        <f>NF25-NF38</f>
        <v/>
      </c>
      <c r="NG39" s="402">
        <f>NG25-NG38</f>
        <v/>
      </c>
      <c r="NH39" s="402">
        <f>NH25-NH38</f>
        <v/>
      </c>
      <c r="NI39" s="402">
        <f>NI25-NI38</f>
        <v/>
      </c>
      <c r="NJ39" s="402">
        <f>NJ25-NJ38</f>
        <v/>
      </c>
      <c r="NK39" s="402">
        <f>NK25-NK38</f>
        <v/>
      </c>
      <c r="NL39" s="402">
        <f>NL25-NL38</f>
        <v/>
      </c>
    </row>
    <row r="40">
      <c r="B40" s="316" t="inlineStr">
        <is>
          <t>GP Contributions</t>
        </is>
      </c>
      <c r="D40" s="402">
        <f>SUM(E40:NL40)</f>
        <v/>
      </c>
      <c r="E40" s="402">
        <f>E24*GPCoInvest</f>
        <v/>
      </c>
      <c r="F40" s="402">
        <f>F24*GPCoInvest</f>
        <v/>
      </c>
      <c r="G40" s="402">
        <f>G24*GPCoInvest</f>
        <v/>
      </c>
      <c r="H40" s="402">
        <f>H24*GPCoInvest</f>
        <v/>
      </c>
      <c r="I40" s="402">
        <f>I24*GPCoInvest</f>
        <v/>
      </c>
      <c r="J40" s="402">
        <f>J24*GPCoInvest</f>
        <v/>
      </c>
      <c r="K40" s="402">
        <f>K24*GPCoInvest</f>
        <v/>
      </c>
      <c r="L40" s="402">
        <f>L24*GPCoInvest</f>
        <v/>
      </c>
      <c r="M40" s="402">
        <f>M24*GPCoInvest</f>
        <v/>
      </c>
      <c r="N40" s="402">
        <f>N24*GPCoInvest</f>
        <v/>
      </c>
      <c r="O40" s="402">
        <f>O24*GPCoInvest</f>
        <v/>
      </c>
      <c r="P40" s="402">
        <f>P24*GPCoInvest</f>
        <v/>
      </c>
      <c r="Q40" s="402">
        <f>Q24*GPCoInvest</f>
        <v/>
      </c>
      <c r="R40" s="402">
        <f>R24*GPCoInvest</f>
        <v/>
      </c>
      <c r="S40" s="402">
        <f>S24*GPCoInvest</f>
        <v/>
      </c>
      <c r="T40" s="402">
        <f>T24*GPCoInvest</f>
        <v/>
      </c>
      <c r="U40" s="402">
        <f>U24*GPCoInvest</f>
        <v/>
      </c>
      <c r="V40" s="402">
        <f>V24*GPCoInvest</f>
        <v/>
      </c>
      <c r="W40" s="402">
        <f>W24*GPCoInvest</f>
        <v/>
      </c>
      <c r="X40" s="402">
        <f>X24*GPCoInvest</f>
        <v/>
      </c>
      <c r="Y40" s="402">
        <f>Y24*GPCoInvest</f>
        <v/>
      </c>
      <c r="Z40" s="402">
        <f>Z24*GPCoInvest</f>
        <v/>
      </c>
      <c r="AA40" s="402">
        <f>AA24*GPCoInvest</f>
        <v/>
      </c>
      <c r="AB40" s="402">
        <f>AB24*GPCoInvest</f>
        <v/>
      </c>
      <c r="AC40" s="402">
        <f>AC24*GPCoInvest</f>
        <v/>
      </c>
      <c r="AD40" s="402">
        <f>AD24*GPCoInvest</f>
        <v/>
      </c>
      <c r="AE40" s="402">
        <f>AE24*GPCoInvest</f>
        <v/>
      </c>
      <c r="AF40" s="402">
        <f>AF24*GPCoInvest</f>
        <v/>
      </c>
      <c r="AG40" s="402">
        <f>AG24*GPCoInvest</f>
        <v/>
      </c>
      <c r="AH40" s="402">
        <f>AH24*GPCoInvest</f>
        <v/>
      </c>
      <c r="AI40" s="402">
        <f>AI24*GPCoInvest</f>
        <v/>
      </c>
      <c r="AJ40" s="402">
        <f>AJ24*GPCoInvest</f>
        <v/>
      </c>
      <c r="AK40" s="402">
        <f>AK24*GPCoInvest</f>
        <v/>
      </c>
      <c r="AL40" s="402">
        <f>AL24*GPCoInvest</f>
        <v/>
      </c>
      <c r="AM40" s="402">
        <f>AM24*GPCoInvest</f>
        <v/>
      </c>
      <c r="AN40" s="402">
        <f>AN24*GPCoInvest</f>
        <v/>
      </c>
      <c r="AO40" s="402">
        <f>AO24*GPCoInvest</f>
        <v/>
      </c>
      <c r="AP40" s="402">
        <f>AP24*GPCoInvest</f>
        <v/>
      </c>
      <c r="AQ40" s="402">
        <f>AQ24*GPCoInvest</f>
        <v/>
      </c>
      <c r="AR40" s="402">
        <f>AR24*GPCoInvest</f>
        <v/>
      </c>
      <c r="AS40" s="402">
        <f>AS24*GPCoInvest</f>
        <v/>
      </c>
      <c r="AT40" s="402">
        <f>AT24*GPCoInvest</f>
        <v/>
      </c>
      <c r="AU40" s="402">
        <f>AU24*GPCoInvest</f>
        <v/>
      </c>
      <c r="AV40" s="402">
        <f>AV24*GPCoInvest</f>
        <v/>
      </c>
      <c r="AW40" s="402">
        <f>AW24*GPCoInvest</f>
        <v/>
      </c>
      <c r="AX40" s="402">
        <f>AX24*GPCoInvest</f>
        <v/>
      </c>
      <c r="AY40" s="402">
        <f>AY24*GPCoInvest</f>
        <v/>
      </c>
      <c r="AZ40" s="402">
        <f>AZ24*GPCoInvest</f>
        <v/>
      </c>
      <c r="BA40" s="402">
        <f>BA24*GPCoInvest</f>
        <v/>
      </c>
      <c r="BB40" s="402">
        <f>BB24*GPCoInvest</f>
        <v/>
      </c>
      <c r="BC40" s="402">
        <f>BC24*GPCoInvest</f>
        <v/>
      </c>
      <c r="BD40" s="402">
        <f>BD24*GPCoInvest</f>
        <v/>
      </c>
      <c r="BE40" s="402">
        <f>BE24*GPCoInvest</f>
        <v/>
      </c>
      <c r="BF40" s="402">
        <f>BF24*GPCoInvest</f>
        <v/>
      </c>
      <c r="BG40" s="402">
        <f>BG24*GPCoInvest</f>
        <v/>
      </c>
      <c r="BH40" s="402">
        <f>BH24*GPCoInvest</f>
        <v/>
      </c>
      <c r="BI40" s="402">
        <f>BI24*GPCoInvest</f>
        <v/>
      </c>
      <c r="BJ40" s="402">
        <f>BJ24*GPCoInvest</f>
        <v/>
      </c>
      <c r="BK40" s="402">
        <f>BK24*GPCoInvest</f>
        <v/>
      </c>
      <c r="BL40" s="402">
        <f>BL24*GPCoInvest</f>
        <v/>
      </c>
      <c r="BM40" s="402">
        <f>BM24*GPCoInvest</f>
        <v/>
      </c>
      <c r="BN40" s="402">
        <f>BN24*GPCoInvest</f>
        <v/>
      </c>
      <c r="BO40" s="402">
        <f>BO24*GPCoInvest</f>
        <v/>
      </c>
      <c r="BP40" s="402">
        <f>BP24*GPCoInvest</f>
        <v/>
      </c>
      <c r="BQ40" s="402">
        <f>BQ24*GPCoInvest</f>
        <v/>
      </c>
      <c r="BR40" s="402">
        <f>BR24*GPCoInvest</f>
        <v/>
      </c>
      <c r="BS40" s="402">
        <f>BS24*GPCoInvest</f>
        <v/>
      </c>
      <c r="BT40" s="402">
        <f>BT24*GPCoInvest</f>
        <v/>
      </c>
      <c r="BU40" s="402">
        <f>BU24*GPCoInvest</f>
        <v/>
      </c>
      <c r="BV40" s="402">
        <f>BV24*GPCoInvest</f>
        <v/>
      </c>
      <c r="BW40" s="402">
        <f>BW24*GPCoInvest</f>
        <v/>
      </c>
      <c r="BX40" s="402">
        <f>BX24*GPCoInvest</f>
        <v/>
      </c>
      <c r="BY40" s="402">
        <f>BY24*GPCoInvest</f>
        <v/>
      </c>
      <c r="BZ40" s="402">
        <f>BZ24*GPCoInvest</f>
        <v/>
      </c>
      <c r="CA40" s="402">
        <f>CA24*GPCoInvest</f>
        <v/>
      </c>
      <c r="CB40" s="402">
        <f>CB24*GPCoInvest</f>
        <v/>
      </c>
      <c r="CC40" s="402">
        <f>CC24*GPCoInvest</f>
        <v/>
      </c>
      <c r="CD40" s="402">
        <f>CD24*GPCoInvest</f>
        <v/>
      </c>
      <c r="CE40" s="402">
        <f>CE24*GPCoInvest</f>
        <v/>
      </c>
      <c r="CF40" s="402">
        <f>CF24*GPCoInvest</f>
        <v/>
      </c>
      <c r="CG40" s="402">
        <f>CG24*GPCoInvest</f>
        <v/>
      </c>
      <c r="CH40" s="402">
        <f>CH24*GPCoInvest</f>
        <v/>
      </c>
      <c r="CI40" s="402">
        <f>CI24*GPCoInvest</f>
        <v/>
      </c>
      <c r="CJ40" s="402">
        <f>CJ24*GPCoInvest</f>
        <v/>
      </c>
      <c r="CK40" s="402">
        <f>CK24*GPCoInvest</f>
        <v/>
      </c>
      <c r="CL40" s="402">
        <f>CL24*GPCoInvest</f>
        <v/>
      </c>
      <c r="CM40" s="402">
        <f>CM24*GPCoInvest</f>
        <v/>
      </c>
      <c r="CN40" s="402">
        <f>CN24*GPCoInvest</f>
        <v/>
      </c>
      <c r="CO40" s="402">
        <f>CO24*GPCoInvest</f>
        <v/>
      </c>
      <c r="CP40" s="402">
        <f>CP24*GPCoInvest</f>
        <v/>
      </c>
      <c r="CQ40" s="402">
        <f>CQ24*GPCoInvest</f>
        <v/>
      </c>
      <c r="CR40" s="402">
        <f>CR24*GPCoInvest</f>
        <v/>
      </c>
      <c r="CS40" s="402">
        <f>CS24*GPCoInvest</f>
        <v/>
      </c>
      <c r="CT40" s="402">
        <f>CT24*GPCoInvest</f>
        <v/>
      </c>
      <c r="CU40" s="402">
        <f>CU24*GPCoInvest</f>
        <v/>
      </c>
      <c r="CV40" s="402">
        <f>CV24*GPCoInvest</f>
        <v/>
      </c>
      <c r="CW40" s="402">
        <f>CW24*GPCoInvest</f>
        <v/>
      </c>
      <c r="CX40" s="402">
        <f>CX24*GPCoInvest</f>
        <v/>
      </c>
      <c r="CY40" s="402">
        <f>CY24*GPCoInvest</f>
        <v/>
      </c>
      <c r="CZ40" s="402">
        <f>CZ24*GPCoInvest</f>
        <v/>
      </c>
      <c r="DA40" s="402">
        <f>DA24*GPCoInvest</f>
        <v/>
      </c>
      <c r="DB40" s="402">
        <f>DB24*GPCoInvest</f>
        <v/>
      </c>
      <c r="DC40" s="402">
        <f>DC24*GPCoInvest</f>
        <v/>
      </c>
      <c r="DD40" s="402">
        <f>DD24*GPCoInvest</f>
        <v/>
      </c>
      <c r="DE40" s="402">
        <f>DE24*GPCoInvest</f>
        <v/>
      </c>
      <c r="DF40" s="402">
        <f>DF24*GPCoInvest</f>
        <v/>
      </c>
      <c r="DG40" s="402">
        <f>DG24*GPCoInvest</f>
        <v/>
      </c>
      <c r="DH40" s="402">
        <f>DH24*GPCoInvest</f>
        <v/>
      </c>
      <c r="DI40" s="402">
        <f>DI24*GPCoInvest</f>
        <v/>
      </c>
      <c r="DJ40" s="402">
        <f>DJ24*GPCoInvest</f>
        <v/>
      </c>
      <c r="DK40" s="402">
        <f>DK24*GPCoInvest</f>
        <v/>
      </c>
      <c r="DL40" s="402">
        <f>DL24*GPCoInvest</f>
        <v/>
      </c>
      <c r="DM40" s="402">
        <f>DM24*GPCoInvest</f>
        <v/>
      </c>
      <c r="DN40" s="402">
        <f>DN24*GPCoInvest</f>
        <v/>
      </c>
      <c r="DO40" s="402">
        <f>DO24*GPCoInvest</f>
        <v/>
      </c>
      <c r="DP40" s="402">
        <f>DP24*GPCoInvest</f>
        <v/>
      </c>
      <c r="DQ40" s="402">
        <f>DQ24*GPCoInvest</f>
        <v/>
      </c>
      <c r="DR40" s="402">
        <f>DR24*GPCoInvest</f>
        <v/>
      </c>
      <c r="DS40" s="402">
        <f>DS24*GPCoInvest</f>
        <v/>
      </c>
      <c r="DT40" s="402">
        <f>DT24*GPCoInvest</f>
        <v/>
      </c>
      <c r="DU40" s="402">
        <f>DU24*GPCoInvest</f>
        <v/>
      </c>
      <c r="DV40" s="402">
        <f>DV24*GPCoInvest</f>
        <v/>
      </c>
      <c r="DW40" s="402">
        <f>DW24*GPCoInvest</f>
        <v/>
      </c>
      <c r="DX40" s="402">
        <f>DX24*GPCoInvest</f>
        <v/>
      </c>
      <c r="DY40" s="402">
        <f>DY24*GPCoInvest</f>
        <v/>
      </c>
      <c r="DZ40" s="402">
        <f>DZ24*GPCoInvest</f>
        <v/>
      </c>
      <c r="EA40" s="402">
        <f>EA24*GPCoInvest</f>
        <v/>
      </c>
      <c r="EB40" s="402">
        <f>EB24*GPCoInvest</f>
        <v/>
      </c>
      <c r="EC40" s="402">
        <f>EC24*GPCoInvest</f>
        <v/>
      </c>
      <c r="ED40" s="402">
        <f>ED24*GPCoInvest</f>
        <v/>
      </c>
      <c r="EE40" s="402">
        <f>EE24*GPCoInvest</f>
        <v/>
      </c>
      <c r="EF40" s="402">
        <f>EF24*GPCoInvest</f>
        <v/>
      </c>
      <c r="EG40" s="402">
        <f>EG24*GPCoInvest</f>
        <v/>
      </c>
      <c r="EH40" s="402">
        <f>EH24*GPCoInvest</f>
        <v/>
      </c>
      <c r="EI40" s="402">
        <f>EI24*GPCoInvest</f>
        <v/>
      </c>
      <c r="EJ40" s="402">
        <f>EJ24*GPCoInvest</f>
        <v/>
      </c>
      <c r="EK40" s="402">
        <f>EK24*GPCoInvest</f>
        <v/>
      </c>
      <c r="EL40" s="402">
        <f>EL24*GPCoInvest</f>
        <v/>
      </c>
      <c r="EM40" s="402">
        <f>EM24*GPCoInvest</f>
        <v/>
      </c>
      <c r="EN40" s="402">
        <f>EN24*GPCoInvest</f>
        <v/>
      </c>
      <c r="EO40" s="402">
        <f>EO24*GPCoInvest</f>
        <v/>
      </c>
      <c r="EP40" s="402">
        <f>EP24*GPCoInvest</f>
        <v/>
      </c>
      <c r="EQ40" s="402">
        <f>EQ24*GPCoInvest</f>
        <v/>
      </c>
      <c r="ER40" s="402">
        <f>ER24*GPCoInvest</f>
        <v/>
      </c>
      <c r="ES40" s="402">
        <f>ES24*GPCoInvest</f>
        <v/>
      </c>
      <c r="ET40" s="402">
        <f>ET24*GPCoInvest</f>
        <v/>
      </c>
      <c r="EU40" s="402">
        <f>EU24*GPCoInvest</f>
        <v/>
      </c>
      <c r="EV40" s="402">
        <f>EV24*GPCoInvest</f>
        <v/>
      </c>
      <c r="EW40" s="402">
        <f>EW24*GPCoInvest</f>
        <v/>
      </c>
      <c r="EX40" s="402">
        <f>EX24*GPCoInvest</f>
        <v/>
      </c>
      <c r="EY40" s="402">
        <f>EY24*GPCoInvest</f>
        <v/>
      </c>
      <c r="EZ40" s="402">
        <f>EZ24*GPCoInvest</f>
        <v/>
      </c>
      <c r="FA40" s="402">
        <f>FA24*GPCoInvest</f>
        <v/>
      </c>
      <c r="FB40" s="402">
        <f>FB24*GPCoInvest</f>
        <v/>
      </c>
      <c r="FC40" s="402">
        <f>FC24*GPCoInvest</f>
        <v/>
      </c>
      <c r="FD40" s="402">
        <f>FD24*GPCoInvest</f>
        <v/>
      </c>
      <c r="FE40" s="402">
        <f>FE24*GPCoInvest</f>
        <v/>
      </c>
      <c r="FF40" s="402">
        <f>FF24*GPCoInvest</f>
        <v/>
      </c>
      <c r="FG40" s="402">
        <f>FG24*GPCoInvest</f>
        <v/>
      </c>
      <c r="FH40" s="402">
        <f>FH24*GPCoInvest</f>
        <v/>
      </c>
      <c r="FI40" s="402">
        <f>FI24*GPCoInvest</f>
        <v/>
      </c>
      <c r="FJ40" s="402">
        <f>FJ24*GPCoInvest</f>
        <v/>
      </c>
      <c r="FK40" s="402">
        <f>FK24*GPCoInvest</f>
        <v/>
      </c>
      <c r="FL40" s="402">
        <f>FL24*GPCoInvest</f>
        <v/>
      </c>
      <c r="FM40" s="402">
        <f>FM24*GPCoInvest</f>
        <v/>
      </c>
      <c r="FN40" s="402">
        <f>FN24*GPCoInvest</f>
        <v/>
      </c>
      <c r="FO40" s="402">
        <f>FO24*GPCoInvest</f>
        <v/>
      </c>
      <c r="FP40" s="402">
        <f>FP24*GPCoInvest</f>
        <v/>
      </c>
      <c r="FQ40" s="402">
        <f>FQ24*GPCoInvest</f>
        <v/>
      </c>
      <c r="FR40" s="402">
        <f>FR24*GPCoInvest</f>
        <v/>
      </c>
      <c r="FS40" s="402">
        <f>FS24*GPCoInvest</f>
        <v/>
      </c>
      <c r="FT40" s="402">
        <f>FT24*GPCoInvest</f>
        <v/>
      </c>
      <c r="FU40" s="402">
        <f>FU24*GPCoInvest</f>
        <v/>
      </c>
      <c r="FV40" s="402">
        <f>FV24*GPCoInvest</f>
        <v/>
      </c>
      <c r="FW40" s="402">
        <f>FW24*GPCoInvest</f>
        <v/>
      </c>
      <c r="FX40" s="402">
        <f>FX24*GPCoInvest</f>
        <v/>
      </c>
      <c r="FY40" s="402">
        <f>FY24*GPCoInvest</f>
        <v/>
      </c>
      <c r="FZ40" s="402">
        <f>FZ24*GPCoInvest</f>
        <v/>
      </c>
      <c r="GA40" s="402">
        <f>GA24*GPCoInvest</f>
        <v/>
      </c>
      <c r="GB40" s="402">
        <f>GB24*GPCoInvest</f>
        <v/>
      </c>
      <c r="GC40" s="402">
        <f>GC24*GPCoInvest</f>
        <v/>
      </c>
      <c r="GD40" s="402">
        <f>GD24*GPCoInvest</f>
        <v/>
      </c>
      <c r="GE40" s="402">
        <f>GE24*GPCoInvest</f>
        <v/>
      </c>
      <c r="GF40" s="402">
        <f>GF24*GPCoInvest</f>
        <v/>
      </c>
      <c r="GG40" s="402">
        <f>GG24*GPCoInvest</f>
        <v/>
      </c>
      <c r="GH40" s="402">
        <f>GH24*GPCoInvest</f>
        <v/>
      </c>
      <c r="GI40" s="402">
        <f>GI24*GPCoInvest</f>
        <v/>
      </c>
      <c r="GJ40" s="402">
        <f>GJ24*GPCoInvest</f>
        <v/>
      </c>
      <c r="GK40" s="402">
        <f>GK24*GPCoInvest</f>
        <v/>
      </c>
      <c r="GL40" s="402">
        <f>GL24*GPCoInvest</f>
        <v/>
      </c>
      <c r="GM40" s="402">
        <f>GM24*GPCoInvest</f>
        <v/>
      </c>
      <c r="GN40" s="402">
        <f>GN24*GPCoInvest</f>
        <v/>
      </c>
      <c r="GO40" s="402">
        <f>GO24*GPCoInvest</f>
        <v/>
      </c>
      <c r="GP40" s="402">
        <f>GP24*GPCoInvest</f>
        <v/>
      </c>
      <c r="GQ40" s="402">
        <f>GQ24*GPCoInvest</f>
        <v/>
      </c>
      <c r="GR40" s="402">
        <f>GR24*GPCoInvest</f>
        <v/>
      </c>
      <c r="GS40" s="402">
        <f>GS24*GPCoInvest</f>
        <v/>
      </c>
      <c r="GT40" s="402">
        <f>GT24*GPCoInvest</f>
        <v/>
      </c>
      <c r="GU40" s="402">
        <f>GU24*GPCoInvest</f>
        <v/>
      </c>
      <c r="GV40" s="402">
        <f>GV24*GPCoInvest</f>
        <v/>
      </c>
      <c r="GW40" s="402">
        <f>GW24*GPCoInvest</f>
        <v/>
      </c>
      <c r="GX40" s="402">
        <f>GX24*GPCoInvest</f>
        <v/>
      </c>
      <c r="GY40" s="402">
        <f>GY24*GPCoInvest</f>
        <v/>
      </c>
      <c r="GZ40" s="402">
        <f>GZ24*GPCoInvest</f>
        <v/>
      </c>
      <c r="HA40" s="402">
        <f>HA24*GPCoInvest</f>
        <v/>
      </c>
      <c r="HB40" s="402">
        <f>HB24*GPCoInvest</f>
        <v/>
      </c>
      <c r="HC40" s="402">
        <f>HC24*GPCoInvest</f>
        <v/>
      </c>
      <c r="HD40" s="402">
        <f>HD24*GPCoInvest</f>
        <v/>
      </c>
      <c r="HE40" s="402">
        <f>HE24*GPCoInvest</f>
        <v/>
      </c>
      <c r="HF40" s="402">
        <f>HF24*GPCoInvest</f>
        <v/>
      </c>
      <c r="HG40" s="402">
        <f>HG24*GPCoInvest</f>
        <v/>
      </c>
      <c r="HH40" s="402">
        <f>HH24*GPCoInvest</f>
        <v/>
      </c>
      <c r="HI40" s="402">
        <f>HI24*GPCoInvest</f>
        <v/>
      </c>
      <c r="HJ40" s="402">
        <f>HJ24*GPCoInvest</f>
        <v/>
      </c>
      <c r="HK40" s="402">
        <f>HK24*GPCoInvest</f>
        <v/>
      </c>
      <c r="HL40" s="402">
        <f>HL24*GPCoInvest</f>
        <v/>
      </c>
      <c r="HM40" s="402">
        <f>HM24*GPCoInvest</f>
        <v/>
      </c>
      <c r="HN40" s="402">
        <f>HN24*GPCoInvest</f>
        <v/>
      </c>
      <c r="HO40" s="402">
        <f>HO24*GPCoInvest</f>
        <v/>
      </c>
      <c r="HP40" s="402">
        <f>HP24*GPCoInvest</f>
        <v/>
      </c>
      <c r="HQ40" s="402">
        <f>HQ24*GPCoInvest</f>
        <v/>
      </c>
      <c r="HR40" s="402">
        <f>HR24*GPCoInvest</f>
        <v/>
      </c>
      <c r="HS40" s="402">
        <f>HS24*GPCoInvest</f>
        <v/>
      </c>
      <c r="HT40" s="402">
        <f>HT24*GPCoInvest</f>
        <v/>
      </c>
      <c r="HU40" s="402">
        <f>HU24*GPCoInvest</f>
        <v/>
      </c>
      <c r="HV40" s="402">
        <f>HV24*GPCoInvest</f>
        <v/>
      </c>
      <c r="HW40" s="402">
        <f>HW24*GPCoInvest</f>
        <v/>
      </c>
      <c r="HX40" s="402">
        <f>HX24*GPCoInvest</f>
        <v/>
      </c>
      <c r="HY40" s="402">
        <f>HY24*GPCoInvest</f>
        <v/>
      </c>
      <c r="HZ40" s="402">
        <f>HZ24*GPCoInvest</f>
        <v/>
      </c>
      <c r="IA40" s="402">
        <f>IA24*GPCoInvest</f>
        <v/>
      </c>
      <c r="IB40" s="402">
        <f>IB24*GPCoInvest</f>
        <v/>
      </c>
      <c r="IC40" s="402">
        <f>IC24*GPCoInvest</f>
        <v/>
      </c>
      <c r="ID40" s="402">
        <f>ID24*GPCoInvest</f>
        <v/>
      </c>
      <c r="IE40" s="402">
        <f>IE24*GPCoInvest</f>
        <v/>
      </c>
      <c r="IF40" s="402">
        <f>IF24*GPCoInvest</f>
        <v/>
      </c>
      <c r="IG40" s="402">
        <f>IG24*GPCoInvest</f>
        <v/>
      </c>
      <c r="IH40" s="402">
        <f>IH24*GPCoInvest</f>
        <v/>
      </c>
      <c r="II40" s="402">
        <f>II24*GPCoInvest</f>
        <v/>
      </c>
      <c r="IJ40" s="402">
        <f>IJ24*GPCoInvest</f>
        <v/>
      </c>
      <c r="IK40" s="402">
        <f>IK24*GPCoInvest</f>
        <v/>
      </c>
      <c r="IL40" s="402">
        <f>IL24*GPCoInvest</f>
        <v/>
      </c>
      <c r="IM40" s="402">
        <f>IM24*GPCoInvest</f>
        <v/>
      </c>
      <c r="IN40" s="402">
        <f>IN24*GPCoInvest</f>
        <v/>
      </c>
      <c r="IO40" s="402">
        <f>IO24*GPCoInvest</f>
        <v/>
      </c>
      <c r="IP40" s="402">
        <f>IP24*GPCoInvest</f>
        <v/>
      </c>
      <c r="IQ40" s="402">
        <f>IQ24*GPCoInvest</f>
        <v/>
      </c>
      <c r="IR40" s="402">
        <f>IR24*GPCoInvest</f>
        <v/>
      </c>
      <c r="IS40" s="402">
        <f>IS24*GPCoInvest</f>
        <v/>
      </c>
      <c r="IT40" s="402">
        <f>IT24*GPCoInvest</f>
        <v/>
      </c>
      <c r="IU40" s="402">
        <f>IU24*GPCoInvest</f>
        <v/>
      </c>
      <c r="IV40" s="402">
        <f>IV24*GPCoInvest</f>
        <v/>
      </c>
      <c r="IW40" s="402">
        <f>IW24*GPCoInvest</f>
        <v/>
      </c>
      <c r="IX40" s="402">
        <f>IX24*GPCoInvest</f>
        <v/>
      </c>
      <c r="IY40" s="402">
        <f>IY24*GPCoInvest</f>
        <v/>
      </c>
      <c r="IZ40" s="402">
        <f>IZ24*GPCoInvest</f>
        <v/>
      </c>
      <c r="JA40" s="402">
        <f>JA24*GPCoInvest</f>
        <v/>
      </c>
      <c r="JB40" s="402">
        <f>JB24*GPCoInvest</f>
        <v/>
      </c>
      <c r="JC40" s="402">
        <f>JC24*GPCoInvest</f>
        <v/>
      </c>
      <c r="JD40" s="402">
        <f>JD24*GPCoInvest</f>
        <v/>
      </c>
      <c r="JE40" s="402">
        <f>JE24*GPCoInvest</f>
        <v/>
      </c>
      <c r="JF40" s="402">
        <f>JF24*GPCoInvest</f>
        <v/>
      </c>
      <c r="JG40" s="402">
        <f>JG24*GPCoInvest</f>
        <v/>
      </c>
      <c r="JH40" s="402">
        <f>JH24*GPCoInvest</f>
        <v/>
      </c>
      <c r="JI40" s="402">
        <f>JI24*GPCoInvest</f>
        <v/>
      </c>
      <c r="JJ40" s="402">
        <f>JJ24*GPCoInvest</f>
        <v/>
      </c>
      <c r="JK40" s="402">
        <f>JK24*GPCoInvest</f>
        <v/>
      </c>
      <c r="JL40" s="402">
        <f>JL24*GPCoInvest</f>
        <v/>
      </c>
      <c r="JM40" s="402">
        <f>JM24*GPCoInvest</f>
        <v/>
      </c>
      <c r="JN40" s="402">
        <f>JN24*GPCoInvest</f>
        <v/>
      </c>
      <c r="JO40" s="402">
        <f>JO24*GPCoInvest</f>
        <v/>
      </c>
      <c r="JP40" s="402">
        <f>JP24*GPCoInvest</f>
        <v/>
      </c>
      <c r="JQ40" s="402">
        <f>JQ24*GPCoInvest</f>
        <v/>
      </c>
      <c r="JR40" s="402">
        <f>JR24*GPCoInvest</f>
        <v/>
      </c>
      <c r="JS40" s="402">
        <f>JS24*GPCoInvest</f>
        <v/>
      </c>
      <c r="JT40" s="402">
        <f>JT24*GPCoInvest</f>
        <v/>
      </c>
      <c r="JU40" s="402">
        <f>JU24*GPCoInvest</f>
        <v/>
      </c>
      <c r="JV40" s="402">
        <f>JV24*GPCoInvest</f>
        <v/>
      </c>
      <c r="JW40" s="402">
        <f>JW24*GPCoInvest</f>
        <v/>
      </c>
      <c r="JX40" s="402">
        <f>JX24*GPCoInvest</f>
        <v/>
      </c>
      <c r="JY40" s="402">
        <f>JY24*GPCoInvest</f>
        <v/>
      </c>
      <c r="JZ40" s="402">
        <f>JZ24*GPCoInvest</f>
        <v/>
      </c>
      <c r="KA40" s="402">
        <f>KA24*GPCoInvest</f>
        <v/>
      </c>
      <c r="KB40" s="402">
        <f>KB24*GPCoInvest</f>
        <v/>
      </c>
      <c r="KC40" s="402">
        <f>KC24*GPCoInvest</f>
        <v/>
      </c>
      <c r="KD40" s="402">
        <f>KD24*GPCoInvest</f>
        <v/>
      </c>
      <c r="KE40" s="402">
        <f>KE24*GPCoInvest</f>
        <v/>
      </c>
      <c r="KF40" s="402">
        <f>KF24*GPCoInvest</f>
        <v/>
      </c>
      <c r="KG40" s="402">
        <f>KG24*GPCoInvest</f>
        <v/>
      </c>
      <c r="KH40" s="402">
        <f>KH24*GPCoInvest</f>
        <v/>
      </c>
      <c r="KI40" s="402">
        <f>KI24*GPCoInvest</f>
        <v/>
      </c>
      <c r="KJ40" s="402">
        <f>KJ24*GPCoInvest</f>
        <v/>
      </c>
      <c r="KK40" s="402">
        <f>KK24*GPCoInvest</f>
        <v/>
      </c>
      <c r="KL40" s="402">
        <f>KL24*GPCoInvest</f>
        <v/>
      </c>
      <c r="KM40" s="402">
        <f>KM24*GPCoInvest</f>
        <v/>
      </c>
      <c r="KN40" s="402">
        <f>KN24*GPCoInvest</f>
        <v/>
      </c>
      <c r="KO40" s="402">
        <f>KO24*GPCoInvest</f>
        <v/>
      </c>
      <c r="KP40" s="402">
        <f>KP24*GPCoInvest</f>
        <v/>
      </c>
      <c r="KQ40" s="402">
        <f>KQ24*GPCoInvest</f>
        <v/>
      </c>
      <c r="KR40" s="402">
        <f>KR24*GPCoInvest</f>
        <v/>
      </c>
      <c r="KS40" s="402">
        <f>KS24*GPCoInvest</f>
        <v/>
      </c>
      <c r="KT40" s="402">
        <f>KT24*GPCoInvest</f>
        <v/>
      </c>
      <c r="KU40" s="402">
        <f>KU24*GPCoInvest</f>
        <v/>
      </c>
      <c r="KV40" s="402">
        <f>KV24*GPCoInvest</f>
        <v/>
      </c>
      <c r="KW40" s="402">
        <f>KW24*GPCoInvest</f>
        <v/>
      </c>
      <c r="KX40" s="402">
        <f>KX24*GPCoInvest</f>
        <v/>
      </c>
      <c r="KY40" s="402">
        <f>KY24*GPCoInvest</f>
        <v/>
      </c>
      <c r="KZ40" s="402">
        <f>KZ24*GPCoInvest</f>
        <v/>
      </c>
      <c r="LA40" s="402">
        <f>LA24*GPCoInvest</f>
        <v/>
      </c>
      <c r="LB40" s="402">
        <f>LB24*GPCoInvest</f>
        <v/>
      </c>
      <c r="LC40" s="402">
        <f>LC24*GPCoInvest</f>
        <v/>
      </c>
      <c r="LD40" s="402">
        <f>LD24*GPCoInvest</f>
        <v/>
      </c>
      <c r="LE40" s="402">
        <f>LE24*GPCoInvest</f>
        <v/>
      </c>
      <c r="LF40" s="402">
        <f>LF24*GPCoInvest</f>
        <v/>
      </c>
      <c r="LG40" s="402">
        <f>LG24*GPCoInvest</f>
        <v/>
      </c>
      <c r="LH40" s="402">
        <f>LH24*GPCoInvest</f>
        <v/>
      </c>
      <c r="LI40" s="402">
        <f>LI24*GPCoInvest</f>
        <v/>
      </c>
      <c r="LJ40" s="402">
        <f>LJ24*GPCoInvest</f>
        <v/>
      </c>
      <c r="LK40" s="402">
        <f>LK24*GPCoInvest</f>
        <v/>
      </c>
      <c r="LL40" s="402">
        <f>LL24*GPCoInvest</f>
        <v/>
      </c>
      <c r="LM40" s="402">
        <f>LM24*GPCoInvest</f>
        <v/>
      </c>
      <c r="LN40" s="402">
        <f>LN24*GPCoInvest</f>
        <v/>
      </c>
      <c r="LO40" s="402">
        <f>LO24*GPCoInvest</f>
        <v/>
      </c>
      <c r="LP40" s="402">
        <f>LP24*GPCoInvest</f>
        <v/>
      </c>
      <c r="LQ40" s="402">
        <f>LQ24*GPCoInvest</f>
        <v/>
      </c>
      <c r="LR40" s="402">
        <f>LR24*GPCoInvest</f>
        <v/>
      </c>
      <c r="LS40" s="402">
        <f>LS24*GPCoInvest</f>
        <v/>
      </c>
      <c r="LT40" s="402">
        <f>LT24*GPCoInvest</f>
        <v/>
      </c>
      <c r="LU40" s="402">
        <f>LU24*GPCoInvest</f>
        <v/>
      </c>
      <c r="LV40" s="402">
        <f>LV24*GPCoInvest</f>
        <v/>
      </c>
      <c r="LW40" s="402">
        <f>LW24*GPCoInvest</f>
        <v/>
      </c>
      <c r="LX40" s="402">
        <f>LX24*GPCoInvest</f>
        <v/>
      </c>
      <c r="LY40" s="402">
        <f>LY24*GPCoInvest</f>
        <v/>
      </c>
      <c r="LZ40" s="402">
        <f>LZ24*GPCoInvest</f>
        <v/>
      </c>
      <c r="MA40" s="402">
        <f>MA24*GPCoInvest</f>
        <v/>
      </c>
      <c r="MB40" s="402">
        <f>MB24*GPCoInvest</f>
        <v/>
      </c>
      <c r="MC40" s="402">
        <f>MC24*GPCoInvest</f>
        <v/>
      </c>
      <c r="MD40" s="402">
        <f>MD24*GPCoInvest</f>
        <v/>
      </c>
      <c r="ME40" s="402">
        <f>ME24*GPCoInvest</f>
        <v/>
      </c>
      <c r="MF40" s="402">
        <f>MF24*GPCoInvest</f>
        <v/>
      </c>
      <c r="MG40" s="402">
        <f>MG24*GPCoInvest</f>
        <v/>
      </c>
      <c r="MH40" s="402">
        <f>MH24*GPCoInvest</f>
        <v/>
      </c>
      <c r="MI40" s="402">
        <f>MI24*GPCoInvest</f>
        <v/>
      </c>
      <c r="MJ40" s="402">
        <f>MJ24*GPCoInvest</f>
        <v/>
      </c>
      <c r="MK40" s="402">
        <f>MK24*GPCoInvest</f>
        <v/>
      </c>
      <c r="ML40" s="402">
        <f>ML24*GPCoInvest</f>
        <v/>
      </c>
      <c r="MM40" s="402">
        <f>MM24*GPCoInvest</f>
        <v/>
      </c>
      <c r="MN40" s="402">
        <f>MN24*GPCoInvest</f>
        <v/>
      </c>
      <c r="MO40" s="402">
        <f>MO24*GPCoInvest</f>
        <v/>
      </c>
      <c r="MP40" s="402">
        <f>MP24*GPCoInvest</f>
        <v/>
      </c>
      <c r="MQ40" s="402">
        <f>MQ24*GPCoInvest</f>
        <v/>
      </c>
      <c r="MR40" s="402">
        <f>MR24*GPCoInvest</f>
        <v/>
      </c>
      <c r="MS40" s="402">
        <f>MS24*GPCoInvest</f>
        <v/>
      </c>
      <c r="MT40" s="402">
        <f>MT24*GPCoInvest</f>
        <v/>
      </c>
      <c r="MU40" s="402">
        <f>MU24*GPCoInvest</f>
        <v/>
      </c>
      <c r="MV40" s="402">
        <f>MV24*GPCoInvest</f>
        <v/>
      </c>
      <c r="MW40" s="402">
        <f>MW24*GPCoInvest</f>
        <v/>
      </c>
      <c r="MX40" s="402">
        <f>MX24*GPCoInvest</f>
        <v/>
      </c>
      <c r="MY40" s="402">
        <f>MY24*GPCoInvest</f>
        <v/>
      </c>
      <c r="MZ40" s="402">
        <f>MZ24*GPCoInvest</f>
        <v/>
      </c>
      <c r="NA40" s="402">
        <f>NA24*GPCoInvest</f>
        <v/>
      </c>
      <c r="NB40" s="402">
        <f>NB24*GPCoInvest</f>
        <v/>
      </c>
      <c r="NC40" s="402">
        <f>NC24*GPCoInvest</f>
        <v/>
      </c>
      <c r="ND40" s="402">
        <f>ND24*GPCoInvest</f>
        <v/>
      </c>
      <c r="NE40" s="402">
        <f>NE24*GPCoInvest</f>
        <v/>
      </c>
      <c r="NF40" s="402">
        <f>NF24*GPCoInvest</f>
        <v/>
      </c>
      <c r="NG40" s="402">
        <f>NG24*GPCoInvest</f>
        <v/>
      </c>
      <c r="NH40" s="402">
        <f>NH24*GPCoInvest</f>
        <v/>
      </c>
      <c r="NI40" s="402">
        <f>NI24*GPCoInvest</f>
        <v/>
      </c>
      <c r="NJ40" s="402">
        <f>NJ24*GPCoInvest</f>
        <v/>
      </c>
      <c r="NK40" s="402">
        <f>NK24*GPCoInvest</f>
        <v/>
      </c>
      <c r="NL40" s="402">
        <f>NL24*GPCoInvest</f>
        <v/>
      </c>
    </row>
    <row r="41">
      <c r="B41" s="316" t="inlineStr">
        <is>
          <t>LP Contributions</t>
        </is>
      </c>
      <c r="D41" s="402">
        <f>SUM(E41:NL41)</f>
        <v/>
      </c>
      <c r="E41" s="402">
        <f>E24*(1-GPCoInvest)</f>
        <v/>
      </c>
      <c r="F41" s="402">
        <f>F24*(1-GPCoInvest)</f>
        <v/>
      </c>
      <c r="G41" s="402">
        <f>G24*(1-GPCoInvest)</f>
        <v/>
      </c>
      <c r="H41" s="402">
        <f>H24*(1-GPCoInvest)</f>
        <v/>
      </c>
      <c r="I41" s="402">
        <f>I24*(1-GPCoInvest)</f>
        <v/>
      </c>
      <c r="J41" s="402">
        <f>J24*(1-GPCoInvest)</f>
        <v/>
      </c>
      <c r="K41" s="402">
        <f>K24*(1-GPCoInvest)</f>
        <v/>
      </c>
      <c r="L41" s="402">
        <f>L24*(1-GPCoInvest)</f>
        <v/>
      </c>
      <c r="M41" s="402">
        <f>M24*(1-GPCoInvest)</f>
        <v/>
      </c>
      <c r="N41" s="402">
        <f>N24*(1-GPCoInvest)</f>
        <v/>
      </c>
      <c r="O41" s="402">
        <f>O24*(1-GPCoInvest)</f>
        <v/>
      </c>
      <c r="P41" s="402">
        <f>P24*(1-GPCoInvest)</f>
        <v/>
      </c>
      <c r="Q41" s="402">
        <f>Q24*(1-GPCoInvest)</f>
        <v/>
      </c>
      <c r="R41" s="402">
        <f>R24*(1-GPCoInvest)</f>
        <v/>
      </c>
      <c r="S41" s="402">
        <f>S24*(1-GPCoInvest)</f>
        <v/>
      </c>
      <c r="T41" s="402">
        <f>T24*(1-GPCoInvest)</f>
        <v/>
      </c>
      <c r="U41" s="402">
        <f>U24*(1-GPCoInvest)</f>
        <v/>
      </c>
      <c r="V41" s="402">
        <f>V24*(1-GPCoInvest)</f>
        <v/>
      </c>
      <c r="W41" s="402">
        <f>W24*(1-GPCoInvest)</f>
        <v/>
      </c>
      <c r="X41" s="402">
        <f>X24*(1-GPCoInvest)</f>
        <v/>
      </c>
      <c r="Y41" s="402">
        <f>Y24*(1-GPCoInvest)</f>
        <v/>
      </c>
      <c r="Z41" s="402">
        <f>Z24*(1-GPCoInvest)</f>
        <v/>
      </c>
      <c r="AA41" s="402">
        <f>AA24*(1-GPCoInvest)</f>
        <v/>
      </c>
      <c r="AB41" s="402">
        <f>AB24*(1-GPCoInvest)</f>
        <v/>
      </c>
      <c r="AC41" s="402">
        <f>AC24*(1-GPCoInvest)</f>
        <v/>
      </c>
      <c r="AD41" s="402">
        <f>AD24*(1-GPCoInvest)</f>
        <v/>
      </c>
      <c r="AE41" s="402">
        <f>AE24*(1-GPCoInvest)</f>
        <v/>
      </c>
      <c r="AF41" s="402">
        <f>AF24*(1-GPCoInvest)</f>
        <v/>
      </c>
      <c r="AG41" s="402">
        <f>AG24*(1-GPCoInvest)</f>
        <v/>
      </c>
      <c r="AH41" s="402">
        <f>AH24*(1-GPCoInvest)</f>
        <v/>
      </c>
      <c r="AI41" s="402">
        <f>AI24*(1-GPCoInvest)</f>
        <v/>
      </c>
      <c r="AJ41" s="402">
        <f>AJ24*(1-GPCoInvest)</f>
        <v/>
      </c>
      <c r="AK41" s="402">
        <f>AK24*(1-GPCoInvest)</f>
        <v/>
      </c>
      <c r="AL41" s="402">
        <f>AL24*(1-GPCoInvest)</f>
        <v/>
      </c>
      <c r="AM41" s="402">
        <f>AM24*(1-GPCoInvest)</f>
        <v/>
      </c>
      <c r="AN41" s="402">
        <f>AN24*(1-GPCoInvest)</f>
        <v/>
      </c>
      <c r="AO41" s="402">
        <f>AO24*(1-GPCoInvest)</f>
        <v/>
      </c>
      <c r="AP41" s="402">
        <f>AP24*(1-GPCoInvest)</f>
        <v/>
      </c>
      <c r="AQ41" s="402">
        <f>AQ24*(1-GPCoInvest)</f>
        <v/>
      </c>
      <c r="AR41" s="402">
        <f>AR24*(1-GPCoInvest)</f>
        <v/>
      </c>
      <c r="AS41" s="402">
        <f>AS24*(1-GPCoInvest)</f>
        <v/>
      </c>
      <c r="AT41" s="402">
        <f>AT24*(1-GPCoInvest)</f>
        <v/>
      </c>
      <c r="AU41" s="402">
        <f>AU24*(1-GPCoInvest)</f>
        <v/>
      </c>
      <c r="AV41" s="402">
        <f>AV24*(1-GPCoInvest)</f>
        <v/>
      </c>
      <c r="AW41" s="402">
        <f>AW24*(1-GPCoInvest)</f>
        <v/>
      </c>
      <c r="AX41" s="402">
        <f>AX24*(1-GPCoInvest)</f>
        <v/>
      </c>
      <c r="AY41" s="402">
        <f>AY24*(1-GPCoInvest)</f>
        <v/>
      </c>
      <c r="AZ41" s="402">
        <f>AZ24*(1-GPCoInvest)</f>
        <v/>
      </c>
      <c r="BA41" s="402">
        <f>BA24*(1-GPCoInvest)</f>
        <v/>
      </c>
      <c r="BB41" s="402">
        <f>BB24*(1-GPCoInvest)</f>
        <v/>
      </c>
      <c r="BC41" s="402">
        <f>BC24*(1-GPCoInvest)</f>
        <v/>
      </c>
      <c r="BD41" s="402">
        <f>BD24*(1-GPCoInvest)</f>
        <v/>
      </c>
      <c r="BE41" s="402">
        <f>BE24*(1-GPCoInvest)</f>
        <v/>
      </c>
      <c r="BF41" s="402">
        <f>BF24*(1-GPCoInvest)</f>
        <v/>
      </c>
      <c r="BG41" s="402">
        <f>BG24*(1-GPCoInvest)</f>
        <v/>
      </c>
      <c r="BH41" s="402">
        <f>BH24*(1-GPCoInvest)</f>
        <v/>
      </c>
      <c r="BI41" s="402">
        <f>BI24*(1-GPCoInvest)</f>
        <v/>
      </c>
      <c r="BJ41" s="402">
        <f>BJ24*(1-GPCoInvest)</f>
        <v/>
      </c>
      <c r="BK41" s="402">
        <f>BK24*(1-GPCoInvest)</f>
        <v/>
      </c>
      <c r="BL41" s="402">
        <f>BL24*(1-GPCoInvest)</f>
        <v/>
      </c>
      <c r="BM41" s="402">
        <f>BM24*(1-GPCoInvest)</f>
        <v/>
      </c>
      <c r="BN41" s="402">
        <f>BN24*(1-GPCoInvest)</f>
        <v/>
      </c>
      <c r="BO41" s="402">
        <f>BO24*(1-GPCoInvest)</f>
        <v/>
      </c>
      <c r="BP41" s="402">
        <f>BP24*(1-GPCoInvest)</f>
        <v/>
      </c>
      <c r="BQ41" s="402">
        <f>BQ24*(1-GPCoInvest)</f>
        <v/>
      </c>
      <c r="BR41" s="402">
        <f>BR24*(1-GPCoInvest)</f>
        <v/>
      </c>
      <c r="BS41" s="402">
        <f>BS24*(1-GPCoInvest)</f>
        <v/>
      </c>
      <c r="BT41" s="402">
        <f>BT24*(1-GPCoInvest)</f>
        <v/>
      </c>
      <c r="BU41" s="402">
        <f>BU24*(1-GPCoInvest)</f>
        <v/>
      </c>
      <c r="BV41" s="402">
        <f>BV24*(1-GPCoInvest)</f>
        <v/>
      </c>
      <c r="BW41" s="402">
        <f>BW24*(1-GPCoInvest)</f>
        <v/>
      </c>
      <c r="BX41" s="402">
        <f>BX24*(1-GPCoInvest)</f>
        <v/>
      </c>
      <c r="BY41" s="402">
        <f>BY24*(1-GPCoInvest)</f>
        <v/>
      </c>
      <c r="BZ41" s="402">
        <f>BZ24*(1-GPCoInvest)</f>
        <v/>
      </c>
      <c r="CA41" s="402">
        <f>CA24*(1-GPCoInvest)</f>
        <v/>
      </c>
      <c r="CB41" s="402">
        <f>CB24*(1-GPCoInvest)</f>
        <v/>
      </c>
      <c r="CC41" s="402">
        <f>CC24*(1-GPCoInvest)</f>
        <v/>
      </c>
      <c r="CD41" s="402">
        <f>CD24*(1-GPCoInvest)</f>
        <v/>
      </c>
      <c r="CE41" s="402">
        <f>CE24*(1-GPCoInvest)</f>
        <v/>
      </c>
      <c r="CF41" s="402">
        <f>CF24*(1-GPCoInvest)</f>
        <v/>
      </c>
      <c r="CG41" s="402">
        <f>CG24*(1-GPCoInvest)</f>
        <v/>
      </c>
      <c r="CH41" s="402">
        <f>CH24*(1-GPCoInvest)</f>
        <v/>
      </c>
      <c r="CI41" s="402">
        <f>CI24*(1-GPCoInvest)</f>
        <v/>
      </c>
      <c r="CJ41" s="402">
        <f>CJ24*(1-GPCoInvest)</f>
        <v/>
      </c>
      <c r="CK41" s="402">
        <f>CK24*(1-GPCoInvest)</f>
        <v/>
      </c>
      <c r="CL41" s="402">
        <f>CL24*(1-GPCoInvest)</f>
        <v/>
      </c>
      <c r="CM41" s="402">
        <f>CM24*(1-GPCoInvest)</f>
        <v/>
      </c>
      <c r="CN41" s="402">
        <f>CN24*(1-GPCoInvest)</f>
        <v/>
      </c>
      <c r="CO41" s="402">
        <f>CO24*(1-GPCoInvest)</f>
        <v/>
      </c>
      <c r="CP41" s="402">
        <f>CP24*(1-GPCoInvest)</f>
        <v/>
      </c>
      <c r="CQ41" s="402">
        <f>CQ24*(1-GPCoInvest)</f>
        <v/>
      </c>
      <c r="CR41" s="402">
        <f>CR24*(1-GPCoInvest)</f>
        <v/>
      </c>
      <c r="CS41" s="402">
        <f>CS24*(1-GPCoInvest)</f>
        <v/>
      </c>
      <c r="CT41" s="402">
        <f>CT24*(1-GPCoInvest)</f>
        <v/>
      </c>
      <c r="CU41" s="402">
        <f>CU24*(1-GPCoInvest)</f>
        <v/>
      </c>
      <c r="CV41" s="402">
        <f>CV24*(1-GPCoInvest)</f>
        <v/>
      </c>
      <c r="CW41" s="402">
        <f>CW24*(1-GPCoInvest)</f>
        <v/>
      </c>
      <c r="CX41" s="402">
        <f>CX24*(1-GPCoInvest)</f>
        <v/>
      </c>
      <c r="CY41" s="402">
        <f>CY24*(1-GPCoInvest)</f>
        <v/>
      </c>
      <c r="CZ41" s="402">
        <f>CZ24*(1-GPCoInvest)</f>
        <v/>
      </c>
      <c r="DA41" s="402">
        <f>DA24*(1-GPCoInvest)</f>
        <v/>
      </c>
      <c r="DB41" s="402">
        <f>DB24*(1-GPCoInvest)</f>
        <v/>
      </c>
      <c r="DC41" s="402">
        <f>DC24*(1-GPCoInvest)</f>
        <v/>
      </c>
      <c r="DD41" s="402">
        <f>DD24*(1-GPCoInvest)</f>
        <v/>
      </c>
      <c r="DE41" s="402">
        <f>DE24*(1-GPCoInvest)</f>
        <v/>
      </c>
      <c r="DF41" s="402">
        <f>DF24*(1-GPCoInvest)</f>
        <v/>
      </c>
      <c r="DG41" s="402">
        <f>DG24*(1-GPCoInvest)</f>
        <v/>
      </c>
      <c r="DH41" s="402">
        <f>DH24*(1-GPCoInvest)</f>
        <v/>
      </c>
      <c r="DI41" s="402">
        <f>DI24*(1-GPCoInvest)</f>
        <v/>
      </c>
      <c r="DJ41" s="402">
        <f>DJ24*(1-GPCoInvest)</f>
        <v/>
      </c>
      <c r="DK41" s="402">
        <f>DK24*(1-GPCoInvest)</f>
        <v/>
      </c>
      <c r="DL41" s="402">
        <f>DL24*(1-GPCoInvest)</f>
        <v/>
      </c>
      <c r="DM41" s="402">
        <f>DM24*(1-GPCoInvest)</f>
        <v/>
      </c>
      <c r="DN41" s="402">
        <f>DN24*(1-GPCoInvest)</f>
        <v/>
      </c>
      <c r="DO41" s="402">
        <f>DO24*(1-GPCoInvest)</f>
        <v/>
      </c>
      <c r="DP41" s="402">
        <f>DP24*(1-GPCoInvest)</f>
        <v/>
      </c>
      <c r="DQ41" s="402">
        <f>DQ24*(1-GPCoInvest)</f>
        <v/>
      </c>
      <c r="DR41" s="402">
        <f>DR24*(1-GPCoInvest)</f>
        <v/>
      </c>
      <c r="DS41" s="402">
        <f>DS24*(1-GPCoInvest)</f>
        <v/>
      </c>
      <c r="DT41" s="402">
        <f>DT24*(1-GPCoInvest)</f>
        <v/>
      </c>
      <c r="DU41" s="402">
        <f>DU24*(1-GPCoInvest)</f>
        <v/>
      </c>
      <c r="DV41" s="402">
        <f>DV24*(1-GPCoInvest)</f>
        <v/>
      </c>
      <c r="DW41" s="402">
        <f>DW24*(1-GPCoInvest)</f>
        <v/>
      </c>
      <c r="DX41" s="402">
        <f>DX24*(1-GPCoInvest)</f>
        <v/>
      </c>
      <c r="DY41" s="402">
        <f>DY24*(1-GPCoInvest)</f>
        <v/>
      </c>
      <c r="DZ41" s="402">
        <f>DZ24*(1-GPCoInvest)</f>
        <v/>
      </c>
      <c r="EA41" s="402">
        <f>EA24*(1-GPCoInvest)</f>
        <v/>
      </c>
      <c r="EB41" s="402">
        <f>EB24*(1-GPCoInvest)</f>
        <v/>
      </c>
      <c r="EC41" s="402">
        <f>EC24*(1-GPCoInvest)</f>
        <v/>
      </c>
      <c r="ED41" s="402">
        <f>ED24*(1-GPCoInvest)</f>
        <v/>
      </c>
      <c r="EE41" s="402">
        <f>EE24*(1-GPCoInvest)</f>
        <v/>
      </c>
      <c r="EF41" s="402">
        <f>EF24*(1-GPCoInvest)</f>
        <v/>
      </c>
      <c r="EG41" s="402">
        <f>EG24*(1-GPCoInvest)</f>
        <v/>
      </c>
      <c r="EH41" s="402">
        <f>EH24*(1-GPCoInvest)</f>
        <v/>
      </c>
      <c r="EI41" s="402">
        <f>EI24*(1-GPCoInvest)</f>
        <v/>
      </c>
      <c r="EJ41" s="402">
        <f>EJ24*(1-GPCoInvest)</f>
        <v/>
      </c>
      <c r="EK41" s="402">
        <f>EK24*(1-GPCoInvest)</f>
        <v/>
      </c>
      <c r="EL41" s="402">
        <f>EL24*(1-GPCoInvest)</f>
        <v/>
      </c>
      <c r="EM41" s="402">
        <f>EM24*(1-GPCoInvest)</f>
        <v/>
      </c>
      <c r="EN41" s="402">
        <f>EN24*(1-GPCoInvest)</f>
        <v/>
      </c>
      <c r="EO41" s="402">
        <f>EO24*(1-GPCoInvest)</f>
        <v/>
      </c>
      <c r="EP41" s="402">
        <f>EP24*(1-GPCoInvest)</f>
        <v/>
      </c>
      <c r="EQ41" s="402">
        <f>EQ24*(1-GPCoInvest)</f>
        <v/>
      </c>
      <c r="ER41" s="402">
        <f>ER24*(1-GPCoInvest)</f>
        <v/>
      </c>
      <c r="ES41" s="402">
        <f>ES24*(1-GPCoInvest)</f>
        <v/>
      </c>
      <c r="ET41" s="402">
        <f>ET24*(1-GPCoInvest)</f>
        <v/>
      </c>
      <c r="EU41" s="402">
        <f>EU24*(1-GPCoInvest)</f>
        <v/>
      </c>
      <c r="EV41" s="402">
        <f>EV24*(1-GPCoInvest)</f>
        <v/>
      </c>
      <c r="EW41" s="402">
        <f>EW24*(1-GPCoInvest)</f>
        <v/>
      </c>
      <c r="EX41" s="402">
        <f>EX24*(1-GPCoInvest)</f>
        <v/>
      </c>
      <c r="EY41" s="402">
        <f>EY24*(1-GPCoInvest)</f>
        <v/>
      </c>
      <c r="EZ41" s="402">
        <f>EZ24*(1-GPCoInvest)</f>
        <v/>
      </c>
      <c r="FA41" s="402">
        <f>FA24*(1-GPCoInvest)</f>
        <v/>
      </c>
      <c r="FB41" s="402">
        <f>FB24*(1-GPCoInvest)</f>
        <v/>
      </c>
      <c r="FC41" s="402">
        <f>FC24*(1-GPCoInvest)</f>
        <v/>
      </c>
      <c r="FD41" s="402">
        <f>FD24*(1-GPCoInvest)</f>
        <v/>
      </c>
      <c r="FE41" s="402">
        <f>FE24*(1-GPCoInvest)</f>
        <v/>
      </c>
      <c r="FF41" s="402">
        <f>FF24*(1-GPCoInvest)</f>
        <v/>
      </c>
      <c r="FG41" s="402">
        <f>FG24*(1-GPCoInvest)</f>
        <v/>
      </c>
      <c r="FH41" s="402">
        <f>FH24*(1-GPCoInvest)</f>
        <v/>
      </c>
      <c r="FI41" s="402">
        <f>FI24*(1-GPCoInvest)</f>
        <v/>
      </c>
      <c r="FJ41" s="402">
        <f>FJ24*(1-GPCoInvest)</f>
        <v/>
      </c>
      <c r="FK41" s="402">
        <f>FK24*(1-GPCoInvest)</f>
        <v/>
      </c>
      <c r="FL41" s="402">
        <f>FL24*(1-GPCoInvest)</f>
        <v/>
      </c>
      <c r="FM41" s="402">
        <f>FM24*(1-GPCoInvest)</f>
        <v/>
      </c>
      <c r="FN41" s="402">
        <f>FN24*(1-GPCoInvest)</f>
        <v/>
      </c>
      <c r="FO41" s="402">
        <f>FO24*(1-GPCoInvest)</f>
        <v/>
      </c>
      <c r="FP41" s="402">
        <f>FP24*(1-GPCoInvest)</f>
        <v/>
      </c>
      <c r="FQ41" s="402">
        <f>FQ24*(1-GPCoInvest)</f>
        <v/>
      </c>
      <c r="FR41" s="402">
        <f>FR24*(1-GPCoInvest)</f>
        <v/>
      </c>
      <c r="FS41" s="402">
        <f>FS24*(1-GPCoInvest)</f>
        <v/>
      </c>
      <c r="FT41" s="402">
        <f>FT24*(1-GPCoInvest)</f>
        <v/>
      </c>
      <c r="FU41" s="402">
        <f>FU24*(1-GPCoInvest)</f>
        <v/>
      </c>
      <c r="FV41" s="402">
        <f>FV24*(1-GPCoInvest)</f>
        <v/>
      </c>
      <c r="FW41" s="402">
        <f>FW24*(1-GPCoInvest)</f>
        <v/>
      </c>
      <c r="FX41" s="402">
        <f>FX24*(1-GPCoInvest)</f>
        <v/>
      </c>
      <c r="FY41" s="402">
        <f>FY24*(1-GPCoInvest)</f>
        <v/>
      </c>
      <c r="FZ41" s="402">
        <f>FZ24*(1-GPCoInvest)</f>
        <v/>
      </c>
      <c r="GA41" s="402">
        <f>GA24*(1-GPCoInvest)</f>
        <v/>
      </c>
      <c r="GB41" s="402">
        <f>GB24*(1-GPCoInvest)</f>
        <v/>
      </c>
      <c r="GC41" s="402">
        <f>GC24*(1-GPCoInvest)</f>
        <v/>
      </c>
      <c r="GD41" s="402">
        <f>GD24*(1-GPCoInvest)</f>
        <v/>
      </c>
      <c r="GE41" s="402">
        <f>GE24*(1-GPCoInvest)</f>
        <v/>
      </c>
      <c r="GF41" s="402">
        <f>GF24*(1-GPCoInvest)</f>
        <v/>
      </c>
      <c r="GG41" s="402">
        <f>GG24*(1-GPCoInvest)</f>
        <v/>
      </c>
      <c r="GH41" s="402">
        <f>GH24*(1-GPCoInvest)</f>
        <v/>
      </c>
      <c r="GI41" s="402">
        <f>GI24*(1-GPCoInvest)</f>
        <v/>
      </c>
      <c r="GJ41" s="402">
        <f>GJ24*(1-GPCoInvest)</f>
        <v/>
      </c>
      <c r="GK41" s="402">
        <f>GK24*(1-GPCoInvest)</f>
        <v/>
      </c>
      <c r="GL41" s="402">
        <f>GL24*(1-GPCoInvest)</f>
        <v/>
      </c>
      <c r="GM41" s="402">
        <f>GM24*(1-GPCoInvest)</f>
        <v/>
      </c>
      <c r="GN41" s="402">
        <f>GN24*(1-GPCoInvest)</f>
        <v/>
      </c>
      <c r="GO41" s="402">
        <f>GO24*(1-GPCoInvest)</f>
        <v/>
      </c>
      <c r="GP41" s="402">
        <f>GP24*(1-GPCoInvest)</f>
        <v/>
      </c>
      <c r="GQ41" s="402">
        <f>GQ24*(1-GPCoInvest)</f>
        <v/>
      </c>
      <c r="GR41" s="402">
        <f>GR24*(1-GPCoInvest)</f>
        <v/>
      </c>
      <c r="GS41" s="402">
        <f>GS24*(1-GPCoInvest)</f>
        <v/>
      </c>
      <c r="GT41" s="402">
        <f>GT24*(1-GPCoInvest)</f>
        <v/>
      </c>
      <c r="GU41" s="402">
        <f>GU24*(1-GPCoInvest)</f>
        <v/>
      </c>
      <c r="GV41" s="402">
        <f>GV24*(1-GPCoInvest)</f>
        <v/>
      </c>
      <c r="GW41" s="402">
        <f>GW24*(1-GPCoInvest)</f>
        <v/>
      </c>
      <c r="GX41" s="402">
        <f>GX24*(1-GPCoInvest)</f>
        <v/>
      </c>
      <c r="GY41" s="402">
        <f>GY24*(1-GPCoInvest)</f>
        <v/>
      </c>
      <c r="GZ41" s="402">
        <f>GZ24*(1-GPCoInvest)</f>
        <v/>
      </c>
      <c r="HA41" s="402">
        <f>HA24*(1-GPCoInvest)</f>
        <v/>
      </c>
      <c r="HB41" s="402">
        <f>HB24*(1-GPCoInvest)</f>
        <v/>
      </c>
      <c r="HC41" s="402">
        <f>HC24*(1-GPCoInvest)</f>
        <v/>
      </c>
      <c r="HD41" s="402">
        <f>HD24*(1-GPCoInvest)</f>
        <v/>
      </c>
      <c r="HE41" s="402">
        <f>HE24*(1-GPCoInvest)</f>
        <v/>
      </c>
      <c r="HF41" s="402">
        <f>HF24*(1-GPCoInvest)</f>
        <v/>
      </c>
      <c r="HG41" s="402">
        <f>HG24*(1-GPCoInvest)</f>
        <v/>
      </c>
      <c r="HH41" s="402">
        <f>HH24*(1-GPCoInvest)</f>
        <v/>
      </c>
      <c r="HI41" s="402">
        <f>HI24*(1-GPCoInvest)</f>
        <v/>
      </c>
      <c r="HJ41" s="402">
        <f>HJ24*(1-GPCoInvest)</f>
        <v/>
      </c>
      <c r="HK41" s="402">
        <f>HK24*(1-GPCoInvest)</f>
        <v/>
      </c>
      <c r="HL41" s="402">
        <f>HL24*(1-GPCoInvest)</f>
        <v/>
      </c>
      <c r="HM41" s="402">
        <f>HM24*(1-GPCoInvest)</f>
        <v/>
      </c>
      <c r="HN41" s="402">
        <f>HN24*(1-GPCoInvest)</f>
        <v/>
      </c>
      <c r="HO41" s="402">
        <f>HO24*(1-GPCoInvest)</f>
        <v/>
      </c>
      <c r="HP41" s="402">
        <f>HP24*(1-GPCoInvest)</f>
        <v/>
      </c>
      <c r="HQ41" s="402">
        <f>HQ24*(1-GPCoInvest)</f>
        <v/>
      </c>
      <c r="HR41" s="402">
        <f>HR24*(1-GPCoInvest)</f>
        <v/>
      </c>
      <c r="HS41" s="402">
        <f>HS24*(1-GPCoInvest)</f>
        <v/>
      </c>
      <c r="HT41" s="402">
        <f>HT24*(1-GPCoInvest)</f>
        <v/>
      </c>
      <c r="HU41" s="402">
        <f>HU24*(1-GPCoInvest)</f>
        <v/>
      </c>
      <c r="HV41" s="402">
        <f>HV24*(1-GPCoInvest)</f>
        <v/>
      </c>
      <c r="HW41" s="402">
        <f>HW24*(1-GPCoInvest)</f>
        <v/>
      </c>
      <c r="HX41" s="402">
        <f>HX24*(1-GPCoInvest)</f>
        <v/>
      </c>
      <c r="HY41" s="402">
        <f>HY24*(1-GPCoInvest)</f>
        <v/>
      </c>
      <c r="HZ41" s="402">
        <f>HZ24*(1-GPCoInvest)</f>
        <v/>
      </c>
      <c r="IA41" s="402">
        <f>IA24*(1-GPCoInvest)</f>
        <v/>
      </c>
      <c r="IB41" s="402">
        <f>IB24*(1-GPCoInvest)</f>
        <v/>
      </c>
      <c r="IC41" s="402">
        <f>IC24*(1-GPCoInvest)</f>
        <v/>
      </c>
      <c r="ID41" s="402">
        <f>ID24*(1-GPCoInvest)</f>
        <v/>
      </c>
      <c r="IE41" s="402">
        <f>IE24*(1-GPCoInvest)</f>
        <v/>
      </c>
      <c r="IF41" s="402">
        <f>IF24*(1-GPCoInvest)</f>
        <v/>
      </c>
      <c r="IG41" s="402">
        <f>IG24*(1-GPCoInvest)</f>
        <v/>
      </c>
      <c r="IH41" s="402">
        <f>IH24*(1-GPCoInvest)</f>
        <v/>
      </c>
      <c r="II41" s="402">
        <f>II24*(1-GPCoInvest)</f>
        <v/>
      </c>
      <c r="IJ41" s="402">
        <f>IJ24*(1-GPCoInvest)</f>
        <v/>
      </c>
      <c r="IK41" s="402">
        <f>IK24*(1-GPCoInvest)</f>
        <v/>
      </c>
      <c r="IL41" s="402">
        <f>IL24*(1-GPCoInvest)</f>
        <v/>
      </c>
      <c r="IM41" s="402">
        <f>IM24*(1-GPCoInvest)</f>
        <v/>
      </c>
      <c r="IN41" s="402">
        <f>IN24*(1-GPCoInvest)</f>
        <v/>
      </c>
      <c r="IO41" s="402">
        <f>IO24*(1-GPCoInvest)</f>
        <v/>
      </c>
      <c r="IP41" s="402">
        <f>IP24*(1-GPCoInvest)</f>
        <v/>
      </c>
      <c r="IQ41" s="402">
        <f>IQ24*(1-GPCoInvest)</f>
        <v/>
      </c>
      <c r="IR41" s="402">
        <f>IR24*(1-GPCoInvest)</f>
        <v/>
      </c>
      <c r="IS41" s="402">
        <f>IS24*(1-GPCoInvest)</f>
        <v/>
      </c>
      <c r="IT41" s="402">
        <f>IT24*(1-GPCoInvest)</f>
        <v/>
      </c>
      <c r="IU41" s="402">
        <f>IU24*(1-GPCoInvest)</f>
        <v/>
      </c>
      <c r="IV41" s="402">
        <f>IV24*(1-GPCoInvest)</f>
        <v/>
      </c>
      <c r="IW41" s="402">
        <f>IW24*(1-GPCoInvest)</f>
        <v/>
      </c>
      <c r="IX41" s="402">
        <f>IX24*(1-GPCoInvest)</f>
        <v/>
      </c>
      <c r="IY41" s="402">
        <f>IY24*(1-GPCoInvest)</f>
        <v/>
      </c>
      <c r="IZ41" s="402">
        <f>IZ24*(1-GPCoInvest)</f>
        <v/>
      </c>
      <c r="JA41" s="402">
        <f>JA24*(1-GPCoInvest)</f>
        <v/>
      </c>
      <c r="JB41" s="402">
        <f>JB24*(1-GPCoInvest)</f>
        <v/>
      </c>
      <c r="JC41" s="402">
        <f>JC24*(1-GPCoInvest)</f>
        <v/>
      </c>
      <c r="JD41" s="402">
        <f>JD24*(1-GPCoInvest)</f>
        <v/>
      </c>
      <c r="JE41" s="402">
        <f>JE24*(1-GPCoInvest)</f>
        <v/>
      </c>
      <c r="JF41" s="402">
        <f>JF24*(1-GPCoInvest)</f>
        <v/>
      </c>
      <c r="JG41" s="402">
        <f>JG24*(1-GPCoInvest)</f>
        <v/>
      </c>
      <c r="JH41" s="402">
        <f>JH24*(1-GPCoInvest)</f>
        <v/>
      </c>
      <c r="JI41" s="402">
        <f>JI24*(1-GPCoInvest)</f>
        <v/>
      </c>
      <c r="JJ41" s="402">
        <f>JJ24*(1-GPCoInvest)</f>
        <v/>
      </c>
      <c r="JK41" s="402">
        <f>JK24*(1-GPCoInvest)</f>
        <v/>
      </c>
      <c r="JL41" s="402">
        <f>JL24*(1-GPCoInvest)</f>
        <v/>
      </c>
      <c r="JM41" s="402">
        <f>JM24*(1-GPCoInvest)</f>
        <v/>
      </c>
      <c r="JN41" s="402">
        <f>JN24*(1-GPCoInvest)</f>
        <v/>
      </c>
      <c r="JO41" s="402">
        <f>JO24*(1-GPCoInvest)</f>
        <v/>
      </c>
      <c r="JP41" s="402">
        <f>JP24*(1-GPCoInvest)</f>
        <v/>
      </c>
      <c r="JQ41" s="402">
        <f>JQ24*(1-GPCoInvest)</f>
        <v/>
      </c>
      <c r="JR41" s="402">
        <f>JR24*(1-GPCoInvest)</f>
        <v/>
      </c>
      <c r="JS41" s="402">
        <f>JS24*(1-GPCoInvest)</f>
        <v/>
      </c>
      <c r="JT41" s="402">
        <f>JT24*(1-GPCoInvest)</f>
        <v/>
      </c>
      <c r="JU41" s="402">
        <f>JU24*(1-GPCoInvest)</f>
        <v/>
      </c>
      <c r="JV41" s="402">
        <f>JV24*(1-GPCoInvest)</f>
        <v/>
      </c>
      <c r="JW41" s="402">
        <f>JW24*(1-GPCoInvest)</f>
        <v/>
      </c>
      <c r="JX41" s="402">
        <f>JX24*(1-GPCoInvest)</f>
        <v/>
      </c>
      <c r="JY41" s="402">
        <f>JY24*(1-GPCoInvest)</f>
        <v/>
      </c>
      <c r="JZ41" s="402">
        <f>JZ24*(1-GPCoInvest)</f>
        <v/>
      </c>
      <c r="KA41" s="402">
        <f>KA24*(1-GPCoInvest)</f>
        <v/>
      </c>
      <c r="KB41" s="402">
        <f>KB24*(1-GPCoInvest)</f>
        <v/>
      </c>
      <c r="KC41" s="402">
        <f>KC24*(1-GPCoInvest)</f>
        <v/>
      </c>
      <c r="KD41" s="402">
        <f>KD24*(1-GPCoInvest)</f>
        <v/>
      </c>
      <c r="KE41" s="402">
        <f>KE24*(1-GPCoInvest)</f>
        <v/>
      </c>
      <c r="KF41" s="402">
        <f>KF24*(1-GPCoInvest)</f>
        <v/>
      </c>
      <c r="KG41" s="402">
        <f>KG24*(1-GPCoInvest)</f>
        <v/>
      </c>
      <c r="KH41" s="402">
        <f>KH24*(1-GPCoInvest)</f>
        <v/>
      </c>
      <c r="KI41" s="402">
        <f>KI24*(1-GPCoInvest)</f>
        <v/>
      </c>
      <c r="KJ41" s="402">
        <f>KJ24*(1-GPCoInvest)</f>
        <v/>
      </c>
      <c r="KK41" s="402">
        <f>KK24*(1-GPCoInvest)</f>
        <v/>
      </c>
      <c r="KL41" s="402">
        <f>KL24*(1-GPCoInvest)</f>
        <v/>
      </c>
      <c r="KM41" s="402">
        <f>KM24*(1-GPCoInvest)</f>
        <v/>
      </c>
      <c r="KN41" s="402">
        <f>KN24*(1-GPCoInvest)</f>
        <v/>
      </c>
      <c r="KO41" s="402">
        <f>KO24*(1-GPCoInvest)</f>
        <v/>
      </c>
      <c r="KP41" s="402">
        <f>KP24*(1-GPCoInvest)</f>
        <v/>
      </c>
      <c r="KQ41" s="402">
        <f>KQ24*(1-GPCoInvest)</f>
        <v/>
      </c>
      <c r="KR41" s="402">
        <f>KR24*(1-GPCoInvest)</f>
        <v/>
      </c>
      <c r="KS41" s="402">
        <f>KS24*(1-GPCoInvest)</f>
        <v/>
      </c>
      <c r="KT41" s="402">
        <f>KT24*(1-GPCoInvest)</f>
        <v/>
      </c>
      <c r="KU41" s="402">
        <f>KU24*(1-GPCoInvest)</f>
        <v/>
      </c>
      <c r="KV41" s="402">
        <f>KV24*(1-GPCoInvest)</f>
        <v/>
      </c>
      <c r="KW41" s="402">
        <f>KW24*(1-GPCoInvest)</f>
        <v/>
      </c>
      <c r="KX41" s="402">
        <f>KX24*(1-GPCoInvest)</f>
        <v/>
      </c>
      <c r="KY41" s="402">
        <f>KY24*(1-GPCoInvest)</f>
        <v/>
      </c>
      <c r="KZ41" s="402">
        <f>KZ24*(1-GPCoInvest)</f>
        <v/>
      </c>
      <c r="LA41" s="402">
        <f>LA24*(1-GPCoInvest)</f>
        <v/>
      </c>
      <c r="LB41" s="402">
        <f>LB24*(1-GPCoInvest)</f>
        <v/>
      </c>
      <c r="LC41" s="402">
        <f>LC24*(1-GPCoInvest)</f>
        <v/>
      </c>
      <c r="LD41" s="402">
        <f>LD24*(1-GPCoInvest)</f>
        <v/>
      </c>
      <c r="LE41" s="402">
        <f>LE24*(1-GPCoInvest)</f>
        <v/>
      </c>
      <c r="LF41" s="402">
        <f>LF24*(1-GPCoInvest)</f>
        <v/>
      </c>
      <c r="LG41" s="402">
        <f>LG24*(1-GPCoInvest)</f>
        <v/>
      </c>
      <c r="LH41" s="402">
        <f>LH24*(1-GPCoInvest)</f>
        <v/>
      </c>
      <c r="LI41" s="402">
        <f>LI24*(1-GPCoInvest)</f>
        <v/>
      </c>
      <c r="LJ41" s="402">
        <f>LJ24*(1-GPCoInvest)</f>
        <v/>
      </c>
      <c r="LK41" s="402">
        <f>LK24*(1-GPCoInvest)</f>
        <v/>
      </c>
      <c r="LL41" s="402">
        <f>LL24*(1-GPCoInvest)</f>
        <v/>
      </c>
      <c r="LM41" s="402">
        <f>LM24*(1-GPCoInvest)</f>
        <v/>
      </c>
      <c r="LN41" s="402">
        <f>LN24*(1-GPCoInvest)</f>
        <v/>
      </c>
      <c r="LO41" s="402">
        <f>LO24*(1-GPCoInvest)</f>
        <v/>
      </c>
      <c r="LP41" s="402">
        <f>LP24*(1-GPCoInvest)</f>
        <v/>
      </c>
      <c r="LQ41" s="402">
        <f>LQ24*(1-GPCoInvest)</f>
        <v/>
      </c>
      <c r="LR41" s="402">
        <f>LR24*(1-GPCoInvest)</f>
        <v/>
      </c>
      <c r="LS41" s="402">
        <f>LS24*(1-GPCoInvest)</f>
        <v/>
      </c>
      <c r="LT41" s="402">
        <f>LT24*(1-GPCoInvest)</f>
        <v/>
      </c>
      <c r="LU41" s="402">
        <f>LU24*(1-GPCoInvest)</f>
        <v/>
      </c>
      <c r="LV41" s="402">
        <f>LV24*(1-GPCoInvest)</f>
        <v/>
      </c>
      <c r="LW41" s="402">
        <f>LW24*(1-GPCoInvest)</f>
        <v/>
      </c>
      <c r="LX41" s="402">
        <f>LX24*(1-GPCoInvest)</f>
        <v/>
      </c>
      <c r="LY41" s="402">
        <f>LY24*(1-GPCoInvest)</f>
        <v/>
      </c>
      <c r="LZ41" s="402">
        <f>LZ24*(1-GPCoInvest)</f>
        <v/>
      </c>
      <c r="MA41" s="402">
        <f>MA24*(1-GPCoInvest)</f>
        <v/>
      </c>
      <c r="MB41" s="402">
        <f>MB24*(1-GPCoInvest)</f>
        <v/>
      </c>
      <c r="MC41" s="402">
        <f>MC24*(1-GPCoInvest)</f>
        <v/>
      </c>
      <c r="MD41" s="402">
        <f>MD24*(1-GPCoInvest)</f>
        <v/>
      </c>
      <c r="ME41" s="402">
        <f>ME24*(1-GPCoInvest)</f>
        <v/>
      </c>
      <c r="MF41" s="402">
        <f>MF24*(1-GPCoInvest)</f>
        <v/>
      </c>
      <c r="MG41" s="402">
        <f>MG24*(1-GPCoInvest)</f>
        <v/>
      </c>
      <c r="MH41" s="402">
        <f>MH24*(1-GPCoInvest)</f>
        <v/>
      </c>
      <c r="MI41" s="402">
        <f>MI24*(1-GPCoInvest)</f>
        <v/>
      </c>
      <c r="MJ41" s="402">
        <f>MJ24*(1-GPCoInvest)</f>
        <v/>
      </c>
      <c r="MK41" s="402">
        <f>MK24*(1-GPCoInvest)</f>
        <v/>
      </c>
      <c r="ML41" s="402">
        <f>ML24*(1-GPCoInvest)</f>
        <v/>
      </c>
      <c r="MM41" s="402">
        <f>MM24*(1-GPCoInvest)</f>
        <v/>
      </c>
      <c r="MN41" s="402">
        <f>MN24*(1-GPCoInvest)</f>
        <v/>
      </c>
      <c r="MO41" s="402">
        <f>MO24*(1-GPCoInvest)</f>
        <v/>
      </c>
      <c r="MP41" s="402">
        <f>MP24*(1-GPCoInvest)</f>
        <v/>
      </c>
      <c r="MQ41" s="402">
        <f>MQ24*(1-GPCoInvest)</f>
        <v/>
      </c>
      <c r="MR41" s="402">
        <f>MR24*(1-GPCoInvest)</f>
        <v/>
      </c>
      <c r="MS41" s="402">
        <f>MS24*(1-GPCoInvest)</f>
        <v/>
      </c>
      <c r="MT41" s="402">
        <f>MT24*(1-GPCoInvest)</f>
        <v/>
      </c>
      <c r="MU41" s="402">
        <f>MU24*(1-GPCoInvest)</f>
        <v/>
      </c>
      <c r="MV41" s="402">
        <f>MV24*(1-GPCoInvest)</f>
        <v/>
      </c>
      <c r="MW41" s="402">
        <f>MW24*(1-GPCoInvest)</f>
        <v/>
      </c>
      <c r="MX41" s="402">
        <f>MX24*(1-GPCoInvest)</f>
        <v/>
      </c>
      <c r="MY41" s="402">
        <f>MY24*(1-GPCoInvest)</f>
        <v/>
      </c>
      <c r="MZ41" s="402">
        <f>MZ24*(1-GPCoInvest)</f>
        <v/>
      </c>
      <c r="NA41" s="402">
        <f>NA24*(1-GPCoInvest)</f>
        <v/>
      </c>
      <c r="NB41" s="402">
        <f>NB24*(1-GPCoInvest)</f>
        <v/>
      </c>
      <c r="NC41" s="402">
        <f>NC24*(1-GPCoInvest)</f>
        <v/>
      </c>
      <c r="ND41" s="402">
        <f>ND24*(1-GPCoInvest)</f>
        <v/>
      </c>
      <c r="NE41" s="402">
        <f>NE24*(1-GPCoInvest)</f>
        <v/>
      </c>
      <c r="NF41" s="402">
        <f>NF24*(1-GPCoInvest)</f>
        <v/>
      </c>
      <c r="NG41" s="402">
        <f>NG24*(1-GPCoInvest)</f>
        <v/>
      </c>
      <c r="NH41" s="402">
        <f>NH24*(1-GPCoInvest)</f>
        <v/>
      </c>
      <c r="NI41" s="402">
        <f>NI24*(1-GPCoInvest)</f>
        <v/>
      </c>
      <c r="NJ41" s="402">
        <f>NJ24*(1-GPCoInvest)</f>
        <v/>
      </c>
      <c r="NK41" s="402">
        <f>NK24*(1-GPCoInvest)</f>
        <v/>
      </c>
      <c r="NL41" s="402">
        <f>NL24*(1-GPCoInvest)</f>
        <v/>
      </c>
    </row>
    <row r="42">
      <c r="B42" s="328" t="inlineStr">
        <is>
          <t>GP Net Cash Flow</t>
        </is>
      </c>
      <c r="D42" s="407">
        <f>SUM(E42:NL42)</f>
        <v/>
      </c>
      <c r="E42" s="402">
        <f>E38-E40</f>
        <v/>
      </c>
      <c r="F42" s="402">
        <f>F38-F40</f>
        <v/>
      </c>
      <c r="G42" s="402">
        <f>G38-G40</f>
        <v/>
      </c>
      <c r="H42" s="402">
        <f>H38-H40</f>
        <v/>
      </c>
      <c r="I42" s="402">
        <f>I38-I40</f>
        <v/>
      </c>
      <c r="J42" s="402">
        <f>J38-J40</f>
        <v/>
      </c>
      <c r="K42" s="402">
        <f>K38-K40</f>
        <v/>
      </c>
      <c r="L42" s="402">
        <f>L38-L40</f>
        <v/>
      </c>
      <c r="M42" s="402">
        <f>M38-M40</f>
        <v/>
      </c>
      <c r="N42" s="402">
        <f>N38-N40</f>
        <v/>
      </c>
      <c r="O42" s="402">
        <f>O38-O40</f>
        <v/>
      </c>
      <c r="P42" s="402">
        <f>P38-P40</f>
        <v/>
      </c>
      <c r="Q42" s="402">
        <f>Q38-Q40</f>
        <v/>
      </c>
      <c r="R42" s="402">
        <f>R38-R40</f>
        <v/>
      </c>
      <c r="S42" s="402">
        <f>S38-S40</f>
        <v/>
      </c>
      <c r="T42" s="402">
        <f>T38-T40</f>
        <v/>
      </c>
      <c r="U42" s="402">
        <f>U38-U40</f>
        <v/>
      </c>
      <c r="V42" s="402">
        <f>V38-V40</f>
        <v/>
      </c>
      <c r="W42" s="402">
        <f>W38-W40</f>
        <v/>
      </c>
      <c r="X42" s="402">
        <f>X38-X40</f>
        <v/>
      </c>
      <c r="Y42" s="402">
        <f>Y38-Y40</f>
        <v/>
      </c>
      <c r="Z42" s="402">
        <f>Z38-Z40</f>
        <v/>
      </c>
      <c r="AA42" s="402">
        <f>AA38-AA40</f>
        <v/>
      </c>
      <c r="AB42" s="402">
        <f>AB38-AB40</f>
        <v/>
      </c>
      <c r="AC42" s="402">
        <f>AC38-AC40</f>
        <v/>
      </c>
      <c r="AD42" s="402">
        <f>AD38-AD40</f>
        <v/>
      </c>
      <c r="AE42" s="402">
        <f>AE38-AE40</f>
        <v/>
      </c>
      <c r="AF42" s="402">
        <f>AF38-AF40</f>
        <v/>
      </c>
      <c r="AG42" s="402">
        <f>AG38-AG40</f>
        <v/>
      </c>
      <c r="AH42" s="402">
        <f>AH38-AH40</f>
        <v/>
      </c>
      <c r="AI42" s="402">
        <f>AI38-AI40</f>
        <v/>
      </c>
      <c r="AJ42" s="402">
        <f>AJ38-AJ40</f>
        <v/>
      </c>
      <c r="AK42" s="402">
        <f>AK38-AK40</f>
        <v/>
      </c>
      <c r="AL42" s="402">
        <f>AL38-AL40</f>
        <v/>
      </c>
      <c r="AM42" s="402">
        <f>AM38-AM40</f>
        <v/>
      </c>
      <c r="AN42" s="402">
        <f>AN38-AN40</f>
        <v/>
      </c>
      <c r="AO42" s="402">
        <f>AO38-AO40</f>
        <v/>
      </c>
      <c r="AP42" s="402">
        <f>AP38-AP40</f>
        <v/>
      </c>
      <c r="AQ42" s="402">
        <f>AQ38-AQ40</f>
        <v/>
      </c>
      <c r="AR42" s="402">
        <f>AR38-AR40</f>
        <v/>
      </c>
      <c r="AS42" s="402">
        <f>AS38-AS40</f>
        <v/>
      </c>
      <c r="AT42" s="402">
        <f>AT38-AT40</f>
        <v/>
      </c>
      <c r="AU42" s="402">
        <f>AU38-AU40</f>
        <v/>
      </c>
      <c r="AV42" s="402">
        <f>AV38-AV40</f>
        <v/>
      </c>
      <c r="AW42" s="402">
        <f>AW38-AW40</f>
        <v/>
      </c>
      <c r="AX42" s="402">
        <f>AX38-AX40</f>
        <v/>
      </c>
      <c r="AY42" s="402">
        <f>AY38-AY40</f>
        <v/>
      </c>
      <c r="AZ42" s="402">
        <f>AZ38-AZ40</f>
        <v/>
      </c>
      <c r="BA42" s="402">
        <f>BA38-BA40</f>
        <v/>
      </c>
      <c r="BB42" s="402">
        <f>BB38-BB40</f>
        <v/>
      </c>
      <c r="BC42" s="402">
        <f>BC38-BC40</f>
        <v/>
      </c>
      <c r="BD42" s="402">
        <f>BD38-BD40</f>
        <v/>
      </c>
      <c r="BE42" s="402">
        <f>BE38-BE40</f>
        <v/>
      </c>
      <c r="BF42" s="402">
        <f>BF38-BF40</f>
        <v/>
      </c>
      <c r="BG42" s="402">
        <f>BG38-BG40</f>
        <v/>
      </c>
      <c r="BH42" s="402">
        <f>BH38-BH40</f>
        <v/>
      </c>
      <c r="BI42" s="402">
        <f>BI38-BI40</f>
        <v/>
      </c>
      <c r="BJ42" s="402">
        <f>BJ38-BJ40</f>
        <v/>
      </c>
      <c r="BK42" s="402">
        <f>BK38-BK40</f>
        <v/>
      </c>
      <c r="BL42" s="402">
        <f>BL38-BL40</f>
        <v/>
      </c>
      <c r="BM42" s="402">
        <f>BM38-BM40</f>
        <v/>
      </c>
      <c r="BN42" s="402">
        <f>BN38-BN40</f>
        <v/>
      </c>
      <c r="BO42" s="402">
        <f>BO38-BO40</f>
        <v/>
      </c>
      <c r="BP42" s="402">
        <f>BP38-BP40</f>
        <v/>
      </c>
      <c r="BQ42" s="402">
        <f>BQ38-BQ40</f>
        <v/>
      </c>
      <c r="BR42" s="402">
        <f>BR38-BR40</f>
        <v/>
      </c>
      <c r="BS42" s="402">
        <f>BS38-BS40</f>
        <v/>
      </c>
      <c r="BT42" s="402">
        <f>BT38-BT40</f>
        <v/>
      </c>
      <c r="BU42" s="402">
        <f>BU38-BU40</f>
        <v/>
      </c>
      <c r="BV42" s="402">
        <f>BV38-BV40</f>
        <v/>
      </c>
      <c r="BW42" s="402">
        <f>BW38-BW40</f>
        <v/>
      </c>
      <c r="BX42" s="402">
        <f>BX38-BX40</f>
        <v/>
      </c>
      <c r="BY42" s="402">
        <f>BY38-BY40</f>
        <v/>
      </c>
      <c r="BZ42" s="402">
        <f>BZ38-BZ40</f>
        <v/>
      </c>
      <c r="CA42" s="402">
        <f>CA38-CA40</f>
        <v/>
      </c>
      <c r="CB42" s="402">
        <f>CB38-CB40</f>
        <v/>
      </c>
      <c r="CC42" s="402">
        <f>CC38-CC40</f>
        <v/>
      </c>
      <c r="CD42" s="402">
        <f>CD38-CD40</f>
        <v/>
      </c>
      <c r="CE42" s="402">
        <f>CE38-CE40</f>
        <v/>
      </c>
      <c r="CF42" s="402">
        <f>CF38-CF40</f>
        <v/>
      </c>
      <c r="CG42" s="402">
        <f>CG38-CG40</f>
        <v/>
      </c>
      <c r="CH42" s="402">
        <f>CH38-CH40</f>
        <v/>
      </c>
      <c r="CI42" s="402">
        <f>CI38-CI40</f>
        <v/>
      </c>
      <c r="CJ42" s="402">
        <f>CJ38-CJ40</f>
        <v/>
      </c>
      <c r="CK42" s="402">
        <f>CK38-CK40</f>
        <v/>
      </c>
      <c r="CL42" s="402">
        <f>CL38-CL40</f>
        <v/>
      </c>
      <c r="CM42" s="402">
        <f>CM38-CM40</f>
        <v/>
      </c>
      <c r="CN42" s="402">
        <f>CN38-CN40</f>
        <v/>
      </c>
      <c r="CO42" s="402">
        <f>CO38-CO40</f>
        <v/>
      </c>
      <c r="CP42" s="402">
        <f>CP38-CP40</f>
        <v/>
      </c>
      <c r="CQ42" s="402">
        <f>CQ38-CQ40</f>
        <v/>
      </c>
      <c r="CR42" s="402">
        <f>CR38-CR40</f>
        <v/>
      </c>
      <c r="CS42" s="402">
        <f>CS38-CS40</f>
        <v/>
      </c>
      <c r="CT42" s="402">
        <f>CT38-CT40</f>
        <v/>
      </c>
      <c r="CU42" s="402">
        <f>CU38-CU40</f>
        <v/>
      </c>
      <c r="CV42" s="402">
        <f>CV38-CV40</f>
        <v/>
      </c>
      <c r="CW42" s="402">
        <f>CW38-CW40</f>
        <v/>
      </c>
      <c r="CX42" s="402">
        <f>CX38-CX40</f>
        <v/>
      </c>
      <c r="CY42" s="402">
        <f>CY38-CY40</f>
        <v/>
      </c>
      <c r="CZ42" s="402">
        <f>CZ38-CZ40</f>
        <v/>
      </c>
      <c r="DA42" s="402">
        <f>DA38-DA40</f>
        <v/>
      </c>
      <c r="DB42" s="402">
        <f>DB38-DB40</f>
        <v/>
      </c>
      <c r="DC42" s="402">
        <f>DC38-DC40</f>
        <v/>
      </c>
      <c r="DD42" s="402">
        <f>DD38-DD40</f>
        <v/>
      </c>
      <c r="DE42" s="402">
        <f>DE38-DE40</f>
        <v/>
      </c>
      <c r="DF42" s="402">
        <f>DF38-DF40</f>
        <v/>
      </c>
      <c r="DG42" s="402">
        <f>DG38-DG40</f>
        <v/>
      </c>
      <c r="DH42" s="402">
        <f>DH38-DH40</f>
        <v/>
      </c>
      <c r="DI42" s="402">
        <f>DI38-DI40</f>
        <v/>
      </c>
      <c r="DJ42" s="402">
        <f>DJ38-DJ40</f>
        <v/>
      </c>
      <c r="DK42" s="402">
        <f>DK38-DK40</f>
        <v/>
      </c>
      <c r="DL42" s="402">
        <f>DL38-DL40</f>
        <v/>
      </c>
      <c r="DM42" s="402">
        <f>DM38-DM40</f>
        <v/>
      </c>
      <c r="DN42" s="402">
        <f>DN38-DN40</f>
        <v/>
      </c>
      <c r="DO42" s="402">
        <f>DO38-DO40</f>
        <v/>
      </c>
      <c r="DP42" s="402">
        <f>DP38-DP40</f>
        <v/>
      </c>
      <c r="DQ42" s="402">
        <f>DQ38-DQ40</f>
        <v/>
      </c>
      <c r="DR42" s="402">
        <f>DR38-DR40</f>
        <v/>
      </c>
      <c r="DS42" s="402">
        <f>DS38-DS40</f>
        <v/>
      </c>
      <c r="DT42" s="402">
        <f>DT38-DT40</f>
        <v/>
      </c>
      <c r="DU42" s="402">
        <f>DU38-DU40</f>
        <v/>
      </c>
      <c r="DV42" s="402">
        <f>DV38-DV40</f>
        <v/>
      </c>
      <c r="DW42" s="402">
        <f>DW38-DW40</f>
        <v/>
      </c>
      <c r="DX42" s="402">
        <f>DX38-DX40</f>
        <v/>
      </c>
      <c r="DY42" s="402">
        <f>DY38-DY40</f>
        <v/>
      </c>
      <c r="DZ42" s="402">
        <f>DZ38-DZ40</f>
        <v/>
      </c>
      <c r="EA42" s="402">
        <f>EA38-EA40</f>
        <v/>
      </c>
      <c r="EB42" s="402">
        <f>EB38-EB40</f>
        <v/>
      </c>
      <c r="EC42" s="402">
        <f>EC38-EC40</f>
        <v/>
      </c>
      <c r="ED42" s="402">
        <f>ED38-ED40</f>
        <v/>
      </c>
      <c r="EE42" s="402">
        <f>EE38-EE40</f>
        <v/>
      </c>
      <c r="EF42" s="402">
        <f>EF38-EF40</f>
        <v/>
      </c>
      <c r="EG42" s="402">
        <f>EG38-EG40</f>
        <v/>
      </c>
      <c r="EH42" s="402">
        <f>EH38-EH40</f>
        <v/>
      </c>
      <c r="EI42" s="402">
        <f>EI38-EI40</f>
        <v/>
      </c>
      <c r="EJ42" s="402">
        <f>EJ38-EJ40</f>
        <v/>
      </c>
      <c r="EK42" s="402">
        <f>EK38-EK40</f>
        <v/>
      </c>
      <c r="EL42" s="402">
        <f>EL38-EL40</f>
        <v/>
      </c>
      <c r="EM42" s="402">
        <f>EM38-EM40</f>
        <v/>
      </c>
      <c r="EN42" s="402">
        <f>EN38-EN40</f>
        <v/>
      </c>
      <c r="EO42" s="402">
        <f>EO38-EO40</f>
        <v/>
      </c>
      <c r="EP42" s="402">
        <f>EP38-EP40</f>
        <v/>
      </c>
      <c r="EQ42" s="402">
        <f>EQ38-EQ40</f>
        <v/>
      </c>
      <c r="ER42" s="402">
        <f>ER38-ER40</f>
        <v/>
      </c>
      <c r="ES42" s="402">
        <f>ES38-ES40</f>
        <v/>
      </c>
      <c r="ET42" s="402">
        <f>ET38-ET40</f>
        <v/>
      </c>
      <c r="EU42" s="402">
        <f>EU38-EU40</f>
        <v/>
      </c>
      <c r="EV42" s="402">
        <f>EV38-EV40</f>
        <v/>
      </c>
      <c r="EW42" s="402">
        <f>EW38-EW40</f>
        <v/>
      </c>
      <c r="EX42" s="402">
        <f>EX38-EX40</f>
        <v/>
      </c>
      <c r="EY42" s="402">
        <f>EY38-EY40</f>
        <v/>
      </c>
      <c r="EZ42" s="402">
        <f>EZ38-EZ40</f>
        <v/>
      </c>
      <c r="FA42" s="402">
        <f>FA38-FA40</f>
        <v/>
      </c>
      <c r="FB42" s="402">
        <f>FB38-FB40</f>
        <v/>
      </c>
      <c r="FC42" s="402">
        <f>FC38-FC40</f>
        <v/>
      </c>
      <c r="FD42" s="402">
        <f>FD38-FD40</f>
        <v/>
      </c>
      <c r="FE42" s="402">
        <f>FE38-FE40</f>
        <v/>
      </c>
      <c r="FF42" s="402">
        <f>FF38-FF40</f>
        <v/>
      </c>
      <c r="FG42" s="402">
        <f>FG38-FG40</f>
        <v/>
      </c>
      <c r="FH42" s="402">
        <f>FH38-FH40</f>
        <v/>
      </c>
      <c r="FI42" s="402">
        <f>FI38-FI40</f>
        <v/>
      </c>
      <c r="FJ42" s="402">
        <f>FJ38-FJ40</f>
        <v/>
      </c>
      <c r="FK42" s="402">
        <f>FK38-FK40</f>
        <v/>
      </c>
      <c r="FL42" s="402">
        <f>FL38-FL40</f>
        <v/>
      </c>
      <c r="FM42" s="402">
        <f>FM38-FM40</f>
        <v/>
      </c>
      <c r="FN42" s="402">
        <f>FN38-FN40</f>
        <v/>
      </c>
      <c r="FO42" s="402">
        <f>FO38-FO40</f>
        <v/>
      </c>
      <c r="FP42" s="402">
        <f>FP38-FP40</f>
        <v/>
      </c>
      <c r="FQ42" s="402">
        <f>FQ38-FQ40</f>
        <v/>
      </c>
      <c r="FR42" s="402">
        <f>FR38-FR40</f>
        <v/>
      </c>
      <c r="FS42" s="402">
        <f>FS38-FS40</f>
        <v/>
      </c>
      <c r="FT42" s="402">
        <f>FT38-FT40</f>
        <v/>
      </c>
      <c r="FU42" s="402">
        <f>FU38-FU40</f>
        <v/>
      </c>
      <c r="FV42" s="402">
        <f>FV38-FV40</f>
        <v/>
      </c>
      <c r="FW42" s="402">
        <f>FW38-FW40</f>
        <v/>
      </c>
      <c r="FX42" s="402">
        <f>FX38-FX40</f>
        <v/>
      </c>
      <c r="FY42" s="402">
        <f>FY38-FY40</f>
        <v/>
      </c>
      <c r="FZ42" s="402">
        <f>FZ38-FZ40</f>
        <v/>
      </c>
      <c r="GA42" s="402">
        <f>GA38-GA40</f>
        <v/>
      </c>
      <c r="GB42" s="402">
        <f>GB38-GB40</f>
        <v/>
      </c>
      <c r="GC42" s="402">
        <f>GC38-GC40</f>
        <v/>
      </c>
      <c r="GD42" s="402">
        <f>GD38-GD40</f>
        <v/>
      </c>
      <c r="GE42" s="402">
        <f>GE38-GE40</f>
        <v/>
      </c>
      <c r="GF42" s="402">
        <f>GF38-GF40</f>
        <v/>
      </c>
      <c r="GG42" s="402">
        <f>GG38-GG40</f>
        <v/>
      </c>
      <c r="GH42" s="402">
        <f>GH38-GH40</f>
        <v/>
      </c>
      <c r="GI42" s="402">
        <f>GI38-GI40</f>
        <v/>
      </c>
      <c r="GJ42" s="402">
        <f>GJ38-GJ40</f>
        <v/>
      </c>
      <c r="GK42" s="402">
        <f>GK38-GK40</f>
        <v/>
      </c>
      <c r="GL42" s="402">
        <f>GL38-GL40</f>
        <v/>
      </c>
      <c r="GM42" s="402">
        <f>GM38-GM40</f>
        <v/>
      </c>
      <c r="GN42" s="402">
        <f>GN38-GN40</f>
        <v/>
      </c>
      <c r="GO42" s="402">
        <f>GO38-GO40</f>
        <v/>
      </c>
      <c r="GP42" s="402">
        <f>GP38-GP40</f>
        <v/>
      </c>
      <c r="GQ42" s="402">
        <f>GQ38-GQ40</f>
        <v/>
      </c>
      <c r="GR42" s="402">
        <f>GR38-GR40</f>
        <v/>
      </c>
      <c r="GS42" s="402">
        <f>GS38-GS40</f>
        <v/>
      </c>
      <c r="GT42" s="402">
        <f>GT38-GT40</f>
        <v/>
      </c>
      <c r="GU42" s="402">
        <f>GU38-GU40</f>
        <v/>
      </c>
      <c r="GV42" s="402">
        <f>GV38-GV40</f>
        <v/>
      </c>
      <c r="GW42" s="402">
        <f>GW38-GW40</f>
        <v/>
      </c>
      <c r="GX42" s="402">
        <f>GX38-GX40</f>
        <v/>
      </c>
      <c r="GY42" s="402">
        <f>GY38-GY40</f>
        <v/>
      </c>
      <c r="GZ42" s="402">
        <f>GZ38-GZ40</f>
        <v/>
      </c>
      <c r="HA42" s="402">
        <f>HA38-HA40</f>
        <v/>
      </c>
      <c r="HB42" s="402">
        <f>HB38-HB40</f>
        <v/>
      </c>
      <c r="HC42" s="402">
        <f>HC38-HC40</f>
        <v/>
      </c>
      <c r="HD42" s="402">
        <f>HD38-HD40</f>
        <v/>
      </c>
      <c r="HE42" s="402">
        <f>HE38-HE40</f>
        <v/>
      </c>
      <c r="HF42" s="402">
        <f>HF38-HF40</f>
        <v/>
      </c>
      <c r="HG42" s="402">
        <f>HG38-HG40</f>
        <v/>
      </c>
      <c r="HH42" s="402">
        <f>HH38-HH40</f>
        <v/>
      </c>
      <c r="HI42" s="402">
        <f>HI38-HI40</f>
        <v/>
      </c>
      <c r="HJ42" s="402">
        <f>HJ38-HJ40</f>
        <v/>
      </c>
      <c r="HK42" s="402">
        <f>HK38-HK40</f>
        <v/>
      </c>
      <c r="HL42" s="402">
        <f>HL38-HL40</f>
        <v/>
      </c>
      <c r="HM42" s="402">
        <f>HM38-HM40</f>
        <v/>
      </c>
      <c r="HN42" s="402">
        <f>HN38-HN40</f>
        <v/>
      </c>
      <c r="HO42" s="402">
        <f>HO38-HO40</f>
        <v/>
      </c>
      <c r="HP42" s="402">
        <f>HP38-HP40</f>
        <v/>
      </c>
      <c r="HQ42" s="402">
        <f>HQ38-HQ40</f>
        <v/>
      </c>
      <c r="HR42" s="402">
        <f>HR38-HR40</f>
        <v/>
      </c>
      <c r="HS42" s="402">
        <f>HS38-HS40</f>
        <v/>
      </c>
      <c r="HT42" s="402">
        <f>HT38-HT40</f>
        <v/>
      </c>
      <c r="HU42" s="402">
        <f>HU38-HU40</f>
        <v/>
      </c>
      <c r="HV42" s="402">
        <f>HV38-HV40</f>
        <v/>
      </c>
      <c r="HW42" s="402">
        <f>HW38-HW40</f>
        <v/>
      </c>
      <c r="HX42" s="402">
        <f>HX38-HX40</f>
        <v/>
      </c>
      <c r="HY42" s="402">
        <f>HY38-HY40</f>
        <v/>
      </c>
      <c r="HZ42" s="402">
        <f>HZ38-HZ40</f>
        <v/>
      </c>
      <c r="IA42" s="402">
        <f>IA38-IA40</f>
        <v/>
      </c>
      <c r="IB42" s="402">
        <f>IB38-IB40</f>
        <v/>
      </c>
      <c r="IC42" s="402">
        <f>IC38-IC40</f>
        <v/>
      </c>
      <c r="ID42" s="402">
        <f>ID38-ID40</f>
        <v/>
      </c>
      <c r="IE42" s="402">
        <f>IE38-IE40</f>
        <v/>
      </c>
      <c r="IF42" s="402">
        <f>IF38-IF40</f>
        <v/>
      </c>
      <c r="IG42" s="402">
        <f>IG38-IG40</f>
        <v/>
      </c>
      <c r="IH42" s="402">
        <f>IH38-IH40</f>
        <v/>
      </c>
      <c r="II42" s="402">
        <f>II38-II40</f>
        <v/>
      </c>
      <c r="IJ42" s="402">
        <f>IJ38-IJ40</f>
        <v/>
      </c>
      <c r="IK42" s="402">
        <f>IK38-IK40</f>
        <v/>
      </c>
      <c r="IL42" s="402">
        <f>IL38-IL40</f>
        <v/>
      </c>
      <c r="IM42" s="402">
        <f>IM38-IM40</f>
        <v/>
      </c>
      <c r="IN42" s="402">
        <f>IN38-IN40</f>
        <v/>
      </c>
      <c r="IO42" s="402">
        <f>IO38-IO40</f>
        <v/>
      </c>
      <c r="IP42" s="402">
        <f>IP38-IP40</f>
        <v/>
      </c>
      <c r="IQ42" s="402">
        <f>IQ38-IQ40</f>
        <v/>
      </c>
      <c r="IR42" s="402">
        <f>IR38-IR40</f>
        <v/>
      </c>
      <c r="IS42" s="402">
        <f>IS38-IS40</f>
        <v/>
      </c>
      <c r="IT42" s="402">
        <f>IT38-IT40</f>
        <v/>
      </c>
      <c r="IU42" s="402">
        <f>IU38-IU40</f>
        <v/>
      </c>
      <c r="IV42" s="402">
        <f>IV38-IV40</f>
        <v/>
      </c>
      <c r="IW42" s="402">
        <f>IW38-IW40</f>
        <v/>
      </c>
      <c r="IX42" s="402">
        <f>IX38-IX40</f>
        <v/>
      </c>
      <c r="IY42" s="402">
        <f>IY38-IY40</f>
        <v/>
      </c>
      <c r="IZ42" s="402">
        <f>IZ38-IZ40</f>
        <v/>
      </c>
      <c r="JA42" s="402">
        <f>JA38-JA40</f>
        <v/>
      </c>
      <c r="JB42" s="402">
        <f>JB38-JB40</f>
        <v/>
      </c>
      <c r="JC42" s="402">
        <f>JC38-JC40</f>
        <v/>
      </c>
      <c r="JD42" s="402">
        <f>JD38-JD40</f>
        <v/>
      </c>
      <c r="JE42" s="402">
        <f>JE38-JE40</f>
        <v/>
      </c>
      <c r="JF42" s="402">
        <f>JF38-JF40</f>
        <v/>
      </c>
      <c r="JG42" s="402">
        <f>JG38-JG40</f>
        <v/>
      </c>
      <c r="JH42" s="402">
        <f>JH38-JH40</f>
        <v/>
      </c>
      <c r="JI42" s="402">
        <f>JI38-JI40</f>
        <v/>
      </c>
      <c r="JJ42" s="402">
        <f>JJ38-JJ40</f>
        <v/>
      </c>
      <c r="JK42" s="402">
        <f>JK38-JK40</f>
        <v/>
      </c>
      <c r="JL42" s="402">
        <f>JL38-JL40</f>
        <v/>
      </c>
      <c r="JM42" s="402">
        <f>JM38-JM40</f>
        <v/>
      </c>
      <c r="JN42" s="402">
        <f>JN38-JN40</f>
        <v/>
      </c>
      <c r="JO42" s="402">
        <f>JO38-JO40</f>
        <v/>
      </c>
      <c r="JP42" s="402">
        <f>JP38-JP40</f>
        <v/>
      </c>
      <c r="JQ42" s="402">
        <f>JQ38-JQ40</f>
        <v/>
      </c>
      <c r="JR42" s="402">
        <f>JR38-JR40</f>
        <v/>
      </c>
      <c r="JS42" s="402">
        <f>JS38-JS40</f>
        <v/>
      </c>
      <c r="JT42" s="402">
        <f>JT38-JT40</f>
        <v/>
      </c>
      <c r="JU42" s="402">
        <f>JU38-JU40</f>
        <v/>
      </c>
      <c r="JV42" s="402">
        <f>JV38-JV40</f>
        <v/>
      </c>
      <c r="JW42" s="402">
        <f>JW38-JW40</f>
        <v/>
      </c>
      <c r="JX42" s="402">
        <f>JX38-JX40</f>
        <v/>
      </c>
      <c r="JY42" s="402">
        <f>JY38-JY40</f>
        <v/>
      </c>
      <c r="JZ42" s="402">
        <f>JZ38-JZ40</f>
        <v/>
      </c>
      <c r="KA42" s="402">
        <f>KA38-KA40</f>
        <v/>
      </c>
      <c r="KB42" s="402">
        <f>KB38-KB40</f>
        <v/>
      </c>
      <c r="KC42" s="402">
        <f>KC38-KC40</f>
        <v/>
      </c>
      <c r="KD42" s="402">
        <f>KD38-KD40</f>
        <v/>
      </c>
      <c r="KE42" s="402">
        <f>KE38-KE40</f>
        <v/>
      </c>
      <c r="KF42" s="402">
        <f>KF38-KF40</f>
        <v/>
      </c>
      <c r="KG42" s="402">
        <f>KG38-KG40</f>
        <v/>
      </c>
      <c r="KH42" s="402">
        <f>KH38-KH40</f>
        <v/>
      </c>
      <c r="KI42" s="402">
        <f>KI38-KI40</f>
        <v/>
      </c>
      <c r="KJ42" s="402">
        <f>KJ38-KJ40</f>
        <v/>
      </c>
      <c r="KK42" s="402">
        <f>KK38-KK40</f>
        <v/>
      </c>
      <c r="KL42" s="402">
        <f>KL38-KL40</f>
        <v/>
      </c>
      <c r="KM42" s="402">
        <f>KM38-KM40</f>
        <v/>
      </c>
      <c r="KN42" s="402">
        <f>KN38-KN40</f>
        <v/>
      </c>
      <c r="KO42" s="402">
        <f>KO38-KO40</f>
        <v/>
      </c>
      <c r="KP42" s="402">
        <f>KP38-KP40</f>
        <v/>
      </c>
      <c r="KQ42" s="402">
        <f>KQ38-KQ40</f>
        <v/>
      </c>
      <c r="KR42" s="402">
        <f>KR38-KR40</f>
        <v/>
      </c>
      <c r="KS42" s="402">
        <f>KS38-KS40</f>
        <v/>
      </c>
      <c r="KT42" s="402">
        <f>KT38-KT40</f>
        <v/>
      </c>
      <c r="KU42" s="402">
        <f>KU38-KU40</f>
        <v/>
      </c>
      <c r="KV42" s="402">
        <f>KV38-KV40</f>
        <v/>
      </c>
      <c r="KW42" s="402">
        <f>KW38-KW40</f>
        <v/>
      </c>
      <c r="KX42" s="402">
        <f>KX38-KX40</f>
        <v/>
      </c>
      <c r="KY42" s="402">
        <f>KY38-KY40</f>
        <v/>
      </c>
      <c r="KZ42" s="402">
        <f>KZ38-KZ40</f>
        <v/>
      </c>
      <c r="LA42" s="402">
        <f>LA38-LA40</f>
        <v/>
      </c>
      <c r="LB42" s="402">
        <f>LB38-LB40</f>
        <v/>
      </c>
      <c r="LC42" s="402">
        <f>LC38-LC40</f>
        <v/>
      </c>
      <c r="LD42" s="402">
        <f>LD38-LD40</f>
        <v/>
      </c>
      <c r="LE42" s="402">
        <f>LE38-LE40</f>
        <v/>
      </c>
      <c r="LF42" s="402">
        <f>LF38-LF40</f>
        <v/>
      </c>
      <c r="LG42" s="402">
        <f>LG38-LG40</f>
        <v/>
      </c>
      <c r="LH42" s="402">
        <f>LH38-LH40</f>
        <v/>
      </c>
      <c r="LI42" s="402">
        <f>LI38-LI40</f>
        <v/>
      </c>
      <c r="LJ42" s="402">
        <f>LJ38-LJ40</f>
        <v/>
      </c>
      <c r="LK42" s="402">
        <f>LK38-LK40</f>
        <v/>
      </c>
      <c r="LL42" s="402">
        <f>LL38-LL40</f>
        <v/>
      </c>
      <c r="LM42" s="402">
        <f>LM38-LM40</f>
        <v/>
      </c>
      <c r="LN42" s="402">
        <f>LN38-LN40</f>
        <v/>
      </c>
      <c r="LO42" s="402">
        <f>LO38-LO40</f>
        <v/>
      </c>
      <c r="LP42" s="402">
        <f>LP38-LP40</f>
        <v/>
      </c>
      <c r="LQ42" s="402">
        <f>LQ38-LQ40</f>
        <v/>
      </c>
      <c r="LR42" s="402">
        <f>LR38-LR40</f>
        <v/>
      </c>
      <c r="LS42" s="402">
        <f>LS38-LS40</f>
        <v/>
      </c>
      <c r="LT42" s="402">
        <f>LT38-LT40</f>
        <v/>
      </c>
      <c r="LU42" s="402">
        <f>LU38-LU40</f>
        <v/>
      </c>
      <c r="LV42" s="402">
        <f>LV38-LV40</f>
        <v/>
      </c>
      <c r="LW42" s="402">
        <f>LW38-LW40</f>
        <v/>
      </c>
      <c r="LX42" s="402">
        <f>LX38-LX40</f>
        <v/>
      </c>
      <c r="LY42" s="402">
        <f>LY38-LY40</f>
        <v/>
      </c>
      <c r="LZ42" s="402">
        <f>LZ38-LZ40</f>
        <v/>
      </c>
      <c r="MA42" s="402">
        <f>MA38-MA40</f>
        <v/>
      </c>
      <c r="MB42" s="402">
        <f>MB38-MB40</f>
        <v/>
      </c>
      <c r="MC42" s="402">
        <f>MC38-MC40</f>
        <v/>
      </c>
      <c r="MD42" s="402">
        <f>MD38-MD40</f>
        <v/>
      </c>
      <c r="ME42" s="402">
        <f>ME38-ME40</f>
        <v/>
      </c>
      <c r="MF42" s="402">
        <f>MF38-MF40</f>
        <v/>
      </c>
      <c r="MG42" s="402">
        <f>MG38-MG40</f>
        <v/>
      </c>
      <c r="MH42" s="402">
        <f>MH38-MH40</f>
        <v/>
      </c>
      <c r="MI42" s="402">
        <f>MI38-MI40</f>
        <v/>
      </c>
      <c r="MJ42" s="402">
        <f>MJ38-MJ40</f>
        <v/>
      </c>
      <c r="MK42" s="402">
        <f>MK38-MK40</f>
        <v/>
      </c>
      <c r="ML42" s="402">
        <f>ML38-ML40</f>
        <v/>
      </c>
      <c r="MM42" s="402">
        <f>MM38-MM40</f>
        <v/>
      </c>
      <c r="MN42" s="402">
        <f>MN38-MN40</f>
        <v/>
      </c>
      <c r="MO42" s="402">
        <f>MO38-MO40</f>
        <v/>
      </c>
      <c r="MP42" s="402">
        <f>MP38-MP40</f>
        <v/>
      </c>
      <c r="MQ42" s="402">
        <f>MQ38-MQ40</f>
        <v/>
      </c>
      <c r="MR42" s="402">
        <f>MR38-MR40</f>
        <v/>
      </c>
      <c r="MS42" s="402">
        <f>MS38-MS40</f>
        <v/>
      </c>
      <c r="MT42" s="402">
        <f>MT38-MT40</f>
        <v/>
      </c>
      <c r="MU42" s="402">
        <f>MU38-MU40</f>
        <v/>
      </c>
      <c r="MV42" s="402">
        <f>MV38-MV40</f>
        <v/>
      </c>
      <c r="MW42" s="402">
        <f>MW38-MW40</f>
        <v/>
      </c>
      <c r="MX42" s="402">
        <f>MX38-MX40</f>
        <v/>
      </c>
      <c r="MY42" s="402">
        <f>MY38-MY40</f>
        <v/>
      </c>
      <c r="MZ42" s="402">
        <f>MZ38-MZ40</f>
        <v/>
      </c>
      <c r="NA42" s="402">
        <f>NA38-NA40</f>
        <v/>
      </c>
      <c r="NB42" s="402">
        <f>NB38-NB40</f>
        <v/>
      </c>
      <c r="NC42" s="402">
        <f>NC38-NC40</f>
        <v/>
      </c>
      <c r="ND42" s="402">
        <f>ND38-ND40</f>
        <v/>
      </c>
      <c r="NE42" s="402">
        <f>NE38-NE40</f>
        <v/>
      </c>
      <c r="NF42" s="402">
        <f>NF38-NF40</f>
        <v/>
      </c>
      <c r="NG42" s="402">
        <f>NG38-NG40</f>
        <v/>
      </c>
      <c r="NH42" s="402">
        <f>NH38-NH40</f>
        <v/>
      </c>
      <c r="NI42" s="402">
        <f>NI38-NI40</f>
        <v/>
      </c>
      <c r="NJ42" s="402">
        <f>NJ38-NJ40</f>
        <v/>
      </c>
      <c r="NK42" s="402">
        <f>NK38-NK40</f>
        <v/>
      </c>
      <c r="NL42" s="402">
        <f>NL38-NL40</f>
        <v/>
      </c>
    </row>
    <row r="43">
      <c r="B43" s="328" t="inlineStr">
        <is>
          <t>LP Net Cash Flow</t>
        </is>
      </c>
      <c r="D43" s="407">
        <f>SUM(E43:NL43)</f>
        <v/>
      </c>
      <c r="E43" s="402">
        <f>E39-E41</f>
        <v/>
      </c>
      <c r="F43" s="402">
        <f>F39-F41</f>
        <v/>
      </c>
      <c r="G43" s="402">
        <f>G39-G41</f>
        <v/>
      </c>
      <c r="H43" s="402">
        <f>H39-H41</f>
        <v/>
      </c>
      <c r="I43" s="402">
        <f>I39-I41</f>
        <v/>
      </c>
      <c r="J43" s="402">
        <f>J39-J41</f>
        <v/>
      </c>
      <c r="K43" s="402">
        <f>K39-K41</f>
        <v/>
      </c>
      <c r="L43" s="402">
        <f>L39-L41</f>
        <v/>
      </c>
      <c r="M43" s="402">
        <f>M39-M41</f>
        <v/>
      </c>
      <c r="N43" s="402">
        <f>N39-N41</f>
        <v/>
      </c>
      <c r="O43" s="402">
        <f>O39-O41</f>
        <v/>
      </c>
      <c r="P43" s="402">
        <f>P39-P41</f>
        <v/>
      </c>
      <c r="Q43" s="402">
        <f>Q39-Q41</f>
        <v/>
      </c>
      <c r="R43" s="402">
        <f>R39-R41</f>
        <v/>
      </c>
      <c r="S43" s="402">
        <f>S39-S41</f>
        <v/>
      </c>
      <c r="T43" s="402">
        <f>T39-T41</f>
        <v/>
      </c>
      <c r="U43" s="402">
        <f>U39-U41</f>
        <v/>
      </c>
      <c r="V43" s="402">
        <f>V39-V41</f>
        <v/>
      </c>
      <c r="W43" s="402">
        <f>W39-W41</f>
        <v/>
      </c>
      <c r="X43" s="402">
        <f>X39-X41</f>
        <v/>
      </c>
      <c r="Y43" s="402">
        <f>Y39-Y41</f>
        <v/>
      </c>
      <c r="Z43" s="402">
        <f>Z39-Z41</f>
        <v/>
      </c>
      <c r="AA43" s="402">
        <f>AA39-AA41</f>
        <v/>
      </c>
      <c r="AB43" s="402">
        <f>AB39-AB41</f>
        <v/>
      </c>
      <c r="AC43" s="402">
        <f>AC39-AC41</f>
        <v/>
      </c>
      <c r="AD43" s="402">
        <f>AD39-AD41</f>
        <v/>
      </c>
      <c r="AE43" s="402">
        <f>AE39-AE41</f>
        <v/>
      </c>
      <c r="AF43" s="402">
        <f>AF39-AF41</f>
        <v/>
      </c>
      <c r="AG43" s="402">
        <f>AG39-AG41</f>
        <v/>
      </c>
      <c r="AH43" s="402">
        <f>AH39-AH41</f>
        <v/>
      </c>
      <c r="AI43" s="402">
        <f>AI39-AI41</f>
        <v/>
      </c>
      <c r="AJ43" s="402">
        <f>AJ39-AJ41</f>
        <v/>
      </c>
      <c r="AK43" s="402">
        <f>AK39-AK41</f>
        <v/>
      </c>
      <c r="AL43" s="402">
        <f>AL39-AL41</f>
        <v/>
      </c>
      <c r="AM43" s="402">
        <f>AM39-AM41</f>
        <v/>
      </c>
      <c r="AN43" s="402">
        <f>AN39-AN41</f>
        <v/>
      </c>
      <c r="AO43" s="402">
        <f>AO39-AO41</f>
        <v/>
      </c>
      <c r="AP43" s="402">
        <f>AP39-AP41</f>
        <v/>
      </c>
      <c r="AQ43" s="402">
        <f>AQ39-AQ41</f>
        <v/>
      </c>
      <c r="AR43" s="402">
        <f>AR39-AR41</f>
        <v/>
      </c>
      <c r="AS43" s="402">
        <f>AS39-AS41</f>
        <v/>
      </c>
      <c r="AT43" s="402">
        <f>AT39-AT41</f>
        <v/>
      </c>
      <c r="AU43" s="402">
        <f>AU39-AU41</f>
        <v/>
      </c>
      <c r="AV43" s="402">
        <f>AV39-AV41</f>
        <v/>
      </c>
      <c r="AW43" s="402">
        <f>AW39-AW41</f>
        <v/>
      </c>
      <c r="AX43" s="402">
        <f>AX39-AX41</f>
        <v/>
      </c>
      <c r="AY43" s="402">
        <f>AY39-AY41</f>
        <v/>
      </c>
      <c r="AZ43" s="402">
        <f>AZ39-AZ41</f>
        <v/>
      </c>
      <c r="BA43" s="402">
        <f>BA39-BA41</f>
        <v/>
      </c>
      <c r="BB43" s="402">
        <f>BB39-BB41</f>
        <v/>
      </c>
      <c r="BC43" s="402">
        <f>BC39-BC41</f>
        <v/>
      </c>
      <c r="BD43" s="402">
        <f>BD39-BD41</f>
        <v/>
      </c>
      <c r="BE43" s="402">
        <f>BE39-BE41</f>
        <v/>
      </c>
      <c r="BF43" s="402">
        <f>BF39-BF41</f>
        <v/>
      </c>
      <c r="BG43" s="402">
        <f>BG39-BG41</f>
        <v/>
      </c>
      <c r="BH43" s="402">
        <f>BH39-BH41</f>
        <v/>
      </c>
      <c r="BI43" s="402">
        <f>BI39-BI41</f>
        <v/>
      </c>
      <c r="BJ43" s="402">
        <f>BJ39-BJ41</f>
        <v/>
      </c>
      <c r="BK43" s="402">
        <f>BK39-BK41</f>
        <v/>
      </c>
      <c r="BL43" s="402">
        <f>BL39-BL41</f>
        <v/>
      </c>
      <c r="BM43" s="402">
        <f>BM39-BM41</f>
        <v/>
      </c>
      <c r="BN43" s="402">
        <f>BN39-BN41</f>
        <v/>
      </c>
      <c r="BO43" s="402">
        <f>BO39-BO41</f>
        <v/>
      </c>
      <c r="BP43" s="402">
        <f>BP39-BP41</f>
        <v/>
      </c>
      <c r="BQ43" s="402">
        <f>BQ39-BQ41</f>
        <v/>
      </c>
      <c r="BR43" s="402">
        <f>BR39-BR41</f>
        <v/>
      </c>
      <c r="BS43" s="402">
        <f>BS39-BS41</f>
        <v/>
      </c>
      <c r="BT43" s="402">
        <f>BT39-BT41</f>
        <v/>
      </c>
      <c r="BU43" s="402">
        <f>BU39-BU41</f>
        <v/>
      </c>
      <c r="BV43" s="402">
        <f>BV39-BV41</f>
        <v/>
      </c>
      <c r="BW43" s="402">
        <f>BW39-BW41</f>
        <v/>
      </c>
      <c r="BX43" s="402">
        <f>BX39-BX41</f>
        <v/>
      </c>
      <c r="BY43" s="402">
        <f>BY39-BY41</f>
        <v/>
      </c>
      <c r="BZ43" s="402">
        <f>BZ39-BZ41</f>
        <v/>
      </c>
      <c r="CA43" s="402">
        <f>CA39-CA41</f>
        <v/>
      </c>
      <c r="CB43" s="402">
        <f>CB39-CB41</f>
        <v/>
      </c>
      <c r="CC43" s="402">
        <f>CC39-CC41</f>
        <v/>
      </c>
      <c r="CD43" s="402">
        <f>CD39-CD41</f>
        <v/>
      </c>
      <c r="CE43" s="402">
        <f>CE39-CE41</f>
        <v/>
      </c>
      <c r="CF43" s="402">
        <f>CF39-CF41</f>
        <v/>
      </c>
      <c r="CG43" s="402">
        <f>CG39-CG41</f>
        <v/>
      </c>
      <c r="CH43" s="402">
        <f>CH39-CH41</f>
        <v/>
      </c>
      <c r="CI43" s="402">
        <f>CI39-CI41</f>
        <v/>
      </c>
      <c r="CJ43" s="402">
        <f>CJ39-CJ41</f>
        <v/>
      </c>
      <c r="CK43" s="402">
        <f>CK39-CK41</f>
        <v/>
      </c>
      <c r="CL43" s="402">
        <f>CL39-CL41</f>
        <v/>
      </c>
      <c r="CM43" s="402">
        <f>CM39-CM41</f>
        <v/>
      </c>
      <c r="CN43" s="402">
        <f>CN39-CN41</f>
        <v/>
      </c>
      <c r="CO43" s="402">
        <f>CO39-CO41</f>
        <v/>
      </c>
      <c r="CP43" s="402">
        <f>CP39-CP41</f>
        <v/>
      </c>
      <c r="CQ43" s="402">
        <f>CQ39-CQ41</f>
        <v/>
      </c>
      <c r="CR43" s="402">
        <f>CR39-CR41</f>
        <v/>
      </c>
      <c r="CS43" s="402">
        <f>CS39-CS41</f>
        <v/>
      </c>
      <c r="CT43" s="402">
        <f>CT39-CT41</f>
        <v/>
      </c>
      <c r="CU43" s="402">
        <f>CU39-CU41</f>
        <v/>
      </c>
      <c r="CV43" s="402">
        <f>CV39-CV41</f>
        <v/>
      </c>
      <c r="CW43" s="402">
        <f>CW39-CW41</f>
        <v/>
      </c>
      <c r="CX43" s="402">
        <f>CX39-CX41</f>
        <v/>
      </c>
      <c r="CY43" s="402">
        <f>CY39-CY41</f>
        <v/>
      </c>
      <c r="CZ43" s="402">
        <f>CZ39-CZ41</f>
        <v/>
      </c>
      <c r="DA43" s="402">
        <f>DA39-DA41</f>
        <v/>
      </c>
      <c r="DB43" s="402">
        <f>DB39-DB41</f>
        <v/>
      </c>
      <c r="DC43" s="402">
        <f>DC39-DC41</f>
        <v/>
      </c>
      <c r="DD43" s="402">
        <f>DD39-DD41</f>
        <v/>
      </c>
      <c r="DE43" s="402">
        <f>DE39-DE41</f>
        <v/>
      </c>
      <c r="DF43" s="402">
        <f>DF39-DF41</f>
        <v/>
      </c>
      <c r="DG43" s="402">
        <f>DG39-DG41</f>
        <v/>
      </c>
      <c r="DH43" s="402">
        <f>DH39-DH41</f>
        <v/>
      </c>
      <c r="DI43" s="402">
        <f>DI39-DI41</f>
        <v/>
      </c>
      <c r="DJ43" s="402">
        <f>DJ39-DJ41</f>
        <v/>
      </c>
      <c r="DK43" s="402">
        <f>DK39-DK41</f>
        <v/>
      </c>
      <c r="DL43" s="402">
        <f>DL39-DL41</f>
        <v/>
      </c>
      <c r="DM43" s="402">
        <f>DM39-DM41</f>
        <v/>
      </c>
      <c r="DN43" s="402">
        <f>DN39-DN41</f>
        <v/>
      </c>
      <c r="DO43" s="402">
        <f>DO39-DO41</f>
        <v/>
      </c>
      <c r="DP43" s="402">
        <f>DP39-DP41</f>
        <v/>
      </c>
      <c r="DQ43" s="402">
        <f>DQ39-DQ41</f>
        <v/>
      </c>
      <c r="DR43" s="402">
        <f>DR39-DR41</f>
        <v/>
      </c>
      <c r="DS43" s="402">
        <f>DS39-DS41</f>
        <v/>
      </c>
      <c r="DT43" s="402">
        <f>DT39-DT41</f>
        <v/>
      </c>
      <c r="DU43" s="402">
        <f>DU39-DU41</f>
        <v/>
      </c>
      <c r="DV43" s="402">
        <f>DV39-DV41</f>
        <v/>
      </c>
      <c r="DW43" s="402">
        <f>DW39-DW41</f>
        <v/>
      </c>
      <c r="DX43" s="402">
        <f>DX39-DX41</f>
        <v/>
      </c>
      <c r="DY43" s="402">
        <f>DY39-DY41</f>
        <v/>
      </c>
      <c r="DZ43" s="402">
        <f>DZ39-DZ41</f>
        <v/>
      </c>
      <c r="EA43" s="402">
        <f>EA39-EA41</f>
        <v/>
      </c>
      <c r="EB43" s="402">
        <f>EB39-EB41</f>
        <v/>
      </c>
      <c r="EC43" s="402">
        <f>EC39-EC41</f>
        <v/>
      </c>
      <c r="ED43" s="402">
        <f>ED39-ED41</f>
        <v/>
      </c>
      <c r="EE43" s="402">
        <f>EE39-EE41</f>
        <v/>
      </c>
      <c r="EF43" s="402">
        <f>EF39-EF41</f>
        <v/>
      </c>
      <c r="EG43" s="402">
        <f>EG39-EG41</f>
        <v/>
      </c>
      <c r="EH43" s="402">
        <f>EH39-EH41</f>
        <v/>
      </c>
      <c r="EI43" s="402">
        <f>EI39-EI41</f>
        <v/>
      </c>
      <c r="EJ43" s="402">
        <f>EJ39-EJ41</f>
        <v/>
      </c>
      <c r="EK43" s="402">
        <f>EK39-EK41</f>
        <v/>
      </c>
      <c r="EL43" s="402">
        <f>EL39-EL41</f>
        <v/>
      </c>
      <c r="EM43" s="402">
        <f>EM39-EM41</f>
        <v/>
      </c>
      <c r="EN43" s="402">
        <f>EN39-EN41</f>
        <v/>
      </c>
      <c r="EO43" s="402">
        <f>EO39-EO41</f>
        <v/>
      </c>
      <c r="EP43" s="402">
        <f>EP39-EP41</f>
        <v/>
      </c>
      <c r="EQ43" s="402">
        <f>EQ39-EQ41</f>
        <v/>
      </c>
      <c r="ER43" s="402">
        <f>ER39-ER41</f>
        <v/>
      </c>
      <c r="ES43" s="402">
        <f>ES39-ES41</f>
        <v/>
      </c>
      <c r="ET43" s="402">
        <f>ET39-ET41</f>
        <v/>
      </c>
      <c r="EU43" s="402">
        <f>EU39-EU41</f>
        <v/>
      </c>
      <c r="EV43" s="402">
        <f>EV39-EV41</f>
        <v/>
      </c>
      <c r="EW43" s="402">
        <f>EW39-EW41</f>
        <v/>
      </c>
      <c r="EX43" s="402">
        <f>EX39-EX41</f>
        <v/>
      </c>
      <c r="EY43" s="402">
        <f>EY39-EY41</f>
        <v/>
      </c>
      <c r="EZ43" s="402">
        <f>EZ39-EZ41</f>
        <v/>
      </c>
      <c r="FA43" s="402">
        <f>FA39-FA41</f>
        <v/>
      </c>
      <c r="FB43" s="402">
        <f>FB39-FB41</f>
        <v/>
      </c>
      <c r="FC43" s="402">
        <f>FC39-FC41</f>
        <v/>
      </c>
      <c r="FD43" s="402">
        <f>FD39-FD41</f>
        <v/>
      </c>
      <c r="FE43" s="402">
        <f>FE39-FE41</f>
        <v/>
      </c>
      <c r="FF43" s="402">
        <f>FF39-FF41</f>
        <v/>
      </c>
      <c r="FG43" s="402">
        <f>FG39-FG41</f>
        <v/>
      </c>
      <c r="FH43" s="402">
        <f>FH39-FH41</f>
        <v/>
      </c>
      <c r="FI43" s="402">
        <f>FI39-FI41</f>
        <v/>
      </c>
      <c r="FJ43" s="402">
        <f>FJ39-FJ41</f>
        <v/>
      </c>
      <c r="FK43" s="402">
        <f>FK39-FK41</f>
        <v/>
      </c>
      <c r="FL43" s="402">
        <f>FL39-FL41</f>
        <v/>
      </c>
      <c r="FM43" s="402">
        <f>FM39-FM41</f>
        <v/>
      </c>
      <c r="FN43" s="402">
        <f>FN39-FN41</f>
        <v/>
      </c>
      <c r="FO43" s="402">
        <f>FO39-FO41</f>
        <v/>
      </c>
      <c r="FP43" s="402">
        <f>FP39-FP41</f>
        <v/>
      </c>
      <c r="FQ43" s="402">
        <f>FQ39-FQ41</f>
        <v/>
      </c>
      <c r="FR43" s="402">
        <f>FR39-FR41</f>
        <v/>
      </c>
      <c r="FS43" s="402">
        <f>FS39-FS41</f>
        <v/>
      </c>
      <c r="FT43" s="402">
        <f>FT39-FT41</f>
        <v/>
      </c>
      <c r="FU43" s="402">
        <f>FU39-FU41</f>
        <v/>
      </c>
      <c r="FV43" s="402">
        <f>FV39-FV41</f>
        <v/>
      </c>
      <c r="FW43" s="402">
        <f>FW39-FW41</f>
        <v/>
      </c>
      <c r="FX43" s="402">
        <f>FX39-FX41</f>
        <v/>
      </c>
      <c r="FY43" s="402">
        <f>FY39-FY41</f>
        <v/>
      </c>
      <c r="FZ43" s="402">
        <f>FZ39-FZ41</f>
        <v/>
      </c>
      <c r="GA43" s="402">
        <f>GA39-GA41</f>
        <v/>
      </c>
      <c r="GB43" s="402">
        <f>GB39-GB41</f>
        <v/>
      </c>
      <c r="GC43" s="402">
        <f>GC39-GC41</f>
        <v/>
      </c>
      <c r="GD43" s="402">
        <f>GD39-GD41</f>
        <v/>
      </c>
      <c r="GE43" s="402">
        <f>GE39-GE41</f>
        <v/>
      </c>
      <c r="GF43" s="402">
        <f>GF39-GF41</f>
        <v/>
      </c>
      <c r="GG43" s="402">
        <f>GG39-GG41</f>
        <v/>
      </c>
      <c r="GH43" s="402">
        <f>GH39-GH41</f>
        <v/>
      </c>
      <c r="GI43" s="402">
        <f>GI39-GI41</f>
        <v/>
      </c>
      <c r="GJ43" s="402">
        <f>GJ39-GJ41</f>
        <v/>
      </c>
      <c r="GK43" s="402">
        <f>GK39-GK41</f>
        <v/>
      </c>
      <c r="GL43" s="402">
        <f>GL39-GL41</f>
        <v/>
      </c>
      <c r="GM43" s="402">
        <f>GM39-GM41</f>
        <v/>
      </c>
      <c r="GN43" s="402">
        <f>GN39-GN41</f>
        <v/>
      </c>
      <c r="GO43" s="402">
        <f>GO39-GO41</f>
        <v/>
      </c>
      <c r="GP43" s="402">
        <f>GP39-GP41</f>
        <v/>
      </c>
      <c r="GQ43" s="402">
        <f>GQ39-GQ41</f>
        <v/>
      </c>
      <c r="GR43" s="402">
        <f>GR39-GR41</f>
        <v/>
      </c>
      <c r="GS43" s="402">
        <f>GS39-GS41</f>
        <v/>
      </c>
      <c r="GT43" s="402">
        <f>GT39-GT41</f>
        <v/>
      </c>
      <c r="GU43" s="402">
        <f>GU39-GU41</f>
        <v/>
      </c>
      <c r="GV43" s="402">
        <f>GV39-GV41</f>
        <v/>
      </c>
      <c r="GW43" s="402">
        <f>GW39-GW41</f>
        <v/>
      </c>
      <c r="GX43" s="402">
        <f>GX39-GX41</f>
        <v/>
      </c>
      <c r="GY43" s="402">
        <f>GY39-GY41</f>
        <v/>
      </c>
      <c r="GZ43" s="402">
        <f>GZ39-GZ41</f>
        <v/>
      </c>
      <c r="HA43" s="402">
        <f>HA39-HA41</f>
        <v/>
      </c>
      <c r="HB43" s="402">
        <f>HB39-HB41</f>
        <v/>
      </c>
      <c r="HC43" s="402">
        <f>HC39-HC41</f>
        <v/>
      </c>
      <c r="HD43" s="402">
        <f>HD39-HD41</f>
        <v/>
      </c>
      <c r="HE43" s="402">
        <f>HE39-HE41</f>
        <v/>
      </c>
      <c r="HF43" s="402">
        <f>HF39-HF41</f>
        <v/>
      </c>
      <c r="HG43" s="402">
        <f>HG39-HG41</f>
        <v/>
      </c>
      <c r="HH43" s="402">
        <f>HH39-HH41</f>
        <v/>
      </c>
      <c r="HI43" s="402">
        <f>HI39-HI41</f>
        <v/>
      </c>
      <c r="HJ43" s="402">
        <f>HJ39-HJ41</f>
        <v/>
      </c>
      <c r="HK43" s="402">
        <f>HK39-HK41</f>
        <v/>
      </c>
      <c r="HL43" s="402">
        <f>HL39-HL41</f>
        <v/>
      </c>
      <c r="HM43" s="402">
        <f>HM39-HM41</f>
        <v/>
      </c>
      <c r="HN43" s="402">
        <f>HN39-HN41</f>
        <v/>
      </c>
      <c r="HO43" s="402">
        <f>HO39-HO41</f>
        <v/>
      </c>
      <c r="HP43" s="402">
        <f>HP39-HP41</f>
        <v/>
      </c>
      <c r="HQ43" s="402">
        <f>HQ39-HQ41</f>
        <v/>
      </c>
      <c r="HR43" s="402">
        <f>HR39-HR41</f>
        <v/>
      </c>
      <c r="HS43" s="402">
        <f>HS39-HS41</f>
        <v/>
      </c>
      <c r="HT43" s="402">
        <f>HT39-HT41</f>
        <v/>
      </c>
      <c r="HU43" s="402">
        <f>HU39-HU41</f>
        <v/>
      </c>
      <c r="HV43" s="402">
        <f>HV39-HV41</f>
        <v/>
      </c>
      <c r="HW43" s="402">
        <f>HW39-HW41</f>
        <v/>
      </c>
      <c r="HX43" s="402">
        <f>HX39-HX41</f>
        <v/>
      </c>
      <c r="HY43" s="402">
        <f>HY39-HY41</f>
        <v/>
      </c>
      <c r="HZ43" s="402">
        <f>HZ39-HZ41</f>
        <v/>
      </c>
      <c r="IA43" s="402">
        <f>IA39-IA41</f>
        <v/>
      </c>
      <c r="IB43" s="402">
        <f>IB39-IB41</f>
        <v/>
      </c>
      <c r="IC43" s="402">
        <f>IC39-IC41</f>
        <v/>
      </c>
      <c r="ID43" s="402">
        <f>ID39-ID41</f>
        <v/>
      </c>
      <c r="IE43" s="402">
        <f>IE39-IE41</f>
        <v/>
      </c>
      <c r="IF43" s="402">
        <f>IF39-IF41</f>
        <v/>
      </c>
      <c r="IG43" s="402">
        <f>IG39-IG41</f>
        <v/>
      </c>
      <c r="IH43" s="402">
        <f>IH39-IH41</f>
        <v/>
      </c>
      <c r="II43" s="402">
        <f>II39-II41</f>
        <v/>
      </c>
      <c r="IJ43" s="402">
        <f>IJ39-IJ41</f>
        <v/>
      </c>
      <c r="IK43" s="402">
        <f>IK39-IK41</f>
        <v/>
      </c>
      <c r="IL43" s="402">
        <f>IL39-IL41</f>
        <v/>
      </c>
      <c r="IM43" s="402">
        <f>IM39-IM41</f>
        <v/>
      </c>
      <c r="IN43" s="402">
        <f>IN39-IN41</f>
        <v/>
      </c>
      <c r="IO43" s="402">
        <f>IO39-IO41</f>
        <v/>
      </c>
      <c r="IP43" s="402">
        <f>IP39-IP41</f>
        <v/>
      </c>
      <c r="IQ43" s="402">
        <f>IQ39-IQ41</f>
        <v/>
      </c>
      <c r="IR43" s="402">
        <f>IR39-IR41</f>
        <v/>
      </c>
      <c r="IS43" s="402">
        <f>IS39-IS41</f>
        <v/>
      </c>
      <c r="IT43" s="402">
        <f>IT39-IT41</f>
        <v/>
      </c>
      <c r="IU43" s="402">
        <f>IU39-IU41</f>
        <v/>
      </c>
      <c r="IV43" s="402">
        <f>IV39-IV41</f>
        <v/>
      </c>
      <c r="IW43" s="402">
        <f>IW39-IW41</f>
        <v/>
      </c>
      <c r="IX43" s="402">
        <f>IX39-IX41</f>
        <v/>
      </c>
      <c r="IY43" s="402">
        <f>IY39-IY41</f>
        <v/>
      </c>
      <c r="IZ43" s="402">
        <f>IZ39-IZ41</f>
        <v/>
      </c>
      <c r="JA43" s="402">
        <f>JA39-JA41</f>
        <v/>
      </c>
      <c r="JB43" s="402">
        <f>JB39-JB41</f>
        <v/>
      </c>
      <c r="JC43" s="402">
        <f>JC39-JC41</f>
        <v/>
      </c>
      <c r="JD43" s="402">
        <f>JD39-JD41</f>
        <v/>
      </c>
      <c r="JE43" s="402">
        <f>JE39-JE41</f>
        <v/>
      </c>
      <c r="JF43" s="402">
        <f>JF39-JF41</f>
        <v/>
      </c>
      <c r="JG43" s="402">
        <f>JG39-JG41</f>
        <v/>
      </c>
      <c r="JH43" s="402">
        <f>JH39-JH41</f>
        <v/>
      </c>
      <c r="JI43" s="402">
        <f>JI39-JI41</f>
        <v/>
      </c>
      <c r="JJ43" s="402">
        <f>JJ39-JJ41</f>
        <v/>
      </c>
      <c r="JK43" s="402">
        <f>JK39-JK41</f>
        <v/>
      </c>
      <c r="JL43" s="402">
        <f>JL39-JL41</f>
        <v/>
      </c>
      <c r="JM43" s="402">
        <f>JM39-JM41</f>
        <v/>
      </c>
      <c r="JN43" s="402">
        <f>JN39-JN41</f>
        <v/>
      </c>
      <c r="JO43" s="402">
        <f>JO39-JO41</f>
        <v/>
      </c>
      <c r="JP43" s="402">
        <f>JP39-JP41</f>
        <v/>
      </c>
      <c r="JQ43" s="402">
        <f>JQ39-JQ41</f>
        <v/>
      </c>
      <c r="JR43" s="402">
        <f>JR39-JR41</f>
        <v/>
      </c>
      <c r="JS43" s="402">
        <f>JS39-JS41</f>
        <v/>
      </c>
      <c r="JT43" s="402">
        <f>JT39-JT41</f>
        <v/>
      </c>
      <c r="JU43" s="402">
        <f>JU39-JU41</f>
        <v/>
      </c>
      <c r="JV43" s="402">
        <f>JV39-JV41</f>
        <v/>
      </c>
      <c r="JW43" s="402">
        <f>JW39-JW41</f>
        <v/>
      </c>
      <c r="JX43" s="402">
        <f>JX39-JX41</f>
        <v/>
      </c>
      <c r="JY43" s="402">
        <f>JY39-JY41</f>
        <v/>
      </c>
      <c r="JZ43" s="402">
        <f>JZ39-JZ41</f>
        <v/>
      </c>
      <c r="KA43" s="402">
        <f>KA39-KA41</f>
        <v/>
      </c>
      <c r="KB43" s="402">
        <f>KB39-KB41</f>
        <v/>
      </c>
      <c r="KC43" s="402">
        <f>KC39-KC41</f>
        <v/>
      </c>
      <c r="KD43" s="402">
        <f>KD39-KD41</f>
        <v/>
      </c>
      <c r="KE43" s="402">
        <f>KE39-KE41</f>
        <v/>
      </c>
      <c r="KF43" s="402">
        <f>KF39-KF41</f>
        <v/>
      </c>
      <c r="KG43" s="402">
        <f>KG39-KG41</f>
        <v/>
      </c>
      <c r="KH43" s="402">
        <f>KH39-KH41</f>
        <v/>
      </c>
      <c r="KI43" s="402">
        <f>KI39-KI41</f>
        <v/>
      </c>
      <c r="KJ43" s="402">
        <f>KJ39-KJ41</f>
        <v/>
      </c>
      <c r="KK43" s="402">
        <f>KK39-KK41</f>
        <v/>
      </c>
      <c r="KL43" s="402">
        <f>KL39-KL41</f>
        <v/>
      </c>
      <c r="KM43" s="402">
        <f>KM39-KM41</f>
        <v/>
      </c>
      <c r="KN43" s="402">
        <f>KN39-KN41</f>
        <v/>
      </c>
      <c r="KO43" s="402">
        <f>KO39-KO41</f>
        <v/>
      </c>
      <c r="KP43" s="402">
        <f>KP39-KP41</f>
        <v/>
      </c>
      <c r="KQ43" s="402">
        <f>KQ39-KQ41</f>
        <v/>
      </c>
      <c r="KR43" s="402">
        <f>KR39-KR41</f>
        <v/>
      </c>
      <c r="KS43" s="402">
        <f>KS39-KS41</f>
        <v/>
      </c>
      <c r="KT43" s="402">
        <f>KT39-KT41</f>
        <v/>
      </c>
      <c r="KU43" s="402">
        <f>KU39-KU41</f>
        <v/>
      </c>
      <c r="KV43" s="402">
        <f>KV39-KV41</f>
        <v/>
      </c>
      <c r="KW43" s="402">
        <f>KW39-KW41</f>
        <v/>
      </c>
      <c r="KX43" s="402">
        <f>KX39-KX41</f>
        <v/>
      </c>
      <c r="KY43" s="402">
        <f>KY39-KY41</f>
        <v/>
      </c>
      <c r="KZ43" s="402">
        <f>KZ39-KZ41</f>
        <v/>
      </c>
      <c r="LA43" s="402">
        <f>LA39-LA41</f>
        <v/>
      </c>
      <c r="LB43" s="402">
        <f>LB39-LB41</f>
        <v/>
      </c>
      <c r="LC43" s="402">
        <f>LC39-LC41</f>
        <v/>
      </c>
      <c r="LD43" s="402">
        <f>LD39-LD41</f>
        <v/>
      </c>
      <c r="LE43" s="402">
        <f>LE39-LE41</f>
        <v/>
      </c>
      <c r="LF43" s="402">
        <f>LF39-LF41</f>
        <v/>
      </c>
      <c r="LG43" s="402">
        <f>LG39-LG41</f>
        <v/>
      </c>
      <c r="LH43" s="402">
        <f>LH39-LH41</f>
        <v/>
      </c>
      <c r="LI43" s="402">
        <f>LI39-LI41</f>
        <v/>
      </c>
      <c r="LJ43" s="402">
        <f>LJ39-LJ41</f>
        <v/>
      </c>
      <c r="LK43" s="402">
        <f>LK39-LK41</f>
        <v/>
      </c>
      <c r="LL43" s="402">
        <f>LL39-LL41</f>
        <v/>
      </c>
      <c r="LM43" s="402">
        <f>LM39-LM41</f>
        <v/>
      </c>
      <c r="LN43" s="402">
        <f>LN39-LN41</f>
        <v/>
      </c>
      <c r="LO43" s="402">
        <f>LO39-LO41</f>
        <v/>
      </c>
      <c r="LP43" s="402">
        <f>LP39-LP41</f>
        <v/>
      </c>
      <c r="LQ43" s="402">
        <f>LQ39-LQ41</f>
        <v/>
      </c>
      <c r="LR43" s="402">
        <f>LR39-LR41</f>
        <v/>
      </c>
      <c r="LS43" s="402">
        <f>LS39-LS41</f>
        <v/>
      </c>
      <c r="LT43" s="402">
        <f>LT39-LT41</f>
        <v/>
      </c>
      <c r="LU43" s="402">
        <f>LU39-LU41</f>
        <v/>
      </c>
      <c r="LV43" s="402">
        <f>LV39-LV41</f>
        <v/>
      </c>
      <c r="LW43" s="402">
        <f>LW39-LW41</f>
        <v/>
      </c>
      <c r="LX43" s="402">
        <f>LX39-LX41</f>
        <v/>
      </c>
      <c r="LY43" s="402">
        <f>LY39-LY41</f>
        <v/>
      </c>
      <c r="LZ43" s="402">
        <f>LZ39-LZ41</f>
        <v/>
      </c>
      <c r="MA43" s="402">
        <f>MA39-MA41</f>
        <v/>
      </c>
      <c r="MB43" s="402">
        <f>MB39-MB41</f>
        <v/>
      </c>
      <c r="MC43" s="402">
        <f>MC39-MC41</f>
        <v/>
      </c>
      <c r="MD43" s="402">
        <f>MD39-MD41</f>
        <v/>
      </c>
      <c r="ME43" s="402">
        <f>ME39-ME41</f>
        <v/>
      </c>
      <c r="MF43" s="402">
        <f>MF39-MF41</f>
        <v/>
      </c>
      <c r="MG43" s="402">
        <f>MG39-MG41</f>
        <v/>
      </c>
      <c r="MH43" s="402">
        <f>MH39-MH41</f>
        <v/>
      </c>
      <c r="MI43" s="402">
        <f>MI39-MI41</f>
        <v/>
      </c>
      <c r="MJ43" s="402">
        <f>MJ39-MJ41</f>
        <v/>
      </c>
      <c r="MK43" s="402">
        <f>MK39-MK41</f>
        <v/>
      </c>
      <c r="ML43" s="402">
        <f>ML39-ML41</f>
        <v/>
      </c>
      <c r="MM43" s="402">
        <f>MM39-MM41</f>
        <v/>
      </c>
      <c r="MN43" s="402">
        <f>MN39-MN41</f>
        <v/>
      </c>
      <c r="MO43" s="402">
        <f>MO39-MO41</f>
        <v/>
      </c>
      <c r="MP43" s="402">
        <f>MP39-MP41</f>
        <v/>
      </c>
      <c r="MQ43" s="402">
        <f>MQ39-MQ41</f>
        <v/>
      </c>
      <c r="MR43" s="402">
        <f>MR39-MR41</f>
        <v/>
      </c>
      <c r="MS43" s="402">
        <f>MS39-MS41</f>
        <v/>
      </c>
      <c r="MT43" s="402">
        <f>MT39-MT41</f>
        <v/>
      </c>
      <c r="MU43" s="402">
        <f>MU39-MU41</f>
        <v/>
      </c>
      <c r="MV43" s="402">
        <f>MV39-MV41</f>
        <v/>
      </c>
      <c r="MW43" s="402">
        <f>MW39-MW41</f>
        <v/>
      </c>
      <c r="MX43" s="402">
        <f>MX39-MX41</f>
        <v/>
      </c>
      <c r="MY43" s="402">
        <f>MY39-MY41</f>
        <v/>
      </c>
      <c r="MZ43" s="402">
        <f>MZ39-MZ41</f>
        <v/>
      </c>
      <c r="NA43" s="402">
        <f>NA39-NA41</f>
        <v/>
      </c>
      <c r="NB43" s="402">
        <f>NB39-NB41</f>
        <v/>
      </c>
      <c r="NC43" s="402">
        <f>NC39-NC41</f>
        <v/>
      </c>
      <c r="ND43" s="402">
        <f>ND39-ND41</f>
        <v/>
      </c>
      <c r="NE43" s="402">
        <f>NE39-NE41</f>
        <v/>
      </c>
      <c r="NF43" s="402">
        <f>NF39-NF41</f>
        <v/>
      </c>
      <c r="NG43" s="402">
        <f>NG39-NG41</f>
        <v/>
      </c>
      <c r="NH43" s="402">
        <f>NH39-NH41</f>
        <v/>
      </c>
      <c r="NI43" s="402">
        <f>NI39-NI41</f>
        <v/>
      </c>
      <c r="NJ43" s="402">
        <f>NJ39-NJ41</f>
        <v/>
      </c>
      <c r="NK43" s="402">
        <f>NK39-NK41</f>
        <v/>
      </c>
      <c r="NL43" s="402">
        <f>NL39-NL41</f>
        <v/>
      </c>
    </row>
    <row r="44">
      <c r="B44" s="384" t="inlineStr">
        <is>
          <t>GP Fee Income</t>
        </is>
      </c>
      <c r="D44" s="401" t="inlineStr"/>
      <c r="E44" s="155" t="n"/>
      <c r="F44" s="155" t="n"/>
      <c r="G44" s="155" t="n"/>
      <c r="H44" s="155" t="n"/>
      <c r="I44" s="155" t="n"/>
      <c r="J44" s="155" t="n"/>
      <c r="K44" s="155" t="n"/>
      <c r="L44" s="155" t="n"/>
      <c r="M44" s="155" t="n"/>
      <c r="N44" s="155" t="n"/>
      <c r="O44" s="155" t="n"/>
      <c r="P44" s="155" t="n"/>
      <c r="Q44" s="155" t="n"/>
      <c r="R44" s="155" t="n"/>
      <c r="S44" s="155" t="n"/>
      <c r="T44" s="155" t="n"/>
      <c r="U44" s="155" t="n"/>
      <c r="V44" s="155" t="n"/>
      <c r="W44" s="155" t="n"/>
      <c r="X44" s="155" t="n"/>
      <c r="Y44" s="155" t="n"/>
      <c r="Z44" s="155" t="n"/>
      <c r="AA44" s="155" t="n"/>
      <c r="AB44" s="155" t="n"/>
      <c r="AC44" s="155" t="n"/>
      <c r="AD44" s="155" t="n"/>
      <c r="AE44" s="155" t="n"/>
      <c r="AF44" s="155" t="n"/>
      <c r="AG44" s="155" t="n"/>
      <c r="AH44" s="155" t="n"/>
      <c r="AI44" s="155" t="n"/>
      <c r="AJ44" s="155" t="n"/>
      <c r="AK44" s="155" t="n"/>
      <c r="AL44" s="155" t="n"/>
      <c r="AM44" s="155" t="n"/>
      <c r="AN44" s="155" t="n"/>
      <c r="AO44" s="155" t="n"/>
      <c r="AP44" s="155" t="n"/>
      <c r="AQ44" s="155" t="n"/>
      <c r="AR44" s="155" t="n"/>
      <c r="AS44" s="155" t="n"/>
      <c r="AT44" s="155" t="n"/>
      <c r="AU44" s="155" t="n"/>
      <c r="AV44" s="155" t="n"/>
      <c r="AW44" s="155" t="n"/>
      <c r="AX44" s="155" t="n"/>
      <c r="AY44" s="155" t="n"/>
      <c r="AZ44" s="155" t="n"/>
      <c r="BA44" s="155" t="n"/>
      <c r="BB44" s="155" t="n"/>
      <c r="BC44" s="155" t="n"/>
      <c r="BD44" s="155" t="n"/>
      <c r="BE44" s="155" t="n"/>
      <c r="BF44" s="155" t="n"/>
      <c r="BG44" s="155" t="n"/>
      <c r="BH44" s="155" t="n"/>
      <c r="BI44" s="155" t="n"/>
      <c r="BJ44" s="155" t="n"/>
      <c r="BK44" s="155" t="n"/>
      <c r="BL44" s="155" t="n"/>
      <c r="BM44" s="155" t="n"/>
      <c r="BN44" s="155" t="n"/>
      <c r="BO44" s="155" t="n"/>
      <c r="BP44" s="155" t="n"/>
      <c r="BQ44" s="155" t="n"/>
      <c r="BR44" s="155" t="n"/>
      <c r="BS44" s="155" t="n"/>
      <c r="BT44" s="155" t="n"/>
      <c r="BU44" s="155" t="n"/>
      <c r="BV44" s="155" t="n"/>
      <c r="BW44" s="155" t="n"/>
      <c r="BX44" s="155" t="n"/>
      <c r="BY44" s="155" t="n"/>
      <c r="BZ44" s="155" t="n"/>
      <c r="CA44" s="155" t="n"/>
      <c r="CB44" s="155" t="n"/>
      <c r="CC44" s="155" t="n"/>
      <c r="CD44" s="155" t="n"/>
      <c r="CE44" s="155" t="n"/>
      <c r="CF44" s="155" t="n"/>
      <c r="CG44" s="155" t="n"/>
      <c r="CH44" s="155" t="n"/>
      <c r="CI44" s="155" t="n"/>
      <c r="CJ44" s="155" t="n"/>
      <c r="CK44" s="155" t="n"/>
      <c r="CL44" s="155" t="n"/>
      <c r="CM44" s="155" t="n"/>
      <c r="CN44" s="155" t="n"/>
      <c r="CO44" s="155" t="n"/>
      <c r="CP44" s="155" t="n"/>
      <c r="CQ44" s="155" t="n"/>
      <c r="CR44" s="155" t="n"/>
      <c r="CS44" s="155" t="n"/>
      <c r="CT44" s="155" t="n"/>
      <c r="CU44" s="155" t="n"/>
      <c r="CV44" s="155" t="n"/>
      <c r="CW44" s="155" t="n"/>
      <c r="CX44" s="155" t="n"/>
      <c r="CY44" s="155" t="n"/>
      <c r="CZ44" s="155" t="n"/>
      <c r="DA44" s="155" t="n"/>
      <c r="DB44" s="155" t="n"/>
      <c r="DC44" s="155" t="n"/>
      <c r="DD44" s="155" t="n"/>
      <c r="DE44" s="155" t="n"/>
      <c r="DF44" s="155" t="n"/>
      <c r="DG44" s="155" t="n"/>
      <c r="DH44" s="155" t="n"/>
      <c r="DI44" s="155" t="n"/>
      <c r="DJ44" s="155" t="n"/>
      <c r="DK44" s="155" t="n"/>
      <c r="DL44" s="155" t="n"/>
      <c r="DM44" s="155" t="n"/>
      <c r="DN44" s="155" t="n"/>
      <c r="DO44" s="155" t="n"/>
      <c r="DP44" s="155" t="n"/>
      <c r="DQ44" s="155" t="n"/>
      <c r="DR44" s="155" t="n"/>
      <c r="DS44" s="155" t="n"/>
      <c r="DT44" s="155" t="n"/>
      <c r="DU44" s="155" t="n"/>
      <c r="DV44" s="155" t="n"/>
      <c r="DW44" s="155" t="n"/>
      <c r="DX44" s="155" t="n"/>
      <c r="DY44" s="155" t="n"/>
      <c r="DZ44" s="155" t="n"/>
      <c r="EA44" s="155" t="n"/>
      <c r="EB44" s="155" t="n"/>
      <c r="EC44" s="155" t="n"/>
      <c r="ED44" s="155" t="n"/>
      <c r="EE44" s="155" t="n"/>
      <c r="EF44" s="155" t="n"/>
      <c r="EG44" s="155" t="n"/>
      <c r="EH44" s="155" t="n"/>
      <c r="EI44" s="155" t="n"/>
      <c r="EJ44" s="155" t="n"/>
      <c r="EK44" s="155" t="n"/>
      <c r="EL44" s="155" t="n"/>
      <c r="EM44" s="155" t="n"/>
      <c r="EN44" s="155" t="n"/>
      <c r="EO44" s="155" t="n"/>
      <c r="EP44" s="155" t="n"/>
      <c r="EQ44" s="155" t="n"/>
      <c r="ER44" s="155" t="n"/>
      <c r="ES44" s="155" t="n"/>
      <c r="ET44" s="155" t="n"/>
      <c r="EU44" s="155" t="n"/>
      <c r="EV44" s="155" t="n"/>
      <c r="EW44" s="155" t="n"/>
      <c r="EX44" s="155" t="n"/>
      <c r="EY44" s="155" t="n"/>
      <c r="EZ44" s="155" t="n"/>
      <c r="FA44" s="155" t="n"/>
      <c r="FB44" s="155" t="n"/>
      <c r="FC44" s="155" t="n"/>
      <c r="FD44" s="155" t="n"/>
      <c r="FE44" s="155" t="n"/>
      <c r="FF44" s="155" t="n"/>
      <c r="FG44" s="155" t="n"/>
      <c r="FH44" s="155" t="n"/>
      <c r="FI44" s="155" t="n"/>
      <c r="FJ44" s="155" t="n"/>
      <c r="FK44" s="155" t="n"/>
      <c r="FL44" s="155" t="n"/>
      <c r="FM44" s="155" t="n"/>
      <c r="FN44" s="155" t="n"/>
      <c r="FO44" s="155" t="n"/>
      <c r="FP44" s="155" t="n"/>
      <c r="FQ44" s="155" t="n"/>
      <c r="FR44" s="155" t="n"/>
      <c r="FS44" s="155" t="n"/>
      <c r="FT44" s="155" t="n"/>
      <c r="FU44" s="155" t="n"/>
      <c r="FV44" s="155" t="n"/>
      <c r="FW44" s="155" t="n"/>
      <c r="FX44" s="155" t="n"/>
      <c r="FY44" s="155" t="n"/>
      <c r="FZ44" s="155" t="n"/>
      <c r="GA44" s="155" t="n"/>
      <c r="GB44" s="155" t="n"/>
      <c r="GC44" s="155" t="n"/>
      <c r="GD44" s="155" t="n"/>
      <c r="GE44" s="155" t="n"/>
      <c r="GF44" s="155" t="n"/>
      <c r="GG44" s="155" t="n"/>
      <c r="GH44" s="155" t="n"/>
      <c r="GI44" s="155" t="n"/>
      <c r="GJ44" s="155" t="n"/>
      <c r="GK44" s="155" t="n"/>
      <c r="GL44" s="155" t="n"/>
      <c r="GM44" s="155" t="n"/>
      <c r="GN44" s="155" t="n"/>
      <c r="GO44" s="155" t="n"/>
      <c r="GP44" s="155" t="n"/>
      <c r="GQ44" s="155" t="n"/>
      <c r="GR44" s="155" t="n"/>
      <c r="GS44" s="155" t="n"/>
      <c r="GT44" s="155" t="n"/>
      <c r="GU44" s="155" t="n"/>
      <c r="GV44" s="155" t="n"/>
      <c r="GW44" s="155" t="n"/>
      <c r="GX44" s="155" t="n"/>
      <c r="GY44" s="155" t="n"/>
      <c r="GZ44" s="155" t="n"/>
      <c r="HA44" s="155" t="n"/>
      <c r="HB44" s="155" t="n"/>
      <c r="HC44" s="155" t="n"/>
      <c r="HD44" s="155" t="n"/>
      <c r="HE44" s="155" t="n"/>
      <c r="HF44" s="155" t="n"/>
      <c r="HG44" s="155" t="n"/>
      <c r="HH44" s="155" t="n"/>
      <c r="HI44" s="155" t="n"/>
      <c r="HJ44" s="155" t="n"/>
      <c r="HK44" s="155" t="n"/>
      <c r="HL44" s="155" t="n"/>
      <c r="HM44" s="155" t="n"/>
      <c r="HN44" s="155" t="n"/>
      <c r="HO44" s="155" t="n"/>
      <c r="HP44" s="155" t="n"/>
      <c r="HQ44" s="155" t="n"/>
      <c r="HR44" s="155" t="n"/>
      <c r="HS44" s="155" t="n"/>
      <c r="HT44" s="155" t="n"/>
      <c r="HU44" s="155" t="n"/>
      <c r="HV44" s="155" t="n"/>
      <c r="HW44" s="155" t="n"/>
      <c r="HX44" s="155" t="n"/>
      <c r="HY44" s="155" t="n"/>
      <c r="HZ44" s="155" t="n"/>
      <c r="IA44" s="155" t="n"/>
      <c r="IB44" s="155" t="n"/>
      <c r="IC44" s="155" t="n"/>
      <c r="ID44" s="155" t="n"/>
      <c r="IE44" s="155" t="n"/>
      <c r="IF44" s="155" t="n"/>
      <c r="IG44" s="155" t="n"/>
      <c r="IH44" s="155" t="n"/>
      <c r="II44" s="155" t="n"/>
      <c r="IJ44" s="155" t="n"/>
      <c r="IK44" s="155" t="n"/>
      <c r="IL44" s="155" t="n"/>
      <c r="IM44" s="155" t="n"/>
      <c r="IN44" s="155" t="n"/>
      <c r="IO44" s="155" t="n"/>
      <c r="IP44" s="155" t="n"/>
      <c r="IQ44" s="155" t="n"/>
      <c r="IR44" s="155" t="n"/>
      <c r="IS44" s="155" t="n"/>
      <c r="IT44" s="155" t="n"/>
      <c r="IU44" s="155" t="n"/>
      <c r="IV44" s="155" t="n"/>
      <c r="IW44" s="155" t="n"/>
      <c r="IX44" s="155" t="n"/>
      <c r="IY44" s="155" t="n"/>
      <c r="IZ44" s="155" t="n"/>
      <c r="JA44" s="155" t="n"/>
      <c r="JB44" s="155" t="n"/>
      <c r="JC44" s="155" t="n"/>
      <c r="JD44" s="155" t="n"/>
      <c r="JE44" s="155" t="n"/>
      <c r="JF44" s="155" t="n"/>
      <c r="JG44" s="155" t="n"/>
      <c r="JH44" s="155" t="n"/>
      <c r="JI44" s="155" t="n"/>
      <c r="JJ44" s="155" t="n"/>
      <c r="JK44" s="155" t="n"/>
      <c r="JL44" s="155" t="n"/>
      <c r="JM44" s="155" t="n"/>
      <c r="JN44" s="155" t="n"/>
      <c r="JO44" s="155" t="n"/>
      <c r="JP44" s="155" t="n"/>
      <c r="JQ44" s="155" t="n"/>
      <c r="JR44" s="155" t="n"/>
      <c r="JS44" s="155" t="n"/>
      <c r="JT44" s="155" t="n"/>
      <c r="JU44" s="155" t="n"/>
      <c r="JV44" s="155" t="n"/>
      <c r="JW44" s="155" t="n"/>
      <c r="JX44" s="155" t="n"/>
      <c r="JY44" s="155" t="n"/>
      <c r="JZ44" s="155" t="n"/>
      <c r="KA44" s="155" t="n"/>
      <c r="KB44" s="155" t="n"/>
      <c r="KC44" s="155" t="n"/>
      <c r="KD44" s="155" t="n"/>
      <c r="KE44" s="155" t="n"/>
      <c r="KF44" s="155" t="n"/>
      <c r="KG44" s="155" t="n"/>
      <c r="KH44" s="155" t="n"/>
      <c r="KI44" s="155" t="n"/>
      <c r="KJ44" s="155" t="n"/>
      <c r="KK44" s="155" t="n"/>
      <c r="KL44" s="155" t="n"/>
      <c r="KM44" s="155" t="n"/>
      <c r="KN44" s="155" t="n"/>
      <c r="KO44" s="155" t="n"/>
      <c r="KP44" s="155" t="n"/>
      <c r="KQ44" s="155" t="n"/>
      <c r="KR44" s="155" t="n"/>
      <c r="KS44" s="155" t="n"/>
      <c r="KT44" s="155" t="n"/>
      <c r="KU44" s="155" t="n"/>
      <c r="KV44" s="155" t="n"/>
      <c r="KW44" s="155" t="n"/>
      <c r="KX44" s="155" t="n"/>
      <c r="KY44" s="155" t="n"/>
      <c r="KZ44" s="155" t="n"/>
      <c r="LA44" s="155" t="n"/>
      <c r="LB44" s="155" t="n"/>
      <c r="LC44" s="155" t="n"/>
      <c r="LD44" s="155" t="n"/>
      <c r="LE44" s="155" t="n"/>
      <c r="LF44" s="155" t="n"/>
      <c r="LG44" s="155" t="n"/>
      <c r="LH44" s="155" t="n"/>
      <c r="LI44" s="155" t="n"/>
      <c r="LJ44" s="155" t="n"/>
      <c r="LK44" s="155" t="n"/>
      <c r="LL44" s="155" t="n"/>
      <c r="LM44" s="155" t="n"/>
      <c r="LN44" s="155" t="n"/>
      <c r="LO44" s="155" t="n"/>
      <c r="LP44" s="155" t="n"/>
      <c r="LQ44" s="155" t="n"/>
      <c r="LR44" s="155" t="n"/>
      <c r="LS44" s="155" t="n"/>
      <c r="LT44" s="155" t="n"/>
      <c r="LU44" s="155" t="n"/>
      <c r="LV44" s="155" t="n"/>
      <c r="LW44" s="155" t="n"/>
      <c r="LX44" s="155" t="n"/>
      <c r="LY44" s="155" t="n"/>
      <c r="LZ44" s="155" t="n"/>
      <c r="MA44" s="155" t="n"/>
      <c r="MB44" s="155" t="n"/>
      <c r="MC44" s="155" t="n"/>
      <c r="MD44" s="155" t="n"/>
      <c r="ME44" s="155" t="n"/>
      <c r="MF44" s="155" t="n"/>
      <c r="MG44" s="155" t="n"/>
      <c r="MH44" s="155" t="n"/>
      <c r="MI44" s="155" t="n"/>
      <c r="MJ44" s="155" t="n"/>
      <c r="MK44" s="155" t="n"/>
      <c r="ML44" s="155" t="n"/>
      <c r="MM44" s="155" t="n"/>
      <c r="MN44" s="155" t="n"/>
      <c r="MO44" s="155" t="n"/>
      <c r="MP44" s="155" t="n"/>
      <c r="MQ44" s="155" t="n"/>
      <c r="MR44" s="155" t="n"/>
      <c r="MS44" s="155" t="n"/>
      <c r="MT44" s="155" t="n"/>
      <c r="MU44" s="155" t="n"/>
      <c r="MV44" s="155" t="n"/>
      <c r="MW44" s="155" t="n"/>
      <c r="MX44" s="155" t="n"/>
      <c r="MY44" s="155" t="n"/>
      <c r="MZ44" s="155" t="n"/>
      <c r="NA44" s="155" t="n"/>
      <c r="NB44" s="155" t="n"/>
      <c r="NC44" s="155" t="n"/>
      <c r="ND44" s="155" t="n"/>
      <c r="NE44" s="155" t="n"/>
      <c r="NF44" s="155" t="n"/>
      <c r="NG44" s="155" t="n"/>
      <c r="NH44" s="155" t="n"/>
      <c r="NI44" s="155" t="n"/>
      <c r="NJ44" s="155" t="n"/>
      <c r="NK44" s="155" t="n"/>
      <c r="NL44" s="155" t="n"/>
    </row>
    <row r="45">
      <c r="B45" s="316" t="inlineStr">
        <is>
          <t>Development Fee</t>
        </is>
      </c>
      <c r="D45" s="402">
        <f>SUM(E45:NL45)</f>
        <v/>
      </c>
      <c r="E45" s="402">
        <f>IF(E$20&lt;=DispoMonth,DevSpend!E$101,0)</f>
        <v/>
      </c>
      <c r="F45" s="402">
        <f>IF(F$20&lt;=DispoMonth,DevSpend!F$101,0)</f>
        <v/>
      </c>
      <c r="G45" s="402">
        <f>IF(G$20&lt;=DispoMonth,DevSpend!G$101,0)</f>
        <v/>
      </c>
      <c r="H45" s="402">
        <f>IF(H$20&lt;=DispoMonth,DevSpend!H$101,0)</f>
        <v/>
      </c>
      <c r="I45" s="402">
        <f>IF(I$20&lt;=DispoMonth,DevSpend!I$101,0)</f>
        <v/>
      </c>
      <c r="J45" s="402">
        <f>IF(J$20&lt;=DispoMonth,DevSpend!J$101,0)</f>
        <v/>
      </c>
      <c r="K45" s="402">
        <f>IF(K$20&lt;=DispoMonth,DevSpend!K$101,0)</f>
        <v/>
      </c>
      <c r="L45" s="402">
        <f>IF(L$20&lt;=DispoMonth,DevSpend!L$101,0)</f>
        <v/>
      </c>
      <c r="M45" s="402">
        <f>IF(M$20&lt;=DispoMonth,DevSpend!M$101,0)</f>
        <v/>
      </c>
      <c r="N45" s="402">
        <f>IF(N$20&lt;=DispoMonth,DevSpend!N$101,0)</f>
        <v/>
      </c>
      <c r="O45" s="402">
        <f>IF(O$20&lt;=DispoMonth,DevSpend!O$101,0)</f>
        <v/>
      </c>
      <c r="P45" s="402">
        <f>IF(P$20&lt;=DispoMonth,DevSpend!P$101,0)</f>
        <v/>
      </c>
      <c r="Q45" s="402">
        <f>IF(Q$20&lt;=DispoMonth,DevSpend!Q$101,0)</f>
        <v/>
      </c>
      <c r="R45" s="402">
        <f>IF(R$20&lt;=DispoMonth,DevSpend!R$101,0)</f>
        <v/>
      </c>
      <c r="S45" s="402">
        <f>IF(S$20&lt;=DispoMonth,DevSpend!S$101,0)</f>
        <v/>
      </c>
      <c r="T45" s="402">
        <f>IF(T$20&lt;=DispoMonth,DevSpend!T$101,0)</f>
        <v/>
      </c>
      <c r="U45" s="402">
        <f>IF(U$20&lt;=DispoMonth,DevSpend!U$101,0)</f>
        <v/>
      </c>
      <c r="V45" s="402">
        <f>IF(V$20&lt;=DispoMonth,DevSpend!V$101,0)</f>
        <v/>
      </c>
      <c r="W45" s="402">
        <f>IF(W$20&lt;=DispoMonth,DevSpend!W$101,0)</f>
        <v/>
      </c>
      <c r="X45" s="402">
        <f>IF(X$20&lt;=DispoMonth,DevSpend!X$101,0)</f>
        <v/>
      </c>
      <c r="Y45" s="402">
        <f>IF(Y$20&lt;=DispoMonth,DevSpend!Y$101,0)</f>
        <v/>
      </c>
      <c r="Z45" s="402">
        <f>IF(Z$20&lt;=DispoMonth,DevSpend!Z$101,0)</f>
        <v/>
      </c>
      <c r="AA45" s="402">
        <f>IF(AA$20&lt;=DispoMonth,DevSpend!AA$101,0)</f>
        <v/>
      </c>
      <c r="AB45" s="402">
        <f>IF(AB$20&lt;=DispoMonth,DevSpend!AB$101,0)</f>
        <v/>
      </c>
      <c r="AC45" s="402">
        <f>IF(AC$20&lt;=DispoMonth,DevSpend!AC$101,0)</f>
        <v/>
      </c>
      <c r="AD45" s="402">
        <f>IF(AD$20&lt;=DispoMonth,DevSpend!AD$101,0)</f>
        <v/>
      </c>
      <c r="AE45" s="402">
        <f>IF(AE$20&lt;=DispoMonth,DevSpend!AE$101,0)</f>
        <v/>
      </c>
      <c r="AF45" s="402">
        <f>IF(AF$20&lt;=DispoMonth,DevSpend!AF$101,0)</f>
        <v/>
      </c>
      <c r="AG45" s="402">
        <f>IF(AG$20&lt;=DispoMonth,DevSpend!AG$101,0)</f>
        <v/>
      </c>
      <c r="AH45" s="402">
        <f>IF(AH$20&lt;=DispoMonth,DevSpend!AH$101,0)</f>
        <v/>
      </c>
      <c r="AI45" s="402">
        <f>IF(AI$20&lt;=DispoMonth,DevSpend!AI$101,0)</f>
        <v/>
      </c>
      <c r="AJ45" s="402">
        <f>IF(AJ$20&lt;=DispoMonth,DevSpend!AJ$101,0)</f>
        <v/>
      </c>
      <c r="AK45" s="402">
        <f>IF(AK$20&lt;=DispoMonth,DevSpend!AK$101,0)</f>
        <v/>
      </c>
      <c r="AL45" s="402">
        <f>IF(AL$20&lt;=DispoMonth,DevSpend!AL$101,0)</f>
        <v/>
      </c>
      <c r="AM45" s="402">
        <f>IF(AM$20&lt;=DispoMonth,DevSpend!AM$101,0)</f>
        <v/>
      </c>
      <c r="AN45" s="402">
        <f>IF(AN$20&lt;=DispoMonth,DevSpend!AN$101,0)</f>
        <v/>
      </c>
      <c r="AO45" s="402">
        <f>IF(AO$20&lt;=DispoMonth,DevSpend!AO$101,0)</f>
        <v/>
      </c>
      <c r="AP45" s="402">
        <f>IF(AP$20&lt;=DispoMonth,DevSpend!AP$101,0)</f>
        <v/>
      </c>
      <c r="AQ45" s="402">
        <f>IF(AQ$20&lt;=DispoMonth,DevSpend!AQ$101,0)</f>
        <v/>
      </c>
      <c r="AR45" s="402">
        <f>IF(AR$20&lt;=DispoMonth,DevSpend!AR$101,0)</f>
        <v/>
      </c>
      <c r="AS45" s="402">
        <f>IF(AS$20&lt;=DispoMonth,DevSpend!AS$101,0)</f>
        <v/>
      </c>
      <c r="AT45" s="402">
        <f>IF(AT$20&lt;=DispoMonth,DevSpend!AT$101,0)</f>
        <v/>
      </c>
      <c r="AU45" s="402">
        <f>IF(AU$20&lt;=DispoMonth,DevSpend!AU$101,0)</f>
        <v/>
      </c>
      <c r="AV45" s="402">
        <f>IF(AV$20&lt;=DispoMonth,DevSpend!AV$101,0)</f>
        <v/>
      </c>
      <c r="AW45" s="402">
        <f>IF(AW$20&lt;=DispoMonth,DevSpend!AW$101,0)</f>
        <v/>
      </c>
      <c r="AX45" s="402">
        <f>IF(AX$20&lt;=DispoMonth,DevSpend!AX$101,0)</f>
        <v/>
      </c>
      <c r="AY45" s="402">
        <f>IF(AY$20&lt;=DispoMonth,DevSpend!AY$101,0)</f>
        <v/>
      </c>
      <c r="AZ45" s="402">
        <f>IF(AZ$20&lt;=DispoMonth,DevSpend!AZ$101,0)</f>
        <v/>
      </c>
      <c r="BA45" s="402">
        <f>IF(BA$20&lt;=DispoMonth,DevSpend!BA$101,0)</f>
        <v/>
      </c>
      <c r="BB45" s="402">
        <f>IF(BB$20&lt;=DispoMonth,DevSpend!BB$101,0)</f>
        <v/>
      </c>
      <c r="BC45" s="402">
        <f>IF(BC$20&lt;=DispoMonth,DevSpend!BC$101,0)</f>
        <v/>
      </c>
      <c r="BD45" s="402">
        <f>IF(BD$20&lt;=DispoMonth,DevSpend!BD$101,0)</f>
        <v/>
      </c>
      <c r="BE45" s="402">
        <f>IF(BE$20&lt;=DispoMonth,DevSpend!BE$101,0)</f>
        <v/>
      </c>
      <c r="BF45" s="402">
        <f>IF(BF$20&lt;=DispoMonth,DevSpend!BF$101,0)</f>
        <v/>
      </c>
      <c r="BG45" s="402">
        <f>IF(BG$20&lt;=DispoMonth,DevSpend!BG$101,0)</f>
        <v/>
      </c>
      <c r="BH45" s="402">
        <f>IF(BH$20&lt;=DispoMonth,DevSpend!BH$101,0)</f>
        <v/>
      </c>
      <c r="BI45" s="402">
        <f>IF(BI$20&lt;=DispoMonth,DevSpend!BI$101,0)</f>
        <v/>
      </c>
      <c r="BJ45" s="402">
        <f>IF(BJ$20&lt;=DispoMonth,DevSpend!BJ$101,0)</f>
        <v/>
      </c>
      <c r="BK45" s="402">
        <f>IF(BK$20&lt;=DispoMonth,DevSpend!BK$101,0)</f>
        <v/>
      </c>
      <c r="BL45" s="402">
        <f>IF(BL$20&lt;=DispoMonth,DevSpend!BL$101,0)</f>
        <v/>
      </c>
      <c r="BM45" s="402">
        <f>IF(BM$20&lt;=DispoMonth,DevSpend!BM$101,0)</f>
        <v/>
      </c>
      <c r="BN45" s="402">
        <f>IF(BN$20&lt;=DispoMonth,DevSpend!BN$101,0)</f>
        <v/>
      </c>
      <c r="BO45" s="402">
        <f>IF(BO$20&lt;=DispoMonth,DevSpend!BO$101,0)</f>
        <v/>
      </c>
      <c r="BP45" s="402">
        <f>IF(BP$20&lt;=DispoMonth,DevSpend!BP$101,0)</f>
        <v/>
      </c>
      <c r="BQ45" s="402">
        <f>IF(BQ$20&lt;=DispoMonth,DevSpend!BQ$101,0)</f>
        <v/>
      </c>
      <c r="BR45" s="402">
        <f>IF(BR$20&lt;=DispoMonth,DevSpend!BR$101,0)</f>
        <v/>
      </c>
      <c r="BS45" s="402">
        <f>IF(BS$20&lt;=DispoMonth,DevSpend!BS$101,0)</f>
        <v/>
      </c>
      <c r="BT45" s="402">
        <f>IF(BT$20&lt;=DispoMonth,DevSpend!BT$101,0)</f>
        <v/>
      </c>
      <c r="BU45" s="402">
        <f>IF(BU$20&lt;=DispoMonth,DevSpend!BU$101,0)</f>
        <v/>
      </c>
      <c r="BV45" s="402">
        <f>IF(BV$20&lt;=DispoMonth,DevSpend!BV$101,0)</f>
        <v/>
      </c>
      <c r="BW45" s="402">
        <f>IF(BW$20&lt;=DispoMonth,DevSpend!BW$101,0)</f>
        <v/>
      </c>
      <c r="BX45" s="402">
        <f>IF(BX$20&lt;=DispoMonth,DevSpend!BX$101,0)</f>
        <v/>
      </c>
      <c r="BY45" s="402">
        <f>IF(BY$20&lt;=DispoMonth,DevSpend!BY$101,0)</f>
        <v/>
      </c>
      <c r="BZ45" s="402">
        <f>IF(BZ$20&lt;=DispoMonth,DevSpend!BZ$101,0)</f>
        <v/>
      </c>
      <c r="CA45" s="402">
        <f>IF(CA$20&lt;=DispoMonth,DevSpend!CA$101,0)</f>
        <v/>
      </c>
      <c r="CB45" s="402">
        <f>IF(CB$20&lt;=DispoMonth,DevSpend!CB$101,0)</f>
        <v/>
      </c>
      <c r="CC45" s="402">
        <f>IF(CC$20&lt;=DispoMonth,DevSpend!CC$101,0)</f>
        <v/>
      </c>
      <c r="CD45" s="402">
        <f>IF(CD$20&lt;=DispoMonth,DevSpend!CD$101,0)</f>
        <v/>
      </c>
      <c r="CE45" s="402">
        <f>IF(CE$20&lt;=DispoMonth,DevSpend!CE$101,0)</f>
        <v/>
      </c>
      <c r="CF45" s="402">
        <f>IF(CF$20&lt;=DispoMonth,DevSpend!CF$101,0)</f>
        <v/>
      </c>
      <c r="CG45" s="402">
        <f>IF(CG$20&lt;=DispoMonth,DevSpend!CG$101,0)</f>
        <v/>
      </c>
      <c r="CH45" s="402">
        <f>IF(CH$20&lt;=DispoMonth,DevSpend!CH$101,0)</f>
        <v/>
      </c>
      <c r="CI45" s="402">
        <f>IF(CI$20&lt;=DispoMonth,DevSpend!CI$101,0)</f>
        <v/>
      </c>
      <c r="CJ45" s="402">
        <f>IF(CJ$20&lt;=DispoMonth,DevSpend!CJ$101,0)</f>
        <v/>
      </c>
      <c r="CK45" s="402">
        <f>IF(CK$20&lt;=DispoMonth,DevSpend!CK$101,0)</f>
        <v/>
      </c>
      <c r="CL45" s="402">
        <f>IF(CL$20&lt;=DispoMonth,DevSpend!CL$101,0)</f>
        <v/>
      </c>
      <c r="CM45" s="402">
        <f>IF(CM$20&lt;=DispoMonth,DevSpend!CM$101,0)</f>
        <v/>
      </c>
      <c r="CN45" s="402">
        <f>IF(CN$20&lt;=DispoMonth,DevSpend!CN$101,0)</f>
        <v/>
      </c>
      <c r="CO45" s="402">
        <f>IF(CO$20&lt;=DispoMonth,DevSpend!CO$101,0)</f>
        <v/>
      </c>
      <c r="CP45" s="402">
        <f>IF(CP$20&lt;=DispoMonth,DevSpend!CP$101,0)</f>
        <v/>
      </c>
      <c r="CQ45" s="402">
        <f>IF(CQ$20&lt;=DispoMonth,DevSpend!CQ$101,0)</f>
        <v/>
      </c>
      <c r="CR45" s="402">
        <f>IF(CR$20&lt;=DispoMonth,DevSpend!CR$101,0)</f>
        <v/>
      </c>
      <c r="CS45" s="402">
        <f>IF(CS$20&lt;=DispoMonth,DevSpend!CS$101,0)</f>
        <v/>
      </c>
      <c r="CT45" s="402">
        <f>IF(CT$20&lt;=DispoMonth,DevSpend!CT$101,0)</f>
        <v/>
      </c>
      <c r="CU45" s="402">
        <f>IF(CU$20&lt;=DispoMonth,DevSpend!CU$101,0)</f>
        <v/>
      </c>
      <c r="CV45" s="402">
        <f>IF(CV$20&lt;=DispoMonth,DevSpend!CV$101,0)</f>
        <v/>
      </c>
      <c r="CW45" s="402">
        <f>IF(CW$20&lt;=DispoMonth,DevSpend!CW$101,0)</f>
        <v/>
      </c>
      <c r="CX45" s="402">
        <f>IF(CX$20&lt;=DispoMonth,DevSpend!CX$101,0)</f>
        <v/>
      </c>
      <c r="CY45" s="402">
        <f>IF(CY$20&lt;=DispoMonth,DevSpend!CY$101,0)</f>
        <v/>
      </c>
      <c r="CZ45" s="402">
        <f>IF(CZ$20&lt;=DispoMonth,DevSpend!CZ$101,0)</f>
        <v/>
      </c>
      <c r="DA45" s="402">
        <f>IF(DA$20&lt;=DispoMonth,DevSpend!DA$101,0)</f>
        <v/>
      </c>
      <c r="DB45" s="402">
        <f>IF(DB$20&lt;=DispoMonth,DevSpend!DB$101,0)</f>
        <v/>
      </c>
      <c r="DC45" s="402">
        <f>IF(DC$20&lt;=DispoMonth,DevSpend!DC$101,0)</f>
        <v/>
      </c>
      <c r="DD45" s="402">
        <f>IF(DD$20&lt;=DispoMonth,DevSpend!DD$101,0)</f>
        <v/>
      </c>
      <c r="DE45" s="402">
        <f>IF(DE$20&lt;=DispoMonth,DevSpend!DE$101,0)</f>
        <v/>
      </c>
      <c r="DF45" s="402">
        <f>IF(DF$20&lt;=DispoMonth,DevSpend!DF$101,0)</f>
        <v/>
      </c>
      <c r="DG45" s="402">
        <f>IF(DG$20&lt;=DispoMonth,DevSpend!DG$101,0)</f>
        <v/>
      </c>
      <c r="DH45" s="402">
        <f>IF(DH$20&lt;=DispoMonth,DevSpend!DH$101,0)</f>
        <v/>
      </c>
      <c r="DI45" s="402">
        <f>IF(DI$20&lt;=DispoMonth,DevSpend!DI$101,0)</f>
        <v/>
      </c>
      <c r="DJ45" s="402">
        <f>IF(DJ$20&lt;=DispoMonth,DevSpend!DJ$101,0)</f>
        <v/>
      </c>
      <c r="DK45" s="402">
        <f>IF(DK$20&lt;=DispoMonth,DevSpend!DK$101,0)</f>
        <v/>
      </c>
      <c r="DL45" s="402">
        <f>IF(DL$20&lt;=DispoMonth,DevSpend!DL$101,0)</f>
        <v/>
      </c>
      <c r="DM45" s="402">
        <f>IF(DM$20&lt;=DispoMonth,DevSpend!DM$101,0)</f>
        <v/>
      </c>
      <c r="DN45" s="402">
        <f>IF(DN$20&lt;=DispoMonth,DevSpend!DN$101,0)</f>
        <v/>
      </c>
      <c r="DO45" s="402">
        <f>IF(DO$20&lt;=DispoMonth,DevSpend!DO$101,0)</f>
        <v/>
      </c>
      <c r="DP45" s="402">
        <f>IF(DP$20&lt;=DispoMonth,DevSpend!DP$101,0)</f>
        <v/>
      </c>
      <c r="DQ45" s="402">
        <f>IF(DQ$20&lt;=DispoMonth,DevSpend!DQ$101,0)</f>
        <v/>
      </c>
      <c r="DR45" s="402">
        <f>IF(DR$20&lt;=DispoMonth,DevSpend!DR$101,0)</f>
        <v/>
      </c>
      <c r="DS45" s="402">
        <f>IF(DS$20&lt;=DispoMonth,DevSpend!DS$101,0)</f>
        <v/>
      </c>
      <c r="DT45" s="402">
        <f>IF(DT$20&lt;=DispoMonth,DevSpend!DT$101,0)</f>
        <v/>
      </c>
      <c r="DU45" s="402">
        <f>IF(DU$20&lt;=DispoMonth,DevSpend!DU$101,0)</f>
        <v/>
      </c>
      <c r="DV45" s="402">
        <f>IF(DV$20&lt;=DispoMonth,DevSpend!DV$101,0)</f>
        <v/>
      </c>
      <c r="DW45" s="402">
        <f>IF(DW$20&lt;=DispoMonth,DevSpend!DW$101,0)</f>
        <v/>
      </c>
      <c r="DX45" s="402">
        <f>IF(DX$20&lt;=DispoMonth,DevSpend!DX$101,0)</f>
        <v/>
      </c>
      <c r="DY45" s="402">
        <f>IF(DY$20&lt;=DispoMonth,DevSpend!DY$101,0)</f>
        <v/>
      </c>
      <c r="DZ45" s="402">
        <f>IF(DZ$20&lt;=DispoMonth,DevSpend!DZ$101,0)</f>
        <v/>
      </c>
      <c r="EA45" s="402">
        <f>IF(EA$20&lt;=DispoMonth,DevSpend!EA$101,0)</f>
        <v/>
      </c>
      <c r="EB45" s="402">
        <f>IF(EB$20&lt;=DispoMonth,DevSpend!EB$101,0)</f>
        <v/>
      </c>
      <c r="EC45" s="402">
        <f>IF(EC$20&lt;=DispoMonth,DevSpend!EC$101,0)</f>
        <v/>
      </c>
      <c r="ED45" s="402">
        <f>IF(ED$20&lt;=DispoMonth,DevSpend!ED$101,0)</f>
        <v/>
      </c>
      <c r="EE45" s="402">
        <f>IF(EE$20&lt;=DispoMonth,DevSpend!EE$101,0)</f>
        <v/>
      </c>
      <c r="EF45" s="402">
        <f>IF(EF$20&lt;=DispoMonth,DevSpend!EF$101,0)</f>
        <v/>
      </c>
      <c r="EG45" s="402">
        <f>IF(EG$20&lt;=DispoMonth,DevSpend!EG$101,0)</f>
        <v/>
      </c>
      <c r="EH45" s="402">
        <f>IF(EH$20&lt;=DispoMonth,DevSpend!EH$101,0)</f>
        <v/>
      </c>
      <c r="EI45" s="402">
        <f>IF(EI$20&lt;=DispoMonth,DevSpend!EI$101,0)</f>
        <v/>
      </c>
      <c r="EJ45" s="402">
        <f>IF(EJ$20&lt;=DispoMonth,DevSpend!EJ$101,0)</f>
        <v/>
      </c>
      <c r="EK45" s="402">
        <f>IF(EK$20&lt;=DispoMonth,DevSpend!EK$101,0)</f>
        <v/>
      </c>
      <c r="EL45" s="402">
        <f>IF(EL$20&lt;=DispoMonth,DevSpend!EL$101,0)</f>
        <v/>
      </c>
      <c r="EM45" s="402">
        <f>IF(EM$20&lt;=DispoMonth,DevSpend!EM$101,0)</f>
        <v/>
      </c>
      <c r="EN45" s="402">
        <f>IF(EN$20&lt;=DispoMonth,DevSpend!EN$101,0)</f>
        <v/>
      </c>
      <c r="EO45" s="402">
        <f>IF(EO$20&lt;=DispoMonth,DevSpend!EO$101,0)</f>
        <v/>
      </c>
      <c r="EP45" s="402">
        <f>IF(EP$20&lt;=DispoMonth,DevSpend!EP$101,0)</f>
        <v/>
      </c>
      <c r="EQ45" s="402">
        <f>IF(EQ$20&lt;=DispoMonth,DevSpend!EQ$101,0)</f>
        <v/>
      </c>
      <c r="ER45" s="402">
        <f>IF(ER$20&lt;=DispoMonth,DevSpend!ER$101,0)</f>
        <v/>
      </c>
      <c r="ES45" s="402">
        <f>IF(ES$20&lt;=DispoMonth,DevSpend!ES$101,0)</f>
        <v/>
      </c>
      <c r="ET45" s="402">
        <f>IF(ET$20&lt;=DispoMonth,DevSpend!ET$101,0)</f>
        <v/>
      </c>
      <c r="EU45" s="402">
        <f>IF(EU$20&lt;=DispoMonth,DevSpend!EU$101,0)</f>
        <v/>
      </c>
      <c r="EV45" s="402">
        <f>IF(EV$20&lt;=DispoMonth,DevSpend!EV$101,0)</f>
        <v/>
      </c>
      <c r="EW45" s="402">
        <f>IF(EW$20&lt;=DispoMonth,DevSpend!EW$101,0)</f>
        <v/>
      </c>
      <c r="EX45" s="402">
        <f>IF(EX$20&lt;=DispoMonth,DevSpend!EX$101,0)</f>
        <v/>
      </c>
      <c r="EY45" s="402">
        <f>IF(EY$20&lt;=DispoMonth,DevSpend!EY$101,0)</f>
        <v/>
      </c>
      <c r="EZ45" s="402">
        <f>IF(EZ$20&lt;=DispoMonth,DevSpend!EZ$101,0)</f>
        <v/>
      </c>
      <c r="FA45" s="402">
        <f>IF(FA$20&lt;=DispoMonth,DevSpend!FA$101,0)</f>
        <v/>
      </c>
      <c r="FB45" s="402">
        <f>IF(FB$20&lt;=DispoMonth,DevSpend!FB$101,0)</f>
        <v/>
      </c>
      <c r="FC45" s="402">
        <f>IF(FC$20&lt;=DispoMonth,DevSpend!FC$101,0)</f>
        <v/>
      </c>
      <c r="FD45" s="402">
        <f>IF(FD$20&lt;=DispoMonth,DevSpend!FD$101,0)</f>
        <v/>
      </c>
      <c r="FE45" s="402">
        <f>IF(FE$20&lt;=DispoMonth,DevSpend!FE$101,0)</f>
        <v/>
      </c>
      <c r="FF45" s="402">
        <f>IF(FF$20&lt;=DispoMonth,DevSpend!FF$101,0)</f>
        <v/>
      </c>
      <c r="FG45" s="402">
        <f>IF(FG$20&lt;=DispoMonth,DevSpend!FG$101,0)</f>
        <v/>
      </c>
      <c r="FH45" s="402">
        <f>IF(FH$20&lt;=DispoMonth,DevSpend!FH$101,0)</f>
        <v/>
      </c>
      <c r="FI45" s="402">
        <f>IF(FI$20&lt;=DispoMonth,DevSpend!FI$101,0)</f>
        <v/>
      </c>
      <c r="FJ45" s="402">
        <f>IF(FJ$20&lt;=DispoMonth,DevSpend!FJ$101,0)</f>
        <v/>
      </c>
      <c r="FK45" s="402">
        <f>IF(FK$20&lt;=DispoMonth,DevSpend!FK$101,0)</f>
        <v/>
      </c>
      <c r="FL45" s="402">
        <f>IF(FL$20&lt;=DispoMonth,DevSpend!FL$101,0)</f>
        <v/>
      </c>
      <c r="FM45" s="402">
        <f>IF(FM$20&lt;=DispoMonth,DevSpend!FM$101,0)</f>
        <v/>
      </c>
      <c r="FN45" s="402">
        <f>IF(FN$20&lt;=DispoMonth,DevSpend!FN$101,0)</f>
        <v/>
      </c>
      <c r="FO45" s="402">
        <f>IF(FO$20&lt;=DispoMonth,DevSpend!FO$101,0)</f>
        <v/>
      </c>
      <c r="FP45" s="402">
        <f>IF(FP$20&lt;=DispoMonth,DevSpend!FP$101,0)</f>
        <v/>
      </c>
      <c r="FQ45" s="402">
        <f>IF(FQ$20&lt;=DispoMonth,DevSpend!FQ$101,0)</f>
        <v/>
      </c>
      <c r="FR45" s="402">
        <f>IF(FR$20&lt;=DispoMonth,DevSpend!FR$101,0)</f>
        <v/>
      </c>
      <c r="FS45" s="402">
        <f>IF(FS$20&lt;=DispoMonth,DevSpend!FS$101,0)</f>
        <v/>
      </c>
      <c r="FT45" s="402">
        <f>IF(FT$20&lt;=DispoMonth,DevSpend!FT$101,0)</f>
        <v/>
      </c>
      <c r="FU45" s="402">
        <f>IF(FU$20&lt;=DispoMonth,DevSpend!FU$101,0)</f>
        <v/>
      </c>
      <c r="FV45" s="402">
        <f>IF(FV$20&lt;=DispoMonth,DevSpend!FV$101,0)</f>
        <v/>
      </c>
      <c r="FW45" s="402">
        <f>IF(FW$20&lt;=DispoMonth,DevSpend!FW$101,0)</f>
        <v/>
      </c>
      <c r="FX45" s="402">
        <f>IF(FX$20&lt;=DispoMonth,DevSpend!FX$101,0)</f>
        <v/>
      </c>
      <c r="FY45" s="402">
        <f>IF(FY$20&lt;=DispoMonth,DevSpend!FY$101,0)</f>
        <v/>
      </c>
      <c r="FZ45" s="402">
        <f>IF(FZ$20&lt;=DispoMonth,DevSpend!FZ$101,0)</f>
        <v/>
      </c>
      <c r="GA45" s="402">
        <f>IF(GA$20&lt;=DispoMonth,DevSpend!GA$101,0)</f>
        <v/>
      </c>
      <c r="GB45" s="402">
        <f>IF(GB$20&lt;=DispoMonth,DevSpend!GB$101,0)</f>
        <v/>
      </c>
      <c r="GC45" s="402">
        <f>IF(GC$20&lt;=DispoMonth,DevSpend!GC$101,0)</f>
        <v/>
      </c>
      <c r="GD45" s="402">
        <f>IF(GD$20&lt;=DispoMonth,DevSpend!GD$101,0)</f>
        <v/>
      </c>
      <c r="GE45" s="402">
        <f>IF(GE$20&lt;=DispoMonth,DevSpend!GE$101,0)</f>
        <v/>
      </c>
      <c r="GF45" s="402">
        <f>IF(GF$20&lt;=DispoMonth,DevSpend!GF$101,0)</f>
        <v/>
      </c>
      <c r="GG45" s="402">
        <f>IF(GG$20&lt;=DispoMonth,DevSpend!GG$101,0)</f>
        <v/>
      </c>
      <c r="GH45" s="402">
        <f>IF(GH$20&lt;=DispoMonth,DevSpend!GH$101,0)</f>
        <v/>
      </c>
      <c r="GI45" s="402">
        <f>IF(GI$20&lt;=DispoMonth,DevSpend!GI$101,0)</f>
        <v/>
      </c>
      <c r="GJ45" s="402">
        <f>IF(GJ$20&lt;=DispoMonth,DevSpend!GJ$101,0)</f>
        <v/>
      </c>
      <c r="GK45" s="402">
        <f>IF(GK$20&lt;=DispoMonth,DevSpend!GK$101,0)</f>
        <v/>
      </c>
      <c r="GL45" s="402">
        <f>IF(GL$20&lt;=DispoMonth,DevSpend!GL$101,0)</f>
        <v/>
      </c>
      <c r="GM45" s="402">
        <f>IF(GM$20&lt;=DispoMonth,DevSpend!GM$101,0)</f>
        <v/>
      </c>
      <c r="GN45" s="402">
        <f>IF(GN$20&lt;=DispoMonth,DevSpend!GN$101,0)</f>
        <v/>
      </c>
      <c r="GO45" s="402">
        <f>IF(GO$20&lt;=DispoMonth,DevSpend!GO$101,0)</f>
        <v/>
      </c>
      <c r="GP45" s="402">
        <f>IF(GP$20&lt;=DispoMonth,DevSpend!GP$101,0)</f>
        <v/>
      </c>
      <c r="GQ45" s="402">
        <f>IF(GQ$20&lt;=DispoMonth,DevSpend!GQ$101,0)</f>
        <v/>
      </c>
      <c r="GR45" s="402">
        <f>IF(GR$20&lt;=DispoMonth,DevSpend!GR$101,0)</f>
        <v/>
      </c>
      <c r="GS45" s="402">
        <f>IF(GS$20&lt;=DispoMonth,DevSpend!GS$101,0)</f>
        <v/>
      </c>
      <c r="GT45" s="402">
        <f>IF(GT$20&lt;=DispoMonth,DevSpend!GT$101,0)</f>
        <v/>
      </c>
      <c r="GU45" s="402">
        <f>IF(GU$20&lt;=DispoMonth,DevSpend!GU$101,0)</f>
        <v/>
      </c>
      <c r="GV45" s="402">
        <f>IF(GV$20&lt;=DispoMonth,DevSpend!GV$101,0)</f>
        <v/>
      </c>
      <c r="GW45" s="402">
        <f>IF(GW$20&lt;=DispoMonth,DevSpend!GW$101,0)</f>
        <v/>
      </c>
      <c r="GX45" s="402">
        <f>IF(GX$20&lt;=DispoMonth,DevSpend!GX$101,0)</f>
        <v/>
      </c>
      <c r="GY45" s="402">
        <f>IF(GY$20&lt;=DispoMonth,DevSpend!GY$101,0)</f>
        <v/>
      </c>
      <c r="GZ45" s="402">
        <f>IF(GZ$20&lt;=DispoMonth,DevSpend!GZ$101,0)</f>
        <v/>
      </c>
      <c r="HA45" s="402">
        <f>IF(HA$20&lt;=DispoMonth,DevSpend!HA$101,0)</f>
        <v/>
      </c>
      <c r="HB45" s="402">
        <f>IF(HB$20&lt;=DispoMonth,DevSpend!HB$101,0)</f>
        <v/>
      </c>
      <c r="HC45" s="402">
        <f>IF(HC$20&lt;=DispoMonth,DevSpend!HC$101,0)</f>
        <v/>
      </c>
      <c r="HD45" s="402">
        <f>IF(HD$20&lt;=DispoMonth,DevSpend!HD$101,0)</f>
        <v/>
      </c>
      <c r="HE45" s="402">
        <f>IF(HE$20&lt;=DispoMonth,DevSpend!HE$101,0)</f>
        <v/>
      </c>
      <c r="HF45" s="402">
        <f>IF(HF$20&lt;=DispoMonth,DevSpend!HF$101,0)</f>
        <v/>
      </c>
      <c r="HG45" s="402">
        <f>IF(HG$20&lt;=DispoMonth,DevSpend!HG$101,0)</f>
        <v/>
      </c>
      <c r="HH45" s="402">
        <f>IF(HH$20&lt;=DispoMonth,DevSpend!HH$101,0)</f>
        <v/>
      </c>
      <c r="HI45" s="402">
        <f>IF(HI$20&lt;=DispoMonth,DevSpend!HI$101,0)</f>
        <v/>
      </c>
      <c r="HJ45" s="402">
        <f>IF(HJ$20&lt;=DispoMonth,DevSpend!HJ$101,0)</f>
        <v/>
      </c>
      <c r="HK45" s="402">
        <f>IF(HK$20&lt;=DispoMonth,DevSpend!HK$101,0)</f>
        <v/>
      </c>
      <c r="HL45" s="402">
        <f>IF(HL$20&lt;=DispoMonth,DevSpend!HL$101,0)</f>
        <v/>
      </c>
      <c r="HM45" s="402">
        <f>IF(HM$20&lt;=DispoMonth,DevSpend!HM$101,0)</f>
        <v/>
      </c>
      <c r="HN45" s="402">
        <f>IF(HN$20&lt;=DispoMonth,DevSpend!HN$101,0)</f>
        <v/>
      </c>
      <c r="HO45" s="402">
        <f>IF(HO$20&lt;=DispoMonth,DevSpend!HO$101,0)</f>
        <v/>
      </c>
      <c r="HP45" s="402">
        <f>IF(HP$20&lt;=DispoMonth,DevSpend!HP$101,0)</f>
        <v/>
      </c>
      <c r="HQ45" s="402">
        <f>IF(HQ$20&lt;=DispoMonth,DevSpend!HQ$101,0)</f>
        <v/>
      </c>
      <c r="HR45" s="402">
        <f>IF(HR$20&lt;=DispoMonth,DevSpend!HR$101,0)</f>
        <v/>
      </c>
      <c r="HS45" s="402">
        <f>IF(HS$20&lt;=DispoMonth,DevSpend!HS$101,0)</f>
        <v/>
      </c>
      <c r="HT45" s="402">
        <f>IF(HT$20&lt;=DispoMonth,DevSpend!HT$101,0)</f>
        <v/>
      </c>
      <c r="HU45" s="402">
        <f>IF(HU$20&lt;=DispoMonth,DevSpend!HU$101,0)</f>
        <v/>
      </c>
      <c r="HV45" s="402">
        <f>IF(HV$20&lt;=DispoMonth,DevSpend!HV$101,0)</f>
        <v/>
      </c>
      <c r="HW45" s="402">
        <f>IF(HW$20&lt;=DispoMonth,DevSpend!HW$101,0)</f>
        <v/>
      </c>
      <c r="HX45" s="402">
        <f>IF(HX$20&lt;=DispoMonth,DevSpend!HX$101,0)</f>
        <v/>
      </c>
      <c r="HY45" s="402">
        <f>IF(HY$20&lt;=DispoMonth,DevSpend!HY$101,0)</f>
        <v/>
      </c>
      <c r="HZ45" s="402">
        <f>IF(HZ$20&lt;=DispoMonth,DevSpend!HZ$101,0)</f>
        <v/>
      </c>
      <c r="IA45" s="402">
        <f>IF(IA$20&lt;=DispoMonth,DevSpend!IA$101,0)</f>
        <v/>
      </c>
      <c r="IB45" s="402">
        <f>IF(IB$20&lt;=DispoMonth,DevSpend!IB$101,0)</f>
        <v/>
      </c>
      <c r="IC45" s="402">
        <f>IF(IC$20&lt;=DispoMonth,DevSpend!IC$101,0)</f>
        <v/>
      </c>
      <c r="ID45" s="402">
        <f>IF(ID$20&lt;=DispoMonth,DevSpend!ID$101,0)</f>
        <v/>
      </c>
      <c r="IE45" s="402">
        <f>IF(IE$20&lt;=DispoMonth,DevSpend!IE$101,0)</f>
        <v/>
      </c>
      <c r="IF45" s="402">
        <f>IF(IF$20&lt;=DispoMonth,DevSpend!IF$101,0)</f>
        <v/>
      </c>
      <c r="IG45" s="402">
        <f>IF(IG$20&lt;=DispoMonth,DevSpend!IG$101,0)</f>
        <v/>
      </c>
      <c r="IH45" s="402">
        <f>IF(IH$20&lt;=DispoMonth,DevSpend!IH$101,0)</f>
        <v/>
      </c>
      <c r="II45" s="402">
        <f>IF(II$20&lt;=DispoMonth,DevSpend!II$101,0)</f>
        <v/>
      </c>
      <c r="IJ45" s="402">
        <f>IF(IJ$20&lt;=DispoMonth,DevSpend!IJ$101,0)</f>
        <v/>
      </c>
      <c r="IK45" s="402">
        <f>IF(IK$20&lt;=DispoMonth,DevSpend!IK$101,0)</f>
        <v/>
      </c>
      <c r="IL45" s="402">
        <f>IF(IL$20&lt;=DispoMonth,DevSpend!IL$101,0)</f>
        <v/>
      </c>
      <c r="IM45" s="402">
        <f>IF(IM$20&lt;=DispoMonth,DevSpend!IM$101,0)</f>
        <v/>
      </c>
      <c r="IN45" s="402">
        <f>IF(IN$20&lt;=DispoMonth,DevSpend!IN$101,0)</f>
        <v/>
      </c>
      <c r="IO45" s="402">
        <f>IF(IO$20&lt;=DispoMonth,DevSpend!IO$101,0)</f>
        <v/>
      </c>
      <c r="IP45" s="402">
        <f>IF(IP$20&lt;=DispoMonth,DevSpend!IP$101,0)</f>
        <v/>
      </c>
      <c r="IQ45" s="402">
        <f>IF(IQ$20&lt;=DispoMonth,DevSpend!IQ$101,0)</f>
        <v/>
      </c>
      <c r="IR45" s="402">
        <f>IF(IR$20&lt;=DispoMonth,DevSpend!IR$101,0)</f>
        <v/>
      </c>
      <c r="IS45" s="402">
        <f>IF(IS$20&lt;=DispoMonth,DevSpend!IS$101,0)</f>
        <v/>
      </c>
      <c r="IT45" s="402">
        <f>IF(IT$20&lt;=DispoMonth,DevSpend!IT$101,0)</f>
        <v/>
      </c>
      <c r="IU45" s="402">
        <f>IF(IU$20&lt;=DispoMonth,DevSpend!IU$101,0)</f>
        <v/>
      </c>
      <c r="IV45" s="402">
        <f>IF(IV$20&lt;=DispoMonth,DevSpend!IV$101,0)</f>
        <v/>
      </c>
      <c r="IW45" s="402">
        <f>IF(IW$20&lt;=DispoMonth,DevSpend!IW$101,0)</f>
        <v/>
      </c>
      <c r="IX45" s="402">
        <f>IF(IX$20&lt;=DispoMonth,DevSpend!IX$101,0)</f>
        <v/>
      </c>
      <c r="IY45" s="402">
        <f>IF(IY$20&lt;=DispoMonth,DevSpend!IY$101,0)</f>
        <v/>
      </c>
      <c r="IZ45" s="402">
        <f>IF(IZ$20&lt;=DispoMonth,DevSpend!IZ$101,0)</f>
        <v/>
      </c>
      <c r="JA45" s="402">
        <f>IF(JA$20&lt;=DispoMonth,DevSpend!JA$101,0)</f>
        <v/>
      </c>
      <c r="JB45" s="402">
        <f>IF(JB$20&lt;=DispoMonth,DevSpend!JB$101,0)</f>
        <v/>
      </c>
      <c r="JC45" s="402">
        <f>IF(JC$20&lt;=DispoMonth,DevSpend!JC$101,0)</f>
        <v/>
      </c>
      <c r="JD45" s="402">
        <f>IF(JD$20&lt;=DispoMonth,DevSpend!JD$101,0)</f>
        <v/>
      </c>
      <c r="JE45" s="402">
        <f>IF(JE$20&lt;=DispoMonth,DevSpend!JE$101,0)</f>
        <v/>
      </c>
      <c r="JF45" s="402">
        <f>IF(JF$20&lt;=DispoMonth,DevSpend!JF$101,0)</f>
        <v/>
      </c>
      <c r="JG45" s="402">
        <f>IF(JG$20&lt;=DispoMonth,DevSpend!JG$101,0)</f>
        <v/>
      </c>
      <c r="JH45" s="402">
        <f>IF(JH$20&lt;=DispoMonth,DevSpend!JH$101,0)</f>
        <v/>
      </c>
      <c r="JI45" s="402">
        <f>IF(JI$20&lt;=DispoMonth,DevSpend!JI$101,0)</f>
        <v/>
      </c>
      <c r="JJ45" s="402">
        <f>IF(JJ$20&lt;=DispoMonth,DevSpend!JJ$101,0)</f>
        <v/>
      </c>
      <c r="JK45" s="402">
        <f>IF(JK$20&lt;=DispoMonth,DevSpend!JK$101,0)</f>
        <v/>
      </c>
      <c r="JL45" s="402">
        <f>IF(JL$20&lt;=DispoMonth,DevSpend!JL$101,0)</f>
        <v/>
      </c>
      <c r="JM45" s="402">
        <f>IF(JM$20&lt;=DispoMonth,DevSpend!JM$101,0)</f>
        <v/>
      </c>
      <c r="JN45" s="402">
        <f>IF(JN$20&lt;=DispoMonth,DevSpend!JN$101,0)</f>
        <v/>
      </c>
      <c r="JO45" s="402">
        <f>IF(JO$20&lt;=DispoMonth,DevSpend!JO$101,0)</f>
        <v/>
      </c>
      <c r="JP45" s="402">
        <f>IF(JP$20&lt;=DispoMonth,DevSpend!JP$101,0)</f>
        <v/>
      </c>
      <c r="JQ45" s="402">
        <f>IF(JQ$20&lt;=DispoMonth,DevSpend!JQ$101,0)</f>
        <v/>
      </c>
      <c r="JR45" s="402">
        <f>IF(JR$20&lt;=DispoMonth,DevSpend!JR$101,0)</f>
        <v/>
      </c>
      <c r="JS45" s="402">
        <f>IF(JS$20&lt;=DispoMonth,DevSpend!JS$101,0)</f>
        <v/>
      </c>
      <c r="JT45" s="402">
        <f>IF(JT$20&lt;=DispoMonth,DevSpend!JT$101,0)</f>
        <v/>
      </c>
      <c r="JU45" s="402">
        <f>IF(JU$20&lt;=DispoMonth,DevSpend!JU$101,0)</f>
        <v/>
      </c>
      <c r="JV45" s="402">
        <f>IF(JV$20&lt;=DispoMonth,DevSpend!JV$101,0)</f>
        <v/>
      </c>
      <c r="JW45" s="402">
        <f>IF(JW$20&lt;=DispoMonth,DevSpend!JW$101,0)</f>
        <v/>
      </c>
      <c r="JX45" s="402">
        <f>IF(JX$20&lt;=DispoMonth,DevSpend!JX$101,0)</f>
        <v/>
      </c>
      <c r="JY45" s="402">
        <f>IF(JY$20&lt;=DispoMonth,DevSpend!JY$101,0)</f>
        <v/>
      </c>
      <c r="JZ45" s="402">
        <f>IF(JZ$20&lt;=DispoMonth,DevSpend!JZ$101,0)</f>
        <v/>
      </c>
      <c r="KA45" s="402">
        <f>IF(KA$20&lt;=DispoMonth,DevSpend!KA$101,0)</f>
        <v/>
      </c>
      <c r="KB45" s="402">
        <f>IF(KB$20&lt;=DispoMonth,DevSpend!KB$101,0)</f>
        <v/>
      </c>
      <c r="KC45" s="402">
        <f>IF(KC$20&lt;=DispoMonth,DevSpend!KC$101,0)</f>
        <v/>
      </c>
      <c r="KD45" s="402">
        <f>IF(KD$20&lt;=DispoMonth,DevSpend!KD$101,0)</f>
        <v/>
      </c>
      <c r="KE45" s="402">
        <f>IF(KE$20&lt;=DispoMonth,DevSpend!KE$101,0)</f>
        <v/>
      </c>
      <c r="KF45" s="402">
        <f>IF(KF$20&lt;=DispoMonth,DevSpend!KF$101,0)</f>
        <v/>
      </c>
      <c r="KG45" s="402">
        <f>IF(KG$20&lt;=DispoMonth,DevSpend!KG$101,0)</f>
        <v/>
      </c>
      <c r="KH45" s="402">
        <f>IF(KH$20&lt;=DispoMonth,DevSpend!KH$101,0)</f>
        <v/>
      </c>
      <c r="KI45" s="402">
        <f>IF(KI$20&lt;=DispoMonth,DevSpend!KI$101,0)</f>
        <v/>
      </c>
      <c r="KJ45" s="402">
        <f>IF(KJ$20&lt;=DispoMonth,DevSpend!KJ$101,0)</f>
        <v/>
      </c>
      <c r="KK45" s="402">
        <f>IF(KK$20&lt;=DispoMonth,DevSpend!KK$101,0)</f>
        <v/>
      </c>
      <c r="KL45" s="402">
        <f>IF(KL$20&lt;=DispoMonth,DevSpend!KL$101,0)</f>
        <v/>
      </c>
      <c r="KM45" s="402">
        <f>IF(KM$20&lt;=DispoMonth,DevSpend!KM$101,0)</f>
        <v/>
      </c>
      <c r="KN45" s="402">
        <f>IF(KN$20&lt;=DispoMonth,DevSpend!KN$101,0)</f>
        <v/>
      </c>
      <c r="KO45" s="402">
        <f>IF(KO$20&lt;=DispoMonth,DevSpend!KO$101,0)</f>
        <v/>
      </c>
      <c r="KP45" s="402">
        <f>IF(KP$20&lt;=DispoMonth,DevSpend!KP$101,0)</f>
        <v/>
      </c>
      <c r="KQ45" s="402">
        <f>IF(KQ$20&lt;=DispoMonth,DevSpend!KQ$101,0)</f>
        <v/>
      </c>
      <c r="KR45" s="402">
        <f>IF(KR$20&lt;=DispoMonth,DevSpend!KR$101,0)</f>
        <v/>
      </c>
      <c r="KS45" s="402">
        <f>IF(KS$20&lt;=DispoMonth,DevSpend!KS$101,0)</f>
        <v/>
      </c>
      <c r="KT45" s="402">
        <f>IF(KT$20&lt;=DispoMonth,DevSpend!KT$101,0)</f>
        <v/>
      </c>
      <c r="KU45" s="402">
        <f>IF(KU$20&lt;=DispoMonth,DevSpend!KU$101,0)</f>
        <v/>
      </c>
      <c r="KV45" s="402">
        <f>IF(KV$20&lt;=DispoMonth,DevSpend!KV$101,0)</f>
        <v/>
      </c>
      <c r="KW45" s="402">
        <f>IF(KW$20&lt;=DispoMonth,DevSpend!KW$101,0)</f>
        <v/>
      </c>
      <c r="KX45" s="402">
        <f>IF(KX$20&lt;=DispoMonth,DevSpend!KX$101,0)</f>
        <v/>
      </c>
      <c r="KY45" s="402">
        <f>IF(KY$20&lt;=DispoMonth,DevSpend!KY$101,0)</f>
        <v/>
      </c>
      <c r="KZ45" s="402">
        <f>IF(KZ$20&lt;=DispoMonth,DevSpend!KZ$101,0)</f>
        <v/>
      </c>
      <c r="LA45" s="402">
        <f>IF(LA$20&lt;=DispoMonth,DevSpend!LA$101,0)</f>
        <v/>
      </c>
      <c r="LB45" s="402">
        <f>IF(LB$20&lt;=DispoMonth,DevSpend!LB$101,0)</f>
        <v/>
      </c>
      <c r="LC45" s="402">
        <f>IF(LC$20&lt;=DispoMonth,DevSpend!LC$101,0)</f>
        <v/>
      </c>
      <c r="LD45" s="402">
        <f>IF(LD$20&lt;=DispoMonth,DevSpend!LD$101,0)</f>
        <v/>
      </c>
      <c r="LE45" s="402">
        <f>IF(LE$20&lt;=DispoMonth,DevSpend!LE$101,0)</f>
        <v/>
      </c>
      <c r="LF45" s="402">
        <f>IF(LF$20&lt;=DispoMonth,DevSpend!LF$101,0)</f>
        <v/>
      </c>
      <c r="LG45" s="402">
        <f>IF(LG$20&lt;=DispoMonth,DevSpend!LG$101,0)</f>
        <v/>
      </c>
      <c r="LH45" s="402">
        <f>IF(LH$20&lt;=DispoMonth,DevSpend!LH$101,0)</f>
        <v/>
      </c>
      <c r="LI45" s="402">
        <f>IF(LI$20&lt;=DispoMonth,DevSpend!LI$101,0)</f>
        <v/>
      </c>
      <c r="LJ45" s="402">
        <f>IF(LJ$20&lt;=DispoMonth,DevSpend!LJ$101,0)</f>
        <v/>
      </c>
      <c r="LK45" s="402">
        <f>IF(LK$20&lt;=DispoMonth,DevSpend!LK$101,0)</f>
        <v/>
      </c>
      <c r="LL45" s="402">
        <f>IF(LL$20&lt;=DispoMonth,DevSpend!LL$101,0)</f>
        <v/>
      </c>
      <c r="LM45" s="402">
        <f>IF(LM$20&lt;=DispoMonth,DevSpend!LM$101,0)</f>
        <v/>
      </c>
      <c r="LN45" s="402">
        <f>IF(LN$20&lt;=DispoMonth,DevSpend!LN$101,0)</f>
        <v/>
      </c>
      <c r="LO45" s="402">
        <f>IF(LO$20&lt;=DispoMonth,DevSpend!LO$101,0)</f>
        <v/>
      </c>
      <c r="LP45" s="402">
        <f>IF(LP$20&lt;=DispoMonth,DevSpend!LP$101,0)</f>
        <v/>
      </c>
      <c r="LQ45" s="402">
        <f>IF(LQ$20&lt;=DispoMonth,DevSpend!LQ$101,0)</f>
        <v/>
      </c>
      <c r="LR45" s="402">
        <f>IF(LR$20&lt;=DispoMonth,DevSpend!LR$101,0)</f>
        <v/>
      </c>
      <c r="LS45" s="402">
        <f>IF(LS$20&lt;=DispoMonth,DevSpend!LS$101,0)</f>
        <v/>
      </c>
      <c r="LT45" s="402">
        <f>IF(LT$20&lt;=DispoMonth,DevSpend!LT$101,0)</f>
        <v/>
      </c>
      <c r="LU45" s="402">
        <f>IF(LU$20&lt;=DispoMonth,DevSpend!LU$101,0)</f>
        <v/>
      </c>
      <c r="LV45" s="402">
        <f>IF(LV$20&lt;=DispoMonth,DevSpend!LV$101,0)</f>
        <v/>
      </c>
      <c r="LW45" s="402">
        <f>IF(LW$20&lt;=DispoMonth,DevSpend!LW$101,0)</f>
        <v/>
      </c>
      <c r="LX45" s="402">
        <f>IF(LX$20&lt;=DispoMonth,DevSpend!LX$101,0)</f>
        <v/>
      </c>
      <c r="LY45" s="402">
        <f>IF(LY$20&lt;=DispoMonth,DevSpend!LY$101,0)</f>
        <v/>
      </c>
      <c r="LZ45" s="402">
        <f>IF(LZ$20&lt;=DispoMonth,DevSpend!LZ$101,0)</f>
        <v/>
      </c>
      <c r="MA45" s="402">
        <f>IF(MA$20&lt;=DispoMonth,DevSpend!MA$101,0)</f>
        <v/>
      </c>
      <c r="MB45" s="402">
        <f>IF(MB$20&lt;=DispoMonth,DevSpend!MB$101,0)</f>
        <v/>
      </c>
      <c r="MC45" s="402">
        <f>IF(MC$20&lt;=DispoMonth,DevSpend!MC$101,0)</f>
        <v/>
      </c>
      <c r="MD45" s="402">
        <f>IF(MD$20&lt;=DispoMonth,DevSpend!MD$101,0)</f>
        <v/>
      </c>
      <c r="ME45" s="402">
        <f>IF(ME$20&lt;=DispoMonth,DevSpend!ME$101,0)</f>
        <v/>
      </c>
      <c r="MF45" s="402">
        <f>IF(MF$20&lt;=DispoMonth,DevSpend!MF$101,0)</f>
        <v/>
      </c>
      <c r="MG45" s="402">
        <f>IF(MG$20&lt;=DispoMonth,DevSpend!MG$101,0)</f>
        <v/>
      </c>
      <c r="MH45" s="402">
        <f>IF(MH$20&lt;=DispoMonth,DevSpend!MH$101,0)</f>
        <v/>
      </c>
      <c r="MI45" s="402">
        <f>IF(MI$20&lt;=DispoMonth,DevSpend!MI$101,0)</f>
        <v/>
      </c>
      <c r="MJ45" s="402">
        <f>IF(MJ$20&lt;=DispoMonth,DevSpend!MJ$101,0)</f>
        <v/>
      </c>
      <c r="MK45" s="402">
        <f>IF(MK$20&lt;=DispoMonth,DevSpend!MK$101,0)</f>
        <v/>
      </c>
      <c r="ML45" s="402">
        <f>IF(ML$20&lt;=DispoMonth,DevSpend!ML$101,0)</f>
        <v/>
      </c>
      <c r="MM45" s="402">
        <f>IF(MM$20&lt;=DispoMonth,DevSpend!MM$101,0)</f>
        <v/>
      </c>
      <c r="MN45" s="402">
        <f>IF(MN$20&lt;=DispoMonth,DevSpend!MN$101,0)</f>
        <v/>
      </c>
      <c r="MO45" s="402">
        <f>IF(MO$20&lt;=DispoMonth,DevSpend!MO$101,0)</f>
        <v/>
      </c>
      <c r="MP45" s="402">
        <f>IF(MP$20&lt;=DispoMonth,DevSpend!MP$101,0)</f>
        <v/>
      </c>
      <c r="MQ45" s="402">
        <f>IF(MQ$20&lt;=DispoMonth,DevSpend!MQ$101,0)</f>
        <v/>
      </c>
      <c r="MR45" s="402">
        <f>IF(MR$20&lt;=DispoMonth,DevSpend!MR$101,0)</f>
        <v/>
      </c>
      <c r="MS45" s="402">
        <f>IF(MS$20&lt;=DispoMonth,DevSpend!MS$101,0)</f>
        <v/>
      </c>
      <c r="MT45" s="402">
        <f>IF(MT$20&lt;=DispoMonth,DevSpend!MT$101,0)</f>
        <v/>
      </c>
      <c r="MU45" s="402">
        <f>IF(MU$20&lt;=DispoMonth,DevSpend!MU$101,0)</f>
        <v/>
      </c>
      <c r="MV45" s="402">
        <f>IF(MV$20&lt;=DispoMonth,DevSpend!MV$101,0)</f>
        <v/>
      </c>
      <c r="MW45" s="402">
        <f>IF(MW$20&lt;=DispoMonth,DevSpend!MW$101,0)</f>
        <v/>
      </c>
      <c r="MX45" s="402">
        <f>IF(MX$20&lt;=DispoMonth,DevSpend!MX$101,0)</f>
        <v/>
      </c>
      <c r="MY45" s="402">
        <f>IF(MY$20&lt;=DispoMonth,DevSpend!MY$101,0)</f>
        <v/>
      </c>
      <c r="MZ45" s="402">
        <f>IF(MZ$20&lt;=DispoMonth,DevSpend!MZ$101,0)</f>
        <v/>
      </c>
      <c r="NA45" s="402">
        <f>IF(NA$20&lt;=DispoMonth,DevSpend!NA$101,0)</f>
        <v/>
      </c>
      <c r="NB45" s="402">
        <f>IF(NB$20&lt;=DispoMonth,DevSpend!NB$101,0)</f>
        <v/>
      </c>
      <c r="NC45" s="402">
        <f>IF(NC$20&lt;=DispoMonth,DevSpend!NC$101,0)</f>
        <v/>
      </c>
      <c r="ND45" s="402">
        <f>IF(ND$20&lt;=DispoMonth,DevSpend!ND$101,0)</f>
        <v/>
      </c>
      <c r="NE45" s="402">
        <f>IF(NE$20&lt;=DispoMonth,DevSpend!NE$101,0)</f>
        <v/>
      </c>
      <c r="NF45" s="402">
        <f>IF(NF$20&lt;=DispoMonth,DevSpend!NF$101,0)</f>
        <v/>
      </c>
      <c r="NG45" s="402">
        <f>IF(NG$20&lt;=DispoMonth,DevSpend!NG$101,0)</f>
        <v/>
      </c>
      <c r="NH45" s="402">
        <f>IF(NH$20&lt;=DispoMonth,DevSpend!NH$101,0)</f>
        <v/>
      </c>
      <c r="NI45" s="402">
        <f>IF(NI$20&lt;=DispoMonth,DevSpend!NI$101,0)</f>
        <v/>
      </c>
      <c r="NJ45" s="402">
        <f>IF(NJ$20&lt;=DispoMonth,DevSpend!NJ$101,0)</f>
        <v/>
      </c>
      <c r="NK45" s="402">
        <f>IF(NK$20&lt;=DispoMonth,DevSpend!NK$101,0)</f>
        <v/>
      </c>
      <c r="NL45" s="402">
        <f>IF(NL$20&lt;=DispoMonth,DevSpend!NL$101,0)</f>
        <v/>
      </c>
    </row>
    <row r="46">
      <c r="B46" s="316" t="inlineStr">
        <is>
          <t>Asset Management Fee</t>
        </is>
      </c>
      <c r="D46" s="402">
        <f>SUM(E46:NL46)</f>
        <v/>
      </c>
      <c r="E46" s="402">
        <f>IF(E$20&lt;=DispoMonth,AssetMgmtFeePct*Operating!E$23,0)</f>
        <v/>
      </c>
      <c r="F46" s="402">
        <f>IF(F$20&lt;=DispoMonth,AssetMgmtFeePct*Operating!F$23,0)</f>
        <v/>
      </c>
      <c r="G46" s="402">
        <f>IF(G$20&lt;=DispoMonth,AssetMgmtFeePct*Operating!G$23,0)</f>
        <v/>
      </c>
      <c r="H46" s="402">
        <f>IF(H$20&lt;=DispoMonth,AssetMgmtFeePct*Operating!H$23,0)</f>
        <v/>
      </c>
      <c r="I46" s="402">
        <f>IF(I$20&lt;=DispoMonth,AssetMgmtFeePct*Operating!I$23,0)</f>
        <v/>
      </c>
      <c r="J46" s="402">
        <f>IF(J$20&lt;=DispoMonth,AssetMgmtFeePct*Operating!J$23,0)</f>
        <v/>
      </c>
      <c r="K46" s="402">
        <f>IF(K$20&lt;=DispoMonth,AssetMgmtFeePct*Operating!K$23,0)</f>
        <v/>
      </c>
      <c r="L46" s="402">
        <f>IF(L$20&lt;=DispoMonth,AssetMgmtFeePct*Operating!L$23,0)</f>
        <v/>
      </c>
      <c r="M46" s="402">
        <f>IF(M$20&lt;=DispoMonth,AssetMgmtFeePct*Operating!M$23,0)</f>
        <v/>
      </c>
      <c r="N46" s="402">
        <f>IF(N$20&lt;=DispoMonth,AssetMgmtFeePct*Operating!N$23,0)</f>
        <v/>
      </c>
      <c r="O46" s="402">
        <f>IF(O$20&lt;=DispoMonth,AssetMgmtFeePct*Operating!O$23,0)</f>
        <v/>
      </c>
      <c r="P46" s="402">
        <f>IF(P$20&lt;=DispoMonth,AssetMgmtFeePct*Operating!P$23,0)</f>
        <v/>
      </c>
      <c r="Q46" s="402">
        <f>IF(Q$20&lt;=DispoMonth,AssetMgmtFeePct*Operating!Q$23,0)</f>
        <v/>
      </c>
      <c r="R46" s="402">
        <f>IF(R$20&lt;=DispoMonth,AssetMgmtFeePct*Operating!R$23,0)</f>
        <v/>
      </c>
      <c r="S46" s="402">
        <f>IF(S$20&lt;=DispoMonth,AssetMgmtFeePct*Operating!S$23,0)</f>
        <v/>
      </c>
      <c r="T46" s="402">
        <f>IF(T$20&lt;=DispoMonth,AssetMgmtFeePct*Operating!T$23,0)</f>
        <v/>
      </c>
      <c r="U46" s="402">
        <f>IF(U$20&lt;=DispoMonth,AssetMgmtFeePct*Operating!U$23,0)</f>
        <v/>
      </c>
      <c r="V46" s="402">
        <f>IF(V$20&lt;=DispoMonth,AssetMgmtFeePct*Operating!V$23,0)</f>
        <v/>
      </c>
      <c r="W46" s="402">
        <f>IF(W$20&lt;=DispoMonth,AssetMgmtFeePct*Operating!W$23,0)</f>
        <v/>
      </c>
      <c r="X46" s="402">
        <f>IF(X$20&lt;=DispoMonth,AssetMgmtFeePct*Operating!X$23,0)</f>
        <v/>
      </c>
      <c r="Y46" s="402">
        <f>IF(Y$20&lt;=DispoMonth,AssetMgmtFeePct*Operating!Y$23,0)</f>
        <v/>
      </c>
      <c r="Z46" s="402">
        <f>IF(Z$20&lt;=DispoMonth,AssetMgmtFeePct*Operating!Z$23,0)</f>
        <v/>
      </c>
      <c r="AA46" s="402">
        <f>IF(AA$20&lt;=DispoMonth,AssetMgmtFeePct*Operating!AA$23,0)</f>
        <v/>
      </c>
      <c r="AB46" s="402">
        <f>IF(AB$20&lt;=DispoMonth,AssetMgmtFeePct*Operating!AB$23,0)</f>
        <v/>
      </c>
      <c r="AC46" s="402">
        <f>IF(AC$20&lt;=DispoMonth,AssetMgmtFeePct*Operating!AC$23,0)</f>
        <v/>
      </c>
      <c r="AD46" s="402">
        <f>IF(AD$20&lt;=DispoMonth,AssetMgmtFeePct*Operating!AD$23,0)</f>
        <v/>
      </c>
      <c r="AE46" s="402">
        <f>IF(AE$20&lt;=DispoMonth,AssetMgmtFeePct*Operating!AE$23,0)</f>
        <v/>
      </c>
      <c r="AF46" s="402">
        <f>IF(AF$20&lt;=DispoMonth,AssetMgmtFeePct*Operating!AF$23,0)</f>
        <v/>
      </c>
      <c r="AG46" s="402">
        <f>IF(AG$20&lt;=DispoMonth,AssetMgmtFeePct*Operating!AG$23,0)</f>
        <v/>
      </c>
      <c r="AH46" s="402">
        <f>IF(AH$20&lt;=DispoMonth,AssetMgmtFeePct*Operating!AH$23,0)</f>
        <v/>
      </c>
      <c r="AI46" s="402">
        <f>IF(AI$20&lt;=DispoMonth,AssetMgmtFeePct*Operating!AI$23,0)</f>
        <v/>
      </c>
      <c r="AJ46" s="402">
        <f>IF(AJ$20&lt;=DispoMonth,AssetMgmtFeePct*Operating!AJ$23,0)</f>
        <v/>
      </c>
      <c r="AK46" s="402">
        <f>IF(AK$20&lt;=DispoMonth,AssetMgmtFeePct*Operating!AK$23,0)</f>
        <v/>
      </c>
      <c r="AL46" s="402">
        <f>IF(AL$20&lt;=DispoMonth,AssetMgmtFeePct*Operating!AL$23,0)</f>
        <v/>
      </c>
      <c r="AM46" s="402">
        <f>IF(AM$20&lt;=DispoMonth,AssetMgmtFeePct*Operating!AM$23,0)</f>
        <v/>
      </c>
      <c r="AN46" s="402">
        <f>IF(AN$20&lt;=DispoMonth,AssetMgmtFeePct*Operating!AN$23,0)</f>
        <v/>
      </c>
      <c r="AO46" s="402">
        <f>IF(AO$20&lt;=DispoMonth,AssetMgmtFeePct*Operating!AO$23,0)</f>
        <v/>
      </c>
      <c r="AP46" s="402">
        <f>IF(AP$20&lt;=DispoMonth,AssetMgmtFeePct*Operating!AP$23,0)</f>
        <v/>
      </c>
      <c r="AQ46" s="402">
        <f>IF(AQ$20&lt;=DispoMonth,AssetMgmtFeePct*Operating!AQ$23,0)</f>
        <v/>
      </c>
      <c r="AR46" s="402">
        <f>IF(AR$20&lt;=DispoMonth,AssetMgmtFeePct*Operating!AR$23,0)</f>
        <v/>
      </c>
      <c r="AS46" s="402">
        <f>IF(AS$20&lt;=DispoMonth,AssetMgmtFeePct*Operating!AS$23,0)</f>
        <v/>
      </c>
      <c r="AT46" s="402">
        <f>IF(AT$20&lt;=DispoMonth,AssetMgmtFeePct*Operating!AT$23,0)</f>
        <v/>
      </c>
      <c r="AU46" s="402">
        <f>IF(AU$20&lt;=DispoMonth,AssetMgmtFeePct*Operating!AU$23,0)</f>
        <v/>
      </c>
      <c r="AV46" s="402">
        <f>IF(AV$20&lt;=DispoMonth,AssetMgmtFeePct*Operating!AV$23,0)</f>
        <v/>
      </c>
      <c r="AW46" s="402">
        <f>IF(AW$20&lt;=DispoMonth,AssetMgmtFeePct*Operating!AW$23,0)</f>
        <v/>
      </c>
      <c r="AX46" s="402">
        <f>IF(AX$20&lt;=DispoMonth,AssetMgmtFeePct*Operating!AX$23,0)</f>
        <v/>
      </c>
      <c r="AY46" s="402">
        <f>IF(AY$20&lt;=DispoMonth,AssetMgmtFeePct*Operating!AY$23,0)</f>
        <v/>
      </c>
      <c r="AZ46" s="402">
        <f>IF(AZ$20&lt;=DispoMonth,AssetMgmtFeePct*Operating!AZ$23,0)</f>
        <v/>
      </c>
      <c r="BA46" s="402">
        <f>IF(BA$20&lt;=DispoMonth,AssetMgmtFeePct*Operating!BA$23,0)</f>
        <v/>
      </c>
      <c r="BB46" s="402">
        <f>IF(BB$20&lt;=DispoMonth,AssetMgmtFeePct*Operating!BB$23,0)</f>
        <v/>
      </c>
      <c r="BC46" s="402">
        <f>IF(BC$20&lt;=DispoMonth,AssetMgmtFeePct*Operating!BC$23,0)</f>
        <v/>
      </c>
      <c r="BD46" s="402">
        <f>IF(BD$20&lt;=DispoMonth,AssetMgmtFeePct*Operating!BD$23,0)</f>
        <v/>
      </c>
      <c r="BE46" s="402">
        <f>IF(BE$20&lt;=DispoMonth,AssetMgmtFeePct*Operating!BE$23,0)</f>
        <v/>
      </c>
      <c r="BF46" s="402">
        <f>IF(BF$20&lt;=DispoMonth,AssetMgmtFeePct*Operating!BF$23,0)</f>
        <v/>
      </c>
      <c r="BG46" s="402">
        <f>IF(BG$20&lt;=DispoMonth,AssetMgmtFeePct*Operating!BG$23,0)</f>
        <v/>
      </c>
      <c r="BH46" s="402">
        <f>IF(BH$20&lt;=DispoMonth,AssetMgmtFeePct*Operating!BH$23,0)</f>
        <v/>
      </c>
      <c r="BI46" s="402">
        <f>IF(BI$20&lt;=DispoMonth,AssetMgmtFeePct*Operating!BI$23,0)</f>
        <v/>
      </c>
      <c r="BJ46" s="402">
        <f>IF(BJ$20&lt;=DispoMonth,AssetMgmtFeePct*Operating!BJ$23,0)</f>
        <v/>
      </c>
      <c r="BK46" s="402">
        <f>IF(BK$20&lt;=DispoMonth,AssetMgmtFeePct*Operating!BK$23,0)</f>
        <v/>
      </c>
      <c r="BL46" s="402">
        <f>IF(BL$20&lt;=DispoMonth,AssetMgmtFeePct*Operating!BL$23,0)</f>
        <v/>
      </c>
      <c r="BM46" s="402">
        <f>IF(BM$20&lt;=DispoMonth,AssetMgmtFeePct*Operating!BM$23,0)</f>
        <v/>
      </c>
      <c r="BN46" s="402">
        <f>IF(BN$20&lt;=DispoMonth,AssetMgmtFeePct*Operating!BN$23,0)</f>
        <v/>
      </c>
      <c r="BO46" s="402">
        <f>IF(BO$20&lt;=DispoMonth,AssetMgmtFeePct*Operating!BO$23,0)</f>
        <v/>
      </c>
      <c r="BP46" s="402">
        <f>IF(BP$20&lt;=DispoMonth,AssetMgmtFeePct*Operating!BP$23,0)</f>
        <v/>
      </c>
      <c r="BQ46" s="402">
        <f>IF(BQ$20&lt;=DispoMonth,AssetMgmtFeePct*Operating!BQ$23,0)</f>
        <v/>
      </c>
      <c r="BR46" s="402">
        <f>IF(BR$20&lt;=DispoMonth,AssetMgmtFeePct*Operating!BR$23,0)</f>
        <v/>
      </c>
      <c r="BS46" s="402">
        <f>IF(BS$20&lt;=DispoMonth,AssetMgmtFeePct*Operating!BS$23,0)</f>
        <v/>
      </c>
      <c r="BT46" s="402">
        <f>IF(BT$20&lt;=DispoMonth,AssetMgmtFeePct*Operating!BT$23,0)</f>
        <v/>
      </c>
      <c r="BU46" s="402">
        <f>IF(BU$20&lt;=DispoMonth,AssetMgmtFeePct*Operating!BU$23,0)</f>
        <v/>
      </c>
      <c r="BV46" s="402">
        <f>IF(BV$20&lt;=DispoMonth,AssetMgmtFeePct*Operating!BV$23,0)</f>
        <v/>
      </c>
      <c r="BW46" s="402">
        <f>IF(BW$20&lt;=DispoMonth,AssetMgmtFeePct*Operating!BW$23,0)</f>
        <v/>
      </c>
      <c r="BX46" s="402">
        <f>IF(BX$20&lt;=DispoMonth,AssetMgmtFeePct*Operating!BX$23,0)</f>
        <v/>
      </c>
      <c r="BY46" s="402">
        <f>IF(BY$20&lt;=DispoMonth,AssetMgmtFeePct*Operating!BY$23,0)</f>
        <v/>
      </c>
      <c r="BZ46" s="402">
        <f>IF(BZ$20&lt;=DispoMonth,AssetMgmtFeePct*Operating!BZ$23,0)</f>
        <v/>
      </c>
      <c r="CA46" s="402">
        <f>IF(CA$20&lt;=DispoMonth,AssetMgmtFeePct*Operating!CA$23,0)</f>
        <v/>
      </c>
      <c r="CB46" s="402">
        <f>IF(CB$20&lt;=DispoMonth,AssetMgmtFeePct*Operating!CB$23,0)</f>
        <v/>
      </c>
      <c r="CC46" s="402">
        <f>IF(CC$20&lt;=DispoMonth,AssetMgmtFeePct*Operating!CC$23,0)</f>
        <v/>
      </c>
      <c r="CD46" s="402">
        <f>IF(CD$20&lt;=DispoMonth,AssetMgmtFeePct*Operating!CD$23,0)</f>
        <v/>
      </c>
      <c r="CE46" s="402">
        <f>IF(CE$20&lt;=DispoMonth,AssetMgmtFeePct*Operating!CE$23,0)</f>
        <v/>
      </c>
      <c r="CF46" s="402">
        <f>IF(CF$20&lt;=DispoMonth,AssetMgmtFeePct*Operating!CF$23,0)</f>
        <v/>
      </c>
      <c r="CG46" s="402">
        <f>IF(CG$20&lt;=DispoMonth,AssetMgmtFeePct*Operating!CG$23,0)</f>
        <v/>
      </c>
      <c r="CH46" s="402">
        <f>IF(CH$20&lt;=DispoMonth,AssetMgmtFeePct*Operating!CH$23,0)</f>
        <v/>
      </c>
      <c r="CI46" s="402">
        <f>IF(CI$20&lt;=DispoMonth,AssetMgmtFeePct*Operating!CI$23,0)</f>
        <v/>
      </c>
      <c r="CJ46" s="402">
        <f>IF(CJ$20&lt;=DispoMonth,AssetMgmtFeePct*Operating!CJ$23,0)</f>
        <v/>
      </c>
      <c r="CK46" s="402">
        <f>IF(CK$20&lt;=DispoMonth,AssetMgmtFeePct*Operating!CK$23,0)</f>
        <v/>
      </c>
      <c r="CL46" s="402">
        <f>IF(CL$20&lt;=DispoMonth,AssetMgmtFeePct*Operating!CL$23,0)</f>
        <v/>
      </c>
      <c r="CM46" s="402">
        <f>IF(CM$20&lt;=DispoMonth,AssetMgmtFeePct*Operating!CM$23,0)</f>
        <v/>
      </c>
      <c r="CN46" s="402">
        <f>IF(CN$20&lt;=DispoMonth,AssetMgmtFeePct*Operating!CN$23,0)</f>
        <v/>
      </c>
      <c r="CO46" s="402">
        <f>IF(CO$20&lt;=DispoMonth,AssetMgmtFeePct*Operating!CO$23,0)</f>
        <v/>
      </c>
      <c r="CP46" s="402">
        <f>IF(CP$20&lt;=DispoMonth,AssetMgmtFeePct*Operating!CP$23,0)</f>
        <v/>
      </c>
      <c r="CQ46" s="402">
        <f>IF(CQ$20&lt;=DispoMonth,AssetMgmtFeePct*Operating!CQ$23,0)</f>
        <v/>
      </c>
      <c r="CR46" s="402">
        <f>IF(CR$20&lt;=DispoMonth,AssetMgmtFeePct*Operating!CR$23,0)</f>
        <v/>
      </c>
      <c r="CS46" s="402">
        <f>IF(CS$20&lt;=DispoMonth,AssetMgmtFeePct*Operating!CS$23,0)</f>
        <v/>
      </c>
      <c r="CT46" s="402">
        <f>IF(CT$20&lt;=DispoMonth,AssetMgmtFeePct*Operating!CT$23,0)</f>
        <v/>
      </c>
      <c r="CU46" s="402">
        <f>IF(CU$20&lt;=DispoMonth,AssetMgmtFeePct*Operating!CU$23,0)</f>
        <v/>
      </c>
      <c r="CV46" s="402">
        <f>IF(CV$20&lt;=DispoMonth,AssetMgmtFeePct*Operating!CV$23,0)</f>
        <v/>
      </c>
      <c r="CW46" s="402">
        <f>IF(CW$20&lt;=DispoMonth,AssetMgmtFeePct*Operating!CW$23,0)</f>
        <v/>
      </c>
      <c r="CX46" s="402">
        <f>IF(CX$20&lt;=DispoMonth,AssetMgmtFeePct*Operating!CX$23,0)</f>
        <v/>
      </c>
      <c r="CY46" s="402">
        <f>IF(CY$20&lt;=DispoMonth,AssetMgmtFeePct*Operating!CY$23,0)</f>
        <v/>
      </c>
      <c r="CZ46" s="402">
        <f>IF(CZ$20&lt;=DispoMonth,AssetMgmtFeePct*Operating!CZ$23,0)</f>
        <v/>
      </c>
      <c r="DA46" s="402">
        <f>IF(DA$20&lt;=DispoMonth,AssetMgmtFeePct*Operating!DA$23,0)</f>
        <v/>
      </c>
      <c r="DB46" s="402">
        <f>IF(DB$20&lt;=DispoMonth,AssetMgmtFeePct*Operating!DB$23,0)</f>
        <v/>
      </c>
      <c r="DC46" s="402">
        <f>IF(DC$20&lt;=DispoMonth,AssetMgmtFeePct*Operating!DC$23,0)</f>
        <v/>
      </c>
      <c r="DD46" s="402">
        <f>IF(DD$20&lt;=DispoMonth,AssetMgmtFeePct*Operating!DD$23,0)</f>
        <v/>
      </c>
      <c r="DE46" s="402">
        <f>IF(DE$20&lt;=DispoMonth,AssetMgmtFeePct*Operating!DE$23,0)</f>
        <v/>
      </c>
      <c r="DF46" s="402">
        <f>IF(DF$20&lt;=DispoMonth,AssetMgmtFeePct*Operating!DF$23,0)</f>
        <v/>
      </c>
      <c r="DG46" s="402">
        <f>IF(DG$20&lt;=DispoMonth,AssetMgmtFeePct*Operating!DG$23,0)</f>
        <v/>
      </c>
      <c r="DH46" s="402">
        <f>IF(DH$20&lt;=DispoMonth,AssetMgmtFeePct*Operating!DH$23,0)</f>
        <v/>
      </c>
      <c r="DI46" s="402">
        <f>IF(DI$20&lt;=DispoMonth,AssetMgmtFeePct*Operating!DI$23,0)</f>
        <v/>
      </c>
      <c r="DJ46" s="402">
        <f>IF(DJ$20&lt;=DispoMonth,AssetMgmtFeePct*Operating!DJ$23,0)</f>
        <v/>
      </c>
      <c r="DK46" s="402">
        <f>IF(DK$20&lt;=DispoMonth,AssetMgmtFeePct*Operating!DK$23,0)</f>
        <v/>
      </c>
      <c r="DL46" s="402">
        <f>IF(DL$20&lt;=DispoMonth,AssetMgmtFeePct*Operating!DL$23,0)</f>
        <v/>
      </c>
      <c r="DM46" s="402">
        <f>IF(DM$20&lt;=DispoMonth,AssetMgmtFeePct*Operating!DM$23,0)</f>
        <v/>
      </c>
      <c r="DN46" s="402">
        <f>IF(DN$20&lt;=DispoMonth,AssetMgmtFeePct*Operating!DN$23,0)</f>
        <v/>
      </c>
      <c r="DO46" s="402">
        <f>IF(DO$20&lt;=DispoMonth,AssetMgmtFeePct*Operating!DO$23,0)</f>
        <v/>
      </c>
      <c r="DP46" s="402">
        <f>IF(DP$20&lt;=DispoMonth,AssetMgmtFeePct*Operating!DP$23,0)</f>
        <v/>
      </c>
      <c r="DQ46" s="402">
        <f>IF(DQ$20&lt;=DispoMonth,AssetMgmtFeePct*Operating!DQ$23,0)</f>
        <v/>
      </c>
      <c r="DR46" s="402">
        <f>IF(DR$20&lt;=DispoMonth,AssetMgmtFeePct*Operating!DR$23,0)</f>
        <v/>
      </c>
      <c r="DS46" s="402">
        <f>IF(DS$20&lt;=DispoMonth,AssetMgmtFeePct*Operating!DS$23,0)</f>
        <v/>
      </c>
      <c r="DT46" s="402">
        <f>IF(DT$20&lt;=DispoMonth,AssetMgmtFeePct*Operating!DT$23,0)</f>
        <v/>
      </c>
      <c r="DU46" s="402">
        <f>IF(DU$20&lt;=DispoMonth,AssetMgmtFeePct*Operating!DU$23,0)</f>
        <v/>
      </c>
      <c r="DV46" s="402">
        <f>IF(DV$20&lt;=DispoMonth,AssetMgmtFeePct*Operating!DV$23,0)</f>
        <v/>
      </c>
      <c r="DW46" s="402">
        <f>IF(DW$20&lt;=DispoMonth,AssetMgmtFeePct*Operating!DW$23,0)</f>
        <v/>
      </c>
      <c r="DX46" s="402">
        <f>IF(DX$20&lt;=DispoMonth,AssetMgmtFeePct*Operating!DX$23,0)</f>
        <v/>
      </c>
      <c r="DY46" s="402">
        <f>IF(DY$20&lt;=DispoMonth,AssetMgmtFeePct*Operating!DY$23,0)</f>
        <v/>
      </c>
      <c r="DZ46" s="402">
        <f>IF(DZ$20&lt;=DispoMonth,AssetMgmtFeePct*Operating!DZ$23,0)</f>
        <v/>
      </c>
      <c r="EA46" s="402">
        <f>IF(EA$20&lt;=DispoMonth,AssetMgmtFeePct*Operating!EA$23,0)</f>
        <v/>
      </c>
      <c r="EB46" s="402">
        <f>IF(EB$20&lt;=DispoMonth,AssetMgmtFeePct*Operating!EB$23,0)</f>
        <v/>
      </c>
      <c r="EC46" s="402">
        <f>IF(EC$20&lt;=DispoMonth,AssetMgmtFeePct*Operating!EC$23,0)</f>
        <v/>
      </c>
      <c r="ED46" s="402">
        <f>IF(ED$20&lt;=DispoMonth,AssetMgmtFeePct*Operating!ED$23,0)</f>
        <v/>
      </c>
      <c r="EE46" s="402">
        <f>IF(EE$20&lt;=DispoMonth,AssetMgmtFeePct*Operating!EE$23,0)</f>
        <v/>
      </c>
      <c r="EF46" s="402">
        <f>IF(EF$20&lt;=DispoMonth,AssetMgmtFeePct*Operating!EF$23,0)</f>
        <v/>
      </c>
      <c r="EG46" s="402">
        <f>IF(EG$20&lt;=DispoMonth,AssetMgmtFeePct*Operating!EG$23,0)</f>
        <v/>
      </c>
      <c r="EH46" s="402">
        <f>IF(EH$20&lt;=DispoMonth,AssetMgmtFeePct*Operating!EH$23,0)</f>
        <v/>
      </c>
      <c r="EI46" s="402">
        <f>IF(EI$20&lt;=DispoMonth,AssetMgmtFeePct*Operating!EI$23,0)</f>
        <v/>
      </c>
      <c r="EJ46" s="402">
        <f>IF(EJ$20&lt;=DispoMonth,AssetMgmtFeePct*Operating!EJ$23,0)</f>
        <v/>
      </c>
      <c r="EK46" s="402">
        <f>IF(EK$20&lt;=DispoMonth,AssetMgmtFeePct*Operating!EK$23,0)</f>
        <v/>
      </c>
      <c r="EL46" s="402">
        <f>IF(EL$20&lt;=DispoMonth,AssetMgmtFeePct*Operating!EL$23,0)</f>
        <v/>
      </c>
      <c r="EM46" s="402">
        <f>IF(EM$20&lt;=DispoMonth,AssetMgmtFeePct*Operating!EM$23,0)</f>
        <v/>
      </c>
      <c r="EN46" s="402">
        <f>IF(EN$20&lt;=DispoMonth,AssetMgmtFeePct*Operating!EN$23,0)</f>
        <v/>
      </c>
      <c r="EO46" s="402">
        <f>IF(EO$20&lt;=DispoMonth,AssetMgmtFeePct*Operating!EO$23,0)</f>
        <v/>
      </c>
      <c r="EP46" s="402">
        <f>IF(EP$20&lt;=DispoMonth,AssetMgmtFeePct*Operating!EP$23,0)</f>
        <v/>
      </c>
      <c r="EQ46" s="402">
        <f>IF(EQ$20&lt;=DispoMonth,AssetMgmtFeePct*Operating!EQ$23,0)</f>
        <v/>
      </c>
      <c r="ER46" s="402">
        <f>IF(ER$20&lt;=DispoMonth,AssetMgmtFeePct*Operating!ER$23,0)</f>
        <v/>
      </c>
      <c r="ES46" s="402">
        <f>IF(ES$20&lt;=DispoMonth,AssetMgmtFeePct*Operating!ES$23,0)</f>
        <v/>
      </c>
      <c r="ET46" s="402">
        <f>IF(ET$20&lt;=DispoMonth,AssetMgmtFeePct*Operating!ET$23,0)</f>
        <v/>
      </c>
      <c r="EU46" s="402">
        <f>IF(EU$20&lt;=DispoMonth,AssetMgmtFeePct*Operating!EU$23,0)</f>
        <v/>
      </c>
      <c r="EV46" s="402">
        <f>IF(EV$20&lt;=DispoMonth,AssetMgmtFeePct*Operating!EV$23,0)</f>
        <v/>
      </c>
      <c r="EW46" s="402">
        <f>IF(EW$20&lt;=DispoMonth,AssetMgmtFeePct*Operating!EW$23,0)</f>
        <v/>
      </c>
      <c r="EX46" s="402">
        <f>IF(EX$20&lt;=DispoMonth,AssetMgmtFeePct*Operating!EX$23,0)</f>
        <v/>
      </c>
      <c r="EY46" s="402">
        <f>IF(EY$20&lt;=DispoMonth,AssetMgmtFeePct*Operating!EY$23,0)</f>
        <v/>
      </c>
      <c r="EZ46" s="402">
        <f>IF(EZ$20&lt;=DispoMonth,AssetMgmtFeePct*Operating!EZ$23,0)</f>
        <v/>
      </c>
      <c r="FA46" s="402">
        <f>IF(FA$20&lt;=DispoMonth,AssetMgmtFeePct*Operating!FA$23,0)</f>
        <v/>
      </c>
      <c r="FB46" s="402">
        <f>IF(FB$20&lt;=DispoMonth,AssetMgmtFeePct*Operating!FB$23,0)</f>
        <v/>
      </c>
      <c r="FC46" s="402">
        <f>IF(FC$20&lt;=DispoMonth,AssetMgmtFeePct*Operating!FC$23,0)</f>
        <v/>
      </c>
      <c r="FD46" s="402">
        <f>IF(FD$20&lt;=DispoMonth,AssetMgmtFeePct*Operating!FD$23,0)</f>
        <v/>
      </c>
      <c r="FE46" s="402">
        <f>IF(FE$20&lt;=DispoMonth,AssetMgmtFeePct*Operating!FE$23,0)</f>
        <v/>
      </c>
      <c r="FF46" s="402">
        <f>IF(FF$20&lt;=DispoMonth,AssetMgmtFeePct*Operating!FF$23,0)</f>
        <v/>
      </c>
      <c r="FG46" s="402">
        <f>IF(FG$20&lt;=DispoMonth,AssetMgmtFeePct*Operating!FG$23,0)</f>
        <v/>
      </c>
      <c r="FH46" s="402">
        <f>IF(FH$20&lt;=DispoMonth,AssetMgmtFeePct*Operating!FH$23,0)</f>
        <v/>
      </c>
      <c r="FI46" s="402">
        <f>IF(FI$20&lt;=DispoMonth,AssetMgmtFeePct*Operating!FI$23,0)</f>
        <v/>
      </c>
      <c r="FJ46" s="402">
        <f>IF(FJ$20&lt;=DispoMonth,AssetMgmtFeePct*Operating!FJ$23,0)</f>
        <v/>
      </c>
      <c r="FK46" s="402">
        <f>IF(FK$20&lt;=DispoMonth,AssetMgmtFeePct*Operating!FK$23,0)</f>
        <v/>
      </c>
      <c r="FL46" s="402">
        <f>IF(FL$20&lt;=DispoMonth,AssetMgmtFeePct*Operating!FL$23,0)</f>
        <v/>
      </c>
      <c r="FM46" s="402">
        <f>IF(FM$20&lt;=DispoMonth,AssetMgmtFeePct*Operating!FM$23,0)</f>
        <v/>
      </c>
      <c r="FN46" s="402">
        <f>IF(FN$20&lt;=DispoMonth,AssetMgmtFeePct*Operating!FN$23,0)</f>
        <v/>
      </c>
      <c r="FO46" s="402">
        <f>IF(FO$20&lt;=DispoMonth,AssetMgmtFeePct*Operating!FO$23,0)</f>
        <v/>
      </c>
      <c r="FP46" s="402">
        <f>IF(FP$20&lt;=DispoMonth,AssetMgmtFeePct*Operating!FP$23,0)</f>
        <v/>
      </c>
      <c r="FQ46" s="402">
        <f>IF(FQ$20&lt;=DispoMonth,AssetMgmtFeePct*Operating!FQ$23,0)</f>
        <v/>
      </c>
      <c r="FR46" s="402">
        <f>IF(FR$20&lt;=DispoMonth,AssetMgmtFeePct*Operating!FR$23,0)</f>
        <v/>
      </c>
      <c r="FS46" s="402">
        <f>IF(FS$20&lt;=DispoMonth,AssetMgmtFeePct*Operating!FS$23,0)</f>
        <v/>
      </c>
      <c r="FT46" s="402">
        <f>IF(FT$20&lt;=DispoMonth,AssetMgmtFeePct*Operating!FT$23,0)</f>
        <v/>
      </c>
      <c r="FU46" s="402">
        <f>IF(FU$20&lt;=DispoMonth,AssetMgmtFeePct*Operating!FU$23,0)</f>
        <v/>
      </c>
      <c r="FV46" s="402">
        <f>IF(FV$20&lt;=DispoMonth,AssetMgmtFeePct*Operating!FV$23,0)</f>
        <v/>
      </c>
      <c r="FW46" s="402">
        <f>IF(FW$20&lt;=DispoMonth,AssetMgmtFeePct*Operating!FW$23,0)</f>
        <v/>
      </c>
      <c r="FX46" s="402">
        <f>IF(FX$20&lt;=DispoMonth,AssetMgmtFeePct*Operating!FX$23,0)</f>
        <v/>
      </c>
      <c r="FY46" s="402">
        <f>IF(FY$20&lt;=DispoMonth,AssetMgmtFeePct*Operating!FY$23,0)</f>
        <v/>
      </c>
      <c r="FZ46" s="402">
        <f>IF(FZ$20&lt;=DispoMonth,AssetMgmtFeePct*Operating!FZ$23,0)</f>
        <v/>
      </c>
      <c r="GA46" s="402">
        <f>IF(GA$20&lt;=DispoMonth,AssetMgmtFeePct*Operating!GA$23,0)</f>
        <v/>
      </c>
      <c r="GB46" s="402">
        <f>IF(GB$20&lt;=DispoMonth,AssetMgmtFeePct*Operating!GB$23,0)</f>
        <v/>
      </c>
      <c r="GC46" s="402">
        <f>IF(GC$20&lt;=DispoMonth,AssetMgmtFeePct*Operating!GC$23,0)</f>
        <v/>
      </c>
      <c r="GD46" s="402">
        <f>IF(GD$20&lt;=DispoMonth,AssetMgmtFeePct*Operating!GD$23,0)</f>
        <v/>
      </c>
      <c r="GE46" s="402">
        <f>IF(GE$20&lt;=DispoMonth,AssetMgmtFeePct*Operating!GE$23,0)</f>
        <v/>
      </c>
      <c r="GF46" s="402">
        <f>IF(GF$20&lt;=DispoMonth,AssetMgmtFeePct*Operating!GF$23,0)</f>
        <v/>
      </c>
      <c r="GG46" s="402">
        <f>IF(GG$20&lt;=DispoMonth,AssetMgmtFeePct*Operating!GG$23,0)</f>
        <v/>
      </c>
      <c r="GH46" s="402">
        <f>IF(GH$20&lt;=DispoMonth,AssetMgmtFeePct*Operating!GH$23,0)</f>
        <v/>
      </c>
      <c r="GI46" s="402">
        <f>IF(GI$20&lt;=DispoMonth,AssetMgmtFeePct*Operating!GI$23,0)</f>
        <v/>
      </c>
      <c r="GJ46" s="402">
        <f>IF(GJ$20&lt;=DispoMonth,AssetMgmtFeePct*Operating!GJ$23,0)</f>
        <v/>
      </c>
      <c r="GK46" s="402">
        <f>IF(GK$20&lt;=DispoMonth,AssetMgmtFeePct*Operating!GK$23,0)</f>
        <v/>
      </c>
      <c r="GL46" s="402">
        <f>IF(GL$20&lt;=DispoMonth,AssetMgmtFeePct*Operating!GL$23,0)</f>
        <v/>
      </c>
      <c r="GM46" s="402">
        <f>IF(GM$20&lt;=DispoMonth,AssetMgmtFeePct*Operating!GM$23,0)</f>
        <v/>
      </c>
      <c r="GN46" s="402">
        <f>IF(GN$20&lt;=DispoMonth,AssetMgmtFeePct*Operating!GN$23,0)</f>
        <v/>
      </c>
      <c r="GO46" s="402">
        <f>IF(GO$20&lt;=DispoMonth,AssetMgmtFeePct*Operating!GO$23,0)</f>
        <v/>
      </c>
      <c r="GP46" s="402">
        <f>IF(GP$20&lt;=DispoMonth,AssetMgmtFeePct*Operating!GP$23,0)</f>
        <v/>
      </c>
      <c r="GQ46" s="402">
        <f>IF(GQ$20&lt;=DispoMonth,AssetMgmtFeePct*Operating!GQ$23,0)</f>
        <v/>
      </c>
      <c r="GR46" s="402">
        <f>IF(GR$20&lt;=DispoMonth,AssetMgmtFeePct*Operating!GR$23,0)</f>
        <v/>
      </c>
      <c r="GS46" s="402">
        <f>IF(GS$20&lt;=DispoMonth,AssetMgmtFeePct*Operating!GS$23,0)</f>
        <v/>
      </c>
      <c r="GT46" s="402">
        <f>IF(GT$20&lt;=DispoMonth,AssetMgmtFeePct*Operating!GT$23,0)</f>
        <v/>
      </c>
      <c r="GU46" s="402">
        <f>IF(GU$20&lt;=DispoMonth,AssetMgmtFeePct*Operating!GU$23,0)</f>
        <v/>
      </c>
      <c r="GV46" s="402">
        <f>IF(GV$20&lt;=DispoMonth,AssetMgmtFeePct*Operating!GV$23,0)</f>
        <v/>
      </c>
      <c r="GW46" s="402">
        <f>IF(GW$20&lt;=DispoMonth,AssetMgmtFeePct*Operating!GW$23,0)</f>
        <v/>
      </c>
      <c r="GX46" s="402">
        <f>IF(GX$20&lt;=DispoMonth,AssetMgmtFeePct*Operating!GX$23,0)</f>
        <v/>
      </c>
      <c r="GY46" s="402">
        <f>IF(GY$20&lt;=DispoMonth,AssetMgmtFeePct*Operating!GY$23,0)</f>
        <v/>
      </c>
      <c r="GZ46" s="402">
        <f>IF(GZ$20&lt;=DispoMonth,AssetMgmtFeePct*Operating!GZ$23,0)</f>
        <v/>
      </c>
      <c r="HA46" s="402">
        <f>IF(HA$20&lt;=DispoMonth,AssetMgmtFeePct*Operating!HA$23,0)</f>
        <v/>
      </c>
      <c r="HB46" s="402">
        <f>IF(HB$20&lt;=DispoMonth,AssetMgmtFeePct*Operating!HB$23,0)</f>
        <v/>
      </c>
      <c r="HC46" s="402">
        <f>IF(HC$20&lt;=DispoMonth,AssetMgmtFeePct*Operating!HC$23,0)</f>
        <v/>
      </c>
      <c r="HD46" s="402">
        <f>IF(HD$20&lt;=DispoMonth,AssetMgmtFeePct*Operating!HD$23,0)</f>
        <v/>
      </c>
      <c r="HE46" s="402">
        <f>IF(HE$20&lt;=DispoMonth,AssetMgmtFeePct*Operating!HE$23,0)</f>
        <v/>
      </c>
      <c r="HF46" s="402">
        <f>IF(HF$20&lt;=DispoMonth,AssetMgmtFeePct*Operating!HF$23,0)</f>
        <v/>
      </c>
      <c r="HG46" s="402">
        <f>IF(HG$20&lt;=DispoMonth,AssetMgmtFeePct*Operating!HG$23,0)</f>
        <v/>
      </c>
      <c r="HH46" s="402">
        <f>IF(HH$20&lt;=DispoMonth,AssetMgmtFeePct*Operating!HH$23,0)</f>
        <v/>
      </c>
      <c r="HI46" s="402">
        <f>IF(HI$20&lt;=DispoMonth,AssetMgmtFeePct*Operating!HI$23,0)</f>
        <v/>
      </c>
      <c r="HJ46" s="402">
        <f>IF(HJ$20&lt;=DispoMonth,AssetMgmtFeePct*Operating!HJ$23,0)</f>
        <v/>
      </c>
      <c r="HK46" s="402">
        <f>IF(HK$20&lt;=DispoMonth,AssetMgmtFeePct*Operating!HK$23,0)</f>
        <v/>
      </c>
      <c r="HL46" s="402">
        <f>IF(HL$20&lt;=DispoMonth,AssetMgmtFeePct*Operating!HL$23,0)</f>
        <v/>
      </c>
      <c r="HM46" s="402">
        <f>IF(HM$20&lt;=DispoMonth,AssetMgmtFeePct*Operating!HM$23,0)</f>
        <v/>
      </c>
      <c r="HN46" s="402">
        <f>IF(HN$20&lt;=DispoMonth,AssetMgmtFeePct*Operating!HN$23,0)</f>
        <v/>
      </c>
      <c r="HO46" s="402">
        <f>IF(HO$20&lt;=DispoMonth,AssetMgmtFeePct*Operating!HO$23,0)</f>
        <v/>
      </c>
      <c r="HP46" s="402">
        <f>IF(HP$20&lt;=DispoMonth,AssetMgmtFeePct*Operating!HP$23,0)</f>
        <v/>
      </c>
      <c r="HQ46" s="402">
        <f>IF(HQ$20&lt;=DispoMonth,AssetMgmtFeePct*Operating!HQ$23,0)</f>
        <v/>
      </c>
      <c r="HR46" s="402">
        <f>IF(HR$20&lt;=DispoMonth,AssetMgmtFeePct*Operating!HR$23,0)</f>
        <v/>
      </c>
      <c r="HS46" s="402">
        <f>IF(HS$20&lt;=DispoMonth,AssetMgmtFeePct*Operating!HS$23,0)</f>
        <v/>
      </c>
      <c r="HT46" s="402">
        <f>IF(HT$20&lt;=DispoMonth,AssetMgmtFeePct*Operating!HT$23,0)</f>
        <v/>
      </c>
      <c r="HU46" s="402">
        <f>IF(HU$20&lt;=DispoMonth,AssetMgmtFeePct*Operating!HU$23,0)</f>
        <v/>
      </c>
      <c r="HV46" s="402">
        <f>IF(HV$20&lt;=DispoMonth,AssetMgmtFeePct*Operating!HV$23,0)</f>
        <v/>
      </c>
      <c r="HW46" s="402">
        <f>IF(HW$20&lt;=DispoMonth,AssetMgmtFeePct*Operating!HW$23,0)</f>
        <v/>
      </c>
      <c r="HX46" s="402">
        <f>IF(HX$20&lt;=DispoMonth,AssetMgmtFeePct*Operating!HX$23,0)</f>
        <v/>
      </c>
      <c r="HY46" s="402">
        <f>IF(HY$20&lt;=DispoMonth,AssetMgmtFeePct*Operating!HY$23,0)</f>
        <v/>
      </c>
      <c r="HZ46" s="402">
        <f>IF(HZ$20&lt;=DispoMonth,AssetMgmtFeePct*Operating!HZ$23,0)</f>
        <v/>
      </c>
      <c r="IA46" s="402">
        <f>IF(IA$20&lt;=DispoMonth,AssetMgmtFeePct*Operating!IA$23,0)</f>
        <v/>
      </c>
      <c r="IB46" s="402">
        <f>IF(IB$20&lt;=DispoMonth,AssetMgmtFeePct*Operating!IB$23,0)</f>
        <v/>
      </c>
      <c r="IC46" s="402">
        <f>IF(IC$20&lt;=DispoMonth,AssetMgmtFeePct*Operating!IC$23,0)</f>
        <v/>
      </c>
      <c r="ID46" s="402">
        <f>IF(ID$20&lt;=DispoMonth,AssetMgmtFeePct*Operating!ID$23,0)</f>
        <v/>
      </c>
      <c r="IE46" s="402">
        <f>IF(IE$20&lt;=DispoMonth,AssetMgmtFeePct*Operating!IE$23,0)</f>
        <v/>
      </c>
      <c r="IF46" s="402">
        <f>IF(IF$20&lt;=DispoMonth,AssetMgmtFeePct*Operating!IF$23,0)</f>
        <v/>
      </c>
      <c r="IG46" s="402">
        <f>IF(IG$20&lt;=DispoMonth,AssetMgmtFeePct*Operating!IG$23,0)</f>
        <v/>
      </c>
      <c r="IH46" s="402">
        <f>IF(IH$20&lt;=DispoMonth,AssetMgmtFeePct*Operating!IH$23,0)</f>
        <v/>
      </c>
      <c r="II46" s="402">
        <f>IF(II$20&lt;=DispoMonth,AssetMgmtFeePct*Operating!II$23,0)</f>
        <v/>
      </c>
      <c r="IJ46" s="402">
        <f>IF(IJ$20&lt;=DispoMonth,AssetMgmtFeePct*Operating!IJ$23,0)</f>
        <v/>
      </c>
      <c r="IK46" s="402">
        <f>IF(IK$20&lt;=DispoMonth,AssetMgmtFeePct*Operating!IK$23,0)</f>
        <v/>
      </c>
      <c r="IL46" s="402">
        <f>IF(IL$20&lt;=DispoMonth,AssetMgmtFeePct*Operating!IL$23,0)</f>
        <v/>
      </c>
      <c r="IM46" s="402">
        <f>IF(IM$20&lt;=DispoMonth,AssetMgmtFeePct*Operating!IM$23,0)</f>
        <v/>
      </c>
      <c r="IN46" s="402">
        <f>IF(IN$20&lt;=DispoMonth,AssetMgmtFeePct*Operating!IN$23,0)</f>
        <v/>
      </c>
      <c r="IO46" s="402">
        <f>IF(IO$20&lt;=DispoMonth,AssetMgmtFeePct*Operating!IO$23,0)</f>
        <v/>
      </c>
      <c r="IP46" s="402">
        <f>IF(IP$20&lt;=DispoMonth,AssetMgmtFeePct*Operating!IP$23,0)</f>
        <v/>
      </c>
      <c r="IQ46" s="402">
        <f>IF(IQ$20&lt;=DispoMonth,AssetMgmtFeePct*Operating!IQ$23,0)</f>
        <v/>
      </c>
      <c r="IR46" s="402">
        <f>IF(IR$20&lt;=DispoMonth,AssetMgmtFeePct*Operating!IR$23,0)</f>
        <v/>
      </c>
      <c r="IS46" s="402">
        <f>IF(IS$20&lt;=DispoMonth,AssetMgmtFeePct*Operating!IS$23,0)</f>
        <v/>
      </c>
      <c r="IT46" s="402">
        <f>IF(IT$20&lt;=DispoMonth,AssetMgmtFeePct*Operating!IT$23,0)</f>
        <v/>
      </c>
      <c r="IU46" s="402">
        <f>IF(IU$20&lt;=DispoMonth,AssetMgmtFeePct*Operating!IU$23,0)</f>
        <v/>
      </c>
      <c r="IV46" s="402">
        <f>IF(IV$20&lt;=DispoMonth,AssetMgmtFeePct*Operating!IV$23,0)</f>
        <v/>
      </c>
      <c r="IW46" s="402">
        <f>IF(IW$20&lt;=DispoMonth,AssetMgmtFeePct*Operating!IW$23,0)</f>
        <v/>
      </c>
      <c r="IX46" s="402">
        <f>IF(IX$20&lt;=DispoMonth,AssetMgmtFeePct*Operating!IX$23,0)</f>
        <v/>
      </c>
      <c r="IY46" s="402">
        <f>IF(IY$20&lt;=DispoMonth,AssetMgmtFeePct*Operating!IY$23,0)</f>
        <v/>
      </c>
      <c r="IZ46" s="402">
        <f>IF(IZ$20&lt;=DispoMonth,AssetMgmtFeePct*Operating!IZ$23,0)</f>
        <v/>
      </c>
      <c r="JA46" s="402">
        <f>IF(JA$20&lt;=DispoMonth,AssetMgmtFeePct*Operating!JA$23,0)</f>
        <v/>
      </c>
      <c r="JB46" s="402">
        <f>IF(JB$20&lt;=DispoMonth,AssetMgmtFeePct*Operating!JB$23,0)</f>
        <v/>
      </c>
      <c r="JC46" s="402">
        <f>IF(JC$20&lt;=DispoMonth,AssetMgmtFeePct*Operating!JC$23,0)</f>
        <v/>
      </c>
      <c r="JD46" s="402">
        <f>IF(JD$20&lt;=DispoMonth,AssetMgmtFeePct*Operating!JD$23,0)</f>
        <v/>
      </c>
      <c r="JE46" s="402">
        <f>IF(JE$20&lt;=DispoMonth,AssetMgmtFeePct*Operating!JE$23,0)</f>
        <v/>
      </c>
      <c r="JF46" s="402">
        <f>IF(JF$20&lt;=DispoMonth,AssetMgmtFeePct*Operating!JF$23,0)</f>
        <v/>
      </c>
      <c r="JG46" s="402">
        <f>IF(JG$20&lt;=DispoMonth,AssetMgmtFeePct*Operating!JG$23,0)</f>
        <v/>
      </c>
      <c r="JH46" s="402">
        <f>IF(JH$20&lt;=DispoMonth,AssetMgmtFeePct*Operating!JH$23,0)</f>
        <v/>
      </c>
      <c r="JI46" s="402">
        <f>IF(JI$20&lt;=DispoMonth,AssetMgmtFeePct*Operating!JI$23,0)</f>
        <v/>
      </c>
      <c r="JJ46" s="402">
        <f>IF(JJ$20&lt;=DispoMonth,AssetMgmtFeePct*Operating!JJ$23,0)</f>
        <v/>
      </c>
      <c r="JK46" s="402">
        <f>IF(JK$20&lt;=DispoMonth,AssetMgmtFeePct*Operating!JK$23,0)</f>
        <v/>
      </c>
      <c r="JL46" s="402">
        <f>IF(JL$20&lt;=DispoMonth,AssetMgmtFeePct*Operating!JL$23,0)</f>
        <v/>
      </c>
      <c r="JM46" s="402">
        <f>IF(JM$20&lt;=DispoMonth,AssetMgmtFeePct*Operating!JM$23,0)</f>
        <v/>
      </c>
      <c r="JN46" s="402">
        <f>IF(JN$20&lt;=DispoMonth,AssetMgmtFeePct*Operating!JN$23,0)</f>
        <v/>
      </c>
      <c r="JO46" s="402">
        <f>IF(JO$20&lt;=DispoMonth,AssetMgmtFeePct*Operating!JO$23,0)</f>
        <v/>
      </c>
      <c r="JP46" s="402">
        <f>IF(JP$20&lt;=DispoMonth,AssetMgmtFeePct*Operating!JP$23,0)</f>
        <v/>
      </c>
      <c r="JQ46" s="402">
        <f>IF(JQ$20&lt;=DispoMonth,AssetMgmtFeePct*Operating!JQ$23,0)</f>
        <v/>
      </c>
      <c r="JR46" s="402">
        <f>IF(JR$20&lt;=DispoMonth,AssetMgmtFeePct*Operating!JR$23,0)</f>
        <v/>
      </c>
      <c r="JS46" s="402">
        <f>IF(JS$20&lt;=DispoMonth,AssetMgmtFeePct*Operating!JS$23,0)</f>
        <v/>
      </c>
      <c r="JT46" s="402">
        <f>IF(JT$20&lt;=DispoMonth,AssetMgmtFeePct*Operating!JT$23,0)</f>
        <v/>
      </c>
      <c r="JU46" s="402">
        <f>IF(JU$20&lt;=DispoMonth,AssetMgmtFeePct*Operating!JU$23,0)</f>
        <v/>
      </c>
      <c r="JV46" s="402">
        <f>IF(JV$20&lt;=DispoMonth,AssetMgmtFeePct*Operating!JV$23,0)</f>
        <v/>
      </c>
      <c r="JW46" s="402">
        <f>IF(JW$20&lt;=DispoMonth,AssetMgmtFeePct*Operating!JW$23,0)</f>
        <v/>
      </c>
      <c r="JX46" s="402">
        <f>IF(JX$20&lt;=DispoMonth,AssetMgmtFeePct*Operating!JX$23,0)</f>
        <v/>
      </c>
      <c r="JY46" s="402">
        <f>IF(JY$20&lt;=DispoMonth,AssetMgmtFeePct*Operating!JY$23,0)</f>
        <v/>
      </c>
      <c r="JZ46" s="402">
        <f>IF(JZ$20&lt;=DispoMonth,AssetMgmtFeePct*Operating!JZ$23,0)</f>
        <v/>
      </c>
      <c r="KA46" s="402">
        <f>IF(KA$20&lt;=DispoMonth,AssetMgmtFeePct*Operating!KA$23,0)</f>
        <v/>
      </c>
      <c r="KB46" s="402">
        <f>IF(KB$20&lt;=DispoMonth,AssetMgmtFeePct*Operating!KB$23,0)</f>
        <v/>
      </c>
      <c r="KC46" s="402">
        <f>IF(KC$20&lt;=DispoMonth,AssetMgmtFeePct*Operating!KC$23,0)</f>
        <v/>
      </c>
      <c r="KD46" s="402">
        <f>IF(KD$20&lt;=DispoMonth,AssetMgmtFeePct*Operating!KD$23,0)</f>
        <v/>
      </c>
      <c r="KE46" s="402">
        <f>IF(KE$20&lt;=DispoMonth,AssetMgmtFeePct*Operating!KE$23,0)</f>
        <v/>
      </c>
      <c r="KF46" s="402">
        <f>IF(KF$20&lt;=DispoMonth,AssetMgmtFeePct*Operating!KF$23,0)</f>
        <v/>
      </c>
      <c r="KG46" s="402">
        <f>IF(KG$20&lt;=DispoMonth,AssetMgmtFeePct*Operating!KG$23,0)</f>
        <v/>
      </c>
      <c r="KH46" s="402">
        <f>IF(KH$20&lt;=DispoMonth,AssetMgmtFeePct*Operating!KH$23,0)</f>
        <v/>
      </c>
      <c r="KI46" s="402">
        <f>IF(KI$20&lt;=DispoMonth,AssetMgmtFeePct*Operating!KI$23,0)</f>
        <v/>
      </c>
      <c r="KJ46" s="402">
        <f>IF(KJ$20&lt;=DispoMonth,AssetMgmtFeePct*Operating!KJ$23,0)</f>
        <v/>
      </c>
      <c r="KK46" s="402">
        <f>IF(KK$20&lt;=DispoMonth,AssetMgmtFeePct*Operating!KK$23,0)</f>
        <v/>
      </c>
      <c r="KL46" s="402">
        <f>IF(KL$20&lt;=DispoMonth,AssetMgmtFeePct*Operating!KL$23,0)</f>
        <v/>
      </c>
      <c r="KM46" s="402">
        <f>IF(KM$20&lt;=DispoMonth,AssetMgmtFeePct*Operating!KM$23,0)</f>
        <v/>
      </c>
      <c r="KN46" s="402">
        <f>IF(KN$20&lt;=DispoMonth,AssetMgmtFeePct*Operating!KN$23,0)</f>
        <v/>
      </c>
      <c r="KO46" s="402">
        <f>IF(KO$20&lt;=DispoMonth,AssetMgmtFeePct*Operating!KO$23,0)</f>
        <v/>
      </c>
      <c r="KP46" s="402">
        <f>IF(KP$20&lt;=DispoMonth,AssetMgmtFeePct*Operating!KP$23,0)</f>
        <v/>
      </c>
      <c r="KQ46" s="402">
        <f>IF(KQ$20&lt;=DispoMonth,AssetMgmtFeePct*Operating!KQ$23,0)</f>
        <v/>
      </c>
      <c r="KR46" s="402">
        <f>IF(KR$20&lt;=DispoMonth,AssetMgmtFeePct*Operating!KR$23,0)</f>
        <v/>
      </c>
      <c r="KS46" s="402">
        <f>IF(KS$20&lt;=DispoMonth,AssetMgmtFeePct*Operating!KS$23,0)</f>
        <v/>
      </c>
      <c r="KT46" s="402">
        <f>IF(KT$20&lt;=DispoMonth,AssetMgmtFeePct*Operating!KT$23,0)</f>
        <v/>
      </c>
      <c r="KU46" s="402">
        <f>IF(KU$20&lt;=DispoMonth,AssetMgmtFeePct*Operating!KU$23,0)</f>
        <v/>
      </c>
      <c r="KV46" s="402">
        <f>IF(KV$20&lt;=DispoMonth,AssetMgmtFeePct*Operating!KV$23,0)</f>
        <v/>
      </c>
      <c r="KW46" s="402">
        <f>IF(KW$20&lt;=DispoMonth,AssetMgmtFeePct*Operating!KW$23,0)</f>
        <v/>
      </c>
      <c r="KX46" s="402">
        <f>IF(KX$20&lt;=DispoMonth,AssetMgmtFeePct*Operating!KX$23,0)</f>
        <v/>
      </c>
      <c r="KY46" s="402">
        <f>IF(KY$20&lt;=DispoMonth,AssetMgmtFeePct*Operating!KY$23,0)</f>
        <v/>
      </c>
      <c r="KZ46" s="402">
        <f>IF(KZ$20&lt;=DispoMonth,AssetMgmtFeePct*Operating!KZ$23,0)</f>
        <v/>
      </c>
      <c r="LA46" s="402">
        <f>IF(LA$20&lt;=DispoMonth,AssetMgmtFeePct*Operating!LA$23,0)</f>
        <v/>
      </c>
      <c r="LB46" s="402">
        <f>IF(LB$20&lt;=DispoMonth,AssetMgmtFeePct*Operating!LB$23,0)</f>
        <v/>
      </c>
      <c r="LC46" s="402">
        <f>IF(LC$20&lt;=DispoMonth,AssetMgmtFeePct*Operating!LC$23,0)</f>
        <v/>
      </c>
      <c r="LD46" s="402">
        <f>IF(LD$20&lt;=DispoMonth,AssetMgmtFeePct*Operating!LD$23,0)</f>
        <v/>
      </c>
      <c r="LE46" s="402">
        <f>IF(LE$20&lt;=DispoMonth,AssetMgmtFeePct*Operating!LE$23,0)</f>
        <v/>
      </c>
      <c r="LF46" s="402">
        <f>IF(LF$20&lt;=DispoMonth,AssetMgmtFeePct*Operating!LF$23,0)</f>
        <v/>
      </c>
      <c r="LG46" s="402">
        <f>IF(LG$20&lt;=DispoMonth,AssetMgmtFeePct*Operating!LG$23,0)</f>
        <v/>
      </c>
      <c r="LH46" s="402">
        <f>IF(LH$20&lt;=DispoMonth,AssetMgmtFeePct*Operating!LH$23,0)</f>
        <v/>
      </c>
      <c r="LI46" s="402">
        <f>IF(LI$20&lt;=DispoMonth,AssetMgmtFeePct*Operating!LI$23,0)</f>
        <v/>
      </c>
      <c r="LJ46" s="402">
        <f>IF(LJ$20&lt;=DispoMonth,AssetMgmtFeePct*Operating!LJ$23,0)</f>
        <v/>
      </c>
      <c r="LK46" s="402">
        <f>IF(LK$20&lt;=DispoMonth,AssetMgmtFeePct*Operating!LK$23,0)</f>
        <v/>
      </c>
      <c r="LL46" s="402">
        <f>IF(LL$20&lt;=DispoMonth,AssetMgmtFeePct*Operating!LL$23,0)</f>
        <v/>
      </c>
      <c r="LM46" s="402">
        <f>IF(LM$20&lt;=DispoMonth,AssetMgmtFeePct*Operating!LM$23,0)</f>
        <v/>
      </c>
      <c r="LN46" s="402">
        <f>IF(LN$20&lt;=DispoMonth,AssetMgmtFeePct*Operating!LN$23,0)</f>
        <v/>
      </c>
      <c r="LO46" s="402">
        <f>IF(LO$20&lt;=DispoMonth,AssetMgmtFeePct*Operating!LO$23,0)</f>
        <v/>
      </c>
      <c r="LP46" s="402">
        <f>IF(LP$20&lt;=DispoMonth,AssetMgmtFeePct*Operating!LP$23,0)</f>
        <v/>
      </c>
      <c r="LQ46" s="402">
        <f>IF(LQ$20&lt;=DispoMonth,AssetMgmtFeePct*Operating!LQ$23,0)</f>
        <v/>
      </c>
      <c r="LR46" s="402">
        <f>IF(LR$20&lt;=DispoMonth,AssetMgmtFeePct*Operating!LR$23,0)</f>
        <v/>
      </c>
      <c r="LS46" s="402">
        <f>IF(LS$20&lt;=DispoMonth,AssetMgmtFeePct*Operating!LS$23,0)</f>
        <v/>
      </c>
      <c r="LT46" s="402">
        <f>IF(LT$20&lt;=DispoMonth,AssetMgmtFeePct*Operating!LT$23,0)</f>
        <v/>
      </c>
      <c r="LU46" s="402">
        <f>IF(LU$20&lt;=DispoMonth,AssetMgmtFeePct*Operating!LU$23,0)</f>
        <v/>
      </c>
      <c r="LV46" s="402">
        <f>IF(LV$20&lt;=DispoMonth,AssetMgmtFeePct*Operating!LV$23,0)</f>
        <v/>
      </c>
      <c r="LW46" s="402">
        <f>IF(LW$20&lt;=DispoMonth,AssetMgmtFeePct*Operating!LW$23,0)</f>
        <v/>
      </c>
      <c r="LX46" s="402">
        <f>IF(LX$20&lt;=DispoMonth,AssetMgmtFeePct*Operating!LX$23,0)</f>
        <v/>
      </c>
      <c r="LY46" s="402">
        <f>IF(LY$20&lt;=DispoMonth,AssetMgmtFeePct*Operating!LY$23,0)</f>
        <v/>
      </c>
      <c r="LZ46" s="402">
        <f>IF(LZ$20&lt;=DispoMonth,AssetMgmtFeePct*Operating!LZ$23,0)</f>
        <v/>
      </c>
      <c r="MA46" s="402">
        <f>IF(MA$20&lt;=DispoMonth,AssetMgmtFeePct*Operating!MA$23,0)</f>
        <v/>
      </c>
      <c r="MB46" s="402">
        <f>IF(MB$20&lt;=DispoMonth,AssetMgmtFeePct*Operating!MB$23,0)</f>
        <v/>
      </c>
      <c r="MC46" s="402">
        <f>IF(MC$20&lt;=DispoMonth,AssetMgmtFeePct*Operating!MC$23,0)</f>
        <v/>
      </c>
      <c r="MD46" s="402">
        <f>IF(MD$20&lt;=DispoMonth,AssetMgmtFeePct*Operating!MD$23,0)</f>
        <v/>
      </c>
      <c r="ME46" s="402">
        <f>IF(ME$20&lt;=DispoMonth,AssetMgmtFeePct*Operating!ME$23,0)</f>
        <v/>
      </c>
      <c r="MF46" s="402">
        <f>IF(MF$20&lt;=DispoMonth,AssetMgmtFeePct*Operating!MF$23,0)</f>
        <v/>
      </c>
      <c r="MG46" s="402">
        <f>IF(MG$20&lt;=DispoMonth,AssetMgmtFeePct*Operating!MG$23,0)</f>
        <v/>
      </c>
      <c r="MH46" s="402">
        <f>IF(MH$20&lt;=DispoMonth,AssetMgmtFeePct*Operating!MH$23,0)</f>
        <v/>
      </c>
      <c r="MI46" s="402">
        <f>IF(MI$20&lt;=DispoMonth,AssetMgmtFeePct*Operating!MI$23,0)</f>
        <v/>
      </c>
      <c r="MJ46" s="402">
        <f>IF(MJ$20&lt;=DispoMonth,AssetMgmtFeePct*Operating!MJ$23,0)</f>
        <v/>
      </c>
      <c r="MK46" s="402">
        <f>IF(MK$20&lt;=DispoMonth,AssetMgmtFeePct*Operating!MK$23,0)</f>
        <v/>
      </c>
      <c r="ML46" s="402">
        <f>IF(ML$20&lt;=DispoMonth,AssetMgmtFeePct*Operating!ML$23,0)</f>
        <v/>
      </c>
      <c r="MM46" s="402">
        <f>IF(MM$20&lt;=DispoMonth,AssetMgmtFeePct*Operating!MM$23,0)</f>
        <v/>
      </c>
      <c r="MN46" s="402">
        <f>IF(MN$20&lt;=DispoMonth,AssetMgmtFeePct*Operating!MN$23,0)</f>
        <v/>
      </c>
      <c r="MO46" s="402">
        <f>IF(MO$20&lt;=DispoMonth,AssetMgmtFeePct*Operating!MO$23,0)</f>
        <v/>
      </c>
      <c r="MP46" s="402">
        <f>IF(MP$20&lt;=DispoMonth,AssetMgmtFeePct*Operating!MP$23,0)</f>
        <v/>
      </c>
      <c r="MQ46" s="402">
        <f>IF(MQ$20&lt;=DispoMonth,AssetMgmtFeePct*Operating!MQ$23,0)</f>
        <v/>
      </c>
      <c r="MR46" s="402">
        <f>IF(MR$20&lt;=DispoMonth,AssetMgmtFeePct*Operating!MR$23,0)</f>
        <v/>
      </c>
      <c r="MS46" s="402">
        <f>IF(MS$20&lt;=DispoMonth,AssetMgmtFeePct*Operating!MS$23,0)</f>
        <v/>
      </c>
      <c r="MT46" s="402">
        <f>IF(MT$20&lt;=DispoMonth,AssetMgmtFeePct*Operating!MT$23,0)</f>
        <v/>
      </c>
      <c r="MU46" s="402">
        <f>IF(MU$20&lt;=DispoMonth,AssetMgmtFeePct*Operating!MU$23,0)</f>
        <v/>
      </c>
      <c r="MV46" s="402">
        <f>IF(MV$20&lt;=DispoMonth,AssetMgmtFeePct*Operating!MV$23,0)</f>
        <v/>
      </c>
      <c r="MW46" s="402">
        <f>IF(MW$20&lt;=DispoMonth,AssetMgmtFeePct*Operating!MW$23,0)</f>
        <v/>
      </c>
      <c r="MX46" s="402">
        <f>IF(MX$20&lt;=DispoMonth,AssetMgmtFeePct*Operating!MX$23,0)</f>
        <v/>
      </c>
      <c r="MY46" s="402">
        <f>IF(MY$20&lt;=DispoMonth,AssetMgmtFeePct*Operating!MY$23,0)</f>
        <v/>
      </c>
      <c r="MZ46" s="402">
        <f>IF(MZ$20&lt;=DispoMonth,AssetMgmtFeePct*Operating!MZ$23,0)</f>
        <v/>
      </c>
      <c r="NA46" s="402">
        <f>IF(NA$20&lt;=DispoMonth,AssetMgmtFeePct*Operating!NA$23,0)</f>
        <v/>
      </c>
      <c r="NB46" s="402">
        <f>IF(NB$20&lt;=DispoMonth,AssetMgmtFeePct*Operating!NB$23,0)</f>
        <v/>
      </c>
      <c r="NC46" s="402">
        <f>IF(NC$20&lt;=DispoMonth,AssetMgmtFeePct*Operating!NC$23,0)</f>
        <v/>
      </c>
      <c r="ND46" s="402">
        <f>IF(ND$20&lt;=DispoMonth,AssetMgmtFeePct*Operating!ND$23,0)</f>
        <v/>
      </c>
      <c r="NE46" s="402">
        <f>IF(NE$20&lt;=DispoMonth,AssetMgmtFeePct*Operating!NE$23,0)</f>
        <v/>
      </c>
      <c r="NF46" s="402">
        <f>IF(NF$20&lt;=DispoMonth,AssetMgmtFeePct*Operating!NF$23,0)</f>
        <v/>
      </c>
      <c r="NG46" s="402">
        <f>IF(NG$20&lt;=DispoMonth,AssetMgmtFeePct*Operating!NG$23,0)</f>
        <v/>
      </c>
      <c r="NH46" s="402">
        <f>IF(NH$20&lt;=DispoMonth,AssetMgmtFeePct*Operating!NH$23,0)</f>
        <v/>
      </c>
      <c r="NI46" s="402">
        <f>IF(NI$20&lt;=DispoMonth,AssetMgmtFeePct*Operating!NI$23,0)</f>
        <v/>
      </c>
      <c r="NJ46" s="402">
        <f>IF(NJ$20&lt;=DispoMonth,AssetMgmtFeePct*Operating!NJ$23,0)</f>
        <v/>
      </c>
      <c r="NK46" s="402">
        <f>IF(NK$20&lt;=DispoMonth,AssetMgmtFeePct*Operating!NK$23,0)</f>
        <v/>
      </c>
      <c r="NL46" s="402">
        <f>IF(NL$20&lt;=DispoMonth,AssetMgmtFeePct*Operating!NL$23,0)</f>
        <v/>
      </c>
    </row>
    <row r="47">
      <c r="B47" s="316" t="inlineStr">
        <is>
          <t>Disposition Fee</t>
        </is>
      </c>
      <c r="D47" s="402">
        <f>SUM(E47:NL47)</f>
        <v/>
      </c>
      <c r="E47" s="402">
        <f>IF(E$20=DispoMonth,SponsorDispoFeePct*ExitValue,0)</f>
        <v/>
      </c>
      <c r="F47" s="402">
        <f>IF(F$20=DispoMonth,SponsorDispoFeePct*ExitValue,0)</f>
        <v/>
      </c>
      <c r="G47" s="402">
        <f>IF(G$20=DispoMonth,SponsorDispoFeePct*ExitValue,0)</f>
        <v/>
      </c>
      <c r="H47" s="402">
        <f>IF(H$20=DispoMonth,SponsorDispoFeePct*ExitValue,0)</f>
        <v/>
      </c>
      <c r="I47" s="402">
        <f>IF(I$20=DispoMonth,SponsorDispoFeePct*ExitValue,0)</f>
        <v/>
      </c>
      <c r="J47" s="402">
        <f>IF(J$20=DispoMonth,SponsorDispoFeePct*ExitValue,0)</f>
        <v/>
      </c>
      <c r="K47" s="402">
        <f>IF(K$20=DispoMonth,SponsorDispoFeePct*ExitValue,0)</f>
        <v/>
      </c>
      <c r="L47" s="402">
        <f>IF(L$20=DispoMonth,SponsorDispoFeePct*ExitValue,0)</f>
        <v/>
      </c>
      <c r="M47" s="402">
        <f>IF(M$20=DispoMonth,SponsorDispoFeePct*ExitValue,0)</f>
        <v/>
      </c>
      <c r="N47" s="402">
        <f>IF(N$20=DispoMonth,SponsorDispoFeePct*ExitValue,0)</f>
        <v/>
      </c>
      <c r="O47" s="402">
        <f>IF(O$20=DispoMonth,SponsorDispoFeePct*ExitValue,0)</f>
        <v/>
      </c>
      <c r="P47" s="402">
        <f>IF(P$20=DispoMonth,SponsorDispoFeePct*ExitValue,0)</f>
        <v/>
      </c>
      <c r="Q47" s="402">
        <f>IF(Q$20=DispoMonth,SponsorDispoFeePct*ExitValue,0)</f>
        <v/>
      </c>
      <c r="R47" s="402">
        <f>IF(R$20=DispoMonth,SponsorDispoFeePct*ExitValue,0)</f>
        <v/>
      </c>
      <c r="S47" s="402">
        <f>IF(S$20=DispoMonth,SponsorDispoFeePct*ExitValue,0)</f>
        <v/>
      </c>
      <c r="T47" s="402">
        <f>IF(T$20=DispoMonth,SponsorDispoFeePct*ExitValue,0)</f>
        <v/>
      </c>
      <c r="U47" s="402">
        <f>IF(U$20=DispoMonth,SponsorDispoFeePct*ExitValue,0)</f>
        <v/>
      </c>
      <c r="V47" s="402">
        <f>IF(V$20=DispoMonth,SponsorDispoFeePct*ExitValue,0)</f>
        <v/>
      </c>
      <c r="W47" s="402">
        <f>IF(W$20=DispoMonth,SponsorDispoFeePct*ExitValue,0)</f>
        <v/>
      </c>
      <c r="X47" s="402">
        <f>IF(X$20=DispoMonth,SponsorDispoFeePct*ExitValue,0)</f>
        <v/>
      </c>
      <c r="Y47" s="402">
        <f>IF(Y$20=DispoMonth,SponsorDispoFeePct*ExitValue,0)</f>
        <v/>
      </c>
      <c r="Z47" s="402">
        <f>IF(Z$20=DispoMonth,SponsorDispoFeePct*ExitValue,0)</f>
        <v/>
      </c>
      <c r="AA47" s="402">
        <f>IF(AA$20=DispoMonth,SponsorDispoFeePct*ExitValue,0)</f>
        <v/>
      </c>
      <c r="AB47" s="402">
        <f>IF(AB$20=DispoMonth,SponsorDispoFeePct*ExitValue,0)</f>
        <v/>
      </c>
      <c r="AC47" s="402">
        <f>IF(AC$20=DispoMonth,SponsorDispoFeePct*ExitValue,0)</f>
        <v/>
      </c>
      <c r="AD47" s="402">
        <f>IF(AD$20=DispoMonth,SponsorDispoFeePct*ExitValue,0)</f>
        <v/>
      </c>
      <c r="AE47" s="402">
        <f>IF(AE$20=DispoMonth,SponsorDispoFeePct*ExitValue,0)</f>
        <v/>
      </c>
      <c r="AF47" s="402">
        <f>IF(AF$20=DispoMonth,SponsorDispoFeePct*ExitValue,0)</f>
        <v/>
      </c>
      <c r="AG47" s="402">
        <f>IF(AG$20=DispoMonth,SponsorDispoFeePct*ExitValue,0)</f>
        <v/>
      </c>
      <c r="AH47" s="402">
        <f>IF(AH$20=DispoMonth,SponsorDispoFeePct*ExitValue,0)</f>
        <v/>
      </c>
      <c r="AI47" s="402">
        <f>IF(AI$20=DispoMonth,SponsorDispoFeePct*ExitValue,0)</f>
        <v/>
      </c>
      <c r="AJ47" s="402">
        <f>IF(AJ$20=DispoMonth,SponsorDispoFeePct*ExitValue,0)</f>
        <v/>
      </c>
      <c r="AK47" s="402">
        <f>IF(AK$20=DispoMonth,SponsorDispoFeePct*ExitValue,0)</f>
        <v/>
      </c>
      <c r="AL47" s="402">
        <f>IF(AL$20=DispoMonth,SponsorDispoFeePct*ExitValue,0)</f>
        <v/>
      </c>
      <c r="AM47" s="402">
        <f>IF(AM$20=DispoMonth,SponsorDispoFeePct*ExitValue,0)</f>
        <v/>
      </c>
      <c r="AN47" s="402">
        <f>IF(AN$20=DispoMonth,SponsorDispoFeePct*ExitValue,0)</f>
        <v/>
      </c>
      <c r="AO47" s="402">
        <f>IF(AO$20=DispoMonth,SponsorDispoFeePct*ExitValue,0)</f>
        <v/>
      </c>
      <c r="AP47" s="402">
        <f>IF(AP$20=DispoMonth,SponsorDispoFeePct*ExitValue,0)</f>
        <v/>
      </c>
      <c r="AQ47" s="402">
        <f>IF(AQ$20=DispoMonth,SponsorDispoFeePct*ExitValue,0)</f>
        <v/>
      </c>
      <c r="AR47" s="402">
        <f>IF(AR$20=DispoMonth,SponsorDispoFeePct*ExitValue,0)</f>
        <v/>
      </c>
      <c r="AS47" s="402">
        <f>IF(AS$20=DispoMonth,SponsorDispoFeePct*ExitValue,0)</f>
        <v/>
      </c>
      <c r="AT47" s="402">
        <f>IF(AT$20=DispoMonth,SponsorDispoFeePct*ExitValue,0)</f>
        <v/>
      </c>
      <c r="AU47" s="402">
        <f>IF(AU$20=DispoMonth,SponsorDispoFeePct*ExitValue,0)</f>
        <v/>
      </c>
      <c r="AV47" s="402">
        <f>IF(AV$20=DispoMonth,SponsorDispoFeePct*ExitValue,0)</f>
        <v/>
      </c>
      <c r="AW47" s="402">
        <f>IF(AW$20=DispoMonth,SponsorDispoFeePct*ExitValue,0)</f>
        <v/>
      </c>
      <c r="AX47" s="402">
        <f>IF(AX$20=DispoMonth,SponsorDispoFeePct*ExitValue,0)</f>
        <v/>
      </c>
      <c r="AY47" s="402">
        <f>IF(AY$20=DispoMonth,SponsorDispoFeePct*ExitValue,0)</f>
        <v/>
      </c>
      <c r="AZ47" s="402">
        <f>IF(AZ$20=DispoMonth,SponsorDispoFeePct*ExitValue,0)</f>
        <v/>
      </c>
      <c r="BA47" s="402">
        <f>IF(BA$20=DispoMonth,SponsorDispoFeePct*ExitValue,0)</f>
        <v/>
      </c>
      <c r="BB47" s="402">
        <f>IF(BB$20=DispoMonth,SponsorDispoFeePct*ExitValue,0)</f>
        <v/>
      </c>
      <c r="BC47" s="402">
        <f>IF(BC$20=DispoMonth,SponsorDispoFeePct*ExitValue,0)</f>
        <v/>
      </c>
      <c r="BD47" s="402">
        <f>IF(BD$20=DispoMonth,SponsorDispoFeePct*ExitValue,0)</f>
        <v/>
      </c>
      <c r="BE47" s="402">
        <f>IF(BE$20=DispoMonth,SponsorDispoFeePct*ExitValue,0)</f>
        <v/>
      </c>
      <c r="BF47" s="402">
        <f>IF(BF$20=DispoMonth,SponsorDispoFeePct*ExitValue,0)</f>
        <v/>
      </c>
      <c r="BG47" s="402">
        <f>IF(BG$20=DispoMonth,SponsorDispoFeePct*ExitValue,0)</f>
        <v/>
      </c>
      <c r="BH47" s="402">
        <f>IF(BH$20=DispoMonth,SponsorDispoFeePct*ExitValue,0)</f>
        <v/>
      </c>
      <c r="BI47" s="402">
        <f>IF(BI$20=DispoMonth,SponsorDispoFeePct*ExitValue,0)</f>
        <v/>
      </c>
      <c r="BJ47" s="402">
        <f>IF(BJ$20=DispoMonth,SponsorDispoFeePct*ExitValue,0)</f>
        <v/>
      </c>
      <c r="BK47" s="402">
        <f>IF(BK$20=DispoMonth,SponsorDispoFeePct*ExitValue,0)</f>
        <v/>
      </c>
      <c r="BL47" s="402">
        <f>IF(BL$20=DispoMonth,SponsorDispoFeePct*ExitValue,0)</f>
        <v/>
      </c>
      <c r="BM47" s="402">
        <f>IF(BM$20=DispoMonth,SponsorDispoFeePct*ExitValue,0)</f>
        <v/>
      </c>
      <c r="BN47" s="402">
        <f>IF(BN$20=DispoMonth,SponsorDispoFeePct*ExitValue,0)</f>
        <v/>
      </c>
      <c r="BO47" s="402">
        <f>IF(BO$20=DispoMonth,SponsorDispoFeePct*ExitValue,0)</f>
        <v/>
      </c>
      <c r="BP47" s="402">
        <f>IF(BP$20=DispoMonth,SponsorDispoFeePct*ExitValue,0)</f>
        <v/>
      </c>
      <c r="BQ47" s="402">
        <f>IF(BQ$20=DispoMonth,SponsorDispoFeePct*ExitValue,0)</f>
        <v/>
      </c>
      <c r="BR47" s="402">
        <f>IF(BR$20=DispoMonth,SponsorDispoFeePct*ExitValue,0)</f>
        <v/>
      </c>
      <c r="BS47" s="402">
        <f>IF(BS$20=DispoMonth,SponsorDispoFeePct*ExitValue,0)</f>
        <v/>
      </c>
      <c r="BT47" s="402">
        <f>IF(BT$20=DispoMonth,SponsorDispoFeePct*ExitValue,0)</f>
        <v/>
      </c>
      <c r="BU47" s="402">
        <f>IF(BU$20=DispoMonth,SponsorDispoFeePct*ExitValue,0)</f>
        <v/>
      </c>
      <c r="BV47" s="402">
        <f>IF(BV$20=DispoMonth,SponsorDispoFeePct*ExitValue,0)</f>
        <v/>
      </c>
      <c r="BW47" s="402">
        <f>IF(BW$20=DispoMonth,SponsorDispoFeePct*ExitValue,0)</f>
        <v/>
      </c>
      <c r="BX47" s="402">
        <f>IF(BX$20=DispoMonth,SponsorDispoFeePct*ExitValue,0)</f>
        <v/>
      </c>
      <c r="BY47" s="402">
        <f>IF(BY$20=DispoMonth,SponsorDispoFeePct*ExitValue,0)</f>
        <v/>
      </c>
      <c r="BZ47" s="402">
        <f>IF(BZ$20=DispoMonth,SponsorDispoFeePct*ExitValue,0)</f>
        <v/>
      </c>
      <c r="CA47" s="402">
        <f>IF(CA$20=DispoMonth,SponsorDispoFeePct*ExitValue,0)</f>
        <v/>
      </c>
      <c r="CB47" s="402">
        <f>IF(CB$20=DispoMonth,SponsorDispoFeePct*ExitValue,0)</f>
        <v/>
      </c>
      <c r="CC47" s="402">
        <f>IF(CC$20=DispoMonth,SponsorDispoFeePct*ExitValue,0)</f>
        <v/>
      </c>
      <c r="CD47" s="402">
        <f>IF(CD$20=DispoMonth,SponsorDispoFeePct*ExitValue,0)</f>
        <v/>
      </c>
      <c r="CE47" s="402">
        <f>IF(CE$20=DispoMonth,SponsorDispoFeePct*ExitValue,0)</f>
        <v/>
      </c>
      <c r="CF47" s="402">
        <f>IF(CF$20=DispoMonth,SponsorDispoFeePct*ExitValue,0)</f>
        <v/>
      </c>
      <c r="CG47" s="402">
        <f>IF(CG$20=DispoMonth,SponsorDispoFeePct*ExitValue,0)</f>
        <v/>
      </c>
      <c r="CH47" s="402">
        <f>IF(CH$20=DispoMonth,SponsorDispoFeePct*ExitValue,0)</f>
        <v/>
      </c>
      <c r="CI47" s="402">
        <f>IF(CI$20=DispoMonth,SponsorDispoFeePct*ExitValue,0)</f>
        <v/>
      </c>
      <c r="CJ47" s="402">
        <f>IF(CJ$20=DispoMonth,SponsorDispoFeePct*ExitValue,0)</f>
        <v/>
      </c>
      <c r="CK47" s="402">
        <f>IF(CK$20=DispoMonth,SponsorDispoFeePct*ExitValue,0)</f>
        <v/>
      </c>
      <c r="CL47" s="402">
        <f>IF(CL$20=DispoMonth,SponsorDispoFeePct*ExitValue,0)</f>
        <v/>
      </c>
      <c r="CM47" s="402">
        <f>IF(CM$20=DispoMonth,SponsorDispoFeePct*ExitValue,0)</f>
        <v/>
      </c>
      <c r="CN47" s="402">
        <f>IF(CN$20=DispoMonth,SponsorDispoFeePct*ExitValue,0)</f>
        <v/>
      </c>
      <c r="CO47" s="402">
        <f>IF(CO$20=DispoMonth,SponsorDispoFeePct*ExitValue,0)</f>
        <v/>
      </c>
      <c r="CP47" s="402">
        <f>IF(CP$20=DispoMonth,SponsorDispoFeePct*ExitValue,0)</f>
        <v/>
      </c>
      <c r="CQ47" s="402">
        <f>IF(CQ$20=DispoMonth,SponsorDispoFeePct*ExitValue,0)</f>
        <v/>
      </c>
      <c r="CR47" s="402">
        <f>IF(CR$20=DispoMonth,SponsorDispoFeePct*ExitValue,0)</f>
        <v/>
      </c>
      <c r="CS47" s="402">
        <f>IF(CS$20=DispoMonth,SponsorDispoFeePct*ExitValue,0)</f>
        <v/>
      </c>
      <c r="CT47" s="402">
        <f>IF(CT$20=DispoMonth,SponsorDispoFeePct*ExitValue,0)</f>
        <v/>
      </c>
      <c r="CU47" s="402">
        <f>IF(CU$20=DispoMonth,SponsorDispoFeePct*ExitValue,0)</f>
        <v/>
      </c>
      <c r="CV47" s="402">
        <f>IF(CV$20=DispoMonth,SponsorDispoFeePct*ExitValue,0)</f>
        <v/>
      </c>
      <c r="CW47" s="402">
        <f>IF(CW$20=DispoMonth,SponsorDispoFeePct*ExitValue,0)</f>
        <v/>
      </c>
      <c r="CX47" s="402">
        <f>IF(CX$20=DispoMonth,SponsorDispoFeePct*ExitValue,0)</f>
        <v/>
      </c>
      <c r="CY47" s="402">
        <f>IF(CY$20=DispoMonth,SponsorDispoFeePct*ExitValue,0)</f>
        <v/>
      </c>
      <c r="CZ47" s="402">
        <f>IF(CZ$20=DispoMonth,SponsorDispoFeePct*ExitValue,0)</f>
        <v/>
      </c>
      <c r="DA47" s="402">
        <f>IF(DA$20=DispoMonth,SponsorDispoFeePct*ExitValue,0)</f>
        <v/>
      </c>
      <c r="DB47" s="402">
        <f>IF(DB$20=DispoMonth,SponsorDispoFeePct*ExitValue,0)</f>
        <v/>
      </c>
      <c r="DC47" s="402">
        <f>IF(DC$20=DispoMonth,SponsorDispoFeePct*ExitValue,0)</f>
        <v/>
      </c>
      <c r="DD47" s="402">
        <f>IF(DD$20=DispoMonth,SponsorDispoFeePct*ExitValue,0)</f>
        <v/>
      </c>
      <c r="DE47" s="402">
        <f>IF(DE$20=DispoMonth,SponsorDispoFeePct*ExitValue,0)</f>
        <v/>
      </c>
      <c r="DF47" s="402">
        <f>IF(DF$20=DispoMonth,SponsorDispoFeePct*ExitValue,0)</f>
        <v/>
      </c>
      <c r="DG47" s="402">
        <f>IF(DG$20=DispoMonth,SponsorDispoFeePct*ExitValue,0)</f>
        <v/>
      </c>
      <c r="DH47" s="402">
        <f>IF(DH$20=DispoMonth,SponsorDispoFeePct*ExitValue,0)</f>
        <v/>
      </c>
      <c r="DI47" s="402">
        <f>IF(DI$20=DispoMonth,SponsorDispoFeePct*ExitValue,0)</f>
        <v/>
      </c>
      <c r="DJ47" s="402">
        <f>IF(DJ$20=DispoMonth,SponsorDispoFeePct*ExitValue,0)</f>
        <v/>
      </c>
      <c r="DK47" s="402">
        <f>IF(DK$20=DispoMonth,SponsorDispoFeePct*ExitValue,0)</f>
        <v/>
      </c>
      <c r="DL47" s="402">
        <f>IF(DL$20=DispoMonth,SponsorDispoFeePct*ExitValue,0)</f>
        <v/>
      </c>
      <c r="DM47" s="402">
        <f>IF(DM$20=DispoMonth,SponsorDispoFeePct*ExitValue,0)</f>
        <v/>
      </c>
      <c r="DN47" s="402">
        <f>IF(DN$20=DispoMonth,SponsorDispoFeePct*ExitValue,0)</f>
        <v/>
      </c>
      <c r="DO47" s="402">
        <f>IF(DO$20=DispoMonth,SponsorDispoFeePct*ExitValue,0)</f>
        <v/>
      </c>
      <c r="DP47" s="402">
        <f>IF(DP$20=DispoMonth,SponsorDispoFeePct*ExitValue,0)</f>
        <v/>
      </c>
      <c r="DQ47" s="402">
        <f>IF(DQ$20=DispoMonth,SponsorDispoFeePct*ExitValue,0)</f>
        <v/>
      </c>
      <c r="DR47" s="402">
        <f>IF(DR$20=DispoMonth,SponsorDispoFeePct*ExitValue,0)</f>
        <v/>
      </c>
      <c r="DS47" s="402">
        <f>IF(DS$20=DispoMonth,SponsorDispoFeePct*ExitValue,0)</f>
        <v/>
      </c>
      <c r="DT47" s="402">
        <f>IF(DT$20=DispoMonth,SponsorDispoFeePct*ExitValue,0)</f>
        <v/>
      </c>
      <c r="DU47" s="402">
        <f>IF(DU$20=DispoMonth,SponsorDispoFeePct*ExitValue,0)</f>
        <v/>
      </c>
      <c r="DV47" s="402">
        <f>IF(DV$20=DispoMonth,SponsorDispoFeePct*ExitValue,0)</f>
        <v/>
      </c>
      <c r="DW47" s="402">
        <f>IF(DW$20=DispoMonth,SponsorDispoFeePct*ExitValue,0)</f>
        <v/>
      </c>
      <c r="DX47" s="402">
        <f>IF(DX$20=DispoMonth,SponsorDispoFeePct*ExitValue,0)</f>
        <v/>
      </c>
      <c r="DY47" s="402">
        <f>IF(DY$20=DispoMonth,SponsorDispoFeePct*ExitValue,0)</f>
        <v/>
      </c>
      <c r="DZ47" s="402">
        <f>IF(DZ$20=DispoMonth,SponsorDispoFeePct*ExitValue,0)</f>
        <v/>
      </c>
      <c r="EA47" s="402">
        <f>IF(EA$20=DispoMonth,SponsorDispoFeePct*ExitValue,0)</f>
        <v/>
      </c>
      <c r="EB47" s="402">
        <f>IF(EB$20=DispoMonth,SponsorDispoFeePct*ExitValue,0)</f>
        <v/>
      </c>
      <c r="EC47" s="402">
        <f>IF(EC$20=DispoMonth,SponsorDispoFeePct*ExitValue,0)</f>
        <v/>
      </c>
      <c r="ED47" s="402">
        <f>IF(ED$20=DispoMonth,SponsorDispoFeePct*ExitValue,0)</f>
        <v/>
      </c>
      <c r="EE47" s="402">
        <f>IF(EE$20=DispoMonth,SponsorDispoFeePct*ExitValue,0)</f>
        <v/>
      </c>
      <c r="EF47" s="402">
        <f>IF(EF$20=DispoMonth,SponsorDispoFeePct*ExitValue,0)</f>
        <v/>
      </c>
      <c r="EG47" s="402">
        <f>IF(EG$20=DispoMonth,SponsorDispoFeePct*ExitValue,0)</f>
        <v/>
      </c>
      <c r="EH47" s="402">
        <f>IF(EH$20=DispoMonth,SponsorDispoFeePct*ExitValue,0)</f>
        <v/>
      </c>
      <c r="EI47" s="402">
        <f>IF(EI$20=DispoMonth,SponsorDispoFeePct*ExitValue,0)</f>
        <v/>
      </c>
      <c r="EJ47" s="402">
        <f>IF(EJ$20=DispoMonth,SponsorDispoFeePct*ExitValue,0)</f>
        <v/>
      </c>
      <c r="EK47" s="402">
        <f>IF(EK$20=DispoMonth,SponsorDispoFeePct*ExitValue,0)</f>
        <v/>
      </c>
      <c r="EL47" s="402">
        <f>IF(EL$20=DispoMonth,SponsorDispoFeePct*ExitValue,0)</f>
        <v/>
      </c>
      <c r="EM47" s="402">
        <f>IF(EM$20=DispoMonth,SponsorDispoFeePct*ExitValue,0)</f>
        <v/>
      </c>
      <c r="EN47" s="402">
        <f>IF(EN$20=DispoMonth,SponsorDispoFeePct*ExitValue,0)</f>
        <v/>
      </c>
      <c r="EO47" s="402">
        <f>IF(EO$20=DispoMonth,SponsorDispoFeePct*ExitValue,0)</f>
        <v/>
      </c>
      <c r="EP47" s="402">
        <f>IF(EP$20=DispoMonth,SponsorDispoFeePct*ExitValue,0)</f>
        <v/>
      </c>
      <c r="EQ47" s="402">
        <f>IF(EQ$20=DispoMonth,SponsorDispoFeePct*ExitValue,0)</f>
        <v/>
      </c>
      <c r="ER47" s="402">
        <f>IF(ER$20=DispoMonth,SponsorDispoFeePct*ExitValue,0)</f>
        <v/>
      </c>
      <c r="ES47" s="402">
        <f>IF(ES$20=DispoMonth,SponsorDispoFeePct*ExitValue,0)</f>
        <v/>
      </c>
      <c r="ET47" s="402">
        <f>IF(ET$20=DispoMonth,SponsorDispoFeePct*ExitValue,0)</f>
        <v/>
      </c>
      <c r="EU47" s="402">
        <f>IF(EU$20=DispoMonth,SponsorDispoFeePct*ExitValue,0)</f>
        <v/>
      </c>
      <c r="EV47" s="402">
        <f>IF(EV$20=DispoMonth,SponsorDispoFeePct*ExitValue,0)</f>
        <v/>
      </c>
      <c r="EW47" s="402">
        <f>IF(EW$20=DispoMonth,SponsorDispoFeePct*ExitValue,0)</f>
        <v/>
      </c>
      <c r="EX47" s="402">
        <f>IF(EX$20=DispoMonth,SponsorDispoFeePct*ExitValue,0)</f>
        <v/>
      </c>
      <c r="EY47" s="402">
        <f>IF(EY$20=DispoMonth,SponsorDispoFeePct*ExitValue,0)</f>
        <v/>
      </c>
      <c r="EZ47" s="402">
        <f>IF(EZ$20=DispoMonth,SponsorDispoFeePct*ExitValue,0)</f>
        <v/>
      </c>
      <c r="FA47" s="402">
        <f>IF(FA$20=DispoMonth,SponsorDispoFeePct*ExitValue,0)</f>
        <v/>
      </c>
      <c r="FB47" s="402">
        <f>IF(FB$20=DispoMonth,SponsorDispoFeePct*ExitValue,0)</f>
        <v/>
      </c>
      <c r="FC47" s="402">
        <f>IF(FC$20=DispoMonth,SponsorDispoFeePct*ExitValue,0)</f>
        <v/>
      </c>
      <c r="FD47" s="402">
        <f>IF(FD$20=DispoMonth,SponsorDispoFeePct*ExitValue,0)</f>
        <v/>
      </c>
      <c r="FE47" s="402">
        <f>IF(FE$20=DispoMonth,SponsorDispoFeePct*ExitValue,0)</f>
        <v/>
      </c>
      <c r="FF47" s="402">
        <f>IF(FF$20=DispoMonth,SponsorDispoFeePct*ExitValue,0)</f>
        <v/>
      </c>
      <c r="FG47" s="402">
        <f>IF(FG$20=DispoMonth,SponsorDispoFeePct*ExitValue,0)</f>
        <v/>
      </c>
      <c r="FH47" s="402">
        <f>IF(FH$20=DispoMonth,SponsorDispoFeePct*ExitValue,0)</f>
        <v/>
      </c>
      <c r="FI47" s="402">
        <f>IF(FI$20=DispoMonth,SponsorDispoFeePct*ExitValue,0)</f>
        <v/>
      </c>
      <c r="FJ47" s="402">
        <f>IF(FJ$20=DispoMonth,SponsorDispoFeePct*ExitValue,0)</f>
        <v/>
      </c>
      <c r="FK47" s="402">
        <f>IF(FK$20=DispoMonth,SponsorDispoFeePct*ExitValue,0)</f>
        <v/>
      </c>
      <c r="FL47" s="402">
        <f>IF(FL$20=DispoMonth,SponsorDispoFeePct*ExitValue,0)</f>
        <v/>
      </c>
      <c r="FM47" s="402">
        <f>IF(FM$20=DispoMonth,SponsorDispoFeePct*ExitValue,0)</f>
        <v/>
      </c>
      <c r="FN47" s="402">
        <f>IF(FN$20=DispoMonth,SponsorDispoFeePct*ExitValue,0)</f>
        <v/>
      </c>
      <c r="FO47" s="402">
        <f>IF(FO$20=DispoMonth,SponsorDispoFeePct*ExitValue,0)</f>
        <v/>
      </c>
      <c r="FP47" s="402">
        <f>IF(FP$20=DispoMonth,SponsorDispoFeePct*ExitValue,0)</f>
        <v/>
      </c>
      <c r="FQ47" s="402">
        <f>IF(FQ$20=DispoMonth,SponsorDispoFeePct*ExitValue,0)</f>
        <v/>
      </c>
      <c r="FR47" s="402">
        <f>IF(FR$20=DispoMonth,SponsorDispoFeePct*ExitValue,0)</f>
        <v/>
      </c>
      <c r="FS47" s="402">
        <f>IF(FS$20=DispoMonth,SponsorDispoFeePct*ExitValue,0)</f>
        <v/>
      </c>
      <c r="FT47" s="402">
        <f>IF(FT$20=DispoMonth,SponsorDispoFeePct*ExitValue,0)</f>
        <v/>
      </c>
      <c r="FU47" s="402">
        <f>IF(FU$20=DispoMonth,SponsorDispoFeePct*ExitValue,0)</f>
        <v/>
      </c>
      <c r="FV47" s="402">
        <f>IF(FV$20=DispoMonth,SponsorDispoFeePct*ExitValue,0)</f>
        <v/>
      </c>
      <c r="FW47" s="402">
        <f>IF(FW$20=DispoMonth,SponsorDispoFeePct*ExitValue,0)</f>
        <v/>
      </c>
      <c r="FX47" s="402">
        <f>IF(FX$20=DispoMonth,SponsorDispoFeePct*ExitValue,0)</f>
        <v/>
      </c>
      <c r="FY47" s="402">
        <f>IF(FY$20=DispoMonth,SponsorDispoFeePct*ExitValue,0)</f>
        <v/>
      </c>
      <c r="FZ47" s="402">
        <f>IF(FZ$20=DispoMonth,SponsorDispoFeePct*ExitValue,0)</f>
        <v/>
      </c>
      <c r="GA47" s="402">
        <f>IF(GA$20=DispoMonth,SponsorDispoFeePct*ExitValue,0)</f>
        <v/>
      </c>
      <c r="GB47" s="402">
        <f>IF(GB$20=DispoMonth,SponsorDispoFeePct*ExitValue,0)</f>
        <v/>
      </c>
      <c r="GC47" s="402">
        <f>IF(GC$20=DispoMonth,SponsorDispoFeePct*ExitValue,0)</f>
        <v/>
      </c>
      <c r="GD47" s="402">
        <f>IF(GD$20=DispoMonth,SponsorDispoFeePct*ExitValue,0)</f>
        <v/>
      </c>
      <c r="GE47" s="402">
        <f>IF(GE$20=DispoMonth,SponsorDispoFeePct*ExitValue,0)</f>
        <v/>
      </c>
      <c r="GF47" s="402">
        <f>IF(GF$20=DispoMonth,SponsorDispoFeePct*ExitValue,0)</f>
        <v/>
      </c>
      <c r="GG47" s="402">
        <f>IF(GG$20=DispoMonth,SponsorDispoFeePct*ExitValue,0)</f>
        <v/>
      </c>
      <c r="GH47" s="402">
        <f>IF(GH$20=DispoMonth,SponsorDispoFeePct*ExitValue,0)</f>
        <v/>
      </c>
      <c r="GI47" s="402">
        <f>IF(GI$20=DispoMonth,SponsorDispoFeePct*ExitValue,0)</f>
        <v/>
      </c>
      <c r="GJ47" s="402">
        <f>IF(GJ$20=DispoMonth,SponsorDispoFeePct*ExitValue,0)</f>
        <v/>
      </c>
      <c r="GK47" s="402">
        <f>IF(GK$20=DispoMonth,SponsorDispoFeePct*ExitValue,0)</f>
        <v/>
      </c>
      <c r="GL47" s="402">
        <f>IF(GL$20=DispoMonth,SponsorDispoFeePct*ExitValue,0)</f>
        <v/>
      </c>
      <c r="GM47" s="402">
        <f>IF(GM$20=DispoMonth,SponsorDispoFeePct*ExitValue,0)</f>
        <v/>
      </c>
      <c r="GN47" s="402">
        <f>IF(GN$20=DispoMonth,SponsorDispoFeePct*ExitValue,0)</f>
        <v/>
      </c>
      <c r="GO47" s="402">
        <f>IF(GO$20=DispoMonth,SponsorDispoFeePct*ExitValue,0)</f>
        <v/>
      </c>
      <c r="GP47" s="402">
        <f>IF(GP$20=DispoMonth,SponsorDispoFeePct*ExitValue,0)</f>
        <v/>
      </c>
      <c r="GQ47" s="402">
        <f>IF(GQ$20=DispoMonth,SponsorDispoFeePct*ExitValue,0)</f>
        <v/>
      </c>
      <c r="GR47" s="402">
        <f>IF(GR$20=DispoMonth,SponsorDispoFeePct*ExitValue,0)</f>
        <v/>
      </c>
      <c r="GS47" s="402">
        <f>IF(GS$20=DispoMonth,SponsorDispoFeePct*ExitValue,0)</f>
        <v/>
      </c>
      <c r="GT47" s="402">
        <f>IF(GT$20=DispoMonth,SponsorDispoFeePct*ExitValue,0)</f>
        <v/>
      </c>
      <c r="GU47" s="402">
        <f>IF(GU$20=DispoMonth,SponsorDispoFeePct*ExitValue,0)</f>
        <v/>
      </c>
      <c r="GV47" s="402">
        <f>IF(GV$20=DispoMonth,SponsorDispoFeePct*ExitValue,0)</f>
        <v/>
      </c>
      <c r="GW47" s="402">
        <f>IF(GW$20=DispoMonth,SponsorDispoFeePct*ExitValue,0)</f>
        <v/>
      </c>
      <c r="GX47" s="402">
        <f>IF(GX$20=DispoMonth,SponsorDispoFeePct*ExitValue,0)</f>
        <v/>
      </c>
      <c r="GY47" s="402">
        <f>IF(GY$20=DispoMonth,SponsorDispoFeePct*ExitValue,0)</f>
        <v/>
      </c>
      <c r="GZ47" s="402">
        <f>IF(GZ$20=DispoMonth,SponsorDispoFeePct*ExitValue,0)</f>
        <v/>
      </c>
      <c r="HA47" s="402">
        <f>IF(HA$20=DispoMonth,SponsorDispoFeePct*ExitValue,0)</f>
        <v/>
      </c>
      <c r="HB47" s="402">
        <f>IF(HB$20=DispoMonth,SponsorDispoFeePct*ExitValue,0)</f>
        <v/>
      </c>
      <c r="HC47" s="402">
        <f>IF(HC$20=DispoMonth,SponsorDispoFeePct*ExitValue,0)</f>
        <v/>
      </c>
      <c r="HD47" s="402">
        <f>IF(HD$20=DispoMonth,SponsorDispoFeePct*ExitValue,0)</f>
        <v/>
      </c>
      <c r="HE47" s="402">
        <f>IF(HE$20=DispoMonth,SponsorDispoFeePct*ExitValue,0)</f>
        <v/>
      </c>
      <c r="HF47" s="402">
        <f>IF(HF$20=DispoMonth,SponsorDispoFeePct*ExitValue,0)</f>
        <v/>
      </c>
      <c r="HG47" s="402">
        <f>IF(HG$20=DispoMonth,SponsorDispoFeePct*ExitValue,0)</f>
        <v/>
      </c>
      <c r="HH47" s="402">
        <f>IF(HH$20=DispoMonth,SponsorDispoFeePct*ExitValue,0)</f>
        <v/>
      </c>
      <c r="HI47" s="402">
        <f>IF(HI$20=DispoMonth,SponsorDispoFeePct*ExitValue,0)</f>
        <v/>
      </c>
      <c r="HJ47" s="402">
        <f>IF(HJ$20=DispoMonth,SponsorDispoFeePct*ExitValue,0)</f>
        <v/>
      </c>
      <c r="HK47" s="402">
        <f>IF(HK$20=DispoMonth,SponsorDispoFeePct*ExitValue,0)</f>
        <v/>
      </c>
      <c r="HL47" s="402">
        <f>IF(HL$20=DispoMonth,SponsorDispoFeePct*ExitValue,0)</f>
        <v/>
      </c>
      <c r="HM47" s="402">
        <f>IF(HM$20=DispoMonth,SponsorDispoFeePct*ExitValue,0)</f>
        <v/>
      </c>
      <c r="HN47" s="402">
        <f>IF(HN$20=DispoMonth,SponsorDispoFeePct*ExitValue,0)</f>
        <v/>
      </c>
      <c r="HO47" s="402">
        <f>IF(HO$20=DispoMonth,SponsorDispoFeePct*ExitValue,0)</f>
        <v/>
      </c>
      <c r="HP47" s="402">
        <f>IF(HP$20=DispoMonth,SponsorDispoFeePct*ExitValue,0)</f>
        <v/>
      </c>
      <c r="HQ47" s="402">
        <f>IF(HQ$20=DispoMonth,SponsorDispoFeePct*ExitValue,0)</f>
        <v/>
      </c>
      <c r="HR47" s="402">
        <f>IF(HR$20=DispoMonth,SponsorDispoFeePct*ExitValue,0)</f>
        <v/>
      </c>
      <c r="HS47" s="402">
        <f>IF(HS$20=DispoMonth,SponsorDispoFeePct*ExitValue,0)</f>
        <v/>
      </c>
      <c r="HT47" s="402">
        <f>IF(HT$20=DispoMonth,SponsorDispoFeePct*ExitValue,0)</f>
        <v/>
      </c>
      <c r="HU47" s="402">
        <f>IF(HU$20=DispoMonth,SponsorDispoFeePct*ExitValue,0)</f>
        <v/>
      </c>
      <c r="HV47" s="402">
        <f>IF(HV$20=DispoMonth,SponsorDispoFeePct*ExitValue,0)</f>
        <v/>
      </c>
      <c r="HW47" s="402">
        <f>IF(HW$20=DispoMonth,SponsorDispoFeePct*ExitValue,0)</f>
        <v/>
      </c>
      <c r="HX47" s="402">
        <f>IF(HX$20=DispoMonth,SponsorDispoFeePct*ExitValue,0)</f>
        <v/>
      </c>
      <c r="HY47" s="402">
        <f>IF(HY$20=DispoMonth,SponsorDispoFeePct*ExitValue,0)</f>
        <v/>
      </c>
      <c r="HZ47" s="402">
        <f>IF(HZ$20=DispoMonth,SponsorDispoFeePct*ExitValue,0)</f>
        <v/>
      </c>
      <c r="IA47" s="402">
        <f>IF(IA$20=DispoMonth,SponsorDispoFeePct*ExitValue,0)</f>
        <v/>
      </c>
      <c r="IB47" s="402">
        <f>IF(IB$20=DispoMonth,SponsorDispoFeePct*ExitValue,0)</f>
        <v/>
      </c>
      <c r="IC47" s="402">
        <f>IF(IC$20=DispoMonth,SponsorDispoFeePct*ExitValue,0)</f>
        <v/>
      </c>
      <c r="ID47" s="402">
        <f>IF(ID$20=DispoMonth,SponsorDispoFeePct*ExitValue,0)</f>
        <v/>
      </c>
      <c r="IE47" s="402">
        <f>IF(IE$20=DispoMonth,SponsorDispoFeePct*ExitValue,0)</f>
        <v/>
      </c>
      <c r="IF47" s="402">
        <f>IF(IF$20=DispoMonth,SponsorDispoFeePct*ExitValue,0)</f>
        <v/>
      </c>
      <c r="IG47" s="402">
        <f>IF(IG$20=DispoMonth,SponsorDispoFeePct*ExitValue,0)</f>
        <v/>
      </c>
      <c r="IH47" s="402">
        <f>IF(IH$20=DispoMonth,SponsorDispoFeePct*ExitValue,0)</f>
        <v/>
      </c>
      <c r="II47" s="402">
        <f>IF(II$20=DispoMonth,SponsorDispoFeePct*ExitValue,0)</f>
        <v/>
      </c>
      <c r="IJ47" s="402">
        <f>IF(IJ$20=DispoMonth,SponsorDispoFeePct*ExitValue,0)</f>
        <v/>
      </c>
      <c r="IK47" s="402">
        <f>IF(IK$20=DispoMonth,SponsorDispoFeePct*ExitValue,0)</f>
        <v/>
      </c>
      <c r="IL47" s="402">
        <f>IF(IL$20=DispoMonth,SponsorDispoFeePct*ExitValue,0)</f>
        <v/>
      </c>
      <c r="IM47" s="402">
        <f>IF(IM$20=DispoMonth,SponsorDispoFeePct*ExitValue,0)</f>
        <v/>
      </c>
      <c r="IN47" s="402">
        <f>IF(IN$20=DispoMonth,SponsorDispoFeePct*ExitValue,0)</f>
        <v/>
      </c>
      <c r="IO47" s="402">
        <f>IF(IO$20=DispoMonth,SponsorDispoFeePct*ExitValue,0)</f>
        <v/>
      </c>
      <c r="IP47" s="402">
        <f>IF(IP$20=DispoMonth,SponsorDispoFeePct*ExitValue,0)</f>
        <v/>
      </c>
      <c r="IQ47" s="402">
        <f>IF(IQ$20=DispoMonth,SponsorDispoFeePct*ExitValue,0)</f>
        <v/>
      </c>
      <c r="IR47" s="402">
        <f>IF(IR$20=DispoMonth,SponsorDispoFeePct*ExitValue,0)</f>
        <v/>
      </c>
      <c r="IS47" s="402">
        <f>IF(IS$20=DispoMonth,SponsorDispoFeePct*ExitValue,0)</f>
        <v/>
      </c>
      <c r="IT47" s="402">
        <f>IF(IT$20=DispoMonth,SponsorDispoFeePct*ExitValue,0)</f>
        <v/>
      </c>
      <c r="IU47" s="402">
        <f>IF(IU$20=DispoMonth,SponsorDispoFeePct*ExitValue,0)</f>
        <v/>
      </c>
      <c r="IV47" s="402">
        <f>IF(IV$20=DispoMonth,SponsorDispoFeePct*ExitValue,0)</f>
        <v/>
      </c>
      <c r="IW47" s="402">
        <f>IF(IW$20=DispoMonth,SponsorDispoFeePct*ExitValue,0)</f>
        <v/>
      </c>
      <c r="IX47" s="402">
        <f>IF(IX$20=DispoMonth,SponsorDispoFeePct*ExitValue,0)</f>
        <v/>
      </c>
      <c r="IY47" s="402">
        <f>IF(IY$20=DispoMonth,SponsorDispoFeePct*ExitValue,0)</f>
        <v/>
      </c>
      <c r="IZ47" s="402">
        <f>IF(IZ$20=DispoMonth,SponsorDispoFeePct*ExitValue,0)</f>
        <v/>
      </c>
      <c r="JA47" s="402">
        <f>IF(JA$20=DispoMonth,SponsorDispoFeePct*ExitValue,0)</f>
        <v/>
      </c>
      <c r="JB47" s="402">
        <f>IF(JB$20=DispoMonth,SponsorDispoFeePct*ExitValue,0)</f>
        <v/>
      </c>
      <c r="JC47" s="402">
        <f>IF(JC$20=DispoMonth,SponsorDispoFeePct*ExitValue,0)</f>
        <v/>
      </c>
      <c r="JD47" s="402">
        <f>IF(JD$20=DispoMonth,SponsorDispoFeePct*ExitValue,0)</f>
        <v/>
      </c>
      <c r="JE47" s="402">
        <f>IF(JE$20=DispoMonth,SponsorDispoFeePct*ExitValue,0)</f>
        <v/>
      </c>
      <c r="JF47" s="402">
        <f>IF(JF$20=DispoMonth,SponsorDispoFeePct*ExitValue,0)</f>
        <v/>
      </c>
      <c r="JG47" s="402">
        <f>IF(JG$20=DispoMonth,SponsorDispoFeePct*ExitValue,0)</f>
        <v/>
      </c>
      <c r="JH47" s="402">
        <f>IF(JH$20=DispoMonth,SponsorDispoFeePct*ExitValue,0)</f>
        <v/>
      </c>
      <c r="JI47" s="402">
        <f>IF(JI$20=DispoMonth,SponsorDispoFeePct*ExitValue,0)</f>
        <v/>
      </c>
      <c r="JJ47" s="402">
        <f>IF(JJ$20=DispoMonth,SponsorDispoFeePct*ExitValue,0)</f>
        <v/>
      </c>
      <c r="JK47" s="402">
        <f>IF(JK$20=DispoMonth,SponsorDispoFeePct*ExitValue,0)</f>
        <v/>
      </c>
      <c r="JL47" s="402">
        <f>IF(JL$20=DispoMonth,SponsorDispoFeePct*ExitValue,0)</f>
        <v/>
      </c>
      <c r="JM47" s="402">
        <f>IF(JM$20=DispoMonth,SponsorDispoFeePct*ExitValue,0)</f>
        <v/>
      </c>
      <c r="JN47" s="402">
        <f>IF(JN$20=DispoMonth,SponsorDispoFeePct*ExitValue,0)</f>
        <v/>
      </c>
      <c r="JO47" s="402">
        <f>IF(JO$20=DispoMonth,SponsorDispoFeePct*ExitValue,0)</f>
        <v/>
      </c>
      <c r="JP47" s="402">
        <f>IF(JP$20=DispoMonth,SponsorDispoFeePct*ExitValue,0)</f>
        <v/>
      </c>
      <c r="JQ47" s="402">
        <f>IF(JQ$20=DispoMonth,SponsorDispoFeePct*ExitValue,0)</f>
        <v/>
      </c>
      <c r="JR47" s="402">
        <f>IF(JR$20=DispoMonth,SponsorDispoFeePct*ExitValue,0)</f>
        <v/>
      </c>
      <c r="JS47" s="402">
        <f>IF(JS$20=DispoMonth,SponsorDispoFeePct*ExitValue,0)</f>
        <v/>
      </c>
      <c r="JT47" s="402">
        <f>IF(JT$20=DispoMonth,SponsorDispoFeePct*ExitValue,0)</f>
        <v/>
      </c>
      <c r="JU47" s="402">
        <f>IF(JU$20=DispoMonth,SponsorDispoFeePct*ExitValue,0)</f>
        <v/>
      </c>
      <c r="JV47" s="402">
        <f>IF(JV$20=DispoMonth,SponsorDispoFeePct*ExitValue,0)</f>
        <v/>
      </c>
      <c r="JW47" s="402">
        <f>IF(JW$20=DispoMonth,SponsorDispoFeePct*ExitValue,0)</f>
        <v/>
      </c>
      <c r="JX47" s="402">
        <f>IF(JX$20=DispoMonth,SponsorDispoFeePct*ExitValue,0)</f>
        <v/>
      </c>
      <c r="JY47" s="402">
        <f>IF(JY$20=DispoMonth,SponsorDispoFeePct*ExitValue,0)</f>
        <v/>
      </c>
      <c r="JZ47" s="402">
        <f>IF(JZ$20=DispoMonth,SponsorDispoFeePct*ExitValue,0)</f>
        <v/>
      </c>
      <c r="KA47" s="402">
        <f>IF(KA$20=DispoMonth,SponsorDispoFeePct*ExitValue,0)</f>
        <v/>
      </c>
      <c r="KB47" s="402">
        <f>IF(KB$20=DispoMonth,SponsorDispoFeePct*ExitValue,0)</f>
        <v/>
      </c>
      <c r="KC47" s="402">
        <f>IF(KC$20=DispoMonth,SponsorDispoFeePct*ExitValue,0)</f>
        <v/>
      </c>
      <c r="KD47" s="402">
        <f>IF(KD$20=DispoMonth,SponsorDispoFeePct*ExitValue,0)</f>
        <v/>
      </c>
      <c r="KE47" s="402">
        <f>IF(KE$20=DispoMonth,SponsorDispoFeePct*ExitValue,0)</f>
        <v/>
      </c>
      <c r="KF47" s="402">
        <f>IF(KF$20=DispoMonth,SponsorDispoFeePct*ExitValue,0)</f>
        <v/>
      </c>
      <c r="KG47" s="402">
        <f>IF(KG$20=DispoMonth,SponsorDispoFeePct*ExitValue,0)</f>
        <v/>
      </c>
      <c r="KH47" s="402">
        <f>IF(KH$20=DispoMonth,SponsorDispoFeePct*ExitValue,0)</f>
        <v/>
      </c>
      <c r="KI47" s="402">
        <f>IF(KI$20=DispoMonth,SponsorDispoFeePct*ExitValue,0)</f>
        <v/>
      </c>
      <c r="KJ47" s="402">
        <f>IF(KJ$20=DispoMonth,SponsorDispoFeePct*ExitValue,0)</f>
        <v/>
      </c>
      <c r="KK47" s="402">
        <f>IF(KK$20=DispoMonth,SponsorDispoFeePct*ExitValue,0)</f>
        <v/>
      </c>
      <c r="KL47" s="402">
        <f>IF(KL$20=DispoMonth,SponsorDispoFeePct*ExitValue,0)</f>
        <v/>
      </c>
      <c r="KM47" s="402">
        <f>IF(KM$20=DispoMonth,SponsorDispoFeePct*ExitValue,0)</f>
        <v/>
      </c>
      <c r="KN47" s="402">
        <f>IF(KN$20=DispoMonth,SponsorDispoFeePct*ExitValue,0)</f>
        <v/>
      </c>
      <c r="KO47" s="402">
        <f>IF(KO$20=DispoMonth,SponsorDispoFeePct*ExitValue,0)</f>
        <v/>
      </c>
      <c r="KP47" s="402">
        <f>IF(KP$20=DispoMonth,SponsorDispoFeePct*ExitValue,0)</f>
        <v/>
      </c>
      <c r="KQ47" s="402">
        <f>IF(KQ$20=DispoMonth,SponsorDispoFeePct*ExitValue,0)</f>
        <v/>
      </c>
      <c r="KR47" s="402">
        <f>IF(KR$20=DispoMonth,SponsorDispoFeePct*ExitValue,0)</f>
        <v/>
      </c>
      <c r="KS47" s="402">
        <f>IF(KS$20=DispoMonth,SponsorDispoFeePct*ExitValue,0)</f>
        <v/>
      </c>
      <c r="KT47" s="402">
        <f>IF(KT$20=DispoMonth,SponsorDispoFeePct*ExitValue,0)</f>
        <v/>
      </c>
      <c r="KU47" s="402">
        <f>IF(KU$20=DispoMonth,SponsorDispoFeePct*ExitValue,0)</f>
        <v/>
      </c>
      <c r="KV47" s="402">
        <f>IF(KV$20=DispoMonth,SponsorDispoFeePct*ExitValue,0)</f>
        <v/>
      </c>
      <c r="KW47" s="402">
        <f>IF(KW$20=DispoMonth,SponsorDispoFeePct*ExitValue,0)</f>
        <v/>
      </c>
      <c r="KX47" s="402">
        <f>IF(KX$20=DispoMonth,SponsorDispoFeePct*ExitValue,0)</f>
        <v/>
      </c>
      <c r="KY47" s="402">
        <f>IF(KY$20=DispoMonth,SponsorDispoFeePct*ExitValue,0)</f>
        <v/>
      </c>
      <c r="KZ47" s="402">
        <f>IF(KZ$20=DispoMonth,SponsorDispoFeePct*ExitValue,0)</f>
        <v/>
      </c>
      <c r="LA47" s="402">
        <f>IF(LA$20=DispoMonth,SponsorDispoFeePct*ExitValue,0)</f>
        <v/>
      </c>
      <c r="LB47" s="402">
        <f>IF(LB$20=DispoMonth,SponsorDispoFeePct*ExitValue,0)</f>
        <v/>
      </c>
      <c r="LC47" s="402">
        <f>IF(LC$20=DispoMonth,SponsorDispoFeePct*ExitValue,0)</f>
        <v/>
      </c>
      <c r="LD47" s="402">
        <f>IF(LD$20=DispoMonth,SponsorDispoFeePct*ExitValue,0)</f>
        <v/>
      </c>
      <c r="LE47" s="402">
        <f>IF(LE$20=DispoMonth,SponsorDispoFeePct*ExitValue,0)</f>
        <v/>
      </c>
      <c r="LF47" s="402">
        <f>IF(LF$20=DispoMonth,SponsorDispoFeePct*ExitValue,0)</f>
        <v/>
      </c>
      <c r="LG47" s="402">
        <f>IF(LG$20=DispoMonth,SponsorDispoFeePct*ExitValue,0)</f>
        <v/>
      </c>
      <c r="LH47" s="402">
        <f>IF(LH$20=DispoMonth,SponsorDispoFeePct*ExitValue,0)</f>
        <v/>
      </c>
      <c r="LI47" s="402">
        <f>IF(LI$20=DispoMonth,SponsorDispoFeePct*ExitValue,0)</f>
        <v/>
      </c>
      <c r="LJ47" s="402">
        <f>IF(LJ$20=DispoMonth,SponsorDispoFeePct*ExitValue,0)</f>
        <v/>
      </c>
      <c r="LK47" s="402">
        <f>IF(LK$20=DispoMonth,SponsorDispoFeePct*ExitValue,0)</f>
        <v/>
      </c>
      <c r="LL47" s="402">
        <f>IF(LL$20=DispoMonth,SponsorDispoFeePct*ExitValue,0)</f>
        <v/>
      </c>
      <c r="LM47" s="402">
        <f>IF(LM$20=DispoMonth,SponsorDispoFeePct*ExitValue,0)</f>
        <v/>
      </c>
      <c r="LN47" s="402">
        <f>IF(LN$20=DispoMonth,SponsorDispoFeePct*ExitValue,0)</f>
        <v/>
      </c>
      <c r="LO47" s="402">
        <f>IF(LO$20=DispoMonth,SponsorDispoFeePct*ExitValue,0)</f>
        <v/>
      </c>
      <c r="LP47" s="402">
        <f>IF(LP$20=DispoMonth,SponsorDispoFeePct*ExitValue,0)</f>
        <v/>
      </c>
      <c r="LQ47" s="402">
        <f>IF(LQ$20=DispoMonth,SponsorDispoFeePct*ExitValue,0)</f>
        <v/>
      </c>
      <c r="LR47" s="402">
        <f>IF(LR$20=DispoMonth,SponsorDispoFeePct*ExitValue,0)</f>
        <v/>
      </c>
      <c r="LS47" s="402">
        <f>IF(LS$20=DispoMonth,SponsorDispoFeePct*ExitValue,0)</f>
        <v/>
      </c>
      <c r="LT47" s="402">
        <f>IF(LT$20=DispoMonth,SponsorDispoFeePct*ExitValue,0)</f>
        <v/>
      </c>
      <c r="LU47" s="402">
        <f>IF(LU$20=DispoMonth,SponsorDispoFeePct*ExitValue,0)</f>
        <v/>
      </c>
      <c r="LV47" s="402">
        <f>IF(LV$20=DispoMonth,SponsorDispoFeePct*ExitValue,0)</f>
        <v/>
      </c>
      <c r="LW47" s="402">
        <f>IF(LW$20=DispoMonth,SponsorDispoFeePct*ExitValue,0)</f>
        <v/>
      </c>
      <c r="LX47" s="402">
        <f>IF(LX$20=DispoMonth,SponsorDispoFeePct*ExitValue,0)</f>
        <v/>
      </c>
      <c r="LY47" s="402">
        <f>IF(LY$20=DispoMonth,SponsorDispoFeePct*ExitValue,0)</f>
        <v/>
      </c>
      <c r="LZ47" s="402">
        <f>IF(LZ$20=DispoMonth,SponsorDispoFeePct*ExitValue,0)</f>
        <v/>
      </c>
      <c r="MA47" s="402">
        <f>IF(MA$20=DispoMonth,SponsorDispoFeePct*ExitValue,0)</f>
        <v/>
      </c>
      <c r="MB47" s="402">
        <f>IF(MB$20=DispoMonth,SponsorDispoFeePct*ExitValue,0)</f>
        <v/>
      </c>
      <c r="MC47" s="402">
        <f>IF(MC$20=DispoMonth,SponsorDispoFeePct*ExitValue,0)</f>
        <v/>
      </c>
      <c r="MD47" s="402">
        <f>IF(MD$20=DispoMonth,SponsorDispoFeePct*ExitValue,0)</f>
        <v/>
      </c>
      <c r="ME47" s="402">
        <f>IF(ME$20=DispoMonth,SponsorDispoFeePct*ExitValue,0)</f>
        <v/>
      </c>
      <c r="MF47" s="402">
        <f>IF(MF$20=DispoMonth,SponsorDispoFeePct*ExitValue,0)</f>
        <v/>
      </c>
      <c r="MG47" s="402">
        <f>IF(MG$20=DispoMonth,SponsorDispoFeePct*ExitValue,0)</f>
        <v/>
      </c>
      <c r="MH47" s="402">
        <f>IF(MH$20=DispoMonth,SponsorDispoFeePct*ExitValue,0)</f>
        <v/>
      </c>
      <c r="MI47" s="402">
        <f>IF(MI$20=DispoMonth,SponsorDispoFeePct*ExitValue,0)</f>
        <v/>
      </c>
      <c r="MJ47" s="402">
        <f>IF(MJ$20=DispoMonth,SponsorDispoFeePct*ExitValue,0)</f>
        <v/>
      </c>
      <c r="MK47" s="402">
        <f>IF(MK$20=DispoMonth,SponsorDispoFeePct*ExitValue,0)</f>
        <v/>
      </c>
      <c r="ML47" s="402">
        <f>IF(ML$20=DispoMonth,SponsorDispoFeePct*ExitValue,0)</f>
        <v/>
      </c>
      <c r="MM47" s="402">
        <f>IF(MM$20=DispoMonth,SponsorDispoFeePct*ExitValue,0)</f>
        <v/>
      </c>
      <c r="MN47" s="402">
        <f>IF(MN$20=DispoMonth,SponsorDispoFeePct*ExitValue,0)</f>
        <v/>
      </c>
      <c r="MO47" s="402">
        <f>IF(MO$20=DispoMonth,SponsorDispoFeePct*ExitValue,0)</f>
        <v/>
      </c>
      <c r="MP47" s="402">
        <f>IF(MP$20=DispoMonth,SponsorDispoFeePct*ExitValue,0)</f>
        <v/>
      </c>
      <c r="MQ47" s="402">
        <f>IF(MQ$20=DispoMonth,SponsorDispoFeePct*ExitValue,0)</f>
        <v/>
      </c>
      <c r="MR47" s="402">
        <f>IF(MR$20=DispoMonth,SponsorDispoFeePct*ExitValue,0)</f>
        <v/>
      </c>
      <c r="MS47" s="402">
        <f>IF(MS$20=DispoMonth,SponsorDispoFeePct*ExitValue,0)</f>
        <v/>
      </c>
      <c r="MT47" s="402">
        <f>IF(MT$20=DispoMonth,SponsorDispoFeePct*ExitValue,0)</f>
        <v/>
      </c>
      <c r="MU47" s="402">
        <f>IF(MU$20=DispoMonth,SponsorDispoFeePct*ExitValue,0)</f>
        <v/>
      </c>
      <c r="MV47" s="402">
        <f>IF(MV$20=DispoMonth,SponsorDispoFeePct*ExitValue,0)</f>
        <v/>
      </c>
      <c r="MW47" s="402">
        <f>IF(MW$20=DispoMonth,SponsorDispoFeePct*ExitValue,0)</f>
        <v/>
      </c>
      <c r="MX47" s="402">
        <f>IF(MX$20=DispoMonth,SponsorDispoFeePct*ExitValue,0)</f>
        <v/>
      </c>
      <c r="MY47" s="402">
        <f>IF(MY$20=DispoMonth,SponsorDispoFeePct*ExitValue,0)</f>
        <v/>
      </c>
      <c r="MZ47" s="402">
        <f>IF(MZ$20=DispoMonth,SponsorDispoFeePct*ExitValue,0)</f>
        <v/>
      </c>
      <c r="NA47" s="402">
        <f>IF(NA$20=DispoMonth,SponsorDispoFeePct*ExitValue,0)</f>
        <v/>
      </c>
      <c r="NB47" s="402">
        <f>IF(NB$20=DispoMonth,SponsorDispoFeePct*ExitValue,0)</f>
        <v/>
      </c>
      <c r="NC47" s="402">
        <f>IF(NC$20=DispoMonth,SponsorDispoFeePct*ExitValue,0)</f>
        <v/>
      </c>
      <c r="ND47" s="402">
        <f>IF(ND$20=DispoMonth,SponsorDispoFeePct*ExitValue,0)</f>
        <v/>
      </c>
      <c r="NE47" s="402">
        <f>IF(NE$20=DispoMonth,SponsorDispoFeePct*ExitValue,0)</f>
        <v/>
      </c>
      <c r="NF47" s="402">
        <f>IF(NF$20=DispoMonth,SponsorDispoFeePct*ExitValue,0)</f>
        <v/>
      </c>
      <c r="NG47" s="402">
        <f>IF(NG$20=DispoMonth,SponsorDispoFeePct*ExitValue,0)</f>
        <v/>
      </c>
      <c r="NH47" s="402">
        <f>IF(NH$20=DispoMonth,SponsorDispoFeePct*ExitValue,0)</f>
        <v/>
      </c>
      <c r="NI47" s="402">
        <f>IF(NI$20=DispoMonth,SponsorDispoFeePct*ExitValue,0)</f>
        <v/>
      </c>
      <c r="NJ47" s="402">
        <f>IF(NJ$20=DispoMonth,SponsorDispoFeePct*ExitValue,0)</f>
        <v/>
      </c>
      <c r="NK47" s="402">
        <f>IF(NK$20=DispoMonth,SponsorDispoFeePct*ExitValue,0)</f>
        <v/>
      </c>
      <c r="NL47" s="402">
        <f>IF(NL$20=DispoMonth,SponsorDispoFeePct*ExitValue,0)</f>
        <v/>
      </c>
    </row>
    <row r="48">
      <c r="B48" s="328" t="inlineStr">
        <is>
          <t>GP Net Cash Flow incl. Fees</t>
        </is>
      </c>
      <c r="D48" s="407">
        <f>SUM(E48:NL48)</f>
        <v/>
      </c>
      <c r="E48" s="402">
        <f>E42+E45+E46+E47</f>
        <v/>
      </c>
      <c r="F48" s="402">
        <f>F42+F45+F46+F47</f>
        <v/>
      </c>
      <c r="G48" s="402">
        <f>G42+G45+G46+G47</f>
        <v/>
      </c>
      <c r="H48" s="402">
        <f>H42+H45+H46+H47</f>
        <v/>
      </c>
      <c r="I48" s="402">
        <f>I42+I45+I46+I47</f>
        <v/>
      </c>
      <c r="J48" s="402">
        <f>J42+J45+J46+J47</f>
        <v/>
      </c>
      <c r="K48" s="402">
        <f>K42+K45+K46+K47</f>
        <v/>
      </c>
      <c r="L48" s="402">
        <f>L42+L45+L46+L47</f>
        <v/>
      </c>
      <c r="M48" s="402">
        <f>M42+M45+M46+M47</f>
        <v/>
      </c>
      <c r="N48" s="402">
        <f>N42+N45+N46+N47</f>
        <v/>
      </c>
      <c r="O48" s="402">
        <f>O42+O45+O46+O47</f>
        <v/>
      </c>
      <c r="P48" s="402">
        <f>P42+P45+P46+P47</f>
        <v/>
      </c>
      <c r="Q48" s="402">
        <f>Q42+Q45+Q46+Q47</f>
        <v/>
      </c>
      <c r="R48" s="402">
        <f>R42+R45+R46+R47</f>
        <v/>
      </c>
      <c r="S48" s="402">
        <f>S42+S45+S46+S47</f>
        <v/>
      </c>
      <c r="T48" s="402">
        <f>T42+T45+T46+T47</f>
        <v/>
      </c>
      <c r="U48" s="402">
        <f>U42+U45+U46+U47</f>
        <v/>
      </c>
      <c r="V48" s="402">
        <f>V42+V45+V46+V47</f>
        <v/>
      </c>
      <c r="W48" s="402">
        <f>W42+W45+W46+W47</f>
        <v/>
      </c>
      <c r="X48" s="402">
        <f>X42+X45+X46+X47</f>
        <v/>
      </c>
      <c r="Y48" s="402">
        <f>Y42+Y45+Y46+Y47</f>
        <v/>
      </c>
      <c r="Z48" s="402">
        <f>Z42+Z45+Z46+Z47</f>
        <v/>
      </c>
      <c r="AA48" s="402">
        <f>AA42+AA45+AA46+AA47</f>
        <v/>
      </c>
      <c r="AB48" s="402">
        <f>AB42+AB45+AB46+AB47</f>
        <v/>
      </c>
      <c r="AC48" s="402">
        <f>AC42+AC45+AC46+AC47</f>
        <v/>
      </c>
      <c r="AD48" s="402">
        <f>AD42+AD45+AD46+AD47</f>
        <v/>
      </c>
      <c r="AE48" s="402">
        <f>AE42+AE45+AE46+AE47</f>
        <v/>
      </c>
      <c r="AF48" s="402">
        <f>AF42+AF45+AF46+AF47</f>
        <v/>
      </c>
      <c r="AG48" s="402">
        <f>AG42+AG45+AG46+AG47</f>
        <v/>
      </c>
      <c r="AH48" s="402">
        <f>AH42+AH45+AH46+AH47</f>
        <v/>
      </c>
      <c r="AI48" s="402">
        <f>AI42+AI45+AI46+AI47</f>
        <v/>
      </c>
      <c r="AJ48" s="402">
        <f>AJ42+AJ45+AJ46+AJ47</f>
        <v/>
      </c>
      <c r="AK48" s="402">
        <f>AK42+AK45+AK46+AK47</f>
        <v/>
      </c>
      <c r="AL48" s="402">
        <f>AL42+AL45+AL46+AL47</f>
        <v/>
      </c>
      <c r="AM48" s="402">
        <f>AM42+AM45+AM46+AM47</f>
        <v/>
      </c>
      <c r="AN48" s="402">
        <f>AN42+AN45+AN46+AN47</f>
        <v/>
      </c>
      <c r="AO48" s="402">
        <f>AO42+AO45+AO46+AO47</f>
        <v/>
      </c>
      <c r="AP48" s="402">
        <f>AP42+AP45+AP46+AP47</f>
        <v/>
      </c>
      <c r="AQ48" s="402">
        <f>AQ42+AQ45+AQ46+AQ47</f>
        <v/>
      </c>
      <c r="AR48" s="402">
        <f>AR42+AR45+AR46+AR47</f>
        <v/>
      </c>
      <c r="AS48" s="402">
        <f>AS42+AS45+AS46+AS47</f>
        <v/>
      </c>
      <c r="AT48" s="402">
        <f>AT42+AT45+AT46+AT47</f>
        <v/>
      </c>
      <c r="AU48" s="402">
        <f>AU42+AU45+AU46+AU47</f>
        <v/>
      </c>
      <c r="AV48" s="402">
        <f>AV42+AV45+AV46+AV47</f>
        <v/>
      </c>
      <c r="AW48" s="402">
        <f>AW42+AW45+AW46+AW47</f>
        <v/>
      </c>
      <c r="AX48" s="402">
        <f>AX42+AX45+AX46+AX47</f>
        <v/>
      </c>
      <c r="AY48" s="402">
        <f>AY42+AY45+AY46+AY47</f>
        <v/>
      </c>
      <c r="AZ48" s="402">
        <f>AZ42+AZ45+AZ46+AZ47</f>
        <v/>
      </c>
      <c r="BA48" s="402">
        <f>BA42+BA45+BA46+BA47</f>
        <v/>
      </c>
      <c r="BB48" s="402">
        <f>BB42+BB45+BB46+BB47</f>
        <v/>
      </c>
      <c r="BC48" s="402">
        <f>BC42+BC45+BC46+BC47</f>
        <v/>
      </c>
      <c r="BD48" s="402">
        <f>BD42+BD45+BD46+BD47</f>
        <v/>
      </c>
      <c r="BE48" s="402">
        <f>BE42+BE45+BE46+BE47</f>
        <v/>
      </c>
      <c r="BF48" s="402">
        <f>BF42+BF45+BF46+BF47</f>
        <v/>
      </c>
      <c r="BG48" s="402">
        <f>BG42+BG45+BG46+BG47</f>
        <v/>
      </c>
      <c r="BH48" s="402">
        <f>BH42+BH45+BH46+BH47</f>
        <v/>
      </c>
      <c r="BI48" s="402">
        <f>BI42+BI45+BI46+BI47</f>
        <v/>
      </c>
      <c r="BJ48" s="402">
        <f>BJ42+BJ45+BJ46+BJ47</f>
        <v/>
      </c>
      <c r="BK48" s="402">
        <f>BK42+BK45+BK46+BK47</f>
        <v/>
      </c>
      <c r="BL48" s="402">
        <f>BL42+BL45+BL46+BL47</f>
        <v/>
      </c>
      <c r="BM48" s="402">
        <f>BM42+BM45+BM46+BM47</f>
        <v/>
      </c>
      <c r="BN48" s="402">
        <f>BN42+BN45+BN46+BN47</f>
        <v/>
      </c>
      <c r="BO48" s="402">
        <f>BO42+BO45+BO46+BO47</f>
        <v/>
      </c>
      <c r="BP48" s="402">
        <f>BP42+BP45+BP46+BP47</f>
        <v/>
      </c>
      <c r="BQ48" s="402">
        <f>BQ42+BQ45+BQ46+BQ47</f>
        <v/>
      </c>
      <c r="BR48" s="402">
        <f>BR42+BR45+BR46+BR47</f>
        <v/>
      </c>
      <c r="BS48" s="402">
        <f>BS42+BS45+BS46+BS47</f>
        <v/>
      </c>
      <c r="BT48" s="402">
        <f>BT42+BT45+BT46+BT47</f>
        <v/>
      </c>
      <c r="BU48" s="402">
        <f>BU42+BU45+BU46+BU47</f>
        <v/>
      </c>
      <c r="BV48" s="402">
        <f>BV42+BV45+BV46+BV47</f>
        <v/>
      </c>
      <c r="BW48" s="402">
        <f>BW42+BW45+BW46+BW47</f>
        <v/>
      </c>
      <c r="BX48" s="402">
        <f>BX42+BX45+BX46+BX47</f>
        <v/>
      </c>
      <c r="BY48" s="402">
        <f>BY42+BY45+BY46+BY47</f>
        <v/>
      </c>
      <c r="BZ48" s="402">
        <f>BZ42+BZ45+BZ46+BZ47</f>
        <v/>
      </c>
      <c r="CA48" s="402">
        <f>CA42+CA45+CA46+CA47</f>
        <v/>
      </c>
      <c r="CB48" s="402">
        <f>CB42+CB45+CB46+CB47</f>
        <v/>
      </c>
      <c r="CC48" s="402">
        <f>CC42+CC45+CC46+CC47</f>
        <v/>
      </c>
      <c r="CD48" s="402">
        <f>CD42+CD45+CD46+CD47</f>
        <v/>
      </c>
      <c r="CE48" s="402">
        <f>CE42+CE45+CE46+CE47</f>
        <v/>
      </c>
      <c r="CF48" s="402">
        <f>CF42+CF45+CF46+CF47</f>
        <v/>
      </c>
      <c r="CG48" s="402">
        <f>CG42+CG45+CG46+CG47</f>
        <v/>
      </c>
      <c r="CH48" s="402">
        <f>CH42+CH45+CH46+CH47</f>
        <v/>
      </c>
      <c r="CI48" s="402">
        <f>CI42+CI45+CI46+CI47</f>
        <v/>
      </c>
      <c r="CJ48" s="402">
        <f>CJ42+CJ45+CJ46+CJ47</f>
        <v/>
      </c>
      <c r="CK48" s="402">
        <f>CK42+CK45+CK46+CK47</f>
        <v/>
      </c>
      <c r="CL48" s="402">
        <f>CL42+CL45+CL46+CL47</f>
        <v/>
      </c>
      <c r="CM48" s="402">
        <f>CM42+CM45+CM46+CM47</f>
        <v/>
      </c>
      <c r="CN48" s="402">
        <f>CN42+CN45+CN46+CN47</f>
        <v/>
      </c>
      <c r="CO48" s="402">
        <f>CO42+CO45+CO46+CO47</f>
        <v/>
      </c>
      <c r="CP48" s="402">
        <f>CP42+CP45+CP46+CP47</f>
        <v/>
      </c>
      <c r="CQ48" s="402">
        <f>CQ42+CQ45+CQ46+CQ47</f>
        <v/>
      </c>
      <c r="CR48" s="402">
        <f>CR42+CR45+CR46+CR47</f>
        <v/>
      </c>
      <c r="CS48" s="402">
        <f>CS42+CS45+CS46+CS47</f>
        <v/>
      </c>
      <c r="CT48" s="402">
        <f>CT42+CT45+CT46+CT47</f>
        <v/>
      </c>
      <c r="CU48" s="402">
        <f>CU42+CU45+CU46+CU47</f>
        <v/>
      </c>
      <c r="CV48" s="402">
        <f>CV42+CV45+CV46+CV47</f>
        <v/>
      </c>
      <c r="CW48" s="402">
        <f>CW42+CW45+CW46+CW47</f>
        <v/>
      </c>
      <c r="CX48" s="402">
        <f>CX42+CX45+CX46+CX47</f>
        <v/>
      </c>
      <c r="CY48" s="402">
        <f>CY42+CY45+CY46+CY47</f>
        <v/>
      </c>
      <c r="CZ48" s="402">
        <f>CZ42+CZ45+CZ46+CZ47</f>
        <v/>
      </c>
      <c r="DA48" s="402">
        <f>DA42+DA45+DA46+DA47</f>
        <v/>
      </c>
      <c r="DB48" s="402">
        <f>DB42+DB45+DB46+DB47</f>
        <v/>
      </c>
      <c r="DC48" s="402">
        <f>DC42+DC45+DC46+DC47</f>
        <v/>
      </c>
      <c r="DD48" s="402">
        <f>DD42+DD45+DD46+DD47</f>
        <v/>
      </c>
      <c r="DE48" s="402">
        <f>DE42+DE45+DE46+DE47</f>
        <v/>
      </c>
      <c r="DF48" s="402">
        <f>DF42+DF45+DF46+DF47</f>
        <v/>
      </c>
      <c r="DG48" s="402">
        <f>DG42+DG45+DG46+DG47</f>
        <v/>
      </c>
      <c r="DH48" s="402">
        <f>DH42+DH45+DH46+DH47</f>
        <v/>
      </c>
      <c r="DI48" s="402">
        <f>DI42+DI45+DI46+DI47</f>
        <v/>
      </c>
      <c r="DJ48" s="402">
        <f>DJ42+DJ45+DJ46+DJ47</f>
        <v/>
      </c>
      <c r="DK48" s="402">
        <f>DK42+DK45+DK46+DK47</f>
        <v/>
      </c>
      <c r="DL48" s="402">
        <f>DL42+DL45+DL46+DL47</f>
        <v/>
      </c>
      <c r="DM48" s="402">
        <f>DM42+DM45+DM46+DM47</f>
        <v/>
      </c>
      <c r="DN48" s="402">
        <f>DN42+DN45+DN46+DN47</f>
        <v/>
      </c>
      <c r="DO48" s="402">
        <f>DO42+DO45+DO46+DO47</f>
        <v/>
      </c>
      <c r="DP48" s="402">
        <f>DP42+DP45+DP46+DP47</f>
        <v/>
      </c>
      <c r="DQ48" s="402">
        <f>DQ42+DQ45+DQ46+DQ47</f>
        <v/>
      </c>
      <c r="DR48" s="402">
        <f>DR42+DR45+DR46+DR47</f>
        <v/>
      </c>
      <c r="DS48" s="402">
        <f>DS42+DS45+DS46+DS47</f>
        <v/>
      </c>
      <c r="DT48" s="402">
        <f>DT42+DT45+DT46+DT47</f>
        <v/>
      </c>
      <c r="DU48" s="402">
        <f>DU42+DU45+DU46+DU47</f>
        <v/>
      </c>
      <c r="DV48" s="402">
        <f>DV42+DV45+DV46+DV47</f>
        <v/>
      </c>
      <c r="DW48" s="402">
        <f>DW42+DW45+DW46+DW47</f>
        <v/>
      </c>
      <c r="DX48" s="402">
        <f>DX42+DX45+DX46+DX47</f>
        <v/>
      </c>
      <c r="DY48" s="402">
        <f>DY42+DY45+DY46+DY47</f>
        <v/>
      </c>
      <c r="DZ48" s="402">
        <f>DZ42+DZ45+DZ46+DZ47</f>
        <v/>
      </c>
      <c r="EA48" s="402">
        <f>EA42+EA45+EA46+EA47</f>
        <v/>
      </c>
      <c r="EB48" s="402">
        <f>EB42+EB45+EB46+EB47</f>
        <v/>
      </c>
      <c r="EC48" s="402">
        <f>EC42+EC45+EC46+EC47</f>
        <v/>
      </c>
      <c r="ED48" s="402">
        <f>ED42+ED45+ED46+ED47</f>
        <v/>
      </c>
      <c r="EE48" s="402">
        <f>EE42+EE45+EE46+EE47</f>
        <v/>
      </c>
      <c r="EF48" s="402">
        <f>EF42+EF45+EF46+EF47</f>
        <v/>
      </c>
      <c r="EG48" s="402">
        <f>EG42+EG45+EG46+EG47</f>
        <v/>
      </c>
      <c r="EH48" s="402">
        <f>EH42+EH45+EH46+EH47</f>
        <v/>
      </c>
      <c r="EI48" s="402">
        <f>EI42+EI45+EI46+EI47</f>
        <v/>
      </c>
      <c r="EJ48" s="402">
        <f>EJ42+EJ45+EJ46+EJ47</f>
        <v/>
      </c>
      <c r="EK48" s="402">
        <f>EK42+EK45+EK46+EK47</f>
        <v/>
      </c>
      <c r="EL48" s="402">
        <f>EL42+EL45+EL46+EL47</f>
        <v/>
      </c>
      <c r="EM48" s="402">
        <f>EM42+EM45+EM46+EM47</f>
        <v/>
      </c>
      <c r="EN48" s="402">
        <f>EN42+EN45+EN46+EN47</f>
        <v/>
      </c>
      <c r="EO48" s="402">
        <f>EO42+EO45+EO46+EO47</f>
        <v/>
      </c>
      <c r="EP48" s="402">
        <f>EP42+EP45+EP46+EP47</f>
        <v/>
      </c>
      <c r="EQ48" s="402">
        <f>EQ42+EQ45+EQ46+EQ47</f>
        <v/>
      </c>
      <c r="ER48" s="402">
        <f>ER42+ER45+ER46+ER47</f>
        <v/>
      </c>
      <c r="ES48" s="402">
        <f>ES42+ES45+ES46+ES47</f>
        <v/>
      </c>
      <c r="ET48" s="402">
        <f>ET42+ET45+ET46+ET47</f>
        <v/>
      </c>
      <c r="EU48" s="402">
        <f>EU42+EU45+EU46+EU47</f>
        <v/>
      </c>
      <c r="EV48" s="402">
        <f>EV42+EV45+EV46+EV47</f>
        <v/>
      </c>
      <c r="EW48" s="402">
        <f>EW42+EW45+EW46+EW47</f>
        <v/>
      </c>
      <c r="EX48" s="402">
        <f>EX42+EX45+EX46+EX47</f>
        <v/>
      </c>
      <c r="EY48" s="402">
        <f>EY42+EY45+EY46+EY47</f>
        <v/>
      </c>
      <c r="EZ48" s="402">
        <f>EZ42+EZ45+EZ46+EZ47</f>
        <v/>
      </c>
      <c r="FA48" s="402">
        <f>FA42+FA45+FA46+FA47</f>
        <v/>
      </c>
      <c r="FB48" s="402">
        <f>FB42+FB45+FB46+FB47</f>
        <v/>
      </c>
      <c r="FC48" s="402">
        <f>FC42+FC45+FC46+FC47</f>
        <v/>
      </c>
      <c r="FD48" s="402">
        <f>FD42+FD45+FD46+FD47</f>
        <v/>
      </c>
      <c r="FE48" s="402">
        <f>FE42+FE45+FE46+FE47</f>
        <v/>
      </c>
      <c r="FF48" s="402">
        <f>FF42+FF45+FF46+FF47</f>
        <v/>
      </c>
      <c r="FG48" s="402">
        <f>FG42+FG45+FG46+FG47</f>
        <v/>
      </c>
      <c r="FH48" s="402">
        <f>FH42+FH45+FH46+FH47</f>
        <v/>
      </c>
      <c r="FI48" s="402">
        <f>FI42+FI45+FI46+FI47</f>
        <v/>
      </c>
      <c r="FJ48" s="402">
        <f>FJ42+FJ45+FJ46+FJ47</f>
        <v/>
      </c>
      <c r="FK48" s="402">
        <f>FK42+FK45+FK46+FK47</f>
        <v/>
      </c>
      <c r="FL48" s="402">
        <f>FL42+FL45+FL46+FL47</f>
        <v/>
      </c>
      <c r="FM48" s="402">
        <f>FM42+FM45+FM46+FM47</f>
        <v/>
      </c>
      <c r="FN48" s="402">
        <f>FN42+FN45+FN46+FN47</f>
        <v/>
      </c>
      <c r="FO48" s="402">
        <f>FO42+FO45+FO46+FO47</f>
        <v/>
      </c>
      <c r="FP48" s="402">
        <f>FP42+FP45+FP46+FP47</f>
        <v/>
      </c>
      <c r="FQ48" s="402">
        <f>FQ42+FQ45+FQ46+FQ47</f>
        <v/>
      </c>
      <c r="FR48" s="402">
        <f>FR42+FR45+FR46+FR47</f>
        <v/>
      </c>
      <c r="FS48" s="402">
        <f>FS42+FS45+FS46+FS47</f>
        <v/>
      </c>
      <c r="FT48" s="402">
        <f>FT42+FT45+FT46+FT47</f>
        <v/>
      </c>
      <c r="FU48" s="402">
        <f>FU42+FU45+FU46+FU47</f>
        <v/>
      </c>
      <c r="FV48" s="402">
        <f>FV42+FV45+FV46+FV47</f>
        <v/>
      </c>
      <c r="FW48" s="402">
        <f>FW42+FW45+FW46+FW47</f>
        <v/>
      </c>
      <c r="FX48" s="402">
        <f>FX42+FX45+FX46+FX47</f>
        <v/>
      </c>
      <c r="FY48" s="402">
        <f>FY42+FY45+FY46+FY47</f>
        <v/>
      </c>
      <c r="FZ48" s="402">
        <f>FZ42+FZ45+FZ46+FZ47</f>
        <v/>
      </c>
      <c r="GA48" s="402">
        <f>GA42+GA45+GA46+GA47</f>
        <v/>
      </c>
      <c r="GB48" s="402">
        <f>GB42+GB45+GB46+GB47</f>
        <v/>
      </c>
      <c r="GC48" s="402">
        <f>GC42+GC45+GC46+GC47</f>
        <v/>
      </c>
      <c r="GD48" s="402">
        <f>GD42+GD45+GD46+GD47</f>
        <v/>
      </c>
      <c r="GE48" s="402">
        <f>GE42+GE45+GE46+GE47</f>
        <v/>
      </c>
      <c r="GF48" s="402">
        <f>GF42+GF45+GF46+GF47</f>
        <v/>
      </c>
      <c r="GG48" s="402">
        <f>GG42+GG45+GG46+GG47</f>
        <v/>
      </c>
      <c r="GH48" s="402">
        <f>GH42+GH45+GH46+GH47</f>
        <v/>
      </c>
      <c r="GI48" s="402">
        <f>GI42+GI45+GI46+GI47</f>
        <v/>
      </c>
      <c r="GJ48" s="402">
        <f>GJ42+GJ45+GJ46+GJ47</f>
        <v/>
      </c>
      <c r="GK48" s="402">
        <f>GK42+GK45+GK46+GK47</f>
        <v/>
      </c>
      <c r="GL48" s="402">
        <f>GL42+GL45+GL46+GL47</f>
        <v/>
      </c>
      <c r="GM48" s="402">
        <f>GM42+GM45+GM46+GM47</f>
        <v/>
      </c>
      <c r="GN48" s="402">
        <f>GN42+GN45+GN46+GN47</f>
        <v/>
      </c>
      <c r="GO48" s="402">
        <f>GO42+GO45+GO46+GO47</f>
        <v/>
      </c>
      <c r="GP48" s="402">
        <f>GP42+GP45+GP46+GP47</f>
        <v/>
      </c>
      <c r="GQ48" s="402">
        <f>GQ42+GQ45+GQ46+GQ47</f>
        <v/>
      </c>
      <c r="GR48" s="402">
        <f>GR42+GR45+GR46+GR47</f>
        <v/>
      </c>
      <c r="GS48" s="402">
        <f>GS42+GS45+GS46+GS47</f>
        <v/>
      </c>
      <c r="GT48" s="402">
        <f>GT42+GT45+GT46+GT47</f>
        <v/>
      </c>
      <c r="GU48" s="402">
        <f>GU42+GU45+GU46+GU47</f>
        <v/>
      </c>
      <c r="GV48" s="402">
        <f>GV42+GV45+GV46+GV47</f>
        <v/>
      </c>
      <c r="GW48" s="402">
        <f>GW42+GW45+GW46+GW47</f>
        <v/>
      </c>
      <c r="GX48" s="402">
        <f>GX42+GX45+GX46+GX47</f>
        <v/>
      </c>
      <c r="GY48" s="402">
        <f>GY42+GY45+GY46+GY47</f>
        <v/>
      </c>
      <c r="GZ48" s="402">
        <f>GZ42+GZ45+GZ46+GZ47</f>
        <v/>
      </c>
      <c r="HA48" s="402">
        <f>HA42+HA45+HA46+HA47</f>
        <v/>
      </c>
      <c r="HB48" s="402">
        <f>HB42+HB45+HB46+HB47</f>
        <v/>
      </c>
      <c r="HC48" s="402">
        <f>HC42+HC45+HC46+HC47</f>
        <v/>
      </c>
      <c r="HD48" s="402">
        <f>HD42+HD45+HD46+HD47</f>
        <v/>
      </c>
      <c r="HE48" s="402">
        <f>HE42+HE45+HE46+HE47</f>
        <v/>
      </c>
      <c r="HF48" s="402">
        <f>HF42+HF45+HF46+HF47</f>
        <v/>
      </c>
      <c r="HG48" s="402">
        <f>HG42+HG45+HG46+HG47</f>
        <v/>
      </c>
      <c r="HH48" s="402">
        <f>HH42+HH45+HH46+HH47</f>
        <v/>
      </c>
      <c r="HI48" s="402">
        <f>HI42+HI45+HI46+HI47</f>
        <v/>
      </c>
      <c r="HJ48" s="402">
        <f>HJ42+HJ45+HJ46+HJ47</f>
        <v/>
      </c>
      <c r="HK48" s="402">
        <f>HK42+HK45+HK46+HK47</f>
        <v/>
      </c>
      <c r="HL48" s="402">
        <f>HL42+HL45+HL46+HL47</f>
        <v/>
      </c>
      <c r="HM48" s="402">
        <f>HM42+HM45+HM46+HM47</f>
        <v/>
      </c>
      <c r="HN48" s="402">
        <f>HN42+HN45+HN46+HN47</f>
        <v/>
      </c>
      <c r="HO48" s="402">
        <f>HO42+HO45+HO46+HO47</f>
        <v/>
      </c>
      <c r="HP48" s="402">
        <f>HP42+HP45+HP46+HP47</f>
        <v/>
      </c>
      <c r="HQ48" s="402">
        <f>HQ42+HQ45+HQ46+HQ47</f>
        <v/>
      </c>
      <c r="HR48" s="402">
        <f>HR42+HR45+HR46+HR47</f>
        <v/>
      </c>
      <c r="HS48" s="402">
        <f>HS42+HS45+HS46+HS47</f>
        <v/>
      </c>
      <c r="HT48" s="402">
        <f>HT42+HT45+HT46+HT47</f>
        <v/>
      </c>
      <c r="HU48" s="402">
        <f>HU42+HU45+HU46+HU47</f>
        <v/>
      </c>
      <c r="HV48" s="402">
        <f>HV42+HV45+HV46+HV47</f>
        <v/>
      </c>
      <c r="HW48" s="402">
        <f>HW42+HW45+HW46+HW47</f>
        <v/>
      </c>
      <c r="HX48" s="402">
        <f>HX42+HX45+HX46+HX47</f>
        <v/>
      </c>
      <c r="HY48" s="402">
        <f>HY42+HY45+HY46+HY47</f>
        <v/>
      </c>
      <c r="HZ48" s="402">
        <f>HZ42+HZ45+HZ46+HZ47</f>
        <v/>
      </c>
      <c r="IA48" s="402">
        <f>IA42+IA45+IA46+IA47</f>
        <v/>
      </c>
      <c r="IB48" s="402">
        <f>IB42+IB45+IB46+IB47</f>
        <v/>
      </c>
      <c r="IC48" s="402">
        <f>IC42+IC45+IC46+IC47</f>
        <v/>
      </c>
      <c r="ID48" s="402">
        <f>ID42+ID45+ID46+ID47</f>
        <v/>
      </c>
      <c r="IE48" s="402">
        <f>IE42+IE45+IE46+IE47</f>
        <v/>
      </c>
      <c r="IF48" s="402">
        <f>IF42+IF45+IF46+IF47</f>
        <v/>
      </c>
      <c r="IG48" s="402">
        <f>IG42+IG45+IG46+IG47</f>
        <v/>
      </c>
      <c r="IH48" s="402">
        <f>IH42+IH45+IH46+IH47</f>
        <v/>
      </c>
      <c r="II48" s="402">
        <f>II42+II45+II46+II47</f>
        <v/>
      </c>
      <c r="IJ48" s="402">
        <f>IJ42+IJ45+IJ46+IJ47</f>
        <v/>
      </c>
      <c r="IK48" s="402">
        <f>IK42+IK45+IK46+IK47</f>
        <v/>
      </c>
      <c r="IL48" s="402">
        <f>IL42+IL45+IL46+IL47</f>
        <v/>
      </c>
      <c r="IM48" s="402">
        <f>IM42+IM45+IM46+IM47</f>
        <v/>
      </c>
      <c r="IN48" s="402">
        <f>IN42+IN45+IN46+IN47</f>
        <v/>
      </c>
      <c r="IO48" s="402">
        <f>IO42+IO45+IO46+IO47</f>
        <v/>
      </c>
      <c r="IP48" s="402">
        <f>IP42+IP45+IP46+IP47</f>
        <v/>
      </c>
      <c r="IQ48" s="402">
        <f>IQ42+IQ45+IQ46+IQ47</f>
        <v/>
      </c>
      <c r="IR48" s="402">
        <f>IR42+IR45+IR46+IR47</f>
        <v/>
      </c>
      <c r="IS48" s="402">
        <f>IS42+IS45+IS46+IS47</f>
        <v/>
      </c>
      <c r="IT48" s="402">
        <f>IT42+IT45+IT46+IT47</f>
        <v/>
      </c>
      <c r="IU48" s="402">
        <f>IU42+IU45+IU46+IU47</f>
        <v/>
      </c>
      <c r="IV48" s="402">
        <f>IV42+IV45+IV46+IV47</f>
        <v/>
      </c>
      <c r="IW48" s="402">
        <f>IW42+IW45+IW46+IW47</f>
        <v/>
      </c>
      <c r="IX48" s="402">
        <f>IX42+IX45+IX46+IX47</f>
        <v/>
      </c>
      <c r="IY48" s="402">
        <f>IY42+IY45+IY46+IY47</f>
        <v/>
      </c>
      <c r="IZ48" s="402">
        <f>IZ42+IZ45+IZ46+IZ47</f>
        <v/>
      </c>
      <c r="JA48" s="402">
        <f>JA42+JA45+JA46+JA47</f>
        <v/>
      </c>
      <c r="JB48" s="402">
        <f>JB42+JB45+JB46+JB47</f>
        <v/>
      </c>
      <c r="JC48" s="402">
        <f>JC42+JC45+JC46+JC47</f>
        <v/>
      </c>
      <c r="JD48" s="402">
        <f>JD42+JD45+JD46+JD47</f>
        <v/>
      </c>
      <c r="JE48" s="402">
        <f>JE42+JE45+JE46+JE47</f>
        <v/>
      </c>
      <c r="JF48" s="402">
        <f>JF42+JF45+JF46+JF47</f>
        <v/>
      </c>
      <c r="JG48" s="402">
        <f>JG42+JG45+JG46+JG47</f>
        <v/>
      </c>
      <c r="JH48" s="402">
        <f>JH42+JH45+JH46+JH47</f>
        <v/>
      </c>
      <c r="JI48" s="402">
        <f>JI42+JI45+JI46+JI47</f>
        <v/>
      </c>
      <c r="JJ48" s="402">
        <f>JJ42+JJ45+JJ46+JJ47</f>
        <v/>
      </c>
      <c r="JK48" s="402">
        <f>JK42+JK45+JK46+JK47</f>
        <v/>
      </c>
      <c r="JL48" s="402">
        <f>JL42+JL45+JL46+JL47</f>
        <v/>
      </c>
      <c r="JM48" s="402">
        <f>JM42+JM45+JM46+JM47</f>
        <v/>
      </c>
      <c r="JN48" s="402">
        <f>JN42+JN45+JN46+JN47</f>
        <v/>
      </c>
      <c r="JO48" s="402">
        <f>JO42+JO45+JO46+JO47</f>
        <v/>
      </c>
      <c r="JP48" s="402">
        <f>JP42+JP45+JP46+JP47</f>
        <v/>
      </c>
      <c r="JQ48" s="402">
        <f>JQ42+JQ45+JQ46+JQ47</f>
        <v/>
      </c>
      <c r="JR48" s="402">
        <f>JR42+JR45+JR46+JR47</f>
        <v/>
      </c>
      <c r="JS48" s="402">
        <f>JS42+JS45+JS46+JS47</f>
        <v/>
      </c>
      <c r="JT48" s="402">
        <f>JT42+JT45+JT46+JT47</f>
        <v/>
      </c>
      <c r="JU48" s="402">
        <f>JU42+JU45+JU46+JU47</f>
        <v/>
      </c>
      <c r="JV48" s="402">
        <f>JV42+JV45+JV46+JV47</f>
        <v/>
      </c>
      <c r="JW48" s="402">
        <f>JW42+JW45+JW46+JW47</f>
        <v/>
      </c>
      <c r="JX48" s="402">
        <f>JX42+JX45+JX46+JX47</f>
        <v/>
      </c>
      <c r="JY48" s="402">
        <f>JY42+JY45+JY46+JY47</f>
        <v/>
      </c>
      <c r="JZ48" s="402">
        <f>JZ42+JZ45+JZ46+JZ47</f>
        <v/>
      </c>
      <c r="KA48" s="402">
        <f>KA42+KA45+KA46+KA47</f>
        <v/>
      </c>
      <c r="KB48" s="402">
        <f>KB42+KB45+KB46+KB47</f>
        <v/>
      </c>
      <c r="KC48" s="402">
        <f>KC42+KC45+KC46+KC47</f>
        <v/>
      </c>
      <c r="KD48" s="402">
        <f>KD42+KD45+KD46+KD47</f>
        <v/>
      </c>
      <c r="KE48" s="402">
        <f>KE42+KE45+KE46+KE47</f>
        <v/>
      </c>
      <c r="KF48" s="402">
        <f>KF42+KF45+KF46+KF47</f>
        <v/>
      </c>
      <c r="KG48" s="402">
        <f>KG42+KG45+KG46+KG47</f>
        <v/>
      </c>
      <c r="KH48" s="402">
        <f>KH42+KH45+KH46+KH47</f>
        <v/>
      </c>
      <c r="KI48" s="402">
        <f>KI42+KI45+KI46+KI47</f>
        <v/>
      </c>
      <c r="KJ48" s="402">
        <f>KJ42+KJ45+KJ46+KJ47</f>
        <v/>
      </c>
      <c r="KK48" s="402">
        <f>KK42+KK45+KK46+KK47</f>
        <v/>
      </c>
      <c r="KL48" s="402">
        <f>KL42+KL45+KL46+KL47</f>
        <v/>
      </c>
      <c r="KM48" s="402">
        <f>KM42+KM45+KM46+KM47</f>
        <v/>
      </c>
      <c r="KN48" s="402">
        <f>KN42+KN45+KN46+KN47</f>
        <v/>
      </c>
      <c r="KO48" s="402">
        <f>KO42+KO45+KO46+KO47</f>
        <v/>
      </c>
      <c r="KP48" s="402">
        <f>KP42+KP45+KP46+KP47</f>
        <v/>
      </c>
      <c r="KQ48" s="402">
        <f>KQ42+KQ45+KQ46+KQ47</f>
        <v/>
      </c>
      <c r="KR48" s="402">
        <f>KR42+KR45+KR46+KR47</f>
        <v/>
      </c>
      <c r="KS48" s="402">
        <f>KS42+KS45+KS46+KS47</f>
        <v/>
      </c>
      <c r="KT48" s="402">
        <f>KT42+KT45+KT46+KT47</f>
        <v/>
      </c>
      <c r="KU48" s="402">
        <f>KU42+KU45+KU46+KU47</f>
        <v/>
      </c>
      <c r="KV48" s="402">
        <f>KV42+KV45+KV46+KV47</f>
        <v/>
      </c>
      <c r="KW48" s="402">
        <f>KW42+KW45+KW46+KW47</f>
        <v/>
      </c>
      <c r="KX48" s="402">
        <f>KX42+KX45+KX46+KX47</f>
        <v/>
      </c>
      <c r="KY48" s="402">
        <f>KY42+KY45+KY46+KY47</f>
        <v/>
      </c>
      <c r="KZ48" s="402">
        <f>KZ42+KZ45+KZ46+KZ47</f>
        <v/>
      </c>
      <c r="LA48" s="402">
        <f>LA42+LA45+LA46+LA47</f>
        <v/>
      </c>
      <c r="LB48" s="402">
        <f>LB42+LB45+LB46+LB47</f>
        <v/>
      </c>
      <c r="LC48" s="402">
        <f>LC42+LC45+LC46+LC47</f>
        <v/>
      </c>
      <c r="LD48" s="402">
        <f>LD42+LD45+LD46+LD47</f>
        <v/>
      </c>
      <c r="LE48" s="402">
        <f>LE42+LE45+LE46+LE47</f>
        <v/>
      </c>
      <c r="LF48" s="402">
        <f>LF42+LF45+LF46+LF47</f>
        <v/>
      </c>
      <c r="LG48" s="402">
        <f>LG42+LG45+LG46+LG47</f>
        <v/>
      </c>
      <c r="LH48" s="402">
        <f>LH42+LH45+LH46+LH47</f>
        <v/>
      </c>
      <c r="LI48" s="402">
        <f>LI42+LI45+LI46+LI47</f>
        <v/>
      </c>
      <c r="LJ48" s="402">
        <f>LJ42+LJ45+LJ46+LJ47</f>
        <v/>
      </c>
      <c r="LK48" s="402">
        <f>LK42+LK45+LK46+LK47</f>
        <v/>
      </c>
      <c r="LL48" s="402">
        <f>LL42+LL45+LL46+LL47</f>
        <v/>
      </c>
      <c r="LM48" s="402">
        <f>LM42+LM45+LM46+LM47</f>
        <v/>
      </c>
      <c r="LN48" s="402">
        <f>LN42+LN45+LN46+LN47</f>
        <v/>
      </c>
      <c r="LO48" s="402">
        <f>LO42+LO45+LO46+LO47</f>
        <v/>
      </c>
      <c r="LP48" s="402">
        <f>LP42+LP45+LP46+LP47</f>
        <v/>
      </c>
      <c r="LQ48" s="402">
        <f>LQ42+LQ45+LQ46+LQ47</f>
        <v/>
      </c>
      <c r="LR48" s="402">
        <f>LR42+LR45+LR46+LR47</f>
        <v/>
      </c>
      <c r="LS48" s="402">
        <f>LS42+LS45+LS46+LS47</f>
        <v/>
      </c>
      <c r="LT48" s="402">
        <f>LT42+LT45+LT46+LT47</f>
        <v/>
      </c>
      <c r="LU48" s="402">
        <f>LU42+LU45+LU46+LU47</f>
        <v/>
      </c>
      <c r="LV48" s="402">
        <f>LV42+LV45+LV46+LV47</f>
        <v/>
      </c>
      <c r="LW48" s="402">
        <f>LW42+LW45+LW46+LW47</f>
        <v/>
      </c>
      <c r="LX48" s="402">
        <f>LX42+LX45+LX46+LX47</f>
        <v/>
      </c>
      <c r="LY48" s="402">
        <f>LY42+LY45+LY46+LY47</f>
        <v/>
      </c>
      <c r="LZ48" s="402">
        <f>LZ42+LZ45+LZ46+LZ47</f>
        <v/>
      </c>
      <c r="MA48" s="402">
        <f>MA42+MA45+MA46+MA47</f>
        <v/>
      </c>
      <c r="MB48" s="402">
        <f>MB42+MB45+MB46+MB47</f>
        <v/>
      </c>
      <c r="MC48" s="402">
        <f>MC42+MC45+MC46+MC47</f>
        <v/>
      </c>
      <c r="MD48" s="402">
        <f>MD42+MD45+MD46+MD47</f>
        <v/>
      </c>
      <c r="ME48" s="402">
        <f>ME42+ME45+ME46+ME47</f>
        <v/>
      </c>
      <c r="MF48" s="402">
        <f>MF42+MF45+MF46+MF47</f>
        <v/>
      </c>
      <c r="MG48" s="402">
        <f>MG42+MG45+MG46+MG47</f>
        <v/>
      </c>
      <c r="MH48" s="402">
        <f>MH42+MH45+MH46+MH47</f>
        <v/>
      </c>
      <c r="MI48" s="402">
        <f>MI42+MI45+MI46+MI47</f>
        <v/>
      </c>
      <c r="MJ48" s="402">
        <f>MJ42+MJ45+MJ46+MJ47</f>
        <v/>
      </c>
      <c r="MK48" s="402">
        <f>MK42+MK45+MK46+MK47</f>
        <v/>
      </c>
      <c r="ML48" s="402">
        <f>ML42+ML45+ML46+ML47</f>
        <v/>
      </c>
      <c r="MM48" s="402">
        <f>MM42+MM45+MM46+MM47</f>
        <v/>
      </c>
      <c r="MN48" s="402">
        <f>MN42+MN45+MN46+MN47</f>
        <v/>
      </c>
      <c r="MO48" s="402">
        <f>MO42+MO45+MO46+MO47</f>
        <v/>
      </c>
      <c r="MP48" s="402">
        <f>MP42+MP45+MP46+MP47</f>
        <v/>
      </c>
      <c r="MQ48" s="402">
        <f>MQ42+MQ45+MQ46+MQ47</f>
        <v/>
      </c>
      <c r="MR48" s="402">
        <f>MR42+MR45+MR46+MR47</f>
        <v/>
      </c>
      <c r="MS48" s="402">
        <f>MS42+MS45+MS46+MS47</f>
        <v/>
      </c>
      <c r="MT48" s="402">
        <f>MT42+MT45+MT46+MT47</f>
        <v/>
      </c>
      <c r="MU48" s="402">
        <f>MU42+MU45+MU46+MU47</f>
        <v/>
      </c>
      <c r="MV48" s="402">
        <f>MV42+MV45+MV46+MV47</f>
        <v/>
      </c>
      <c r="MW48" s="402">
        <f>MW42+MW45+MW46+MW47</f>
        <v/>
      </c>
      <c r="MX48" s="402">
        <f>MX42+MX45+MX46+MX47</f>
        <v/>
      </c>
      <c r="MY48" s="402">
        <f>MY42+MY45+MY46+MY47</f>
        <v/>
      </c>
      <c r="MZ48" s="402">
        <f>MZ42+MZ45+MZ46+MZ47</f>
        <v/>
      </c>
      <c r="NA48" s="402">
        <f>NA42+NA45+NA46+NA47</f>
        <v/>
      </c>
      <c r="NB48" s="402">
        <f>NB42+NB45+NB46+NB47</f>
        <v/>
      </c>
      <c r="NC48" s="402">
        <f>NC42+NC45+NC46+NC47</f>
        <v/>
      </c>
      <c r="ND48" s="402">
        <f>ND42+ND45+ND46+ND47</f>
        <v/>
      </c>
      <c r="NE48" s="402">
        <f>NE42+NE45+NE46+NE47</f>
        <v/>
      </c>
      <c r="NF48" s="402">
        <f>NF42+NF45+NF46+NF47</f>
        <v/>
      </c>
      <c r="NG48" s="402">
        <f>NG42+NG45+NG46+NG47</f>
        <v/>
      </c>
      <c r="NH48" s="402">
        <f>NH42+NH45+NH46+NH47</f>
        <v/>
      </c>
      <c r="NI48" s="402">
        <f>NI42+NI45+NI46+NI47</f>
        <v/>
      </c>
      <c r="NJ48" s="402">
        <f>NJ42+NJ45+NJ46+NJ47</f>
        <v/>
      </c>
      <c r="NK48" s="402">
        <f>NK42+NK45+NK46+NK47</f>
        <v/>
      </c>
      <c r="NL48" s="402">
        <f>NL42+NL45+NL46+NL47</f>
        <v/>
      </c>
    </row>
    <row r="50">
      <c r="B50" s="316" t="inlineStr">
        <is>
          <t>Check: GP + LP dist − total distributions</t>
        </is>
      </c>
      <c r="C50" s="402">
        <f>SUM(E38:NL38)+SUM(E39:NL39)-SUM(E25:NL25)</f>
        <v/>
      </c>
      <c r="D50" s="208">
        <f>IF(ABS(C50)&lt;1,"PASS","FAIL")</f>
        <v/>
      </c>
    </row>
    <row r="51">
      <c r="B51" s="316" t="inlineStr">
        <is>
          <t>Check: LP + GP contributions − total equity</t>
        </is>
      </c>
      <c r="C51" s="402">
        <f>SUM(E40:NL40)+SUM(E41:NL41)-SUM(E24:NL24)</f>
        <v/>
      </c>
      <c r="D51" s="208">
        <f>IF(ABS(C51)&lt;1,"PASS","FAIL")</f>
        <v/>
      </c>
    </row>
  </sheetData>
  <dataValidations count="7">
    <dataValidation sqref="C5" showDropDown="0" showInputMessage="0" showErrorMessage="1" allowBlank="0" type="decimal" operator="between">
      <formula1>0</formula1>
      <formula2>1</formula2>
    </dataValidation>
    <dataValidation sqref="C6" showDropDown="0" showInputMessage="0" showErrorMessage="1" allowBlank="0" type="decimal" operator="between">
      <formula1>0</formula1>
      <formula2>0.3</formula2>
    </dataValidation>
    <dataValidation sqref="C7" showDropDown="0" showInputMessage="0" showErrorMessage="1" allowBlank="0" type="decimal" operator="between">
      <formula1>0</formula1>
      <formula2>0.5</formula2>
    </dataValidation>
    <dataValidation sqref="C8" showDropDown="0" showInputMessage="0" showErrorMessage="1" allowBlank="0" type="decimal" operator="between">
      <formula1>0</formula1>
      <formula2>0.6</formula2>
    </dataValidation>
    <dataValidation sqref="C9" showDropDown="0" showInputMessage="0" showErrorMessage="1" allowBlank="0" type="decimal" operator="between">
      <formula1>0</formula1>
      <formula2>1</formula2>
    </dataValidation>
    <dataValidation sqref="C10" showDropDown="0" showInputMessage="0" showErrorMessage="1" allowBlank="0" type="decimal" operator="between">
      <formula1>0</formula1>
      <formula2>1</formula2>
    </dataValidation>
    <dataValidation sqref="C11" showDropDown="0" showInputMessage="0" showErrorMessage="1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375623"/>
    <outlinePr summaryBelow="1" summaryRight="1"/>
    <pageSetUpPr/>
  </sheetPr>
  <dimension ref="B1:NL42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3" sqref="A3"/>
    </sheetView>
  </sheetViews>
  <sheetFormatPr baseColWidth="8" defaultRowHeight="15"/>
  <cols>
    <col width="3.7109375" customWidth="1" style="97" min="1" max="1"/>
    <col width="40" customWidth="1" style="97" min="2" max="2"/>
    <col width="18" customWidth="1" style="97" min="3" max="3"/>
    <col width="20" customWidth="1" style="97" min="4" max="4"/>
    <col width="10.7109375" customWidth="1" style="97" min="5" max="376"/>
    <col outlineLevel="1" width="13" customWidth="1" style="97" min="6" max="16"/>
    <col outlineLevel="1" width="13" customWidth="1" style="97" min="18" max="28"/>
    <col outlineLevel="1" width="13" customWidth="1" style="97" min="30" max="40"/>
    <col outlineLevel="1" width="13" customWidth="1" style="97" min="42" max="52"/>
    <col outlineLevel="1" width="13" customWidth="1" style="97" min="54" max="64"/>
    <col outlineLevel="1" width="13" customWidth="1" style="97" min="66" max="76"/>
    <col outlineLevel="1" width="13" customWidth="1" style="97" min="78" max="88"/>
    <col outlineLevel="1" width="13" customWidth="1" style="97" min="90" max="100"/>
    <col outlineLevel="1" width="13" customWidth="1" style="97" min="102" max="112"/>
    <col outlineLevel="1" width="13" customWidth="1" style="97" min="114" max="124"/>
    <col outlineLevel="1" width="13" customWidth="1" style="97" min="126" max="136"/>
    <col outlineLevel="1" width="13" customWidth="1" style="97" min="138" max="148"/>
    <col outlineLevel="1" width="13" customWidth="1" style="97" min="150" max="160"/>
    <col outlineLevel="1" width="13" customWidth="1" style="97" min="162" max="172"/>
    <col outlineLevel="1" width="13" customWidth="1" style="97" min="174" max="184"/>
    <col outlineLevel="1" width="13" customWidth="1" style="97" min="186" max="196"/>
    <col outlineLevel="1" width="13" customWidth="1" style="97" min="198" max="208"/>
    <col outlineLevel="1" width="13" customWidth="1" style="97" min="210" max="220"/>
    <col outlineLevel="1" width="13" customWidth="1" style="97" min="222" max="232"/>
    <col outlineLevel="1" width="13" customWidth="1" style="97" min="234" max="244"/>
    <col outlineLevel="1" width="13" customWidth="1" style="97" min="246" max="256"/>
    <col outlineLevel="1" width="13" customWidth="1" style="97" min="258" max="268"/>
    <col outlineLevel="1" width="13" customWidth="1" style="97" min="270" max="280"/>
    <col outlineLevel="1" width="13" customWidth="1" style="97" min="282" max="292"/>
    <col outlineLevel="1" width="13" customWidth="1" style="97" min="294" max="304"/>
    <col outlineLevel="1" width="13" customWidth="1" style="97" min="306" max="316"/>
    <col outlineLevel="1" width="13" customWidth="1" style="97" min="318" max="328"/>
    <col outlineLevel="1" width="13" customWidth="1" style="97" min="330" max="340"/>
    <col outlineLevel="1" width="13" customWidth="1" style="97" min="342" max="352"/>
    <col outlineLevel="1" width="13" customWidth="1" style="97" min="354" max="364"/>
    <col outlineLevel="1" width="13" customWidth="1" style="97" min="366" max="376"/>
  </cols>
  <sheetData>
    <row r="1" ht="21" customHeight="1" s="97">
      <c r="B1" s="1" t="inlineStr">
        <is>
          <t>Return Calculations</t>
        </is>
      </c>
    </row>
    <row r="3">
      <c r="B3" s="34" t="inlineStr">
        <is>
          <t>Levered &amp; Unlevered Returns (net of fees)</t>
        </is>
      </c>
      <c r="C3" s="60" t="n"/>
      <c r="D3" s="35" t="n"/>
    </row>
    <row r="4">
      <c r="B4" s="36" t="inlineStr">
        <is>
          <t>Levered IRR</t>
        </is>
      </c>
      <c r="C4" s="140">
        <f>IFERROR((1+IRR(CashFlow!E$6:'CashFlow'!NL$6,0.01))^12-1,"n/a")</f>
        <v/>
      </c>
      <c r="D4" s="53" t="n"/>
    </row>
    <row r="5">
      <c r="B5" s="36" t="inlineStr">
        <is>
          <t>Unlevered IRR</t>
        </is>
      </c>
      <c r="C5" s="140">
        <f>IFERROR((1+IRR(CashFlow!E$7:'CashFlow'!NL$7,0.01))^12-1,"n/a")</f>
        <v/>
      </c>
      <c r="D5" s="53" t="n"/>
    </row>
    <row r="6">
      <c r="B6" s="36" t="inlineStr">
        <is>
          <t>Levered MOIC</t>
        </is>
      </c>
      <c r="C6" s="273">
        <f>IF(LevEquityIn=0,0,LevDistros/LevEquityIn)</f>
        <v/>
      </c>
      <c r="D6" s="53" t="n"/>
    </row>
    <row r="7">
      <c r="B7" s="36" t="inlineStr">
        <is>
          <t>Unlevered MOIC</t>
        </is>
      </c>
      <c r="C7" s="273">
        <f>IF(UnlevInvested=0,0,UnlevDistros/UnlevInvested)</f>
        <v/>
      </c>
      <c r="D7" s="53" t="n"/>
    </row>
    <row r="8">
      <c r="B8" s="52" t="n"/>
      <c r="D8" s="53" t="n"/>
    </row>
    <row r="9">
      <c r="B9" s="167" t="inlineStr">
        <is>
          <t>Gross of Sponsor Fees</t>
        </is>
      </c>
      <c r="C9" s="100" t="n"/>
      <c r="D9" s="168" t="n"/>
    </row>
    <row r="10">
      <c r="B10" s="122" t="inlineStr">
        <is>
          <t>Period →</t>
        </is>
      </c>
      <c r="D10" s="75" t="inlineStr">
        <is>
          <t>Total</t>
        </is>
      </c>
      <c r="E10" s="27" t="n">
        <v>1</v>
      </c>
      <c r="F10" s="27" t="n">
        <v>2</v>
      </c>
      <c r="G10" s="27" t="n">
        <v>3</v>
      </c>
      <c r="H10" s="27" t="n">
        <v>4</v>
      </c>
      <c r="I10" s="27" t="n">
        <v>5</v>
      </c>
      <c r="J10" s="27" t="n">
        <v>6</v>
      </c>
      <c r="K10" s="27" t="n">
        <v>7</v>
      </c>
      <c r="L10" s="27" t="n">
        <v>8</v>
      </c>
      <c r="M10" s="27" t="n">
        <v>9</v>
      </c>
      <c r="N10" s="27" t="n">
        <v>10</v>
      </c>
      <c r="O10" s="27" t="n">
        <v>11</v>
      </c>
      <c r="P10" s="27" t="n">
        <v>12</v>
      </c>
      <c r="Q10" s="27" t="n">
        <v>13</v>
      </c>
      <c r="R10" s="27" t="n">
        <v>14</v>
      </c>
      <c r="S10" s="27" t="n">
        <v>15</v>
      </c>
      <c r="T10" s="27" t="n">
        <v>16</v>
      </c>
      <c r="U10" s="27" t="n">
        <v>17</v>
      </c>
      <c r="V10" s="27" t="n">
        <v>18</v>
      </c>
      <c r="W10" s="27" t="n">
        <v>19</v>
      </c>
      <c r="X10" s="27" t="n">
        <v>20</v>
      </c>
      <c r="Y10" s="27" t="n">
        <v>21</v>
      </c>
      <c r="Z10" s="27" t="n">
        <v>22</v>
      </c>
      <c r="AA10" s="27" t="n">
        <v>23</v>
      </c>
      <c r="AB10" s="27" t="n">
        <v>24</v>
      </c>
      <c r="AC10" s="27" t="n">
        <v>25</v>
      </c>
      <c r="AD10" s="27" t="n">
        <v>26</v>
      </c>
      <c r="AE10" s="27" t="n">
        <v>27</v>
      </c>
      <c r="AF10" s="27" t="n">
        <v>28</v>
      </c>
      <c r="AG10" s="27" t="n">
        <v>29</v>
      </c>
      <c r="AH10" s="27" t="n">
        <v>30</v>
      </c>
      <c r="AI10" s="27" t="n">
        <v>31</v>
      </c>
      <c r="AJ10" s="27" t="n">
        <v>32</v>
      </c>
      <c r="AK10" s="27" t="n">
        <v>33</v>
      </c>
      <c r="AL10" s="27" t="n">
        <v>34</v>
      </c>
      <c r="AM10" s="27" t="n">
        <v>35</v>
      </c>
      <c r="AN10" s="27" t="n">
        <v>36</v>
      </c>
      <c r="AO10" s="27" t="n">
        <v>37</v>
      </c>
      <c r="AP10" s="27" t="n">
        <v>38</v>
      </c>
      <c r="AQ10" s="27" t="n">
        <v>39</v>
      </c>
      <c r="AR10" s="27" t="n">
        <v>40</v>
      </c>
      <c r="AS10" s="27" t="n">
        <v>41</v>
      </c>
      <c r="AT10" s="27" t="n">
        <v>42</v>
      </c>
      <c r="AU10" s="27" t="n">
        <v>43</v>
      </c>
      <c r="AV10" s="27" t="n">
        <v>44</v>
      </c>
      <c r="AW10" s="27" t="n">
        <v>45</v>
      </c>
      <c r="AX10" s="27" t="n">
        <v>46</v>
      </c>
      <c r="AY10" s="27" t="n">
        <v>47</v>
      </c>
      <c r="AZ10" s="27" t="n">
        <v>48</v>
      </c>
      <c r="BA10" s="27" t="n">
        <v>49</v>
      </c>
      <c r="BB10" s="27" t="n">
        <v>50</v>
      </c>
      <c r="BC10" s="27" t="n">
        <v>51</v>
      </c>
      <c r="BD10" s="27" t="n">
        <v>52</v>
      </c>
      <c r="BE10" s="27" t="n">
        <v>53</v>
      </c>
      <c r="BF10" s="27" t="n">
        <v>54</v>
      </c>
      <c r="BG10" s="27" t="n">
        <v>55</v>
      </c>
      <c r="BH10" s="27" t="n">
        <v>56</v>
      </c>
      <c r="BI10" s="27" t="n">
        <v>57</v>
      </c>
      <c r="BJ10" s="27" t="n">
        <v>58</v>
      </c>
      <c r="BK10" s="27" t="n">
        <v>59</v>
      </c>
      <c r="BL10" s="27" t="n">
        <v>60</v>
      </c>
      <c r="BM10" s="27" t="n">
        <v>61</v>
      </c>
      <c r="BN10" s="27" t="n">
        <v>62</v>
      </c>
      <c r="BO10" s="27" t="n">
        <v>63</v>
      </c>
      <c r="BP10" s="27" t="n">
        <v>64</v>
      </c>
      <c r="BQ10" s="27" t="n">
        <v>65</v>
      </c>
      <c r="BR10" s="27" t="n">
        <v>66</v>
      </c>
      <c r="BS10" s="27" t="n">
        <v>67</v>
      </c>
      <c r="BT10" s="27" t="n">
        <v>68</v>
      </c>
      <c r="BU10" s="27" t="n">
        <v>69</v>
      </c>
      <c r="BV10" s="27" t="n">
        <v>70</v>
      </c>
      <c r="BW10" s="27" t="n">
        <v>71</v>
      </c>
      <c r="BX10" s="27" t="n">
        <v>72</v>
      </c>
      <c r="BY10" s="27" t="n">
        <v>73</v>
      </c>
      <c r="BZ10" s="27" t="n">
        <v>74</v>
      </c>
      <c r="CA10" s="27" t="n">
        <v>75</v>
      </c>
      <c r="CB10" s="27" t="n">
        <v>76</v>
      </c>
      <c r="CC10" s="27" t="n">
        <v>77</v>
      </c>
      <c r="CD10" s="27" t="n">
        <v>78</v>
      </c>
      <c r="CE10" s="27" t="n">
        <v>79</v>
      </c>
      <c r="CF10" s="27" t="n">
        <v>80</v>
      </c>
      <c r="CG10" s="27" t="n">
        <v>81</v>
      </c>
      <c r="CH10" s="27" t="n">
        <v>82</v>
      </c>
      <c r="CI10" s="27" t="n">
        <v>83</v>
      </c>
      <c r="CJ10" s="27" t="n">
        <v>84</v>
      </c>
      <c r="CK10" s="27" t="n">
        <v>85</v>
      </c>
      <c r="CL10" s="27" t="n">
        <v>86</v>
      </c>
      <c r="CM10" s="27" t="n">
        <v>87</v>
      </c>
      <c r="CN10" s="27" t="n">
        <v>88</v>
      </c>
      <c r="CO10" s="27" t="n">
        <v>89</v>
      </c>
      <c r="CP10" s="27" t="n">
        <v>90</v>
      </c>
      <c r="CQ10" s="27" t="n">
        <v>91</v>
      </c>
      <c r="CR10" s="27" t="n">
        <v>92</v>
      </c>
      <c r="CS10" s="27" t="n">
        <v>93</v>
      </c>
      <c r="CT10" s="27" t="n">
        <v>94</v>
      </c>
      <c r="CU10" s="27" t="n">
        <v>95</v>
      </c>
      <c r="CV10" s="27" t="n">
        <v>96</v>
      </c>
      <c r="CW10" s="27" t="n">
        <v>97</v>
      </c>
      <c r="CX10" s="27" t="n">
        <v>98</v>
      </c>
      <c r="CY10" s="27" t="n">
        <v>99</v>
      </c>
      <c r="CZ10" s="27" t="n">
        <v>100</v>
      </c>
      <c r="DA10" s="27" t="n">
        <v>101</v>
      </c>
      <c r="DB10" s="27" t="n">
        <v>102</v>
      </c>
      <c r="DC10" s="27" t="n">
        <v>103</v>
      </c>
      <c r="DD10" s="27" t="n">
        <v>104</v>
      </c>
      <c r="DE10" s="27" t="n">
        <v>105</v>
      </c>
      <c r="DF10" s="27" t="n">
        <v>106</v>
      </c>
      <c r="DG10" s="27" t="n">
        <v>107</v>
      </c>
      <c r="DH10" s="27" t="n">
        <v>108</v>
      </c>
      <c r="DI10" s="27" t="n">
        <v>109</v>
      </c>
      <c r="DJ10" s="27" t="n">
        <v>110</v>
      </c>
      <c r="DK10" s="27" t="n">
        <v>111</v>
      </c>
      <c r="DL10" s="27" t="n">
        <v>112</v>
      </c>
      <c r="DM10" s="27" t="n">
        <v>113</v>
      </c>
      <c r="DN10" s="27" t="n">
        <v>114</v>
      </c>
      <c r="DO10" s="27" t="n">
        <v>115</v>
      </c>
      <c r="DP10" s="27" t="n">
        <v>116</v>
      </c>
      <c r="DQ10" s="27" t="n">
        <v>117</v>
      </c>
      <c r="DR10" s="27" t="n">
        <v>118</v>
      </c>
      <c r="DS10" s="27" t="n">
        <v>119</v>
      </c>
      <c r="DT10" s="27" t="n">
        <v>120</v>
      </c>
      <c r="DU10" s="27" t="n">
        <v>121</v>
      </c>
      <c r="DV10" s="27" t="n">
        <v>122</v>
      </c>
      <c r="DW10" s="27" t="n">
        <v>123</v>
      </c>
      <c r="DX10" s="27" t="n">
        <v>124</v>
      </c>
      <c r="DY10" s="27" t="n">
        <v>125</v>
      </c>
      <c r="DZ10" s="27" t="n">
        <v>126</v>
      </c>
      <c r="EA10" s="27" t="n">
        <v>127</v>
      </c>
      <c r="EB10" s="27" t="n">
        <v>128</v>
      </c>
      <c r="EC10" s="27" t="n">
        <v>129</v>
      </c>
      <c r="ED10" s="27" t="n">
        <v>130</v>
      </c>
      <c r="EE10" s="27" t="n">
        <v>131</v>
      </c>
      <c r="EF10" s="27" t="n">
        <v>132</v>
      </c>
      <c r="EG10" s="27" t="n">
        <v>133</v>
      </c>
      <c r="EH10" s="27" t="n">
        <v>134</v>
      </c>
      <c r="EI10" s="27" t="n">
        <v>135</v>
      </c>
      <c r="EJ10" s="27" t="n">
        <v>136</v>
      </c>
      <c r="EK10" s="27" t="n">
        <v>137</v>
      </c>
      <c r="EL10" s="27" t="n">
        <v>138</v>
      </c>
      <c r="EM10" s="27" t="n">
        <v>139</v>
      </c>
      <c r="EN10" s="27" t="n">
        <v>140</v>
      </c>
      <c r="EO10" s="27" t="n">
        <v>141</v>
      </c>
      <c r="EP10" s="27" t="n">
        <v>142</v>
      </c>
      <c r="EQ10" s="27" t="n">
        <v>143</v>
      </c>
      <c r="ER10" s="27" t="n">
        <v>144</v>
      </c>
      <c r="ES10" s="27" t="n">
        <v>145</v>
      </c>
      <c r="ET10" s="27" t="n">
        <v>146</v>
      </c>
      <c r="EU10" s="27" t="n">
        <v>147</v>
      </c>
      <c r="EV10" s="27" t="n">
        <v>148</v>
      </c>
      <c r="EW10" s="27" t="n">
        <v>149</v>
      </c>
      <c r="EX10" s="27" t="n">
        <v>150</v>
      </c>
      <c r="EY10" s="27" t="n">
        <v>151</v>
      </c>
      <c r="EZ10" s="27" t="n">
        <v>152</v>
      </c>
      <c r="FA10" s="27" t="n">
        <v>153</v>
      </c>
      <c r="FB10" s="27" t="n">
        <v>154</v>
      </c>
      <c r="FC10" s="27" t="n">
        <v>155</v>
      </c>
      <c r="FD10" s="27" t="n">
        <v>156</v>
      </c>
      <c r="FE10" s="27" t="n">
        <v>157</v>
      </c>
      <c r="FF10" s="27" t="n">
        <v>158</v>
      </c>
      <c r="FG10" s="27" t="n">
        <v>159</v>
      </c>
      <c r="FH10" s="27" t="n">
        <v>160</v>
      </c>
      <c r="FI10" s="27" t="n">
        <v>161</v>
      </c>
      <c r="FJ10" s="27" t="n">
        <v>162</v>
      </c>
      <c r="FK10" s="27" t="n">
        <v>163</v>
      </c>
      <c r="FL10" s="27" t="n">
        <v>164</v>
      </c>
      <c r="FM10" s="27" t="n">
        <v>165</v>
      </c>
      <c r="FN10" s="27" t="n">
        <v>166</v>
      </c>
      <c r="FO10" s="27" t="n">
        <v>167</v>
      </c>
      <c r="FP10" s="27" t="n">
        <v>168</v>
      </c>
      <c r="FQ10" s="27" t="n">
        <v>169</v>
      </c>
      <c r="FR10" s="27" t="n">
        <v>170</v>
      </c>
      <c r="FS10" s="27" t="n">
        <v>171</v>
      </c>
      <c r="FT10" s="27" t="n">
        <v>172</v>
      </c>
      <c r="FU10" s="27" t="n">
        <v>173</v>
      </c>
      <c r="FV10" s="27" t="n">
        <v>174</v>
      </c>
      <c r="FW10" s="27" t="n">
        <v>175</v>
      </c>
      <c r="FX10" s="27" t="n">
        <v>176</v>
      </c>
      <c r="FY10" s="27" t="n">
        <v>177</v>
      </c>
      <c r="FZ10" s="27" t="n">
        <v>178</v>
      </c>
      <c r="GA10" s="27" t="n">
        <v>179</v>
      </c>
      <c r="GB10" s="27" t="n">
        <v>180</v>
      </c>
      <c r="GC10" s="27" t="n">
        <v>181</v>
      </c>
      <c r="GD10" s="27" t="n">
        <v>182</v>
      </c>
      <c r="GE10" s="27" t="n">
        <v>183</v>
      </c>
      <c r="GF10" s="27" t="n">
        <v>184</v>
      </c>
      <c r="GG10" s="27" t="n">
        <v>185</v>
      </c>
      <c r="GH10" s="27" t="n">
        <v>186</v>
      </c>
      <c r="GI10" s="27" t="n">
        <v>187</v>
      </c>
      <c r="GJ10" s="27" t="n">
        <v>188</v>
      </c>
      <c r="GK10" s="27" t="n">
        <v>189</v>
      </c>
      <c r="GL10" s="27" t="n">
        <v>190</v>
      </c>
      <c r="GM10" s="27" t="n">
        <v>191</v>
      </c>
      <c r="GN10" s="27" t="n">
        <v>192</v>
      </c>
      <c r="GO10" s="27" t="n">
        <v>193</v>
      </c>
      <c r="GP10" s="27" t="n">
        <v>194</v>
      </c>
      <c r="GQ10" s="27" t="n">
        <v>195</v>
      </c>
      <c r="GR10" s="27" t="n">
        <v>196</v>
      </c>
      <c r="GS10" s="27" t="n">
        <v>197</v>
      </c>
      <c r="GT10" s="27" t="n">
        <v>198</v>
      </c>
      <c r="GU10" s="27" t="n">
        <v>199</v>
      </c>
      <c r="GV10" s="27" t="n">
        <v>200</v>
      </c>
      <c r="GW10" s="27" t="n">
        <v>201</v>
      </c>
      <c r="GX10" s="27" t="n">
        <v>202</v>
      </c>
      <c r="GY10" s="27" t="n">
        <v>203</v>
      </c>
      <c r="GZ10" s="27" t="n">
        <v>204</v>
      </c>
      <c r="HA10" s="27" t="n">
        <v>205</v>
      </c>
      <c r="HB10" s="27" t="n">
        <v>206</v>
      </c>
      <c r="HC10" s="27" t="n">
        <v>207</v>
      </c>
      <c r="HD10" s="27" t="n">
        <v>208</v>
      </c>
      <c r="HE10" s="27" t="n">
        <v>209</v>
      </c>
      <c r="HF10" s="27" t="n">
        <v>210</v>
      </c>
      <c r="HG10" s="27" t="n">
        <v>211</v>
      </c>
      <c r="HH10" s="27" t="n">
        <v>212</v>
      </c>
      <c r="HI10" s="27" t="n">
        <v>213</v>
      </c>
      <c r="HJ10" s="27" t="n">
        <v>214</v>
      </c>
      <c r="HK10" s="27" t="n">
        <v>215</v>
      </c>
      <c r="HL10" s="27" t="n">
        <v>216</v>
      </c>
      <c r="HM10" s="27" t="n">
        <v>217</v>
      </c>
      <c r="HN10" s="27" t="n">
        <v>218</v>
      </c>
      <c r="HO10" s="27" t="n">
        <v>219</v>
      </c>
      <c r="HP10" s="27" t="n">
        <v>220</v>
      </c>
      <c r="HQ10" s="27" t="n">
        <v>221</v>
      </c>
      <c r="HR10" s="27" t="n">
        <v>222</v>
      </c>
      <c r="HS10" s="27" t="n">
        <v>223</v>
      </c>
      <c r="HT10" s="27" t="n">
        <v>224</v>
      </c>
      <c r="HU10" s="27" t="n">
        <v>225</v>
      </c>
      <c r="HV10" s="27" t="n">
        <v>226</v>
      </c>
      <c r="HW10" s="27" t="n">
        <v>227</v>
      </c>
      <c r="HX10" s="27" t="n">
        <v>228</v>
      </c>
      <c r="HY10" s="27" t="n">
        <v>229</v>
      </c>
      <c r="HZ10" s="27" t="n">
        <v>230</v>
      </c>
      <c r="IA10" s="27" t="n">
        <v>231</v>
      </c>
      <c r="IB10" s="27" t="n">
        <v>232</v>
      </c>
      <c r="IC10" s="27" t="n">
        <v>233</v>
      </c>
      <c r="ID10" s="27" t="n">
        <v>234</v>
      </c>
      <c r="IE10" s="27" t="n">
        <v>235</v>
      </c>
      <c r="IF10" s="27" t="n">
        <v>236</v>
      </c>
      <c r="IG10" s="27" t="n">
        <v>237</v>
      </c>
      <c r="IH10" s="27" t="n">
        <v>238</v>
      </c>
      <c r="II10" s="27" t="n">
        <v>239</v>
      </c>
      <c r="IJ10" s="27" t="n">
        <v>240</v>
      </c>
      <c r="IK10" s="27" t="n">
        <v>241</v>
      </c>
      <c r="IL10" s="27" t="n">
        <v>242</v>
      </c>
      <c r="IM10" s="27" t="n">
        <v>243</v>
      </c>
      <c r="IN10" s="27" t="n">
        <v>244</v>
      </c>
      <c r="IO10" s="27" t="n">
        <v>245</v>
      </c>
      <c r="IP10" s="27" t="n">
        <v>246</v>
      </c>
      <c r="IQ10" s="27" t="n">
        <v>247</v>
      </c>
      <c r="IR10" s="27" t="n">
        <v>248</v>
      </c>
      <c r="IS10" s="27" t="n">
        <v>249</v>
      </c>
      <c r="IT10" s="27" t="n">
        <v>250</v>
      </c>
      <c r="IU10" s="27" t="n">
        <v>251</v>
      </c>
      <c r="IV10" s="27" t="n">
        <v>252</v>
      </c>
      <c r="IW10" s="27" t="n">
        <v>253</v>
      </c>
      <c r="IX10" s="27" t="n">
        <v>254</v>
      </c>
      <c r="IY10" s="27" t="n">
        <v>255</v>
      </c>
      <c r="IZ10" s="27" t="n">
        <v>256</v>
      </c>
      <c r="JA10" s="27" t="n">
        <v>257</v>
      </c>
      <c r="JB10" s="27" t="n">
        <v>258</v>
      </c>
      <c r="JC10" s="27" t="n">
        <v>259</v>
      </c>
      <c r="JD10" s="27" t="n">
        <v>260</v>
      </c>
      <c r="JE10" s="27" t="n">
        <v>261</v>
      </c>
      <c r="JF10" s="27" t="n">
        <v>262</v>
      </c>
      <c r="JG10" s="27" t="n">
        <v>263</v>
      </c>
      <c r="JH10" s="27" t="n">
        <v>264</v>
      </c>
      <c r="JI10" s="27" t="n">
        <v>265</v>
      </c>
      <c r="JJ10" s="27" t="n">
        <v>266</v>
      </c>
      <c r="JK10" s="27" t="n">
        <v>267</v>
      </c>
      <c r="JL10" s="27" t="n">
        <v>268</v>
      </c>
      <c r="JM10" s="27" t="n">
        <v>269</v>
      </c>
      <c r="JN10" s="27" t="n">
        <v>270</v>
      </c>
      <c r="JO10" s="27" t="n">
        <v>271</v>
      </c>
      <c r="JP10" s="27" t="n">
        <v>272</v>
      </c>
      <c r="JQ10" s="27" t="n">
        <v>273</v>
      </c>
      <c r="JR10" s="27" t="n">
        <v>274</v>
      </c>
      <c r="JS10" s="27" t="n">
        <v>275</v>
      </c>
      <c r="JT10" s="27" t="n">
        <v>276</v>
      </c>
      <c r="JU10" s="27" t="n">
        <v>277</v>
      </c>
      <c r="JV10" s="27" t="n">
        <v>278</v>
      </c>
      <c r="JW10" s="27" t="n">
        <v>279</v>
      </c>
      <c r="JX10" s="27" t="n">
        <v>280</v>
      </c>
      <c r="JY10" s="27" t="n">
        <v>281</v>
      </c>
      <c r="JZ10" s="27" t="n">
        <v>282</v>
      </c>
      <c r="KA10" s="27" t="n">
        <v>283</v>
      </c>
      <c r="KB10" s="27" t="n">
        <v>284</v>
      </c>
      <c r="KC10" s="27" t="n">
        <v>285</v>
      </c>
      <c r="KD10" s="27" t="n">
        <v>286</v>
      </c>
      <c r="KE10" s="27" t="n">
        <v>287</v>
      </c>
      <c r="KF10" s="27" t="n">
        <v>288</v>
      </c>
      <c r="KG10" s="27" t="n">
        <v>289</v>
      </c>
      <c r="KH10" s="27" t="n">
        <v>290</v>
      </c>
      <c r="KI10" s="27" t="n">
        <v>291</v>
      </c>
      <c r="KJ10" s="27" t="n">
        <v>292</v>
      </c>
      <c r="KK10" s="27" t="n">
        <v>293</v>
      </c>
      <c r="KL10" s="27" t="n">
        <v>294</v>
      </c>
      <c r="KM10" s="27" t="n">
        <v>295</v>
      </c>
      <c r="KN10" s="27" t="n">
        <v>296</v>
      </c>
      <c r="KO10" s="27" t="n">
        <v>297</v>
      </c>
      <c r="KP10" s="27" t="n">
        <v>298</v>
      </c>
      <c r="KQ10" s="27" t="n">
        <v>299</v>
      </c>
      <c r="KR10" s="27" t="n">
        <v>300</v>
      </c>
      <c r="KS10" s="27" t="n">
        <v>301</v>
      </c>
      <c r="KT10" s="27" t="n">
        <v>302</v>
      </c>
      <c r="KU10" s="27" t="n">
        <v>303</v>
      </c>
      <c r="KV10" s="27" t="n">
        <v>304</v>
      </c>
      <c r="KW10" s="27" t="n">
        <v>305</v>
      </c>
      <c r="KX10" s="27" t="n">
        <v>306</v>
      </c>
      <c r="KY10" s="27" t="n">
        <v>307</v>
      </c>
      <c r="KZ10" s="27" t="n">
        <v>308</v>
      </c>
      <c r="LA10" s="27" t="n">
        <v>309</v>
      </c>
      <c r="LB10" s="27" t="n">
        <v>310</v>
      </c>
      <c r="LC10" s="27" t="n">
        <v>311</v>
      </c>
      <c r="LD10" s="27" t="n">
        <v>312</v>
      </c>
      <c r="LE10" s="27" t="n">
        <v>313</v>
      </c>
      <c r="LF10" s="27" t="n">
        <v>314</v>
      </c>
      <c r="LG10" s="27" t="n">
        <v>315</v>
      </c>
      <c r="LH10" s="27" t="n">
        <v>316</v>
      </c>
      <c r="LI10" s="27" t="n">
        <v>317</v>
      </c>
      <c r="LJ10" s="27" t="n">
        <v>318</v>
      </c>
      <c r="LK10" s="27" t="n">
        <v>319</v>
      </c>
      <c r="LL10" s="27" t="n">
        <v>320</v>
      </c>
      <c r="LM10" s="27" t="n">
        <v>321</v>
      </c>
      <c r="LN10" s="27" t="n">
        <v>322</v>
      </c>
      <c r="LO10" s="27" t="n">
        <v>323</v>
      </c>
      <c r="LP10" s="27" t="n">
        <v>324</v>
      </c>
      <c r="LQ10" s="27" t="n">
        <v>325</v>
      </c>
      <c r="LR10" s="27" t="n">
        <v>326</v>
      </c>
      <c r="LS10" s="27" t="n">
        <v>327</v>
      </c>
      <c r="LT10" s="27" t="n">
        <v>328</v>
      </c>
      <c r="LU10" s="27" t="n">
        <v>329</v>
      </c>
      <c r="LV10" s="27" t="n">
        <v>330</v>
      </c>
      <c r="LW10" s="27" t="n">
        <v>331</v>
      </c>
      <c r="LX10" s="27" t="n">
        <v>332</v>
      </c>
      <c r="LY10" s="27" t="n">
        <v>333</v>
      </c>
      <c r="LZ10" s="27" t="n">
        <v>334</v>
      </c>
      <c r="MA10" s="27" t="n">
        <v>335</v>
      </c>
      <c r="MB10" s="27" t="n">
        <v>336</v>
      </c>
      <c r="MC10" s="27" t="n">
        <v>337</v>
      </c>
      <c r="MD10" s="27" t="n">
        <v>338</v>
      </c>
      <c r="ME10" s="27" t="n">
        <v>339</v>
      </c>
      <c r="MF10" s="27" t="n">
        <v>340</v>
      </c>
      <c r="MG10" s="27" t="n">
        <v>341</v>
      </c>
      <c r="MH10" s="27" t="n">
        <v>342</v>
      </c>
      <c r="MI10" s="27" t="n">
        <v>343</v>
      </c>
      <c r="MJ10" s="27" t="n">
        <v>344</v>
      </c>
      <c r="MK10" s="27" t="n">
        <v>345</v>
      </c>
      <c r="ML10" s="27" t="n">
        <v>346</v>
      </c>
      <c r="MM10" s="27" t="n">
        <v>347</v>
      </c>
      <c r="MN10" s="27" t="n">
        <v>348</v>
      </c>
      <c r="MO10" s="27" t="n">
        <v>349</v>
      </c>
      <c r="MP10" s="27" t="n">
        <v>350</v>
      </c>
      <c r="MQ10" s="27" t="n">
        <v>351</v>
      </c>
      <c r="MR10" s="27" t="n">
        <v>352</v>
      </c>
      <c r="MS10" s="27" t="n">
        <v>353</v>
      </c>
      <c r="MT10" s="27" t="n">
        <v>354</v>
      </c>
      <c r="MU10" s="27" t="n">
        <v>355</v>
      </c>
      <c r="MV10" s="27" t="n">
        <v>356</v>
      </c>
      <c r="MW10" s="27" t="n">
        <v>357</v>
      </c>
      <c r="MX10" s="27" t="n">
        <v>358</v>
      </c>
      <c r="MY10" s="27" t="n">
        <v>359</v>
      </c>
      <c r="MZ10" s="27" t="n">
        <v>360</v>
      </c>
      <c r="NA10" s="27" t="n">
        <v>361</v>
      </c>
      <c r="NB10" s="27" t="n">
        <v>362</v>
      </c>
      <c r="NC10" s="27" t="n">
        <v>363</v>
      </c>
      <c r="ND10" s="27" t="n">
        <v>364</v>
      </c>
      <c r="NE10" s="27" t="n">
        <v>365</v>
      </c>
      <c r="NF10" s="27" t="n">
        <v>366</v>
      </c>
      <c r="NG10" s="27" t="n">
        <v>367</v>
      </c>
      <c r="NH10" s="27" t="n">
        <v>368</v>
      </c>
      <c r="NI10" s="27" t="n">
        <v>369</v>
      </c>
      <c r="NJ10" s="27" t="n">
        <v>370</v>
      </c>
      <c r="NK10" s="27" t="n">
        <v>371</v>
      </c>
      <c r="NL10" s="27" t="n">
        <v>372</v>
      </c>
    </row>
    <row r="11">
      <c r="B11" s="36" t="inlineStr">
        <is>
          <t>Levered CF (gross of fees)</t>
        </is>
      </c>
      <c r="D11" s="258">
        <f>SUM(E11:NL11)</f>
        <v/>
      </c>
      <c r="E11" s="218">
        <f>CashFlow!E$6+IF(1=DispoMonth,DevFee*(1-DevFeeThirdPartySplit)+SponsorDispoFeePct*ExitValue,0)</f>
        <v/>
      </c>
      <c r="F11" s="218">
        <f>CashFlow!F$6+IF(2=DispoMonth,DevFee*(1-DevFeeThirdPartySplit)+SponsorDispoFeePct*ExitValue,0)</f>
        <v/>
      </c>
      <c r="G11" s="218">
        <f>CashFlow!G$6+IF(3=DispoMonth,DevFee*(1-DevFeeThirdPartySplit)+SponsorDispoFeePct*ExitValue,0)</f>
        <v/>
      </c>
      <c r="H11" s="218">
        <f>CashFlow!H$6+IF(4=DispoMonth,DevFee*(1-DevFeeThirdPartySplit)+SponsorDispoFeePct*ExitValue,0)</f>
        <v/>
      </c>
      <c r="I11" s="218">
        <f>CashFlow!I$6+IF(5=DispoMonth,DevFee*(1-DevFeeThirdPartySplit)+SponsorDispoFeePct*ExitValue,0)</f>
        <v/>
      </c>
      <c r="J11" s="218">
        <f>CashFlow!J$6+IF(6=DispoMonth,DevFee*(1-DevFeeThirdPartySplit)+SponsorDispoFeePct*ExitValue,0)</f>
        <v/>
      </c>
      <c r="K11" s="218">
        <f>CashFlow!K$6+IF(7=DispoMonth,DevFee*(1-DevFeeThirdPartySplit)+SponsorDispoFeePct*ExitValue,0)</f>
        <v/>
      </c>
      <c r="L11" s="218">
        <f>CashFlow!L$6+IF(8=DispoMonth,DevFee*(1-DevFeeThirdPartySplit)+SponsorDispoFeePct*ExitValue,0)</f>
        <v/>
      </c>
      <c r="M11" s="218">
        <f>CashFlow!M$6+IF(9=DispoMonth,DevFee*(1-DevFeeThirdPartySplit)+SponsorDispoFeePct*ExitValue,0)</f>
        <v/>
      </c>
      <c r="N11" s="218">
        <f>CashFlow!N$6+IF(10=DispoMonth,DevFee*(1-DevFeeThirdPartySplit)+SponsorDispoFeePct*ExitValue,0)</f>
        <v/>
      </c>
      <c r="O11" s="218">
        <f>CashFlow!O$6+IF(11=DispoMonth,DevFee*(1-DevFeeThirdPartySplit)+SponsorDispoFeePct*ExitValue,0)</f>
        <v/>
      </c>
      <c r="P11" s="218">
        <f>CashFlow!P$6+IF(12=DispoMonth,DevFee*(1-DevFeeThirdPartySplit)+SponsorDispoFeePct*ExitValue,0)</f>
        <v/>
      </c>
      <c r="Q11" s="218">
        <f>CashFlow!Q$6+IF(13=DispoMonth,DevFee*(1-DevFeeThirdPartySplit)+SponsorDispoFeePct*ExitValue,0)</f>
        <v/>
      </c>
      <c r="R11" s="218">
        <f>CashFlow!R$6+IF(14=DispoMonth,DevFee*(1-DevFeeThirdPartySplit)+SponsorDispoFeePct*ExitValue,0)</f>
        <v/>
      </c>
      <c r="S11" s="218">
        <f>CashFlow!S$6+IF(15=DispoMonth,DevFee*(1-DevFeeThirdPartySplit)+SponsorDispoFeePct*ExitValue,0)</f>
        <v/>
      </c>
      <c r="T11" s="218">
        <f>CashFlow!T$6+IF(16=DispoMonth,DevFee*(1-DevFeeThirdPartySplit)+SponsorDispoFeePct*ExitValue,0)</f>
        <v/>
      </c>
      <c r="U11" s="218">
        <f>CashFlow!U$6+IF(17=DispoMonth,DevFee*(1-DevFeeThirdPartySplit)+SponsorDispoFeePct*ExitValue,0)</f>
        <v/>
      </c>
      <c r="V11" s="218">
        <f>CashFlow!V$6+IF(18=DispoMonth,DevFee*(1-DevFeeThirdPartySplit)+SponsorDispoFeePct*ExitValue,0)</f>
        <v/>
      </c>
      <c r="W11" s="218">
        <f>CashFlow!W$6+IF(19=DispoMonth,DevFee*(1-DevFeeThirdPartySplit)+SponsorDispoFeePct*ExitValue,0)</f>
        <v/>
      </c>
      <c r="X11" s="218">
        <f>CashFlow!X$6+IF(20=DispoMonth,DevFee*(1-DevFeeThirdPartySplit)+SponsorDispoFeePct*ExitValue,0)</f>
        <v/>
      </c>
      <c r="Y11" s="218">
        <f>CashFlow!Y$6+IF(21=DispoMonth,DevFee*(1-DevFeeThirdPartySplit)+SponsorDispoFeePct*ExitValue,0)</f>
        <v/>
      </c>
      <c r="Z11" s="218">
        <f>CashFlow!Z$6+IF(22=DispoMonth,DevFee*(1-DevFeeThirdPartySplit)+SponsorDispoFeePct*ExitValue,0)</f>
        <v/>
      </c>
      <c r="AA11" s="218">
        <f>CashFlow!AA$6+IF(23=DispoMonth,DevFee*(1-DevFeeThirdPartySplit)+SponsorDispoFeePct*ExitValue,0)</f>
        <v/>
      </c>
      <c r="AB11" s="218">
        <f>CashFlow!AB$6+IF(24=DispoMonth,DevFee*(1-DevFeeThirdPartySplit)+SponsorDispoFeePct*ExitValue,0)</f>
        <v/>
      </c>
      <c r="AC11" s="218">
        <f>CashFlow!AC$6+IF(25=DispoMonth,DevFee*(1-DevFeeThirdPartySplit)+SponsorDispoFeePct*ExitValue,0)</f>
        <v/>
      </c>
      <c r="AD11" s="218">
        <f>CashFlow!AD$6+IF(26=DispoMonth,DevFee*(1-DevFeeThirdPartySplit)+SponsorDispoFeePct*ExitValue,0)</f>
        <v/>
      </c>
      <c r="AE11" s="218">
        <f>CashFlow!AE$6+IF(27=DispoMonth,DevFee*(1-DevFeeThirdPartySplit)+SponsorDispoFeePct*ExitValue,0)</f>
        <v/>
      </c>
      <c r="AF11" s="218">
        <f>CashFlow!AF$6+IF(28=DispoMonth,DevFee*(1-DevFeeThirdPartySplit)+SponsorDispoFeePct*ExitValue,0)</f>
        <v/>
      </c>
      <c r="AG11" s="218">
        <f>CashFlow!AG$6+IF(29=DispoMonth,DevFee*(1-DevFeeThirdPartySplit)+SponsorDispoFeePct*ExitValue,0)</f>
        <v/>
      </c>
      <c r="AH11" s="218">
        <f>CashFlow!AH$6+IF(30=DispoMonth,DevFee*(1-DevFeeThirdPartySplit)+SponsorDispoFeePct*ExitValue,0)</f>
        <v/>
      </c>
      <c r="AI11" s="218">
        <f>CashFlow!AI$6+IF(31=DispoMonth,DevFee*(1-DevFeeThirdPartySplit)+SponsorDispoFeePct*ExitValue,0)</f>
        <v/>
      </c>
      <c r="AJ11" s="218">
        <f>CashFlow!AJ$6+IF(32=DispoMonth,DevFee*(1-DevFeeThirdPartySplit)+SponsorDispoFeePct*ExitValue,0)</f>
        <v/>
      </c>
      <c r="AK11" s="218">
        <f>CashFlow!AK$6+IF(33=DispoMonth,DevFee*(1-DevFeeThirdPartySplit)+SponsorDispoFeePct*ExitValue,0)</f>
        <v/>
      </c>
      <c r="AL11" s="218">
        <f>CashFlow!AL$6+IF(34=DispoMonth,DevFee*(1-DevFeeThirdPartySplit)+SponsorDispoFeePct*ExitValue,0)</f>
        <v/>
      </c>
      <c r="AM11" s="218">
        <f>CashFlow!AM$6+IF(35=DispoMonth,DevFee*(1-DevFeeThirdPartySplit)+SponsorDispoFeePct*ExitValue,0)</f>
        <v/>
      </c>
      <c r="AN11" s="218">
        <f>CashFlow!AN$6+IF(36=DispoMonth,DevFee*(1-DevFeeThirdPartySplit)+SponsorDispoFeePct*ExitValue,0)</f>
        <v/>
      </c>
      <c r="AO11" s="218">
        <f>CashFlow!AO$6+IF(37=DispoMonth,DevFee*(1-DevFeeThirdPartySplit)+SponsorDispoFeePct*ExitValue,0)</f>
        <v/>
      </c>
      <c r="AP11" s="218">
        <f>CashFlow!AP$6+IF(38=DispoMonth,DevFee*(1-DevFeeThirdPartySplit)+SponsorDispoFeePct*ExitValue,0)</f>
        <v/>
      </c>
      <c r="AQ11" s="218">
        <f>CashFlow!AQ$6+IF(39=DispoMonth,DevFee*(1-DevFeeThirdPartySplit)+SponsorDispoFeePct*ExitValue,0)</f>
        <v/>
      </c>
      <c r="AR11" s="218">
        <f>CashFlow!AR$6+IF(40=DispoMonth,DevFee*(1-DevFeeThirdPartySplit)+SponsorDispoFeePct*ExitValue,0)</f>
        <v/>
      </c>
      <c r="AS11" s="218">
        <f>CashFlow!AS$6+IF(41=DispoMonth,DevFee*(1-DevFeeThirdPartySplit)+SponsorDispoFeePct*ExitValue,0)</f>
        <v/>
      </c>
      <c r="AT11" s="218">
        <f>CashFlow!AT$6+IF(42=DispoMonth,DevFee*(1-DevFeeThirdPartySplit)+SponsorDispoFeePct*ExitValue,0)</f>
        <v/>
      </c>
      <c r="AU11" s="218">
        <f>CashFlow!AU$6+IF(43=DispoMonth,DevFee*(1-DevFeeThirdPartySplit)+SponsorDispoFeePct*ExitValue,0)</f>
        <v/>
      </c>
      <c r="AV11" s="218">
        <f>CashFlow!AV$6+IF(44=DispoMonth,DevFee*(1-DevFeeThirdPartySplit)+SponsorDispoFeePct*ExitValue,0)</f>
        <v/>
      </c>
      <c r="AW11" s="218">
        <f>CashFlow!AW$6+IF(45=DispoMonth,DevFee*(1-DevFeeThirdPartySplit)+SponsorDispoFeePct*ExitValue,0)</f>
        <v/>
      </c>
      <c r="AX11" s="218">
        <f>CashFlow!AX$6+IF(46=DispoMonth,DevFee*(1-DevFeeThirdPartySplit)+SponsorDispoFeePct*ExitValue,0)</f>
        <v/>
      </c>
      <c r="AY11" s="218">
        <f>CashFlow!AY$6+IF(47=DispoMonth,DevFee*(1-DevFeeThirdPartySplit)+SponsorDispoFeePct*ExitValue,0)</f>
        <v/>
      </c>
      <c r="AZ11" s="218">
        <f>CashFlow!AZ$6+IF(48=DispoMonth,DevFee*(1-DevFeeThirdPartySplit)+SponsorDispoFeePct*ExitValue,0)</f>
        <v/>
      </c>
      <c r="BA11" s="218">
        <f>CashFlow!BA$6+IF(49=DispoMonth,DevFee*(1-DevFeeThirdPartySplit)+SponsorDispoFeePct*ExitValue,0)</f>
        <v/>
      </c>
      <c r="BB11" s="218">
        <f>CashFlow!BB$6+IF(50=DispoMonth,DevFee*(1-DevFeeThirdPartySplit)+SponsorDispoFeePct*ExitValue,0)</f>
        <v/>
      </c>
      <c r="BC11" s="218">
        <f>CashFlow!BC$6+IF(51=DispoMonth,DevFee*(1-DevFeeThirdPartySplit)+SponsorDispoFeePct*ExitValue,0)</f>
        <v/>
      </c>
      <c r="BD11" s="218">
        <f>CashFlow!BD$6+IF(52=DispoMonth,DevFee*(1-DevFeeThirdPartySplit)+SponsorDispoFeePct*ExitValue,0)</f>
        <v/>
      </c>
      <c r="BE11" s="218">
        <f>CashFlow!BE$6+IF(53=DispoMonth,DevFee*(1-DevFeeThirdPartySplit)+SponsorDispoFeePct*ExitValue,0)</f>
        <v/>
      </c>
      <c r="BF11" s="218">
        <f>CashFlow!BF$6+IF(54=DispoMonth,DevFee*(1-DevFeeThirdPartySplit)+SponsorDispoFeePct*ExitValue,0)</f>
        <v/>
      </c>
      <c r="BG11" s="218">
        <f>CashFlow!BG$6+IF(55=DispoMonth,DevFee*(1-DevFeeThirdPartySplit)+SponsorDispoFeePct*ExitValue,0)</f>
        <v/>
      </c>
      <c r="BH11" s="218">
        <f>CashFlow!BH$6+IF(56=DispoMonth,DevFee*(1-DevFeeThirdPartySplit)+SponsorDispoFeePct*ExitValue,0)</f>
        <v/>
      </c>
      <c r="BI11" s="218">
        <f>CashFlow!BI$6+IF(57=DispoMonth,DevFee*(1-DevFeeThirdPartySplit)+SponsorDispoFeePct*ExitValue,0)</f>
        <v/>
      </c>
      <c r="BJ11" s="218">
        <f>CashFlow!BJ$6+IF(58=DispoMonth,DevFee*(1-DevFeeThirdPartySplit)+SponsorDispoFeePct*ExitValue,0)</f>
        <v/>
      </c>
      <c r="BK11" s="218">
        <f>CashFlow!BK$6+IF(59=DispoMonth,DevFee*(1-DevFeeThirdPartySplit)+SponsorDispoFeePct*ExitValue,0)</f>
        <v/>
      </c>
      <c r="BL11" s="218">
        <f>CashFlow!BL$6+IF(60=DispoMonth,DevFee*(1-DevFeeThirdPartySplit)+SponsorDispoFeePct*ExitValue,0)</f>
        <v/>
      </c>
      <c r="BM11" s="218">
        <f>CashFlow!BM$6+IF(61=DispoMonth,DevFee*(1-DevFeeThirdPartySplit)+SponsorDispoFeePct*ExitValue,0)</f>
        <v/>
      </c>
      <c r="BN11" s="218">
        <f>CashFlow!BN$6+IF(62=DispoMonth,DevFee*(1-DevFeeThirdPartySplit)+SponsorDispoFeePct*ExitValue,0)</f>
        <v/>
      </c>
      <c r="BO11" s="218">
        <f>CashFlow!BO$6+IF(63=DispoMonth,DevFee*(1-DevFeeThirdPartySplit)+SponsorDispoFeePct*ExitValue,0)</f>
        <v/>
      </c>
      <c r="BP11" s="218">
        <f>CashFlow!BP$6+IF(64=DispoMonth,DevFee*(1-DevFeeThirdPartySplit)+SponsorDispoFeePct*ExitValue,0)</f>
        <v/>
      </c>
      <c r="BQ11" s="218">
        <f>CashFlow!BQ$6+IF(65=DispoMonth,DevFee*(1-DevFeeThirdPartySplit)+SponsorDispoFeePct*ExitValue,0)</f>
        <v/>
      </c>
      <c r="BR11" s="218">
        <f>CashFlow!BR$6+IF(66=DispoMonth,DevFee*(1-DevFeeThirdPartySplit)+SponsorDispoFeePct*ExitValue,0)</f>
        <v/>
      </c>
      <c r="BS11" s="218">
        <f>CashFlow!BS$6+IF(67=DispoMonth,DevFee*(1-DevFeeThirdPartySplit)+SponsorDispoFeePct*ExitValue,0)</f>
        <v/>
      </c>
      <c r="BT11" s="218">
        <f>CashFlow!BT$6+IF(68=DispoMonth,DevFee*(1-DevFeeThirdPartySplit)+SponsorDispoFeePct*ExitValue,0)</f>
        <v/>
      </c>
      <c r="BU11" s="218">
        <f>CashFlow!BU$6+IF(69=DispoMonth,DevFee*(1-DevFeeThirdPartySplit)+SponsorDispoFeePct*ExitValue,0)</f>
        <v/>
      </c>
      <c r="BV11" s="218">
        <f>CashFlow!BV$6+IF(70=DispoMonth,DevFee*(1-DevFeeThirdPartySplit)+SponsorDispoFeePct*ExitValue,0)</f>
        <v/>
      </c>
      <c r="BW11" s="218">
        <f>CashFlow!BW$6+IF(71=DispoMonth,DevFee*(1-DevFeeThirdPartySplit)+SponsorDispoFeePct*ExitValue,0)</f>
        <v/>
      </c>
      <c r="BX11" s="218">
        <f>CashFlow!BX$6+IF(72=DispoMonth,DevFee*(1-DevFeeThirdPartySplit)+SponsorDispoFeePct*ExitValue,0)</f>
        <v/>
      </c>
      <c r="BY11" s="218">
        <f>CashFlow!BY$6+IF(73=DispoMonth,DevFee*(1-DevFeeThirdPartySplit)+SponsorDispoFeePct*ExitValue,0)</f>
        <v/>
      </c>
      <c r="BZ11" s="218">
        <f>CashFlow!BZ$6+IF(74=DispoMonth,DevFee*(1-DevFeeThirdPartySplit)+SponsorDispoFeePct*ExitValue,0)</f>
        <v/>
      </c>
      <c r="CA11" s="218">
        <f>CashFlow!CA$6+IF(75=DispoMonth,DevFee*(1-DevFeeThirdPartySplit)+SponsorDispoFeePct*ExitValue,0)</f>
        <v/>
      </c>
      <c r="CB11" s="218">
        <f>CashFlow!CB$6+IF(76=DispoMonth,DevFee*(1-DevFeeThirdPartySplit)+SponsorDispoFeePct*ExitValue,0)</f>
        <v/>
      </c>
      <c r="CC11" s="218">
        <f>CashFlow!CC$6+IF(77=DispoMonth,DevFee*(1-DevFeeThirdPartySplit)+SponsorDispoFeePct*ExitValue,0)</f>
        <v/>
      </c>
      <c r="CD11" s="218">
        <f>CashFlow!CD$6+IF(78=DispoMonth,DevFee*(1-DevFeeThirdPartySplit)+SponsorDispoFeePct*ExitValue,0)</f>
        <v/>
      </c>
      <c r="CE11" s="218">
        <f>CashFlow!CE$6+IF(79=DispoMonth,DevFee*(1-DevFeeThirdPartySplit)+SponsorDispoFeePct*ExitValue,0)</f>
        <v/>
      </c>
      <c r="CF11" s="218">
        <f>CashFlow!CF$6+IF(80=DispoMonth,DevFee*(1-DevFeeThirdPartySplit)+SponsorDispoFeePct*ExitValue,0)</f>
        <v/>
      </c>
      <c r="CG11" s="218">
        <f>CashFlow!CG$6+IF(81=DispoMonth,DevFee*(1-DevFeeThirdPartySplit)+SponsorDispoFeePct*ExitValue,0)</f>
        <v/>
      </c>
      <c r="CH11" s="218">
        <f>CashFlow!CH$6+IF(82=DispoMonth,DevFee*(1-DevFeeThirdPartySplit)+SponsorDispoFeePct*ExitValue,0)</f>
        <v/>
      </c>
      <c r="CI11" s="218">
        <f>CashFlow!CI$6+IF(83=DispoMonth,DevFee*(1-DevFeeThirdPartySplit)+SponsorDispoFeePct*ExitValue,0)</f>
        <v/>
      </c>
      <c r="CJ11" s="218">
        <f>CashFlow!CJ$6+IF(84=DispoMonth,DevFee*(1-DevFeeThirdPartySplit)+SponsorDispoFeePct*ExitValue,0)</f>
        <v/>
      </c>
      <c r="CK11" s="218">
        <f>CashFlow!CK$6+IF(85=DispoMonth,DevFee*(1-DevFeeThirdPartySplit)+SponsorDispoFeePct*ExitValue,0)</f>
        <v/>
      </c>
      <c r="CL11" s="218">
        <f>CashFlow!CL$6+IF(86=DispoMonth,DevFee*(1-DevFeeThirdPartySplit)+SponsorDispoFeePct*ExitValue,0)</f>
        <v/>
      </c>
      <c r="CM11" s="218">
        <f>CashFlow!CM$6+IF(87=DispoMonth,DevFee*(1-DevFeeThirdPartySplit)+SponsorDispoFeePct*ExitValue,0)</f>
        <v/>
      </c>
      <c r="CN11" s="218">
        <f>CashFlow!CN$6+IF(88=DispoMonth,DevFee*(1-DevFeeThirdPartySplit)+SponsorDispoFeePct*ExitValue,0)</f>
        <v/>
      </c>
      <c r="CO11" s="218">
        <f>CashFlow!CO$6+IF(89=DispoMonth,DevFee*(1-DevFeeThirdPartySplit)+SponsorDispoFeePct*ExitValue,0)</f>
        <v/>
      </c>
      <c r="CP11" s="218">
        <f>CashFlow!CP$6+IF(90=DispoMonth,DevFee*(1-DevFeeThirdPartySplit)+SponsorDispoFeePct*ExitValue,0)</f>
        <v/>
      </c>
      <c r="CQ11" s="218">
        <f>CashFlow!CQ$6+IF(91=DispoMonth,DevFee*(1-DevFeeThirdPartySplit)+SponsorDispoFeePct*ExitValue,0)</f>
        <v/>
      </c>
      <c r="CR11" s="218">
        <f>CashFlow!CR$6+IF(92=DispoMonth,DevFee*(1-DevFeeThirdPartySplit)+SponsorDispoFeePct*ExitValue,0)</f>
        <v/>
      </c>
      <c r="CS11" s="218">
        <f>CashFlow!CS$6+IF(93=DispoMonth,DevFee*(1-DevFeeThirdPartySplit)+SponsorDispoFeePct*ExitValue,0)</f>
        <v/>
      </c>
      <c r="CT11" s="218">
        <f>CashFlow!CT$6+IF(94=DispoMonth,DevFee*(1-DevFeeThirdPartySplit)+SponsorDispoFeePct*ExitValue,0)</f>
        <v/>
      </c>
      <c r="CU11" s="218">
        <f>CashFlow!CU$6+IF(95=DispoMonth,DevFee*(1-DevFeeThirdPartySplit)+SponsorDispoFeePct*ExitValue,0)</f>
        <v/>
      </c>
      <c r="CV11" s="218">
        <f>CashFlow!CV$6+IF(96=DispoMonth,DevFee*(1-DevFeeThirdPartySplit)+SponsorDispoFeePct*ExitValue,0)</f>
        <v/>
      </c>
      <c r="CW11" s="218">
        <f>CashFlow!CW$6+IF(97=DispoMonth,DevFee*(1-DevFeeThirdPartySplit)+SponsorDispoFeePct*ExitValue,0)</f>
        <v/>
      </c>
      <c r="CX11" s="218">
        <f>CashFlow!CX$6+IF(98=DispoMonth,DevFee*(1-DevFeeThirdPartySplit)+SponsorDispoFeePct*ExitValue,0)</f>
        <v/>
      </c>
      <c r="CY11" s="218">
        <f>CashFlow!CY$6+IF(99=DispoMonth,DevFee*(1-DevFeeThirdPartySplit)+SponsorDispoFeePct*ExitValue,0)</f>
        <v/>
      </c>
      <c r="CZ11" s="218">
        <f>CashFlow!CZ$6+IF(100=DispoMonth,DevFee*(1-DevFeeThirdPartySplit)+SponsorDispoFeePct*ExitValue,0)</f>
        <v/>
      </c>
      <c r="DA11" s="218">
        <f>CashFlow!DA$6+IF(101=DispoMonth,DevFee*(1-DevFeeThirdPartySplit)+SponsorDispoFeePct*ExitValue,0)</f>
        <v/>
      </c>
      <c r="DB11" s="218">
        <f>CashFlow!DB$6+IF(102=DispoMonth,DevFee*(1-DevFeeThirdPartySplit)+SponsorDispoFeePct*ExitValue,0)</f>
        <v/>
      </c>
      <c r="DC11" s="218">
        <f>CashFlow!DC$6+IF(103=DispoMonth,DevFee*(1-DevFeeThirdPartySplit)+SponsorDispoFeePct*ExitValue,0)</f>
        <v/>
      </c>
      <c r="DD11" s="218">
        <f>CashFlow!DD$6+IF(104=DispoMonth,DevFee*(1-DevFeeThirdPartySplit)+SponsorDispoFeePct*ExitValue,0)</f>
        <v/>
      </c>
      <c r="DE11" s="218">
        <f>CashFlow!DE$6+IF(105=DispoMonth,DevFee*(1-DevFeeThirdPartySplit)+SponsorDispoFeePct*ExitValue,0)</f>
        <v/>
      </c>
      <c r="DF11" s="218">
        <f>CashFlow!DF$6+IF(106=DispoMonth,DevFee*(1-DevFeeThirdPartySplit)+SponsorDispoFeePct*ExitValue,0)</f>
        <v/>
      </c>
      <c r="DG11" s="218">
        <f>CashFlow!DG$6+IF(107=DispoMonth,DevFee*(1-DevFeeThirdPartySplit)+SponsorDispoFeePct*ExitValue,0)</f>
        <v/>
      </c>
      <c r="DH11" s="218">
        <f>CashFlow!DH$6+IF(108=DispoMonth,DevFee*(1-DevFeeThirdPartySplit)+SponsorDispoFeePct*ExitValue,0)</f>
        <v/>
      </c>
      <c r="DI11" s="218">
        <f>CashFlow!DI$6+IF(109=DispoMonth,DevFee*(1-DevFeeThirdPartySplit)+SponsorDispoFeePct*ExitValue,0)</f>
        <v/>
      </c>
      <c r="DJ11" s="218">
        <f>CashFlow!DJ$6+IF(110=DispoMonth,DevFee*(1-DevFeeThirdPartySplit)+SponsorDispoFeePct*ExitValue,0)</f>
        <v/>
      </c>
      <c r="DK11" s="218">
        <f>CashFlow!DK$6+IF(111=DispoMonth,DevFee*(1-DevFeeThirdPartySplit)+SponsorDispoFeePct*ExitValue,0)</f>
        <v/>
      </c>
      <c r="DL11" s="218">
        <f>CashFlow!DL$6+IF(112=DispoMonth,DevFee*(1-DevFeeThirdPartySplit)+SponsorDispoFeePct*ExitValue,0)</f>
        <v/>
      </c>
      <c r="DM11" s="218">
        <f>CashFlow!DM$6+IF(113=DispoMonth,DevFee*(1-DevFeeThirdPartySplit)+SponsorDispoFeePct*ExitValue,0)</f>
        <v/>
      </c>
      <c r="DN11" s="218">
        <f>CashFlow!DN$6+IF(114=DispoMonth,DevFee*(1-DevFeeThirdPartySplit)+SponsorDispoFeePct*ExitValue,0)</f>
        <v/>
      </c>
      <c r="DO11" s="218">
        <f>CashFlow!DO$6+IF(115=DispoMonth,DevFee*(1-DevFeeThirdPartySplit)+SponsorDispoFeePct*ExitValue,0)</f>
        <v/>
      </c>
      <c r="DP11" s="218">
        <f>CashFlow!DP$6+IF(116=DispoMonth,DevFee*(1-DevFeeThirdPartySplit)+SponsorDispoFeePct*ExitValue,0)</f>
        <v/>
      </c>
      <c r="DQ11" s="218">
        <f>CashFlow!DQ$6+IF(117=DispoMonth,DevFee*(1-DevFeeThirdPartySplit)+SponsorDispoFeePct*ExitValue,0)</f>
        <v/>
      </c>
      <c r="DR11" s="218">
        <f>CashFlow!DR$6+IF(118=DispoMonth,DevFee*(1-DevFeeThirdPartySplit)+SponsorDispoFeePct*ExitValue,0)</f>
        <v/>
      </c>
      <c r="DS11" s="218">
        <f>CashFlow!DS$6+IF(119=DispoMonth,DevFee*(1-DevFeeThirdPartySplit)+SponsorDispoFeePct*ExitValue,0)</f>
        <v/>
      </c>
      <c r="DT11" s="218">
        <f>CashFlow!DT$6+IF(120=DispoMonth,DevFee*(1-DevFeeThirdPartySplit)+SponsorDispoFeePct*ExitValue,0)</f>
        <v/>
      </c>
      <c r="DU11" s="218">
        <f>CashFlow!DU$6+IF(121=DispoMonth,DevFee*(1-DevFeeThirdPartySplit)+SponsorDispoFeePct*ExitValue,0)</f>
        <v/>
      </c>
      <c r="DV11" s="218">
        <f>CashFlow!DV$6+IF(122=DispoMonth,DevFee*(1-DevFeeThirdPartySplit)+SponsorDispoFeePct*ExitValue,0)</f>
        <v/>
      </c>
      <c r="DW11" s="218">
        <f>CashFlow!DW$6+IF(123=DispoMonth,DevFee*(1-DevFeeThirdPartySplit)+SponsorDispoFeePct*ExitValue,0)</f>
        <v/>
      </c>
      <c r="DX11" s="218">
        <f>CashFlow!DX$6+IF(124=DispoMonth,DevFee*(1-DevFeeThirdPartySplit)+SponsorDispoFeePct*ExitValue,0)</f>
        <v/>
      </c>
      <c r="DY11" s="218">
        <f>CashFlow!DY$6+IF(125=DispoMonth,DevFee*(1-DevFeeThirdPartySplit)+SponsorDispoFeePct*ExitValue,0)</f>
        <v/>
      </c>
      <c r="DZ11" s="218">
        <f>CashFlow!DZ$6+IF(126=DispoMonth,DevFee*(1-DevFeeThirdPartySplit)+SponsorDispoFeePct*ExitValue,0)</f>
        <v/>
      </c>
      <c r="EA11" s="218">
        <f>CashFlow!EA$6+IF(127=DispoMonth,DevFee*(1-DevFeeThirdPartySplit)+SponsorDispoFeePct*ExitValue,0)</f>
        <v/>
      </c>
      <c r="EB11" s="218">
        <f>CashFlow!EB$6+IF(128=DispoMonth,DevFee*(1-DevFeeThirdPartySplit)+SponsorDispoFeePct*ExitValue,0)</f>
        <v/>
      </c>
      <c r="EC11" s="218">
        <f>CashFlow!EC$6+IF(129=DispoMonth,DevFee*(1-DevFeeThirdPartySplit)+SponsorDispoFeePct*ExitValue,0)</f>
        <v/>
      </c>
      <c r="ED11" s="218">
        <f>CashFlow!ED$6+IF(130=DispoMonth,DevFee*(1-DevFeeThirdPartySplit)+SponsorDispoFeePct*ExitValue,0)</f>
        <v/>
      </c>
      <c r="EE11" s="218">
        <f>CashFlow!EE$6+IF(131=DispoMonth,DevFee*(1-DevFeeThirdPartySplit)+SponsorDispoFeePct*ExitValue,0)</f>
        <v/>
      </c>
      <c r="EF11" s="218">
        <f>CashFlow!EF$6+IF(132=DispoMonth,DevFee*(1-DevFeeThirdPartySplit)+SponsorDispoFeePct*ExitValue,0)</f>
        <v/>
      </c>
      <c r="EG11" s="218">
        <f>CashFlow!EG$6+IF(133=DispoMonth,DevFee*(1-DevFeeThirdPartySplit)+SponsorDispoFeePct*ExitValue,0)</f>
        <v/>
      </c>
      <c r="EH11" s="218">
        <f>CashFlow!EH$6+IF(134=DispoMonth,DevFee*(1-DevFeeThirdPartySplit)+SponsorDispoFeePct*ExitValue,0)</f>
        <v/>
      </c>
      <c r="EI11" s="218">
        <f>CashFlow!EI$6+IF(135=DispoMonth,DevFee*(1-DevFeeThirdPartySplit)+SponsorDispoFeePct*ExitValue,0)</f>
        <v/>
      </c>
      <c r="EJ11" s="218">
        <f>CashFlow!EJ$6+IF(136=DispoMonth,DevFee*(1-DevFeeThirdPartySplit)+SponsorDispoFeePct*ExitValue,0)</f>
        <v/>
      </c>
      <c r="EK11" s="218">
        <f>CashFlow!EK$6+IF(137=DispoMonth,DevFee*(1-DevFeeThirdPartySplit)+SponsorDispoFeePct*ExitValue,0)</f>
        <v/>
      </c>
      <c r="EL11" s="218">
        <f>CashFlow!EL$6+IF(138=DispoMonth,DevFee*(1-DevFeeThirdPartySplit)+SponsorDispoFeePct*ExitValue,0)</f>
        <v/>
      </c>
      <c r="EM11" s="218">
        <f>CashFlow!EM$6+IF(139=DispoMonth,DevFee*(1-DevFeeThirdPartySplit)+SponsorDispoFeePct*ExitValue,0)</f>
        <v/>
      </c>
      <c r="EN11" s="218">
        <f>CashFlow!EN$6+IF(140=DispoMonth,DevFee*(1-DevFeeThirdPartySplit)+SponsorDispoFeePct*ExitValue,0)</f>
        <v/>
      </c>
      <c r="EO11" s="218">
        <f>CashFlow!EO$6+IF(141=DispoMonth,DevFee*(1-DevFeeThirdPartySplit)+SponsorDispoFeePct*ExitValue,0)</f>
        <v/>
      </c>
      <c r="EP11" s="218">
        <f>CashFlow!EP$6+IF(142=DispoMonth,DevFee*(1-DevFeeThirdPartySplit)+SponsorDispoFeePct*ExitValue,0)</f>
        <v/>
      </c>
      <c r="EQ11" s="218">
        <f>CashFlow!EQ$6+IF(143=DispoMonth,DevFee*(1-DevFeeThirdPartySplit)+SponsorDispoFeePct*ExitValue,0)</f>
        <v/>
      </c>
      <c r="ER11" s="218">
        <f>CashFlow!ER$6+IF(144=DispoMonth,DevFee*(1-DevFeeThirdPartySplit)+SponsorDispoFeePct*ExitValue,0)</f>
        <v/>
      </c>
      <c r="ES11" s="218">
        <f>CashFlow!ES$6+IF(145=DispoMonth,DevFee*(1-DevFeeThirdPartySplit)+SponsorDispoFeePct*ExitValue,0)</f>
        <v/>
      </c>
      <c r="ET11" s="218">
        <f>CashFlow!ET$6+IF(146=DispoMonth,DevFee*(1-DevFeeThirdPartySplit)+SponsorDispoFeePct*ExitValue,0)</f>
        <v/>
      </c>
      <c r="EU11" s="218">
        <f>CashFlow!EU$6+IF(147=DispoMonth,DevFee*(1-DevFeeThirdPartySplit)+SponsorDispoFeePct*ExitValue,0)</f>
        <v/>
      </c>
      <c r="EV11" s="218">
        <f>CashFlow!EV$6+IF(148=DispoMonth,DevFee*(1-DevFeeThirdPartySplit)+SponsorDispoFeePct*ExitValue,0)</f>
        <v/>
      </c>
      <c r="EW11" s="218">
        <f>CashFlow!EW$6+IF(149=DispoMonth,DevFee*(1-DevFeeThirdPartySplit)+SponsorDispoFeePct*ExitValue,0)</f>
        <v/>
      </c>
      <c r="EX11" s="218">
        <f>CashFlow!EX$6+IF(150=DispoMonth,DevFee*(1-DevFeeThirdPartySplit)+SponsorDispoFeePct*ExitValue,0)</f>
        <v/>
      </c>
      <c r="EY11" s="218">
        <f>CashFlow!EY$6+IF(151=DispoMonth,DevFee*(1-DevFeeThirdPartySplit)+SponsorDispoFeePct*ExitValue,0)</f>
        <v/>
      </c>
      <c r="EZ11" s="218">
        <f>CashFlow!EZ$6+IF(152=DispoMonth,DevFee*(1-DevFeeThirdPartySplit)+SponsorDispoFeePct*ExitValue,0)</f>
        <v/>
      </c>
      <c r="FA11" s="218">
        <f>CashFlow!FA$6+IF(153=DispoMonth,DevFee*(1-DevFeeThirdPartySplit)+SponsorDispoFeePct*ExitValue,0)</f>
        <v/>
      </c>
      <c r="FB11" s="218">
        <f>CashFlow!FB$6+IF(154=DispoMonth,DevFee*(1-DevFeeThirdPartySplit)+SponsorDispoFeePct*ExitValue,0)</f>
        <v/>
      </c>
      <c r="FC11" s="218">
        <f>CashFlow!FC$6+IF(155=DispoMonth,DevFee*(1-DevFeeThirdPartySplit)+SponsorDispoFeePct*ExitValue,0)</f>
        <v/>
      </c>
      <c r="FD11" s="218">
        <f>CashFlow!FD$6+IF(156=DispoMonth,DevFee*(1-DevFeeThirdPartySplit)+SponsorDispoFeePct*ExitValue,0)</f>
        <v/>
      </c>
      <c r="FE11" s="218">
        <f>CashFlow!FE$6+IF(157=DispoMonth,DevFee*(1-DevFeeThirdPartySplit)+SponsorDispoFeePct*ExitValue,0)</f>
        <v/>
      </c>
      <c r="FF11" s="218">
        <f>CashFlow!FF$6+IF(158=DispoMonth,DevFee*(1-DevFeeThirdPartySplit)+SponsorDispoFeePct*ExitValue,0)</f>
        <v/>
      </c>
      <c r="FG11" s="218">
        <f>CashFlow!FG$6+IF(159=DispoMonth,DevFee*(1-DevFeeThirdPartySplit)+SponsorDispoFeePct*ExitValue,0)</f>
        <v/>
      </c>
      <c r="FH11" s="218">
        <f>CashFlow!FH$6+IF(160=DispoMonth,DevFee*(1-DevFeeThirdPartySplit)+SponsorDispoFeePct*ExitValue,0)</f>
        <v/>
      </c>
      <c r="FI11" s="218">
        <f>CashFlow!FI$6+IF(161=DispoMonth,DevFee*(1-DevFeeThirdPartySplit)+SponsorDispoFeePct*ExitValue,0)</f>
        <v/>
      </c>
      <c r="FJ11" s="218">
        <f>CashFlow!FJ$6+IF(162=DispoMonth,DevFee*(1-DevFeeThirdPartySplit)+SponsorDispoFeePct*ExitValue,0)</f>
        <v/>
      </c>
      <c r="FK11" s="218">
        <f>CashFlow!FK$6+IF(163=DispoMonth,DevFee*(1-DevFeeThirdPartySplit)+SponsorDispoFeePct*ExitValue,0)</f>
        <v/>
      </c>
      <c r="FL11" s="218">
        <f>CashFlow!FL$6+IF(164=DispoMonth,DevFee*(1-DevFeeThirdPartySplit)+SponsorDispoFeePct*ExitValue,0)</f>
        <v/>
      </c>
      <c r="FM11" s="218">
        <f>CashFlow!FM$6+IF(165=DispoMonth,DevFee*(1-DevFeeThirdPartySplit)+SponsorDispoFeePct*ExitValue,0)</f>
        <v/>
      </c>
      <c r="FN11" s="218">
        <f>CashFlow!FN$6+IF(166=DispoMonth,DevFee*(1-DevFeeThirdPartySplit)+SponsorDispoFeePct*ExitValue,0)</f>
        <v/>
      </c>
      <c r="FO11" s="218">
        <f>CashFlow!FO$6+IF(167=DispoMonth,DevFee*(1-DevFeeThirdPartySplit)+SponsorDispoFeePct*ExitValue,0)</f>
        <v/>
      </c>
      <c r="FP11" s="218">
        <f>CashFlow!FP$6+IF(168=DispoMonth,DevFee*(1-DevFeeThirdPartySplit)+SponsorDispoFeePct*ExitValue,0)</f>
        <v/>
      </c>
      <c r="FQ11" s="218">
        <f>CashFlow!FQ$6+IF(169=DispoMonth,DevFee*(1-DevFeeThirdPartySplit)+SponsorDispoFeePct*ExitValue,0)</f>
        <v/>
      </c>
      <c r="FR11" s="218">
        <f>CashFlow!FR$6+IF(170=DispoMonth,DevFee*(1-DevFeeThirdPartySplit)+SponsorDispoFeePct*ExitValue,0)</f>
        <v/>
      </c>
      <c r="FS11" s="218">
        <f>CashFlow!FS$6+IF(171=DispoMonth,DevFee*(1-DevFeeThirdPartySplit)+SponsorDispoFeePct*ExitValue,0)</f>
        <v/>
      </c>
      <c r="FT11" s="218">
        <f>CashFlow!FT$6+IF(172=DispoMonth,DevFee*(1-DevFeeThirdPartySplit)+SponsorDispoFeePct*ExitValue,0)</f>
        <v/>
      </c>
      <c r="FU11" s="218">
        <f>CashFlow!FU$6+IF(173=DispoMonth,DevFee*(1-DevFeeThirdPartySplit)+SponsorDispoFeePct*ExitValue,0)</f>
        <v/>
      </c>
      <c r="FV11" s="218">
        <f>CashFlow!FV$6+IF(174=DispoMonth,DevFee*(1-DevFeeThirdPartySplit)+SponsorDispoFeePct*ExitValue,0)</f>
        <v/>
      </c>
      <c r="FW11" s="218">
        <f>CashFlow!FW$6+IF(175=DispoMonth,DevFee*(1-DevFeeThirdPartySplit)+SponsorDispoFeePct*ExitValue,0)</f>
        <v/>
      </c>
      <c r="FX11" s="218">
        <f>CashFlow!FX$6+IF(176=DispoMonth,DevFee*(1-DevFeeThirdPartySplit)+SponsorDispoFeePct*ExitValue,0)</f>
        <v/>
      </c>
      <c r="FY11" s="218">
        <f>CashFlow!FY$6+IF(177=DispoMonth,DevFee*(1-DevFeeThirdPartySplit)+SponsorDispoFeePct*ExitValue,0)</f>
        <v/>
      </c>
      <c r="FZ11" s="218">
        <f>CashFlow!FZ$6+IF(178=DispoMonth,DevFee*(1-DevFeeThirdPartySplit)+SponsorDispoFeePct*ExitValue,0)</f>
        <v/>
      </c>
      <c r="GA11" s="218">
        <f>CashFlow!GA$6+IF(179=DispoMonth,DevFee*(1-DevFeeThirdPartySplit)+SponsorDispoFeePct*ExitValue,0)</f>
        <v/>
      </c>
      <c r="GB11" s="218">
        <f>CashFlow!GB$6+IF(180=DispoMonth,DevFee*(1-DevFeeThirdPartySplit)+SponsorDispoFeePct*ExitValue,0)</f>
        <v/>
      </c>
      <c r="GC11" s="218">
        <f>CashFlow!GC$6+IF(181=DispoMonth,DevFee*(1-DevFeeThirdPartySplit)+SponsorDispoFeePct*ExitValue,0)</f>
        <v/>
      </c>
      <c r="GD11" s="218">
        <f>CashFlow!GD$6+IF(182=DispoMonth,DevFee*(1-DevFeeThirdPartySplit)+SponsorDispoFeePct*ExitValue,0)</f>
        <v/>
      </c>
      <c r="GE11" s="218">
        <f>CashFlow!GE$6+IF(183=DispoMonth,DevFee*(1-DevFeeThirdPartySplit)+SponsorDispoFeePct*ExitValue,0)</f>
        <v/>
      </c>
      <c r="GF11" s="218">
        <f>CashFlow!GF$6+IF(184=DispoMonth,DevFee*(1-DevFeeThirdPartySplit)+SponsorDispoFeePct*ExitValue,0)</f>
        <v/>
      </c>
      <c r="GG11" s="218">
        <f>CashFlow!GG$6+IF(185=DispoMonth,DevFee*(1-DevFeeThirdPartySplit)+SponsorDispoFeePct*ExitValue,0)</f>
        <v/>
      </c>
      <c r="GH11" s="218">
        <f>CashFlow!GH$6+IF(186=DispoMonth,DevFee*(1-DevFeeThirdPartySplit)+SponsorDispoFeePct*ExitValue,0)</f>
        <v/>
      </c>
      <c r="GI11" s="218">
        <f>CashFlow!GI$6+IF(187=DispoMonth,DevFee*(1-DevFeeThirdPartySplit)+SponsorDispoFeePct*ExitValue,0)</f>
        <v/>
      </c>
      <c r="GJ11" s="218">
        <f>CashFlow!GJ$6+IF(188=DispoMonth,DevFee*(1-DevFeeThirdPartySplit)+SponsorDispoFeePct*ExitValue,0)</f>
        <v/>
      </c>
      <c r="GK11" s="218">
        <f>CashFlow!GK$6+IF(189=DispoMonth,DevFee*(1-DevFeeThirdPartySplit)+SponsorDispoFeePct*ExitValue,0)</f>
        <v/>
      </c>
      <c r="GL11" s="218">
        <f>CashFlow!GL$6+IF(190=DispoMonth,DevFee*(1-DevFeeThirdPartySplit)+SponsorDispoFeePct*ExitValue,0)</f>
        <v/>
      </c>
      <c r="GM11" s="218">
        <f>CashFlow!GM$6+IF(191=DispoMonth,DevFee*(1-DevFeeThirdPartySplit)+SponsorDispoFeePct*ExitValue,0)</f>
        <v/>
      </c>
      <c r="GN11" s="218">
        <f>CashFlow!GN$6+IF(192=DispoMonth,DevFee*(1-DevFeeThirdPartySplit)+SponsorDispoFeePct*ExitValue,0)</f>
        <v/>
      </c>
      <c r="GO11" s="218">
        <f>CashFlow!GO$6+IF(193=DispoMonth,DevFee*(1-DevFeeThirdPartySplit)+SponsorDispoFeePct*ExitValue,0)</f>
        <v/>
      </c>
      <c r="GP11" s="218">
        <f>CashFlow!GP$6+IF(194=DispoMonth,DevFee*(1-DevFeeThirdPartySplit)+SponsorDispoFeePct*ExitValue,0)</f>
        <v/>
      </c>
      <c r="GQ11" s="218">
        <f>CashFlow!GQ$6+IF(195=DispoMonth,DevFee*(1-DevFeeThirdPartySplit)+SponsorDispoFeePct*ExitValue,0)</f>
        <v/>
      </c>
      <c r="GR11" s="218">
        <f>CashFlow!GR$6+IF(196=DispoMonth,DevFee*(1-DevFeeThirdPartySplit)+SponsorDispoFeePct*ExitValue,0)</f>
        <v/>
      </c>
      <c r="GS11" s="218">
        <f>CashFlow!GS$6+IF(197=DispoMonth,DevFee*(1-DevFeeThirdPartySplit)+SponsorDispoFeePct*ExitValue,0)</f>
        <v/>
      </c>
      <c r="GT11" s="218">
        <f>CashFlow!GT$6+IF(198=DispoMonth,DevFee*(1-DevFeeThirdPartySplit)+SponsorDispoFeePct*ExitValue,0)</f>
        <v/>
      </c>
      <c r="GU11" s="218">
        <f>CashFlow!GU$6+IF(199=DispoMonth,DevFee*(1-DevFeeThirdPartySplit)+SponsorDispoFeePct*ExitValue,0)</f>
        <v/>
      </c>
      <c r="GV11" s="218">
        <f>CashFlow!GV$6+IF(200=DispoMonth,DevFee*(1-DevFeeThirdPartySplit)+SponsorDispoFeePct*ExitValue,0)</f>
        <v/>
      </c>
      <c r="GW11" s="218">
        <f>CashFlow!GW$6+IF(201=DispoMonth,DevFee*(1-DevFeeThirdPartySplit)+SponsorDispoFeePct*ExitValue,0)</f>
        <v/>
      </c>
      <c r="GX11" s="218">
        <f>CashFlow!GX$6+IF(202=DispoMonth,DevFee*(1-DevFeeThirdPartySplit)+SponsorDispoFeePct*ExitValue,0)</f>
        <v/>
      </c>
      <c r="GY11" s="218">
        <f>CashFlow!GY$6+IF(203=DispoMonth,DevFee*(1-DevFeeThirdPartySplit)+SponsorDispoFeePct*ExitValue,0)</f>
        <v/>
      </c>
      <c r="GZ11" s="218">
        <f>CashFlow!GZ$6+IF(204=DispoMonth,DevFee*(1-DevFeeThirdPartySplit)+SponsorDispoFeePct*ExitValue,0)</f>
        <v/>
      </c>
      <c r="HA11" s="218">
        <f>CashFlow!HA$6+IF(205=DispoMonth,DevFee*(1-DevFeeThirdPartySplit)+SponsorDispoFeePct*ExitValue,0)</f>
        <v/>
      </c>
      <c r="HB11" s="218">
        <f>CashFlow!HB$6+IF(206=DispoMonth,DevFee*(1-DevFeeThirdPartySplit)+SponsorDispoFeePct*ExitValue,0)</f>
        <v/>
      </c>
      <c r="HC11" s="218">
        <f>CashFlow!HC$6+IF(207=DispoMonth,DevFee*(1-DevFeeThirdPartySplit)+SponsorDispoFeePct*ExitValue,0)</f>
        <v/>
      </c>
      <c r="HD11" s="218">
        <f>CashFlow!HD$6+IF(208=DispoMonth,DevFee*(1-DevFeeThirdPartySplit)+SponsorDispoFeePct*ExitValue,0)</f>
        <v/>
      </c>
      <c r="HE11" s="218">
        <f>CashFlow!HE$6+IF(209=DispoMonth,DevFee*(1-DevFeeThirdPartySplit)+SponsorDispoFeePct*ExitValue,0)</f>
        <v/>
      </c>
      <c r="HF11" s="218">
        <f>CashFlow!HF$6+IF(210=DispoMonth,DevFee*(1-DevFeeThirdPartySplit)+SponsorDispoFeePct*ExitValue,0)</f>
        <v/>
      </c>
      <c r="HG11" s="218">
        <f>CashFlow!HG$6+IF(211=DispoMonth,DevFee*(1-DevFeeThirdPartySplit)+SponsorDispoFeePct*ExitValue,0)</f>
        <v/>
      </c>
      <c r="HH11" s="218">
        <f>CashFlow!HH$6+IF(212=DispoMonth,DevFee*(1-DevFeeThirdPartySplit)+SponsorDispoFeePct*ExitValue,0)</f>
        <v/>
      </c>
      <c r="HI11" s="218">
        <f>CashFlow!HI$6+IF(213=DispoMonth,DevFee*(1-DevFeeThirdPartySplit)+SponsorDispoFeePct*ExitValue,0)</f>
        <v/>
      </c>
      <c r="HJ11" s="218">
        <f>CashFlow!HJ$6+IF(214=DispoMonth,DevFee*(1-DevFeeThirdPartySplit)+SponsorDispoFeePct*ExitValue,0)</f>
        <v/>
      </c>
      <c r="HK11" s="218">
        <f>CashFlow!HK$6+IF(215=DispoMonth,DevFee*(1-DevFeeThirdPartySplit)+SponsorDispoFeePct*ExitValue,0)</f>
        <v/>
      </c>
      <c r="HL11" s="218">
        <f>CashFlow!HL$6+IF(216=DispoMonth,DevFee*(1-DevFeeThirdPartySplit)+SponsorDispoFeePct*ExitValue,0)</f>
        <v/>
      </c>
      <c r="HM11" s="218">
        <f>CashFlow!HM$6+IF(217=DispoMonth,DevFee*(1-DevFeeThirdPartySplit)+SponsorDispoFeePct*ExitValue,0)</f>
        <v/>
      </c>
      <c r="HN11" s="218">
        <f>CashFlow!HN$6+IF(218=DispoMonth,DevFee*(1-DevFeeThirdPartySplit)+SponsorDispoFeePct*ExitValue,0)</f>
        <v/>
      </c>
      <c r="HO11" s="218">
        <f>CashFlow!HO$6+IF(219=DispoMonth,DevFee*(1-DevFeeThirdPartySplit)+SponsorDispoFeePct*ExitValue,0)</f>
        <v/>
      </c>
      <c r="HP11" s="218">
        <f>CashFlow!HP$6+IF(220=DispoMonth,DevFee*(1-DevFeeThirdPartySplit)+SponsorDispoFeePct*ExitValue,0)</f>
        <v/>
      </c>
      <c r="HQ11" s="218">
        <f>CashFlow!HQ$6+IF(221=DispoMonth,DevFee*(1-DevFeeThirdPartySplit)+SponsorDispoFeePct*ExitValue,0)</f>
        <v/>
      </c>
      <c r="HR11" s="218">
        <f>CashFlow!HR$6+IF(222=DispoMonth,DevFee*(1-DevFeeThirdPartySplit)+SponsorDispoFeePct*ExitValue,0)</f>
        <v/>
      </c>
      <c r="HS11" s="218">
        <f>CashFlow!HS$6+IF(223=DispoMonth,DevFee*(1-DevFeeThirdPartySplit)+SponsorDispoFeePct*ExitValue,0)</f>
        <v/>
      </c>
      <c r="HT11" s="218">
        <f>CashFlow!HT$6+IF(224=DispoMonth,DevFee*(1-DevFeeThirdPartySplit)+SponsorDispoFeePct*ExitValue,0)</f>
        <v/>
      </c>
      <c r="HU11" s="218">
        <f>CashFlow!HU$6+IF(225=DispoMonth,DevFee*(1-DevFeeThirdPartySplit)+SponsorDispoFeePct*ExitValue,0)</f>
        <v/>
      </c>
      <c r="HV11" s="218">
        <f>CashFlow!HV$6+IF(226=DispoMonth,DevFee*(1-DevFeeThirdPartySplit)+SponsorDispoFeePct*ExitValue,0)</f>
        <v/>
      </c>
      <c r="HW11" s="218">
        <f>CashFlow!HW$6+IF(227=DispoMonth,DevFee*(1-DevFeeThirdPartySplit)+SponsorDispoFeePct*ExitValue,0)</f>
        <v/>
      </c>
      <c r="HX11" s="218">
        <f>CashFlow!HX$6+IF(228=DispoMonth,DevFee*(1-DevFeeThirdPartySplit)+SponsorDispoFeePct*ExitValue,0)</f>
        <v/>
      </c>
      <c r="HY11" s="218">
        <f>CashFlow!HY$6+IF(229=DispoMonth,DevFee*(1-DevFeeThirdPartySplit)+SponsorDispoFeePct*ExitValue,0)</f>
        <v/>
      </c>
      <c r="HZ11" s="218">
        <f>CashFlow!HZ$6+IF(230=DispoMonth,DevFee*(1-DevFeeThirdPartySplit)+SponsorDispoFeePct*ExitValue,0)</f>
        <v/>
      </c>
      <c r="IA11" s="218">
        <f>CashFlow!IA$6+IF(231=DispoMonth,DevFee*(1-DevFeeThirdPartySplit)+SponsorDispoFeePct*ExitValue,0)</f>
        <v/>
      </c>
      <c r="IB11" s="218">
        <f>CashFlow!IB$6+IF(232=DispoMonth,DevFee*(1-DevFeeThirdPartySplit)+SponsorDispoFeePct*ExitValue,0)</f>
        <v/>
      </c>
      <c r="IC11" s="218">
        <f>CashFlow!IC$6+IF(233=DispoMonth,DevFee*(1-DevFeeThirdPartySplit)+SponsorDispoFeePct*ExitValue,0)</f>
        <v/>
      </c>
      <c r="ID11" s="218">
        <f>CashFlow!ID$6+IF(234=DispoMonth,DevFee*(1-DevFeeThirdPartySplit)+SponsorDispoFeePct*ExitValue,0)</f>
        <v/>
      </c>
      <c r="IE11" s="218">
        <f>CashFlow!IE$6+IF(235=DispoMonth,DevFee*(1-DevFeeThirdPartySplit)+SponsorDispoFeePct*ExitValue,0)</f>
        <v/>
      </c>
      <c r="IF11" s="218">
        <f>CashFlow!IF$6+IF(236=DispoMonth,DevFee*(1-DevFeeThirdPartySplit)+SponsorDispoFeePct*ExitValue,0)</f>
        <v/>
      </c>
      <c r="IG11" s="218">
        <f>CashFlow!IG$6+IF(237=DispoMonth,DevFee*(1-DevFeeThirdPartySplit)+SponsorDispoFeePct*ExitValue,0)</f>
        <v/>
      </c>
      <c r="IH11" s="218">
        <f>CashFlow!IH$6+IF(238=DispoMonth,DevFee*(1-DevFeeThirdPartySplit)+SponsorDispoFeePct*ExitValue,0)</f>
        <v/>
      </c>
      <c r="II11" s="218">
        <f>CashFlow!II$6+IF(239=DispoMonth,DevFee*(1-DevFeeThirdPartySplit)+SponsorDispoFeePct*ExitValue,0)</f>
        <v/>
      </c>
      <c r="IJ11" s="218">
        <f>CashFlow!IJ$6+IF(240=DispoMonth,DevFee*(1-DevFeeThirdPartySplit)+SponsorDispoFeePct*ExitValue,0)</f>
        <v/>
      </c>
      <c r="IK11" s="218">
        <f>CashFlow!IK$6+IF(241=DispoMonth,DevFee*(1-DevFeeThirdPartySplit)+SponsorDispoFeePct*ExitValue,0)</f>
        <v/>
      </c>
      <c r="IL11" s="218">
        <f>CashFlow!IL$6+IF(242=DispoMonth,DevFee*(1-DevFeeThirdPartySplit)+SponsorDispoFeePct*ExitValue,0)</f>
        <v/>
      </c>
      <c r="IM11" s="218">
        <f>CashFlow!IM$6+IF(243=DispoMonth,DevFee*(1-DevFeeThirdPartySplit)+SponsorDispoFeePct*ExitValue,0)</f>
        <v/>
      </c>
      <c r="IN11" s="218">
        <f>CashFlow!IN$6+IF(244=DispoMonth,DevFee*(1-DevFeeThirdPartySplit)+SponsorDispoFeePct*ExitValue,0)</f>
        <v/>
      </c>
      <c r="IO11" s="218">
        <f>CashFlow!IO$6+IF(245=DispoMonth,DevFee*(1-DevFeeThirdPartySplit)+SponsorDispoFeePct*ExitValue,0)</f>
        <v/>
      </c>
      <c r="IP11" s="218">
        <f>CashFlow!IP$6+IF(246=DispoMonth,DevFee*(1-DevFeeThirdPartySplit)+SponsorDispoFeePct*ExitValue,0)</f>
        <v/>
      </c>
      <c r="IQ11" s="218">
        <f>CashFlow!IQ$6+IF(247=DispoMonth,DevFee*(1-DevFeeThirdPartySplit)+SponsorDispoFeePct*ExitValue,0)</f>
        <v/>
      </c>
      <c r="IR11" s="218">
        <f>CashFlow!IR$6+IF(248=DispoMonth,DevFee*(1-DevFeeThirdPartySplit)+SponsorDispoFeePct*ExitValue,0)</f>
        <v/>
      </c>
      <c r="IS11" s="218">
        <f>CashFlow!IS$6+IF(249=DispoMonth,DevFee*(1-DevFeeThirdPartySplit)+SponsorDispoFeePct*ExitValue,0)</f>
        <v/>
      </c>
      <c r="IT11" s="218">
        <f>CashFlow!IT$6+IF(250=DispoMonth,DevFee*(1-DevFeeThirdPartySplit)+SponsorDispoFeePct*ExitValue,0)</f>
        <v/>
      </c>
      <c r="IU11" s="218">
        <f>CashFlow!IU$6+IF(251=DispoMonth,DevFee*(1-DevFeeThirdPartySplit)+SponsorDispoFeePct*ExitValue,0)</f>
        <v/>
      </c>
      <c r="IV11" s="218">
        <f>CashFlow!IV$6+IF(252=DispoMonth,DevFee*(1-DevFeeThirdPartySplit)+SponsorDispoFeePct*ExitValue,0)</f>
        <v/>
      </c>
      <c r="IW11" s="218">
        <f>CashFlow!IW$6+IF(253=DispoMonth,DevFee*(1-DevFeeThirdPartySplit)+SponsorDispoFeePct*ExitValue,0)</f>
        <v/>
      </c>
      <c r="IX11" s="218">
        <f>CashFlow!IX$6+IF(254=DispoMonth,DevFee*(1-DevFeeThirdPartySplit)+SponsorDispoFeePct*ExitValue,0)</f>
        <v/>
      </c>
      <c r="IY11" s="218">
        <f>CashFlow!IY$6+IF(255=DispoMonth,DevFee*(1-DevFeeThirdPartySplit)+SponsorDispoFeePct*ExitValue,0)</f>
        <v/>
      </c>
      <c r="IZ11" s="218">
        <f>CashFlow!IZ$6+IF(256=DispoMonth,DevFee*(1-DevFeeThirdPartySplit)+SponsorDispoFeePct*ExitValue,0)</f>
        <v/>
      </c>
      <c r="JA11" s="218">
        <f>CashFlow!JA$6+IF(257=DispoMonth,DevFee*(1-DevFeeThirdPartySplit)+SponsorDispoFeePct*ExitValue,0)</f>
        <v/>
      </c>
      <c r="JB11" s="218">
        <f>CashFlow!JB$6+IF(258=DispoMonth,DevFee*(1-DevFeeThirdPartySplit)+SponsorDispoFeePct*ExitValue,0)</f>
        <v/>
      </c>
      <c r="JC11" s="218">
        <f>CashFlow!JC$6+IF(259=DispoMonth,DevFee*(1-DevFeeThirdPartySplit)+SponsorDispoFeePct*ExitValue,0)</f>
        <v/>
      </c>
      <c r="JD11" s="218">
        <f>CashFlow!JD$6+IF(260=DispoMonth,DevFee*(1-DevFeeThirdPartySplit)+SponsorDispoFeePct*ExitValue,0)</f>
        <v/>
      </c>
      <c r="JE11" s="218">
        <f>CashFlow!JE$6+IF(261=DispoMonth,DevFee*(1-DevFeeThirdPartySplit)+SponsorDispoFeePct*ExitValue,0)</f>
        <v/>
      </c>
      <c r="JF11" s="218">
        <f>CashFlow!JF$6+IF(262=DispoMonth,DevFee*(1-DevFeeThirdPartySplit)+SponsorDispoFeePct*ExitValue,0)</f>
        <v/>
      </c>
      <c r="JG11" s="218">
        <f>CashFlow!JG$6+IF(263=DispoMonth,DevFee*(1-DevFeeThirdPartySplit)+SponsorDispoFeePct*ExitValue,0)</f>
        <v/>
      </c>
      <c r="JH11" s="218">
        <f>CashFlow!JH$6+IF(264=DispoMonth,DevFee*(1-DevFeeThirdPartySplit)+SponsorDispoFeePct*ExitValue,0)</f>
        <v/>
      </c>
      <c r="JI11" s="218">
        <f>CashFlow!JI$6+IF(265=DispoMonth,DevFee*(1-DevFeeThirdPartySplit)+SponsorDispoFeePct*ExitValue,0)</f>
        <v/>
      </c>
      <c r="JJ11" s="218">
        <f>CashFlow!JJ$6+IF(266=DispoMonth,DevFee*(1-DevFeeThirdPartySplit)+SponsorDispoFeePct*ExitValue,0)</f>
        <v/>
      </c>
      <c r="JK11" s="218">
        <f>CashFlow!JK$6+IF(267=DispoMonth,DevFee*(1-DevFeeThirdPartySplit)+SponsorDispoFeePct*ExitValue,0)</f>
        <v/>
      </c>
      <c r="JL11" s="218">
        <f>CashFlow!JL$6+IF(268=DispoMonth,DevFee*(1-DevFeeThirdPartySplit)+SponsorDispoFeePct*ExitValue,0)</f>
        <v/>
      </c>
      <c r="JM11" s="218">
        <f>CashFlow!JM$6+IF(269=DispoMonth,DevFee*(1-DevFeeThirdPartySplit)+SponsorDispoFeePct*ExitValue,0)</f>
        <v/>
      </c>
      <c r="JN11" s="218">
        <f>CashFlow!JN$6+IF(270=DispoMonth,DevFee*(1-DevFeeThirdPartySplit)+SponsorDispoFeePct*ExitValue,0)</f>
        <v/>
      </c>
      <c r="JO11" s="218">
        <f>CashFlow!JO$6+IF(271=DispoMonth,DevFee*(1-DevFeeThirdPartySplit)+SponsorDispoFeePct*ExitValue,0)</f>
        <v/>
      </c>
      <c r="JP11" s="218">
        <f>CashFlow!JP$6+IF(272=DispoMonth,DevFee*(1-DevFeeThirdPartySplit)+SponsorDispoFeePct*ExitValue,0)</f>
        <v/>
      </c>
      <c r="JQ11" s="218">
        <f>CashFlow!JQ$6+IF(273=DispoMonth,DevFee*(1-DevFeeThirdPartySplit)+SponsorDispoFeePct*ExitValue,0)</f>
        <v/>
      </c>
      <c r="JR11" s="218">
        <f>CashFlow!JR$6+IF(274=DispoMonth,DevFee*(1-DevFeeThirdPartySplit)+SponsorDispoFeePct*ExitValue,0)</f>
        <v/>
      </c>
      <c r="JS11" s="218">
        <f>CashFlow!JS$6+IF(275=DispoMonth,DevFee*(1-DevFeeThirdPartySplit)+SponsorDispoFeePct*ExitValue,0)</f>
        <v/>
      </c>
      <c r="JT11" s="218">
        <f>CashFlow!JT$6+IF(276=DispoMonth,DevFee*(1-DevFeeThirdPartySplit)+SponsorDispoFeePct*ExitValue,0)</f>
        <v/>
      </c>
      <c r="JU11" s="218">
        <f>CashFlow!JU$6+IF(277=DispoMonth,DevFee*(1-DevFeeThirdPartySplit)+SponsorDispoFeePct*ExitValue,0)</f>
        <v/>
      </c>
      <c r="JV11" s="218">
        <f>CashFlow!JV$6+IF(278=DispoMonth,DevFee*(1-DevFeeThirdPartySplit)+SponsorDispoFeePct*ExitValue,0)</f>
        <v/>
      </c>
      <c r="JW11" s="218">
        <f>CashFlow!JW$6+IF(279=DispoMonth,DevFee*(1-DevFeeThirdPartySplit)+SponsorDispoFeePct*ExitValue,0)</f>
        <v/>
      </c>
      <c r="JX11" s="218">
        <f>CashFlow!JX$6+IF(280=DispoMonth,DevFee*(1-DevFeeThirdPartySplit)+SponsorDispoFeePct*ExitValue,0)</f>
        <v/>
      </c>
      <c r="JY11" s="218">
        <f>CashFlow!JY$6+IF(281=DispoMonth,DevFee*(1-DevFeeThirdPartySplit)+SponsorDispoFeePct*ExitValue,0)</f>
        <v/>
      </c>
      <c r="JZ11" s="218">
        <f>CashFlow!JZ$6+IF(282=DispoMonth,DevFee*(1-DevFeeThirdPartySplit)+SponsorDispoFeePct*ExitValue,0)</f>
        <v/>
      </c>
      <c r="KA11" s="218">
        <f>CashFlow!KA$6+IF(283=DispoMonth,DevFee*(1-DevFeeThirdPartySplit)+SponsorDispoFeePct*ExitValue,0)</f>
        <v/>
      </c>
      <c r="KB11" s="218">
        <f>CashFlow!KB$6+IF(284=DispoMonth,DevFee*(1-DevFeeThirdPartySplit)+SponsorDispoFeePct*ExitValue,0)</f>
        <v/>
      </c>
      <c r="KC11" s="218">
        <f>CashFlow!KC$6+IF(285=DispoMonth,DevFee*(1-DevFeeThirdPartySplit)+SponsorDispoFeePct*ExitValue,0)</f>
        <v/>
      </c>
      <c r="KD11" s="218">
        <f>CashFlow!KD$6+IF(286=DispoMonth,DevFee*(1-DevFeeThirdPartySplit)+SponsorDispoFeePct*ExitValue,0)</f>
        <v/>
      </c>
      <c r="KE11" s="218">
        <f>CashFlow!KE$6+IF(287=DispoMonth,DevFee*(1-DevFeeThirdPartySplit)+SponsorDispoFeePct*ExitValue,0)</f>
        <v/>
      </c>
      <c r="KF11" s="218">
        <f>CashFlow!KF$6+IF(288=DispoMonth,DevFee*(1-DevFeeThirdPartySplit)+SponsorDispoFeePct*ExitValue,0)</f>
        <v/>
      </c>
      <c r="KG11" s="218">
        <f>CashFlow!KG$6+IF(289=DispoMonth,DevFee*(1-DevFeeThirdPartySplit)+SponsorDispoFeePct*ExitValue,0)</f>
        <v/>
      </c>
      <c r="KH11" s="218">
        <f>CashFlow!KH$6+IF(290=DispoMonth,DevFee*(1-DevFeeThirdPartySplit)+SponsorDispoFeePct*ExitValue,0)</f>
        <v/>
      </c>
      <c r="KI11" s="218">
        <f>CashFlow!KI$6+IF(291=DispoMonth,DevFee*(1-DevFeeThirdPartySplit)+SponsorDispoFeePct*ExitValue,0)</f>
        <v/>
      </c>
      <c r="KJ11" s="218">
        <f>CashFlow!KJ$6+IF(292=DispoMonth,DevFee*(1-DevFeeThirdPartySplit)+SponsorDispoFeePct*ExitValue,0)</f>
        <v/>
      </c>
      <c r="KK11" s="218">
        <f>CashFlow!KK$6+IF(293=DispoMonth,DevFee*(1-DevFeeThirdPartySplit)+SponsorDispoFeePct*ExitValue,0)</f>
        <v/>
      </c>
      <c r="KL11" s="218">
        <f>CashFlow!KL$6+IF(294=DispoMonth,DevFee*(1-DevFeeThirdPartySplit)+SponsorDispoFeePct*ExitValue,0)</f>
        <v/>
      </c>
      <c r="KM11" s="218">
        <f>CashFlow!KM$6+IF(295=DispoMonth,DevFee*(1-DevFeeThirdPartySplit)+SponsorDispoFeePct*ExitValue,0)</f>
        <v/>
      </c>
      <c r="KN11" s="218">
        <f>CashFlow!KN$6+IF(296=DispoMonth,DevFee*(1-DevFeeThirdPartySplit)+SponsorDispoFeePct*ExitValue,0)</f>
        <v/>
      </c>
      <c r="KO11" s="218">
        <f>CashFlow!KO$6+IF(297=DispoMonth,DevFee*(1-DevFeeThirdPartySplit)+SponsorDispoFeePct*ExitValue,0)</f>
        <v/>
      </c>
      <c r="KP11" s="218">
        <f>CashFlow!KP$6+IF(298=DispoMonth,DevFee*(1-DevFeeThirdPartySplit)+SponsorDispoFeePct*ExitValue,0)</f>
        <v/>
      </c>
      <c r="KQ11" s="218">
        <f>CashFlow!KQ$6+IF(299=DispoMonth,DevFee*(1-DevFeeThirdPartySplit)+SponsorDispoFeePct*ExitValue,0)</f>
        <v/>
      </c>
      <c r="KR11" s="218">
        <f>CashFlow!KR$6+IF(300=DispoMonth,DevFee*(1-DevFeeThirdPartySplit)+SponsorDispoFeePct*ExitValue,0)</f>
        <v/>
      </c>
      <c r="KS11" s="218">
        <f>CashFlow!KS$6+IF(301=DispoMonth,DevFee*(1-DevFeeThirdPartySplit)+SponsorDispoFeePct*ExitValue,0)</f>
        <v/>
      </c>
      <c r="KT11" s="218">
        <f>CashFlow!KT$6+IF(302=DispoMonth,DevFee*(1-DevFeeThirdPartySplit)+SponsorDispoFeePct*ExitValue,0)</f>
        <v/>
      </c>
      <c r="KU11" s="218">
        <f>CashFlow!KU$6+IF(303=DispoMonth,DevFee*(1-DevFeeThirdPartySplit)+SponsorDispoFeePct*ExitValue,0)</f>
        <v/>
      </c>
      <c r="KV11" s="218">
        <f>CashFlow!KV$6+IF(304=DispoMonth,DevFee*(1-DevFeeThirdPartySplit)+SponsorDispoFeePct*ExitValue,0)</f>
        <v/>
      </c>
      <c r="KW11" s="218">
        <f>CashFlow!KW$6+IF(305=DispoMonth,DevFee*(1-DevFeeThirdPartySplit)+SponsorDispoFeePct*ExitValue,0)</f>
        <v/>
      </c>
      <c r="KX11" s="218">
        <f>CashFlow!KX$6+IF(306=DispoMonth,DevFee*(1-DevFeeThirdPartySplit)+SponsorDispoFeePct*ExitValue,0)</f>
        <v/>
      </c>
      <c r="KY11" s="218">
        <f>CashFlow!KY$6+IF(307=DispoMonth,DevFee*(1-DevFeeThirdPartySplit)+SponsorDispoFeePct*ExitValue,0)</f>
        <v/>
      </c>
      <c r="KZ11" s="218">
        <f>CashFlow!KZ$6+IF(308=DispoMonth,DevFee*(1-DevFeeThirdPartySplit)+SponsorDispoFeePct*ExitValue,0)</f>
        <v/>
      </c>
      <c r="LA11" s="218">
        <f>CashFlow!LA$6+IF(309=DispoMonth,DevFee*(1-DevFeeThirdPartySplit)+SponsorDispoFeePct*ExitValue,0)</f>
        <v/>
      </c>
      <c r="LB11" s="218">
        <f>CashFlow!LB$6+IF(310=DispoMonth,DevFee*(1-DevFeeThirdPartySplit)+SponsorDispoFeePct*ExitValue,0)</f>
        <v/>
      </c>
      <c r="LC11" s="218">
        <f>CashFlow!LC$6+IF(311=DispoMonth,DevFee*(1-DevFeeThirdPartySplit)+SponsorDispoFeePct*ExitValue,0)</f>
        <v/>
      </c>
      <c r="LD11" s="218">
        <f>CashFlow!LD$6+IF(312=DispoMonth,DevFee*(1-DevFeeThirdPartySplit)+SponsorDispoFeePct*ExitValue,0)</f>
        <v/>
      </c>
      <c r="LE11" s="218">
        <f>CashFlow!LE$6+IF(313=DispoMonth,DevFee*(1-DevFeeThirdPartySplit)+SponsorDispoFeePct*ExitValue,0)</f>
        <v/>
      </c>
      <c r="LF11" s="218">
        <f>CashFlow!LF$6+IF(314=DispoMonth,DevFee*(1-DevFeeThirdPartySplit)+SponsorDispoFeePct*ExitValue,0)</f>
        <v/>
      </c>
      <c r="LG11" s="218">
        <f>CashFlow!LG$6+IF(315=DispoMonth,DevFee*(1-DevFeeThirdPartySplit)+SponsorDispoFeePct*ExitValue,0)</f>
        <v/>
      </c>
      <c r="LH11" s="218">
        <f>CashFlow!LH$6+IF(316=DispoMonth,DevFee*(1-DevFeeThirdPartySplit)+SponsorDispoFeePct*ExitValue,0)</f>
        <v/>
      </c>
      <c r="LI11" s="218">
        <f>CashFlow!LI$6+IF(317=DispoMonth,DevFee*(1-DevFeeThirdPartySplit)+SponsorDispoFeePct*ExitValue,0)</f>
        <v/>
      </c>
      <c r="LJ11" s="218">
        <f>CashFlow!LJ$6+IF(318=DispoMonth,DevFee*(1-DevFeeThirdPartySplit)+SponsorDispoFeePct*ExitValue,0)</f>
        <v/>
      </c>
      <c r="LK11" s="218">
        <f>CashFlow!LK$6+IF(319=DispoMonth,DevFee*(1-DevFeeThirdPartySplit)+SponsorDispoFeePct*ExitValue,0)</f>
        <v/>
      </c>
      <c r="LL11" s="218">
        <f>CashFlow!LL$6+IF(320=DispoMonth,DevFee*(1-DevFeeThirdPartySplit)+SponsorDispoFeePct*ExitValue,0)</f>
        <v/>
      </c>
      <c r="LM11" s="218">
        <f>CashFlow!LM$6+IF(321=DispoMonth,DevFee*(1-DevFeeThirdPartySplit)+SponsorDispoFeePct*ExitValue,0)</f>
        <v/>
      </c>
      <c r="LN11" s="218">
        <f>CashFlow!LN$6+IF(322=DispoMonth,DevFee*(1-DevFeeThirdPartySplit)+SponsorDispoFeePct*ExitValue,0)</f>
        <v/>
      </c>
      <c r="LO11" s="218">
        <f>CashFlow!LO$6+IF(323=DispoMonth,DevFee*(1-DevFeeThirdPartySplit)+SponsorDispoFeePct*ExitValue,0)</f>
        <v/>
      </c>
      <c r="LP11" s="218">
        <f>CashFlow!LP$6+IF(324=DispoMonth,DevFee*(1-DevFeeThirdPartySplit)+SponsorDispoFeePct*ExitValue,0)</f>
        <v/>
      </c>
      <c r="LQ11" s="218">
        <f>CashFlow!LQ$6+IF(325=DispoMonth,DevFee*(1-DevFeeThirdPartySplit)+SponsorDispoFeePct*ExitValue,0)</f>
        <v/>
      </c>
      <c r="LR11" s="218">
        <f>CashFlow!LR$6+IF(326=DispoMonth,DevFee*(1-DevFeeThirdPartySplit)+SponsorDispoFeePct*ExitValue,0)</f>
        <v/>
      </c>
      <c r="LS11" s="218">
        <f>CashFlow!LS$6+IF(327=DispoMonth,DevFee*(1-DevFeeThirdPartySplit)+SponsorDispoFeePct*ExitValue,0)</f>
        <v/>
      </c>
      <c r="LT11" s="218">
        <f>CashFlow!LT$6+IF(328=DispoMonth,DevFee*(1-DevFeeThirdPartySplit)+SponsorDispoFeePct*ExitValue,0)</f>
        <v/>
      </c>
      <c r="LU11" s="218">
        <f>CashFlow!LU$6+IF(329=DispoMonth,DevFee*(1-DevFeeThirdPartySplit)+SponsorDispoFeePct*ExitValue,0)</f>
        <v/>
      </c>
      <c r="LV11" s="218">
        <f>CashFlow!LV$6+IF(330=DispoMonth,DevFee*(1-DevFeeThirdPartySplit)+SponsorDispoFeePct*ExitValue,0)</f>
        <v/>
      </c>
      <c r="LW11" s="218">
        <f>CashFlow!LW$6+IF(331=DispoMonth,DevFee*(1-DevFeeThirdPartySplit)+SponsorDispoFeePct*ExitValue,0)</f>
        <v/>
      </c>
      <c r="LX11" s="218">
        <f>CashFlow!LX$6+IF(332=DispoMonth,DevFee*(1-DevFeeThirdPartySplit)+SponsorDispoFeePct*ExitValue,0)</f>
        <v/>
      </c>
      <c r="LY11" s="218">
        <f>CashFlow!LY$6+IF(333=DispoMonth,DevFee*(1-DevFeeThirdPartySplit)+SponsorDispoFeePct*ExitValue,0)</f>
        <v/>
      </c>
      <c r="LZ11" s="218">
        <f>CashFlow!LZ$6+IF(334=DispoMonth,DevFee*(1-DevFeeThirdPartySplit)+SponsorDispoFeePct*ExitValue,0)</f>
        <v/>
      </c>
      <c r="MA11" s="218">
        <f>CashFlow!MA$6+IF(335=DispoMonth,DevFee*(1-DevFeeThirdPartySplit)+SponsorDispoFeePct*ExitValue,0)</f>
        <v/>
      </c>
      <c r="MB11" s="218">
        <f>CashFlow!MB$6+IF(336=DispoMonth,DevFee*(1-DevFeeThirdPartySplit)+SponsorDispoFeePct*ExitValue,0)</f>
        <v/>
      </c>
      <c r="MC11" s="218">
        <f>CashFlow!MC$6+IF(337=DispoMonth,DevFee*(1-DevFeeThirdPartySplit)+SponsorDispoFeePct*ExitValue,0)</f>
        <v/>
      </c>
      <c r="MD11" s="218">
        <f>CashFlow!MD$6+IF(338=DispoMonth,DevFee*(1-DevFeeThirdPartySplit)+SponsorDispoFeePct*ExitValue,0)</f>
        <v/>
      </c>
      <c r="ME11" s="218">
        <f>CashFlow!ME$6+IF(339=DispoMonth,DevFee*(1-DevFeeThirdPartySplit)+SponsorDispoFeePct*ExitValue,0)</f>
        <v/>
      </c>
      <c r="MF11" s="218">
        <f>CashFlow!MF$6+IF(340=DispoMonth,DevFee*(1-DevFeeThirdPartySplit)+SponsorDispoFeePct*ExitValue,0)</f>
        <v/>
      </c>
      <c r="MG11" s="218">
        <f>CashFlow!MG$6+IF(341=DispoMonth,DevFee*(1-DevFeeThirdPartySplit)+SponsorDispoFeePct*ExitValue,0)</f>
        <v/>
      </c>
      <c r="MH11" s="218">
        <f>CashFlow!MH$6+IF(342=DispoMonth,DevFee*(1-DevFeeThirdPartySplit)+SponsorDispoFeePct*ExitValue,0)</f>
        <v/>
      </c>
      <c r="MI11" s="218">
        <f>CashFlow!MI$6+IF(343=DispoMonth,DevFee*(1-DevFeeThirdPartySplit)+SponsorDispoFeePct*ExitValue,0)</f>
        <v/>
      </c>
      <c r="MJ11" s="218">
        <f>CashFlow!MJ$6+IF(344=DispoMonth,DevFee*(1-DevFeeThirdPartySplit)+SponsorDispoFeePct*ExitValue,0)</f>
        <v/>
      </c>
      <c r="MK11" s="218">
        <f>CashFlow!MK$6+IF(345=DispoMonth,DevFee*(1-DevFeeThirdPartySplit)+SponsorDispoFeePct*ExitValue,0)</f>
        <v/>
      </c>
      <c r="ML11" s="218">
        <f>CashFlow!ML$6+IF(346=DispoMonth,DevFee*(1-DevFeeThirdPartySplit)+SponsorDispoFeePct*ExitValue,0)</f>
        <v/>
      </c>
      <c r="MM11" s="218">
        <f>CashFlow!MM$6+IF(347=DispoMonth,DevFee*(1-DevFeeThirdPartySplit)+SponsorDispoFeePct*ExitValue,0)</f>
        <v/>
      </c>
      <c r="MN11" s="218">
        <f>CashFlow!MN$6+IF(348=DispoMonth,DevFee*(1-DevFeeThirdPartySplit)+SponsorDispoFeePct*ExitValue,0)</f>
        <v/>
      </c>
      <c r="MO11" s="218">
        <f>CashFlow!MO$6+IF(349=DispoMonth,DevFee*(1-DevFeeThirdPartySplit)+SponsorDispoFeePct*ExitValue,0)</f>
        <v/>
      </c>
      <c r="MP11" s="218">
        <f>CashFlow!MP$6+IF(350=DispoMonth,DevFee*(1-DevFeeThirdPartySplit)+SponsorDispoFeePct*ExitValue,0)</f>
        <v/>
      </c>
      <c r="MQ11" s="218">
        <f>CashFlow!MQ$6+IF(351=DispoMonth,DevFee*(1-DevFeeThirdPartySplit)+SponsorDispoFeePct*ExitValue,0)</f>
        <v/>
      </c>
      <c r="MR11" s="218">
        <f>CashFlow!MR$6+IF(352=DispoMonth,DevFee*(1-DevFeeThirdPartySplit)+SponsorDispoFeePct*ExitValue,0)</f>
        <v/>
      </c>
      <c r="MS11" s="218">
        <f>CashFlow!MS$6+IF(353=DispoMonth,DevFee*(1-DevFeeThirdPartySplit)+SponsorDispoFeePct*ExitValue,0)</f>
        <v/>
      </c>
      <c r="MT11" s="218">
        <f>CashFlow!MT$6+IF(354=DispoMonth,DevFee*(1-DevFeeThirdPartySplit)+SponsorDispoFeePct*ExitValue,0)</f>
        <v/>
      </c>
      <c r="MU11" s="218">
        <f>CashFlow!MU$6+IF(355=DispoMonth,DevFee*(1-DevFeeThirdPartySplit)+SponsorDispoFeePct*ExitValue,0)</f>
        <v/>
      </c>
      <c r="MV11" s="218">
        <f>CashFlow!MV$6+IF(356=DispoMonth,DevFee*(1-DevFeeThirdPartySplit)+SponsorDispoFeePct*ExitValue,0)</f>
        <v/>
      </c>
      <c r="MW11" s="218">
        <f>CashFlow!MW$6+IF(357=DispoMonth,DevFee*(1-DevFeeThirdPartySplit)+SponsorDispoFeePct*ExitValue,0)</f>
        <v/>
      </c>
      <c r="MX11" s="218">
        <f>CashFlow!MX$6+IF(358=DispoMonth,DevFee*(1-DevFeeThirdPartySplit)+SponsorDispoFeePct*ExitValue,0)</f>
        <v/>
      </c>
      <c r="MY11" s="218">
        <f>CashFlow!MY$6+IF(359=DispoMonth,DevFee*(1-DevFeeThirdPartySplit)+SponsorDispoFeePct*ExitValue,0)</f>
        <v/>
      </c>
      <c r="MZ11" s="218">
        <f>CashFlow!MZ$6+IF(360=DispoMonth,DevFee*(1-DevFeeThirdPartySplit)+SponsorDispoFeePct*ExitValue,0)</f>
        <v/>
      </c>
      <c r="NA11" s="218">
        <f>CashFlow!NA$6+IF(361=DispoMonth,DevFee*(1-DevFeeThirdPartySplit)+SponsorDispoFeePct*ExitValue,0)</f>
        <v/>
      </c>
      <c r="NB11" s="218">
        <f>CashFlow!NB$6+IF(362=DispoMonth,DevFee*(1-DevFeeThirdPartySplit)+SponsorDispoFeePct*ExitValue,0)</f>
        <v/>
      </c>
      <c r="NC11" s="218">
        <f>CashFlow!NC$6+IF(363=DispoMonth,DevFee*(1-DevFeeThirdPartySplit)+SponsorDispoFeePct*ExitValue,0)</f>
        <v/>
      </c>
      <c r="ND11" s="218">
        <f>CashFlow!ND$6+IF(364=DispoMonth,DevFee*(1-DevFeeThirdPartySplit)+SponsorDispoFeePct*ExitValue,0)</f>
        <v/>
      </c>
      <c r="NE11" s="218">
        <f>CashFlow!NE$6+IF(365=DispoMonth,DevFee*(1-DevFeeThirdPartySplit)+SponsorDispoFeePct*ExitValue,0)</f>
        <v/>
      </c>
      <c r="NF11" s="218">
        <f>CashFlow!NF$6+IF(366=DispoMonth,DevFee*(1-DevFeeThirdPartySplit)+SponsorDispoFeePct*ExitValue,0)</f>
        <v/>
      </c>
      <c r="NG11" s="218">
        <f>CashFlow!NG$6+IF(367=DispoMonth,DevFee*(1-DevFeeThirdPartySplit)+SponsorDispoFeePct*ExitValue,0)</f>
        <v/>
      </c>
      <c r="NH11" s="218">
        <f>CashFlow!NH$6+IF(368=DispoMonth,DevFee*(1-DevFeeThirdPartySplit)+SponsorDispoFeePct*ExitValue,0)</f>
        <v/>
      </c>
      <c r="NI11" s="218">
        <f>CashFlow!NI$6+IF(369=DispoMonth,DevFee*(1-DevFeeThirdPartySplit)+SponsorDispoFeePct*ExitValue,0)</f>
        <v/>
      </c>
      <c r="NJ11" s="218">
        <f>CashFlow!NJ$6+IF(370=DispoMonth,DevFee*(1-DevFeeThirdPartySplit)+SponsorDispoFeePct*ExitValue,0)</f>
        <v/>
      </c>
      <c r="NK11" s="218">
        <f>CashFlow!NK$6+IF(371=DispoMonth,DevFee*(1-DevFeeThirdPartySplit)+SponsorDispoFeePct*ExitValue,0)</f>
        <v/>
      </c>
      <c r="NL11" s="218">
        <f>CashFlow!NL$6+IF(372=DispoMonth,DevFee*(1-DevFeeThirdPartySplit)+SponsorDispoFeePct*ExitValue,0)</f>
        <v/>
      </c>
    </row>
    <row r="12">
      <c r="B12" s="36" t="inlineStr">
        <is>
          <t>Unlevered CF (gross of fees)</t>
        </is>
      </c>
      <c r="D12" s="258">
        <f>SUM(E12:NL12)</f>
        <v/>
      </c>
      <c r="E12" s="218">
        <f>CashFlow!E$7+IF(1=DispoMonth,DevFee*(1-DevFeeThirdPartySplit)+SponsorDispoFeePct*ExitValue,0)</f>
        <v/>
      </c>
      <c r="F12" s="218">
        <f>CashFlow!F$7+IF(2=DispoMonth,DevFee*(1-DevFeeThirdPartySplit)+SponsorDispoFeePct*ExitValue,0)</f>
        <v/>
      </c>
      <c r="G12" s="218">
        <f>CashFlow!G$7+IF(3=DispoMonth,DevFee*(1-DevFeeThirdPartySplit)+SponsorDispoFeePct*ExitValue,0)</f>
        <v/>
      </c>
      <c r="H12" s="218">
        <f>CashFlow!H$7+IF(4=DispoMonth,DevFee*(1-DevFeeThirdPartySplit)+SponsorDispoFeePct*ExitValue,0)</f>
        <v/>
      </c>
      <c r="I12" s="218">
        <f>CashFlow!I$7+IF(5=DispoMonth,DevFee*(1-DevFeeThirdPartySplit)+SponsorDispoFeePct*ExitValue,0)</f>
        <v/>
      </c>
      <c r="J12" s="218">
        <f>CashFlow!J$7+IF(6=DispoMonth,DevFee*(1-DevFeeThirdPartySplit)+SponsorDispoFeePct*ExitValue,0)</f>
        <v/>
      </c>
      <c r="K12" s="218">
        <f>CashFlow!K$7+IF(7=DispoMonth,DevFee*(1-DevFeeThirdPartySplit)+SponsorDispoFeePct*ExitValue,0)</f>
        <v/>
      </c>
      <c r="L12" s="218">
        <f>CashFlow!L$7+IF(8=DispoMonth,DevFee*(1-DevFeeThirdPartySplit)+SponsorDispoFeePct*ExitValue,0)</f>
        <v/>
      </c>
      <c r="M12" s="218">
        <f>CashFlow!M$7+IF(9=DispoMonth,DevFee*(1-DevFeeThirdPartySplit)+SponsorDispoFeePct*ExitValue,0)</f>
        <v/>
      </c>
      <c r="N12" s="218">
        <f>CashFlow!N$7+IF(10=DispoMonth,DevFee*(1-DevFeeThirdPartySplit)+SponsorDispoFeePct*ExitValue,0)</f>
        <v/>
      </c>
      <c r="O12" s="218">
        <f>CashFlow!O$7+IF(11=DispoMonth,DevFee*(1-DevFeeThirdPartySplit)+SponsorDispoFeePct*ExitValue,0)</f>
        <v/>
      </c>
      <c r="P12" s="218">
        <f>CashFlow!P$7+IF(12=DispoMonth,DevFee*(1-DevFeeThirdPartySplit)+SponsorDispoFeePct*ExitValue,0)</f>
        <v/>
      </c>
      <c r="Q12" s="218">
        <f>CashFlow!Q$7+IF(13=DispoMonth,DevFee*(1-DevFeeThirdPartySplit)+SponsorDispoFeePct*ExitValue,0)</f>
        <v/>
      </c>
      <c r="R12" s="218">
        <f>CashFlow!R$7+IF(14=DispoMonth,DevFee*(1-DevFeeThirdPartySplit)+SponsorDispoFeePct*ExitValue,0)</f>
        <v/>
      </c>
      <c r="S12" s="218">
        <f>CashFlow!S$7+IF(15=DispoMonth,DevFee*(1-DevFeeThirdPartySplit)+SponsorDispoFeePct*ExitValue,0)</f>
        <v/>
      </c>
      <c r="T12" s="218">
        <f>CashFlow!T$7+IF(16=DispoMonth,DevFee*(1-DevFeeThirdPartySplit)+SponsorDispoFeePct*ExitValue,0)</f>
        <v/>
      </c>
      <c r="U12" s="218">
        <f>CashFlow!U$7+IF(17=DispoMonth,DevFee*(1-DevFeeThirdPartySplit)+SponsorDispoFeePct*ExitValue,0)</f>
        <v/>
      </c>
      <c r="V12" s="218">
        <f>CashFlow!V$7+IF(18=DispoMonth,DevFee*(1-DevFeeThirdPartySplit)+SponsorDispoFeePct*ExitValue,0)</f>
        <v/>
      </c>
      <c r="W12" s="218">
        <f>CashFlow!W$7+IF(19=DispoMonth,DevFee*(1-DevFeeThirdPartySplit)+SponsorDispoFeePct*ExitValue,0)</f>
        <v/>
      </c>
      <c r="X12" s="218">
        <f>CashFlow!X$7+IF(20=DispoMonth,DevFee*(1-DevFeeThirdPartySplit)+SponsorDispoFeePct*ExitValue,0)</f>
        <v/>
      </c>
      <c r="Y12" s="218">
        <f>CashFlow!Y$7+IF(21=DispoMonth,DevFee*(1-DevFeeThirdPartySplit)+SponsorDispoFeePct*ExitValue,0)</f>
        <v/>
      </c>
      <c r="Z12" s="218">
        <f>CashFlow!Z$7+IF(22=DispoMonth,DevFee*(1-DevFeeThirdPartySplit)+SponsorDispoFeePct*ExitValue,0)</f>
        <v/>
      </c>
      <c r="AA12" s="218">
        <f>CashFlow!AA$7+IF(23=DispoMonth,DevFee*(1-DevFeeThirdPartySplit)+SponsorDispoFeePct*ExitValue,0)</f>
        <v/>
      </c>
      <c r="AB12" s="218">
        <f>CashFlow!AB$7+IF(24=DispoMonth,DevFee*(1-DevFeeThirdPartySplit)+SponsorDispoFeePct*ExitValue,0)</f>
        <v/>
      </c>
      <c r="AC12" s="218">
        <f>CashFlow!AC$7+IF(25=DispoMonth,DevFee*(1-DevFeeThirdPartySplit)+SponsorDispoFeePct*ExitValue,0)</f>
        <v/>
      </c>
      <c r="AD12" s="218">
        <f>CashFlow!AD$7+IF(26=DispoMonth,DevFee*(1-DevFeeThirdPartySplit)+SponsorDispoFeePct*ExitValue,0)</f>
        <v/>
      </c>
      <c r="AE12" s="218">
        <f>CashFlow!AE$7+IF(27=DispoMonth,DevFee*(1-DevFeeThirdPartySplit)+SponsorDispoFeePct*ExitValue,0)</f>
        <v/>
      </c>
      <c r="AF12" s="218">
        <f>CashFlow!AF$7+IF(28=DispoMonth,DevFee*(1-DevFeeThirdPartySplit)+SponsorDispoFeePct*ExitValue,0)</f>
        <v/>
      </c>
      <c r="AG12" s="218">
        <f>CashFlow!AG$7+IF(29=DispoMonth,DevFee*(1-DevFeeThirdPartySplit)+SponsorDispoFeePct*ExitValue,0)</f>
        <v/>
      </c>
      <c r="AH12" s="218">
        <f>CashFlow!AH$7+IF(30=DispoMonth,DevFee*(1-DevFeeThirdPartySplit)+SponsorDispoFeePct*ExitValue,0)</f>
        <v/>
      </c>
      <c r="AI12" s="218">
        <f>CashFlow!AI$7+IF(31=DispoMonth,DevFee*(1-DevFeeThirdPartySplit)+SponsorDispoFeePct*ExitValue,0)</f>
        <v/>
      </c>
      <c r="AJ12" s="218">
        <f>CashFlow!AJ$7+IF(32=DispoMonth,DevFee*(1-DevFeeThirdPartySplit)+SponsorDispoFeePct*ExitValue,0)</f>
        <v/>
      </c>
      <c r="AK12" s="218">
        <f>CashFlow!AK$7+IF(33=DispoMonth,DevFee*(1-DevFeeThirdPartySplit)+SponsorDispoFeePct*ExitValue,0)</f>
        <v/>
      </c>
      <c r="AL12" s="218">
        <f>CashFlow!AL$7+IF(34=DispoMonth,DevFee*(1-DevFeeThirdPartySplit)+SponsorDispoFeePct*ExitValue,0)</f>
        <v/>
      </c>
      <c r="AM12" s="218">
        <f>CashFlow!AM$7+IF(35=DispoMonth,DevFee*(1-DevFeeThirdPartySplit)+SponsorDispoFeePct*ExitValue,0)</f>
        <v/>
      </c>
      <c r="AN12" s="218">
        <f>CashFlow!AN$7+IF(36=DispoMonth,DevFee*(1-DevFeeThirdPartySplit)+SponsorDispoFeePct*ExitValue,0)</f>
        <v/>
      </c>
      <c r="AO12" s="218">
        <f>CashFlow!AO$7+IF(37=DispoMonth,DevFee*(1-DevFeeThirdPartySplit)+SponsorDispoFeePct*ExitValue,0)</f>
        <v/>
      </c>
      <c r="AP12" s="218">
        <f>CashFlow!AP$7+IF(38=DispoMonth,DevFee*(1-DevFeeThirdPartySplit)+SponsorDispoFeePct*ExitValue,0)</f>
        <v/>
      </c>
      <c r="AQ12" s="218">
        <f>CashFlow!AQ$7+IF(39=DispoMonth,DevFee*(1-DevFeeThirdPartySplit)+SponsorDispoFeePct*ExitValue,0)</f>
        <v/>
      </c>
      <c r="AR12" s="218">
        <f>CashFlow!AR$7+IF(40=DispoMonth,DevFee*(1-DevFeeThirdPartySplit)+SponsorDispoFeePct*ExitValue,0)</f>
        <v/>
      </c>
      <c r="AS12" s="218">
        <f>CashFlow!AS$7+IF(41=DispoMonth,DevFee*(1-DevFeeThirdPartySplit)+SponsorDispoFeePct*ExitValue,0)</f>
        <v/>
      </c>
      <c r="AT12" s="218">
        <f>CashFlow!AT$7+IF(42=DispoMonth,DevFee*(1-DevFeeThirdPartySplit)+SponsorDispoFeePct*ExitValue,0)</f>
        <v/>
      </c>
      <c r="AU12" s="218">
        <f>CashFlow!AU$7+IF(43=DispoMonth,DevFee*(1-DevFeeThirdPartySplit)+SponsorDispoFeePct*ExitValue,0)</f>
        <v/>
      </c>
      <c r="AV12" s="218">
        <f>CashFlow!AV$7+IF(44=DispoMonth,DevFee*(1-DevFeeThirdPartySplit)+SponsorDispoFeePct*ExitValue,0)</f>
        <v/>
      </c>
      <c r="AW12" s="218">
        <f>CashFlow!AW$7+IF(45=DispoMonth,DevFee*(1-DevFeeThirdPartySplit)+SponsorDispoFeePct*ExitValue,0)</f>
        <v/>
      </c>
      <c r="AX12" s="218">
        <f>CashFlow!AX$7+IF(46=DispoMonth,DevFee*(1-DevFeeThirdPartySplit)+SponsorDispoFeePct*ExitValue,0)</f>
        <v/>
      </c>
      <c r="AY12" s="218">
        <f>CashFlow!AY$7+IF(47=DispoMonth,DevFee*(1-DevFeeThirdPartySplit)+SponsorDispoFeePct*ExitValue,0)</f>
        <v/>
      </c>
      <c r="AZ12" s="218">
        <f>CashFlow!AZ$7+IF(48=DispoMonth,DevFee*(1-DevFeeThirdPartySplit)+SponsorDispoFeePct*ExitValue,0)</f>
        <v/>
      </c>
      <c r="BA12" s="218">
        <f>CashFlow!BA$7+IF(49=DispoMonth,DevFee*(1-DevFeeThirdPartySplit)+SponsorDispoFeePct*ExitValue,0)</f>
        <v/>
      </c>
      <c r="BB12" s="218">
        <f>CashFlow!BB$7+IF(50=DispoMonth,DevFee*(1-DevFeeThirdPartySplit)+SponsorDispoFeePct*ExitValue,0)</f>
        <v/>
      </c>
      <c r="BC12" s="218">
        <f>CashFlow!BC$7+IF(51=DispoMonth,DevFee*(1-DevFeeThirdPartySplit)+SponsorDispoFeePct*ExitValue,0)</f>
        <v/>
      </c>
      <c r="BD12" s="218">
        <f>CashFlow!BD$7+IF(52=DispoMonth,DevFee*(1-DevFeeThirdPartySplit)+SponsorDispoFeePct*ExitValue,0)</f>
        <v/>
      </c>
      <c r="BE12" s="218">
        <f>CashFlow!BE$7+IF(53=DispoMonth,DevFee*(1-DevFeeThirdPartySplit)+SponsorDispoFeePct*ExitValue,0)</f>
        <v/>
      </c>
      <c r="BF12" s="218">
        <f>CashFlow!BF$7+IF(54=DispoMonth,DevFee*(1-DevFeeThirdPartySplit)+SponsorDispoFeePct*ExitValue,0)</f>
        <v/>
      </c>
      <c r="BG12" s="218">
        <f>CashFlow!BG$7+IF(55=DispoMonth,DevFee*(1-DevFeeThirdPartySplit)+SponsorDispoFeePct*ExitValue,0)</f>
        <v/>
      </c>
      <c r="BH12" s="218">
        <f>CashFlow!BH$7+IF(56=DispoMonth,DevFee*(1-DevFeeThirdPartySplit)+SponsorDispoFeePct*ExitValue,0)</f>
        <v/>
      </c>
      <c r="BI12" s="218">
        <f>CashFlow!BI$7+IF(57=DispoMonth,DevFee*(1-DevFeeThirdPartySplit)+SponsorDispoFeePct*ExitValue,0)</f>
        <v/>
      </c>
      <c r="BJ12" s="218">
        <f>CashFlow!BJ$7+IF(58=DispoMonth,DevFee*(1-DevFeeThirdPartySplit)+SponsorDispoFeePct*ExitValue,0)</f>
        <v/>
      </c>
      <c r="BK12" s="218">
        <f>CashFlow!BK$7+IF(59=DispoMonth,DevFee*(1-DevFeeThirdPartySplit)+SponsorDispoFeePct*ExitValue,0)</f>
        <v/>
      </c>
      <c r="BL12" s="218">
        <f>CashFlow!BL$7+IF(60=DispoMonth,DevFee*(1-DevFeeThirdPartySplit)+SponsorDispoFeePct*ExitValue,0)</f>
        <v/>
      </c>
      <c r="BM12" s="218">
        <f>CashFlow!BM$7+IF(61=DispoMonth,DevFee*(1-DevFeeThirdPartySplit)+SponsorDispoFeePct*ExitValue,0)</f>
        <v/>
      </c>
      <c r="BN12" s="218">
        <f>CashFlow!BN$7+IF(62=DispoMonth,DevFee*(1-DevFeeThirdPartySplit)+SponsorDispoFeePct*ExitValue,0)</f>
        <v/>
      </c>
      <c r="BO12" s="218">
        <f>CashFlow!BO$7+IF(63=DispoMonth,DevFee*(1-DevFeeThirdPartySplit)+SponsorDispoFeePct*ExitValue,0)</f>
        <v/>
      </c>
      <c r="BP12" s="218">
        <f>CashFlow!BP$7+IF(64=DispoMonth,DevFee*(1-DevFeeThirdPartySplit)+SponsorDispoFeePct*ExitValue,0)</f>
        <v/>
      </c>
      <c r="BQ12" s="218">
        <f>CashFlow!BQ$7+IF(65=DispoMonth,DevFee*(1-DevFeeThirdPartySplit)+SponsorDispoFeePct*ExitValue,0)</f>
        <v/>
      </c>
      <c r="BR12" s="218">
        <f>CashFlow!BR$7+IF(66=DispoMonth,DevFee*(1-DevFeeThirdPartySplit)+SponsorDispoFeePct*ExitValue,0)</f>
        <v/>
      </c>
      <c r="BS12" s="218">
        <f>CashFlow!BS$7+IF(67=DispoMonth,DevFee*(1-DevFeeThirdPartySplit)+SponsorDispoFeePct*ExitValue,0)</f>
        <v/>
      </c>
      <c r="BT12" s="218">
        <f>CashFlow!BT$7+IF(68=DispoMonth,DevFee*(1-DevFeeThirdPartySplit)+SponsorDispoFeePct*ExitValue,0)</f>
        <v/>
      </c>
      <c r="BU12" s="218">
        <f>CashFlow!BU$7+IF(69=DispoMonth,DevFee*(1-DevFeeThirdPartySplit)+SponsorDispoFeePct*ExitValue,0)</f>
        <v/>
      </c>
      <c r="BV12" s="218">
        <f>CashFlow!BV$7+IF(70=DispoMonth,DevFee*(1-DevFeeThirdPartySplit)+SponsorDispoFeePct*ExitValue,0)</f>
        <v/>
      </c>
      <c r="BW12" s="218">
        <f>CashFlow!BW$7+IF(71=DispoMonth,DevFee*(1-DevFeeThirdPartySplit)+SponsorDispoFeePct*ExitValue,0)</f>
        <v/>
      </c>
      <c r="BX12" s="218">
        <f>CashFlow!BX$7+IF(72=DispoMonth,DevFee*(1-DevFeeThirdPartySplit)+SponsorDispoFeePct*ExitValue,0)</f>
        <v/>
      </c>
      <c r="BY12" s="218">
        <f>CashFlow!BY$7+IF(73=DispoMonth,DevFee*(1-DevFeeThirdPartySplit)+SponsorDispoFeePct*ExitValue,0)</f>
        <v/>
      </c>
      <c r="BZ12" s="218">
        <f>CashFlow!BZ$7+IF(74=DispoMonth,DevFee*(1-DevFeeThirdPartySplit)+SponsorDispoFeePct*ExitValue,0)</f>
        <v/>
      </c>
      <c r="CA12" s="218">
        <f>CashFlow!CA$7+IF(75=DispoMonth,DevFee*(1-DevFeeThirdPartySplit)+SponsorDispoFeePct*ExitValue,0)</f>
        <v/>
      </c>
      <c r="CB12" s="218">
        <f>CashFlow!CB$7+IF(76=DispoMonth,DevFee*(1-DevFeeThirdPartySplit)+SponsorDispoFeePct*ExitValue,0)</f>
        <v/>
      </c>
      <c r="CC12" s="218">
        <f>CashFlow!CC$7+IF(77=DispoMonth,DevFee*(1-DevFeeThirdPartySplit)+SponsorDispoFeePct*ExitValue,0)</f>
        <v/>
      </c>
      <c r="CD12" s="218">
        <f>CashFlow!CD$7+IF(78=DispoMonth,DevFee*(1-DevFeeThirdPartySplit)+SponsorDispoFeePct*ExitValue,0)</f>
        <v/>
      </c>
      <c r="CE12" s="218">
        <f>CashFlow!CE$7+IF(79=DispoMonth,DevFee*(1-DevFeeThirdPartySplit)+SponsorDispoFeePct*ExitValue,0)</f>
        <v/>
      </c>
      <c r="CF12" s="218">
        <f>CashFlow!CF$7+IF(80=DispoMonth,DevFee*(1-DevFeeThirdPartySplit)+SponsorDispoFeePct*ExitValue,0)</f>
        <v/>
      </c>
      <c r="CG12" s="218">
        <f>CashFlow!CG$7+IF(81=DispoMonth,DevFee*(1-DevFeeThirdPartySplit)+SponsorDispoFeePct*ExitValue,0)</f>
        <v/>
      </c>
      <c r="CH12" s="218">
        <f>CashFlow!CH$7+IF(82=DispoMonth,DevFee*(1-DevFeeThirdPartySplit)+SponsorDispoFeePct*ExitValue,0)</f>
        <v/>
      </c>
      <c r="CI12" s="218">
        <f>CashFlow!CI$7+IF(83=DispoMonth,DevFee*(1-DevFeeThirdPartySplit)+SponsorDispoFeePct*ExitValue,0)</f>
        <v/>
      </c>
      <c r="CJ12" s="218">
        <f>CashFlow!CJ$7+IF(84=DispoMonth,DevFee*(1-DevFeeThirdPartySplit)+SponsorDispoFeePct*ExitValue,0)</f>
        <v/>
      </c>
      <c r="CK12" s="218">
        <f>CashFlow!CK$7+IF(85=DispoMonth,DevFee*(1-DevFeeThirdPartySplit)+SponsorDispoFeePct*ExitValue,0)</f>
        <v/>
      </c>
      <c r="CL12" s="218">
        <f>CashFlow!CL$7+IF(86=DispoMonth,DevFee*(1-DevFeeThirdPartySplit)+SponsorDispoFeePct*ExitValue,0)</f>
        <v/>
      </c>
      <c r="CM12" s="218">
        <f>CashFlow!CM$7+IF(87=DispoMonth,DevFee*(1-DevFeeThirdPartySplit)+SponsorDispoFeePct*ExitValue,0)</f>
        <v/>
      </c>
      <c r="CN12" s="218">
        <f>CashFlow!CN$7+IF(88=DispoMonth,DevFee*(1-DevFeeThirdPartySplit)+SponsorDispoFeePct*ExitValue,0)</f>
        <v/>
      </c>
      <c r="CO12" s="218">
        <f>CashFlow!CO$7+IF(89=DispoMonth,DevFee*(1-DevFeeThirdPartySplit)+SponsorDispoFeePct*ExitValue,0)</f>
        <v/>
      </c>
      <c r="CP12" s="218">
        <f>CashFlow!CP$7+IF(90=DispoMonth,DevFee*(1-DevFeeThirdPartySplit)+SponsorDispoFeePct*ExitValue,0)</f>
        <v/>
      </c>
      <c r="CQ12" s="218">
        <f>CashFlow!CQ$7+IF(91=DispoMonth,DevFee*(1-DevFeeThirdPartySplit)+SponsorDispoFeePct*ExitValue,0)</f>
        <v/>
      </c>
      <c r="CR12" s="218">
        <f>CashFlow!CR$7+IF(92=DispoMonth,DevFee*(1-DevFeeThirdPartySplit)+SponsorDispoFeePct*ExitValue,0)</f>
        <v/>
      </c>
      <c r="CS12" s="218">
        <f>CashFlow!CS$7+IF(93=DispoMonth,DevFee*(1-DevFeeThirdPartySplit)+SponsorDispoFeePct*ExitValue,0)</f>
        <v/>
      </c>
      <c r="CT12" s="218">
        <f>CashFlow!CT$7+IF(94=DispoMonth,DevFee*(1-DevFeeThirdPartySplit)+SponsorDispoFeePct*ExitValue,0)</f>
        <v/>
      </c>
      <c r="CU12" s="218">
        <f>CashFlow!CU$7+IF(95=DispoMonth,DevFee*(1-DevFeeThirdPartySplit)+SponsorDispoFeePct*ExitValue,0)</f>
        <v/>
      </c>
      <c r="CV12" s="218">
        <f>CashFlow!CV$7+IF(96=DispoMonth,DevFee*(1-DevFeeThirdPartySplit)+SponsorDispoFeePct*ExitValue,0)</f>
        <v/>
      </c>
      <c r="CW12" s="218">
        <f>CashFlow!CW$7+IF(97=DispoMonth,DevFee*(1-DevFeeThirdPartySplit)+SponsorDispoFeePct*ExitValue,0)</f>
        <v/>
      </c>
      <c r="CX12" s="218">
        <f>CashFlow!CX$7+IF(98=DispoMonth,DevFee*(1-DevFeeThirdPartySplit)+SponsorDispoFeePct*ExitValue,0)</f>
        <v/>
      </c>
      <c r="CY12" s="218">
        <f>CashFlow!CY$7+IF(99=DispoMonth,DevFee*(1-DevFeeThirdPartySplit)+SponsorDispoFeePct*ExitValue,0)</f>
        <v/>
      </c>
      <c r="CZ12" s="218">
        <f>CashFlow!CZ$7+IF(100=DispoMonth,DevFee*(1-DevFeeThirdPartySplit)+SponsorDispoFeePct*ExitValue,0)</f>
        <v/>
      </c>
      <c r="DA12" s="218">
        <f>CashFlow!DA$7+IF(101=DispoMonth,DevFee*(1-DevFeeThirdPartySplit)+SponsorDispoFeePct*ExitValue,0)</f>
        <v/>
      </c>
      <c r="DB12" s="218">
        <f>CashFlow!DB$7+IF(102=DispoMonth,DevFee*(1-DevFeeThirdPartySplit)+SponsorDispoFeePct*ExitValue,0)</f>
        <v/>
      </c>
      <c r="DC12" s="218">
        <f>CashFlow!DC$7+IF(103=DispoMonth,DevFee*(1-DevFeeThirdPartySplit)+SponsorDispoFeePct*ExitValue,0)</f>
        <v/>
      </c>
      <c r="DD12" s="218">
        <f>CashFlow!DD$7+IF(104=DispoMonth,DevFee*(1-DevFeeThirdPartySplit)+SponsorDispoFeePct*ExitValue,0)</f>
        <v/>
      </c>
      <c r="DE12" s="218">
        <f>CashFlow!DE$7+IF(105=DispoMonth,DevFee*(1-DevFeeThirdPartySplit)+SponsorDispoFeePct*ExitValue,0)</f>
        <v/>
      </c>
      <c r="DF12" s="218">
        <f>CashFlow!DF$7+IF(106=DispoMonth,DevFee*(1-DevFeeThirdPartySplit)+SponsorDispoFeePct*ExitValue,0)</f>
        <v/>
      </c>
      <c r="DG12" s="218">
        <f>CashFlow!DG$7+IF(107=DispoMonth,DevFee*(1-DevFeeThirdPartySplit)+SponsorDispoFeePct*ExitValue,0)</f>
        <v/>
      </c>
      <c r="DH12" s="218">
        <f>CashFlow!DH$7+IF(108=DispoMonth,DevFee*(1-DevFeeThirdPartySplit)+SponsorDispoFeePct*ExitValue,0)</f>
        <v/>
      </c>
      <c r="DI12" s="218">
        <f>CashFlow!DI$7+IF(109=DispoMonth,DevFee*(1-DevFeeThirdPartySplit)+SponsorDispoFeePct*ExitValue,0)</f>
        <v/>
      </c>
      <c r="DJ12" s="218">
        <f>CashFlow!DJ$7+IF(110=DispoMonth,DevFee*(1-DevFeeThirdPartySplit)+SponsorDispoFeePct*ExitValue,0)</f>
        <v/>
      </c>
      <c r="DK12" s="218">
        <f>CashFlow!DK$7+IF(111=DispoMonth,DevFee*(1-DevFeeThirdPartySplit)+SponsorDispoFeePct*ExitValue,0)</f>
        <v/>
      </c>
      <c r="DL12" s="218">
        <f>CashFlow!DL$7+IF(112=DispoMonth,DevFee*(1-DevFeeThirdPartySplit)+SponsorDispoFeePct*ExitValue,0)</f>
        <v/>
      </c>
      <c r="DM12" s="218">
        <f>CashFlow!DM$7+IF(113=DispoMonth,DevFee*(1-DevFeeThirdPartySplit)+SponsorDispoFeePct*ExitValue,0)</f>
        <v/>
      </c>
      <c r="DN12" s="218">
        <f>CashFlow!DN$7+IF(114=DispoMonth,DevFee*(1-DevFeeThirdPartySplit)+SponsorDispoFeePct*ExitValue,0)</f>
        <v/>
      </c>
      <c r="DO12" s="218">
        <f>CashFlow!DO$7+IF(115=DispoMonth,DevFee*(1-DevFeeThirdPartySplit)+SponsorDispoFeePct*ExitValue,0)</f>
        <v/>
      </c>
      <c r="DP12" s="218">
        <f>CashFlow!DP$7+IF(116=DispoMonth,DevFee*(1-DevFeeThirdPartySplit)+SponsorDispoFeePct*ExitValue,0)</f>
        <v/>
      </c>
      <c r="DQ12" s="218">
        <f>CashFlow!DQ$7+IF(117=DispoMonth,DevFee*(1-DevFeeThirdPartySplit)+SponsorDispoFeePct*ExitValue,0)</f>
        <v/>
      </c>
      <c r="DR12" s="218">
        <f>CashFlow!DR$7+IF(118=DispoMonth,DevFee*(1-DevFeeThirdPartySplit)+SponsorDispoFeePct*ExitValue,0)</f>
        <v/>
      </c>
      <c r="DS12" s="218">
        <f>CashFlow!DS$7+IF(119=DispoMonth,DevFee*(1-DevFeeThirdPartySplit)+SponsorDispoFeePct*ExitValue,0)</f>
        <v/>
      </c>
      <c r="DT12" s="218">
        <f>CashFlow!DT$7+IF(120=DispoMonth,DevFee*(1-DevFeeThirdPartySplit)+SponsorDispoFeePct*ExitValue,0)</f>
        <v/>
      </c>
      <c r="DU12" s="218">
        <f>CashFlow!DU$7+IF(121=DispoMonth,DevFee*(1-DevFeeThirdPartySplit)+SponsorDispoFeePct*ExitValue,0)</f>
        <v/>
      </c>
      <c r="DV12" s="218">
        <f>CashFlow!DV$7+IF(122=DispoMonth,DevFee*(1-DevFeeThirdPartySplit)+SponsorDispoFeePct*ExitValue,0)</f>
        <v/>
      </c>
      <c r="DW12" s="218">
        <f>CashFlow!DW$7+IF(123=DispoMonth,DevFee*(1-DevFeeThirdPartySplit)+SponsorDispoFeePct*ExitValue,0)</f>
        <v/>
      </c>
      <c r="DX12" s="218">
        <f>CashFlow!DX$7+IF(124=DispoMonth,DevFee*(1-DevFeeThirdPartySplit)+SponsorDispoFeePct*ExitValue,0)</f>
        <v/>
      </c>
      <c r="DY12" s="218">
        <f>CashFlow!DY$7+IF(125=DispoMonth,DevFee*(1-DevFeeThirdPartySplit)+SponsorDispoFeePct*ExitValue,0)</f>
        <v/>
      </c>
      <c r="DZ12" s="218">
        <f>CashFlow!DZ$7+IF(126=DispoMonth,DevFee*(1-DevFeeThirdPartySplit)+SponsorDispoFeePct*ExitValue,0)</f>
        <v/>
      </c>
      <c r="EA12" s="218">
        <f>CashFlow!EA$7+IF(127=DispoMonth,DevFee*(1-DevFeeThirdPartySplit)+SponsorDispoFeePct*ExitValue,0)</f>
        <v/>
      </c>
      <c r="EB12" s="218">
        <f>CashFlow!EB$7+IF(128=DispoMonth,DevFee*(1-DevFeeThirdPartySplit)+SponsorDispoFeePct*ExitValue,0)</f>
        <v/>
      </c>
      <c r="EC12" s="218">
        <f>CashFlow!EC$7+IF(129=DispoMonth,DevFee*(1-DevFeeThirdPartySplit)+SponsorDispoFeePct*ExitValue,0)</f>
        <v/>
      </c>
      <c r="ED12" s="218">
        <f>CashFlow!ED$7+IF(130=DispoMonth,DevFee*(1-DevFeeThirdPartySplit)+SponsorDispoFeePct*ExitValue,0)</f>
        <v/>
      </c>
      <c r="EE12" s="218">
        <f>CashFlow!EE$7+IF(131=DispoMonth,DevFee*(1-DevFeeThirdPartySplit)+SponsorDispoFeePct*ExitValue,0)</f>
        <v/>
      </c>
      <c r="EF12" s="218">
        <f>CashFlow!EF$7+IF(132=DispoMonth,DevFee*(1-DevFeeThirdPartySplit)+SponsorDispoFeePct*ExitValue,0)</f>
        <v/>
      </c>
      <c r="EG12" s="218">
        <f>CashFlow!EG$7+IF(133=DispoMonth,DevFee*(1-DevFeeThirdPartySplit)+SponsorDispoFeePct*ExitValue,0)</f>
        <v/>
      </c>
      <c r="EH12" s="218">
        <f>CashFlow!EH$7+IF(134=DispoMonth,DevFee*(1-DevFeeThirdPartySplit)+SponsorDispoFeePct*ExitValue,0)</f>
        <v/>
      </c>
      <c r="EI12" s="218">
        <f>CashFlow!EI$7+IF(135=DispoMonth,DevFee*(1-DevFeeThirdPartySplit)+SponsorDispoFeePct*ExitValue,0)</f>
        <v/>
      </c>
      <c r="EJ12" s="218">
        <f>CashFlow!EJ$7+IF(136=DispoMonth,DevFee*(1-DevFeeThirdPartySplit)+SponsorDispoFeePct*ExitValue,0)</f>
        <v/>
      </c>
      <c r="EK12" s="218">
        <f>CashFlow!EK$7+IF(137=DispoMonth,DevFee*(1-DevFeeThirdPartySplit)+SponsorDispoFeePct*ExitValue,0)</f>
        <v/>
      </c>
      <c r="EL12" s="218">
        <f>CashFlow!EL$7+IF(138=DispoMonth,DevFee*(1-DevFeeThirdPartySplit)+SponsorDispoFeePct*ExitValue,0)</f>
        <v/>
      </c>
      <c r="EM12" s="218">
        <f>CashFlow!EM$7+IF(139=DispoMonth,DevFee*(1-DevFeeThirdPartySplit)+SponsorDispoFeePct*ExitValue,0)</f>
        <v/>
      </c>
      <c r="EN12" s="218">
        <f>CashFlow!EN$7+IF(140=DispoMonth,DevFee*(1-DevFeeThirdPartySplit)+SponsorDispoFeePct*ExitValue,0)</f>
        <v/>
      </c>
      <c r="EO12" s="218">
        <f>CashFlow!EO$7+IF(141=DispoMonth,DevFee*(1-DevFeeThirdPartySplit)+SponsorDispoFeePct*ExitValue,0)</f>
        <v/>
      </c>
      <c r="EP12" s="218">
        <f>CashFlow!EP$7+IF(142=DispoMonth,DevFee*(1-DevFeeThirdPartySplit)+SponsorDispoFeePct*ExitValue,0)</f>
        <v/>
      </c>
      <c r="EQ12" s="218">
        <f>CashFlow!EQ$7+IF(143=DispoMonth,DevFee*(1-DevFeeThirdPartySplit)+SponsorDispoFeePct*ExitValue,0)</f>
        <v/>
      </c>
      <c r="ER12" s="218">
        <f>CashFlow!ER$7+IF(144=DispoMonth,DevFee*(1-DevFeeThirdPartySplit)+SponsorDispoFeePct*ExitValue,0)</f>
        <v/>
      </c>
      <c r="ES12" s="218">
        <f>CashFlow!ES$7+IF(145=DispoMonth,DevFee*(1-DevFeeThirdPartySplit)+SponsorDispoFeePct*ExitValue,0)</f>
        <v/>
      </c>
      <c r="ET12" s="218">
        <f>CashFlow!ET$7+IF(146=DispoMonth,DevFee*(1-DevFeeThirdPartySplit)+SponsorDispoFeePct*ExitValue,0)</f>
        <v/>
      </c>
      <c r="EU12" s="218">
        <f>CashFlow!EU$7+IF(147=DispoMonth,DevFee*(1-DevFeeThirdPartySplit)+SponsorDispoFeePct*ExitValue,0)</f>
        <v/>
      </c>
      <c r="EV12" s="218">
        <f>CashFlow!EV$7+IF(148=DispoMonth,DevFee*(1-DevFeeThirdPartySplit)+SponsorDispoFeePct*ExitValue,0)</f>
        <v/>
      </c>
      <c r="EW12" s="218">
        <f>CashFlow!EW$7+IF(149=DispoMonth,DevFee*(1-DevFeeThirdPartySplit)+SponsorDispoFeePct*ExitValue,0)</f>
        <v/>
      </c>
      <c r="EX12" s="218">
        <f>CashFlow!EX$7+IF(150=DispoMonth,DevFee*(1-DevFeeThirdPartySplit)+SponsorDispoFeePct*ExitValue,0)</f>
        <v/>
      </c>
      <c r="EY12" s="218">
        <f>CashFlow!EY$7+IF(151=DispoMonth,DevFee*(1-DevFeeThirdPartySplit)+SponsorDispoFeePct*ExitValue,0)</f>
        <v/>
      </c>
      <c r="EZ12" s="218">
        <f>CashFlow!EZ$7+IF(152=DispoMonth,DevFee*(1-DevFeeThirdPartySplit)+SponsorDispoFeePct*ExitValue,0)</f>
        <v/>
      </c>
      <c r="FA12" s="218">
        <f>CashFlow!FA$7+IF(153=DispoMonth,DevFee*(1-DevFeeThirdPartySplit)+SponsorDispoFeePct*ExitValue,0)</f>
        <v/>
      </c>
      <c r="FB12" s="218">
        <f>CashFlow!FB$7+IF(154=DispoMonth,DevFee*(1-DevFeeThirdPartySplit)+SponsorDispoFeePct*ExitValue,0)</f>
        <v/>
      </c>
      <c r="FC12" s="218">
        <f>CashFlow!FC$7+IF(155=DispoMonth,DevFee*(1-DevFeeThirdPartySplit)+SponsorDispoFeePct*ExitValue,0)</f>
        <v/>
      </c>
      <c r="FD12" s="218">
        <f>CashFlow!FD$7+IF(156=DispoMonth,DevFee*(1-DevFeeThirdPartySplit)+SponsorDispoFeePct*ExitValue,0)</f>
        <v/>
      </c>
      <c r="FE12" s="218">
        <f>CashFlow!FE$7+IF(157=DispoMonth,DevFee*(1-DevFeeThirdPartySplit)+SponsorDispoFeePct*ExitValue,0)</f>
        <v/>
      </c>
      <c r="FF12" s="218">
        <f>CashFlow!FF$7+IF(158=DispoMonth,DevFee*(1-DevFeeThirdPartySplit)+SponsorDispoFeePct*ExitValue,0)</f>
        <v/>
      </c>
      <c r="FG12" s="218">
        <f>CashFlow!FG$7+IF(159=DispoMonth,DevFee*(1-DevFeeThirdPartySplit)+SponsorDispoFeePct*ExitValue,0)</f>
        <v/>
      </c>
      <c r="FH12" s="218">
        <f>CashFlow!FH$7+IF(160=DispoMonth,DevFee*(1-DevFeeThirdPartySplit)+SponsorDispoFeePct*ExitValue,0)</f>
        <v/>
      </c>
      <c r="FI12" s="218">
        <f>CashFlow!FI$7+IF(161=DispoMonth,DevFee*(1-DevFeeThirdPartySplit)+SponsorDispoFeePct*ExitValue,0)</f>
        <v/>
      </c>
      <c r="FJ12" s="218">
        <f>CashFlow!FJ$7+IF(162=DispoMonth,DevFee*(1-DevFeeThirdPartySplit)+SponsorDispoFeePct*ExitValue,0)</f>
        <v/>
      </c>
      <c r="FK12" s="218">
        <f>CashFlow!FK$7+IF(163=DispoMonth,DevFee*(1-DevFeeThirdPartySplit)+SponsorDispoFeePct*ExitValue,0)</f>
        <v/>
      </c>
      <c r="FL12" s="218">
        <f>CashFlow!FL$7+IF(164=DispoMonth,DevFee*(1-DevFeeThirdPartySplit)+SponsorDispoFeePct*ExitValue,0)</f>
        <v/>
      </c>
      <c r="FM12" s="218">
        <f>CashFlow!FM$7+IF(165=DispoMonth,DevFee*(1-DevFeeThirdPartySplit)+SponsorDispoFeePct*ExitValue,0)</f>
        <v/>
      </c>
      <c r="FN12" s="218">
        <f>CashFlow!FN$7+IF(166=DispoMonth,DevFee*(1-DevFeeThirdPartySplit)+SponsorDispoFeePct*ExitValue,0)</f>
        <v/>
      </c>
      <c r="FO12" s="218">
        <f>CashFlow!FO$7+IF(167=DispoMonth,DevFee*(1-DevFeeThirdPartySplit)+SponsorDispoFeePct*ExitValue,0)</f>
        <v/>
      </c>
      <c r="FP12" s="218">
        <f>CashFlow!FP$7+IF(168=DispoMonth,DevFee*(1-DevFeeThirdPartySplit)+SponsorDispoFeePct*ExitValue,0)</f>
        <v/>
      </c>
      <c r="FQ12" s="218">
        <f>CashFlow!FQ$7+IF(169=DispoMonth,DevFee*(1-DevFeeThirdPartySplit)+SponsorDispoFeePct*ExitValue,0)</f>
        <v/>
      </c>
      <c r="FR12" s="218">
        <f>CashFlow!FR$7+IF(170=DispoMonth,DevFee*(1-DevFeeThirdPartySplit)+SponsorDispoFeePct*ExitValue,0)</f>
        <v/>
      </c>
      <c r="FS12" s="218">
        <f>CashFlow!FS$7+IF(171=DispoMonth,DevFee*(1-DevFeeThirdPartySplit)+SponsorDispoFeePct*ExitValue,0)</f>
        <v/>
      </c>
      <c r="FT12" s="218">
        <f>CashFlow!FT$7+IF(172=DispoMonth,DevFee*(1-DevFeeThirdPartySplit)+SponsorDispoFeePct*ExitValue,0)</f>
        <v/>
      </c>
      <c r="FU12" s="218">
        <f>CashFlow!FU$7+IF(173=DispoMonth,DevFee*(1-DevFeeThirdPartySplit)+SponsorDispoFeePct*ExitValue,0)</f>
        <v/>
      </c>
      <c r="FV12" s="218">
        <f>CashFlow!FV$7+IF(174=DispoMonth,DevFee*(1-DevFeeThirdPartySplit)+SponsorDispoFeePct*ExitValue,0)</f>
        <v/>
      </c>
      <c r="FW12" s="218">
        <f>CashFlow!FW$7+IF(175=DispoMonth,DevFee*(1-DevFeeThirdPartySplit)+SponsorDispoFeePct*ExitValue,0)</f>
        <v/>
      </c>
      <c r="FX12" s="218">
        <f>CashFlow!FX$7+IF(176=DispoMonth,DevFee*(1-DevFeeThirdPartySplit)+SponsorDispoFeePct*ExitValue,0)</f>
        <v/>
      </c>
      <c r="FY12" s="218">
        <f>CashFlow!FY$7+IF(177=DispoMonth,DevFee*(1-DevFeeThirdPartySplit)+SponsorDispoFeePct*ExitValue,0)</f>
        <v/>
      </c>
      <c r="FZ12" s="218">
        <f>CashFlow!FZ$7+IF(178=DispoMonth,DevFee*(1-DevFeeThirdPartySplit)+SponsorDispoFeePct*ExitValue,0)</f>
        <v/>
      </c>
      <c r="GA12" s="218">
        <f>CashFlow!GA$7+IF(179=DispoMonth,DevFee*(1-DevFeeThirdPartySplit)+SponsorDispoFeePct*ExitValue,0)</f>
        <v/>
      </c>
      <c r="GB12" s="218">
        <f>CashFlow!GB$7+IF(180=DispoMonth,DevFee*(1-DevFeeThirdPartySplit)+SponsorDispoFeePct*ExitValue,0)</f>
        <v/>
      </c>
      <c r="GC12" s="218">
        <f>CashFlow!GC$7+IF(181=DispoMonth,DevFee*(1-DevFeeThirdPartySplit)+SponsorDispoFeePct*ExitValue,0)</f>
        <v/>
      </c>
      <c r="GD12" s="218">
        <f>CashFlow!GD$7+IF(182=DispoMonth,DevFee*(1-DevFeeThirdPartySplit)+SponsorDispoFeePct*ExitValue,0)</f>
        <v/>
      </c>
      <c r="GE12" s="218">
        <f>CashFlow!GE$7+IF(183=DispoMonth,DevFee*(1-DevFeeThirdPartySplit)+SponsorDispoFeePct*ExitValue,0)</f>
        <v/>
      </c>
      <c r="GF12" s="218">
        <f>CashFlow!GF$7+IF(184=DispoMonth,DevFee*(1-DevFeeThirdPartySplit)+SponsorDispoFeePct*ExitValue,0)</f>
        <v/>
      </c>
      <c r="GG12" s="218">
        <f>CashFlow!GG$7+IF(185=DispoMonth,DevFee*(1-DevFeeThirdPartySplit)+SponsorDispoFeePct*ExitValue,0)</f>
        <v/>
      </c>
      <c r="GH12" s="218">
        <f>CashFlow!GH$7+IF(186=DispoMonth,DevFee*(1-DevFeeThirdPartySplit)+SponsorDispoFeePct*ExitValue,0)</f>
        <v/>
      </c>
      <c r="GI12" s="218">
        <f>CashFlow!GI$7+IF(187=DispoMonth,DevFee*(1-DevFeeThirdPartySplit)+SponsorDispoFeePct*ExitValue,0)</f>
        <v/>
      </c>
      <c r="GJ12" s="218">
        <f>CashFlow!GJ$7+IF(188=DispoMonth,DevFee*(1-DevFeeThirdPartySplit)+SponsorDispoFeePct*ExitValue,0)</f>
        <v/>
      </c>
      <c r="GK12" s="218">
        <f>CashFlow!GK$7+IF(189=DispoMonth,DevFee*(1-DevFeeThirdPartySplit)+SponsorDispoFeePct*ExitValue,0)</f>
        <v/>
      </c>
      <c r="GL12" s="218">
        <f>CashFlow!GL$7+IF(190=DispoMonth,DevFee*(1-DevFeeThirdPartySplit)+SponsorDispoFeePct*ExitValue,0)</f>
        <v/>
      </c>
      <c r="GM12" s="218">
        <f>CashFlow!GM$7+IF(191=DispoMonth,DevFee*(1-DevFeeThirdPartySplit)+SponsorDispoFeePct*ExitValue,0)</f>
        <v/>
      </c>
      <c r="GN12" s="218">
        <f>CashFlow!GN$7+IF(192=DispoMonth,DevFee*(1-DevFeeThirdPartySplit)+SponsorDispoFeePct*ExitValue,0)</f>
        <v/>
      </c>
      <c r="GO12" s="218">
        <f>CashFlow!GO$7+IF(193=DispoMonth,DevFee*(1-DevFeeThirdPartySplit)+SponsorDispoFeePct*ExitValue,0)</f>
        <v/>
      </c>
      <c r="GP12" s="218">
        <f>CashFlow!GP$7+IF(194=DispoMonth,DevFee*(1-DevFeeThirdPartySplit)+SponsorDispoFeePct*ExitValue,0)</f>
        <v/>
      </c>
      <c r="GQ12" s="218">
        <f>CashFlow!GQ$7+IF(195=DispoMonth,DevFee*(1-DevFeeThirdPartySplit)+SponsorDispoFeePct*ExitValue,0)</f>
        <v/>
      </c>
      <c r="GR12" s="218">
        <f>CashFlow!GR$7+IF(196=DispoMonth,DevFee*(1-DevFeeThirdPartySplit)+SponsorDispoFeePct*ExitValue,0)</f>
        <v/>
      </c>
      <c r="GS12" s="218">
        <f>CashFlow!GS$7+IF(197=DispoMonth,DevFee*(1-DevFeeThirdPartySplit)+SponsorDispoFeePct*ExitValue,0)</f>
        <v/>
      </c>
      <c r="GT12" s="218">
        <f>CashFlow!GT$7+IF(198=DispoMonth,DevFee*(1-DevFeeThirdPartySplit)+SponsorDispoFeePct*ExitValue,0)</f>
        <v/>
      </c>
      <c r="GU12" s="218">
        <f>CashFlow!GU$7+IF(199=DispoMonth,DevFee*(1-DevFeeThirdPartySplit)+SponsorDispoFeePct*ExitValue,0)</f>
        <v/>
      </c>
      <c r="GV12" s="218">
        <f>CashFlow!GV$7+IF(200=DispoMonth,DevFee*(1-DevFeeThirdPartySplit)+SponsorDispoFeePct*ExitValue,0)</f>
        <v/>
      </c>
      <c r="GW12" s="218">
        <f>CashFlow!GW$7+IF(201=DispoMonth,DevFee*(1-DevFeeThirdPartySplit)+SponsorDispoFeePct*ExitValue,0)</f>
        <v/>
      </c>
      <c r="GX12" s="218">
        <f>CashFlow!GX$7+IF(202=DispoMonth,DevFee*(1-DevFeeThirdPartySplit)+SponsorDispoFeePct*ExitValue,0)</f>
        <v/>
      </c>
      <c r="GY12" s="218">
        <f>CashFlow!GY$7+IF(203=DispoMonth,DevFee*(1-DevFeeThirdPartySplit)+SponsorDispoFeePct*ExitValue,0)</f>
        <v/>
      </c>
      <c r="GZ12" s="218">
        <f>CashFlow!GZ$7+IF(204=DispoMonth,DevFee*(1-DevFeeThirdPartySplit)+SponsorDispoFeePct*ExitValue,0)</f>
        <v/>
      </c>
      <c r="HA12" s="218">
        <f>CashFlow!HA$7+IF(205=DispoMonth,DevFee*(1-DevFeeThirdPartySplit)+SponsorDispoFeePct*ExitValue,0)</f>
        <v/>
      </c>
      <c r="HB12" s="218">
        <f>CashFlow!HB$7+IF(206=DispoMonth,DevFee*(1-DevFeeThirdPartySplit)+SponsorDispoFeePct*ExitValue,0)</f>
        <v/>
      </c>
      <c r="HC12" s="218">
        <f>CashFlow!HC$7+IF(207=DispoMonth,DevFee*(1-DevFeeThirdPartySplit)+SponsorDispoFeePct*ExitValue,0)</f>
        <v/>
      </c>
      <c r="HD12" s="218">
        <f>CashFlow!HD$7+IF(208=DispoMonth,DevFee*(1-DevFeeThirdPartySplit)+SponsorDispoFeePct*ExitValue,0)</f>
        <v/>
      </c>
      <c r="HE12" s="218">
        <f>CashFlow!HE$7+IF(209=DispoMonth,DevFee*(1-DevFeeThirdPartySplit)+SponsorDispoFeePct*ExitValue,0)</f>
        <v/>
      </c>
      <c r="HF12" s="218">
        <f>CashFlow!HF$7+IF(210=DispoMonth,DevFee*(1-DevFeeThirdPartySplit)+SponsorDispoFeePct*ExitValue,0)</f>
        <v/>
      </c>
      <c r="HG12" s="218">
        <f>CashFlow!HG$7+IF(211=DispoMonth,DevFee*(1-DevFeeThirdPartySplit)+SponsorDispoFeePct*ExitValue,0)</f>
        <v/>
      </c>
      <c r="HH12" s="218">
        <f>CashFlow!HH$7+IF(212=DispoMonth,DevFee*(1-DevFeeThirdPartySplit)+SponsorDispoFeePct*ExitValue,0)</f>
        <v/>
      </c>
      <c r="HI12" s="218">
        <f>CashFlow!HI$7+IF(213=DispoMonth,DevFee*(1-DevFeeThirdPartySplit)+SponsorDispoFeePct*ExitValue,0)</f>
        <v/>
      </c>
      <c r="HJ12" s="218">
        <f>CashFlow!HJ$7+IF(214=DispoMonth,DevFee*(1-DevFeeThirdPartySplit)+SponsorDispoFeePct*ExitValue,0)</f>
        <v/>
      </c>
      <c r="HK12" s="218">
        <f>CashFlow!HK$7+IF(215=DispoMonth,DevFee*(1-DevFeeThirdPartySplit)+SponsorDispoFeePct*ExitValue,0)</f>
        <v/>
      </c>
      <c r="HL12" s="218">
        <f>CashFlow!HL$7+IF(216=DispoMonth,DevFee*(1-DevFeeThirdPartySplit)+SponsorDispoFeePct*ExitValue,0)</f>
        <v/>
      </c>
      <c r="HM12" s="218">
        <f>CashFlow!HM$7+IF(217=DispoMonth,DevFee*(1-DevFeeThirdPartySplit)+SponsorDispoFeePct*ExitValue,0)</f>
        <v/>
      </c>
      <c r="HN12" s="218">
        <f>CashFlow!HN$7+IF(218=DispoMonth,DevFee*(1-DevFeeThirdPartySplit)+SponsorDispoFeePct*ExitValue,0)</f>
        <v/>
      </c>
      <c r="HO12" s="218">
        <f>CashFlow!HO$7+IF(219=DispoMonth,DevFee*(1-DevFeeThirdPartySplit)+SponsorDispoFeePct*ExitValue,0)</f>
        <v/>
      </c>
      <c r="HP12" s="218">
        <f>CashFlow!HP$7+IF(220=DispoMonth,DevFee*(1-DevFeeThirdPartySplit)+SponsorDispoFeePct*ExitValue,0)</f>
        <v/>
      </c>
      <c r="HQ12" s="218">
        <f>CashFlow!HQ$7+IF(221=DispoMonth,DevFee*(1-DevFeeThirdPartySplit)+SponsorDispoFeePct*ExitValue,0)</f>
        <v/>
      </c>
      <c r="HR12" s="218">
        <f>CashFlow!HR$7+IF(222=DispoMonth,DevFee*(1-DevFeeThirdPartySplit)+SponsorDispoFeePct*ExitValue,0)</f>
        <v/>
      </c>
      <c r="HS12" s="218">
        <f>CashFlow!HS$7+IF(223=DispoMonth,DevFee*(1-DevFeeThirdPartySplit)+SponsorDispoFeePct*ExitValue,0)</f>
        <v/>
      </c>
      <c r="HT12" s="218">
        <f>CashFlow!HT$7+IF(224=DispoMonth,DevFee*(1-DevFeeThirdPartySplit)+SponsorDispoFeePct*ExitValue,0)</f>
        <v/>
      </c>
      <c r="HU12" s="218">
        <f>CashFlow!HU$7+IF(225=DispoMonth,DevFee*(1-DevFeeThirdPartySplit)+SponsorDispoFeePct*ExitValue,0)</f>
        <v/>
      </c>
      <c r="HV12" s="218">
        <f>CashFlow!HV$7+IF(226=DispoMonth,DevFee*(1-DevFeeThirdPartySplit)+SponsorDispoFeePct*ExitValue,0)</f>
        <v/>
      </c>
      <c r="HW12" s="218">
        <f>CashFlow!HW$7+IF(227=DispoMonth,DevFee*(1-DevFeeThirdPartySplit)+SponsorDispoFeePct*ExitValue,0)</f>
        <v/>
      </c>
      <c r="HX12" s="218">
        <f>CashFlow!HX$7+IF(228=DispoMonth,DevFee*(1-DevFeeThirdPartySplit)+SponsorDispoFeePct*ExitValue,0)</f>
        <v/>
      </c>
      <c r="HY12" s="218">
        <f>CashFlow!HY$7+IF(229=DispoMonth,DevFee*(1-DevFeeThirdPartySplit)+SponsorDispoFeePct*ExitValue,0)</f>
        <v/>
      </c>
      <c r="HZ12" s="218">
        <f>CashFlow!HZ$7+IF(230=DispoMonth,DevFee*(1-DevFeeThirdPartySplit)+SponsorDispoFeePct*ExitValue,0)</f>
        <v/>
      </c>
      <c r="IA12" s="218">
        <f>CashFlow!IA$7+IF(231=DispoMonth,DevFee*(1-DevFeeThirdPartySplit)+SponsorDispoFeePct*ExitValue,0)</f>
        <v/>
      </c>
      <c r="IB12" s="218">
        <f>CashFlow!IB$7+IF(232=DispoMonth,DevFee*(1-DevFeeThirdPartySplit)+SponsorDispoFeePct*ExitValue,0)</f>
        <v/>
      </c>
      <c r="IC12" s="218">
        <f>CashFlow!IC$7+IF(233=DispoMonth,DevFee*(1-DevFeeThirdPartySplit)+SponsorDispoFeePct*ExitValue,0)</f>
        <v/>
      </c>
      <c r="ID12" s="218">
        <f>CashFlow!ID$7+IF(234=DispoMonth,DevFee*(1-DevFeeThirdPartySplit)+SponsorDispoFeePct*ExitValue,0)</f>
        <v/>
      </c>
      <c r="IE12" s="218">
        <f>CashFlow!IE$7+IF(235=DispoMonth,DevFee*(1-DevFeeThirdPartySplit)+SponsorDispoFeePct*ExitValue,0)</f>
        <v/>
      </c>
      <c r="IF12" s="218">
        <f>CashFlow!IF$7+IF(236=DispoMonth,DevFee*(1-DevFeeThirdPartySplit)+SponsorDispoFeePct*ExitValue,0)</f>
        <v/>
      </c>
      <c r="IG12" s="218">
        <f>CashFlow!IG$7+IF(237=DispoMonth,DevFee*(1-DevFeeThirdPartySplit)+SponsorDispoFeePct*ExitValue,0)</f>
        <v/>
      </c>
      <c r="IH12" s="218">
        <f>CashFlow!IH$7+IF(238=DispoMonth,DevFee*(1-DevFeeThirdPartySplit)+SponsorDispoFeePct*ExitValue,0)</f>
        <v/>
      </c>
      <c r="II12" s="218">
        <f>CashFlow!II$7+IF(239=DispoMonth,DevFee*(1-DevFeeThirdPartySplit)+SponsorDispoFeePct*ExitValue,0)</f>
        <v/>
      </c>
      <c r="IJ12" s="218">
        <f>CashFlow!IJ$7+IF(240=DispoMonth,DevFee*(1-DevFeeThirdPartySplit)+SponsorDispoFeePct*ExitValue,0)</f>
        <v/>
      </c>
      <c r="IK12" s="218">
        <f>CashFlow!IK$7+IF(241=DispoMonth,DevFee*(1-DevFeeThirdPartySplit)+SponsorDispoFeePct*ExitValue,0)</f>
        <v/>
      </c>
      <c r="IL12" s="218">
        <f>CashFlow!IL$7+IF(242=DispoMonth,DevFee*(1-DevFeeThirdPartySplit)+SponsorDispoFeePct*ExitValue,0)</f>
        <v/>
      </c>
      <c r="IM12" s="218">
        <f>CashFlow!IM$7+IF(243=DispoMonth,DevFee*(1-DevFeeThirdPartySplit)+SponsorDispoFeePct*ExitValue,0)</f>
        <v/>
      </c>
      <c r="IN12" s="218">
        <f>CashFlow!IN$7+IF(244=DispoMonth,DevFee*(1-DevFeeThirdPartySplit)+SponsorDispoFeePct*ExitValue,0)</f>
        <v/>
      </c>
      <c r="IO12" s="218">
        <f>CashFlow!IO$7+IF(245=DispoMonth,DevFee*(1-DevFeeThirdPartySplit)+SponsorDispoFeePct*ExitValue,0)</f>
        <v/>
      </c>
      <c r="IP12" s="218">
        <f>CashFlow!IP$7+IF(246=DispoMonth,DevFee*(1-DevFeeThirdPartySplit)+SponsorDispoFeePct*ExitValue,0)</f>
        <v/>
      </c>
      <c r="IQ12" s="218">
        <f>CashFlow!IQ$7+IF(247=DispoMonth,DevFee*(1-DevFeeThirdPartySplit)+SponsorDispoFeePct*ExitValue,0)</f>
        <v/>
      </c>
      <c r="IR12" s="218">
        <f>CashFlow!IR$7+IF(248=DispoMonth,DevFee*(1-DevFeeThirdPartySplit)+SponsorDispoFeePct*ExitValue,0)</f>
        <v/>
      </c>
      <c r="IS12" s="218">
        <f>CashFlow!IS$7+IF(249=DispoMonth,DevFee*(1-DevFeeThirdPartySplit)+SponsorDispoFeePct*ExitValue,0)</f>
        <v/>
      </c>
      <c r="IT12" s="218">
        <f>CashFlow!IT$7+IF(250=DispoMonth,DevFee*(1-DevFeeThirdPartySplit)+SponsorDispoFeePct*ExitValue,0)</f>
        <v/>
      </c>
      <c r="IU12" s="218">
        <f>CashFlow!IU$7+IF(251=DispoMonth,DevFee*(1-DevFeeThirdPartySplit)+SponsorDispoFeePct*ExitValue,0)</f>
        <v/>
      </c>
      <c r="IV12" s="218">
        <f>CashFlow!IV$7+IF(252=DispoMonth,DevFee*(1-DevFeeThirdPartySplit)+SponsorDispoFeePct*ExitValue,0)</f>
        <v/>
      </c>
      <c r="IW12" s="218">
        <f>CashFlow!IW$7+IF(253=DispoMonth,DevFee*(1-DevFeeThirdPartySplit)+SponsorDispoFeePct*ExitValue,0)</f>
        <v/>
      </c>
      <c r="IX12" s="218">
        <f>CashFlow!IX$7+IF(254=DispoMonth,DevFee*(1-DevFeeThirdPartySplit)+SponsorDispoFeePct*ExitValue,0)</f>
        <v/>
      </c>
      <c r="IY12" s="218">
        <f>CashFlow!IY$7+IF(255=DispoMonth,DevFee*(1-DevFeeThirdPartySplit)+SponsorDispoFeePct*ExitValue,0)</f>
        <v/>
      </c>
      <c r="IZ12" s="218">
        <f>CashFlow!IZ$7+IF(256=DispoMonth,DevFee*(1-DevFeeThirdPartySplit)+SponsorDispoFeePct*ExitValue,0)</f>
        <v/>
      </c>
      <c r="JA12" s="218">
        <f>CashFlow!JA$7+IF(257=DispoMonth,DevFee*(1-DevFeeThirdPartySplit)+SponsorDispoFeePct*ExitValue,0)</f>
        <v/>
      </c>
      <c r="JB12" s="218">
        <f>CashFlow!JB$7+IF(258=DispoMonth,DevFee*(1-DevFeeThirdPartySplit)+SponsorDispoFeePct*ExitValue,0)</f>
        <v/>
      </c>
      <c r="JC12" s="218">
        <f>CashFlow!JC$7+IF(259=DispoMonth,DevFee*(1-DevFeeThirdPartySplit)+SponsorDispoFeePct*ExitValue,0)</f>
        <v/>
      </c>
      <c r="JD12" s="218">
        <f>CashFlow!JD$7+IF(260=DispoMonth,DevFee*(1-DevFeeThirdPartySplit)+SponsorDispoFeePct*ExitValue,0)</f>
        <v/>
      </c>
      <c r="JE12" s="218">
        <f>CashFlow!JE$7+IF(261=DispoMonth,DevFee*(1-DevFeeThirdPartySplit)+SponsorDispoFeePct*ExitValue,0)</f>
        <v/>
      </c>
      <c r="JF12" s="218">
        <f>CashFlow!JF$7+IF(262=DispoMonth,DevFee*(1-DevFeeThirdPartySplit)+SponsorDispoFeePct*ExitValue,0)</f>
        <v/>
      </c>
      <c r="JG12" s="218">
        <f>CashFlow!JG$7+IF(263=DispoMonth,DevFee*(1-DevFeeThirdPartySplit)+SponsorDispoFeePct*ExitValue,0)</f>
        <v/>
      </c>
      <c r="JH12" s="218">
        <f>CashFlow!JH$7+IF(264=DispoMonth,DevFee*(1-DevFeeThirdPartySplit)+SponsorDispoFeePct*ExitValue,0)</f>
        <v/>
      </c>
      <c r="JI12" s="218">
        <f>CashFlow!JI$7+IF(265=DispoMonth,DevFee*(1-DevFeeThirdPartySplit)+SponsorDispoFeePct*ExitValue,0)</f>
        <v/>
      </c>
      <c r="JJ12" s="218">
        <f>CashFlow!JJ$7+IF(266=DispoMonth,DevFee*(1-DevFeeThirdPartySplit)+SponsorDispoFeePct*ExitValue,0)</f>
        <v/>
      </c>
      <c r="JK12" s="218">
        <f>CashFlow!JK$7+IF(267=DispoMonth,DevFee*(1-DevFeeThirdPartySplit)+SponsorDispoFeePct*ExitValue,0)</f>
        <v/>
      </c>
      <c r="JL12" s="218">
        <f>CashFlow!JL$7+IF(268=DispoMonth,DevFee*(1-DevFeeThirdPartySplit)+SponsorDispoFeePct*ExitValue,0)</f>
        <v/>
      </c>
      <c r="JM12" s="218">
        <f>CashFlow!JM$7+IF(269=DispoMonth,DevFee*(1-DevFeeThirdPartySplit)+SponsorDispoFeePct*ExitValue,0)</f>
        <v/>
      </c>
      <c r="JN12" s="218">
        <f>CashFlow!JN$7+IF(270=DispoMonth,DevFee*(1-DevFeeThirdPartySplit)+SponsorDispoFeePct*ExitValue,0)</f>
        <v/>
      </c>
      <c r="JO12" s="218">
        <f>CashFlow!JO$7+IF(271=DispoMonth,DevFee*(1-DevFeeThirdPartySplit)+SponsorDispoFeePct*ExitValue,0)</f>
        <v/>
      </c>
      <c r="JP12" s="218">
        <f>CashFlow!JP$7+IF(272=DispoMonth,DevFee*(1-DevFeeThirdPartySplit)+SponsorDispoFeePct*ExitValue,0)</f>
        <v/>
      </c>
      <c r="JQ12" s="218">
        <f>CashFlow!JQ$7+IF(273=DispoMonth,DevFee*(1-DevFeeThirdPartySplit)+SponsorDispoFeePct*ExitValue,0)</f>
        <v/>
      </c>
      <c r="JR12" s="218">
        <f>CashFlow!JR$7+IF(274=DispoMonth,DevFee*(1-DevFeeThirdPartySplit)+SponsorDispoFeePct*ExitValue,0)</f>
        <v/>
      </c>
      <c r="JS12" s="218">
        <f>CashFlow!JS$7+IF(275=DispoMonth,DevFee*(1-DevFeeThirdPartySplit)+SponsorDispoFeePct*ExitValue,0)</f>
        <v/>
      </c>
      <c r="JT12" s="218">
        <f>CashFlow!JT$7+IF(276=DispoMonth,DevFee*(1-DevFeeThirdPartySplit)+SponsorDispoFeePct*ExitValue,0)</f>
        <v/>
      </c>
      <c r="JU12" s="218">
        <f>CashFlow!JU$7+IF(277=DispoMonth,DevFee*(1-DevFeeThirdPartySplit)+SponsorDispoFeePct*ExitValue,0)</f>
        <v/>
      </c>
      <c r="JV12" s="218">
        <f>CashFlow!JV$7+IF(278=DispoMonth,DevFee*(1-DevFeeThirdPartySplit)+SponsorDispoFeePct*ExitValue,0)</f>
        <v/>
      </c>
      <c r="JW12" s="218">
        <f>CashFlow!JW$7+IF(279=DispoMonth,DevFee*(1-DevFeeThirdPartySplit)+SponsorDispoFeePct*ExitValue,0)</f>
        <v/>
      </c>
      <c r="JX12" s="218">
        <f>CashFlow!JX$7+IF(280=DispoMonth,DevFee*(1-DevFeeThirdPartySplit)+SponsorDispoFeePct*ExitValue,0)</f>
        <v/>
      </c>
      <c r="JY12" s="218">
        <f>CashFlow!JY$7+IF(281=DispoMonth,DevFee*(1-DevFeeThirdPartySplit)+SponsorDispoFeePct*ExitValue,0)</f>
        <v/>
      </c>
      <c r="JZ12" s="218">
        <f>CashFlow!JZ$7+IF(282=DispoMonth,DevFee*(1-DevFeeThirdPartySplit)+SponsorDispoFeePct*ExitValue,0)</f>
        <v/>
      </c>
      <c r="KA12" s="218">
        <f>CashFlow!KA$7+IF(283=DispoMonth,DevFee*(1-DevFeeThirdPartySplit)+SponsorDispoFeePct*ExitValue,0)</f>
        <v/>
      </c>
      <c r="KB12" s="218">
        <f>CashFlow!KB$7+IF(284=DispoMonth,DevFee*(1-DevFeeThirdPartySplit)+SponsorDispoFeePct*ExitValue,0)</f>
        <v/>
      </c>
      <c r="KC12" s="218">
        <f>CashFlow!KC$7+IF(285=DispoMonth,DevFee*(1-DevFeeThirdPartySplit)+SponsorDispoFeePct*ExitValue,0)</f>
        <v/>
      </c>
      <c r="KD12" s="218">
        <f>CashFlow!KD$7+IF(286=DispoMonth,DevFee*(1-DevFeeThirdPartySplit)+SponsorDispoFeePct*ExitValue,0)</f>
        <v/>
      </c>
      <c r="KE12" s="218">
        <f>CashFlow!KE$7+IF(287=DispoMonth,DevFee*(1-DevFeeThirdPartySplit)+SponsorDispoFeePct*ExitValue,0)</f>
        <v/>
      </c>
      <c r="KF12" s="218">
        <f>CashFlow!KF$7+IF(288=DispoMonth,DevFee*(1-DevFeeThirdPartySplit)+SponsorDispoFeePct*ExitValue,0)</f>
        <v/>
      </c>
      <c r="KG12" s="218">
        <f>CashFlow!KG$7+IF(289=DispoMonth,DevFee*(1-DevFeeThirdPartySplit)+SponsorDispoFeePct*ExitValue,0)</f>
        <v/>
      </c>
      <c r="KH12" s="218">
        <f>CashFlow!KH$7+IF(290=DispoMonth,DevFee*(1-DevFeeThirdPartySplit)+SponsorDispoFeePct*ExitValue,0)</f>
        <v/>
      </c>
      <c r="KI12" s="218">
        <f>CashFlow!KI$7+IF(291=DispoMonth,DevFee*(1-DevFeeThirdPartySplit)+SponsorDispoFeePct*ExitValue,0)</f>
        <v/>
      </c>
      <c r="KJ12" s="218">
        <f>CashFlow!KJ$7+IF(292=DispoMonth,DevFee*(1-DevFeeThirdPartySplit)+SponsorDispoFeePct*ExitValue,0)</f>
        <v/>
      </c>
      <c r="KK12" s="218">
        <f>CashFlow!KK$7+IF(293=DispoMonth,DevFee*(1-DevFeeThirdPartySplit)+SponsorDispoFeePct*ExitValue,0)</f>
        <v/>
      </c>
      <c r="KL12" s="218">
        <f>CashFlow!KL$7+IF(294=DispoMonth,DevFee*(1-DevFeeThirdPartySplit)+SponsorDispoFeePct*ExitValue,0)</f>
        <v/>
      </c>
      <c r="KM12" s="218">
        <f>CashFlow!KM$7+IF(295=DispoMonth,DevFee*(1-DevFeeThirdPartySplit)+SponsorDispoFeePct*ExitValue,0)</f>
        <v/>
      </c>
      <c r="KN12" s="218">
        <f>CashFlow!KN$7+IF(296=DispoMonth,DevFee*(1-DevFeeThirdPartySplit)+SponsorDispoFeePct*ExitValue,0)</f>
        <v/>
      </c>
      <c r="KO12" s="218">
        <f>CashFlow!KO$7+IF(297=DispoMonth,DevFee*(1-DevFeeThirdPartySplit)+SponsorDispoFeePct*ExitValue,0)</f>
        <v/>
      </c>
      <c r="KP12" s="218">
        <f>CashFlow!KP$7+IF(298=DispoMonth,DevFee*(1-DevFeeThirdPartySplit)+SponsorDispoFeePct*ExitValue,0)</f>
        <v/>
      </c>
      <c r="KQ12" s="218">
        <f>CashFlow!KQ$7+IF(299=DispoMonth,DevFee*(1-DevFeeThirdPartySplit)+SponsorDispoFeePct*ExitValue,0)</f>
        <v/>
      </c>
      <c r="KR12" s="218">
        <f>CashFlow!KR$7+IF(300=DispoMonth,DevFee*(1-DevFeeThirdPartySplit)+SponsorDispoFeePct*ExitValue,0)</f>
        <v/>
      </c>
      <c r="KS12" s="218">
        <f>CashFlow!KS$7+IF(301=DispoMonth,DevFee*(1-DevFeeThirdPartySplit)+SponsorDispoFeePct*ExitValue,0)</f>
        <v/>
      </c>
      <c r="KT12" s="218">
        <f>CashFlow!KT$7+IF(302=DispoMonth,DevFee*(1-DevFeeThirdPartySplit)+SponsorDispoFeePct*ExitValue,0)</f>
        <v/>
      </c>
      <c r="KU12" s="218">
        <f>CashFlow!KU$7+IF(303=DispoMonth,DevFee*(1-DevFeeThirdPartySplit)+SponsorDispoFeePct*ExitValue,0)</f>
        <v/>
      </c>
      <c r="KV12" s="218">
        <f>CashFlow!KV$7+IF(304=DispoMonth,DevFee*(1-DevFeeThirdPartySplit)+SponsorDispoFeePct*ExitValue,0)</f>
        <v/>
      </c>
      <c r="KW12" s="218">
        <f>CashFlow!KW$7+IF(305=DispoMonth,DevFee*(1-DevFeeThirdPartySplit)+SponsorDispoFeePct*ExitValue,0)</f>
        <v/>
      </c>
      <c r="KX12" s="218">
        <f>CashFlow!KX$7+IF(306=DispoMonth,DevFee*(1-DevFeeThirdPartySplit)+SponsorDispoFeePct*ExitValue,0)</f>
        <v/>
      </c>
      <c r="KY12" s="218">
        <f>CashFlow!KY$7+IF(307=DispoMonth,DevFee*(1-DevFeeThirdPartySplit)+SponsorDispoFeePct*ExitValue,0)</f>
        <v/>
      </c>
      <c r="KZ12" s="218">
        <f>CashFlow!KZ$7+IF(308=DispoMonth,DevFee*(1-DevFeeThirdPartySplit)+SponsorDispoFeePct*ExitValue,0)</f>
        <v/>
      </c>
      <c r="LA12" s="218">
        <f>CashFlow!LA$7+IF(309=DispoMonth,DevFee*(1-DevFeeThirdPartySplit)+SponsorDispoFeePct*ExitValue,0)</f>
        <v/>
      </c>
      <c r="LB12" s="218">
        <f>CashFlow!LB$7+IF(310=DispoMonth,DevFee*(1-DevFeeThirdPartySplit)+SponsorDispoFeePct*ExitValue,0)</f>
        <v/>
      </c>
      <c r="LC12" s="218">
        <f>CashFlow!LC$7+IF(311=DispoMonth,DevFee*(1-DevFeeThirdPartySplit)+SponsorDispoFeePct*ExitValue,0)</f>
        <v/>
      </c>
      <c r="LD12" s="218">
        <f>CashFlow!LD$7+IF(312=DispoMonth,DevFee*(1-DevFeeThirdPartySplit)+SponsorDispoFeePct*ExitValue,0)</f>
        <v/>
      </c>
      <c r="LE12" s="218">
        <f>CashFlow!LE$7+IF(313=DispoMonth,DevFee*(1-DevFeeThirdPartySplit)+SponsorDispoFeePct*ExitValue,0)</f>
        <v/>
      </c>
      <c r="LF12" s="218">
        <f>CashFlow!LF$7+IF(314=DispoMonth,DevFee*(1-DevFeeThirdPartySplit)+SponsorDispoFeePct*ExitValue,0)</f>
        <v/>
      </c>
      <c r="LG12" s="218">
        <f>CashFlow!LG$7+IF(315=DispoMonth,DevFee*(1-DevFeeThirdPartySplit)+SponsorDispoFeePct*ExitValue,0)</f>
        <v/>
      </c>
      <c r="LH12" s="218">
        <f>CashFlow!LH$7+IF(316=DispoMonth,DevFee*(1-DevFeeThirdPartySplit)+SponsorDispoFeePct*ExitValue,0)</f>
        <v/>
      </c>
      <c r="LI12" s="218">
        <f>CashFlow!LI$7+IF(317=DispoMonth,DevFee*(1-DevFeeThirdPartySplit)+SponsorDispoFeePct*ExitValue,0)</f>
        <v/>
      </c>
      <c r="LJ12" s="218">
        <f>CashFlow!LJ$7+IF(318=DispoMonth,DevFee*(1-DevFeeThirdPartySplit)+SponsorDispoFeePct*ExitValue,0)</f>
        <v/>
      </c>
      <c r="LK12" s="218">
        <f>CashFlow!LK$7+IF(319=DispoMonth,DevFee*(1-DevFeeThirdPartySplit)+SponsorDispoFeePct*ExitValue,0)</f>
        <v/>
      </c>
      <c r="LL12" s="218">
        <f>CashFlow!LL$7+IF(320=DispoMonth,DevFee*(1-DevFeeThirdPartySplit)+SponsorDispoFeePct*ExitValue,0)</f>
        <v/>
      </c>
      <c r="LM12" s="218">
        <f>CashFlow!LM$7+IF(321=DispoMonth,DevFee*(1-DevFeeThirdPartySplit)+SponsorDispoFeePct*ExitValue,0)</f>
        <v/>
      </c>
      <c r="LN12" s="218">
        <f>CashFlow!LN$7+IF(322=DispoMonth,DevFee*(1-DevFeeThirdPartySplit)+SponsorDispoFeePct*ExitValue,0)</f>
        <v/>
      </c>
      <c r="LO12" s="218">
        <f>CashFlow!LO$7+IF(323=DispoMonth,DevFee*(1-DevFeeThirdPartySplit)+SponsorDispoFeePct*ExitValue,0)</f>
        <v/>
      </c>
      <c r="LP12" s="218">
        <f>CashFlow!LP$7+IF(324=DispoMonth,DevFee*(1-DevFeeThirdPartySplit)+SponsorDispoFeePct*ExitValue,0)</f>
        <v/>
      </c>
      <c r="LQ12" s="218">
        <f>CashFlow!LQ$7+IF(325=DispoMonth,DevFee*(1-DevFeeThirdPartySplit)+SponsorDispoFeePct*ExitValue,0)</f>
        <v/>
      </c>
      <c r="LR12" s="218">
        <f>CashFlow!LR$7+IF(326=DispoMonth,DevFee*(1-DevFeeThirdPartySplit)+SponsorDispoFeePct*ExitValue,0)</f>
        <v/>
      </c>
      <c r="LS12" s="218">
        <f>CashFlow!LS$7+IF(327=DispoMonth,DevFee*(1-DevFeeThirdPartySplit)+SponsorDispoFeePct*ExitValue,0)</f>
        <v/>
      </c>
      <c r="LT12" s="218">
        <f>CashFlow!LT$7+IF(328=DispoMonth,DevFee*(1-DevFeeThirdPartySplit)+SponsorDispoFeePct*ExitValue,0)</f>
        <v/>
      </c>
      <c r="LU12" s="218">
        <f>CashFlow!LU$7+IF(329=DispoMonth,DevFee*(1-DevFeeThirdPartySplit)+SponsorDispoFeePct*ExitValue,0)</f>
        <v/>
      </c>
      <c r="LV12" s="218">
        <f>CashFlow!LV$7+IF(330=DispoMonth,DevFee*(1-DevFeeThirdPartySplit)+SponsorDispoFeePct*ExitValue,0)</f>
        <v/>
      </c>
      <c r="LW12" s="218">
        <f>CashFlow!LW$7+IF(331=DispoMonth,DevFee*(1-DevFeeThirdPartySplit)+SponsorDispoFeePct*ExitValue,0)</f>
        <v/>
      </c>
      <c r="LX12" s="218">
        <f>CashFlow!LX$7+IF(332=DispoMonth,DevFee*(1-DevFeeThirdPartySplit)+SponsorDispoFeePct*ExitValue,0)</f>
        <v/>
      </c>
      <c r="LY12" s="218">
        <f>CashFlow!LY$7+IF(333=DispoMonth,DevFee*(1-DevFeeThirdPartySplit)+SponsorDispoFeePct*ExitValue,0)</f>
        <v/>
      </c>
      <c r="LZ12" s="218">
        <f>CashFlow!LZ$7+IF(334=DispoMonth,DevFee*(1-DevFeeThirdPartySplit)+SponsorDispoFeePct*ExitValue,0)</f>
        <v/>
      </c>
      <c r="MA12" s="218">
        <f>CashFlow!MA$7+IF(335=DispoMonth,DevFee*(1-DevFeeThirdPartySplit)+SponsorDispoFeePct*ExitValue,0)</f>
        <v/>
      </c>
      <c r="MB12" s="218">
        <f>CashFlow!MB$7+IF(336=DispoMonth,DevFee*(1-DevFeeThirdPartySplit)+SponsorDispoFeePct*ExitValue,0)</f>
        <v/>
      </c>
      <c r="MC12" s="218">
        <f>CashFlow!MC$7+IF(337=DispoMonth,DevFee*(1-DevFeeThirdPartySplit)+SponsorDispoFeePct*ExitValue,0)</f>
        <v/>
      </c>
      <c r="MD12" s="218">
        <f>CashFlow!MD$7+IF(338=DispoMonth,DevFee*(1-DevFeeThirdPartySplit)+SponsorDispoFeePct*ExitValue,0)</f>
        <v/>
      </c>
      <c r="ME12" s="218">
        <f>CashFlow!ME$7+IF(339=DispoMonth,DevFee*(1-DevFeeThirdPartySplit)+SponsorDispoFeePct*ExitValue,0)</f>
        <v/>
      </c>
      <c r="MF12" s="218">
        <f>CashFlow!MF$7+IF(340=DispoMonth,DevFee*(1-DevFeeThirdPartySplit)+SponsorDispoFeePct*ExitValue,0)</f>
        <v/>
      </c>
      <c r="MG12" s="218">
        <f>CashFlow!MG$7+IF(341=DispoMonth,DevFee*(1-DevFeeThirdPartySplit)+SponsorDispoFeePct*ExitValue,0)</f>
        <v/>
      </c>
      <c r="MH12" s="218">
        <f>CashFlow!MH$7+IF(342=DispoMonth,DevFee*(1-DevFeeThirdPartySplit)+SponsorDispoFeePct*ExitValue,0)</f>
        <v/>
      </c>
      <c r="MI12" s="218">
        <f>CashFlow!MI$7+IF(343=DispoMonth,DevFee*(1-DevFeeThirdPartySplit)+SponsorDispoFeePct*ExitValue,0)</f>
        <v/>
      </c>
      <c r="MJ12" s="218">
        <f>CashFlow!MJ$7+IF(344=DispoMonth,DevFee*(1-DevFeeThirdPartySplit)+SponsorDispoFeePct*ExitValue,0)</f>
        <v/>
      </c>
      <c r="MK12" s="218">
        <f>CashFlow!MK$7+IF(345=DispoMonth,DevFee*(1-DevFeeThirdPartySplit)+SponsorDispoFeePct*ExitValue,0)</f>
        <v/>
      </c>
      <c r="ML12" s="218">
        <f>CashFlow!ML$7+IF(346=DispoMonth,DevFee*(1-DevFeeThirdPartySplit)+SponsorDispoFeePct*ExitValue,0)</f>
        <v/>
      </c>
      <c r="MM12" s="218">
        <f>CashFlow!MM$7+IF(347=DispoMonth,DevFee*(1-DevFeeThirdPartySplit)+SponsorDispoFeePct*ExitValue,0)</f>
        <v/>
      </c>
      <c r="MN12" s="218">
        <f>CashFlow!MN$7+IF(348=DispoMonth,DevFee*(1-DevFeeThirdPartySplit)+SponsorDispoFeePct*ExitValue,0)</f>
        <v/>
      </c>
      <c r="MO12" s="218">
        <f>CashFlow!MO$7+IF(349=DispoMonth,DevFee*(1-DevFeeThirdPartySplit)+SponsorDispoFeePct*ExitValue,0)</f>
        <v/>
      </c>
      <c r="MP12" s="218">
        <f>CashFlow!MP$7+IF(350=DispoMonth,DevFee*(1-DevFeeThirdPartySplit)+SponsorDispoFeePct*ExitValue,0)</f>
        <v/>
      </c>
      <c r="MQ12" s="218">
        <f>CashFlow!MQ$7+IF(351=DispoMonth,DevFee*(1-DevFeeThirdPartySplit)+SponsorDispoFeePct*ExitValue,0)</f>
        <v/>
      </c>
      <c r="MR12" s="218">
        <f>CashFlow!MR$7+IF(352=DispoMonth,DevFee*(1-DevFeeThirdPartySplit)+SponsorDispoFeePct*ExitValue,0)</f>
        <v/>
      </c>
      <c r="MS12" s="218">
        <f>CashFlow!MS$7+IF(353=DispoMonth,DevFee*(1-DevFeeThirdPartySplit)+SponsorDispoFeePct*ExitValue,0)</f>
        <v/>
      </c>
      <c r="MT12" s="218">
        <f>CashFlow!MT$7+IF(354=DispoMonth,DevFee*(1-DevFeeThirdPartySplit)+SponsorDispoFeePct*ExitValue,0)</f>
        <v/>
      </c>
      <c r="MU12" s="218">
        <f>CashFlow!MU$7+IF(355=DispoMonth,DevFee*(1-DevFeeThirdPartySplit)+SponsorDispoFeePct*ExitValue,0)</f>
        <v/>
      </c>
      <c r="MV12" s="218">
        <f>CashFlow!MV$7+IF(356=DispoMonth,DevFee*(1-DevFeeThirdPartySplit)+SponsorDispoFeePct*ExitValue,0)</f>
        <v/>
      </c>
      <c r="MW12" s="218">
        <f>CashFlow!MW$7+IF(357=DispoMonth,DevFee*(1-DevFeeThirdPartySplit)+SponsorDispoFeePct*ExitValue,0)</f>
        <v/>
      </c>
      <c r="MX12" s="218">
        <f>CashFlow!MX$7+IF(358=DispoMonth,DevFee*(1-DevFeeThirdPartySplit)+SponsorDispoFeePct*ExitValue,0)</f>
        <v/>
      </c>
      <c r="MY12" s="218">
        <f>CashFlow!MY$7+IF(359=DispoMonth,DevFee*(1-DevFeeThirdPartySplit)+SponsorDispoFeePct*ExitValue,0)</f>
        <v/>
      </c>
      <c r="MZ12" s="218">
        <f>CashFlow!MZ$7+IF(360=DispoMonth,DevFee*(1-DevFeeThirdPartySplit)+SponsorDispoFeePct*ExitValue,0)</f>
        <v/>
      </c>
      <c r="NA12" s="218">
        <f>CashFlow!NA$7+IF(361=DispoMonth,DevFee*(1-DevFeeThirdPartySplit)+SponsorDispoFeePct*ExitValue,0)</f>
        <v/>
      </c>
      <c r="NB12" s="218">
        <f>CashFlow!NB$7+IF(362=DispoMonth,DevFee*(1-DevFeeThirdPartySplit)+SponsorDispoFeePct*ExitValue,0)</f>
        <v/>
      </c>
      <c r="NC12" s="218">
        <f>CashFlow!NC$7+IF(363=DispoMonth,DevFee*(1-DevFeeThirdPartySplit)+SponsorDispoFeePct*ExitValue,0)</f>
        <v/>
      </c>
      <c r="ND12" s="218">
        <f>CashFlow!ND$7+IF(364=DispoMonth,DevFee*(1-DevFeeThirdPartySplit)+SponsorDispoFeePct*ExitValue,0)</f>
        <v/>
      </c>
      <c r="NE12" s="218">
        <f>CashFlow!NE$7+IF(365=DispoMonth,DevFee*(1-DevFeeThirdPartySplit)+SponsorDispoFeePct*ExitValue,0)</f>
        <v/>
      </c>
      <c r="NF12" s="218">
        <f>CashFlow!NF$7+IF(366=DispoMonth,DevFee*(1-DevFeeThirdPartySplit)+SponsorDispoFeePct*ExitValue,0)</f>
        <v/>
      </c>
      <c r="NG12" s="218">
        <f>CashFlow!NG$7+IF(367=DispoMonth,DevFee*(1-DevFeeThirdPartySplit)+SponsorDispoFeePct*ExitValue,0)</f>
        <v/>
      </c>
      <c r="NH12" s="218">
        <f>CashFlow!NH$7+IF(368=DispoMonth,DevFee*(1-DevFeeThirdPartySplit)+SponsorDispoFeePct*ExitValue,0)</f>
        <v/>
      </c>
      <c r="NI12" s="218">
        <f>CashFlow!NI$7+IF(369=DispoMonth,DevFee*(1-DevFeeThirdPartySplit)+SponsorDispoFeePct*ExitValue,0)</f>
        <v/>
      </c>
      <c r="NJ12" s="218">
        <f>CashFlow!NJ$7+IF(370=DispoMonth,DevFee*(1-DevFeeThirdPartySplit)+SponsorDispoFeePct*ExitValue,0)</f>
        <v/>
      </c>
      <c r="NK12" s="218">
        <f>CashFlow!NK$7+IF(371=DispoMonth,DevFee*(1-DevFeeThirdPartySplit)+SponsorDispoFeePct*ExitValue,0)</f>
        <v/>
      </c>
      <c r="NL12" s="218">
        <f>CashFlow!NL$7+IF(372=DispoMonth,DevFee*(1-DevFeeThirdPartySplit)+SponsorDispoFeePct*ExitValue,0)</f>
        <v/>
      </c>
    </row>
    <row r="13">
      <c r="B13" s="52" t="n"/>
      <c r="D13" s="53" t="n"/>
    </row>
    <row r="14">
      <c r="B14" s="36" t="inlineStr">
        <is>
          <t>Levered IRR (gross)</t>
        </is>
      </c>
      <c r="C14" s="140">
        <f>IFERROR((1+IRR(E11:NL11,0.01))^12-1,"n/a")</f>
        <v/>
      </c>
      <c r="D14" s="53" t="n"/>
    </row>
    <row r="15">
      <c r="B15" s="36" t="inlineStr">
        <is>
          <t>Unlevered IRR (gross)</t>
        </is>
      </c>
      <c r="C15" s="140">
        <f>IFERROR((1+IRR(E12:NL12,0.01))^12-1,"n/a")</f>
        <v/>
      </c>
      <c r="D15" s="53" t="n"/>
    </row>
    <row r="16">
      <c r="B16" s="36" t="inlineStr">
        <is>
          <t>Levered MOIC (gross)</t>
        </is>
      </c>
      <c r="C16" s="273">
        <f>IF(LevEquityIn=0,0,(SUMIF(E11:NL11,"&gt;0"))/LevEquityIn)</f>
        <v/>
      </c>
      <c r="D16" s="53" t="n"/>
    </row>
    <row r="17">
      <c r="B17" s="40" t="inlineStr">
        <is>
          <t>Unlevered MOIC (gross)</t>
        </is>
      </c>
      <c r="C17" s="274">
        <f>IF(UnlevInvested=0,0,(SUMIF(E12:NL12,"&gt;0"))/UnlevInvested)</f>
        <v/>
      </c>
      <c r="D17" s="66" t="n"/>
    </row>
    <row r="19">
      <c r="B19" s="34" t="inlineStr">
        <is>
          <t>Development Metrics</t>
        </is>
      </c>
      <c r="C19" s="60" t="n"/>
      <c r="D19" s="35" t="n"/>
    </row>
    <row r="20">
      <c r="B20" s="36" t="inlineStr">
        <is>
          <t>Yield on Cost (stabilized)</t>
        </is>
      </c>
      <c r="C20" s="140">
        <f>IF(TDC_Total=0,0,StabNOI_Untrended/TDC_Total)</f>
        <v/>
      </c>
      <c r="D20" s="53" t="n"/>
    </row>
    <row r="21">
      <c r="B21" s="36" t="inlineStr">
        <is>
          <t>Development Spread (%)</t>
        </is>
      </c>
      <c r="C21" s="140">
        <f>YieldOnCost-ExitCapResidential</f>
        <v/>
      </c>
      <c r="D21" s="53" t="n"/>
    </row>
    <row r="22">
      <c r="B22" s="36" t="inlineStr">
        <is>
          <t>Development Spread (bps)</t>
        </is>
      </c>
      <c r="C22" s="275">
        <f>(YieldOnCost-ExitCapResidential)*10000</f>
        <v/>
      </c>
      <c r="D22" s="53" t="n"/>
    </row>
    <row r="23">
      <c r="B23" s="36" t="inlineStr">
        <is>
          <t>Return on Cost — Current (Yr-1)</t>
        </is>
      </c>
      <c r="C23" s="140">
        <f>IF(TDC_Total=0,0,Year1NOI/TDC_Total)</f>
        <v/>
      </c>
      <c r="D23" s="53" t="n"/>
    </row>
    <row r="24">
      <c r="B24" s="36" t="inlineStr">
        <is>
          <t>Return on Cost — Stabilized</t>
        </is>
      </c>
      <c r="C24" s="140">
        <f>IF(TDC_Total=0,0,StabNOI_Untrended/TDC_Total)</f>
        <v/>
      </c>
      <c r="D24" s="53" t="n"/>
    </row>
    <row r="25">
      <c r="B25" s="36" t="inlineStr">
        <is>
          <t>Debt Yield — Stabilized (con)</t>
        </is>
      </c>
      <c r="C25" s="140">
        <f>IF(RefiFlag=1,IF(PermLoan=0,0,StabNOI_Untrended/PermLoan),IF(ConLoanTotal=0,0,StabNOI_Untrended/ConLoanTotal))</f>
        <v/>
      </c>
      <c r="D25" s="53" t="n"/>
    </row>
    <row r="26">
      <c r="B26" s="36" t="inlineStr">
        <is>
          <t>Total Development Cost</t>
        </is>
      </c>
      <c r="C26" s="255">
        <f>TDC_Total</f>
        <v/>
      </c>
      <c r="D26" s="53" t="n"/>
    </row>
    <row r="27">
      <c r="B27" s="36" t="inlineStr">
        <is>
          <t>TDC per Unit</t>
        </is>
      </c>
      <c r="C27" s="276">
        <f>IF(TotalUnits=0,0,TDC_Total/TotalUnits)</f>
        <v/>
      </c>
      <c r="D27" s="53" t="n"/>
    </row>
    <row r="28">
      <c r="B28" s="36" t="inlineStr">
        <is>
          <t>TDC per NRSF</t>
        </is>
      </c>
      <c r="C28" s="276">
        <f>IF(NRSF=0,0,TDC_Total/NRSF)</f>
        <v/>
      </c>
      <c r="D28" s="53" t="n"/>
    </row>
    <row r="29">
      <c r="B29" s="36" t="inlineStr">
        <is>
          <t>Current Basis per Unit</t>
        </is>
      </c>
      <c r="C29" s="276">
        <f>IF(TotalUnits=0,0,TDC_Total/TotalUnits)</f>
        <v/>
      </c>
      <c r="D29" s="53" t="n"/>
    </row>
    <row r="30">
      <c r="B30" s="40" t="inlineStr">
        <is>
          <t>Exit Basis per Unit</t>
        </is>
      </c>
      <c r="C30" s="277">
        <f>IF(TotalUnits=0,0,ExitValue/TotalUnits)</f>
        <v/>
      </c>
      <c r="D30" s="66" t="n"/>
    </row>
    <row r="32">
      <c r="B32" s="34" t="inlineStr">
        <is>
          <t>Static (No-Growth) Reference — Unlevered</t>
        </is>
      </c>
      <c r="C32" s="60" t="n"/>
      <c r="D32" s="35" t="n"/>
    </row>
    <row r="33">
      <c r="B33" s="122" t="inlineStr">
        <is>
          <t>Period →</t>
        </is>
      </c>
      <c r="D33" s="75" t="inlineStr">
        <is>
          <t>Total</t>
        </is>
      </c>
      <c r="E33" s="27" t="n">
        <v>1</v>
      </c>
      <c r="F33" s="27" t="n">
        <v>2</v>
      </c>
      <c r="G33" s="27" t="n">
        <v>3</v>
      </c>
      <c r="H33" s="27" t="n">
        <v>4</v>
      </c>
      <c r="I33" s="27" t="n">
        <v>5</v>
      </c>
      <c r="J33" s="27" t="n">
        <v>6</v>
      </c>
      <c r="K33" s="27" t="n">
        <v>7</v>
      </c>
      <c r="L33" s="27" t="n">
        <v>8</v>
      </c>
      <c r="M33" s="27" t="n">
        <v>9</v>
      </c>
      <c r="N33" s="27" t="n">
        <v>10</v>
      </c>
      <c r="O33" s="27" t="n">
        <v>11</v>
      </c>
      <c r="P33" s="27" t="n">
        <v>12</v>
      </c>
      <c r="Q33" s="27" t="n">
        <v>13</v>
      </c>
      <c r="R33" s="27" t="n">
        <v>14</v>
      </c>
      <c r="S33" s="27" t="n">
        <v>15</v>
      </c>
      <c r="T33" s="27" t="n">
        <v>16</v>
      </c>
      <c r="U33" s="27" t="n">
        <v>17</v>
      </c>
      <c r="V33" s="27" t="n">
        <v>18</v>
      </c>
      <c r="W33" s="27" t="n">
        <v>19</v>
      </c>
      <c r="X33" s="27" t="n">
        <v>20</v>
      </c>
      <c r="Y33" s="27" t="n">
        <v>21</v>
      </c>
      <c r="Z33" s="27" t="n">
        <v>22</v>
      </c>
      <c r="AA33" s="27" t="n">
        <v>23</v>
      </c>
      <c r="AB33" s="27" t="n">
        <v>24</v>
      </c>
      <c r="AC33" s="27" t="n">
        <v>25</v>
      </c>
      <c r="AD33" s="27" t="n">
        <v>26</v>
      </c>
      <c r="AE33" s="27" t="n">
        <v>27</v>
      </c>
      <c r="AF33" s="27" t="n">
        <v>28</v>
      </c>
      <c r="AG33" s="27" t="n">
        <v>29</v>
      </c>
      <c r="AH33" s="27" t="n">
        <v>30</v>
      </c>
      <c r="AI33" s="27" t="n">
        <v>31</v>
      </c>
      <c r="AJ33" s="27" t="n">
        <v>32</v>
      </c>
      <c r="AK33" s="27" t="n">
        <v>33</v>
      </c>
      <c r="AL33" s="27" t="n">
        <v>34</v>
      </c>
      <c r="AM33" s="27" t="n">
        <v>35</v>
      </c>
      <c r="AN33" s="27" t="n">
        <v>36</v>
      </c>
      <c r="AO33" s="27" t="n">
        <v>37</v>
      </c>
      <c r="AP33" s="27" t="n">
        <v>38</v>
      </c>
      <c r="AQ33" s="27" t="n">
        <v>39</v>
      </c>
      <c r="AR33" s="27" t="n">
        <v>40</v>
      </c>
      <c r="AS33" s="27" t="n">
        <v>41</v>
      </c>
      <c r="AT33" s="27" t="n">
        <v>42</v>
      </c>
      <c r="AU33" s="27" t="n">
        <v>43</v>
      </c>
      <c r="AV33" s="27" t="n">
        <v>44</v>
      </c>
      <c r="AW33" s="27" t="n">
        <v>45</v>
      </c>
      <c r="AX33" s="27" t="n">
        <v>46</v>
      </c>
      <c r="AY33" s="27" t="n">
        <v>47</v>
      </c>
      <c r="AZ33" s="27" t="n">
        <v>48</v>
      </c>
      <c r="BA33" s="27" t="n">
        <v>49</v>
      </c>
      <c r="BB33" s="27" t="n">
        <v>50</v>
      </c>
      <c r="BC33" s="27" t="n">
        <v>51</v>
      </c>
      <c r="BD33" s="27" t="n">
        <v>52</v>
      </c>
      <c r="BE33" s="27" t="n">
        <v>53</v>
      </c>
      <c r="BF33" s="27" t="n">
        <v>54</v>
      </c>
      <c r="BG33" s="27" t="n">
        <v>55</v>
      </c>
      <c r="BH33" s="27" t="n">
        <v>56</v>
      </c>
      <c r="BI33" s="27" t="n">
        <v>57</v>
      </c>
      <c r="BJ33" s="27" t="n">
        <v>58</v>
      </c>
      <c r="BK33" s="27" t="n">
        <v>59</v>
      </c>
      <c r="BL33" s="27" t="n">
        <v>60</v>
      </c>
      <c r="BM33" s="27" t="n">
        <v>61</v>
      </c>
      <c r="BN33" s="27" t="n">
        <v>62</v>
      </c>
      <c r="BO33" s="27" t="n">
        <v>63</v>
      </c>
      <c r="BP33" s="27" t="n">
        <v>64</v>
      </c>
      <c r="BQ33" s="27" t="n">
        <v>65</v>
      </c>
      <c r="BR33" s="27" t="n">
        <v>66</v>
      </c>
      <c r="BS33" s="27" t="n">
        <v>67</v>
      </c>
      <c r="BT33" s="27" t="n">
        <v>68</v>
      </c>
      <c r="BU33" s="27" t="n">
        <v>69</v>
      </c>
      <c r="BV33" s="27" t="n">
        <v>70</v>
      </c>
      <c r="BW33" s="27" t="n">
        <v>71</v>
      </c>
      <c r="BX33" s="27" t="n">
        <v>72</v>
      </c>
      <c r="BY33" s="27" t="n">
        <v>73</v>
      </c>
      <c r="BZ33" s="27" t="n">
        <v>74</v>
      </c>
      <c r="CA33" s="27" t="n">
        <v>75</v>
      </c>
      <c r="CB33" s="27" t="n">
        <v>76</v>
      </c>
      <c r="CC33" s="27" t="n">
        <v>77</v>
      </c>
      <c r="CD33" s="27" t="n">
        <v>78</v>
      </c>
      <c r="CE33" s="27" t="n">
        <v>79</v>
      </c>
      <c r="CF33" s="27" t="n">
        <v>80</v>
      </c>
      <c r="CG33" s="27" t="n">
        <v>81</v>
      </c>
      <c r="CH33" s="27" t="n">
        <v>82</v>
      </c>
      <c r="CI33" s="27" t="n">
        <v>83</v>
      </c>
      <c r="CJ33" s="27" t="n">
        <v>84</v>
      </c>
      <c r="CK33" s="27" t="n">
        <v>85</v>
      </c>
      <c r="CL33" s="27" t="n">
        <v>86</v>
      </c>
      <c r="CM33" s="27" t="n">
        <v>87</v>
      </c>
      <c r="CN33" s="27" t="n">
        <v>88</v>
      </c>
      <c r="CO33" s="27" t="n">
        <v>89</v>
      </c>
      <c r="CP33" s="27" t="n">
        <v>90</v>
      </c>
      <c r="CQ33" s="27" t="n">
        <v>91</v>
      </c>
      <c r="CR33" s="27" t="n">
        <v>92</v>
      </c>
      <c r="CS33" s="27" t="n">
        <v>93</v>
      </c>
      <c r="CT33" s="27" t="n">
        <v>94</v>
      </c>
      <c r="CU33" s="27" t="n">
        <v>95</v>
      </c>
      <c r="CV33" s="27" t="n">
        <v>96</v>
      </c>
      <c r="CW33" s="27" t="n">
        <v>97</v>
      </c>
      <c r="CX33" s="27" t="n">
        <v>98</v>
      </c>
      <c r="CY33" s="27" t="n">
        <v>99</v>
      </c>
      <c r="CZ33" s="27" t="n">
        <v>100</v>
      </c>
      <c r="DA33" s="27" t="n">
        <v>101</v>
      </c>
      <c r="DB33" s="27" t="n">
        <v>102</v>
      </c>
      <c r="DC33" s="27" t="n">
        <v>103</v>
      </c>
      <c r="DD33" s="27" t="n">
        <v>104</v>
      </c>
      <c r="DE33" s="27" t="n">
        <v>105</v>
      </c>
      <c r="DF33" s="27" t="n">
        <v>106</v>
      </c>
      <c r="DG33" s="27" t="n">
        <v>107</v>
      </c>
      <c r="DH33" s="27" t="n">
        <v>108</v>
      </c>
      <c r="DI33" s="27" t="n">
        <v>109</v>
      </c>
      <c r="DJ33" s="27" t="n">
        <v>110</v>
      </c>
      <c r="DK33" s="27" t="n">
        <v>111</v>
      </c>
      <c r="DL33" s="27" t="n">
        <v>112</v>
      </c>
      <c r="DM33" s="27" t="n">
        <v>113</v>
      </c>
      <c r="DN33" s="27" t="n">
        <v>114</v>
      </c>
      <c r="DO33" s="27" t="n">
        <v>115</v>
      </c>
      <c r="DP33" s="27" t="n">
        <v>116</v>
      </c>
      <c r="DQ33" s="27" t="n">
        <v>117</v>
      </c>
      <c r="DR33" s="27" t="n">
        <v>118</v>
      </c>
      <c r="DS33" s="27" t="n">
        <v>119</v>
      </c>
      <c r="DT33" s="27" t="n">
        <v>120</v>
      </c>
      <c r="DU33" s="27" t="n">
        <v>121</v>
      </c>
      <c r="DV33" s="27" t="n">
        <v>122</v>
      </c>
      <c r="DW33" s="27" t="n">
        <v>123</v>
      </c>
      <c r="DX33" s="27" t="n">
        <v>124</v>
      </c>
      <c r="DY33" s="27" t="n">
        <v>125</v>
      </c>
      <c r="DZ33" s="27" t="n">
        <v>126</v>
      </c>
      <c r="EA33" s="27" t="n">
        <v>127</v>
      </c>
      <c r="EB33" s="27" t="n">
        <v>128</v>
      </c>
      <c r="EC33" s="27" t="n">
        <v>129</v>
      </c>
      <c r="ED33" s="27" t="n">
        <v>130</v>
      </c>
      <c r="EE33" s="27" t="n">
        <v>131</v>
      </c>
      <c r="EF33" s="27" t="n">
        <v>132</v>
      </c>
      <c r="EG33" s="27" t="n">
        <v>133</v>
      </c>
      <c r="EH33" s="27" t="n">
        <v>134</v>
      </c>
      <c r="EI33" s="27" t="n">
        <v>135</v>
      </c>
      <c r="EJ33" s="27" t="n">
        <v>136</v>
      </c>
      <c r="EK33" s="27" t="n">
        <v>137</v>
      </c>
      <c r="EL33" s="27" t="n">
        <v>138</v>
      </c>
      <c r="EM33" s="27" t="n">
        <v>139</v>
      </c>
      <c r="EN33" s="27" t="n">
        <v>140</v>
      </c>
      <c r="EO33" s="27" t="n">
        <v>141</v>
      </c>
      <c r="EP33" s="27" t="n">
        <v>142</v>
      </c>
      <c r="EQ33" s="27" t="n">
        <v>143</v>
      </c>
      <c r="ER33" s="27" t="n">
        <v>144</v>
      </c>
      <c r="ES33" s="27" t="n">
        <v>145</v>
      </c>
      <c r="ET33" s="27" t="n">
        <v>146</v>
      </c>
      <c r="EU33" s="27" t="n">
        <v>147</v>
      </c>
      <c r="EV33" s="27" t="n">
        <v>148</v>
      </c>
      <c r="EW33" s="27" t="n">
        <v>149</v>
      </c>
      <c r="EX33" s="27" t="n">
        <v>150</v>
      </c>
      <c r="EY33" s="27" t="n">
        <v>151</v>
      </c>
      <c r="EZ33" s="27" t="n">
        <v>152</v>
      </c>
      <c r="FA33" s="27" t="n">
        <v>153</v>
      </c>
      <c r="FB33" s="27" t="n">
        <v>154</v>
      </c>
      <c r="FC33" s="27" t="n">
        <v>155</v>
      </c>
      <c r="FD33" s="27" t="n">
        <v>156</v>
      </c>
      <c r="FE33" s="27" t="n">
        <v>157</v>
      </c>
      <c r="FF33" s="27" t="n">
        <v>158</v>
      </c>
      <c r="FG33" s="27" t="n">
        <v>159</v>
      </c>
      <c r="FH33" s="27" t="n">
        <v>160</v>
      </c>
      <c r="FI33" s="27" t="n">
        <v>161</v>
      </c>
      <c r="FJ33" s="27" t="n">
        <v>162</v>
      </c>
      <c r="FK33" s="27" t="n">
        <v>163</v>
      </c>
      <c r="FL33" s="27" t="n">
        <v>164</v>
      </c>
      <c r="FM33" s="27" t="n">
        <v>165</v>
      </c>
      <c r="FN33" s="27" t="n">
        <v>166</v>
      </c>
      <c r="FO33" s="27" t="n">
        <v>167</v>
      </c>
      <c r="FP33" s="27" t="n">
        <v>168</v>
      </c>
      <c r="FQ33" s="27" t="n">
        <v>169</v>
      </c>
      <c r="FR33" s="27" t="n">
        <v>170</v>
      </c>
      <c r="FS33" s="27" t="n">
        <v>171</v>
      </c>
      <c r="FT33" s="27" t="n">
        <v>172</v>
      </c>
      <c r="FU33" s="27" t="n">
        <v>173</v>
      </c>
      <c r="FV33" s="27" t="n">
        <v>174</v>
      </c>
      <c r="FW33" s="27" t="n">
        <v>175</v>
      </c>
      <c r="FX33" s="27" t="n">
        <v>176</v>
      </c>
      <c r="FY33" s="27" t="n">
        <v>177</v>
      </c>
      <c r="FZ33" s="27" t="n">
        <v>178</v>
      </c>
      <c r="GA33" s="27" t="n">
        <v>179</v>
      </c>
      <c r="GB33" s="27" t="n">
        <v>180</v>
      </c>
      <c r="GC33" s="27" t="n">
        <v>181</v>
      </c>
      <c r="GD33" s="27" t="n">
        <v>182</v>
      </c>
      <c r="GE33" s="27" t="n">
        <v>183</v>
      </c>
      <c r="GF33" s="27" t="n">
        <v>184</v>
      </c>
      <c r="GG33" s="27" t="n">
        <v>185</v>
      </c>
      <c r="GH33" s="27" t="n">
        <v>186</v>
      </c>
      <c r="GI33" s="27" t="n">
        <v>187</v>
      </c>
      <c r="GJ33" s="27" t="n">
        <v>188</v>
      </c>
      <c r="GK33" s="27" t="n">
        <v>189</v>
      </c>
      <c r="GL33" s="27" t="n">
        <v>190</v>
      </c>
      <c r="GM33" s="27" t="n">
        <v>191</v>
      </c>
      <c r="GN33" s="27" t="n">
        <v>192</v>
      </c>
      <c r="GO33" s="27" t="n">
        <v>193</v>
      </c>
      <c r="GP33" s="27" t="n">
        <v>194</v>
      </c>
      <c r="GQ33" s="27" t="n">
        <v>195</v>
      </c>
      <c r="GR33" s="27" t="n">
        <v>196</v>
      </c>
      <c r="GS33" s="27" t="n">
        <v>197</v>
      </c>
      <c r="GT33" s="27" t="n">
        <v>198</v>
      </c>
      <c r="GU33" s="27" t="n">
        <v>199</v>
      </c>
      <c r="GV33" s="27" t="n">
        <v>200</v>
      </c>
      <c r="GW33" s="27" t="n">
        <v>201</v>
      </c>
      <c r="GX33" s="27" t="n">
        <v>202</v>
      </c>
      <c r="GY33" s="27" t="n">
        <v>203</v>
      </c>
      <c r="GZ33" s="27" t="n">
        <v>204</v>
      </c>
      <c r="HA33" s="27" t="n">
        <v>205</v>
      </c>
      <c r="HB33" s="27" t="n">
        <v>206</v>
      </c>
      <c r="HC33" s="27" t="n">
        <v>207</v>
      </c>
      <c r="HD33" s="27" t="n">
        <v>208</v>
      </c>
      <c r="HE33" s="27" t="n">
        <v>209</v>
      </c>
      <c r="HF33" s="27" t="n">
        <v>210</v>
      </c>
      <c r="HG33" s="27" t="n">
        <v>211</v>
      </c>
      <c r="HH33" s="27" t="n">
        <v>212</v>
      </c>
      <c r="HI33" s="27" t="n">
        <v>213</v>
      </c>
      <c r="HJ33" s="27" t="n">
        <v>214</v>
      </c>
      <c r="HK33" s="27" t="n">
        <v>215</v>
      </c>
      <c r="HL33" s="27" t="n">
        <v>216</v>
      </c>
      <c r="HM33" s="27" t="n">
        <v>217</v>
      </c>
      <c r="HN33" s="27" t="n">
        <v>218</v>
      </c>
      <c r="HO33" s="27" t="n">
        <v>219</v>
      </c>
      <c r="HP33" s="27" t="n">
        <v>220</v>
      </c>
      <c r="HQ33" s="27" t="n">
        <v>221</v>
      </c>
      <c r="HR33" s="27" t="n">
        <v>222</v>
      </c>
      <c r="HS33" s="27" t="n">
        <v>223</v>
      </c>
      <c r="HT33" s="27" t="n">
        <v>224</v>
      </c>
      <c r="HU33" s="27" t="n">
        <v>225</v>
      </c>
      <c r="HV33" s="27" t="n">
        <v>226</v>
      </c>
      <c r="HW33" s="27" t="n">
        <v>227</v>
      </c>
      <c r="HX33" s="27" t="n">
        <v>228</v>
      </c>
      <c r="HY33" s="27" t="n">
        <v>229</v>
      </c>
      <c r="HZ33" s="27" t="n">
        <v>230</v>
      </c>
      <c r="IA33" s="27" t="n">
        <v>231</v>
      </c>
      <c r="IB33" s="27" t="n">
        <v>232</v>
      </c>
      <c r="IC33" s="27" t="n">
        <v>233</v>
      </c>
      <c r="ID33" s="27" t="n">
        <v>234</v>
      </c>
      <c r="IE33" s="27" t="n">
        <v>235</v>
      </c>
      <c r="IF33" s="27" t="n">
        <v>236</v>
      </c>
      <c r="IG33" s="27" t="n">
        <v>237</v>
      </c>
      <c r="IH33" s="27" t="n">
        <v>238</v>
      </c>
      <c r="II33" s="27" t="n">
        <v>239</v>
      </c>
      <c r="IJ33" s="27" t="n">
        <v>240</v>
      </c>
      <c r="IK33" s="27" t="n">
        <v>241</v>
      </c>
      <c r="IL33" s="27" t="n">
        <v>242</v>
      </c>
      <c r="IM33" s="27" t="n">
        <v>243</v>
      </c>
      <c r="IN33" s="27" t="n">
        <v>244</v>
      </c>
      <c r="IO33" s="27" t="n">
        <v>245</v>
      </c>
      <c r="IP33" s="27" t="n">
        <v>246</v>
      </c>
      <c r="IQ33" s="27" t="n">
        <v>247</v>
      </c>
      <c r="IR33" s="27" t="n">
        <v>248</v>
      </c>
      <c r="IS33" s="27" t="n">
        <v>249</v>
      </c>
      <c r="IT33" s="27" t="n">
        <v>250</v>
      </c>
      <c r="IU33" s="27" t="n">
        <v>251</v>
      </c>
      <c r="IV33" s="27" t="n">
        <v>252</v>
      </c>
      <c r="IW33" s="27" t="n">
        <v>253</v>
      </c>
      <c r="IX33" s="27" t="n">
        <v>254</v>
      </c>
      <c r="IY33" s="27" t="n">
        <v>255</v>
      </c>
      <c r="IZ33" s="27" t="n">
        <v>256</v>
      </c>
      <c r="JA33" s="27" t="n">
        <v>257</v>
      </c>
      <c r="JB33" s="27" t="n">
        <v>258</v>
      </c>
      <c r="JC33" s="27" t="n">
        <v>259</v>
      </c>
      <c r="JD33" s="27" t="n">
        <v>260</v>
      </c>
      <c r="JE33" s="27" t="n">
        <v>261</v>
      </c>
      <c r="JF33" s="27" t="n">
        <v>262</v>
      </c>
      <c r="JG33" s="27" t="n">
        <v>263</v>
      </c>
      <c r="JH33" s="27" t="n">
        <v>264</v>
      </c>
      <c r="JI33" s="27" t="n">
        <v>265</v>
      </c>
      <c r="JJ33" s="27" t="n">
        <v>266</v>
      </c>
      <c r="JK33" s="27" t="n">
        <v>267</v>
      </c>
      <c r="JL33" s="27" t="n">
        <v>268</v>
      </c>
      <c r="JM33" s="27" t="n">
        <v>269</v>
      </c>
      <c r="JN33" s="27" t="n">
        <v>270</v>
      </c>
      <c r="JO33" s="27" t="n">
        <v>271</v>
      </c>
      <c r="JP33" s="27" t="n">
        <v>272</v>
      </c>
      <c r="JQ33" s="27" t="n">
        <v>273</v>
      </c>
      <c r="JR33" s="27" t="n">
        <v>274</v>
      </c>
      <c r="JS33" s="27" t="n">
        <v>275</v>
      </c>
      <c r="JT33" s="27" t="n">
        <v>276</v>
      </c>
      <c r="JU33" s="27" t="n">
        <v>277</v>
      </c>
      <c r="JV33" s="27" t="n">
        <v>278</v>
      </c>
      <c r="JW33" s="27" t="n">
        <v>279</v>
      </c>
      <c r="JX33" s="27" t="n">
        <v>280</v>
      </c>
      <c r="JY33" s="27" t="n">
        <v>281</v>
      </c>
      <c r="JZ33" s="27" t="n">
        <v>282</v>
      </c>
      <c r="KA33" s="27" t="n">
        <v>283</v>
      </c>
      <c r="KB33" s="27" t="n">
        <v>284</v>
      </c>
      <c r="KC33" s="27" t="n">
        <v>285</v>
      </c>
      <c r="KD33" s="27" t="n">
        <v>286</v>
      </c>
      <c r="KE33" s="27" t="n">
        <v>287</v>
      </c>
      <c r="KF33" s="27" t="n">
        <v>288</v>
      </c>
      <c r="KG33" s="27" t="n">
        <v>289</v>
      </c>
      <c r="KH33" s="27" t="n">
        <v>290</v>
      </c>
      <c r="KI33" s="27" t="n">
        <v>291</v>
      </c>
      <c r="KJ33" s="27" t="n">
        <v>292</v>
      </c>
      <c r="KK33" s="27" t="n">
        <v>293</v>
      </c>
      <c r="KL33" s="27" t="n">
        <v>294</v>
      </c>
      <c r="KM33" s="27" t="n">
        <v>295</v>
      </c>
      <c r="KN33" s="27" t="n">
        <v>296</v>
      </c>
      <c r="KO33" s="27" t="n">
        <v>297</v>
      </c>
      <c r="KP33" s="27" t="n">
        <v>298</v>
      </c>
      <c r="KQ33" s="27" t="n">
        <v>299</v>
      </c>
      <c r="KR33" s="27" t="n">
        <v>300</v>
      </c>
      <c r="KS33" s="27" t="n">
        <v>301</v>
      </c>
      <c r="KT33" s="27" t="n">
        <v>302</v>
      </c>
      <c r="KU33" s="27" t="n">
        <v>303</v>
      </c>
      <c r="KV33" s="27" t="n">
        <v>304</v>
      </c>
      <c r="KW33" s="27" t="n">
        <v>305</v>
      </c>
      <c r="KX33" s="27" t="n">
        <v>306</v>
      </c>
      <c r="KY33" s="27" t="n">
        <v>307</v>
      </c>
      <c r="KZ33" s="27" t="n">
        <v>308</v>
      </c>
      <c r="LA33" s="27" t="n">
        <v>309</v>
      </c>
      <c r="LB33" s="27" t="n">
        <v>310</v>
      </c>
      <c r="LC33" s="27" t="n">
        <v>311</v>
      </c>
      <c r="LD33" s="27" t="n">
        <v>312</v>
      </c>
      <c r="LE33" s="27" t="n">
        <v>313</v>
      </c>
      <c r="LF33" s="27" t="n">
        <v>314</v>
      </c>
      <c r="LG33" s="27" t="n">
        <v>315</v>
      </c>
      <c r="LH33" s="27" t="n">
        <v>316</v>
      </c>
      <c r="LI33" s="27" t="n">
        <v>317</v>
      </c>
      <c r="LJ33" s="27" t="n">
        <v>318</v>
      </c>
      <c r="LK33" s="27" t="n">
        <v>319</v>
      </c>
      <c r="LL33" s="27" t="n">
        <v>320</v>
      </c>
      <c r="LM33" s="27" t="n">
        <v>321</v>
      </c>
      <c r="LN33" s="27" t="n">
        <v>322</v>
      </c>
      <c r="LO33" s="27" t="n">
        <v>323</v>
      </c>
      <c r="LP33" s="27" t="n">
        <v>324</v>
      </c>
      <c r="LQ33" s="27" t="n">
        <v>325</v>
      </c>
      <c r="LR33" s="27" t="n">
        <v>326</v>
      </c>
      <c r="LS33" s="27" t="n">
        <v>327</v>
      </c>
      <c r="LT33" s="27" t="n">
        <v>328</v>
      </c>
      <c r="LU33" s="27" t="n">
        <v>329</v>
      </c>
      <c r="LV33" s="27" t="n">
        <v>330</v>
      </c>
      <c r="LW33" s="27" t="n">
        <v>331</v>
      </c>
      <c r="LX33" s="27" t="n">
        <v>332</v>
      </c>
      <c r="LY33" s="27" t="n">
        <v>333</v>
      </c>
      <c r="LZ33" s="27" t="n">
        <v>334</v>
      </c>
      <c r="MA33" s="27" t="n">
        <v>335</v>
      </c>
      <c r="MB33" s="27" t="n">
        <v>336</v>
      </c>
      <c r="MC33" s="27" t="n">
        <v>337</v>
      </c>
      <c r="MD33" s="27" t="n">
        <v>338</v>
      </c>
      <c r="ME33" s="27" t="n">
        <v>339</v>
      </c>
      <c r="MF33" s="27" t="n">
        <v>340</v>
      </c>
      <c r="MG33" s="27" t="n">
        <v>341</v>
      </c>
      <c r="MH33" s="27" t="n">
        <v>342</v>
      </c>
      <c r="MI33" s="27" t="n">
        <v>343</v>
      </c>
      <c r="MJ33" s="27" t="n">
        <v>344</v>
      </c>
      <c r="MK33" s="27" t="n">
        <v>345</v>
      </c>
      <c r="ML33" s="27" t="n">
        <v>346</v>
      </c>
      <c r="MM33" s="27" t="n">
        <v>347</v>
      </c>
      <c r="MN33" s="27" t="n">
        <v>348</v>
      </c>
      <c r="MO33" s="27" t="n">
        <v>349</v>
      </c>
      <c r="MP33" s="27" t="n">
        <v>350</v>
      </c>
      <c r="MQ33" s="27" t="n">
        <v>351</v>
      </c>
      <c r="MR33" s="27" t="n">
        <v>352</v>
      </c>
      <c r="MS33" s="27" t="n">
        <v>353</v>
      </c>
      <c r="MT33" s="27" t="n">
        <v>354</v>
      </c>
      <c r="MU33" s="27" t="n">
        <v>355</v>
      </c>
      <c r="MV33" s="27" t="n">
        <v>356</v>
      </c>
      <c r="MW33" s="27" t="n">
        <v>357</v>
      </c>
      <c r="MX33" s="27" t="n">
        <v>358</v>
      </c>
      <c r="MY33" s="27" t="n">
        <v>359</v>
      </c>
      <c r="MZ33" s="27" t="n">
        <v>360</v>
      </c>
      <c r="NA33" s="27" t="n">
        <v>361</v>
      </c>
      <c r="NB33" s="27" t="n">
        <v>362</v>
      </c>
      <c r="NC33" s="27" t="n">
        <v>363</v>
      </c>
      <c r="ND33" s="27" t="n">
        <v>364</v>
      </c>
      <c r="NE33" s="27" t="n">
        <v>365</v>
      </c>
      <c r="NF33" s="27" t="n">
        <v>366</v>
      </c>
      <c r="NG33" s="27" t="n">
        <v>367</v>
      </c>
      <c r="NH33" s="27" t="n">
        <v>368</v>
      </c>
      <c r="NI33" s="27" t="n">
        <v>369</v>
      </c>
      <c r="NJ33" s="27" t="n">
        <v>370</v>
      </c>
      <c r="NK33" s="27" t="n">
        <v>371</v>
      </c>
      <c r="NL33" s="27" t="n">
        <v>372</v>
      </c>
    </row>
    <row r="34">
      <c r="B34" s="36" t="inlineStr">
        <is>
          <t>Static Fwd NOI before Tax</t>
        </is>
      </c>
      <c r="C34" s="227">
        <f>SUM(INDEX(Operating!E$68:'Operating'!NL$68,DispoMonth+1):INDEX(Operating!E$68:'Operating'!NL$68,DispoMonth+12))</f>
        <v/>
      </c>
      <c r="D34" s="53" t="n"/>
    </row>
    <row r="35">
      <c r="B35" s="36" t="inlineStr">
        <is>
          <t>Static Fwd NOI after Tax</t>
        </is>
      </c>
      <c r="C35" s="227">
        <f>SUM(INDEX(Operating!E$70:'Operating'!NL$70,DispoMonth+1):INDEX(Operating!E$70:'Operating'!NL$70,DispoMonth+12))</f>
        <v/>
      </c>
      <c r="D35" s="53" t="n"/>
    </row>
    <row r="36">
      <c r="B36" s="36" t="inlineStr">
        <is>
          <t>Static Exit Value</t>
        </is>
      </c>
      <c r="C36" s="227">
        <f>IF(ReassessOnSale&gt;=1,IF((BlendedExitCap+DispoEffTaxRate)=0,0,StaticFwdNOIbt/(BlendedExitCap+DispoEffTaxRate)),IF(BlendedExitCap=0,0,StaticFwdNOI/BlendedExitCap))</f>
        <v/>
      </c>
      <c r="D36" s="53" t="n"/>
    </row>
    <row r="37">
      <c r="B37" s="36" t="inlineStr">
        <is>
          <t>Static Net Sale (unlevered)</t>
        </is>
      </c>
      <c r="C37" s="227">
        <f>StaticExitValue*(1-BrokerCostPct-SalesTaxPct-SponsorDispoFeePct)-INDEX(Operating!E$69:'Operating'!NL$69,MAX(1,DispoMonth))*TaxProrationMonths</f>
        <v/>
      </c>
      <c r="D37" s="53" t="n"/>
    </row>
    <row r="38">
      <c r="B38" s="122" t="inlineStr">
        <is>
          <t>Period →</t>
        </is>
      </c>
      <c r="D38" s="75" t="inlineStr">
        <is>
          <t>Total</t>
        </is>
      </c>
      <c r="E38" s="27" t="n">
        <v>1</v>
      </c>
      <c r="F38" s="27" t="n">
        <v>2</v>
      </c>
      <c r="G38" s="27" t="n">
        <v>3</v>
      </c>
      <c r="H38" s="27" t="n">
        <v>4</v>
      </c>
      <c r="I38" s="27" t="n">
        <v>5</v>
      </c>
      <c r="J38" s="27" t="n">
        <v>6</v>
      </c>
      <c r="K38" s="27" t="n">
        <v>7</v>
      </c>
      <c r="L38" s="27" t="n">
        <v>8</v>
      </c>
      <c r="M38" s="27" t="n">
        <v>9</v>
      </c>
      <c r="N38" s="27" t="n">
        <v>10</v>
      </c>
      <c r="O38" s="27" t="n">
        <v>11</v>
      </c>
      <c r="P38" s="27" t="n">
        <v>12</v>
      </c>
      <c r="Q38" s="27" t="n">
        <v>13</v>
      </c>
      <c r="R38" s="27" t="n">
        <v>14</v>
      </c>
      <c r="S38" s="27" t="n">
        <v>15</v>
      </c>
      <c r="T38" s="27" t="n">
        <v>16</v>
      </c>
      <c r="U38" s="27" t="n">
        <v>17</v>
      </c>
      <c r="V38" s="27" t="n">
        <v>18</v>
      </c>
      <c r="W38" s="27" t="n">
        <v>19</v>
      </c>
      <c r="X38" s="27" t="n">
        <v>20</v>
      </c>
      <c r="Y38" s="27" t="n">
        <v>21</v>
      </c>
      <c r="Z38" s="27" t="n">
        <v>22</v>
      </c>
      <c r="AA38" s="27" t="n">
        <v>23</v>
      </c>
      <c r="AB38" s="27" t="n">
        <v>24</v>
      </c>
      <c r="AC38" s="27" t="n">
        <v>25</v>
      </c>
      <c r="AD38" s="27" t="n">
        <v>26</v>
      </c>
      <c r="AE38" s="27" t="n">
        <v>27</v>
      </c>
      <c r="AF38" s="27" t="n">
        <v>28</v>
      </c>
      <c r="AG38" s="27" t="n">
        <v>29</v>
      </c>
      <c r="AH38" s="27" t="n">
        <v>30</v>
      </c>
      <c r="AI38" s="27" t="n">
        <v>31</v>
      </c>
      <c r="AJ38" s="27" t="n">
        <v>32</v>
      </c>
      <c r="AK38" s="27" t="n">
        <v>33</v>
      </c>
      <c r="AL38" s="27" t="n">
        <v>34</v>
      </c>
      <c r="AM38" s="27" t="n">
        <v>35</v>
      </c>
      <c r="AN38" s="27" t="n">
        <v>36</v>
      </c>
      <c r="AO38" s="27" t="n">
        <v>37</v>
      </c>
      <c r="AP38" s="27" t="n">
        <v>38</v>
      </c>
      <c r="AQ38" s="27" t="n">
        <v>39</v>
      </c>
      <c r="AR38" s="27" t="n">
        <v>40</v>
      </c>
      <c r="AS38" s="27" t="n">
        <v>41</v>
      </c>
      <c r="AT38" s="27" t="n">
        <v>42</v>
      </c>
      <c r="AU38" s="27" t="n">
        <v>43</v>
      </c>
      <c r="AV38" s="27" t="n">
        <v>44</v>
      </c>
      <c r="AW38" s="27" t="n">
        <v>45</v>
      </c>
      <c r="AX38" s="27" t="n">
        <v>46</v>
      </c>
      <c r="AY38" s="27" t="n">
        <v>47</v>
      </c>
      <c r="AZ38" s="27" t="n">
        <v>48</v>
      </c>
      <c r="BA38" s="27" t="n">
        <v>49</v>
      </c>
      <c r="BB38" s="27" t="n">
        <v>50</v>
      </c>
      <c r="BC38" s="27" t="n">
        <v>51</v>
      </c>
      <c r="BD38" s="27" t="n">
        <v>52</v>
      </c>
      <c r="BE38" s="27" t="n">
        <v>53</v>
      </c>
      <c r="BF38" s="27" t="n">
        <v>54</v>
      </c>
      <c r="BG38" s="27" t="n">
        <v>55</v>
      </c>
      <c r="BH38" s="27" t="n">
        <v>56</v>
      </c>
      <c r="BI38" s="27" t="n">
        <v>57</v>
      </c>
      <c r="BJ38" s="27" t="n">
        <v>58</v>
      </c>
      <c r="BK38" s="27" t="n">
        <v>59</v>
      </c>
      <c r="BL38" s="27" t="n">
        <v>60</v>
      </c>
      <c r="BM38" s="27" t="n">
        <v>61</v>
      </c>
      <c r="BN38" s="27" t="n">
        <v>62</v>
      </c>
      <c r="BO38" s="27" t="n">
        <v>63</v>
      </c>
      <c r="BP38" s="27" t="n">
        <v>64</v>
      </c>
      <c r="BQ38" s="27" t="n">
        <v>65</v>
      </c>
      <c r="BR38" s="27" t="n">
        <v>66</v>
      </c>
      <c r="BS38" s="27" t="n">
        <v>67</v>
      </c>
      <c r="BT38" s="27" t="n">
        <v>68</v>
      </c>
      <c r="BU38" s="27" t="n">
        <v>69</v>
      </c>
      <c r="BV38" s="27" t="n">
        <v>70</v>
      </c>
      <c r="BW38" s="27" t="n">
        <v>71</v>
      </c>
      <c r="BX38" s="27" t="n">
        <v>72</v>
      </c>
      <c r="BY38" s="27" t="n">
        <v>73</v>
      </c>
      <c r="BZ38" s="27" t="n">
        <v>74</v>
      </c>
      <c r="CA38" s="27" t="n">
        <v>75</v>
      </c>
      <c r="CB38" s="27" t="n">
        <v>76</v>
      </c>
      <c r="CC38" s="27" t="n">
        <v>77</v>
      </c>
      <c r="CD38" s="27" t="n">
        <v>78</v>
      </c>
      <c r="CE38" s="27" t="n">
        <v>79</v>
      </c>
      <c r="CF38" s="27" t="n">
        <v>80</v>
      </c>
      <c r="CG38" s="27" t="n">
        <v>81</v>
      </c>
      <c r="CH38" s="27" t="n">
        <v>82</v>
      </c>
      <c r="CI38" s="27" t="n">
        <v>83</v>
      </c>
      <c r="CJ38" s="27" t="n">
        <v>84</v>
      </c>
      <c r="CK38" s="27" t="n">
        <v>85</v>
      </c>
      <c r="CL38" s="27" t="n">
        <v>86</v>
      </c>
      <c r="CM38" s="27" t="n">
        <v>87</v>
      </c>
      <c r="CN38" s="27" t="n">
        <v>88</v>
      </c>
      <c r="CO38" s="27" t="n">
        <v>89</v>
      </c>
      <c r="CP38" s="27" t="n">
        <v>90</v>
      </c>
      <c r="CQ38" s="27" t="n">
        <v>91</v>
      </c>
      <c r="CR38" s="27" t="n">
        <v>92</v>
      </c>
      <c r="CS38" s="27" t="n">
        <v>93</v>
      </c>
      <c r="CT38" s="27" t="n">
        <v>94</v>
      </c>
      <c r="CU38" s="27" t="n">
        <v>95</v>
      </c>
      <c r="CV38" s="27" t="n">
        <v>96</v>
      </c>
      <c r="CW38" s="27" t="n">
        <v>97</v>
      </c>
      <c r="CX38" s="27" t="n">
        <v>98</v>
      </c>
      <c r="CY38" s="27" t="n">
        <v>99</v>
      </c>
      <c r="CZ38" s="27" t="n">
        <v>100</v>
      </c>
      <c r="DA38" s="27" t="n">
        <v>101</v>
      </c>
      <c r="DB38" s="27" t="n">
        <v>102</v>
      </c>
      <c r="DC38" s="27" t="n">
        <v>103</v>
      </c>
      <c r="DD38" s="27" t="n">
        <v>104</v>
      </c>
      <c r="DE38" s="27" t="n">
        <v>105</v>
      </c>
      <c r="DF38" s="27" t="n">
        <v>106</v>
      </c>
      <c r="DG38" s="27" t="n">
        <v>107</v>
      </c>
      <c r="DH38" s="27" t="n">
        <v>108</v>
      </c>
      <c r="DI38" s="27" t="n">
        <v>109</v>
      </c>
      <c r="DJ38" s="27" t="n">
        <v>110</v>
      </c>
      <c r="DK38" s="27" t="n">
        <v>111</v>
      </c>
      <c r="DL38" s="27" t="n">
        <v>112</v>
      </c>
      <c r="DM38" s="27" t="n">
        <v>113</v>
      </c>
      <c r="DN38" s="27" t="n">
        <v>114</v>
      </c>
      <c r="DO38" s="27" t="n">
        <v>115</v>
      </c>
      <c r="DP38" s="27" t="n">
        <v>116</v>
      </c>
      <c r="DQ38" s="27" t="n">
        <v>117</v>
      </c>
      <c r="DR38" s="27" t="n">
        <v>118</v>
      </c>
      <c r="DS38" s="27" t="n">
        <v>119</v>
      </c>
      <c r="DT38" s="27" t="n">
        <v>120</v>
      </c>
      <c r="DU38" s="27" t="n">
        <v>121</v>
      </c>
      <c r="DV38" s="27" t="n">
        <v>122</v>
      </c>
      <c r="DW38" s="27" t="n">
        <v>123</v>
      </c>
      <c r="DX38" s="27" t="n">
        <v>124</v>
      </c>
      <c r="DY38" s="27" t="n">
        <v>125</v>
      </c>
      <c r="DZ38" s="27" t="n">
        <v>126</v>
      </c>
      <c r="EA38" s="27" t="n">
        <v>127</v>
      </c>
      <c r="EB38" s="27" t="n">
        <v>128</v>
      </c>
      <c r="EC38" s="27" t="n">
        <v>129</v>
      </c>
      <c r="ED38" s="27" t="n">
        <v>130</v>
      </c>
      <c r="EE38" s="27" t="n">
        <v>131</v>
      </c>
      <c r="EF38" s="27" t="n">
        <v>132</v>
      </c>
      <c r="EG38" s="27" t="n">
        <v>133</v>
      </c>
      <c r="EH38" s="27" t="n">
        <v>134</v>
      </c>
      <c r="EI38" s="27" t="n">
        <v>135</v>
      </c>
      <c r="EJ38" s="27" t="n">
        <v>136</v>
      </c>
      <c r="EK38" s="27" t="n">
        <v>137</v>
      </c>
      <c r="EL38" s="27" t="n">
        <v>138</v>
      </c>
      <c r="EM38" s="27" t="n">
        <v>139</v>
      </c>
      <c r="EN38" s="27" t="n">
        <v>140</v>
      </c>
      <c r="EO38" s="27" t="n">
        <v>141</v>
      </c>
      <c r="EP38" s="27" t="n">
        <v>142</v>
      </c>
      <c r="EQ38" s="27" t="n">
        <v>143</v>
      </c>
      <c r="ER38" s="27" t="n">
        <v>144</v>
      </c>
      <c r="ES38" s="27" t="n">
        <v>145</v>
      </c>
      <c r="ET38" s="27" t="n">
        <v>146</v>
      </c>
      <c r="EU38" s="27" t="n">
        <v>147</v>
      </c>
      <c r="EV38" s="27" t="n">
        <v>148</v>
      </c>
      <c r="EW38" s="27" t="n">
        <v>149</v>
      </c>
      <c r="EX38" s="27" t="n">
        <v>150</v>
      </c>
      <c r="EY38" s="27" t="n">
        <v>151</v>
      </c>
      <c r="EZ38" s="27" t="n">
        <v>152</v>
      </c>
      <c r="FA38" s="27" t="n">
        <v>153</v>
      </c>
      <c r="FB38" s="27" t="n">
        <v>154</v>
      </c>
      <c r="FC38" s="27" t="n">
        <v>155</v>
      </c>
      <c r="FD38" s="27" t="n">
        <v>156</v>
      </c>
      <c r="FE38" s="27" t="n">
        <v>157</v>
      </c>
      <c r="FF38" s="27" t="n">
        <v>158</v>
      </c>
      <c r="FG38" s="27" t="n">
        <v>159</v>
      </c>
      <c r="FH38" s="27" t="n">
        <v>160</v>
      </c>
      <c r="FI38" s="27" t="n">
        <v>161</v>
      </c>
      <c r="FJ38" s="27" t="n">
        <v>162</v>
      </c>
      <c r="FK38" s="27" t="n">
        <v>163</v>
      </c>
      <c r="FL38" s="27" t="n">
        <v>164</v>
      </c>
      <c r="FM38" s="27" t="n">
        <v>165</v>
      </c>
      <c r="FN38" s="27" t="n">
        <v>166</v>
      </c>
      <c r="FO38" s="27" t="n">
        <v>167</v>
      </c>
      <c r="FP38" s="27" t="n">
        <v>168</v>
      </c>
      <c r="FQ38" s="27" t="n">
        <v>169</v>
      </c>
      <c r="FR38" s="27" t="n">
        <v>170</v>
      </c>
      <c r="FS38" s="27" t="n">
        <v>171</v>
      </c>
      <c r="FT38" s="27" t="n">
        <v>172</v>
      </c>
      <c r="FU38" s="27" t="n">
        <v>173</v>
      </c>
      <c r="FV38" s="27" t="n">
        <v>174</v>
      </c>
      <c r="FW38" s="27" t="n">
        <v>175</v>
      </c>
      <c r="FX38" s="27" t="n">
        <v>176</v>
      </c>
      <c r="FY38" s="27" t="n">
        <v>177</v>
      </c>
      <c r="FZ38" s="27" t="n">
        <v>178</v>
      </c>
      <c r="GA38" s="27" t="n">
        <v>179</v>
      </c>
      <c r="GB38" s="27" t="n">
        <v>180</v>
      </c>
      <c r="GC38" s="27" t="n">
        <v>181</v>
      </c>
      <c r="GD38" s="27" t="n">
        <v>182</v>
      </c>
      <c r="GE38" s="27" t="n">
        <v>183</v>
      </c>
      <c r="GF38" s="27" t="n">
        <v>184</v>
      </c>
      <c r="GG38" s="27" t="n">
        <v>185</v>
      </c>
      <c r="GH38" s="27" t="n">
        <v>186</v>
      </c>
      <c r="GI38" s="27" t="n">
        <v>187</v>
      </c>
      <c r="GJ38" s="27" t="n">
        <v>188</v>
      </c>
      <c r="GK38" s="27" t="n">
        <v>189</v>
      </c>
      <c r="GL38" s="27" t="n">
        <v>190</v>
      </c>
      <c r="GM38" s="27" t="n">
        <v>191</v>
      </c>
      <c r="GN38" s="27" t="n">
        <v>192</v>
      </c>
      <c r="GO38" s="27" t="n">
        <v>193</v>
      </c>
      <c r="GP38" s="27" t="n">
        <v>194</v>
      </c>
      <c r="GQ38" s="27" t="n">
        <v>195</v>
      </c>
      <c r="GR38" s="27" t="n">
        <v>196</v>
      </c>
      <c r="GS38" s="27" t="n">
        <v>197</v>
      </c>
      <c r="GT38" s="27" t="n">
        <v>198</v>
      </c>
      <c r="GU38" s="27" t="n">
        <v>199</v>
      </c>
      <c r="GV38" s="27" t="n">
        <v>200</v>
      </c>
      <c r="GW38" s="27" t="n">
        <v>201</v>
      </c>
      <c r="GX38" s="27" t="n">
        <v>202</v>
      </c>
      <c r="GY38" s="27" t="n">
        <v>203</v>
      </c>
      <c r="GZ38" s="27" t="n">
        <v>204</v>
      </c>
      <c r="HA38" s="27" t="n">
        <v>205</v>
      </c>
      <c r="HB38" s="27" t="n">
        <v>206</v>
      </c>
      <c r="HC38" s="27" t="n">
        <v>207</v>
      </c>
      <c r="HD38" s="27" t="n">
        <v>208</v>
      </c>
      <c r="HE38" s="27" t="n">
        <v>209</v>
      </c>
      <c r="HF38" s="27" t="n">
        <v>210</v>
      </c>
      <c r="HG38" s="27" t="n">
        <v>211</v>
      </c>
      <c r="HH38" s="27" t="n">
        <v>212</v>
      </c>
      <c r="HI38" s="27" t="n">
        <v>213</v>
      </c>
      <c r="HJ38" s="27" t="n">
        <v>214</v>
      </c>
      <c r="HK38" s="27" t="n">
        <v>215</v>
      </c>
      <c r="HL38" s="27" t="n">
        <v>216</v>
      </c>
      <c r="HM38" s="27" t="n">
        <v>217</v>
      </c>
      <c r="HN38" s="27" t="n">
        <v>218</v>
      </c>
      <c r="HO38" s="27" t="n">
        <v>219</v>
      </c>
      <c r="HP38" s="27" t="n">
        <v>220</v>
      </c>
      <c r="HQ38" s="27" t="n">
        <v>221</v>
      </c>
      <c r="HR38" s="27" t="n">
        <v>222</v>
      </c>
      <c r="HS38" s="27" t="n">
        <v>223</v>
      </c>
      <c r="HT38" s="27" t="n">
        <v>224</v>
      </c>
      <c r="HU38" s="27" t="n">
        <v>225</v>
      </c>
      <c r="HV38" s="27" t="n">
        <v>226</v>
      </c>
      <c r="HW38" s="27" t="n">
        <v>227</v>
      </c>
      <c r="HX38" s="27" t="n">
        <v>228</v>
      </c>
      <c r="HY38" s="27" t="n">
        <v>229</v>
      </c>
      <c r="HZ38" s="27" t="n">
        <v>230</v>
      </c>
      <c r="IA38" s="27" t="n">
        <v>231</v>
      </c>
      <c r="IB38" s="27" t="n">
        <v>232</v>
      </c>
      <c r="IC38" s="27" t="n">
        <v>233</v>
      </c>
      <c r="ID38" s="27" t="n">
        <v>234</v>
      </c>
      <c r="IE38" s="27" t="n">
        <v>235</v>
      </c>
      <c r="IF38" s="27" t="n">
        <v>236</v>
      </c>
      <c r="IG38" s="27" t="n">
        <v>237</v>
      </c>
      <c r="IH38" s="27" t="n">
        <v>238</v>
      </c>
      <c r="II38" s="27" t="n">
        <v>239</v>
      </c>
      <c r="IJ38" s="27" t="n">
        <v>240</v>
      </c>
      <c r="IK38" s="27" t="n">
        <v>241</v>
      </c>
      <c r="IL38" s="27" t="n">
        <v>242</v>
      </c>
      <c r="IM38" s="27" t="n">
        <v>243</v>
      </c>
      <c r="IN38" s="27" t="n">
        <v>244</v>
      </c>
      <c r="IO38" s="27" t="n">
        <v>245</v>
      </c>
      <c r="IP38" s="27" t="n">
        <v>246</v>
      </c>
      <c r="IQ38" s="27" t="n">
        <v>247</v>
      </c>
      <c r="IR38" s="27" t="n">
        <v>248</v>
      </c>
      <c r="IS38" s="27" t="n">
        <v>249</v>
      </c>
      <c r="IT38" s="27" t="n">
        <v>250</v>
      </c>
      <c r="IU38" s="27" t="n">
        <v>251</v>
      </c>
      <c r="IV38" s="27" t="n">
        <v>252</v>
      </c>
      <c r="IW38" s="27" t="n">
        <v>253</v>
      </c>
      <c r="IX38" s="27" t="n">
        <v>254</v>
      </c>
      <c r="IY38" s="27" t="n">
        <v>255</v>
      </c>
      <c r="IZ38" s="27" t="n">
        <v>256</v>
      </c>
      <c r="JA38" s="27" t="n">
        <v>257</v>
      </c>
      <c r="JB38" s="27" t="n">
        <v>258</v>
      </c>
      <c r="JC38" s="27" t="n">
        <v>259</v>
      </c>
      <c r="JD38" s="27" t="n">
        <v>260</v>
      </c>
      <c r="JE38" s="27" t="n">
        <v>261</v>
      </c>
      <c r="JF38" s="27" t="n">
        <v>262</v>
      </c>
      <c r="JG38" s="27" t="n">
        <v>263</v>
      </c>
      <c r="JH38" s="27" t="n">
        <v>264</v>
      </c>
      <c r="JI38" s="27" t="n">
        <v>265</v>
      </c>
      <c r="JJ38" s="27" t="n">
        <v>266</v>
      </c>
      <c r="JK38" s="27" t="n">
        <v>267</v>
      </c>
      <c r="JL38" s="27" t="n">
        <v>268</v>
      </c>
      <c r="JM38" s="27" t="n">
        <v>269</v>
      </c>
      <c r="JN38" s="27" t="n">
        <v>270</v>
      </c>
      <c r="JO38" s="27" t="n">
        <v>271</v>
      </c>
      <c r="JP38" s="27" t="n">
        <v>272</v>
      </c>
      <c r="JQ38" s="27" t="n">
        <v>273</v>
      </c>
      <c r="JR38" s="27" t="n">
        <v>274</v>
      </c>
      <c r="JS38" s="27" t="n">
        <v>275</v>
      </c>
      <c r="JT38" s="27" t="n">
        <v>276</v>
      </c>
      <c r="JU38" s="27" t="n">
        <v>277</v>
      </c>
      <c r="JV38" s="27" t="n">
        <v>278</v>
      </c>
      <c r="JW38" s="27" t="n">
        <v>279</v>
      </c>
      <c r="JX38" s="27" t="n">
        <v>280</v>
      </c>
      <c r="JY38" s="27" t="n">
        <v>281</v>
      </c>
      <c r="JZ38" s="27" t="n">
        <v>282</v>
      </c>
      <c r="KA38" s="27" t="n">
        <v>283</v>
      </c>
      <c r="KB38" s="27" t="n">
        <v>284</v>
      </c>
      <c r="KC38" s="27" t="n">
        <v>285</v>
      </c>
      <c r="KD38" s="27" t="n">
        <v>286</v>
      </c>
      <c r="KE38" s="27" t="n">
        <v>287</v>
      </c>
      <c r="KF38" s="27" t="n">
        <v>288</v>
      </c>
      <c r="KG38" s="27" t="n">
        <v>289</v>
      </c>
      <c r="KH38" s="27" t="n">
        <v>290</v>
      </c>
      <c r="KI38" s="27" t="n">
        <v>291</v>
      </c>
      <c r="KJ38" s="27" t="n">
        <v>292</v>
      </c>
      <c r="KK38" s="27" t="n">
        <v>293</v>
      </c>
      <c r="KL38" s="27" t="n">
        <v>294</v>
      </c>
      <c r="KM38" s="27" t="n">
        <v>295</v>
      </c>
      <c r="KN38" s="27" t="n">
        <v>296</v>
      </c>
      <c r="KO38" s="27" t="n">
        <v>297</v>
      </c>
      <c r="KP38" s="27" t="n">
        <v>298</v>
      </c>
      <c r="KQ38" s="27" t="n">
        <v>299</v>
      </c>
      <c r="KR38" s="27" t="n">
        <v>300</v>
      </c>
      <c r="KS38" s="27" t="n">
        <v>301</v>
      </c>
      <c r="KT38" s="27" t="n">
        <v>302</v>
      </c>
      <c r="KU38" s="27" t="n">
        <v>303</v>
      </c>
      <c r="KV38" s="27" t="n">
        <v>304</v>
      </c>
      <c r="KW38" s="27" t="n">
        <v>305</v>
      </c>
      <c r="KX38" s="27" t="n">
        <v>306</v>
      </c>
      <c r="KY38" s="27" t="n">
        <v>307</v>
      </c>
      <c r="KZ38" s="27" t="n">
        <v>308</v>
      </c>
      <c r="LA38" s="27" t="n">
        <v>309</v>
      </c>
      <c r="LB38" s="27" t="n">
        <v>310</v>
      </c>
      <c r="LC38" s="27" t="n">
        <v>311</v>
      </c>
      <c r="LD38" s="27" t="n">
        <v>312</v>
      </c>
      <c r="LE38" s="27" t="n">
        <v>313</v>
      </c>
      <c r="LF38" s="27" t="n">
        <v>314</v>
      </c>
      <c r="LG38" s="27" t="n">
        <v>315</v>
      </c>
      <c r="LH38" s="27" t="n">
        <v>316</v>
      </c>
      <c r="LI38" s="27" t="n">
        <v>317</v>
      </c>
      <c r="LJ38" s="27" t="n">
        <v>318</v>
      </c>
      <c r="LK38" s="27" t="n">
        <v>319</v>
      </c>
      <c r="LL38" s="27" t="n">
        <v>320</v>
      </c>
      <c r="LM38" s="27" t="n">
        <v>321</v>
      </c>
      <c r="LN38" s="27" t="n">
        <v>322</v>
      </c>
      <c r="LO38" s="27" t="n">
        <v>323</v>
      </c>
      <c r="LP38" s="27" t="n">
        <v>324</v>
      </c>
      <c r="LQ38" s="27" t="n">
        <v>325</v>
      </c>
      <c r="LR38" s="27" t="n">
        <v>326</v>
      </c>
      <c r="LS38" s="27" t="n">
        <v>327</v>
      </c>
      <c r="LT38" s="27" t="n">
        <v>328</v>
      </c>
      <c r="LU38" s="27" t="n">
        <v>329</v>
      </c>
      <c r="LV38" s="27" t="n">
        <v>330</v>
      </c>
      <c r="LW38" s="27" t="n">
        <v>331</v>
      </c>
      <c r="LX38" s="27" t="n">
        <v>332</v>
      </c>
      <c r="LY38" s="27" t="n">
        <v>333</v>
      </c>
      <c r="LZ38" s="27" t="n">
        <v>334</v>
      </c>
      <c r="MA38" s="27" t="n">
        <v>335</v>
      </c>
      <c r="MB38" s="27" t="n">
        <v>336</v>
      </c>
      <c r="MC38" s="27" t="n">
        <v>337</v>
      </c>
      <c r="MD38" s="27" t="n">
        <v>338</v>
      </c>
      <c r="ME38" s="27" t="n">
        <v>339</v>
      </c>
      <c r="MF38" s="27" t="n">
        <v>340</v>
      </c>
      <c r="MG38" s="27" t="n">
        <v>341</v>
      </c>
      <c r="MH38" s="27" t="n">
        <v>342</v>
      </c>
      <c r="MI38" s="27" t="n">
        <v>343</v>
      </c>
      <c r="MJ38" s="27" t="n">
        <v>344</v>
      </c>
      <c r="MK38" s="27" t="n">
        <v>345</v>
      </c>
      <c r="ML38" s="27" t="n">
        <v>346</v>
      </c>
      <c r="MM38" s="27" t="n">
        <v>347</v>
      </c>
      <c r="MN38" s="27" t="n">
        <v>348</v>
      </c>
      <c r="MO38" s="27" t="n">
        <v>349</v>
      </c>
      <c r="MP38" s="27" t="n">
        <v>350</v>
      </c>
      <c r="MQ38" s="27" t="n">
        <v>351</v>
      </c>
      <c r="MR38" s="27" t="n">
        <v>352</v>
      </c>
      <c r="MS38" s="27" t="n">
        <v>353</v>
      </c>
      <c r="MT38" s="27" t="n">
        <v>354</v>
      </c>
      <c r="MU38" s="27" t="n">
        <v>355</v>
      </c>
      <c r="MV38" s="27" t="n">
        <v>356</v>
      </c>
      <c r="MW38" s="27" t="n">
        <v>357</v>
      </c>
      <c r="MX38" s="27" t="n">
        <v>358</v>
      </c>
      <c r="MY38" s="27" t="n">
        <v>359</v>
      </c>
      <c r="MZ38" s="27" t="n">
        <v>360</v>
      </c>
      <c r="NA38" s="27" t="n">
        <v>361</v>
      </c>
      <c r="NB38" s="27" t="n">
        <v>362</v>
      </c>
      <c r="NC38" s="27" t="n">
        <v>363</v>
      </c>
      <c r="ND38" s="27" t="n">
        <v>364</v>
      </c>
      <c r="NE38" s="27" t="n">
        <v>365</v>
      </c>
      <c r="NF38" s="27" t="n">
        <v>366</v>
      </c>
      <c r="NG38" s="27" t="n">
        <v>367</v>
      </c>
      <c r="NH38" s="27" t="n">
        <v>368</v>
      </c>
      <c r="NI38" s="27" t="n">
        <v>369</v>
      </c>
      <c r="NJ38" s="27" t="n">
        <v>370</v>
      </c>
      <c r="NK38" s="27" t="n">
        <v>371</v>
      </c>
      <c r="NL38" s="27" t="n">
        <v>372</v>
      </c>
    </row>
    <row r="39">
      <c r="B39" s="36" t="inlineStr">
        <is>
          <t>Static Unlevered CF</t>
        </is>
      </c>
      <c r="D39" s="258">
        <f>SUM(E39:NL39)</f>
        <v/>
      </c>
      <c r="E39" s="218">
        <f>-CashFlow!E$5+Operating!E$72+IF(1=DispoMonth,StaticNetSaleUnlev,0)</f>
        <v/>
      </c>
      <c r="F39" s="218">
        <f>-CashFlow!F$5+Operating!F$72+IF(2=DispoMonth,StaticNetSaleUnlev,0)</f>
        <v/>
      </c>
      <c r="G39" s="218">
        <f>-CashFlow!G$5+Operating!G$72+IF(3=DispoMonth,StaticNetSaleUnlev,0)</f>
        <v/>
      </c>
      <c r="H39" s="218">
        <f>-CashFlow!H$5+Operating!H$72+IF(4=DispoMonth,StaticNetSaleUnlev,0)</f>
        <v/>
      </c>
      <c r="I39" s="218">
        <f>-CashFlow!I$5+Operating!I$72+IF(5=DispoMonth,StaticNetSaleUnlev,0)</f>
        <v/>
      </c>
      <c r="J39" s="218">
        <f>-CashFlow!J$5+Operating!J$72+IF(6=DispoMonth,StaticNetSaleUnlev,0)</f>
        <v/>
      </c>
      <c r="K39" s="218">
        <f>-CashFlow!K$5+Operating!K$72+IF(7=DispoMonth,StaticNetSaleUnlev,0)</f>
        <v/>
      </c>
      <c r="L39" s="218">
        <f>-CashFlow!L$5+Operating!L$72+IF(8=DispoMonth,StaticNetSaleUnlev,0)</f>
        <v/>
      </c>
      <c r="M39" s="218">
        <f>-CashFlow!M$5+Operating!M$72+IF(9=DispoMonth,StaticNetSaleUnlev,0)</f>
        <v/>
      </c>
      <c r="N39" s="218">
        <f>-CashFlow!N$5+Operating!N$72+IF(10=DispoMonth,StaticNetSaleUnlev,0)</f>
        <v/>
      </c>
      <c r="O39" s="218">
        <f>-CashFlow!O$5+Operating!O$72+IF(11=DispoMonth,StaticNetSaleUnlev,0)</f>
        <v/>
      </c>
      <c r="P39" s="218">
        <f>-CashFlow!P$5+Operating!P$72+IF(12=DispoMonth,StaticNetSaleUnlev,0)</f>
        <v/>
      </c>
      <c r="Q39" s="218">
        <f>-CashFlow!Q$5+Operating!Q$72+IF(13=DispoMonth,StaticNetSaleUnlev,0)</f>
        <v/>
      </c>
      <c r="R39" s="218">
        <f>-CashFlow!R$5+Operating!R$72+IF(14=DispoMonth,StaticNetSaleUnlev,0)</f>
        <v/>
      </c>
      <c r="S39" s="218">
        <f>-CashFlow!S$5+Operating!S$72+IF(15=DispoMonth,StaticNetSaleUnlev,0)</f>
        <v/>
      </c>
      <c r="T39" s="218">
        <f>-CashFlow!T$5+Operating!T$72+IF(16=DispoMonth,StaticNetSaleUnlev,0)</f>
        <v/>
      </c>
      <c r="U39" s="218">
        <f>-CashFlow!U$5+Operating!U$72+IF(17=DispoMonth,StaticNetSaleUnlev,0)</f>
        <v/>
      </c>
      <c r="V39" s="218">
        <f>-CashFlow!V$5+Operating!V$72+IF(18=DispoMonth,StaticNetSaleUnlev,0)</f>
        <v/>
      </c>
      <c r="W39" s="218">
        <f>-CashFlow!W$5+Operating!W$72+IF(19=DispoMonth,StaticNetSaleUnlev,0)</f>
        <v/>
      </c>
      <c r="X39" s="218">
        <f>-CashFlow!X$5+Operating!X$72+IF(20=DispoMonth,StaticNetSaleUnlev,0)</f>
        <v/>
      </c>
      <c r="Y39" s="218">
        <f>-CashFlow!Y$5+Operating!Y$72+IF(21=DispoMonth,StaticNetSaleUnlev,0)</f>
        <v/>
      </c>
      <c r="Z39" s="218">
        <f>-CashFlow!Z$5+Operating!Z$72+IF(22=DispoMonth,StaticNetSaleUnlev,0)</f>
        <v/>
      </c>
      <c r="AA39" s="218">
        <f>-CashFlow!AA$5+Operating!AA$72+IF(23=DispoMonth,StaticNetSaleUnlev,0)</f>
        <v/>
      </c>
      <c r="AB39" s="218">
        <f>-CashFlow!AB$5+Operating!AB$72+IF(24=DispoMonth,StaticNetSaleUnlev,0)</f>
        <v/>
      </c>
      <c r="AC39" s="218">
        <f>-CashFlow!AC$5+Operating!AC$72+IF(25=DispoMonth,StaticNetSaleUnlev,0)</f>
        <v/>
      </c>
      <c r="AD39" s="218">
        <f>-CashFlow!AD$5+Operating!AD$72+IF(26=DispoMonth,StaticNetSaleUnlev,0)</f>
        <v/>
      </c>
      <c r="AE39" s="218">
        <f>-CashFlow!AE$5+Operating!AE$72+IF(27=DispoMonth,StaticNetSaleUnlev,0)</f>
        <v/>
      </c>
      <c r="AF39" s="218">
        <f>-CashFlow!AF$5+Operating!AF$72+IF(28=DispoMonth,StaticNetSaleUnlev,0)</f>
        <v/>
      </c>
      <c r="AG39" s="218">
        <f>-CashFlow!AG$5+Operating!AG$72+IF(29=DispoMonth,StaticNetSaleUnlev,0)</f>
        <v/>
      </c>
      <c r="AH39" s="218">
        <f>-CashFlow!AH$5+Operating!AH$72+IF(30=DispoMonth,StaticNetSaleUnlev,0)</f>
        <v/>
      </c>
      <c r="AI39" s="218">
        <f>-CashFlow!AI$5+Operating!AI$72+IF(31=DispoMonth,StaticNetSaleUnlev,0)</f>
        <v/>
      </c>
      <c r="AJ39" s="218">
        <f>-CashFlow!AJ$5+Operating!AJ$72+IF(32=DispoMonth,StaticNetSaleUnlev,0)</f>
        <v/>
      </c>
      <c r="AK39" s="218">
        <f>-CashFlow!AK$5+Operating!AK$72+IF(33=DispoMonth,StaticNetSaleUnlev,0)</f>
        <v/>
      </c>
      <c r="AL39" s="218">
        <f>-CashFlow!AL$5+Operating!AL$72+IF(34=DispoMonth,StaticNetSaleUnlev,0)</f>
        <v/>
      </c>
      <c r="AM39" s="218">
        <f>-CashFlow!AM$5+Operating!AM$72+IF(35=DispoMonth,StaticNetSaleUnlev,0)</f>
        <v/>
      </c>
      <c r="AN39" s="218">
        <f>-CashFlow!AN$5+Operating!AN$72+IF(36=DispoMonth,StaticNetSaleUnlev,0)</f>
        <v/>
      </c>
      <c r="AO39" s="218">
        <f>-CashFlow!AO$5+Operating!AO$72+IF(37=DispoMonth,StaticNetSaleUnlev,0)</f>
        <v/>
      </c>
      <c r="AP39" s="218">
        <f>-CashFlow!AP$5+Operating!AP$72+IF(38=DispoMonth,StaticNetSaleUnlev,0)</f>
        <v/>
      </c>
      <c r="AQ39" s="218">
        <f>-CashFlow!AQ$5+Operating!AQ$72+IF(39=DispoMonth,StaticNetSaleUnlev,0)</f>
        <v/>
      </c>
      <c r="AR39" s="218">
        <f>-CashFlow!AR$5+Operating!AR$72+IF(40=DispoMonth,StaticNetSaleUnlev,0)</f>
        <v/>
      </c>
      <c r="AS39" s="218">
        <f>-CashFlow!AS$5+Operating!AS$72+IF(41=DispoMonth,StaticNetSaleUnlev,0)</f>
        <v/>
      </c>
      <c r="AT39" s="218">
        <f>-CashFlow!AT$5+Operating!AT$72+IF(42=DispoMonth,StaticNetSaleUnlev,0)</f>
        <v/>
      </c>
      <c r="AU39" s="218">
        <f>-CashFlow!AU$5+Operating!AU$72+IF(43=DispoMonth,StaticNetSaleUnlev,0)</f>
        <v/>
      </c>
      <c r="AV39" s="218">
        <f>-CashFlow!AV$5+Operating!AV$72+IF(44=DispoMonth,StaticNetSaleUnlev,0)</f>
        <v/>
      </c>
      <c r="AW39" s="218">
        <f>-CashFlow!AW$5+Operating!AW$72+IF(45=DispoMonth,StaticNetSaleUnlev,0)</f>
        <v/>
      </c>
      <c r="AX39" s="218">
        <f>-CashFlow!AX$5+Operating!AX$72+IF(46=DispoMonth,StaticNetSaleUnlev,0)</f>
        <v/>
      </c>
      <c r="AY39" s="218">
        <f>-CashFlow!AY$5+Operating!AY$72+IF(47=DispoMonth,StaticNetSaleUnlev,0)</f>
        <v/>
      </c>
      <c r="AZ39" s="218">
        <f>-CashFlow!AZ$5+Operating!AZ$72+IF(48=DispoMonth,StaticNetSaleUnlev,0)</f>
        <v/>
      </c>
      <c r="BA39" s="218">
        <f>-CashFlow!BA$5+Operating!BA$72+IF(49=DispoMonth,StaticNetSaleUnlev,0)</f>
        <v/>
      </c>
      <c r="BB39" s="218">
        <f>-CashFlow!BB$5+Operating!BB$72+IF(50=DispoMonth,StaticNetSaleUnlev,0)</f>
        <v/>
      </c>
      <c r="BC39" s="218">
        <f>-CashFlow!BC$5+Operating!BC$72+IF(51=DispoMonth,StaticNetSaleUnlev,0)</f>
        <v/>
      </c>
      <c r="BD39" s="218">
        <f>-CashFlow!BD$5+Operating!BD$72+IF(52=DispoMonth,StaticNetSaleUnlev,0)</f>
        <v/>
      </c>
      <c r="BE39" s="218">
        <f>-CashFlow!BE$5+Operating!BE$72+IF(53=DispoMonth,StaticNetSaleUnlev,0)</f>
        <v/>
      </c>
      <c r="BF39" s="218">
        <f>-CashFlow!BF$5+Operating!BF$72+IF(54=DispoMonth,StaticNetSaleUnlev,0)</f>
        <v/>
      </c>
      <c r="BG39" s="218">
        <f>-CashFlow!BG$5+Operating!BG$72+IF(55=DispoMonth,StaticNetSaleUnlev,0)</f>
        <v/>
      </c>
      <c r="BH39" s="218">
        <f>-CashFlow!BH$5+Operating!BH$72+IF(56=DispoMonth,StaticNetSaleUnlev,0)</f>
        <v/>
      </c>
      <c r="BI39" s="218">
        <f>-CashFlow!BI$5+Operating!BI$72+IF(57=DispoMonth,StaticNetSaleUnlev,0)</f>
        <v/>
      </c>
      <c r="BJ39" s="218">
        <f>-CashFlow!BJ$5+Operating!BJ$72+IF(58=DispoMonth,StaticNetSaleUnlev,0)</f>
        <v/>
      </c>
      <c r="BK39" s="218">
        <f>-CashFlow!BK$5+Operating!BK$72+IF(59=DispoMonth,StaticNetSaleUnlev,0)</f>
        <v/>
      </c>
      <c r="BL39" s="218">
        <f>-CashFlow!BL$5+Operating!BL$72+IF(60=DispoMonth,StaticNetSaleUnlev,0)</f>
        <v/>
      </c>
      <c r="BM39" s="218">
        <f>-CashFlow!BM$5+Operating!BM$72+IF(61=DispoMonth,StaticNetSaleUnlev,0)</f>
        <v/>
      </c>
      <c r="BN39" s="218">
        <f>-CashFlow!BN$5+Operating!BN$72+IF(62=DispoMonth,StaticNetSaleUnlev,0)</f>
        <v/>
      </c>
      <c r="BO39" s="218">
        <f>-CashFlow!BO$5+Operating!BO$72+IF(63=DispoMonth,StaticNetSaleUnlev,0)</f>
        <v/>
      </c>
      <c r="BP39" s="218">
        <f>-CashFlow!BP$5+Operating!BP$72+IF(64=DispoMonth,StaticNetSaleUnlev,0)</f>
        <v/>
      </c>
      <c r="BQ39" s="218">
        <f>-CashFlow!BQ$5+Operating!BQ$72+IF(65=DispoMonth,StaticNetSaleUnlev,0)</f>
        <v/>
      </c>
      <c r="BR39" s="218">
        <f>-CashFlow!BR$5+Operating!BR$72+IF(66=DispoMonth,StaticNetSaleUnlev,0)</f>
        <v/>
      </c>
      <c r="BS39" s="218">
        <f>-CashFlow!BS$5+Operating!BS$72+IF(67=DispoMonth,StaticNetSaleUnlev,0)</f>
        <v/>
      </c>
      <c r="BT39" s="218">
        <f>-CashFlow!BT$5+Operating!BT$72+IF(68=DispoMonth,StaticNetSaleUnlev,0)</f>
        <v/>
      </c>
      <c r="BU39" s="218">
        <f>-CashFlow!BU$5+Operating!BU$72+IF(69=DispoMonth,StaticNetSaleUnlev,0)</f>
        <v/>
      </c>
      <c r="BV39" s="218">
        <f>-CashFlow!BV$5+Operating!BV$72+IF(70=DispoMonth,StaticNetSaleUnlev,0)</f>
        <v/>
      </c>
      <c r="BW39" s="218">
        <f>-CashFlow!BW$5+Operating!BW$72+IF(71=DispoMonth,StaticNetSaleUnlev,0)</f>
        <v/>
      </c>
      <c r="BX39" s="218">
        <f>-CashFlow!BX$5+Operating!BX$72+IF(72=DispoMonth,StaticNetSaleUnlev,0)</f>
        <v/>
      </c>
      <c r="BY39" s="218">
        <f>-CashFlow!BY$5+Operating!BY$72+IF(73=DispoMonth,StaticNetSaleUnlev,0)</f>
        <v/>
      </c>
      <c r="BZ39" s="218">
        <f>-CashFlow!BZ$5+Operating!BZ$72+IF(74=DispoMonth,StaticNetSaleUnlev,0)</f>
        <v/>
      </c>
      <c r="CA39" s="218">
        <f>-CashFlow!CA$5+Operating!CA$72+IF(75=DispoMonth,StaticNetSaleUnlev,0)</f>
        <v/>
      </c>
      <c r="CB39" s="218">
        <f>-CashFlow!CB$5+Operating!CB$72+IF(76=DispoMonth,StaticNetSaleUnlev,0)</f>
        <v/>
      </c>
      <c r="CC39" s="218">
        <f>-CashFlow!CC$5+Operating!CC$72+IF(77=DispoMonth,StaticNetSaleUnlev,0)</f>
        <v/>
      </c>
      <c r="CD39" s="218">
        <f>-CashFlow!CD$5+Operating!CD$72+IF(78=DispoMonth,StaticNetSaleUnlev,0)</f>
        <v/>
      </c>
      <c r="CE39" s="218">
        <f>-CashFlow!CE$5+Operating!CE$72+IF(79=DispoMonth,StaticNetSaleUnlev,0)</f>
        <v/>
      </c>
      <c r="CF39" s="218">
        <f>-CashFlow!CF$5+Operating!CF$72+IF(80=DispoMonth,StaticNetSaleUnlev,0)</f>
        <v/>
      </c>
      <c r="CG39" s="218">
        <f>-CashFlow!CG$5+Operating!CG$72+IF(81=DispoMonth,StaticNetSaleUnlev,0)</f>
        <v/>
      </c>
      <c r="CH39" s="218">
        <f>-CashFlow!CH$5+Operating!CH$72+IF(82=DispoMonth,StaticNetSaleUnlev,0)</f>
        <v/>
      </c>
      <c r="CI39" s="218">
        <f>-CashFlow!CI$5+Operating!CI$72+IF(83=DispoMonth,StaticNetSaleUnlev,0)</f>
        <v/>
      </c>
      <c r="CJ39" s="218">
        <f>-CashFlow!CJ$5+Operating!CJ$72+IF(84=DispoMonth,StaticNetSaleUnlev,0)</f>
        <v/>
      </c>
      <c r="CK39" s="218">
        <f>-CashFlow!CK$5+Operating!CK$72+IF(85=DispoMonth,StaticNetSaleUnlev,0)</f>
        <v/>
      </c>
      <c r="CL39" s="218">
        <f>-CashFlow!CL$5+Operating!CL$72+IF(86=DispoMonth,StaticNetSaleUnlev,0)</f>
        <v/>
      </c>
      <c r="CM39" s="218">
        <f>-CashFlow!CM$5+Operating!CM$72+IF(87=DispoMonth,StaticNetSaleUnlev,0)</f>
        <v/>
      </c>
      <c r="CN39" s="218">
        <f>-CashFlow!CN$5+Operating!CN$72+IF(88=DispoMonth,StaticNetSaleUnlev,0)</f>
        <v/>
      </c>
      <c r="CO39" s="218">
        <f>-CashFlow!CO$5+Operating!CO$72+IF(89=DispoMonth,StaticNetSaleUnlev,0)</f>
        <v/>
      </c>
      <c r="CP39" s="218">
        <f>-CashFlow!CP$5+Operating!CP$72+IF(90=DispoMonth,StaticNetSaleUnlev,0)</f>
        <v/>
      </c>
      <c r="CQ39" s="218">
        <f>-CashFlow!CQ$5+Operating!CQ$72+IF(91=DispoMonth,StaticNetSaleUnlev,0)</f>
        <v/>
      </c>
      <c r="CR39" s="218">
        <f>-CashFlow!CR$5+Operating!CR$72+IF(92=DispoMonth,StaticNetSaleUnlev,0)</f>
        <v/>
      </c>
      <c r="CS39" s="218">
        <f>-CashFlow!CS$5+Operating!CS$72+IF(93=DispoMonth,StaticNetSaleUnlev,0)</f>
        <v/>
      </c>
      <c r="CT39" s="218">
        <f>-CashFlow!CT$5+Operating!CT$72+IF(94=DispoMonth,StaticNetSaleUnlev,0)</f>
        <v/>
      </c>
      <c r="CU39" s="218">
        <f>-CashFlow!CU$5+Operating!CU$72+IF(95=DispoMonth,StaticNetSaleUnlev,0)</f>
        <v/>
      </c>
      <c r="CV39" s="218">
        <f>-CashFlow!CV$5+Operating!CV$72+IF(96=DispoMonth,StaticNetSaleUnlev,0)</f>
        <v/>
      </c>
      <c r="CW39" s="218">
        <f>-CashFlow!CW$5+Operating!CW$72+IF(97=DispoMonth,StaticNetSaleUnlev,0)</f>
        <v/>
      </c>
      <c r="CX39" s="218">
        <f>-CashFlow!CX$5+Operating!CX$72+IF(98=DispoMonth,StaticNetSaleUnlev,0)</f>
        <v/>
      </c>
      <c r="CY39" s="218">
        <f>-CashFlow!CY$5+Operating!CY$72+IF(99=DispoMonth,StaticNetSaleUnlev,0)</f>
        <v/>
      </c>
      <c r="CZ39" s="218">
        <f>-CashFlow!CZ$5+Operating!CZ$72+IF(100=DispoMonth,StaticNetSaleUnlev,0)</f>
        <v/>
      </c>
      <c r="DA39" s="218">
        <f>-CashFlow!DA$5+Operating!DA$72+IF(101=DispoMonth,StaticNetSaleUnlev,0)</f>
        <v/>
      </c>
      <c r="DB39" s="218">
        <f>-CashFlow!DB$5+Operating!DB$72+IF(102=DispoMonth,StaticNetSaleUnlev,0)</f>
        <v/>
      </c>
      <c r="DC39" s="218">
        <f>-CashFlow!DC$5+Operating!DC$72+IF(103=DispoMonth,StaticNetSaleUnlev,0)</f>
        <v/>
      </c>
      <c r="DD39" s="218">
        <f>-CashFlow!DD$5+Operating!DD$72+IF(104=DispoMonth,StaticNetSaleUnlev,0)</f>
        <v/>
      </c>
      <c r="DE39" s="218">
        <f>-CashFlow!DE$5+Operating!DE$72+IF(105=DispoMonth,StaticNetSaleUnlev,0)</f>
        <v/>
      </c>
      <c r="DF39" s="218">
        <f>-CashFlow!DF$5+Operating!DF$72+IF(106=DispoMonth,StaticNetSaleUnlev,0)</f>
        <v/>
      </c>
      <c r="DG39" s="218">
        <f>-CashFlow!DG$5+Operating!DG$72+IF(107=DispoMonth,StaticNetSaleUnlev,0)</f>
        <v/>
      </c>
      <c r="DH39" s="218">
        <f>-CashFlow!DH$5+Operating!DH$72+IF(108=DispoMonth,StaticNetSaleUnlev,0)</f>
        <v/>
      </c>
      <c r="DI39" s="218">
        <f>-CashFlow!DI$5+Operating!DI$72+IF(109=DispoMonth,StaticNetSaleUnlev,0)</f>
        <v/>
      </c>
      <c r="DJ39" s="218">
        <f>-CashFlow!DJ$5+Operating!DJ$72+IF(110=DispoMonth,StaticNetSaleUnlev,0)</f>
        <v/>
      </c>
      <c r="DK39" s="218">
        <f>-CashFlow!DK$5+Operating!DK$72+IF(111=DispoMonth,StaticNetSaleUnlev,0)</f>
        <v/>
      </c>
      <c r="DL39" s="218">
        <f>-CashFlow!DL$5+Operating!DL$72+IF(112=DispoMonth,StaticNetSaleUnlev,0)</f>
        <v/>
      </c>
      <c r="DM39" s="218">
        <f>-CashFlow!DM$5+Operating!DM$72+IF(113=DispoMonth,StaticNetSaleUnlev,0)</f>
        <v/>
      </c>
      <c r="DN39" s="218">
        <f>-CashFlow!DN$5+Operating!DN$72+IF(114=DispoMonth,StaticNetSaleUnlev,0)</f>
        <v/>
      </c>
      <c r="DO39" s="218">
        <f>-CashFlow!DO$5+Operating!DO$72+IF(115=DispoMonth,StaticNetSaleUnlev,0)</f>
        <v/>
      </c>
      <c r="DP39" s="218">
        <f>-CashFlow!DP$5+Operating!DP$72+IF(116=DispoMonth,StaticNetSaleUnlev,0)</f>
        <v/>
      </c>
      <c r="DQ39" s="218">
        <f>-CashFlow!DQ$5+Operating!DQ$72+IF(117=DispoMonth,StaticNetSaleUnlev,0)</f>
        <v/>
      </c>
      <c r="DR39" s="218">
        <f>-CashFlow!DR$5+Operating!DR$72+IF(118=DispoMonth,StaticNetSaleUnlev,0)</f>
        <v/>
      </c>
      <c r="DS39" s="218">
        <f>-CashFlow!DS$5+Operating!DS$72+IF(119=DispoMonth,StaticNetSaleUnlev,0)</f>
        <v/>
      </c>
      <c r="DT39" s="218">
        <f>-CashFlow!DT$5+Operating!DT$72+IF(120=DispoMonth,StaticNetSaleUnlev,0)</f>
        <v/>
      </c>
      <c r="DU39" s="218">
        <f>-CashFlow!DU$5+Operating!DU$72+IF(121=DispoMonth,StaticNetSaleUnlev,0)</f>
        <v/>
      </c>
      <c r="DV39" s="218">
        <f>-CashFlow!DV$5+Operating!DV$72+IF(122=DispoMonth,StaticNetSaleUnlev,0)</f>
        <v/>
      </c>
      <c r="DW39" s="218">
        <f>-CashFlow!DW$5+Operating!DW$72+IF(123=DispoMonth,StaticNetSaleUnlev,0)</f>
        <v/>
      </c>
      <c r="DX39" s="218">
        <f>-CashFlow!DX$5+Operating!DX$72+IF(124=DispoMonth,StaticNetSaleUnlev,0)</f>
        <v/>
      </c>
      <c r="DY39" s="218">
        <f>-CashFlow!DY$5+Operating!DY$72+IF(125=DispoMonth,StaticNetSaleUnlev,0)</f>
        <v/>
      </c>
      <c r="DZ39" s="218">
        <f>-CashFlow!DZ$5+Operating!DZ$72+IF(126=DispoMonth,StaticNetSaleUnlev,0)</f>
        <v/>
      </c>
      <c r="EA39" s="218">
        <f>-CashFlow!EA$5+Operating!EA$72+IF(127=DispoMonth,StaticNetSaleUnlev,0)</f>
        <v/>
      </c>
      <c r="EB39" s="218">
        <f>-CashFlow!EB$5+Operating!EB$72+IF(128=DispoMonth,StaticNetSaleUnlev,0)</f>
        <v/>
      </c>
      <c r="EC39" s="218">
        <f>-CashFlow!EC$5+Operating!EC$72+IF(129=DispoMonth,StaticNetSaleUnlev,0)</f>
        <v/>
      </c>
      <c r="ED39" s="218">
        <f>-CashFlow!ED$5+Operating!ED$72+IF(130=DispoMonth,StaticNetSaleUnlev,0)</f>
        <v/>
      </c>
      <c r="EE39" s="218">
        <f>-CashFlow!EE$5+Operating!EE$72+IF(131=DispoMonth,StaticNetSaleUnlev,0)</f>
        <v/>
      </c>
      <c r="EF39" s="218">
        <f>-CashFlow!EF$5+Operating!EF$72+IF(132=DispoMonth,StaticNetSaleUnlev,0)</f>
        <v/>
      </c>
      <c r="EG39" s="218">
        <f>-CashFlow!EG$5+Operating!EG$72+IF(133=DispoMonth,StaticNetSaleUnlev,0)</f>
        <v/>
      </c>
      <c r="EH39" s="218">
        <f>-CashFlow!EH$5+Operating!EH$72+IF(134=DispoMonth,StaticNetSaleUnlev,0)</f>
        <v/>
      </c>
      <c r="EI39" s="218">
        <f>-CashFlow!EI$5+Operating!EI$72+IF(135=DispoMonth,StaticNetSaleUnlev,0)</f>
        <v/>
      </c>
      <c r="EJ39" s="218">
        <f>-CashFlow!EJ$5+Operating!EJ$72+IF(136=DispoMonth,StaticNetSaleUnlev,0)</f>
        <v/>
      </c>
      <c r="EK39" s="218">
        <f>-CashFlow!EK$5+Operating!EK$72+IF(137=DispoMonth,StaticNetSaleUnlev,0)</f>
        <v/>
      </c>
      <c r="EL39" s="218">
        <f>-CashFlow!EL$5+Operating!EL$72+IF(138=DispoMonth,StaticNetSaleUnlev,0)</f>
        <v/>
      </c>
      <c r="EM39" s="218">
        <f>-CashFlow!EM$5+Operating!EM$72+IF(139=DispoMonth,StaticNetSaleUnlev,0)</f>
        <v/>
      </c>
      <c r="EN39" s="218">
        <f>-CashFlow!EN$5+Operating!EN$72+IF(140=DispoMonth,StaticNetSaleUnlev,0)</f>
        <v/>
      </c>
      <c r="EO39" s="218">
        <f>-CashFlow!EO$5+Operating!EO$72+IF(141=DispoMonth,StaticNetSaleUnlev,0)</f>
        <v/>
      </c>
      <c r="EP39" s="218">
        <f>-CashFlow!EP$5+Operating!EP$72+IF(142=DispoMonth,StaticNetSaleUnlev,0)</f>
        <v/>
      </c>
      <c r="EQ39" s="218">
        <f>-CashFlow!EQ$5+Operating!EQ$72+IF(143=DispoMonth,StaticNetSaleUnlev,0)</f>
        <v/>
      </c>
      <c r="ER39" s="218">
        <f>-CashFlow!ER$5+Operating!ER$72+IF(144=DispoMonth,StaticNetSaleUnlev,0)</f>
        <v/>
      </c>
      <c r="ES39" s="218">
        <f>-CashFlow!ES$5+Operating!ES$72+IF(145=DispoMonth,StaticNetSaleUnlev,0)</f>
        <v/>
      </c>
      <c r="ET39" s="218">
        <f>-CashFlow!ET$5+Operating!ET$72+IF(146=DispoMonth,StaticNetSaleUnlev,0)</f>
        <v/>
      </c>
      <c r="EU39" s="218">
        <f>-CashFlow!EU$5+Operating!EU$72+IF(147=DispoMonth,StaticNetSaleUnlev,0)</f>
        <v/>
      </c>
      <c r="EV39" s="218">
        <f>-CashFlow!EV$5+Operating!EV$72+IF(148=DispoMonth,StaticNetSaleUnlev,0)</f>
        <v/>
      </c>
      <c r="EW39" s="218">
        <f>-CashFlow!EW$5+Operating!EW$72+IF(149=DispoMonth,StaticNetSaleUnlev,0)</f>
        <v/>
      </c>
      <c r="EX39" s="218">
        <f>-CashFlow!EX$5+Operating!EX$72+IF(150=DispoMonth,StaticNetSaleUnlev,0)</f>
        <v/>
      </c>
      <c r="EY39" s="218">
        <f>-CashFlow!EY$5+Operating!EY$72+IF(151=DispoMonth,StaticNetSaleUnlev,0)</f>
        <v/>
      </c>
      <c r="EZ39" s="218">
        <f>-CashFlow!EZ$5+Operating!EZ$72+IF(152=DispoMonth,StaticNetSaleUnlev,0)</f>
        <v/>
      </c>
      <c r="FA39" s="218">
        <f>-CashFlow!FA$5+Operating!FA$72+IF(153=DispoMonth,StaticNetSaleUnlev,0)</f>
        <v/>
      </c>
      <c r="FB39" s="218">
        <f>-CashFlow!FB$5+Operating!FB$72+IF(154=DispoMonth,StaticNetSaleUnlev,0)</f>
        <v/>
      </c>
      <c r="FC39" s="218">
        <f>-CashFlow!FC$5+Operating!FC$72+IF(155=DispoMonth,StaticNetSaleUnlev,0)</f>
        <v/>
      </c>
      <c r="FD39" s="218">
        <f>-CashFlow!FD$5+Operating!FD$72+IF(156=DispoMonth,StaticNetSaleUnlev,0)</f>
        <v/>
      </c>
      <c r="FE39" s="218">
        <f>-CashFlow!FE$5+Operating!FE$72+IF(157=DispoMonth,StaticNetSaleUnlev,0)</f>
        <v/>
      </c>
      <c r="FF39" s="218">
        <f>-CashFlow!FF$5+Operating!FF$72+IF(158=DispoMonth,StaticNetSaleUnlev,0)</f>
        <v/>
      </c>
      <c r="FG39" s="218">
        <f>-CashFlow!FG$5+Operating!FG$72+IF(159=DispoMonth,StaticNetSaleUnlev,0)</f>
        <v/>
      </c>
      <c r="FH39" s="218">
        <f>-CashFlow!FH$5+Operating!FH$72+IF(160=DispoMonth,StaticNetSaleUnlev,0)</f>
        <v/>
      </c>
      <c r="FI39" s="218">
        <f>-CashFlow!FI$5+Operating!FI$72+IF(161=DispoMonth,StaticNetSaleUnlev,0)</f>
        <v/>
      </c>
      <c r="FJ39" s="218">
        <f>-CashFlow!FJ$5+Operating!FJ$72+IF(162=DispoMonth,StaticNetSaleUnlev,0)</f>
        <v/>
      </c>
      <c r="FK39" s="218">
        <f>-CashFlow!FK$5+Operating!FK$72+IF(163=DispoMonth,StaticNetSaleUnlev,0)</f>
        <v/>
      </c>
      <c r="FL39" s="218">
        <f>-CashFlow!FL$5+Operating!FL$72+IF(164=DispoMonth,StaticNetSaleUnlev,0)</f>
        <v/>
      </c>
      <c r="FM39" s="218">
        <f>-CashFlow!FM$5+Operating!FM$72+IF(165=DispoMonth,StaticNetSaleUnlev,0)</f>
        <v/>
      </c>
      <c r="FN39" s="218">
        <f>-CashFlow!FN$5+Operating!FN$72+IF(166=DispoMonth,StaticNetSaleUnlev,0)</f>
        <v/>
      </c>
      <c r="FO39" s="218">
        <f>-CashFlow!FO$5+Operating!FO$72+IF(167=DispoMonth,StaticNetSaleUnlev,0)</f>
        <v/>
      </c>
      <c r="FP39" s="218">
        <f>-CashFlow!FP$5+Operating!FP$72+IF(168=DispoMonth,StaticNetSaleUnlev,0)</f>
        <v/>
      </c>
      <c r="FQ39" s="218">
        <f>-CashFlow!FQ$5+Operating!FQ$72+IF(169=DispoMonth,StaticNetSaleUnlev,0)</f>
        <v/>
      </c>
      <c r="FR39" s="218">
        <f>-CashFlow!FR$5+Operating!FR$72+IF(170=DispoMonth,StaticNetSaleUnlev,0)</f>
        <v/>
      </c>
      <c r="FS39" s="218">
        <f>-CashFlow!FS$5+Operating!FS$72+IF(171=DispoMonth,StaticNetSaleUnlev,0)</f>
        <v/>
      </c>
      <c r="FT39" s="218">
        <f>-CashFlow!FT$5+Operating!FT$72+IF(172=DispoMonth,StaticNetSaleUnlev,0)</f>
        <v/>
      </c>
      <c r="FU39" s="218">
        <f>-CashFlow!FU$5+Operating!FU$72+IF(173=DispoMonth,StaticNetSaleUnlev,0)</f>
        <v/>
      </c>
      <c r="FV39" s="218">
        <f>-CashFlow!FV$5+Operating!FV$72+IF(174=DispoMonth,StaticNetSaleUnlev,0)</f>
        <v/>
      </c>
      <c r="FW39" s="218">
        <f>-CashFlow!FW$5+Operating!FW$72+IF(175=DispoMonth,StaticNetSaleUnlev,0)</f>
        <v/>
      </c>
      <c r="FX39" s="218">
        <f>-CashFlow!FX$5+Operating!FX$72+IF(176=DispoMonth,StaticNetSaleUnlev,0)</f>
        <v/>
      </c>
      <c r="FY39" s="218">
        <f>-CashFlow!FY$5+Operating!FY$72+IF(177=DispoMonth,StaticNetSaleUnlev,0)</f>
        <v/>
      </c>
      <c r="FZ39" s="218">
        <f>-CashFlow!FZ$5+Operating!FZ$72+IF(178=DispoMonth,StaticNetSaleUnlev,0)</f>
        <v/>
      </c>
      <c r="GA39" s="218">
        <f>-CashFlow!GA$5+Operating!GA$72+IF(179=DispoMonth,StaticNetSaleUnlev,0)</f>
        <v/>
      </c>
      <c r="GB39" s="218">
        <f>-CashFlow!GB$5+Operating!GB$72+IF(180=DispoMonth,StaticNetSaleUnlev,0)</f>
        <v/>
      </c>
      <c r="GC39" s="218">
        <f>-CashFlow!GC$5+Operating!GC$72+IF(181=DispoMonth,StaticNetSaleUnlev,0)</f>
        <v/>
      </c>
      <c r="GD39" s="218">
        <f>-CashFlow!GD$5+Operating!GD$72+IF(182=DispoMonth,StaticNetSaleUnlev,0)</f>
        <v/>
      </c>
      <c r="GE39" s="218">
        <f>-CashFlow!GE$5+Operating!GE$72+IF(183=DispoMonth,StaticNetSaleUnlev,0)</f>
        <v/>
      </c>
      <c r="GF39" s="218">
        <f>-CashFlow!GF$5+Operating!GF$72+IF(184=DispoMonth,StaticNetSaleUnlev,0)</f>
        <v/>
      </c>
      <c r="GG39" s="218">
        <f>-CashFlow!GG$5+Operating!GG$72+IF(185=DispoMonth,StaticNetSaleUnlev,0)</f>
        <v/>
      </c>
      <c r="GH39" s="218">
        <f>-CashFlow!GH$5+Operating!GH$72+IF(186=DispoMonth,StaticNetSaleUnlev,0)</f>
        <v/>
      </c>
      <c r="GI39" s="218">
        <f>-CashFlow!GI$5+Operating!GI$72+IF(187=DispoMonth,StaticNetSaleUnlev,0)</f>
        <v/>
      </c>
      <c r="GJ39" s="218">
        <f>-CashFlow!GJ$5+Operating!GJ$72+IF(188=DispoMonth,StaticNetSaleUnlev,0)</f>
        <v/>
      </c>
      <c r="GK39" s="218">
        <f>-CashFlow!GK$5+Operating!GK$72+IF(189=DispoMonth,StaticNetSaleUnlev,0)</f>
        <v/>
      </c>
      <c r="GL39" s="218">
        <f>-CashFlow!GL$5+Operating!GL$72+IF(190=DispoMonth,StaticNetSaleUnlev,0)</f>
        <v/>
      </c>
      <c r="GM39" s="218">
        <f>-CashFlow!GM$5+Operating!GM$72+IF(191=DispoMonth,StaticNetSaleUnlev,0)</f>
        <v/>
      </c>
      <c r="GN39" s="218">
        <f>-CashFlow!GN$5+Operating!GN$72+IF(192=DispoMonth,StaticNetSaleUnlev,0)</f>
        <v/>
      </c>
      <c r="GO39" s="218">
        <f>-CashFlow!GO$5+Operating!GO$72+IF(193=DispoMonth,StaticNetSaleUnlev,0)</f>
        <v/>
      </c>
      <c r="GP39" s="218">
        <f>-CashFlow!GP$5+Operating!GP$72+IF(194=DispoMonth,StaticNetSaleUnlev,0)</f>
        <v/>
      </c>
      <c r="GQ39" s="218">
        <f>-CashFlow!GQ$5+Operating!GQ$72+IF(195=DispoMonth,StaticNetSaleUnlev,0)</f>
        <v/>
      </c>
      <c r="GR39" s="218">
        <f>-CashFlow!GR$5+Operating!GR$72+IF(196=DispoMonth,StaticNetSaleUnlev,0)</f>
        <v/>
      </c>
      <c r="GS39" s="218">
        <f>-CashFlow!GS$5+Operating!GS$72+IF(197=DispoMonth,StaticNetSaleUnlev,0)</f>
        <v/>
      </c>
      <c r="GT39" s="218">
        <f>-CashFlow!GT$5+Operating!GT$72+IF(198=DispoMonth,StaticNetSaleUnlev,0)</f>
        <v/>
      </c>
      <c r="GU39" s="218">
        <f>-CashFlow!GU$5+Operating!GU$72+IF(199=DispoMonth,StaticNetSaleUnlev,0)</f>
        <v/>
      </c>
      <c r="GV39" s="218">
        <f>-CashFlow!GV$5+Operating!GV$72+IF(200=DispoMonth,StaticNetSaleUnlev,0)</f>
        <v/>
      </c>
      <c r="GW39" s="218">
        <f>-CashFlow!GW$5+Operating!GW$72+IF(201=DispoMonth,StaticNetSaleUnlev,0)</f>
        <v/>
      </c>
      <c r="GX39" s="218">
        <f>-CashFlow!GX$5+Operating!GX$72+IF(202=DispoMonth,StaticNetSaleUnlev,0)</f>
        <v/>
      </c>
      <c r="GY39" s="218">
        <f>-CashFlow!GY$5+Operating!GY$72+IF(203=DispoMonth,StaticNetSaleUnlev,0)</f>
        <v/>
      </c>
      <c r="GZ39" s="218">
        <f>-CashFlow!GZ$5+Operating!GZ$72+IF(204=DispoMonth,StaticNetSaleUnlev,0)</f>
        <v/>
      </c>
      <c r="HA39" s="218">
        <f>-CashFlow!HA$5+Operating!HA$72+IF(205=DispoMonth,StaticNetSaleUnlev,0)</f>
        <v/>
      </c>
      <c r="HB39" s="218">
        <f>-CashFlow!HB$5+Operating!HB$72+IF(206=DispoMonth,StaticNetSaleUnlev,0)</f>
        <v/>
      </c>
      <c r="HC39" s="218">
        <f>-CashFlow!HC$5+Operating!HC$72+IF(207=DispoMonth,StaticNetSaleUnlev,0)</f>
        <v/>
      </c>
      <c r="HD39" s="218">
        <f>-CashFlow!HD$5+Operating!HD$72+IF(208=DispoMonth,StaticNetSaleUnlev,0)</f>
        <v/>
      </c>
      <c r="HE39" s="218">
        <f>-CashFlow!HE$5+Operating!HE$72+IF(209=DispoMonth,StaticNetSaleUnlev,0)</f>
        <v/>
      </c>
      <c r="HF39" s="218">
        <f>-CashFlow!HF$5+Operating!HF$72+IF(210=DispoMonth,StaticNetSaleUnlev,0)</f>
        <v/>
      </c>
      <c r="HG39" s="218">
        <f>-CashFlow!HG$5+Operating!HG$72+IF(211=DispoMonth,StaticNetSaleUnlev,0)</f>
        <v/>
      </c>
      <c r="HH39" s="218">
        <f>-CashFlow!HH$5+Operating!HH$72+IF(212=DispoMonth,StaticNetSaleUnlev,0)</f>
        <v/>
      </c>
      <c r="HI39" s="218">
        <f>-CashFlow!HI$5+Operating!HI$72+IF(213=DispoMonth,StaticNetSaleUnlev,0)</f>
        <v/>
      </c>
      <c r="HJ39" s="218">
        <f>-CashFlow!HJ$5+Operating!HJ$72+IF(214=DispoMonth,StaticNetSaleUnlev,0)</f>
        <v/>
      </c>
      <c r="HK39" s="218">
        <f>-CashFlow!HK$5+Operating!HK$72+IF(215=DispoMonth,StaticNetSaleUnlev,0)</f>
        <v/>
      </c>
      <c r="HL39" s="218">
        <f>-CashFlow!HL$5+Operating!HL$72+IF(216=DispoMonth,StaticNetSaleUnlev,0)</f>
        <v/>
      </c>
      <c r="HM39" s="218">
        <f>-CashFlow!HM$5+Operating!HM$72+IF(217=DispoMonth,StaticNetSaleUnlev,0)</f>
        <v/>
      </c>
      <c r="HN39" s="218">
        <f>-CashFlow!HN$5+Operating!HN$72+IF(218=DispoMonth,StaticNetSaleUnlev,0)</f>
        <v/>
      </c>
      <c r="HO39" s="218">
        <f>-CashFlow!HO$5+Operating!HO$72+IF(219=DispoMonth,StaticNetSaleUnlev,0)</f>
        <v/>
      </c>
      <c r="HP39" s="218">
        <f>-CashFlow!HP$5+Operating!HP$72+IF(220=DispoMonth,StaticNetSaleUnlev,0)</f>
        <v/>
      </c>
      <c r="HQ39" s="218">
        <f>-CashFlow!HQ$5+Operating!HQ$72+IF(221=DispoMonth,StaticNetSaleUnlev,0)</f>
        <v/>
      </c>
      <c r="HR39" s="218">
        <f>-CashFlow!HR$5+Operating!HR$72+IF(222=DispoMonth,StaticNetSaleUnlev,0)</f>
        <v/>
      </c>
      <c r="HS39" s="218">
        <f>-CashFlow!HS$5+Operating!HS$72+IF(223=DispoMonth,StaticNetSaleUnlev,0)</f>
        <v/>
      </c>
      <c r="HT39" s="218">
        <f>-CashFlow!HT$5+Operating!HT$72+IF(224=DispoMonth,StaticNetSaleUnlev,0)</f>
        <v/>
      </c>
      <c r="HU39" s="218">
        <f>-CashFlow!HU$5+Operating!HU$72+IF(225=DispoMonth,StaticNetSaleUnlev,0)</f>
        <v/>
      </c>
      <c r="HV39" s="218">
        <f>-CashFlow!HV$5+Operating!HV$72+IF(226=DispoMonth,StaticNetSaleUnlev,0)</f>
        <v/>
      </c>
      <c r="HW39" s="218">
        <f>-CashFlow!HW$5+Operating!HW$72+IF(227=DispoMonth,StaticNetSaleUnlev,0)</f>
        <v/>
      </c>
      <c r="HX39" s="218">
        <f>-CashFlow!HX$5+Operating!HX$72+IF(228=DispoMonth,StaticNetSaleUnlev,0)</f>
        <v/>
      </c>
      <c r="HY39" s="218">
        <f>-CashFlow!HY$5+Operating!HY$72+IF(229=DispoMonth,StaticNetSaleUnlev,0)</f>
        <v/>
      </c>
      <c r="HZ39" s="218">
        <f>-CashFlow!HZ$5+Operating!HZ$72+IF(230=DispoMonth,StaticNetSaleUnlev,0)</f>
        <v/>
      </c>
      <c r="IA39" s="218">
        <f>-CashFlow!IA$5+Operating!IA$72+IF(231=DispoMonth,StaticNetSaleUnlev,0)</f>
        <v/>
      </c>
      <c r="IB39" s="218">
        <f>-CashFlow!IB$5+Operating!IB$72+IF(232=DispoMonth,StaticNetSaleUnlev,0)</f>
        <v/>
      </c>
      <c r="IC39" s="218">
        <f>-CashFlow!IC$5+Operating!IC$72+IF(233=DispoMonth,StaticNetSaleUnlev,0)</f>
        <v/>
      </c>
      <c r="ID39" s="218">
        <f>-CashFlow!ID$5+Operating!ID$72+IF(234=DispoMonth,StaticNetSaleUnlev,0)</f>
        <v/>
      </c>
      <c r="IE39" s="218">
        <f>-CashFlow!IE$5+Operating!IE$72+IF(235=DispoMonth,StaticNetSaleUnlev,0)</f>
        <v/>
      </c>
      <c r="IF39" s="218">
        <f>-CashFlow!IF$5+Operating!IF$72+IF(236=DispoMonth,StaticNetSaleUnlev,0)</f>
        <v/>
      </c>
      <c r="IG39" s="218">
        <f>-CashFlow!IG$5+Operating!IG$72+IF(237=DispoMonth,StaticNetSaleUnlev,0)</f>
        <v/>
      </c>
      <c r="IH39" s="218">
        <f>-CashFlow!IH$5+Operating!IH$72+IF(238=DispoMonth,StaticNetSaleUnlev,0)</f>
        <v/>
      </c>
      <c r="II39" s="218">
        <f>-CashFlow!II$5+Operating!II$72+IF(239=DispoMonth,StaticNetSaleUnlev,0)</f>
        <v/>
      </c>
      <c r="IJ39" s="218">
        <f>-CashFlow!IJ$5+Operating!IJ$72+IF(240=DispoMonth,StaticNetSaleUnlev,0)</f>
        <v/>
      </c>
      <c r="IK39" s="218">
        <f>-CashFlow!IK$5+Operating!IK$72+IF(241=DispoMonth,StaticNetSaleUnlev,0)</f>
        <v/>
      </c>
      <c r="IL39" s="218">
        <f>-CashFlow!IL$5+Operating!IL$72+IF(242=DispoMonth,StaticNetSaleUnlev,0)</f>
        <v/>
      </c>
      <c r="IM39" s="218">
        <f>-CashFlow!IM$5+Operating!IM$72+IF(243=DispoMonth,StaticNetSaleUnlev,0)</f>
        <v/>
      </c>
      <c r="IN39" s="218">
        <f>-CashFlow!IN$5+Operating!IN$72+IF(244=DispoMonth,StaticNetSaleUnlev,0)</f>
        <v/>
      </c>
      <c r="IO39" s="218">
        <f>-CashFlow!IO$5+Operating!IO$72+IF(245=DispoMonth,StaticNetSaleUnlev,0)</f>
        <v/>
      </c>
      <c r="IP39" s="218">
        <f>-CashFlow!IP$5+Operating!IP$72+IF(246=DispoMonth,StaticNetSaleUnlev,0)</f>
        <v/>
      </c>
      <c r="IQ39" s="218">
        <f>-CashFlow!IQ$5+Operating!IQ$72+IF(247=DispoMonth,StaticNetSaleUnlev,0)</f>
        <v/>
      </c>
      <c r="IR39" s="218">
        <f>-CashFlow!IR$5+Operating!IR$72+IF(248=DispoMonth,StaticNetSaleUnlev,0)</f>
        <v/>
      </c>
      <c r="IS39" s="218">
        <f>-CashFlow!IS$5+Operating!IS$72+IF(249=DispoMonth,StaticNetSaleUnlev,0)</f>
        <v/>
      </c>
      <c r="IT39" s="218">
        <f>-CashFlow!IT$5+Operating!IT$72+IF(250=DispoMonth,StaticNetSaleUnlev,0)</f>
        <v/>
      </c>
      <c r="IU39" s="218">
        <f>-CashFlow!IU$5+Operating!IU$72+IF(251=DispoMonth,StaticNetSaleUnlev,0)</f>
        <v/>
      </c>
      <c r="IV39" s="218">
        <f>-CashFlow!IV$5+Operating!IV$72+IF(252=DispoMonth,StaticNetSaleUnlev,0)</f>
        <v/>
      </c>
      <c r="IW39" s="218">
        <f>-CashFlow!IW$5+Operating!IW$72+IF(253=DispoMonth,StaticNetSaleUnlev,0)</f>
        <v/>
      </c>
      <c r="IX39" s="218">
        <f>-CashFlow!IX$5+Operating!IX$72+IF(254=DispoMonth,StaticNetSaleUnlev,0)</f>
        <v/>
      </c>
      <c r="IY39" s="218">
        <f>-CashFlow!IY$5+Operating!IY$72+IF(255=DispoMonth,StaticNetSaleUnlev,0)</f>
        <v/>
      </c>
      <c r="IZ39" s="218">
        <f>-CashFlow!IZ$5+Operating!IZ$72+IF(256=DispoMonth,StaticNetSaleUnlev,0)</f>
        <v/>
      </c>
      <c r="JA39" s="218">
        <f>-CashFlow!JA$5+Operating!JA$72+IF(257=DispoMonth,StaticNetSaleUnlev,0)</f>
        <v/>
      </c>
      <c r="JB39" s="218">
        <f>-CashFlow!JB$5+Operating!JB$72+IF(258=DispoMonth,StaticNetSaleUnlev,0)</f>
        <v/>
      </c>
      <c r="JC39" s="218">
        <f>-CashFlow!JC$5+Operating!JC$72+IF(259=DispoMonth,StaticNetSaleUnlev,0)</f>
        <v/>
      </c>
      <c r="JD39" s="218">
        <f>-CashFlow!JD$5+Operating!JD$72+IF(260=DispoMonth,StaticNetSaleUnlev,0)</f>
        <v/>
      </c>
      <c r="JE39" s="218">
        <f>-CashFlow!JE$5+Operating!JE$72+IF(261=DispoMonth,StaticNetSaleUnlev,0)</f>
        <v/>
      </c>
      <c r="JF39" s="218">
        <f>-CashFlow!JF$5+Operating!JF$72+IF(262=DispoMonth,StaticNetSaleUnlev,0)</f>
        <v/>
      </c>
      <c r="JG39" s="218">
        <f>-CashFlow!JG$5+Operating!JG$72+IF(263=DispoMonth,StaticNetSaleUnlev,0)</f>
        <v/>
      </c>
      <c r="JH39" s="218">
        <f>-CashFlow!JH$5+Operating!JH$72+IF(264=DispoMonth,StaticNetSaleUnlev,0)</f>
        <v/>
      </c>
      <c r="JI39" s="218">
        <f>-CashFlow!JI$5+Operating!JI$72+IF(265=DispoMonth,StaticNetSaleUnlev,0)</f>
        <v/>
      </c>
      <c r="JJ39" s="218">
        <f>-CashFlow!JJ$5+Operating!JJ$72+IF(266=DispoMonth,StaticNetSaleUnlev,0)</f>
        <v/>
      </c>
      <c r="JK39" s="218">
        <f>-CashFlow!JK$5+Operating!JK$72+IF(267=DispoMonth,StaticNetSaleUnlev,0)</f>
        <v/>
      </c>
      <c r="JL39" s="218">
        <f>-CashFlow!JL$5+Operating!JL$72+IF(268=DispoMonth,StaticNetSaleUnlev,0)</f>
        <v/>
      </c>
      <c r="JM39" s="218">
        <f>-CashFlow!JM$5+Operating!JM$72+IF(269=DispoMonth,StaticNetSaleUnlev,0)</f>
        <v/>
      </c>
      <c r="JN39" s="218">
        <f>-CashFlow!JN$5+Operating!JN$72+IF(270=DispoMonth,StaticNetSaleUnlev,0)</f>
        <v/>
      </c>
      <c r="JO39" s="218">
        <f>-CashFlow!JO$5+Operating!JO$72+IF(271=DispoMonth,StaticNetSaleUnlev,0)</f>
        <v/>
      </c>
      <c r="JP39" s="218">
        <f>-CashFlow!JP$5+Operating!JP$72+IF(272=DispoMonth,StaticNetSaleUnlev,0)</f>
        <v/>
      </c>
      <c r="JQ39" s="218">
        <f>-CashFlow!JQ$5+Operating!JQ$72+IF(273=DispoMonth,StaticNetSaleUnlev,0)</f>
        <v/>
      </c>
      <c r="JR39" s="218">
        <f>-CashFlow!JR$5+Operating!JR$72+IF(274=DispoMonth,StaticNetSaleUnlev,0)</f>
        <v/>
      </c>
      <c r="JS39" s="218">
        <f>-CashFlow!JS$5+Operating!JS$72+IF(275=DispoMonth,StaticNetSaleUnlev,0)</f>
        <v/>
      </c>
      <c r="JT39" s="218">
        <f>-CashFlow!JT$5+Operating!JT$72+IF(276=DispoMonth,StaticNetSaleUnlev,0)</f>
        <v/>
      </c>
      <c r="JU39" s="218">
        <f>-CashFlow!JU$5+Operating!JU$72+IF(277=DispoMonth,StaticNetSaleUnlev,0)</f>
        <v/>
      </c>
      <c r="JV39" s="218">
        <f>-CashFlow!JV$5+Operating!JV$72+IF(278=DispoMonth,StaticNetSaleUnlev,0)</f>
        <v/>
      </c>
      <c r="JW39" s="218">
        <f>-CashFlow!JW$5+Operating!JW$72+IF(279=DispoMonth,StaticNetSaleUnlev,0)</f>
        <v/>
      </c>
      <c r="JX39" s="218">
        <f>-CashFlow!JX$5+Operating!JX$72+IF(280=DispoMonth,StaticNetSaleUnlev,0)</f>
        <v/>
      </c>
      <c r="JY39" s="218">
        <f>-CashFlow!JY$5+Operating!JY$72+IF(281=DispoMonth,StaticNetSaleUnlev,0)</f>
        <v/>
      </c>
      <c r="JZ39" s="218">
        <f>-CashFlow!JZ$5+Operating!JZ$72+IF(282=DispoMonth,StaticNetSaleUnlev,0)</f>
        <v/>
      </c>
      <c r="KA39" s="218">
        <f>-CashFlow!KA$5+Operating!KA$72+IF(283=DispoMonth,StaticNetSaleUnlev,0)</f>
        <v/>
      </c>
      <c r="KB39" s="218">
        <f>-CashFlow!KB$5+Operating!KB$72+IF(284=DispoMonth,StaticNetSaleUnlev,0)</f>
        <v/>
      </c>
      <c r="KC39" s="218">
        <f>-CashFlow!KC$5+Operating!KC$72+IF(285=DispoMonth,StaticNetSaleUnlev,0)</f>
        <v/>
      </c>
      <c r="KD39" s="218">
        <f>-CashFlow!KD$5+Operating!KD$72+IF(286=DispoMonth,StaticNetSaleUnlev,0)</f>
        <v/>
      </c>
      <c r="KE39" s="218">
        <f>-CashFlow!KE$5+Operating!KE$72+IF(287=DispoMonth,StaticNetSaleUnlev,0)</f>
        <v/>
      </c>
      <c r="KF39" s="218">
        <f>-CashFlow!KF$5+Operating!KF$72+IF(288=DispoMonth,StaticNetSaleUnlev,0)</f>
        <v/>
      </c>
      <c r="KG39" s="218">
        <f>-CashFlow!KG$5+Operating!KG$72+IF(289=DispoMonth,StaticNetSaleUnlev,0)</f>
        <v/>
      </c>
      <c r="KH39" s="218">
        <f>-CashFlow!KH$5+Operating!KH$72+IF(290=DispoMonth,StaticNetSaleUnlev,0)</f>
        <v/>
      </c>
      <c r="KI39" s="218">
        <f>-CashFlow!KI$5+Operating!KI$72+IF(291=DispoMonth,StaticNetSaleUnlev,0)</f>
        <v/>
      </c>
      <c r="KJ39" s="218">
        <f>-CashFlow!KJ$5+Operating!KJ$72+IF(292=DispoMonth,StaticNetSaleUnlev,0)</f>
        <v/>
      </c>
      <c r="KK39" s="218">
        <f>-CashFlow!KK$5+Operating!KK$72+IF(293=DispoMonth,StaticNetSaleUnlev,0)</f>
        <v/>
      </c>
      <c r="KL39" s="218">
        <f>-CashFlow!KL$5+Operating!KL$72+IF(294=DispoMonth,StaticNetSaleUnlev,0)</f>
        <v/>
      </c>
      <c r="KM39" s="218">
        <f>-CashFlow!KM$5+Operating!KM$72+IF(295=DispoMonth,StaticNetSaleUnlev,0)</f>
        <v/>
      </c>
      <c r="KN39" s="218">
        <f>-CashFlow!KN$5+Operating!KN$72+IF(296=DispoMonth,StaticNetSaleUnlev,0)</f>
        <v/>
      </c>
      <c r="KO39" s="218">
        <f>-CashFlow!KO$5+Operating!KO$72+IF(297=DispoMonth,StaticNetSaleUnlev,0)</f>
        <v/>
      </c>
      <c r="KP39" s="218">
        <f>-CashFlow!KP$5+Operating!KP$72+IF(298=DispoMonth,StaticNetSaleUnlev,0)</f>
        <v/>
      </c>
      <c r="KQ39" s="218">
        <f>-CashFlow!KQ$5+Operating!KQ$72+IF(299=DispoMonth,StaticNetSaleUnlev,0)</f>
        <v/>
      </c>
      <c r="KR39" s="218">
        <f>-CashFlow!KR$5+Operating!KR$72+IF(300=DispoMonth,StaticNetSaleUnlev,0)</f>
        <v/>
      </c>
      <c r="KS39" s="218">
        <f>-CashFlow!KS$5+Operating!KS$72+IF(301=DispoMonth,StaticNetSaleUnlev,0)</f>
        <v/>
      </c>
      <c r="KT39" s="218">
        <f>-CashFlow!KT$5+Operating!KT$72+IF(302=DispoMonth,StaticNetSaleUnlev,0)</f>
        <v/>
      </c>
      <c r="KU39" s="218">
        <f>-CashFlow!KU$5+Operating!KU$72+IF(303=DispoMonth,StaticNetSaleUnlev,0)</f>
        <v/>
      </c>
      <c r="KV39" s="218">
        <f>-CashFlow!KV$5+Operating!KV$72+IF(304=DispoMonth,StaticNetSaleUnlev,0)</f>
        <v/>
      </c>
      <c r="KW39" s="218">
        <f>-CashFlow!KW$5+Operating!KW$72+IF(305=DispoMonth,StaticNetSaleUnlev,0)</f>
        <v/>
      </c>
      <c r="KX39" s="218">
        <f>-CashFlow!KX$5+Operating!KX$72+IF(306=DispoMonth,StaticNetSaleUnlev,0)</f>
        <v/>
      </c>
      <c r="KY39" s="218">
        <f>-CashFlow!KY$5+Operating!KY$72+IF(307=DispoMonth,StaticNetSaleUnlev,0)</f>
        <v/>
      </c>
      <c r="KZ39" s="218">
        <f>-CashFlow!KZ$5+Operating!KZ$72+IF(308=DispoMonth,StaticNetSaleUnlev,0)</f>
        <v/>
      </c>
      <c r="LA39" s="218">
        <f>-CashFlow!LA$5+Operating!LA$72+IF(309=DispoMonth,StaticNetSaleUnlev,0)</f>
        <v/>
      </c>
      <c r="LB39" s="218">
        <f>-CashFlow!LB$5+Operating!LB$72+IF(310=DispoMonth,StaticNetSaleUnlev,0)</f>
        <v/>
      </c>
      <c r="LC39" s="218">
        <f>-CashFlow!LC$5+Operating!LC$72+IF(311=DispoMonth,StaticNetSaleUnlev,0)</f>
        <v/>
      </c>
      <c r="LD39" s="218">
        <f>-CashFlow!LD$5+Operating!LD$72+IF(312=DispoMonth,StaticNetSaleUnlev,0)</f>
        <v/>
      </c>
      <c r="LE39" s="218">
        <f>-CashFlow!LE$5+Operating!LE$72+IF(313=DispoMonth,StaticNetSaleUnlev,0)</f>
        <v/>
      </c>
      <c r="LF39" s="218">
        <f>-CashFlow!LF$5+Operating!LF$72+IF(314=DispoMonth,StaticNetSaleUnlev,0)</f>
        <v/>
      </c>
      <c r="LG39" s="218">
        <f>-CashFlow!LG$5+Operating!LG$72+IF(315=DispoMonth,StaticNetSaleUnlev,0)</f>
        <v/>
      </c>
      <c r="LH39" s="218">
        <f>-CashFlow!LH$5+Operating!LH$72+IF(316=DispoMonth,StaticNetSaleUnlev,0)</f>
        <v/>
      </c>
      <c r="LI39" s="218">
        <f>-CashFlow!LI$5+Operating!LI$72+IF(317=DispoMonth,StaticNetSaleUnlev,0)</f>
        <v/>
      </c>
      <c r="LJ39" s="218">
        <f>-CashFlow!LJ$5+Operating!LJ$72+IF(318=DispoMonth,StaticNetSaleUnlev,0)</f>
        <v/>
      </c>
      <c r="LK39" s="218">
        <f>-CashFlow!LK$5+Operating!LK$72+IF(319=DispoMonth,StaticNetSaleUnlev,0)</f>
        <v/>
      </c>
      <c r="LL39" s="218">
        <f>-CashFlow!LL$5+Operating!LL$72+IF(320=DispoMonth,StaticNetSaleUnlev,0)</f>
        <v/>
      </c>
      <c r="LM39" s="218">
        <f>-CashFlow!LM$5+Operating!LM$72+IF(321=DispoMonth,StaticNetSaleUnlev,0)</f>
        <v/>
      </c>
      <c r="LN39" s="218">
        <f>-CashFlow!LN$5+Operating!LN$72+IF(322=DispoMonth,StaticNetSaleUnlev,0)</f>
        <v/>
      </c>
      <c r="LO39" s="218">
        <f>-CashFlow!LO$5+Operating!LO$72+IF(323=DispoMonth,StaticNetSaleUnlev,0)</f>
        <v/>
      </c>
      <c r="LP39" s="218">
        <f>-CashFlow!LP$5+Operating!LP$72+IF(324=DispoMonth,StaticNetSaleUnlev,0)</f>
        <v/>
      </c>
      <c r="LQ39" s="218">
        <f>-CashFlow!LQ$5+Operating!LQ$72+IF(325=DispoMonth,StaticNetSaleUnlev,0)</f>
        <v/>
      </c>
      <c r="LR39" s="218">
        <f>-CashFlow!LR$5+Operating!LR$72+IF(326=DispoMonth,StaticNetSaleUnlev,0)</f>
        <v/>
      </c>
      <c r="LS39" s="218">
        <f>-CashFlow!LS$5+Operating!LS$72+IF(327=DispoMonth,StaticNetSaleUnlev,0)</f>
        <v/>
      </c>
      <c r="LT39" s="218">
        <f>-CashFlow!LT$5+Operating!LT$72+IF(328=DispoMonth,StaticNetSaleUnlev,0)</f>
        <v/>
      </c>
      <c r="LU39" s="218">
        <f>-CashFlow!LU$5+Operating!LU$72+IF(329=DispoMonth,StaticNetSaleUnlev,0)</f>
        <v/>
      </c>
      <c r="LV39" s="218">
        <f>-CashFlow!LV$5+Operating!LV$72+IF(330=DispoMonth,StaticNetSaleUnlev,0)</f>
        <v/>
      </c>
      <c r="LW39" s="218">
        <f>-CashFlow!LW$5+Operating!LW$72+IF(331=DispoMonth,StaticNetSaleUnlev,0)</f>
        <v/>
      </c>
      <c r="LX39" s="218">
        <f>-CashFlow!LX$5+Operating!LX$72+IF(332=DispoMonth,StaticNetSaleUnlev,0)</f>
        <v/>
      </c>
      <c r="LY39" s="218">
        <f>-CashFlow!LY$5+Operating!LY$72+IF(333=DispoMonth,StaticNetSaleUnlev,0)</f>
        <v/>
      </c>
      <c r="LZ39" s="218">
        <f>-CashFlow!LZ$5+Operating!LZ$72+IF(334=DispoMonth,StaticNetSaleUnlev,0)</f>
        <v/>
      </c>
      <c r="MA39" s="218">
        <f>-CashFlow!MA$5+Operating!MA$72+IF(335=DispoMonth,StaticNetSaleUnlev,0)</f>
        <v/>
      </c>
      <c r="MB39" s="218">
        <f>-CashFlow!MB$5+Operating!MB$72+IF(336=DispoMonth,StaticNetSaleUnlev,0)</f>
        <v/>
      </c>
      <c r="MC39" s="218">
        <f>-CashFlow!MC$5+Operating!MC$72+IF(337=DispoMonth,StaticNetSaleUnlev,0)</f>
        <v/>
      </c>
      <c r="MD39" s="218">
        <f>-CashFlow!MD$5+Operating!MD$72+IF(338=DispoMonth,StaticNetSaleUnlev,0)</f>
        <v/>
      </c>
      <c r="ME39" s="218">
        <f>-CashFlow!ME$5+Operating!ME$72+IF(339=DispoMonth,StaticNetSaleUnlev,0)</f>
        <v/>
      </c>
      <c r="MF39" s="218">
        <f>-CashFlow!MF$5+Operating!MF$72+IF(340=DispoMonth,StaticNetSaleUnlev,0)</f>
        <v/>
      </c>
      <c r="MG39" s="218">
        <f>-CashFlow!MG$5+Operating!MG$72+IF(341=DispoMonth,StaticNetSaleUnlev,0)</f>
        <v/>
      </c>
      <c r="MH39" s="218">
        <f>-CashFlow!MH$5+Operating!MH$72+IF(342=DispoMonth,StaticNetSaleUnlev,0)</f>
        <v/>
      </c>
      <c r="MI39" s="218">
        <f>-CashFlow!MI$5+Operating!MI$72+IF(343=DispoMonth,StaticNetSaleUnlev,0)</f>
        <v/>
      </c>
      <c r="MJ39" s="218">
        <f>-CashFlow!MJ$5+Operating!MJ$72+IF(344=DispoMonth,StaticNetSaleUnlev,0)</f>
        <v/>
      </c>
      <c r="MK39" s="218">
        <f>-CashFlow!MK$5+Operating!MK$72+IF(345=DispoMonth,StaticNetSaleUnlev,0)</f>
        <v/>
      </c>
      <c r="ML39" s="218">
        <f>-CashFlow!ML$5+Operating!ML$72+IF(346=DispoMonth,StaticNetSaleUnlev,0)</f>
        <v/>
      </c>
      <c r="MM39" s="218">
        <f>-CashFlow!MM$5+Operating!MM$72+IF(347=DispoMonth,StaticNetSaleUnlev,0)</f>
        <v/>
      </c>
      <c r="MN39" s="218">
        <f>-CashFlow!MN$5+Operating!MN$72+IF(348=DispoMonth,StaticNetSaleUnlev,0)</f>
        <v/>
      </c>
      <c r="MO39" s="218">
        <f>-CashFlow!MO$5+Operating!MO$72+IF(349=DispoMonth,StaticNetSaleUnlev,0)</f>
        <v/>
      </c>
      <c r="MP39" s="218">
        <f>-CashFlow!MP$5+Operating!MP$72+IF(350=DispoMonth,StaticNetSaleUnlev,0)</f>
        <v/>
      </c>
      <c r="MQ39" s="218">
        <f>-CashFlow!MQ$5+Operating!MQ$72+IF(351=DispoMonth,StaticNetSaleUnlev,0)</f>
        <v/>
      </c>
      <c r="MR39" s="218">
        <f>-CashFlow!MR$5+Operating!MR$72+IF(352=DispoMonth,StaticNetSaleUnlev,0)</f>
        <v/>
      </c>
      <c r="MS39" s="218">
        <f>-CashFlow!MS$5+Operating!MS$72+IF(353=DispoMonth,StaticNetSaleUnlev,0)</f>
        <v/>
      </c>
      <c r="MT39" s="218">
        <f>-CashFlow!MT$5+Operating!MT$72+IF(354=DispoMonth,StaticNetSaleUnlev,0)</f>
        <v/>
      </c>
      <c r="MU39" s="218">
        <f>-CashFlow!MU$5+Operating!MU$72+IF(355=DispoMonth,StaticNetSaleUnlev,0)</f>
        <v/>
      </c>
      <c r="MV39" s="218">
        <f>-CashFlow!MV$5+Operating!MV$72+IF(356=DispoMonth,StaticNetSaleUnlev,0)</f>
        <v/>
      </c>
      <c r="MW39" s="218">
        <f>-CashFlow!MW$5+Operating!MW$72+IF(357=DispoMonth,StaticNetSaleUnlev,0)</f>
        <v/>
      </c>
      <c r="MX39" s="218">
        <f>-CashFlow!MX$5+Operating!MX$72+IF(358=DispoMonth,StaticNetSaleUnlev,0)</f>
        <v/>
      </c>
      <c r="MY39" s="218">
        <f>-CashFlow!MY$5+Operating!MY$72+IF(359=DispoMonth,StaticNetSaleUnlev,0)</f>
        <v/>
      </c>
      <c r="MZ39" s="218">
        <f>-CashFlow!MZ$5+Operating!MZ$72+IF(360=DispoMonth,StaticNetSaleUnlev,0)</f>
        <v/>
      </c>
      <c r="NA39" s="218">
        <f>-CashFlow!NA$5+Operating!NA$72+IF(361=DispoMonth,StaticNetSaleUnlev,0)</f>
        <v/>
      </c>
      <c r="NB39" s="218">
        <f>-CashFlow!NB$5+Operating!NB$72+IF(362=DispoMonth,StaticNetSaleUnlev,0)</f>
        <v/>
      </c>
      <c r="NC39" s="218">
        <f>-CashFlow!NC$5+Operating!NC$72+IF(363=DispoMonth,StaticNetSaleUnlev,0)</f>
        <v/>
      </c>
      <c r="ND39" s="218">
        <f>-CashFlow!ND$5+Operating!ND$72+IF(364=DispoMonth,StaticNetSaleUnlev,0)</f>
        <v/>
      </c>
      <c r="NE39" s="218">
        <f>-CashFlow!NE$5+Operating!NE$72+IF(365=DispoMonth,StaticNetSaleUnlev,0)</f>
        <v/>
      </c>
      <c r="NF39" s="218">
        <f>-CashFlow!NF$5+Operating!NF$72+IF(366=DispoMonth,StaticNetSaleUnlev,0)</f>
        <v/>
      </c>
      <c r="NG39" s="218">
        <f>-CashFlow!NG$5+Operating!NG$72+IF(367=DispoMonth,StaticNetSaleUnlev,0)</f>
        <v/>
      </c>
      <c r="NH39" s="218">
        <f>-CashFlow!NH$5+Operating!NH$72+IF(368=DispoMonth,StaticNetSaleUnlev,0)</f>
        <v/>
      </c>
      <c r="NI39" s="218">
        <f>-CashFlow!NI$5+Operating!NI$72+IF(369=DispoMonth,StaticNetSaleUnlev,0)</f>
        <v/>
      </c>
      <c r="NJ39" s="218">
        <f>-CashFlow!NJ$5+Operating!NJ$72+IF(370=DispoMonth,StaticNetSaleUnlev,0)</f>
        <v/>
      </c>
      <c r="NK39" s="218">
        <f>-CashFlow!NK$5+Operating!NK$72+IF(371=DispoMonth,StaticNetSaleUnlev,0)</f>
        <v/>
      </c>
      <c r="NL39" s="218">
        <f>-CashFlow!NL$5+Operating!NL$72+IF(372=DispoMonth,StaticNetSaleUnlev,0)</f>
        <v/>
      </c>
    </row>
    <row r="40">
      <c r="B40" s="52" t="n"/>
      <c r="D40" s="53" t="n"/>
    </row>
    <row r="41">
      <c r="B41" s="36" t="inlineStr">
        <is>
          <t>Static Unlevered IRR</t>
        </is>
      </c>
      <c r="C41" s="140">
        <f>IFERROR((1+IRR(E39:NL39,0.01))^12-1,"n/a")</f>
        <v/>
      </c>
      <c r="D41" s="53" t="n"/>
    </row>
    <row r="42">
      <c r="B42" s="40" t="inlineStr">
        <is>
          <t>Static Unlevered MOIC</t>
        </is>
      </c>
      <c r="C42" s="274">
        <f>IF(SUMIF(E39:NL39,"&lt;0")=0,0,SUMIF(E39:NL39,"&gt;0")/-SUMIF(E39:NL39,"&lt;0"))</f>
        <v/>
      </c>
      <c r="D42" s="66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1:G47"/>
  <sheetViews>
    <sheetView showGridLines="0" workbookViewId="0">
      <pane ySplit="3" topLeftCell="A4" activePane="bottomLeft" state="frozen"/>
      <selection pane="bottomLeft" activeCell="C13" sqref="C13"/>
    </sheetView>
  </sheetViews>
  <sheetFormatPr baseColWidth="8" defaultRowHeight="15"/>
  <cols>
    <col width="3.7109375" customWidth="1" style="97" min="1" max="1"/>
    <col width="48" customWidth="1" style="97" min="2" max="2"/>
    <col width="18" customWidth="1" style="97" min="3" max="3"/>
    <col width="12" customWidth="1" style="97" min="4" max="4"/>
  </cols>
  <sheetData>
    <row r="1" ht="21" customHeight="1" s="97">
      <c r="B1" s="1" t="inlineStr">
        <is>
          <t>Diagnostics &amp; Validation</t>
        </is>
      </c>
    </row>
    <row r="3">
      <c r="B3" s="71" t="inlineStr">
        <is>
          <t>Check</t>
        </is>
      </c>
      <c r="C3" s="118" t="inlineStr">
        <is>
          <t>Value</t>
        </is>
      </c>
      <c r="D3" s="119" t="inlineStr">
        <is>
          <t>Status</t>
        </is>
      </c>
      <c r="F3" s="196" t="inlineStr">
        <is>
          <t>Errors by sheet</t>
        </is>
      </c>
    </row>
    <row r="4">
      <c r="B4" s="36" t="inlineStr">
        <is>
          <t>Total formula errors (workbook-wide scan = 0)</t>
        </is>
      </c>
      <c r="C4" s="218">
        <f>SUM(F4:F17)</f>
        <v/>
      </c>
      <c r="D4" s="172">
        <f>IF(SUM(F4:F17)=0,"PASS","FAIL")</f>
        <v/>
      </c>
      <c r="F4" s="294">
        <f>SUMPRODUCT(--ISERROR(Timeline!E41:NL41))+SUMPRODUCT(--ISERROR(Timeline!C17:C25))</f>
        <v/>
      </c>
      <c r="G4" s="289" t="inlineStr">
        <is>
          <t>Timeline</t>
        </is>
      </c>
    </row>
    <row r="5">
      <c r="B5" s="36" t="inlineStr">
        <is>
          <t>Development budget fully allocated</t>
        </is>
      </c>
      <c r="C5" s="218">
        <f>DevSpend!$D$100-DirectCosts</f>
        <v/>
      </c>
      <c r="D5" s="172">
        <f>IF(ABS(DevSpend!$D$100-DirectCosts)&lt;1,"PASS","FAIL")</f>
        <v/>
      </c>
      <c r="F5" s="294">
        <f>SUMPRODUCT(--ISERROR(DevSpend!E100:NL100))+SUMPRODUCT(--ISERROR(DevSpend!E104:NL104))+SUMPRODUCT(--ISERROR(DevSpend!$D$6:$D$108))</f>
        <v/>
      </c>
      <c r="G5" s="289" t="inlineStr">
        <is>
          <t>DevSpend</t>
        </is>
      </c>
    </row>
    <row r="6">
      <c r="B6" s="36" t="inlineStr">
        <is>
          <t>Cost curves sum to line totals</t>
        </is>
      </c>
      <c r="C6" s="218">
        <f>Chk_CostCurve</f>
        <v/>
      </c>
      <c r="D6" s="172">
        <f>IF(ABS(Chk_CostCurve)&lt;1,"PASS","FAIL")</f>
        <v/>
      </c>
      <c r="F6" s="294">
        <f>SUMPRODUCT(--ISERROR(ConLoan!E31:NL31))+SUMPRODUCT(--ISERROR(ConLoan!E32:NL32))+SUMPRODUCT(--ISERROR(ConLoan!C35:C48))</f>
        <v/>
      </c>
      <c r="G6" s="289" t="inlineStr">
        <is>
          <t>ConLoan</t>
        </is>
      </c>
    </row>
    <row r="7">
      <c r="B7" s="36" t="inlineStr">
        <is>
          <t>Dev fee curve sums to fee</t>
        </is>
      </c>
      <c r="C7" s="218">
        <f>Chk_DevFeeCurve</f>
        <v/>
      </c>
      <c r="D7" s="172">
        <f>IF(ABS(Chk_DevFeeCurve)&lt;1,"PASS","FAIL")</f>
        <v/>
      </c>
      <c r="F7" s="294">
        <f>SUMPRODUCT(--ISERROR(LeaseUp!E8:NL8))+SUMPRODUCT(--ISERROR(LeaseUp!E10:NL10))+SUMPRODUCT(--ISERROR(LeaseUp!C13:C14))</f>
        <v/>
      </c>
      <c r="G7" s="289" t="inlineStr">
        <is>
          <t>LeaseUp</t>
        </is>
      </c>
    </row>
    <row r="8">
      <c r="B8" s="36" t="inlineStr">
        <is>
          <t>Construction debt draws reconcile</t>
        </is>
      </c>
      <c r="C8" s="218">
        <f>Chk_DebtDraws</f>
        <v/>
      </c>
      <c r="D8" s="172">
        <f>IF(ABS(Chk_DebtDraws)&lt;1,"PASS","FAIL")</f>
        <v/>
      </c>
      <c r="F8" s="294">
        <f>SUMPRODUCT(--ISERROR(Operating!E23:NL23))+SUMPRODUCT(--ISERROR(Operating!E36:NL36))+SUMPRODUCT(--ISERROR(Operating!E38:NL38))+SUMPRODUCT(--ISERROR(Operating!E42:NL42))+SUMPRODUCT(--ISERROR(Operating!E69:NL69))+SUMPRODUCT(--ISERROR(Operating!C47:C77))</f>
        <v/>
      </c>
      <c r="G8" s="289" t="inlineStr">
        <is>
          <t>Operating</t>
        </is>
      </c>
    </row>
    <row r="9">
      <c r="B9" s="36" t="inlineStr">
        <is>
          <t>Equity draws reconcile</t>
        </is>
      </c>
      <c r="C9" s="218">
        <f>Chk_EquityDraws</f>
        <v/>
      </c>
      <c r="D9" s="172">
        <f>IF(ABS(Chk_EquityDraws)&lt;1,"PASS","FAIL")</f>
        <v/>
      </c>
      <c r="F9" s="294">
        <f>SUMPRODUCT(--ISERROR(PermLoan!E30:NL30))+SUMPRODUCT(--ISERROR(PermLoan!C4:C33))</f>
        <v/>
      </c>
      <c r="G9" s="289" t="inlineStr">
        <is>
          <t>PermLoan</t>
        </is>
      </c>
    </row>
    <row r="10">
      <c r="B10" s="36" t="inlineStr">
        <is>
          <t>Fundable uses reconcile</t>
        </is>
      </c>
      <c r="C10" s="218">
        <f>Chk_Uses</f>
        <v/>
      </c>
      <c r="D10" s="172">
        <f>IF(ABS(Chk_Uses)&lt;1,"PASS","FAIL")</f>
        <v/>
      </c>
      <c r="F10" s="294">
        <f>SUMPRODUCT(--ISERROR(Disposition!C4:C25))</f>
        <v/>
      </c>
      <c r="G10" s="289" t="inlineStr">
        <is>
          <t>Disposition</t>
        </is>
      </c>
    </row>
    <row r="11">
      <c r="B11" s="36" t="inlineStr">
        <is>
          <t>Interest reserve funded &gt;= accrued</t>
        </is>
      </c>
      <c r="C11" s="218">
        <f>Chk_IntReserve</f>
        <v/>
      </c>
      <c r="D11" s="172">
        <f>IF(Chk_IntReserve&gt;=-1,"PASS","FAIL")</f>
        <v/>
      </c>
      <c r="F11" s="294">
        <f>SUMPRODUCT(--ISERROR(CashFlow!E6:NL6))+SUMPRODUCT(--ISERROR(CashFlow!E7:NL7))+SUMPRODUCT(--ISERROR(CashFlow!C10:C15))</f>
        <v/>
      </c>
      <c r="G11" s="289" t="inlineStr">
        <is>
          <t>CashFlow</t>
        </is>
      </c>
    </row>
    <row r="12">
      <c r="B12" s="36" t="inlineStr">
        <is>
          <t>Construction balance drawn to zero</t>
        </is>
      </c>
      <c r="C12" s="218">
        <f>Chk_ConBalEnd</f>
        <v/>
      </c>
      <c r="D12" s="172">
        <f>IF(ABS(Chk_ConBalEnd)&lt;1,"PASS","FAIL")</f>
        <v/>
      </c>
      <c r="F12" s="294">
        <f>SUMPRODUCT(--ISERROR(Returns!E11:NL11))+SUMPRODUCT(--ISERROR(Returns!E12:NL12))+SUMPRODUCT(--ISERROR(Returns!E39:NL39))+SUMPRODUCT(--ISERROR(Returns!C4:C42))</f>
        <v/>
      </c>
      <c r="G12" s="289" t="inlineStr">
        <is>
          <t>Returns</t>
        </is>
      </c>
    </row>
    <row r="13">
      <c r="B13" s="36" t="inlineStr">
        <is>
          <t>Lease-up reaches stabilized occupancy</t>
        </is>
      </c>
      <c r="C13" s="218">
        <f>Chk_LeaseUpReached</f>
        <v/>
      </c>
      <c r="D13" s="172">
        <f>IF(ABS(Chk_LeaseUpReached)&lt;1,"PASS","FAIL")</f>
        <v/>
      </c>
      <c r="F13" s="294">
        <f>SUMPRODUCT(--ISERROR(Proforma!G12:G47))+SUMPRODUCT(--ISERROR(Proforma!C5:C8))</f>
        <v/>
      </c>
      <c r="G13" s="289" t="inlineStr">
        <is>
          <t>Proforma</t>
        </is>
      </c>
    </row>
    <row r="14">
      <c r="B14" s="36" t="inlineStr">
        <is>
          <t>Units delivered reach total by stabilization</t>
        </is>
      </c>
      <c r="C14" s="218">
        <f>Chk_UnitsDelivered-TotalUnits</f>
        <v/>
      </c>
      <c r="D14" s="172">
        <f>IF(Chk_UnitsDelivered&gt;=TotalUnits-1,"PASS","FAIL")</f>
        <v/>
      </c>
      <c r="F14" s="294">
        <f>SUMPRODUCT(--ISERROR(Dashboard!F5:F36))</f>
        <v/>
      </c>
      <c r="G14" s="289" t="inlineStr">
        <is>
          <t>Dashboard</t>
        </is>
      </c>
    </row>
    <row r="15">
      <c r="B15" s="36" t="inlineStr">
        <is>
          <t>Operating reserve &gt;= peak lease-up shortfall</t>
        </is>
      </c>
      <c r="C15" s="218">
        <f>OpReserve+PeakShort</f>
        <v/>
      </c>
      <c r="D15" s="172">
        <f>IF(OpReserve&gt;=-PeakShort-1,"PASS","FAIL")</f>
        <v/>
      </c>
      <c r="F15" s="294">
        <f>SUMPRODUCT(--ISERROR(Budget!J5:J114))+SUMPRODUCT(--ISERROR('Monthly CF'!E6:NL41))+SUMPRODUCT(--ISERROR(Waterfall!E22:NL48))</f>
        <v/>
      </c>
      <c r="G15" s="289" t="inlineStr">
        <is>
          <t>Budget / Monthly CF / Waterfall</t>
        </is>
      </c>
    </row>
    <row r="16">
      <c r="B16" s="36" t="inlineStr">
        <is>
          <t>Refi-or-sell switch behaves correctly</t>
        </is>
      </c>
      <c r="C16" s="218">
        <f>RefiFlag</f>
        <v/>
      </c>
      <c r="D16" s="172">
        <f>IF(RefiFlag=1,IF(AND(PermLoan&gt;0,ABS(Chk_RefiBalance)&lt;1,RefiMonth&lt;=ConMaturity),"PASS","FAIL"),IF(AND(PermLoan=0,ActivePayoff&lt;0),"PASS","FAIL"))</f>
        <v/>
      </c>
      <c r="F16" s="294">
        <f>SUMPRODUCT(--ISERROR(UnitMatrix!C14:C27))+SUMPRODUCT(--ISERROR(UnitMatrix!F4:F11))</f>
        <v/>
      </c>
      <c r="G16" s="289" t="inlineStr">
        <is>
          <t>UnitMatrix</t>
        </is>
      </c>
    </row>
    <row r="17">
      <c r="B17" s="36" t="inlineStr">
        <is>
          <t>Permanent loan retires construction (refi only)</t>
        </is>
      </c>
      <c r="C17" s="218">
        <f>IF(RefiFlag=1,PermLoan-ConPayoffBal,0)</f>
        <v/>
      </c>
      <c r="D17" s="172">
        <f>IF(RefiFlag=1,IF(PermLoan&gt;=ConPayoffBal-1,"PASS","FAIL"),"N/A")</f>
        <v/>
      </c>
      <c r="F17" s="294">
        <f>SUMPRODUCT(--ISERROR(Inputs!C9:C40))+SUMPRODUCT(--ISERROR(Inputs!G9:G40))+SUMPRODUCT(--ISERROR(Inputs!K9:K40))+SUMPRODUCT(--ISERROR(Inputs!O9:O40))+SUMPRODUCT(--ISERROR(Inputs!S9:S30))+SUMPRODUCT(--ISERROR(Proforma!C12:C40))</f>
        <v/>
      </c>
      <c r="G17" s="289" t="inlineStr">
        <is>
          <t>Inputs</t>
        </is>
      </c>
    </row>
    <row r="18">
      <c r="B18" s="36" t="inlineStr">
        <is>
          <t>Refinance sources = uses</t>
        </is>
      </c>
      <c r="C18" s="218">
        <f>Chk_RefiBalance</f>
        <v/>
      </c>
      <c r="D18" s="172">
        <f>IF(ABS(Chk_RefiBalance)&lt;1,"PASS","FAIL")</f>
        <v/>
      </c>
    </row>
    <row r="19">
      <c r="B19" s="36" t="inlineStr">
        <is>
          <t>No-Cash-Out toggle functions (no cash distributed)</t>
        </is>
      </c>
      <c r="C19" s="218">
        <f>RefiCashOut</f>
        <v/>
      </c>
      <c r="D19" s="172">
        <f>IF(IF(NoCashOut=1,RefiCashOut&lt;=1,TRUE()),"PASS","FAIL")</f>
        <v/>
      </c>
    </row>
    <row r="20">
      <c r="B20" s="36" t="inlineStr">
        <is>
          <t>Reassess-on-sale closed form reconciles</t>
        </is>
      </c>
      <c r="C20" s="218">
        <f>Chk_Reassess</f>
        <v/>
      </c>
      <c r="D20" s="172">
        <f>IF(ABS(Chk_Reassess)&lt;1,"PASS","FAIL")</f>
        <v/>
      </c>
    </row>
    <row r="21">
      <c r="B21" s="36" t="inlineStr">
        <is>
          <t>Property value reconciles to NOI &amp; cap</t>
        </is>
      </c>
      <c r="C21" s="218">
        <f>ExitValue-IF(ReassessOnSale&gt;=1,FwdNOIbt/(BlendedExitCap+DispoEffTaxRate),FwdNOIafter/BlendedExitCap)</f>
        <v/>
      </c>
      <c r="D21" s="172">
        <f>IF(ABS(ExitValue-IF(ReassessOnSale&gt;=1,FwdNOIbt/(BlendedExitCap+DispoEffTaxRate),FwdNOIafter/BlendedExitCap))&lt;1,"PASS","FAIL")</f>
        <v/>
      </c>
    </row>
    <row r="22">
      <c r="B22" s="36" t="inlineStr">
        <is>
          <t>Levered cash-flow identity</t>
        </is>
      </c>
      <c r="C22" s="218">
        <f>LevNetProfit-(LevDistros-LevEquityIn)</f>
        <v/>
      </c>
      <c r="D22" s="172">
        <f>IF(ABS(LevNetProfit-(LevDistros-LevEquityIn))&lt;1,"PASS","FAIL")</f>
        <v/>
      </c>
    </row>
    <row r="23">
      <c r="B23" s="36" t="inlineStr">
        <is>
          <t>Unlevered cash-flow identity</t>
        </is>
      </c>
      <c r="C23" s="218">
        <f>UnlevNetProfit-(UnlevDistros-UnlevInvested)</f>
        <v/>
      </c>
      <c r="D23" s="172">
        <f>IF(ABS(UnlevNetProfit-(UnlevDistros-UnlevInvested))&lt;1,"PASS","FAIL")</f>
        <v/>
      </c>
    </row>
    <row r="24">
      <c r="B24" s="36" t="inlineStr">
        <is>
          <t>Perm term not expiring before disposition</t>
        </is>
      </c>
      <c r="C24" s="218">
        <f>IF(RefiFlag=1,RefiMonth+PermTermMonths-DispoMonth,0)</f>
        <v/>
      </c>
      <c r="D24" s="172">
        <f>IF(IF(RefiFlag=1,RefiMonth+PermTermMonths&gt;=DispoMonth,TRUE()),"PASS","FAIL")</f>
        <v/>
      </c>
    </row>
    <row r="25">
      <c r="B25" s="40" t="inlineStr">
        <is>
          <t>Hold period within 1..360 months</t>
        </is>
      </c>
      <c r="C25" s="263">
        <f>HoldPeriodMonths</f>
        <v/>
      </c>
      <c r="D25" s="173">
        <f>IF(AND(HoldPeriodMonths&gt;=1,HoldPeriodMonths&lt;=360),"PASS","FAIL")</f>
        <v/>
      </c>
    </row>
    <row r="27">
      <c r="B27" s="295" t="inlineStr">
        <is>
          <t>Economic Sanity (warnings — do not count as errors)</t>
        </is>
      </c>
      <c r="C27" s="60" t="n"/>
      <c r="D27" s="35" t="n"/>
    </row>
    <row r="28">
      <c r="B28" s="296" t="inlineStr">
        <is>
          <t>Development spread (untrended YOC − exit cap)</t>
        </is>
      </c>
      <c r="C28" s="297">
        <f>DevSpreadBps</f>
        <v/>
      </c>
      <c r="D28" s="298">
        <f>IF(YieldOnCost-ExitCapResidential&lt;0,"WARN","OK")</f>
        <v/>
      </c>
    </row>
    <row r="29">
      <c r="B29" s="299" t="inlineStr">
        <is>
          <t>Construction term within 12–60 months</t>
        </is>
      </c>
      <c r="C29" s="300">
        <f>ConLoanTermMonths</f>
        <v/>
      </c>
      <c r="D29" s="301">
        <f>IF(AND(ConLoanTermMonths&gt;=12,ConLoanTermMonths&lt;=60),"OK","WARN")</f>
        <v/>
      </c>
    </row>
    <row r="30">
      <c r="B30" s="316" t="inlineStr">
        <is>
          <t>Stabilized tax per unit within $500–$4,000</t>
        </is>
      </c>
      <c r="C30" s="302">
        <f>IF(TotalUnits=0,0,StabTaxAnnual/TotalUnits)</f>
        <v/>
      </c>
      <c r="D30" s="208">
        <f>IF(AND(StabTaxAnnual/TotalUnits&gt;=500,StabTaxAnnual/TotalUnits&lt;=4000),"OK","WARN")</f>
        <v/>
      </c>
    </row>
    <row r="31">
      <c r="B31" s="316" t="inlineStr">
        <is>
          <t>Absorption pace ≤ delivery pace</t>
        </is>
      </c>
      <c r="C31" s="294">
        <f>UnitsLeasedPerMo</f>
        <v/>
      </c>
      <c r="D31" s="208">
        <f>IF(UnitsLeasedPerMo&gt;UnitsDeliveredPerMo,"WARN","OK")</f>
        <v/>
      </c>
    </row>
    <row r="32">
      <c r="B32" s="316" t="inlineStr">
        <is>
          <t>Untrended NOI ≤ trended NOI (growth ≥ 0)</t>
        </is>
      </c>
      <c r="C32" s="280">
        <f>StabNOI-StabNOI_Untrended</f>
        <v/>
      </c>
      <c r="D32" s="208">
        <f>IF(OR(GrowthRent&lt;0,GrowthExpense&lt;0),"n/a",IF(StabNOI_Untrended&lt;=StabNOI+1,"OK","WARN"))</f>
        <v/>
      </c>
    </row>
    <row r="34">
      <c r="B34" s="327" t="inlineStr">
        <is>
          <t>Input Hygiene</t>
        </is>
      </c>
      <c r="C34" s="155" t="n"/>
      <c r="D34" s="155" t="n"/>
    </row>
    <row r="35">
      <c r="B35" s="316" t="inlineStr">
        <is>
          <t>Dead input named ranges (0 formula refs)</t>
        </is>
      </c>
      <c r="C35" s="294" t="n">
        <v>0</v>
      </c>
      <c r="D35" s="208" t="inlineStr">
        <is>
          <t>OK</t>
        </is>
      </c>
      <c r="E35" s="289" t="inlineStr">
        <is>
          <t>build-verified: none — every input drives ≥1 formula</t>
        </is>
      </c>
    </row>
    <row r="37">
      <c r="B37" s="327" t="inlineStr">
        <is>
          <t>Summary</t>
        </is>
      </c>
      <c r="C37" s="155" t="n"/>
      <c r="D37" s="155" t="n"/>
    </row>
    <row r="38">
      <c r="B38" s="328" t="inlineStr">
        <is>
          <t>TOTAL ERRORS FOUND</t>
        </is>
      </c>
      <c r="C38" s="304">
        <f>COUNTIF(D4:D25,"FAIL")+COUNTIF(D43:D47,"FAIL")+COUNTIF(Proforma!$D$46:$D$46,"FAIL")</f>
        <v/>
      </c>
    </row>
    <row r="39">
      <c r="B39" s="328" t="inlineStr">
        <is>
          <t>TOTAL WARNINGS</t>
        </is>
      </c>
      <c r="C39" s="304">
        <f>COUNTIF(D28:D32,"WARN")+COUNTIF(D35:D35,"WARN")</f>
        <v/>
      </c>
    </row>
    <row r="40">
      <c r="B40" s="328" t="inlineStr">
        <is>
          <t>MODEL STATUS</t>
        </is>
      </c>
      <c r="C40" s="305">
        <f>IF(C38=0,"ALL CHECKS PASS","REVIEW FAILURES")</f>
        <v/>
      </c>
    </row>
    <row r="42">
      <c r="B42" s="327" t="inlineStr">
        <is>
          <t>Engine Integrity (1C)</t>
        </is>
      </c>
      <c r="C42" s="155" t="n"/>
      <c r="D42" s="155" t="n"/>
    </row>
    <row r="43">
      <c r="B43" s="316" t="inlineStr">
        <is>
          <t>Final unit delivery ≤ construction end</t>
        </is>
      </c>
      <c r="C43" s="280">
        <f>(DeliverStart+CEILING(TotalUnits/UnitsDeliveredPerMo,1)-1)-ConEndMonth</f>
        <v/>
      </c>
      <c r="D43" s="208">
        <f>IF((DeliverStart+CEILING(TotalUnits/UnitsDeliveredPerMo,1)-1)&lt;=ConEndMonth,"PASS","FAIL")</f>
        <v/>
      </c>
    </row>
    <row r="44">
      <c r="B44" s="316" t="inlineStr">
        <is>
          <t>Stabilization ≥ construction end</t>
        </is>
      </c>
      <c r="C44" s="280">
        <f>StabMonth-ConEndMonth</f>
        <v/>
      </c>
      <c r="D44" s="208">
        <f>IF(StabMonth&gt;=ConEndMonth,"PASS","FAIL")</f>
        <v/>
      </c>
    </row>
    <row r="45">
      <c r="B45" s="316" t="inlineStr">
        <is>
          <t>Refi month ≥ construction end (if refi)</t>
        </is>
      </c>
      <c r="C45" s="280">
        <f>IF(RefiFlag=1,RefiMonth-ConEndMonth,0)</f>
        <v/>
      </c>
      <c r="D45" s="208">
        <f>IF(RefiFlag=1,IF(RefiMonth&gt;=ConEndMonth,"PASS","FAIL"),"N/A")</f>
        <v/>
      </c>
    </row>
    <row r="46">
      <c r="B46" s="316" t="inlineStr">
        <is>
          <t>Interest reserve not exhausted (≥ 0)</t>
        </is>
      </c>
      <c r="C46" s="280">
        <f>MinReserveBal</f>
        <v/>
      </c>
      <c r="D46" s="208">
        <f>IF(MinReserveBal&gt;=-1,"PASS","FAIL")</f>
        <v/>
      </c>
    </row>
    <row r="47">
      <c r="B47" s="316" t="inlineStr">
        <is>
          <t>Realized LTC ≤ target</t>
        </is>
      </c>
      <c r="C47" s="280">
        <f>LTC_Realized-TargetLTC</f>
        <v/>
      </c>
      <c r="D47" s="208">
        <f>IF(LTC_Realized&lt;=TargetLTC+0.005,"PASS","FAIL")</f>
        <v/>
      </c>
    </row>
  </sheetData>
  <conditionalFormatting sqref="D4:D25">
    <cfRule type="cellIs" priority="1" operator="equal" dxfId="1">
      <formula>"PASS"</formula>
    </cfRule>
    <cfRule type="cellIs" priority="2" operator="equal" dxfId="0">
      <formula>"FAIL"</formula>
    </cfRule>
    <cfRule type="cellIs" priority="3" operator="equal" dxfId="7">
      <formula>"PASS"</formula>
    </cfRule>
    <cfRule type="cellIs" priority="4" operator="equal" dxfId="7">
      <formula>"OK"</formula>
    </cfRule>
    <cfRule type="cellIs" priority="5" operator="equal" dxfId="5">
      <formula>"FAIL"</formula>
    </cfRule>
    <cfRule type="cellIs" priority="6" operator="equal" dxfId="8">
      <formula>"WARN"</formula>
    </cfRule>
    <cfRule type="cellIs" priority="7" operator="equal" dxfId="8">
      <formula>"CHECK"</formula>
    </cfRule>
  </conditionalFormatting>
  <conditionalFormatting sqref="D27:D40">
    <cfRule type="cellIs" priority="8" operator="equal" dxfId="7">
      <formula>"PASS"</formula>
    </cfRule>
    <cfRule type="cellIs" priority="9" operator="equal" dxfId="7">
      <formula>"OK"</formula>
    </cfRule>
    <cfRule type="cellIs" priority="10" operator="equal" dxfId="5">
      <formula>"FAIL"</formula>
    </cfRule>
    <cfRule type="cellIs" priority="11" operator="equal" dxfId="8">
      <formula>"WARN"</formula>
    </cfRule>
    <cfRule type="cellIs" priority="12" operator="equal" dxfId="8">
      <formula>"CHECK"</formula>
    </cfRule>
  </conditionalFormatting>
  <conditionalFormatting sqref="D43:D47">
    <cfRule type="cellIs" priority="13" operator="equal" dxfId="7">
      <formula>"PASS"</formula>
    </cfRule>
    <cfRule type="cellIs" priority="14" operator="equal" dxfId="5">
      <formula>"FAIL"</formula>
    </cfRule>
    <cfRule type="cellIs" priority="15" operator="equal" dxfId="9">
      <formula>"N/A"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2026-10-29T16:39:13Z</dcterms:modified>
  <cp:lastModifiedBy>Thomas Holben</cp:lastModifiedBy>
</cp:coreProperties>
</file>